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23.xml"/>
  <Override ContentType="application/vnd.openxmlformats-officedocument.spreadsheetml.worksheet+xml" PartName="/xl/worksheets/sheet15.xml"/>
  <Override ContentType="application/vnd.openxmlformats-officedocument.spreadsheetml.worksheet+xml" PartName="/xl/worksheets/sheet40.xml"/>
  <Override ContentType="application/vnd.openxmlformats-officedocument.spreadsheetml.worksheet+xml" PartName="/xl/worksheets/sheet32.xml"/>
  <Override ContentType="application/vnd.openxmlformats-officedocument.spreadsheetml.worksheet+xml" PartName="/xl/worksheets/sheet6.xml"/>
  <Override ContentType="application/vnd.openxmlformats-officedocument.spreadsheetml.worksheet+xml" PartName="/xl/worksheets/sheet49.xml"/>
  <Override ContentType="application/vnd.openxmlformats-officedocument.spreadsheetml.worksheet+xml" PartName="/xl/worksheets/sheet16.xml"/>
  <Override ContentType="application/vnd.openxmlformats-officedocument.spreadsheetml.worksheet+xml" PartName="/xl/worksheets/sheet41.xml"/>
  <Override ContentType="application/vnd.openxmlformats-officedocument.spreadsheetml.worksheet+xml" PartName="/xl/worksheets/sheet5.xml"/>
  <Override ContentType="application/vnd.openxmlformats-officedocument.spreadsheetml.worksheet+xml" PartName="/xl/worksheets/sheet50.xml"/>
  <Override ContentType="application/vnd.openxmlformats-officedocument.spreadsheetml.worksheet+xml" PartName="/xl/worksheets/sheet24.xml"/>
  <Override ContentType="application/vnd.openxmlformats-officedocument.spreadsheetml.worksheet+xml" PartName="/xl/worksheets/sheet33.xml"/>
  <Override ContentType="application/vnd.openxmlformats-officedocument.spreadsheetml.worksheet+xml" PartName="/xl/worksheets/sheet39.xml"/>
  <Override ContentType="application/vnd.openxmlformats-officedocument.spreadsheetml.worksheet+xml" PartName="/xl/worksheets/sheet12.xml"/>
  <Override ContentType="application/vnd.openxmlformats-officedocument.spreadsheetml.worksheet+xml" PartName="/xl/worksheets/sheet42.xml"/>
  <Override ContentType="application/vnd.openxmlformats-officedocument.spreadsheetml.worksheet+xml" PartName="/xl/worksheets/sheet38.xml"/>
  <Override ContentType="application/vnd.openxmlformats-officedocument.spreadsheetml.worksheet+xml" PartName="/xl/worksheets/sheet25.xml"/>
  <Override ContentType="application/vnd.openxmlformats-officedocument.spreadsheetml.worksheet+xml" PartName="/xl/worksheets/sheet8.xml"/>
  <Override ContentType="application/vnd.openxmlformats-officedocument.spreadsheetml.worksheet+xml" PartName="/xl/worksheets/sheet30.xml"/>
  <Override ContentType="application/vnd.openxmlformats-officedocument.spreadsheetml.worksheet+xml" PartName="/xl/worksheets/sheet27.xml"/>
  <Override ContentType="application/vnd.openxmlformats-officedocument.spreadsheetml.worksheet+xml" PartName="/xl/worksheets/sheet43.xml"/>
  <Override ContentType="application/vnd.openxmlformats-officedocument.spreadsheetml.worksheet+xml" PartName="/xl/worksheets/sheet14.xml"/>
  <Override ContentType="application/vnd.openxmlformats-officedocument.spreadsheetml.worksheet+xml" PartName="/xl/worksheets/sheet44.xml"/>
  <Override ContentType="application/vnd.openxmlformats-officedocument.spreadsheetml.worksheet+xml" PartName="/xl/worksheets/sheet13.xml"/>
  <Override ContentType="application/vnd.openxmlformats-officedocument.spreadsheetml.worksheet+xml" PartName="/xl/worksheets/sheet26.xml"/>
  <Override ContentType="application/vnd.openxmlformats-officedocument.spreadsheetml.worksheet+xml" PartName="/xl/worksheets/sheet31.xml"/>
  <Override ContentType="application/vnd.openxmlformats-officedocument.spreadsheetml.worksheet+xml" PartName="/xl/worksheets/sheet7.xml"/>
  <Override ContentType="application/vnd.openxmlformats-officedocument.spreadsheetml.worksheet+xml" PartName="/xl/worksheets/sheet28.xml"/>
  <Override ContentType="application/vnd.openxmlformats-officedocument.spreadsheetml.worksheet+xml" PartName="/xl/worksheets/sheet10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45.xml"/>
  <Override ContentType="application/vnd.openxmlformats-officedocument.spreadsheetml.worksheet+xml" PartName="/xl/worksheets/sheet36.xml"/>
  <Override ContentType="application/vnd.openxmlformats-officedocument.spreadsheetml.worksheet+xml" PartName="/xl/worksheets/sheet46.xml"/>
  <Override ContentType="application/vnd.openxmlformats-officedocument.spreadsheetml.worksheet+xml" PartName="/xl/worksheets/sheet11.xml"/>
  <Override ContentType="application/vnd.openxmlformats-officedocument.spreadsheetml.worksheet+xml" PartName="/xl/worksheets/sheet29.xml"/>
  <Override ContentType="application/vnd.openxmlformats-officedocument.spreadsheetml.worksheet+xml" PartName="/xl/worksheets/sheet20.xml"/>
  <Override ContentType="application/vnd.openxmlformats-officedocument.spreadsheetml.worksheet+xml" PartName="/xl/worksheets/sheet37.xml"/>
  <Override ContentType="application/vnd.openxmlformats-officedocument.spreadsheetml.worksheet+xml" PartName="/xl/worksheets/sheet1.xml"/>
  <Override ContentType="application/vnd.openxmlformats-officedocument.spreadsheetml.worksheet+xml" PartName="/xl/worksheets/sheet9.xml"/>
  <Override ContentType="application/vnd.openxmlformats-officedocument.spreadsheetml.worksheet+xml" PartName="/xl/worksheets/sheet47.xml"/>
  <Override ContentType="application/vnd.openxmlformats-officedocument.spreadsheetml.worksheet+xml" PartName="/xl/worksheets/sheet4.xml"/>
  <Override ContentType="application/vnd.openxmlformats-officedocument.spreadsheetml.worksheet+xml" PartName="/xl/worksheets/sheet17.xml"/>
  <Override ContentType="application/vnd.openxmlformats-officedocument.spreadsheetml.worksheet+xml" PartName="/xl/worksheets/sheet51.xml"/>
  <Override ContentType="application/vnd.openxmlformats-officedocument.spreadsheetml.worksheet+xml" PartName="/xl/worksheets/sheet34.xml"/>
  <Override ContentType="application/vnd.openxmlformats-officedocument.spreadsheetml.worksheet+xml" PartName="/xl/worksheets/sheet2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48.xml"/>
  <Override ContentType="application/vnd.openxmlformats-officedocument.spreadsheetml.worksheet+xml" PartName="/xl/worksheets/sheet22.xml"/>
  <Override ContentType="application/vnd.openxmlformats-officedocument.spreadsheetml.worksheet+xml" PartName="/xl/worksheets/sheet35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9.xml"/>
  <Override ContentType="application/vnd.openxmlformats-officedocument.drawing+xml" PartName="/xl/drawings/drawing13.xml"/>
  <Override ContentType="application/vnd.openxmlformats-officedocument.drawing+xml" PartName="/xl/drawings/drawing12.xml"/>
  <Override ContentType="application/vnd.openxmlformats-officedocument.drawing+xml" PartName="/xl/drawings/drawing30.xml"/>
  <Override ContentType="application/vnd.openxmlformats-officedocument.drawing+xml" PartName="/xl/drawings/drawing47.xml"/>
  <Override ContentType="application/vnd.openxmlformats-officedocument.drawing+xml" PartName="/xl/drawings/drawing21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48.xml"/>
  <Override ContentType="application/vnd.openxmlformats-officedocument.drawing+xml" PartName="/xl/drawings/drawing2.xml"/>
  <Override ContentType="application/vnd.openxmlformats-officedocument.drawing+xml" PartName="/xl/drawings/drawing31.xml"/>
  <Override ContentType="application/vnd.openxmlformats-officedocument.drawing+xml" PartName="/xl/drawings/drawing22.xml"/>
  <Override ContentType="application/vnd.openxmlformats-officedocument.drawing+xml" PartName="/xl/drawings/drawing10.xml"/>
  <Override ContentType="application/vnd.openxmlformats-officedocument.drawing+xml" PartName="/xl/drawings/drawing6.xml"/>
  <Override ContentType="application/vnd.openxmlformats-officedocument.drawing+xml" PartName="/xl/drawings/drawing40.xml"/>
  <Override ContentType="application/vnd.openxmlformats-officedocument.drawing+xml" PartName="/xl/drawings/drawing36.xml"/>
  <Override ContentType="application/vnd.openxmlformats-officedocument.drawing+xml" PartName="/xl/drawings/drawing23.xml"/>
  <Override ContentType="application/vnd.openxmlformats-officedocument.drawing+xml" PartName="/xl/drawings/drawing49.xml"/>
  <Override ContentType="application/vnd.openxmlformats-officedocument.drawing+xml" PartName="/xl/drawings/drawing38.xml"/>
  <Override ContentType="application/vnd.openxmlformats-officedocument.drawing+xml" PartName="/xl/drawings/drawing19.xml"/>
  <Override ContentType="application/vnd.openxmlformats-officedocument.drawing+xml" PartName="/xl/drawings/drawing41.xml"/>
  <Override ContentType="application/vnd.openxmlformats-officedocument.drawing+xml" PartName="/xl/drawings/drawing5.xml"/>
  <Override ContentType="application/vnd.openxmlformats-officedocument.drawing+xml" PartName="/xl/drawings/drawing24.xml"/>
  <Override ContentType="application/vnd.openxmlformats-officedocument.drawing+xml" PartName="/xl/drawings/drawing42.xml"/>
  <Override ContentType="application/vnd.openxmlformats-officedocument.drawing+xml" PartName="/xl/drawings/drawing11.xml"/>
  <Override ContentType="application/vnd.openxmlformats-officedocument.drawing+xml" PartName="/xl/drawings/drawing37.xml"/>
  <Override ContentType="application/vnd.openxmlformats-officedocument.drawing+xml" PartName="/xl/drawings/drawing26.xml"/>
  <Override ContentType="application/vnd.openxmlformats-officedocument.drawing+xml" PartName="/xl/drawings/drawing51.xml"/>
  <Override ContentType="application/vnd.openxmlformats-officedocument.drawing+xml" PartName="/xl/drawings/drawing9.xml"/>
  <Override ContentType="application/vnd.openxmlformats-officedocument.drawing+xml" PartName="/xl/drawings/drawing17.xml"/>
  <Override ContentType="application/vnd.openxmlformats-officedocument.drawing+xml" PartName="/xl/drawings/drawing43.xml"/>
  <Override ContentType="application/vnd.openxmlformats-officedocument.drawing+xml" PartName="/xl/drawings/drawing25.xml"/>
  <Override ContentType="application/vnd.openxmlformats-officedocument.drawing+xml" PartName="/xl/drawings/drawing34.xml"/>
  <Override ContentType="application/vnd.openxmlformats-officedocument.drawing+xml" PartName="/xl/drawings/drawing27.xml"/>
  <Override ContentType="application/vnd.openxmlformats-officedocument.drawing+xml" PartName="/xl/drawings/drawing44.xml"/>
  <Override ContentType="application/vnd.openxmlformats-officedocument.drawing+xml" PartName="/xl/drawings/drawing7.xml"/>
  <Override ContentType="application/vnd.openxmlformats-officedocument.drawing+xml" PartName="/xl/drawings/drawing18.xml"/>
  <Override ContentType="application/vnd.openxmlformats-officedocument.drawing+xml" PartName="/xl/drawings/drawing35.xml"/>
  <Override ContentType="application/vnd.openxmlformats-officedocument.drawing+xml" PartName="/xl/drawings/drawing45.xml"/>
  <Override ContentType="application/vnd.openxmlformats-officedocument.drawing+xml" PartName="/xl/drawings/drawing28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32.xml"/>
  <Override ContentType="application/vnd.openxmlformats-officedocument.drawing+xml" PartName="/xl/drawings/drawing33.xml"/>
  <Override ContentType="application/vnd.openxmlformats-officedocument.drawing+xml" PartName="/xl/drawings/drawing46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29.xml"/>
  <Override ContentType="application/vnd.openxmlformats-officedocument.drawing+xml" PartName="/xl/drawings/drawing50.xml"/>
  <Override ContentType="application/vnd.openxmlformats-officedocument.drawing+xml" PartName="/xl/drawings/drawing20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3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TENS PADROES" sheetId="1" r:id="rId4"/>
    <sheet state="visible" name="1 SERVIÇOS PRELIMINARES (QUEIMA" sheetId="2" r:id="rId5"/>
    <sheet state="visible" name="1 SERVIÇOS PRELIMINARES (MAMANG" sheetId="3" r:id="rId6"/>
    <sheet state="visible" name="1 SERVIÇOS PRELIMINARES (SAPÉ)" sheetId="4" r:id="rId7"/>
    <sheet state="visible" name="2 MURO (QUEIMADAS)" sheetId="5" r:id="rId8"/>
    <sheet state="visible" name="2 MURO (MAMANGUAPE)" sheetId="6" r:id="rId9"/>
    <sheet state="visible" name="2 MURO (SAPÉ)" sheetId="7" r:id="rId10"/>
    <sheet state="visible" name="3 ADMINISTRATIVO" sheetId="8" r:id="rId11"/>
    <sheet state="visible" name="4 SALA DE AULA" sheetId="9" r:id="rId12"/>
    <sheet state="visible" name="4 SALA DE AULA (MAMANGUAPE)" sheetId="10" r:id="rId13"/>
    <sheet state="visible" name=" 4 SALA DE AULA (SAPÉ)" sheetId="11" r:id="rId14"/>
    <sheet state="visible" name="5 AUDITORIO" sheetId="12" r:id="rId15"/>
    <sheet state="visible" name="5 AUDITORIO (MAMANGUAPE)" sheetId="13" r:id="rId16"/>
    <sheet state="visible" name="5 AUDITORIO (SAPÉ)" sheetId="14" r:id="rId17"/>
    <sheet state="visible" name="6 REFEITORIO" sheetId="15" r:id="rId18"/>
    <sheet state="visible" name="6 REFEITORIO (MAMANGUAPE)" sheetId="16" r:id="rId19"/>
    <sheet state="visible" name="6 REFEITORIO (SAPÉ)" sheetId="17" r:id="rId20"/>
    <sheet state="visible" name="7 BIBLIOTECA" sheetId="18" r:id="rId21"/>
    <sheet state="visible" name="8 LABORATORIO 01" sheetId="19" r:id="rId22"/>
    <sheet state="visible" name="9 QUADRA AREIA" sheetId="20" r:id="rId23"/>
    <sheet state="visible" name="10 GUARITA" sheetId="21" r:id="rId24"/>
    <sheet state="visible" name="11 PISCINA" sheetId="22" r:id="rId25"/>
    <sheet state="visible" name="12 GARAGEM" sheetId="23" r:id="rId26"/>
    <sheet state="visible" name="13 ESCADA-CAIXA" sheetId="24" r:id="rId27"/>
    <sheet state="visible" name="16 GINASIO e VESTIARIO" sheetId="25" r:id="rId28"/>
    <sheet state="visible" name="LANCHONETE" sheetId="26" r:id="rId29"/>
    <sheet state="visible" name="35 LABORATORIO 02" sheetId="27" r:id="rId30"/>
    <sheet state="visible" name="38 SERVIÇOS COMPLEMENTARES" sheetId="28" r:id="rId31"/>
    <sheet state="visible" name="39 ESTRUTURAL ADM, LAB E BIBLIO" sheetId="29" r:id="rId32"/>
    <sheet state="visible" name="Página7" sheetId="30" r:id="rId33"/>
    <sheet state="visible" name="ESTRUTURAL ADM, LAB E BIBLIOTEC" sheetId="31" r:id="rId34"/>
    <sheet state="visible" name="VIVENCIA" sheetId="32" r:id="rId35"/>
    <sheet state="visible" name="ESTACIONAMENTO" sheetId="33" r:id="rId36"/>
    <sheet state="visible" name="Página6" sheetId="34" r:id="rId37"/>
    <sheet state="visible" name="RAMPA" sheetId="35" r:id="rId38"/>
    <sheet state="visible" name="PASSARELA" sheetId="36" r:id="rId39"/>
    <sheet state="visible" name="PAISAGISMO" sheetId="37" r:id="rId40"/>
    <sheet state="visible" name="CAMPO" sheetId="38" r:id="rId41"/>
    <sheet state="visible" name="CISTERNA" sheetId="39" r:id="rId42"/>
    <sheet state="visible" name="ETE" sheetId="40" r:id="rId43"/>
    <sheet state="visible" name="ACESSIBILIDADE" sheetId="41" r:id="rId44"/>
    <sheet state="visible" name="CASA DE GAS" sheetId="42" r:id="rId45"/>
    <sheet state="visible" name="CAPTAÇÃO" sheetId="43" r:id="rId46"/>
    <sheet state="visible" name="COMBATE A INCENDIO" sheetId="44" r:id="rId47"/>
    <sheet state="visible" name="SPDA" sheetId="45" r:id="rId48"/>
    <sheet state="visible" name="CFTV" sheetId="46" r:id="rId49"/>
    <sheet state="visible" name="FOTOVOLTAICO" sheetId="47" r:id="rId50"/>
    <sheet state="visible" name="LOGICA" sheetId="48" r:id="rId51"/>
    <sheet state="visible" name="SOM" sheetId="49" r:id="rId52"/>
    <sheet state="visible" name="POÇO" sheetId="50" r:id="rId53"/>
    <sheet state="visible" name="SUBESTAÇÃO" sheetId="51" r:id="rId54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Z5">
      <text>
        <t xml:space="preserve">Conforme coeficientes constantes na composição 12509/orse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Z5">
      <text>
        <t xml:space="preserve">Conforme coeficientes constantes na composição 12509/orse</t>
      </text>
    </comment>
  </commentList>
</comments>
</file>

<file path=xl/comments3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Z5">
      <text>
        <t xml:space="preserve">Conforme coeficientes constantes na composição 12509/orse</t>
      </text>
    </comment>
  </commentList>
</comments>
</file>

<file path=xl/sharedStrings.xml><?xml version="1.0" encoding="utf-8"?>
<sst xmlns="http://schemas.openxmlformats.org/spreadsheetml/2006/main" count="23351" uniqueCount="1891">
  <si>
    <t>SERVIÇO</t>
  </si>
  <si>
    <t>ITEM</t>
  </si>
  <si>
    <t>Soleira</t>
  </si>
  <si>
    <t>98689 sinapi</t>
  </si>
  <si>
    <t>acrescentar</t>
  </si>
  <si>
    <t>rufo/algeroz</t>
  </si>
  <si>
    <t>304 orse</t>
  </si>
  <si>
    <t xml:space="preserve">Revest piso </t>
  </si>
  <si>
    <t>87257 sinapi</t>
  </si>
  <si>
    <t>chapisco interno</t>
  </si>
  <si>
    <t>87879 sinapi</t>
  </si>
  <si>
    <t>chapisco externo</t>
  </si>
  <si>
    <t>87905 sinapi</t>
  </si>
  <si>
    <t>chapisco teto</t>
  </si>
  <si>
    <t>87882 sinapi</t>
  </si>
  <si>
    <t>emboço externo</t>
  </si>
  <si>
    <t>104217 sinapi</t>
  </si>
  <si>
    <t>emboço interno</t>
  </si>
  <si>
    <t>87553 sinapi</t>
  </si>
  <si>
    <t>emboço teto</t>
  </si>
  <si>
    <t>90408 sinapi</t>
  </si>
  <si>
    <t>cabide (toalha banho)</t>
  </si>
  <si>
    <t>3708 orse</t>
  </si>
  <si>
    <t>papel toalha</t>
  </si>
  <si>
    <t>12208 orse</t>
  </si>
  <si>
    <t>saboneteira</t>
  </si>
  <si>
    <t>95547 sinapi</t>
  </si>
  <si>
    <t>porta papel higienico</t>
  </si>
  <si>
    <t>7611 orse</t>
  </si>
  <si>
    <t>vaso convencional</t>
  </si>
  <si>
    <t>86931 sinapi</t>
  </si>
  <si>
    <t>selador</t>
  </si>
  <si>
    <t>88485 sinapi</t>
  </si>
  <si>
    <t>emassamento</t>
  </si>
  <si>
    <t>88497 sinapi</t>
  </si>
  <si>
    <t>pintura sem textura</t>
  </si>
  <si>
    <t>104642 sinapi</t>
  </si>
  <si>
    <t>Revest parede</t>
  </si>
  <si>
    <t>104612 sinapi</t>
  </si>
  <si>
    <t>contramarco</t>
  </si>
  <si>
    <t>94590 sinapi</t>
  </si>
  <si>
    <t xml:space="preserve">concreto magro </t>
  </si>
  <si>
    <t>94968 sinapi</t>
  </si>
  <si>
    <t xml:space="preserve">concreto </t>
  </si>
  <si>
    <t>94965 sinapi</t>
  </si>
  <si>
    <t>preparo de vala</t>
  </si>
  <si>
    <t>101616 sinapi</t>
  </si>
  <si>
    <t>telha termo acustica</t>
  </si>
  <si>
    <t>94216 sinapi</t>
  </si>
  <si>
    <t>lavatório suspenso</t>
  </si>
  <si>
    <t>86942 sinapi</t>
  </si>
  <si>
    <t>contrapiso áreas secas</t>
  </si>
  <si>
    <t>87620 sinapi</t>
  </si>
  <si>
    <t>revestimento 10x10</t>
  </si>
  <si>
    <t>civil.reve.21</t>
  </si>
  <si>
    <t>casquilho</t>
  </si>
  <si>
    <t>civil.reve.14</t>
  </si>
  <si>
    <t>Estrutura metálica</t>
  </si>
  <si>
    <t>100775 sinapi</t>
  </si>
  <si>
    <t>vão</t>
  </si>
  <si>
    <t>kg/ m²</t>
  </si>
  <si>
    <t>15 m</t>
  </si>
  <si>
    <t>Pintura zarcão</t>
  </si>
  <si>
    <t>100719 sinapi</t>
  </si>
  <si>
    <t>estrut metálica</t>
  </si>
  <si>
    <t>Pintura esmalte sintético</t>
  </si>
  <si>
    <t>100739 sinapi</t>
  </si>
  <si>
    <t>selador teto</t>
  </si>
  <si>
    <t>88484 sinapi</t>
  </si>
  <si>
    <t>emassamento teto</t>
  </si>
  <si>
    <t>88496 sinapi</t>
  </si>
  <si>
    <t>pintura sem textura teto</t>
  </si>
  <si>
    <t>Encunhamento</t>
  </si>
  <si>
    <t>torneira de mesa, bica alta</t>
  </si>
  <si>
    <t>11747 orse</t>
  </si>
  <si>
    <t>verga</t>
  </si>
  <si>
    <t>105024 sinapi</t>
  </si>
  <si>
    <t>contraverga</t>
  </si>
  <si>
    <t>105030 sinapi</t>
  </si>
  <si>
    <t>fechadura</t>
  </si>
  <si>
    <t>023691 SBC</t>
  </si>
  <si>
    <t>granilite lavado</t>
  </si>
  <si>
    <t>170044 SBC</t>
  </si>
  <si>
    <t>OBRA:</t>
  </si>
  <si>
    <t xml:space="preserve">CONSTRUÇÃO DO CAMPUS DO IFPI </t>
  </si>
  <si>
    <t>Revisado</t>
  </si>
  <si>
    <t>ENDEREÇO:</t>
  </si>
  <si>
    <t>ESPERANTINA, ALTOS E BARRAS</t>
  </si>
  <si>
    <t>SERVIÇOS PRE-LIMINARES</t>
  </si>
  <si>
    <r>
      <rPr>
        <rFont val="Quattrocento Sans"/>
        <color theme="1"/>
        <sz val="11.0"/>
      </rPr>
      <t>Trata-se de memória de cálculo, ou memorial de cálculo, que é um documento que fica anexo ao projeto de construção civil,</t>
    </r>
    <r>
      <rPr>
        <rFont val="Segoe UI"/>
        <color theme="1"/>
        <sz val="11.0"/>
      </rPr>
      <t> e seu principal objetivo é fornecer, de forma detalhada, todos os cálculos que foram efetuados até alcançar o resultado final</t>
    </r>
    <r>
      <rPr>
        <rFont val="Segoe UI"/>
        <color theme="1"/>
        <sz val="11.0"/>
      </rPr>
      <t>, que também deve estar presente no documento.</t>
    </r>
  </si>
  <si>
    <t>MEMORIAL DE CÁLCULO</t>
  </si>
  <si>
    <t>DESCRIÇÃO</t>
  </si>
  <si>
    <t>UND</t>
  </si>
  <si>
    <t>QUANT</t>
  </si>
  <si>
    <t>FORMULA</t>
  </si>
  <si>
    <t>TOTAL</t>
  </si>
  <si>
    <t>OBSERVAÇÃO</t>
  </si>
  <si>
    <t>ALTURA</t>
  </si>
  <si>
    <t>DIAMETRO</t>
  </si>
  <si>
    <t>LARGURA</t>
  </si>
  <si>
    <t>RESULTADO</t>
  </si>
  <si>
    <t>SUPRESSÃO</t>
  </si>
  <si>
    <t>Limpeza do Terreno</t>
  </si>
  <si>
    <t>m²</t>
  </si>
  <si>
    <r>
      <rPr>
        <rFont val="Arial"/>
        <color rgb="FF474747"/>
        <sz val="8.0"/>
      </rPr>
      <t>O DAP </t>
    </r>
    <r>
      <rPr>
        <rFont val="Arial"/>
        <color rgb="FF040C28"/>
        <sz val="8.0"/>
      </rPr>
      <t>é uma medida do diâmetro da árvore a 1,30 metros de altura em relação ao nível do solo</t>
    </r>
    <r>
      <rPr>
        <rFont val="Arial"/>
        <color rgb="FF474747"/>
        <sz val="8.0"/>
      </rPr>
      <t>; a altura total é o comprimento da árvore ou do seu fuste/tronco; e o fator de forma expressa o afilamento do fuste ao longo de seu comprimento, i. é, indica quanto o diâmetro de uma árvore diminui ao longo da sua altura.</t>
    </r>
  </si>
  <si>
    <t>Destocamento</t>
  </si>
  <si>
    <t>und</t>
  </si>
  <si>
    <t>Cerca</t>
  </si>
  <si>
    <t>m</t>
  </si>
  <si>
    <t>MESES</t>
  </si>
  <si>
    <t>DIAS</t>
  </si>
  <si>
    <t>JORNADA</t>
  </si>
  <si>
    <t>Engenheiro civil</t>
  </si>
  <si>
    <t>h</t>
  </si>
  <si>
    <t>m3</t>
  </si>
  <si>
    <t>Mestre de obras</t>
  </si>
  <si>
    <t>unidade</t>
  </si>
  <si>
    <t>Técnico em segurança do trabalho</t>
  </si>
  <si>
    <t>Almoxarife</t>
  </si>
  <si>
    <t>Vigia diurno</t>
  </si>
  <si>
    <t>Vigia noturno</t>
  </si>
  <si>
    <t>COMPRIMENTO</t>
  </si>
  <si>
    <t>Placa da obra</t>
  </si>
  <si>
    <t>Escritório</t>
  </si>
  <si>
    <t>áreas consideradas conforme caderno do SINAPI</t>
  </si>
  <si>
    <t>Refeitorio</t>
  </si>
  <si>
    <t>Almoxarifado</t>
  </si>
  <si>
    <t>Sanitário e vestiário</t>
  </si>
  <si>
    <t>Placas de sinalização</t>
  </si>
  <si>
    <t>Reservatório elevado 2000L</t>
  </si>
  <si>
    <t>Fossa séptica 1500L</t>
  </si>
  <si>
    <t>Sumidouro (10 contribuintes)</t>
  </si>
  <si>
    <t>Central de armadura</t>
  </si>
  <si>
    <t>Central de forma, argamassa e concreto</t>
  </si>
  <si>
    <t>Tapume</t>
  </si>
  <si>
    <t>ART</t>
  </si>
  <si>
    <t>Alvará</t>
  </si>
  <si>
    <t>Habite-se</t>
  </si>
  <si>
    <r>
      <rPr>
        <rFont val="Quattrocento Sans"/>
        <color theme="1"/>
        <sz val="11.0"/>
      </rPr>
      <t>Trata-se de memória de cálculo, ou memorial de cálculo, que é um documento que fica anexo ao projeto de construção civil,</t>
    </r>
    <r>
      <rPr>
        <rFont val="Segoe UI"/>
        <color theme="1"/>
        <sz val="11.0"/>
      </rPr>
      <t> e seu principal objetivo é fornecer, de forma detalhada, todos os cálculos que foram efetuados até alcançar o resultado final</t>
    </r>
    <r>
      <rPr>
        <rFont val="Segoe UI"/>
        <color theme="1"/>
        <sz val="11.0"/>
      </rPr>
      <t>, que também deve estar presente no documento.</t>
    </r>
  </si>
  <si>
    <r>
      <rPr>
        <rFont val="Arial"/>
        <color rgb="FF474747"/>
        <sz val="8.0"/>
      </rPr>
      <t>O DAP </t>
    </r>
    <r>
      <rPr>
        <rFont val="Arial"/>
        <color rgb="FF040C28"/>
        <sz val="8.0"/>
      </rPr>
      <t>é uma medida do diâmetro da árvore a 1,30 metros de altura em relação ao nível do solo</t>
    </r>
    <r>
      <rPr>
        <rFont val="Arial"/>
        <color rgb="FF474747"/>
        <sz val="8.0"/>
      </rPr>
      <t>; a altura total é o comprimento da árvore ou do seu fuste/tronco; e o fator de forma expressa o afilamento do fuste ao longo de seu comprimento, i. é, indica quanto o diâmetro de uma árvore diminui ao longo da sua altura.</t>
    </r>
  </si>
  <si>
    <t>mês</t>
  </si>
  <si>
    <t>Técnico em edicações</t>
  </si>
  <si>
    <r>
      <rPr>
        <rFont val="Quattrocento Sans"/>
        <color theme="1"/>
        <sz val="11.0"/>
      </rPr>
      <t>Trata-se de memória de cálculo, ou memorial de cálculo, que é um documento que fica anexo ao projeto de construção civil,</t>
    </r>
    <r>
      <rPr>
        <rFont val="Segoe UI"/>
        <color theme="1"/>
        <sz val="11.0"/>
      </rPr>
      <t> e seu principal objetivo é fornecer, de forma detalhada, todos os cálculos que foram efetuados até alcançar o resultado final</t>
    </r>
    <r>
      <rPr>
        <rFont val="Segoe UI"/>
        <color theme="1"/>
        <sz val="11.0"/>
      </rPr>
      <t>, que também deve estar presente no documento.</t>
    </r>
  </si>
  <si>
    <r>
      <rPr>
        <rFont val="Arial"/>
        <color rgb="FF474747"/>
        <sz val="8.0"/>
      </rPr>
      <t>O DAP </t>
    </r>
    <r>
      <rPr>
        <rFont val="Arial"/>
        <color rgb="FF040C28"/>
        <sz val="8.0"/>
      </rPr>
      <t>é uma medida do diâmetro da árvore a 1,30 metros de altura em relação ao nível do solo</t>
    </r>
    <r>
      <rPr>
        <rFont val="Arial"/>
        <color rgb="FF474747"/>
        <sz val="8.0"/>
      </rPr>
      <t>; a altura total é o comprimento da árvore ou do seu fuste/tronco; e o fator de forma expressa o afilamento do fuste ao longo de seu comprimento, i. é, indica quanto o diâmetro de uma árvore diminui ao longo da sua altura.</t>
    </r>
  </si>
  <si>
    <t>BARRAS</t>
  </si>
  <si>
    <t>MURO</t>
  </si>
  <si>
    <r>
      <rPr>
        <rFont val="Quattrocento Sans"/>
        <color theme="1"/>
        <sz val="11.0"/>
      </rPr>
      <t>Trata-se de memória de cálculo, ou memorial de cálculo, que é um documento que fica anexo ao projeto de construção civil,</t>
    </r>
    <r>
      <rPr>
        <rFont val="Segoe UI"/>
        <color theme="1"/>
        <sz val="11.0"/>
      </rPr>
      <t> e seu principal objetivo é fornecer, de forma detalhada, todos os cálculos que foram efetuados até alcançar o resultado final</t>
    </r>
    <r>
      <rPr>
        <rFont val="Segoe UI"/>
        <color theme="1"/>
        <sz val="11.0"/>
      </rPr>
      <t>, que também deve estar presente no documento.</t>
    </r>
  </si>
  <si>
    <t>Escavação</t>
  </si>
  <si>
    <t>m³</t>
  </si>
  <si>
    <t>Preparo de fundo de vala</t>
  </si>
  <si>
    <t>Locação</t>
  </si>
  <si>
    <t>Pedra argamassada</t>
  </si>
  <si>
    <t>Cinta de amarração</t>
  </si>
  <si>
    <t>Alvenaria 14cm (Blocos concreto estrutural)</t>
  </si>
  <si>
    <t>Alvenaria 9cm (Blocos concreto vedação)</t>
  </si>
  <si>
    <t>REPETIÇÃO</t>
  </si>
  <si>
    <t>PESO LINEAR</t>
  </si>
  <si>
    <t>Aço CA 50 - 8mm (bloco estrutural)</t>
  </si>
  <si>
    <t>kg</t>
  </si>
  <si>
    <t>pilares</t>
  </si>
  <si>
    <t>Graute (pilares)</t>
  </si>
  <si>
    <t>REPETIÇOES</t>
  </si>
  <si>
    <t>Calçada externa</t>
  </si>
  <si>
    <t>Carga material</t>
  </si>
  <si>
    <t>empolamento 1,25</t>
  </si>
  <si>
    <t>Carga material x transporte</t>
  </si>
  <si>
    <t>km/m³</t>
  </si>
  <si>
    <t>Andaime</t>
  </si>
  <si>
    <r>
      <rPr>
        <rFont val="Quattrocento Sans"/>
        <color theme="1"/>
        <sz val="11.0"/>
      </rPr>
      <t>Trata-se de memória de cálculo, ou memorial de cálculo, que é um documento que fica anexo ao projeto de construção civil,</t>
    </r>
    <r>
      <rPr>
        <rFont val="Segoe UI"/>
        <color theme="1"/>
        <sz val="11.0"/>
      </rPr>
      <t> e seu principal objetivo é fornecer, de forma detalhada, todos os cálculos que foram efetuados até alcançar o resultado final</t>
    </r>
    <r>
      <rPr>
        <rFont val="Segoe UI"/>
        <color theme="1"/>
        <sz val="11.0"/>
      </rPr>
      <t>, que também deve estar presente no documento.</t>
    </r>
  </si>
  <si>
    <r>
      <rPr>
        <rFont val="Quattrocento Sans"/>
        <color theme="1"/>
        <sz val="11.0"/>
      </rPr>
      <t>Trata-se de memória de cálculo, ou memorial de cálculo, que é um documento que fica anexo ao projeto de construção civil,</t>
    </r>
    <r>
      <rPr>
        <rFont val="Segoe UI"/>
        <color theme="1"/>
        <sz val="11.0"/>
      </rPr>
      <t> e seu principal objetivo é fornecer, de forma detalhada, todos os cálculos que foram efetuados até alcançar o resultado final</t>
    </r>
    <r>
      <rPr>
        <rFont val="Segoe UI"/>
        <color theme="1"/>
        <sz val="11.0"/>
      </rPr>
      <t>, que também deve estar presente no documento.</t>
    </r>
  </si>
  <si>
    <t>ADMINISTRAÇÃO</t>
  </si>
  <si>
    <r>
      <rPr>
        <rFont val="Quattrocento Sans"/>
        <color theme="1"/>
        <sz val="11.0"/>
      </rPr>
      <t>Trata-se de memória de cálculo, ou memorial de cálculo, que é um documento que fica anexo ao projeto de construção civil,</t>
    </r>
    <r>
      <rPr>
        <rFont val="Segoe UI"/>
        <color theme="1"/>
        <sz val="11.0"/>
      </rPr>
      <t> e seu principal objetivo é fornecer, de forma detalhada, todos os cálculos que foram efetuados até alcançar o resultado final</t>
    </r>
    <r>
      <rPr>
        <rFont val="Segoe UI"/>
        <color theme="1"/>
        <sz val="11.0"/>
      </rPr>
      <t>, que também deve estar presente no documento.</t>
    </r>
  </si>
  <si>
    <t>Lastro</t>
  </si>
  <si>
    <t>Regularizaçao (áreas secas)</t>
  </si>
  <si>
    <t>Regularizaçao wcs (áreas molhadas)</t>
  </si>
  <si>
    <t>Revestimento cerâmico</t>
  </si>
  <si>
    <t>Laje</t>
  </si>
  <si>
    <t>Alvenria 9cm</t>
  </si>
  <si>
    <t>platibanda fachada</t>
  </si>
  <si>
    <t>parede+platibanda entre blocos adm e biblio+lab</t>
  </si>
  <si>
    <t>wc diretor</t>
  </si>
  <si>
    <t>wc fem e masc</t>
  </si>
  <si>
    <t>Escoramento de laje</t>
  </si>
  <si>
    <t>A cada 1m² uma escora</t>
  </si>
  <si>
    <t>Rufo de topo</t>
  </si>
  <si>
    <t>Rufo lateral</t>
  </si>
  <si>
    <t>Pedra 1m por 20cm espessura de 5cm</t>
  </si>
  <si>
    <t>kG</t>
  </si>
  <si>
    <t>Trama metalica</t>
  </si>
  <si>
    <t>Telha Termoacustica</t>
  </si>
  <si>
    <t>Calha metálica</t>
  </si>
  <si>
    <t>Treliça metálica</t>
  </si>
  <si>
    <t>Cumeeira termoacústica</t>
  </si>
  <si>
    <t>DESENVOLVIMENTO</t>
  </si>
  <si>
    <t>PERIMETRO</t>
  </si>
  <si>
    <t>3.13.2</t>
  </si>
  <si>
    <t>Imper. com argamassa polimerica</t>
  </si>
  <si>
    <t>Forro de PVC</t>
  </si>
  <si>
    <t>LADOS</t>
  </si>
  <si>
    <t>Chapisco</t>
  </si>
  <si>
    <t>ext</t>
  </si>
  <si>
    <t>entre blocos adm/ biblio e lab</t>
  </si>
  <si>
    <t>total externo</t>
  </si>
  <si>
    <t>total interno</t>
  </si>
  <si>
    <t>Reboco</t>
  </si>
  <si>
    <t>Encunhamento alvenaria</t>
  </si>
  <si>
    <t>REPETIÇÕES</t>
  </si>
  <si>
    <t>3.15.3</t>
  </si>
  <si>
    <t>Pintura interna</t>
  </si>
  <si>
    <t>3.15.4</t>
  </si>
  <si>
    <t>wcs</t>
  </si>
  <si>
    <t>meia parede</t>
  </si>
  <si>
    <t>total</t>
  </si>
  <si>
    <t>Esquadria aluminio porta 90cm - P1</t>
  </si>
  <si>
    <t>total portas aluminio</t>
  </si>
  <si>
    <t>Esquadria vidro temperado 10mm porta - P5</t>
  </si>
  <si>
    <t>total porta vidro</t>
  </si>
  <si>
    <t>Esquadria aluminio porta wcs - P3</t>
  </si>
  <si>
    <t>Esquadria aluminio porta wcs pcd - P4</t>
  </si>
  <si>
    <t>Esquadria aluminio janela vidro e aluminio - J1</t>
  </si>
  <si>
    <t>Esquadria aluminio janela vidro e aluminio - J2</t>
  </si>
  <si>
    <t>Esquadria aluminio janela vidro e aluminio - J3</t>
  </si>
  <si>
    <t>Esquadria aluminio janela vidro e aluminio - J6</t>
  </si>
  <si>
    <t>Esquadria aluminio janela vidro e aluminio - J8</t>
  </si>
  <si>
    <t>Contramarcos</t>
  </si>
  <si>
    <t>Fechaduras</t>
  </si>
  <si>
    <t>Fechaduras wcs</t>
  </si>
  <si>
    <t>Verga - P1</t>
  </si>
  <si>
    <t>Verga - P5</t>
  </si>
  <si>
    <t>Verga - P3</t>
  </si>
  <si>
    <t>Verga - P4</t>
  </si>
  <si>
    <t>Verga - J1</t>
  </si>
  <si>
    <t>Verga - J2</t>
  </si>
  <si>
    <t>Verga - J3</t>
  </si>
  <si>
    <t>Verga - J6</t>
  </si>
  <si>
    <t>Verga - J8</t>
  </si>
  <si>
    <t>Contraverga - J1</t>
  </si>
  <si>
    <t>Contraverga - J2</t>
  </si>
  <si>
    <t>Contraverga - J3</t>
  </si>
  <si>
    <t>Contraverga - J6</t>
  </si>
  <si>
    <t>Contraverga - J8</t>
  </si>
  <si>
    <t>3.16.1</t>
  </si>
  <si>
    <t>Bancada em granito cinza andorinha</t>
  </si>
  <si>
    <t>3.16.2</t>
  </si>
  <si>
    <t>Divisória</t>
  </si>
  <si>
    <t>Luminaria com lampada de led 20w</t>
  </si>
  <si>
    <t>Tomada dupla</t>
  </si>
  <si>
    <t>Interruptor 1t</t>
  </si>
  <si>
    <t>Interruptor 2t</t>
  </si>
  <si>
    <t>Interruptor 3t</t>
  </si>
  <si>
    <t xml:space="preserve">Caixa 4 x 2 </t>
  </si>
  <si>
    <t>Caixa 4 x 3</t>
  </si>
  <si>
    <t>Cabo 10mm</t>
  </si>
  <si>
    <t>Cabo 6mm</t>
  </si>
  <si>
    <t>Cabo 2,5mm</t>
  </si>
  <si>
    <t>Eletroduto 25mm</t>
  </si>
  <si>
    <t>Eletroduto 32mm</t>
  </si>
  <si>
    <t>Quadro de distribuição 30 circuitos</t>
  </si>
  <si>
    <t>Refletor 200w</t>
  </si>
  <si>
    <t>Eletroduto 85mm</t>
  </si>
  <si>
    <t>Eletrocalha</t>
  </si>
  <si>
    <t>Caixa de passagem</t>
  </si>
  <si>
    <t>Tubo de 100mm</t>
  </si>
  <si>
    <t>Tubo de 50mm</t>
  </si>
  <si>
    <t>Tubo de 40mm</t>
  </si>
  <si>
    <t>Joelho 45º 100mm</t>
  </si>
  <si>
    <t>Joelho 45º 50mm</t>
  </si>
  <si>
    <t>Joelho 45º 40mm</t>
  </si>
  <si>
    <t>Joelho 100mm</t>
  </si>
  <si>
    <t>Jolho 50mm</t>
  </si>
  <si>
    <t>Joelho 40mm</t>
  </si>
  <si>
    <t>Conexão y 100/100</t>
  </si>
  <si>
    <t>Conexão y 100/50</t>
  </si>
  <si>
    <t>Te 100/100</t>
  </si>
  <si>
    <t>Te 100/50</t>
  </si>
  <si>
    <t>Te 50/50</t>
  </si>
  <si>
    <t>Te 40/40</t>
  </si>
  <si>
    <t>Redução 100/50</t>
  </si>
  <si>
    <t>Redução 50/40</t>
  </si>
  <si>
    <t>Caixa sifonada 150mm</t>
  </si>
  <si>
    <t>Copo sifonado</t>
  </si>
  <si>
    <t>Vaso sanitario</t>
  </si>
  <si>
    <t>Lavatório de louça branca suspenso</t>
  </si>
  <si>
    <t>wcs pcd</t>
  </si>
  <si>
    <t>Cuba circular</t>
  </si>
  <si>
    <t>Mictorio</t>
  </si>
  <si>
    <t>Bacia sanitaria pcd</t>
  </si>
  <si>
    <t>Tubo de 110mm</t>
  </si>
  <si>
    <t>Tubo de 75mm</t>
  </si>
  <si>
    <t>Tubo de 65mm</t>
  </si>
  <si>
    <t>Tubo de 32mm</t>
  </si>
  <si>
    <t>Tubo de 25mm</t>
  </si>
  <si>
    <t>Joelho 110mm</t>
  </si>
  <si>
    <t>Joelho 75mm</t>
  </si>
  <si>
    <t>Joelho 65mm</t>
  </si>
  <si>
    <t>Joelho 50mm</t>
  </si>
  <si>
    <t>Joelho 32mm</t>
  </si>
  <si>
    <t>Joelho 25mm</t>
  </si>
  <si>
    <t>Te 110mm</t>
  </si>
  <si>
    <t>Te 75mm</t>
  </si>
  <si>
    <t>Te  65mm</t>
  </si>
  <si>
    <t>Te 50mm</t>
  </si>
  <si>
    <t>Te 40mm</t>
  </si>
  <si>
    <t>Te 32mm</t>
  </si>
  <si>
    <t>Te 25mm</t>
  </si>
  <si>
    <t>Luva 110mm</t>
  </si>
  <si>
    <t>Luva  75mm</t>
  </si>
  <si>
    <t>Luva  65mm</t>
  </si>
  <si>
    <t>Luva  50mm</t>
  </si>
  <si>
    <t>Luva  40mm</t>
  </si>
  <si>
    <t>Luva  32mm</t>
  </si>
  <si>
    <t>Luva  25mm</t>
  </si>
  <si>
    <t>Joelho LR  25mm Latão</t>
  </si>
  <si>
    <t>Te LR 25mm Latão</t>
  </si>
  <si>
    <t>Luva LR 25 Latão</t>
  </si>
  <si>
    <t>Luva rosca invertida 25mm</t>
  </si>
  <si>
    <t>Registro de presão 25mm</t>
  </si>
  <si>
    <t>Registro de gaveta 25mm</t>
  </si>
  <si>
    <t>Registro de gaveto do tipo esfera 40mm</t>
  </si>
  <si>
    <t>Engate 50cm</t>
  </si>
  <si>
    <t>Torneira lavatorio</t>
  </si>
  <si>
    <t xml:space="preserve">Ducha </t>
  </si>
  <si>
    <t>Chuveiro</t>
  </si>
  <si>
    <t>Fita veda rosca 10m</t>
  </si>
  <si>
    <t>Cola 75g</t>
  </si>
  <si>
    <t>tubo</t>
  </si>
  <si>
    <t>Papeleira</t>
  </si>
  <si>
    <t>Saboneteira</t>
  </si>
  <si>
    <t>Porta papel-toalha</t>
  </si>
  <si>
    <t>3.16.3</t>
  </si>
  <si>
    <t>Espelho</t>
  </si>
  <si>
    <r>
      <rPr>
        <rFont val="Quattrocento Sans"/>
        <color theme="1"/>
        <sz val="11.0"/>
      </rPr>
      <t>Trata-se de memória de cálculo, ou memorial de cálculo, que é um documento que fica anexo ao projeto de construção civil,</t>
    </r>
    <r>
      <rPr>
        <rFont val="Segoe UI"/>
        <color theme="1"/>
        <sz val="11.0"/>
      </rPr>
      <t> e seu principal objetivo é fornecer, de forma detalhada, todos os cálculos que foram efetuados até alcançar o resultado final</t>
    </r>
    <r>
      <rPr>
        <rFont val="Segoe UI"/>
        <color theme="1"/>
        <sz val="11.0"/>
      </rPr>
      <t>, que também deve estar presente no documento.</t>
    </r>
  </si>
  <si>
    <t>Apiloamento</t>
  </si>
  <si>
    <t>Concreto magro</t>
  </si>
  <si>
    <t xml:space="preserve">Arranque de Pilares 25 x 30cm </t>
  </si>
  <si>
    <t xml:space="preserve">Pilares 25 x 30cm </t>
  </si>
  <si>
    <t>m132</t>
  </si>
  <si>
    <t>Sapatas</t>
  </si>
  <si>
    <t>Cintas 0,14* 0,30 m</t>
  </si>
  <si>
    <t>Reaterro</t>
  </si>
  <si>
    <t>Aterro</t>
  </si>
  <si>
    <t>Fator de adensamento 1,5</t>
  </si>
  <si>
    <t>Regularizaçao</t>
  </si>
  <si>
    <t>Porcelanto</t>
  </si>
  <si>
    <t>Incluindo perdas</t>
  </si>
  <si>
    <t>Alvenria 14cm</t>
  </si>
  <si>
    <t>Vigas 0,14 x 0,25 m</t>
  </si>
  <si>
    <t>COEFICIENTE</t>
  </si>
  <si>
    <t>REAPROVEITAMENTO</t>
  </si>
  <si>
    <t>Forma Fundação</t>
  </si>
  <si>
    <r>
      <rPr>
        <rFont val="Arial"/>
        <color rgb="FF474747"/>
        <sz val="8.0"/>
      </rPr>
      <t>A área de forma levantada, deverá estar </t>
    </r>
    <r>
      <rPr>
        <rFont val="Arial"/>
        <color rgb="FF040C28"/>
        <sz val="8.0"/>
      </rPr>
      <t>entre 10 e 14 m² por m³ do concreto estrutural empregado</t>
    </r>
    <r>
      <rPr>
        <rFont val="Arial"/>
        <color rgb="FF474747"/>
        <sz val="8.0"/>
      </rPr>
      <t>. Aproveitamentamento 4 vezes.</t>
    </r>
  </si>
  <si>
    <t>Forma Infraestrutura</t>
  </si>
  <si>
    <t>Forma Superestrutura</t>
  </si>
  <si>
    <t>TOTAL KG</t>
  </si>
  <si>
    <t>Aço CA 50 Fundação</t>
  </si>
  <si>
    <t>Adotado 80 kg por m³</t>
  </si>
  <si>
    <t>Aço CA 50 Infraestrutura</t>
  </si>
  <si>
    <t>Aço CA 50 Superestrutura</t>
  </si>
  <si>
    <t>Aço CA 50 Laje</t>
  </si>
  <si>
    <t>Adotado 12kg por m²</t>
  </si>
  <si>
    <t xml:space="preserve">Calha no concreto </t>
  </si>
  <si>
    <t>Impermeabilização com manta 3mm a quente</t>
  </si>
  <si>
    <t>Impermeabilização com primer</t>
  </si>
  <si>
    <t>Cahapisco</t>
  </si>
  <si>
    <t>Pintura externa</t>
  </si>
  <si>
    <t>Revestimento  cerâmico</t>
  </si>
  <si>
    <t>Rejunte</t>
  </si>
  <si>
    <t>Esquadria aluminio porta 90cm</t>
  </si>
  <si>
    <t>Esquadria vidro temperado 10mm</t>
  </si>
  <si>
    <t>Esquadria aluminio porta</t>
  </si>
  <si>
    <t>Esquadria aluminio porta 60cm</t>
  </si>
  <si>
    <t>Esquadria aluminio janela vidro e aluminio</t>
  </si>
  <si>
    <t>Cobogo em premoldado regional</t>
  </si>
  <si>
    <t>Vidro 6mm</t>
  </si>
  <si>
    <t>Instalação de ar split 24000 btus</t>
  </si>
  <si>
    <t>Instalação de ar split 3000 btus</t>
  </si>
  <si>
    <t>Drenagem 25mm</t>
  </si>
  <si>
    <t>m131</t>
  </si>
  <si>
    <t>Lavatório de louça braca</t>
  </si>
  <si>
    <t>Porta toalhas</t>
  </si>
  <si>
    <t>SALA DE AULA</t>
  </si>
  <si>
    <r>
      <rPr>
        <rFont val="Quattrocento Sans"/>
        <color theme="1"/>
        <sz val="11.0"/>
      </rPr>
      <t>Trata-se de memória de cálculo, ou memorial de cálculo, que é um documento que fica anexo ao projeto de construção civil,</t>
    </r>
    <r>
      <rPr>
        <rFont val="Segoe UI"/>
        <color theme="1"/>
        <sz val="11.0"/>
      </rPr>
      <t> e seu principal objetivo é fornecer, de forma detalhada, todos os cálculos que foram efetuados até alcançar o resultado final</t>
    </r>
    <r>
      <rPr>
        <rFont val="Segoe UI"/>
        <color theme="1"/>
        <sz val="11.0"/>
      </rPr>
      <t>, que também deve estar presente no documento.</t>
    </r>
  </si>
  <si>
    <t>Área de preparo</t>
  </si>
  <si>
    <t>Vol sap</t>
  </si>
  <si>
    <t>Vol Escavação VB + Sap</t>
  </si>
  <si>
    <t>Magro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</si>
  <si>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</si>
  <si>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</si>
  <si>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</si>
  <si>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</si>
  <si>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</si>
  <si>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</si>
  <si>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</si>
  <si>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</si>
  <si>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</si>
  <si>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</si>
  <si>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</si>
  <si>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</si>
  <si>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</si>
  <si>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</si>
  <si>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</si>
  <si>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</si>
  <si>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</si>
  <si>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</si>
  <si>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</si>
  <si>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</si>
  <si>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</si>
  <si>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</si>
  <si>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</si>
  <si>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</si>
  <si>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</si>
  <si>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S26</t>
  </si>
  <si>
    <t>S27</t>
  </si>
  <si>
    <t>S28</t>
  </si>
  <si>
    <t>S29</t>
  </si>
  <si>
    <t>S30</t>
  </si>
  <si>
    <t>S31</t>
  </si>
  <si>
    <t>S32</t>
  </si>
  <si>
    <t>S33</t>
  </si>
  <si>
    <t>S34</t>
  </si>
  <si>
    <t>S35</t>
  </si>
  <si>
    <t>S36</t>
  </si>
  <si>
    <t>S37</t>
  </si>
  <si>
    <t>S38</t>
  </si>
  <si>
    <t>S39</t>
  </si>
  <si>
    <t>S40</t>
  </si>
  <si>
    <t>S41</t>
  </si>
  <si>
    <t>S42</t>
  </si>
  <si>
    <t>S43</t>
  </si>
  <si>
    <t>S44</t>
  </si>
  <si>
    <t>S45</t>
  </si>
  <si>
    <t>S46</t>
  </si>
  <si>
    <t>S47</t>
  </si>
  <si>
    <t>S48</t>
  </si>
  <si>
    <t>S49</t>
  </si>
  <si>
    <t>S50</t>
  </si>
  <si>
    <t>S51</t>
  </si>
  <si>
    <t>S52</t>
  </si>
  <si>
    <t>S53</t>
  </si>
  <si>
    <t>S54</t>
  </si>
  <si>
    <t>S55</t>
  </si>
  <si>
    <t>S56</t>
  </si>
  <si>
    <t>S57</t>
  </si>
  <si>
    <t>S58</t>
  </si>
  <si>
    <t>S59</t>
  </si>
  <si>
    <t>S60</t>
  </si>
  <si>
    <t>S61</t>
  </si>
  <si>
    <t>S62</t>
  </si>
  <si>
    <t>S63</t>
  </si>
  <si>
    <t>S64</t>
  </si>
  <si>
    <t>S65</t>
  </si>
  <si>
    <t>S66</t>
  </si>
  <si>
    <t>S67</t>
  </si>
  <si>
    <t>S68</t>
  </si>
  <si>
    <t>S69</t>
  </si>
  <si>
    <t>S70</t>
  </si>
  <si>
    <t>S71</t>
  </si>
  <si>
    <t>S72</t>
  </si>
  <si>
    <t>S73</t>
  </si>
  <si>
    <t>S74</t>
  </si>
  <si>
    <t>S75</t>
  </si>
  <si>
    <t>S76</t>
  </si>
  <si>
    <t>S77</t>
  </si>
  <si>
    <t>S78</t>
  </si>
  <si>
    <t>S79</t>
  </si>
  <si>
    <t>S80</t>
  </si>
  <si>
    <t>S81</t>
  </si>
  <si>
    <t>S82</t>
  </si>
  <si>
    <t>S83</t>
  </si>
  <si>
    <t>S84</t>
  </si>
  <si>
    <t>S85</t>
  </si>
  <si>
    <t>S86</t>
  </si>
  <si>
    <t>S87</t>
  </si>
  <si>
    <t>S88</t>
  </si>
  <si>
    <t>S89</t>
  </si>
  <si>
    <t>S90</t>
  </si>
  <si>
    <t>S91</t>
  </si>
  <si>
    <t>S92</t>
  </si>
  <si>
    <t>S93</t>
  </si>
  <si>
    <t>S94</t>
  </si>
  <si>
    <t>S95</t>
  </si>
  <si>
    <t>S96</t>
  </si>
  <si>
    <t>S97</t>
  </si>
  <si>
    <t>S98</t>
  </si>
  <si>
    <t>S99</t>
  </si>
  <si>
    <t>S100</t>
  </si>
  <si>
    <t>S101</t>
  </si>
  <si>
    <t>S102</t>
  </si>
  <si>
    <t>S103</t>
  </si>
  <si>
    <t>S104</t>
  </si>
  <si>
    <t>S105</t>
  </si>
  <si>
    <t>S106</t>
  </si>
  <si>
    <t>S107</t>
  </si>
  <si>
    <t>S108</t>
  </si>
  <si>
    <t>S109</t>
  </si>
  <si>
    <t>S110</t>
  </si>
  <si>
    <t>S111</t>
  </si>
  <si>
    <t>S112</t>
  </si>
  <si>
    <t>S113</t>
  </si>
  <si>
    <t>impermeab</t>
  </si>
  <si>
    <t>VB1</t>
  </si>
  <si>
    <t>VB2</t>
  </si>
  <si>
    <t>VB3</t>
  </si>
  <si>
    <t>VB4</t>
  </si>
  <si>
    <t>VB5</t>
  </si>
  <si>
    <t>VB6</t>
  </si>
  <si>
    <t>VB7</t>
  </si>
  <si>
    <t>VB8</t>
  </si>
  <si>
    <t>VB9</t>
  </si>
  <si>
    <t>VB10</t>
  </si>
  <si>
    <t>VB11</t>
  </si>
  <si>
    <t>VB12</t>
  </si>
  <si>
    <t>VB13</t>
  </si>
  <si>
    <t>VB14</t>
  </si>
  <si>
    <t>VB15</t>
  </si>
  <si>
    <t>VB16</t>
  </si>
  <si>
    <t>VB18</t>
  </si>
  <si>
    <t>VB135</t>
  </si>
  <si>
    <t>VB136</t>
  </si>
  <si>
    <t>VB137</t>
  </si>
  <si>
    <t>VB139</t>
  </si>
  <si>
    <t>VB144</t>
  </si>
  <si>
    <t>VB145</t>
  </si>
  <si>
    <t>VB146</t>
  </si>
  <si>
    <t>VB147</t>
  </si>
  <si>
    <t>VB148</t>
  </si>
  <si>
    <t>VB149</t>
  </si>
  <si>
    <t>VB154</t>
  </si>
  <si>
    <t>VB155</t>
  </si>
  <si>
    <t>VB156</t>
  </si>
  <si>
    <t>VB157</t>
  </si>
  <si>
    <t>VB158</t>
  </si>
  <si>
    <t>VB160</t>
  </si>
  <si>
    <t>VB163</t>
  </si>
  <si>
    <t>VB165</t>
  </si>
  <si>
    <t>VB167</t>
  </si>
  <si>
    <t>VB169</t>
  </si>
  <si>
    <t>VB170</t>
  </si>
  <si>
    <t>VB175a</t>
  </si>
  <si>
    <t>VB175b</t>
  </si>
  <si>
    <t>VB175c</t>
  </si>
  <si>
    <t>VB176a</t>
  </si>
  <si>
    <t>VB176b</t>
  </si>
  <si>
    <t>VB180a</t>
  </si>
  <si>
    <t>VB180b</t>
  </si>
  <si>
    <t>VB180c</t>
  </si>
  <si>
    <t>VB181</t>
  </si>
  <si>
    <t>VB185</t>
  </si>
  <si>
    <t>VB189</t>
  </si>
  <si>
    <t>VB190</t>
  </si>
  <si>
    <t>VB194</t>
  </si>
  <si>
    <t>VB248</t>
  </si>
  <si>
    <t>VB249</t>
  </si>
  <si>
    <t>VB250</t>
  </si>
  <si>
    <t>VB251</t>
  </si>
  <si>
    <t>Cintas 0,14* 0,40 m</t>
  </si>
  <si>
    <t>Regularização - wc</t>
  </si>
  <si>
    <t>Revestimento cerâmico térreo - Salas</t>
  </si>
  <si>
    <t>Revestimento cerâmico térreo - wc</t>
  </si>
  <si>
    <t>Revestimento cerâmico térreo - Circulação</t>
  </si>
  <si>
    <t>Revestimento cerâmico superior - Salas</t>
  </si>
  <si>
    <t>Revestimento cerâmico superior - wc</t>
  </si>
  <si>
    <t>Revestimento cerâmico superior - Circulação</t>
  </si>
  <si>
    <t>Rodapé cerâmico - Circulação</t>
  </si>
  <si>
    <t>Soleira P1 e p2</t>
  </si>
  <si>
    <t>Vigas 0,14 x 0,45 m</t>
  </si>
  <si>
    <t>Vigas 0,14 x 0,4 m platibanda</t>
  </si>
  <si>
    <r>
      <rPr>
        <rFont val="Arial"/>
        <color rgb="FF474747"/>
        <sz val="8.0"/>
      </rPr>
      <t>A área de forma levantada, deverá estar </t>
    </r>
    <r>
      <rPr>
        <rFont val="Arial"/>
        <color rgb="FF040C28"/>
        <sz val="8.0"/>
      </rPr>
      <t>entre 10 e 14 m² por m³ do concreto estrutural empregado</t>
    </r>
    <r>
      <rPr>
        <rFont val="Arial"/>
        <color rgb="FF474747"/>
        <sz val="8.0"/>
      </rPr>
      <t>. Aproveitamentamento 4 vezes.</t>
    </r>
  </si>
  <si>
    <t>Forma vigas</t>
  </si>
  <si>
    <t>quant</t>
  </si>
  <si>
    <t>compri</t>
  </si>
  <si>
    <t>altura</t>
  </si>
  <si>
    <t>base</t>
  </si>
  <si>
    <t>Vigas horizontais</t>
  </si>
  <si>
    <t>m2</t>
  </si>
  <si>
    <t>vigas verticais</t>
  </si>
  <si>
    <t>total vigas</t>
  </si>
  <si>
    <t>Alvenria 9cm - térreo</t>
  </si>
  <si>
    <t>Alvenria 9cm - superior</t>
  </si>
  <si>
    <t>Alvenria 9cm - platibanda</t>
  </si>
  <si>
    <t xml:space="preserve">Estrutura metálica </t>
  </si>
  <si>
    <t>4.6.7 e 4.6.8</t>
  </si>
  <si>
    <t xml:space="preserve">Estrutura metálica - Pintura </t>
  </si>
  <si>
    <t>Cumeeira</t>
  </si>
  <si>
    <t xml:space="preserve">Calha </t>
  </si>
  <si>
    <t>Impermeabilização com argamassa polimerica - wc masculino e feminino</t>
  </si>
  <si>
    <t>Impermeabilização com argamassa polimerica - wc pcd</t>
  </si>
  <si>
    <t>Forro de PVC - Térreo salas</t>
  </si>
  <si>
    <t>Forro de PVC - Térreo banheiros</t>
  </si>
  <si>
    <t>Forro de PVC - Térreo circulação</t>
  </si>
  <si>
    <t>Forro de PVC - Superior salas</t>
  </si>
  <si>
    <t>Forro de PVC - Superior banheiros</t>
  </si>
  <si>
    <t>Forro de PVC - Superior circulação</t>
  </si>
  <si>
    <t>Chapisco interno térreo - Salas</t>
  </si>
  <si>
    <t>Chapisco interno térreo - Circulação</t>
  </si>
  <si>
    <t>Chapisco interno térreo - wc masculino e feminino</t>
  </si>
  <si>
    <t>Chapisco interno térreo - wc pcd</t>
  </si>
  <si>
    <t>Chapisco interno superior - Salas</t>
  </si>
  <si>
    <t>Chapisco interno superior - Circulação</t>
  </si>
  <si>
    <t>Chapisco interno superior - wc masculino e feminino</t>
  </si>
  <si>
    <t>Chapisco interno superior - wc pcd</t>
  </si>
  <si>
    <t>Chapisco externo - platibanda face interna</t>
  </si>
  <si>
    <t>Chapisco externo - fachadas</t>
  </si>
  <si>
    <t>Chapisco externo - pilares fachada</t>
  </si>
  <si>
    <t>Chapisco teto - lajes cobertura</t>
  </si>
  <si>
    <t>Reboco interno térreo - Salas</t>
  </si>
  <si>
    <t>Reboco interno térreo - Circulação</t>
  </si>
  <si>
    <t>Reboco interno térreo - wc masculino e feminino</t>
  </si>
  <si>
    <t>Reboco interno térreo - wc pcd</t>
  </si>
  <si>
    <t>Reboco interno superior - Salas</t>
  </si>
  <si>
    <t>Reboco interno superior - Circulação</t>
  </si>
  <si>
    <t>Reboco interno superior - wc masculino e feminino</t>
  </si>
  <si>
    <t>Reboco interno superior - wc pcd</t>
  </si>
  <si>
    <t>Reboco externo - platibanda face interna</t>
  </si>
  <si>
    <t>Reboco externo - fachadas</t>
  </si>
  <si>
    <t>Reboco externo - pilares fachada</t>
  </si>
  <si>
    <t>Reboco teto - lajes cobertura</t>
  </si>
  <si>
    <t>4.15.1 a 4.15.3</t>
  </si>
  <si>
    <t>Pintura interna térreo - Circulação</t>
  </si>
  <si>
    <t xml:space="preserve">Pintura interna térreo - Salas </t>
  </si>
  <si>
    <t>Pintura interna superior - Circulação</t>
  </si>
  <si>
    <t xml:space="preserve">Pintura interna superior - Salas </t>
  </si>
  <si>
    <t xml:space="preserve">Revestimento  cerâmico interno 60x60 térreo - Salas </t>
  </si>
  <si>
    <t xml:space="preserve">Revestimento  cerâmico interno 60x60 superior  - Salas </t>
  </si>
  <si>
    <t>Revestimento  cerâmico interno 60x60  térreo - wc feminino e masculino</t>
  </si>
  <si>
    <t>Revestimento  cerâmico interno 60x60  térreo - wc pcd</t>
  </si>
  <si>
    <t>Revestimento  cerâmico interno 60x60  superior - wc feminino e masculino</t>
  </si>
  <si>
    <t>Revestimento  cerâmico interno 60x60  superior - wc pcd</t>
  </si>
  <si>
    <t>Revestimento cerâmico externo 10x10 - platibanda</t>
  </si>
  <si>
    <t>Revestimento cerâmico externo 10x10 - fachadas</t>
  </si>
  <si>
    <t>Revestimento cerâmico externo 10x10 - lajes cobertura</t>
  </si>
  <si>
    <t>Casquilho cerâmico - pilares fachada</t>
  </si>
  <si>
    <t>PERÍMETRO</t>
  </si>
  <si>
    <t>Esquadria aluminio porta P1</t>
  </si>
  <si>
    <t>Esquadria aluminio porta P2</t>
  </si>
  <si>
    <t>Esquadria aluminio porta P3</t>
  </si>
  <si>
    <t>Contramarco</t>
  </si>
  <si>
    <t xml:space="preserve">Cobogo </t>
  </si>
  <si>
    <t>4.16.3</t>
  </si>
  <si>
    <t>Bancada em granito cinza andorinha wc feminino e masculino</t>
  </si>
  <si>
    <t>Testeira/respaldo das bancadas</t>
  </si>
  <si>
    <t>Cabo 4mm</t>
  </si>
  <si>
    <r>
      <rPr>
        <rFont val="Quattrocento Sans"/>
        <color theme="1"/>
        <sz val="11.0"/>
      </rPr>
      <t>Trata-se de memória de cálculo, ou memorial de cálculo, que é um documento que fica anexo ao projeto de construção civil,</t>
    </r>
    <r>
      <rPr>
        <rFont val="Segoe UI"/>
        <color theme="1"/>
        <sz val="11.0"/>
      </rPr>
      <t> e seu principal objetivo é fornecer, de forma detalhada, todos os cálculos que foram efetuados até alcançar o resultado final</t>
    </r>
    <r>
      <rPr>
        <rFont val="Segoe UI"/>
        <color theme="1"/>
        <sz val="11.0"/>
      </rPr>
      <t>, que também deve estar presente no documento.</t>
    </r>
  </si>
  <si>
    <t>INFRAESTRUTURA</t>
  </si>
  <si>
    <t>ELEMENTO</t>
  </si>
  <si>
    <t>QTD</t>
  </si>
  <si>
    <t>COMP</t>
  </si>
  <si>
    <t>LARG</t>
  </si>
  <si>
    <t>ALT (forma)</t>
  </si>
  <si>
    <t>ALT (escav)</t>
  </si>
  <si>
    <t>VOLUME (escav)</t>
  </si>
  <si>
    <t>ÁREA (prep)</t>
  </si>
  <si>
    <t xml:space="preserve">ÁREA (forma) </t>
  </si>
  <si>
    <t>ÁREA (impermeabilização)</t>
  </si>
  <si>
    <t xml:space="preserve">ÁREA (escav) </t>
  </si>
  <si>
    <t>B1=B2=B3=B7=B9=B52=B54=B55=B61=B62=B66</t>
  </si>
  <si>
    <t>B4=B5=B8=B23=B24=B27=B40=B47=B57=B59=B64</t>
  </si>
  <si>
    <t>B6</t>
  </si>
  <si>
    <t>B10=B11=B12=B13=B14=B15=B18=B53=B60=B63=B77=B78=B80=B94=B96=B110=B111=B113</t>
  </si>
  <si>
    <t>B16=B19=B50=B51=B71=B72=B73=B74=B75=B76=B79=B81=B82=B83=B84=B85=B86=B87=B88=B92
=B95=B97=B98=B102=B103=B104=B105=B106=B107=B108=B109=B112=B114=B115=B116=B117</t>
  </si>
  <si>
    <t xml:space="preserve">B17=B20=B21=B22=B25=B26=B28=B29=B30=B31=B32=B33=B34=B35=B36=B37=B38=B39=B41=B45=B46=B48=B49=B89=B90=B91=B99=B100=B101
</t>
  </si>
  <si>
    <t>B42</t>
  </si>
  <si>
    <t>B43=B44</t>
  </si>
  <si>
    <t>B56=B58=B65=B93</t>
  </si>
  <si>
    <t>Pilares 35x80</t>
  </si>
  <si>
    <t>Pilares 18x30</t>
  </si>
  <si>
    <t>Pilares 20x20</t>
  </si>
  <si>
    <t>Pilares 20x30</t>
  </si>
  <si>
    <t>Pilares 20x40</t>
  </si>
  <si>
    <t>Pilares 25x50</t>
  </si>
  <si>
    <t>Pilares 25x35</t>
  </si>
  <si>
    <t>Pilares 25x25</t>
  </si>
  <si>
    <t>Impermeabilização pilares e baldrames</t>
  </si>
  <si>
    <t>Preparo fundo de vala baldrames e blocos</t>
  </si>
  <si>
    <t>Escavação baldrames</t>
  </si>
  <si>
    <t>Escavação blocos</t>
  </si>
  <si>
    <t>Magro baldrames e blocos</t>
  </si>
  <si>
    <t>Forma baldrames</t>
  </si>
  <si>
    <t>Concreto baldrames</t>
  </si>
  <si>
    <t>Forma tronco de pilar</t>
  </si>
  <si>
    <t>Concreto tronco de pilar,</t>
  </si>
  <si>
    <t>Forma blocos de coroamento</t>
  </si>
  <si>
    <t>Concreto Blocos de coroamento</t>
  </si>
  <si>
    <t>bitola</t>
  </si>
  <si>
    <t>kg/m</t>
  </si>
  <si>
    <t>Aço vigas baldrames</t>
  </si>
  <si>
    <t>5.0</t>
  </si>
  <si>
    <t>Aço tronco de pilares</t>
  </si>
  <si>
    <t>16.0</t>
  </si>
  <si>
    <t>Aço blocos de coroamento</t>
  </si>
  <si>
    <t>Quantitativos do blocos de coroamento foram estimado por Pablo</t>
  </si>
  <si>
    <t>seção</t>
  </si>
  <si>
    <t>comprimento</t>
  </si>
  <si>
    <t>comp total</t>
  </si>
  <si>
    <t>Estacas</t>
  </si>
  <si>
    <t>qtd</t>
  </si>
  <si>
    <t>comp</t>
  </si>
  <si>
    <t xml:space="preserve">kg </t>
  </si>
  <si>
    <t>Aço estacas</t>
  </si>
  <si>
    <r>
      <rPr>
        <rFont val="Arial"/>
        <color rgb="FF474747"/>
        <sz val="8.0"/>
      </rPr>
      <t>A área de forma levantada, deverá estar </t>
    </r>
    <r>
      <rPr>
        <rFont val="Arial"/>
        <color rgb="FF040C28"/>
        <sz val="8.0"/>
      </rPr>
      <t>entre 10 e 14 m² por m³ do concreto estrutural empregado</t>
    </r>
    <r>
      <rPr>
        <rFont val="Arial"/>
        <color rgb="FF474747"/>
        <sz val="8.0"/>
      </rPr>
      <t>. Aproveitamentamento 4 vezes.</t>
    </r>
  </si>
  <si>
    <r>
      <rPr>
        <rFont val="Quattrocento Sans"/>
        <color theme="1"/>
        <sz val="11.0"/>
      </rPr>
      <t>Trata-se de memória de cálculo, ou memorial de cálculo, que é um documento que fica anexo ao projeto de construção civil,</t>
    </r>
    <r>
      <rPr>
        <rFont val="Segoe UI"/>
        <color theme="1"/>
        <sz val="11.0"/>
      </rPr>
      <t> e seu principal objetivo é fornecer, de forma detalhada, todos os cálculos que foram efetuados até alcançar o resultado final</t>
    </r>
    <r>
      <rPr>
        <rFont val="Segoe UI"/>
        <color theme="1"/>
        <sz val="11.0"/>
      </rPr>
      <t>, que também deve estar presente no documento.</t>
    </r>
  </si>
  <si>
    <r>
      <rPr>
        <rFont val="Arial"/>
        <color rgb="FF474747"/>
        <sz val="8.0"/>
      </rPr>
      <t>A área de forma levantada, deverá estar </t>
    </r>
    <r>
      <rPr>
        <rFont val="Arial"/>
        <color rgb="FF040C28"/>
        <sz val="8.0"/>
      </rPr>
      <t>entre 10 e 14 m² por m³ do concreto estrutural empregado</t>
    </r>
    <r>
      <rPr>
        <rFont val="Arial"/>
        <color rgb="FF474747"/>
        <sz val="8.0"/>
      </rPr>
      <t>. Aproveitamentamento 4 vezes.</t>
    </r>
  </si>
  <si>
    <t>AUDITÓRIO</t>
  </si>
  <si>
    <r>
      <rPr>
        <rFont val="Quattrocento Sans"/>
        <color theme="1"/>
        <sz val="11.0"/>
      </rPr>
      <t>Trata-se de memória de cálculo, ou memorial de cálculo, que é um documento que fica anexo ao projeto de construção civil,</t>
    </r>
    <r>
      <rPr>
        <rFont val="Segoe UI"/>
        <color theme="1"/>
        <sz val="11.0"/>
      </rPr>
      <t> e seu principal objetivo é fornecer, de forma detalhada, todos os cálculos que foram efetuados até alcançar o resultado final</t>
    </r>
    <r>
      <rPr>
        <rFont val="Segoe UI"/>
        <color theme="1"/>
        <sz val="11.0"/>
      </rPr>
      <t>, que também deve estar presente no documento.</t>
    </r>
  </si>
  <si>
    <t>S2=S8=S10</t>
  </si>
  <si>
    <t>S3=S9=S26</t>
  </si>
  <si>
    <t xml:space="preserve">S5=S16=S20=S21=S22
</t>
  </si>
  <si>
    <t>S11=S12</t>
  </si>
  <si>
    <t xml:space="preserve">S14=S18=S19=S23
</t>
  </si>
  <si>
    <t>S15=S17</t>
  </si>
  <si>
    <t>5.1.2.2</t>
  </si>
  <si>
    <t>Preparo fundo de vala sapatas</t>
  </si>
  <si>
    <t>5.1.2.1</t>
  </si>
  <si>
    <t>Escavação sapatas</t>
  </si>
  <si>
    <t>5.1.2.3</t>
  </si>
  <si>
    <t>Magro sapatas</t>
  </si>
  <si>
    <t>Forma sapatas</t>
  </si>
  <si>
    <t>Concreto sapatas e tronco de pilar</t>
  </si>
  <si>
    <t>aço total</t>
  </si>
  <si>
    <t>Aço sapatas</t>
  </si>
  <si>
    <t>8.0</t>
  </si>
  <si>
    <t>5.2.2 a 5.2.5</t>
  </si>
  <si>
    <t>Aço tronco dos pilares</t>
  </si>
  <si>
    <t>V1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</si>
  <si>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</si>
  <si>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</si>
  <si>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</si>
  <si>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</si>
  <si>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</si>
  <si>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</si>
  <si>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</si>
  <si>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</si>
  <si>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</si>
  <si>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</si>
  <si>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</si>
  <si>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</si>
  <si>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</si>
  <si>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</si>
  <si>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</si>
  <si>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</si>
  <si>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</si>
  <si>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</si>
  <si>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Pilares 25x40</t>
  </si>
  <si>
    <t>Pilares 25x60</t>
  </si>
  <si>
    <t>5.13.1</t>
  </si>
  <si>
    <t>Preparo fundo de vala baldrames</t>
  </si>
  <si>
    <t>Magro baldrames</t>
  </si>
  <si>
    <t>Forma vigas baldrames</t>
  </si>
  <si>
    <t>Concreto vigas baldrames</t>
  </si>
  <si>
    <t>kg total</t>
  </si>
  <si>
    <t>5.2.7 a 5.2.9</t>
  </si>
  <si>
    <t>volume escav</t>
  </si>
  <si>
    <t>volume concreto</t>
  </si>
  <si>
    <t>5.1.2.4</t>
  </si>
  <si>
    <t>Aço 8.0 total</t>
  </si>
  <si>
    <t xml:space="preserve">Concreto total </t>
  </si>
  <si>
    <t>SUPERESTRUTURA</t>
  </si>
  <si>
    <t>PILARES</t>
  </si>
  <si>
    <t xml:space="preserve">Forma </t>
  </si>
  <si>
    <t xml:space="preserve">Concreto </t>
  </si>
  <si>
    <t>5..4.4 a 5.4.6</t>
  </si>
  <si>
    <t>Aço</t>
  </si>
  <si>
    <t>VIGAS</t>
  </si>
  <si>
    <t>Concreto total</t>
  </si>
  <si>
    <t>Aço total</t>
  </si>
  <si>
    <t>5.1.1.1</t>
  </si>
  <si>
    <t>M</t>
  </si>
  <si>
    <t>5.1.2.5</t>
  </si>
  <si>
    <t>Lastro (inclusive rampa)</t>
  </si>
  <si>
    <t>Lastro foyer</t>
  </si>
  <si>
    <t>Regularizaçao (inclusive rampa)</t>
  </si>
  <si>
    <t>Regularizaçao foyer</t>
  </si>
  <si>
    <t>Carpete - auditório e palco</t>
  </si>
  <si>
    <t>Carpete - espelhos (degraus)</t>
  </si>
  <si>
    <t>Carpete - sala técnica</t>
  </si>
  <si>
    <t xml:space="preserve">Revestimento cerâmico piso - wc </t>
  </si>
  <si>
    <t>Revestimento cerâmico piso - circulação</t>
  </si>
  <si>
    <t>Revestimento cerâmico piso - wc masculino</t>
  </si>
  <si>
    <t>Revestimento cerâmico piso - wc pcd</t>
  </si>
  <si>
    <t>Revestimento cerâmico piso - wc feminino</t>
  </si>
  <si>
    <t>Revestimento cerâmico piso - foyer</t>
  </si>
  <si>
    <t>Soleira - P1</t>
  </si>
  <si>
    <t>Soleira - P2, P3 e P5</t>
  </si>
  <si>
    <t>Soleira - P4</t>
  </si>
  <si>
    <t>Alvenaria gesso</t>
  </si>
  <si>
    <t>Rufo de topo - auditório</t>
  </si>
  <si>
    <t>Rufo lateral - auditório</t>
  </si>
  <si>
    <t>Rufo de topo - Foyer</t>
  </si>
  <si>
    <t>Rufo lateral - Foyer</t>
  </si>
  <si>
    <t>Trama metalica (ver memória estrutura)</t>
  </si>
  <si>
    <t>5.6.06 e 07</t>
  </si>
  <si>
    <t>Pintura estrutura metálica</t>
  </si>
  <si>
    <t>Telha Termoacustica - auditório</t>
  </si>
  <si>
    <t>Telha Termoacustica - Foyer</t>
  </si>
  <si>
    <t>Calha metálica - auditório</t>
  </si>
  <si>
    <t>Calha metálica - Foyer</t>
  </si>
  <si>
    <t>5.13.2</t>
  </si>
  <si>
    <t>Imp com argamassa polimerica - wc masculino</t>
  </si>
  <si>
    <t>Imp com argamassa polimerica - wc pdc</t>
  </si>
  <si>
    <t>Imp com argamassa polimerica - wc feminino</t>
  </si>
  <si>
    <t>Imp com argamassa polimerica - wc</t>
  </si>
  <si>
    <t>Forro de acústico - auditório e palco</t>
  </si>
  <si>
    <t>Forro de acústico - sala técnica</t>
  </si>
  <si>
    <t>Forro drywall - wc</t>
  </si>
  <si>
    <t>Forro drywall - circulação</t>
  </si>
  <si>
    <t>Forro drywall - wc masculino</t>
  </si>
  <si>
    <t>Forro drywall - wc pcd</t>
  </si>
  <si>
    <t>Forro drywall - wc feminino</t>
  </si>
  <si>
    <t>Chapisco interno - wc masculino</t>
  </si>
  <si>
    <t>Chapisco interno - wc pcd</t>
  </si>
  <si>
    <t>Chapisco interno - wcfeminino</t>
  </si>
  <si>
    <t>Chapisco interno - circulação</t>
  </si>
  <si>
    <t>Chapisco interno - sala técnica</t>
  </si>
  <si>
    <t>Chapisco interno - wc</t>
  </si>
  <si>
    <t>Chapisco interno - auditório</t>
  </si>
  <si>
    <t>Chapisco interno - platibanda</t>
  </si>
  <si>
    <t>Chapisco externo - pilares passarela lateral</t>
  </si>
  <si>
    <t>Chapisco externo - platibanda passarela lateral</t>
  </si>
  <si>
    <t>Chapisco externo - mureta rampa</t>
  </si>
  <si>
    <t>Reboco interno - wc masculino</t>
  </si>
  <si>
    <t>Reboco interno - wc pcd</t>
  </si>
  <si>
    <t>Reboco interno - wcfeminino</t>
  </si>
  <si>
    <t>Reboco interno - circulação</t>
  </si>
  <si>
    <t>Reboco interno - sala técnica</t>
  </si>
  <si>
    <t>Reboco interno - wc</t>
  </si>
  <si>
    <t>Reboco interno - auditório</t>
  </si>
  <si>
    <t>Reboco interno - platibanda</t>
  </si>
  <si>
    <t>Reboco  externo - pilares passarela lateral</t>
  </si>
  <si>
    <t>Reboco  externo - platibanda passarela lateral</t>
  </si>
  <si>
    <t>Reboco externo - mureta rampa</t>
  </si>
  <si>
    <t>5.15.1, 5.15.2 e 5.15.3</t>
  </si>
  <si>
    <t>Pintura interna - circulação</t>
  </si>
  <si>
    <t>Pintura interna - sala técnica</t>
  </si>
  <si>
    <t>Pintura interna - auditório</t>
  </si>
  <si>
    <t>Pintura interna - alvenaria gesso</t>
  </si>
  <si>
    <t>Revestimento cerâmico interno - wc masculino</t>
  </si>
  <si>
    <t>Revestimento cerâmico interno  - wc pcd</t>
  </si>
  <si>
    <t>Revestimento cerâmico interno  - wc feminino</t>
  </si>
  <si>
    <t>Revestimento cerâmico interno  - wc</t>
  </si>
  <si>
    <t>Rev cerâmico externo  - fachadas</t>
  </si>
  <si>
    <t>Rev cerâmico externo - pilares passarela lateral</t>
  </si>
  <si>
    <t>Rev cerâmico externo - platibanda passarela lateral</t>
  </si>
  <si>
    <t>Rev cerâmico externo - mureta rampa</t>
  </si>
  <si>
    <t>Esquadria aluminio P1</t>
  </si>
  <si>
    <t>Esquadria aluminio P2</t>
  </si>
  <si>
    <t xml:space="preserve">Esquadria aluminio P3 </t>
  </si>
  <si>
    <t>Esquadria aluminio P4 (VIDRO)</t>
  </si>
  <si>
    <t>Esquadria aluminio P5 (VIDRO)</t>
  </si>
  <si>
    <t>Esquadria aluminio J01 (2 FOLHAS)</t>
  </si>
  <si>
    <t>Esquadria aluminio J02 (4 FOLHAS)</t>
  </si>
  <si>
    <t>Esquadria aluminio J03  (4 FOLHAS)</t>
  </si>
  <si>
    <t>Contraverga -  J1 a J3</t>
  </si>
  <si>
    <t>Verga - P2</t>
  </si>
  <si>
    <t>Instalação de ar split 12000 btus</t>
  </si>
  <si>
    <t>Instalação de ar split 30000 btus</t>
  </si>
  <si>
    <t>5.16.4</t>
  </si>
  <si>
    <t>Bancada em granito cinza andorinha tipo 01</t>
  </si>
  <si>
    <t>Bancada em granito cinza andorinha tipo 02</t>
  </si>
  <si>
    <t>5.16.5</t>
  </si>
  <si>
    <t>5.16.3</t>
  </si>
  <si>
    <t>Divisória - wc masculino</t>
  </si>
  <si>
    <t>Divisória - wc feminino</t>
  </si>
  <si>
    <t>Luminaria com lampada de led 40w</t>
  </si>
  <si>
    <t>Tomada simples</t>
  </si>
  <si>
    <t>Eletroduto 20mm</t>
  </si>
  <si>
    <t>Cabo coaxial som</t>
  </si>
  <si>
    <t>Caixa de som 500w</t>
  </si>
  <si>
    <t>5.12.3.2</t>
  </si>
  <si>
    <t>Vaso sanitario convencional</t>
  </si>
  <si>
    <t>5.12.3.4</t>
  </si>
  <si>
    <t>5.12.3.1</t>
  </si>
  <si>
    <t>5.12.3.5</t>
  </si>
  <si>
    <t>5.12.3.3</t>
  </si>
  <si>
    <t>5.12.4.1</t>
  </si>
  <si>
    <t>5.12.4.9</t>
  </si>
  <si>
    <t>Torneira pia</t>
  </si>
  <si>
    <t>5.12.4.7</t>
  </si>
  <si>
    <t>5.12.4.5</t>
  </si>
  <si>
    <t>5.12.4.4</t>
  </si>
  <si>
    <t>5.12.4.6</t>
  </si>
  <si>
    <t>Porta papel higiênico</t>
  </si>
  <si>
    <t>5.16.2</t>
  </si>
  <si>
    <t>Espelho wc pcd</t>
  </si>
  <si>
    <t>Espelho - wc feminino e masculino</t>
  </si>
  <si>
    <t xml:space="preserve">Espelho - wc </t>
  </si>
  <si>
    <t>5.16.1</t>
  </si>
  <si>
    <t>Corrimão</t>
  </si>
  <si>
    <r>
      <rPr>
        <rFont val="Quattrocento Sans"/>
        <color theme="1"/>
        <sz val="11.0"/>
      </rPr>
      <t>Trata-se de memória de cálculo, ou memorial de cálculo, que é um documento que fica anexo ao projeto de construção civil,</t>
    </r>
    <r>
      <rPr>
        <rFont val="Segoe UI"/>
        <color theme="1"/>
        <sz val="11.0"/>
      </rPr>
      <t> e seu principal objetivo é fornecer, de forma detalhada, todos os cálculos que foram efetuados até alcançar o resultado final</t>
    </r>
    <r>
      <rPr>
        <rFont val="Segoe UI"/>
        <color theme="1"/>
        <sz val="11.0"/>
      </rPr>
      <t>, que também deve estar presente no documento.</t>
    </r>
  </si>
  <si>
    <t>VOLUME (concreto)</t>
  </si>
  <si>
    <t>S20=S22</t>
  </si>
  <si>
    <t>B1=B4=B14=B15=B17=B18=B19=B23=B25=B26=B27</t>
  </si>
  <si>
    <t>Preparo fundo de vala blocos e sapatas</t>
  </si>
  <si>
    <t>Escavação blocos e sapatas</t>
  </si>
  <si>
    <t>Magro blocos e sapatas</t>
  </si>
  <si>
    <t>Forma blocos</t>
  </si>
  <si>
    <t>Forma tronco pilar</t>
  </si>
  <si>
    <t>Concreto blocos</t>
  </si>
  <si>
    <t>Concreto sapatas</t>
  </si>
  <si>
    <t>Aço Blocos</t>
  </si>
  <si>
    <t>10.0</t>
  </si>
  <si>
    <r>
      <rPr>
        <rFont val="Quattrocento Sans"/>
        <color theme="1"/>
        <sz val="11.0"/>
      </rPr>
      <t>Trata-se de memória de cálculo, ou memorial de cálculo, que é um documento que fica anexo ao projeto de construção civil,</t>
    </r>
    <r>
      <rPr>
        <rFont val="Segoe UI"/>
        <color theme="1"/>
        <sz val="11.0"/>
      </rPr>
      <t> e seu principal objetivo é fornecer, de forma detalhada, todos os cálculos que foram efetuados até alcançar o resultado final</t>
    </r>
    <r>
      <rPr>
        <rFont val="Segoe UI"/>
        <color theme="1"/>
        <sz val="11.0"/>
      </rPr>
      <t>, que também deve estar presente no documento.</t>
    </r>
  </si>
  <si>
    <t>REFEITÓRIO</t>
  </si>
  <si>
    <r>
      <rPr>
        <rFont val="Quattrocento Sans"/>
        <color theme="1"/>
        <sz val="11.0"/>
      </rPr>
      <t>Trata-se de memória de cálculo, ou memorial de cálculo, que é um documento que fica anexo ao projeto de construção civil,</t>
    </r>
    <r>
      <rPr>
        <rFont val="Segoe UI"/>
        <color theme="1"/>
        <sz val="11.0"/>
      </rPr>
      <t> e seu principal objetivo é fornecer, de forma detalhada, todos os cálculos que foram efetuados até alcançar o resultado final</t>
    </r>
    <r>
      <rPr>
        <rFont val="Segoe UI"/>
        <color theme="1"/>
        <sz val="11.0"/>
      </rPr>
      <t>, que também deve estar presente no documento.</t>
    </r>
  </si>
  <si>
    <t>Coloca 100m³, mel!</t>
  </si>
  <si>
    <t>Kkkkkk</t>
  </si>
  <si>
    <t>Prancha</t>
  </si>
  <si>
    <t>Arranque + Sapatas</t>
  </si>
  <si>
    <t>Concreto</t>
  </si>
  <si>
    <t>Formas</t>
  </si>
  <si>
    <t>Fundação</t>
  </si>
  <si>
    <t>Vigas Baldrames VB1-V27</t>
  </si>
  <si>
    <r>
      <rPr>
        <rFont val="Arial"/>
        <color rgb="FF474747"/>
        <sz val="8.0"/>
      </rPr>
      <t>A área de forma levantada, deverá estar </t>
    </r>
    <r>
      <rPr>
        <rFont val="Arial"/>
        <color rgb="FF040C28"/>
        <sz val="8.0"/>
      </rPr>
      <t>entre 10 e 14 m² por m³ do concreto estrutural empregado</t>
    </r>
    <r>
      <rPr>
        <rFont val="Arial"/>
        <color rgb="FF474747"/>
        <sz val="8.0"/>
      </rPr>
      <t>. Aproveitamentamento 4 vezes.</t>
    </r>
  </si>
  <si>
    <t>Forma</t>
  </si>
  <si>
    <t>Pilares VB1-V27</t>
  </si>
  <si>
    <t>Perímetro = 168,65m</t>
  </si>
  <si>
    <t>5m de altura</t>
  </si>
  <si>
    <t>3m de altura</t>
  </si>
  <si>
    <t>Total =</t>
  </si>
  <si>
    <t>Diferença</t>
  </si>
  <si>
    <t>Rufo de topo (chapim / pingadeira)</t>
  </si>
  <si>
    <t>???? x2</t>
  </si>
  <si>
    <t>Rufo lateral (????)</t>
  </si>
  <si>
    <t>Calha zinco</t>
  </si>
  <si>
    <t>Impermeabilização com argamassa polimerica</t>
  </si>
  <si>
    <t>WC? (área = 40m² + desenvolvimento?)</t>
  </si>
  <si>
    <t>Não seria nas área molhadas?</t>
  </si>
  <si>
    <t>Qnt insuficiente</t>
  </si>
  <si>
    <t>VBs</t>
  </si>
  <si>
    <t>ÁREA (m²)</t>
  </si>
  <si>
    <t>PERÍMETRO (m)</t>
  </si>
  <si>
    <t>Forro de gesso acartonado</t>
  </si>
  <si>
    <t>Refeitório</t>
  </si>
  <si>
    <t>Acesso</t>
  </si>
  <si>
    <t>DML</t>
  </si>
  <si>
    <t>Lavanderia</t>
  </si>
  <si>
    <t>Lav Bandejas</t>
  </si>
  <si>
    <t>Hig Louças</t>
  </si>
  <si>
    <t>Distribuição</t>
  </si>
  <si>
    <t>Nutricionista</t>
  </si>
  <si>
    <t>Acesso interno</t>
  </si>
  <si>
    <t>Vegetais</t>
  </si>
  <si>
    <t>Carnes</t>
  </si>
  <si>
    <t>Ante Câmara</t>
  </si>
  <si>
    <t>Dispensa</t>
  </si>
  <si>
    <t>Louçaria</t>
  </si>
  <si>
    <t>Cozinha</t>
  </si>
  <si>
    <t>Triagem</t>
  </si>
  <si>
    <t>Preparo Vegetais</t>
  </si>
  <si>
    <t>Preparo Carnes</t>
  </si>
  <si>
    <t>Fornos</t>
  </si>
  <si>
    <t>WC masc</t>
  </si>
  <si>
    <t>WC fem</t>
  </si>
  <si>
    <t>No aguardo do quadro de esquadrias</t>
  </si>
  <si>
    <t xml:space="preserve">Esquadria aluminio porta VAI E VEM </t>
  </si>
  <si>
    <t>Tela de proteção</t>
  </si>
  <si>
    <t>Esquadria tipo janela vidro e aluminio</t>
  </si>
  <si>
    <t>Portão vazado</t>
  </si>
  <si>
    <t>Gradil 6,55m² - Corte AA</t>
  </si>
  <si>
    <t xml:space="preserve">Esquadria de vidro </t>
  </si>
  <si>
    <t>Bancada em granito cinza andorinha tipo 03</t>
  </si>
  <si>
    <t xml:space="preserve">Luminaria com lampada de led 40w  </t>
  </si>
  <si>
    <t>Luminaria com lampada de led 30w  blindada</t>
  </si>
  <si>
    <t>Luminaria com lampada de led 30w</t>
  </si>
  <si>
    <t>Tomada especial 3 pinos</t>
  </si>
  <si>
    <t>Cabo 50mm</t>
  </si>
  <si>
    <t>Cabo 16mm</t>
  </si>
  <si>
    <t>Torneira  bica alta</t>
  </si>
  <si>
    <t>Corrimão inco dn 50mm</t>
  </si>
  <si>
    <t xml:space="preserve">Coifa 5m x 2m </t>
  </si>
  <si>
    <t>Exautores</t>
  </si>
  <si>
    <t>Caixa ventiladora</t>
  </si>
  <si>
    <t>Dutos de exaustao e insuflar</t>
  </si>
  <si>
    <r>
      <rPr>
        <rFont val="Quattrocento Sans"/>
        <color theme="1"/>
        <sz val="11.0"/>
      </rPr>
      <t>Trata-se de memória de cálculo, ou memorial de cálculo, que é um documento que fica anexo ao projeto de construção civil,</t>
    </r>
    <r>
      <rPr>
        <rFont val="Segoe UI"/>
        <color theme="1"/>
        <sz val="11.0"/>
      </rPr>
      <t> e seu principal objetivo é fornecer, de forma detalhada, todos os cálculos que foram efetuados até alcançar o resultado final</t>
    </r>
    <r>
      <rPr>
        <rFont val="Segoe UI"/>
        <color theme="1"/>
        <sz val="11.0"/>
      </rPr>
      <t>, que também deve estar presente no documento.</t>
    </r>
  </si>
  <si>
    <t>Escavação blocos de coroamento</t>
  </si>
  <si>
    <t>Escavação tubulações</t>
  </si>
  <si>
    <t>blocos de coroamento, baldrames e tubulações</t>
  </si>
  <si>
    <t xml:space="preserve">Pilares (P1 a P21, P25, P30 a P61) </t>
  </si>
  <si>
    <t>Pilares (P22 a P24, P26 a P29)</t>
  </si>
  <si>
    <t>Forma pilares</t>
  </si>
  <si>
    <t>Concreto pilares</t>
  </si>
  <si>
    <t>Aço pilares</t>
  </si>
  <si>
    <t>Bloco de coroamento (B22)</t>
  </si>
  <si>
    <t>Bloco de coroamento (B23)</t>
  </si>
  <si>
    <t>Impermeabilização blocos de coroamento</t>
  </si>
  <si>
    <t>Preparo fundo de vala blocos de coramento</t>
  </si>
  <si>
    <t>Magro blocos de coroamento</t>
  </si>
  <si>
    <t>Concreto blocos de coroamento</t>
  </si>
  <si>
    <t>diam</t>
  </si>
  <si>
    <t>profund</t>
  </si>
  <si>
    <t>total(m)</t>
  </si>
  <si>
    <t>Baldrames V1</t>
  </si>
  <si>
    <t>Baldrames V2</t>
  </si>
  <si>
    <t>Baldrames V3</t>
  </si>
  <si>
    <t>Baldrames V4</t>
  </si>
  <si>
    <t>Baldrames V5</t>
  </si>
  <si>
    <t>Baldrames V6</t>
  </si>
  <si>
    <t>Baldrames V7</t>
  </si>
  <si>
    <t>Baldrames V8</t>
  </si>
  <si>
    <t>Baldrames V9</t>
  </si>
  <si>
    <t>Baldrames V10</t>
  </si>
  <si>
    <t>Baldrames V11</t>
  </si>
  <si>
    <t>Baldrames V12</t>
  </si>
  <si>
    <t>Baldrames V13</t>
  </si>
  <si>
    <t>Baldrames V14</t>
  </si>
  <si>
    <t>Baldrames V15</t>
  </si>
  <si>
    <t>Baldrames V16</t>
  </si>
  <si>
    <t>Baldrames V17</t>
  </si>
  <si>
    <t>Baldrames V18</t>
  </si>
  <si>
    <t>Baldrames V19</t>
  </si>
  <si>
    <t>Baldrames V20</t>
  </si>
  <si>
    <t>Baldrames V21</t>
  </si>
  <si>
    <t>Baldrames V22</t>
  </si>
  <si>
    <t>Baldrames V23</t>
  </si>
  <si>
    <t>Baldrames V24</t>
  </si>
  <si>
    <t>Baldrames V25</t>
  </si>
  <si>
    <t>Baldrames V26</t>
  </si>
  <si>
    <t>Baldrames V27</t>
  </si>
  <si>
    <t>Baldrames V28</t>
  </si>
  <si>
    <t>Impermeabilização baldrames</t>
  </si>
  <si>
    <t>Aço vigas baldrames + arranques</t>
  </si>
  <si>
    <r>
      <rPr>
        <rFont val="Arial"/>
        <color rgb="FF474747"/>
        <sz val="8.0"/>
      </rPr>
      <t>A área de forma levantada, deverá estar </t>
    </r>
    <r>
      <rPr>
        <rFont val="Arial"/>
        <color rgb="FF040C28"/>
        <sz val="8.0"/>
      </rPr>
      <t>entre 10 e 14 m² por m³ do concreto estrutural empregado</t>
    </r>
    <r>
      <rPr>
        <rFont val="Arial"/>
        <color rgb="FF474747"/>
        <sz val="8.0"/>
      </rPr>
      <t>. Aproveitamentamento 4 vezes.</t>
    </r>
  </si>
  <si>
    <r>
      <rPr>
        <rFont val="Quattrocento Sans"/>
        <color theme="1"/>
        <sz val="11.0"/>
      </rPr>
      <t>Trata-se de memória de cálculo, ou memorial de cálculo, que é um documento que fica anexo ao projeto de construção civil,</t>
    </r>
    <r>
      <rPr>
        <rFont val="Segoe UI"/>
        <color theme="1"/>
        <sz val="11.0"/>
      </rPr>
      <t> e seu principal objetivo é fornecer, de forma detalhada, todos os cálculos que foram efetuados até alcançar o resultado final</t>
    </r>
    <r>
      <rPr>
        <rFont val="Segoe UI"/>
        <color theme="1"/>
        <sz val="11.0"/>
      </rPr>
      <t>, que também deve estar presente no documento.</t>
    </r>
  </si>
  <si>
    <r>
      <rPr>
        <rFont val="Arial"/>
        <color rgb="FF474747"/>
        <sz val="8.0"/>
      </rPr>
      <t>A área de forma levantada, deverá estar </t>
    </r>
    <r>
      <rPr>
        <rFont val="Arial"/>
        <color rgb="FF040C28"/>
        <sz val="8.0"/>
      </rPr>
      <t>entre 10 e 14 m² por m³ do concreto estrutural empregado</t>
    </r>
    <r>
      <rPr>
        <rFont val="Arial"/>
        <color rgb="FF474747"/>
        <sz val="8.0"/>
      </rPr>
      <t>. Aproveitamentamento 4 vezes.</t>
    </r>
  </si>
  <si>
    <t>BIBLIOTECA</t>
  </si>
  <si>
    <r>
      <rPr>
        <rFont val="Quattrocento Sans"/>
        <color theme="1"/>
        <sz val="11.0"/>
      </rPr>
      <t>Trata-se de memória de cálculo, ou memorial de cálculo, que é um documento que fica anexo ao projeto de construção civil,</t>
    </r>
    <r>
      <rPr>
        <rFont val="Segoe UI"/>
        <color theme="1"/>
        <sz val="11.0"/>
      </rPr>
      <t> e seu principal objetivo é fornecer, de forma detalhada, todos os cálculos que foram efetuados até alcançar o resultado final</t>
    </r>
    <r>
      <rPr>
        <rFont val="Segoe UI"/>
        <color theme="1"/>
        <sz val="11.0"/>
      </rPr>
      <t>, que também deve estar presente no documento.</t>
    </r>
  </si>
  <si>
    <t>preparo de fundo de vala</t>
  </si>
  <si>
    <t>arranque de pilares e cintas</t>
  </si>
  <si>
    <t>contrapiso (áreas secas)</t>
  </si>
  <si>
    <t>Alvenaria 14cm</t>
  </si>
  <si>
    <r>
      <rPr>
        <rFont val="Arial"/>
        <color rgb="FF474747"/>
        <sz val="8.0"/>
      </rPr>
      <t>A área de forma levantada, deverá estar </t>
    </r>
    <r>
      <rPr>
        <rFont val="Arial"/>
        <color rgb="FF040C28"/>
        <sz val="8.0"/>
      </rPr>
      <t>entre 10 e 14 m² por m³ do concreto estrutural empregado</t>
    </r>
    <r>
      <rPr>
        <rFont val="Arial"/>
        <color rgb="FF474747"/>
        <sz val="8.0"/>
      </rPr>
      <t>. Aproveitamentamento 4 vezes.</t>
    </r>
  </si>
  <si>
    <t>Alvenaria 9cm biblioteca</t>
  </si>
  <si>
    <t>Alvenaria 9cm almoxarifado</t>
  </si>
  <si>
    <t>no orçamento consta 2124,93 kg</t>
  </si>
  <si>
    <t>no orçamento consta aço CA-60, falta na memória</t>
  </si>
  <si>
    <t>Computado no Bl Adm e Bl Lab 1</t>
  </si>
  <si>
    <t>Trama metálica</t>
  </si>
  <si>
    <t>Telha termoacústica</t>
  </si>
  <si>
    <t>pilares circulação</t>
  </si>
  <si>
    <t>Emboço</t>
  </si>
  <si>
    <t>7.15.3</t>
  </si>
  <si>
    <t>Pintura interna biblioteca</t>
  </si>
  <si>
    <t>Pintura interna biblioteca/almoxarifado</t>
  </si>
  <si>
    <t>Pintura interna pilares circulação</t>
  </si>
  <si>
    <t>Revestimento  interno biblioteca</t>
  </si>
  <si>
    <t>Revestimento  interno almoxarifado</t>
  </si>
  <si>
    <t>Revestimento pilares circulação</t>
  </si>
  <si>
    <t>Revestimento  cerâmico circulação</t>
  </si>
  <si>
    <t>Casquilho pilares circulação</t>
  </si>
  <si>
    <t>Esquadria vidro temperado porta - P5</t>
  </si>
  <si>
    <t>biblioteca</t>
  </si>
  <si>
    <t>Esquadria aluminio porta - P6</t>
  </si>
  <si>
    <t>almoxarifado</t>
  </si>
  <si>
    <t>Esquadria aluminio janela - J2</t>
  </si>
  <si>
    <t>Contramarco de alumínio</t>
  </si>
  <si>
    <t>Verga - P6</t>
  </si>
  <si>
    <t>Calçada externa (passeio)</t>
  </si>
  <si>
    <t>7.16.1</t>
  </si>
  <si>
    <t>.+</t>
  </si>
  <si>
    <t>,</t>
  </si>
  <si>
    <r>
      <rPr>
        <rFont val="Quattrocento Sans"/>
        <color theme="1"/>
        <sz val="11.0"/>
      </rPr>
      <t>Trata-se de memória de cálculo, ou memorial de cálculo, que é um documento que fica anexo ao projeto de construção civil,</t>
    </r>
    <r>
      <rPr>
        <rFont val="Arial"/>
        <color theme="1"/>
        <sz val="11.0"/>
      </rPr>
      <t> e seu principal objetivo é fornecer, de forma detalhada, todos os cálculos que foram efetuados até alcançar o resultado final, que também deve estar presente no documento.</t>
    </r>
  </si>
  <si>
    <t>Escavação Tubulações</t>
  </si>
  <si>
    <t>Reaterro Tubulações</t>
  </si>
  <si>
    <t>Lastro laboratórios e saude</t>
  </si>
  <si>
    <t>Revestimento cerâmico 60x60 - laboratorios</t>
  </si>
  <si>
    <t>Revestimento cerâmico 60x60 - coordenação</t>
  </si>
  <si>
    <t>Revestimento cerâmico 60x60 - almoxarifado</t>
  </si>
  <si>
    <t>Revestimento cerâmico 60x60 - patio</t>
  </si>
  <si>
    <t>Revestimento cerâmico 60x60 - xerox</t>
  </si>
  <si>
    <t>Revestimento cerâmico 60x60 - assit social</t>
  </si>
  <si>
    <t>Revestimento cerâmico 60x60 - psicologo</t>
  </si>
  <si>
    <t>Revestimento cerâmico 60x60 - recepção</t>
  </si>
  <si>
    <t>Revestimento cerâmico 60x60 - curativos</t>
  </si>
  <si>
    <t>Revestimento cerâmico 60x60 - gabinete medico</t>
  </si>
  <si>
    <t>Revestimento cerâmico 60x60 - odontologico</t>
  </si>
  <si>
    <t>Revestimento cerâmico 60x60 - est.</t>
  </si>
  <si>
    <t>Revestimento cerâmico 60x60 - circulação</t>
  </si>
  <si>
    <t>Revestimento cerâmico 60x60 - acesso externo</t>
  </si>
  <si>
    <t>Soleira P2</t>
  </si>
  <si>
    <t>Alvenaria 9cm</t>
  </si>
  <si>
    <t>Calha</t>
  </si>
  <si>
    <t>8.13.1</t>
  </si>
  <si>
    <t>Imp. com manta 3mm a quente</t>
  </si>
  <si>
    <t>8.13.2</t>
  </si>
  <si>
    <t>Chapisco interno - Laboratórios tipo 1</t>
  </si>
  <si>
    <t>Chapisco interno - Laboratórios tipo 2</t>
  </si>
  <si>
    <t>Chapisco interno - coord curso</t>
  </si>
  <si>
    <t>Chapisco interno - almoxarifado lab</t>
  </si>
  <si>
    <t>Chapisco interno - xerox</t>
  </si>
  <si>
    <t>Chapisco interno - assistente social</t>
  </si>
  <si>
    <t>Chapisco interno - psicologo</t>
  </si>
  <si>
    <t>Chapisco interno - recepção</t>
  </si>
  <si>
    <t>Chapisco interno - gabinete odontologico</t>
  </si>
  <si>
    <t>Chapisco interno - est</t>
  </si>
  <si>
    <t>Chapisco interno - curativo</t>
  </si>
  <si>
    <t>Chapisco interno - gabinete médico</t>
  </si>
  <si>
    <t>Chapisco interno - patio</t>
  </si>
  <si>
    <t>Chapisco interno - alvenarias bancadas lab</t>
  </si>
  <si>
    <t>Chapisco externo - pilares circulação interna</t>
  </si>
  <si>
    <t>Chapisco externo - pilares acesso</t>
  </si>
  <si>
    <t xml:space="preserve">Chapisco teto - laje </t>
  </si>
  <si>
    <t>Reboco interno - Laboratórios tipo 1</t>
  </si>
  <si>
    <t>Reboco interno - Laboratórios tipo 2</t>
  </si>
  <si>
    <t>Reboco interno - coord curso</t>
  </si>
  <si>
    <t>Reboco interno - almoxarifado lab</t>
  </si>
  <si>
    <t>Reboco interno - xerox</t>
  </si>
  <si>
    <t>Reboco interno - assistente social</t>
  </si>
  <si>
    <t>Reboco interno - psicologo</t>
  </si>
  <si>
    <t>Reboco interno - recepção</t>
  </si>
  <si>
    <t>Reboco interno - gabinete odontologico</t>
  </si>
  <si>
    <t>Reboco interno - est</t>
  </si>
  <si>
    <t>Reboco interno - curativo</t>
  </si>
  <si>
    <t>Reboco interno - gabinete médico</t>
  </si>
  <si>
    <t>Reboco interno - patio</t>
  </si>
  <si>
    <t>Reboco interno - alvenarias bancadas lab</t>
  </si>
  <si>
    <t>Reboco externo - pilares circulação interna</t>
  </si>
  <si>
    <t>Reboco externo - pilares acesso</t>
  </si>
  <si>
    <t xml:space="preserve">Reboco teto - laje </t>
  </si>
  <si>
    <t>8.15.1 a 3</t>
  </si>
  <si>
    <t>Pintura interna - Laboratórios tipo 1</t>
  </si>
  <si>
    <t>Pintura interna - Laboratórios tipo 2</t>
  </si>
  <si>
    <t>Pintura interna - coord curso</t>
  </si>
  <si>
    <t>Pintura interna - almoxarifado lab</t>
  </si>
  <si>
    <t>Pintura interna - xerox</t>
  </si>
  <si>
    <t>Pintura interna - assistente social</t>
  </si>
  <si>
    <t>Pintura interna - psicologo</t>
  </si>
  <si>
    <t>Pintura interna - recepção</t>
  </si>
  <si>
    <t>Pintura interna - gabinete odontologico</t>
  </si>
  <si>
    <t>Pintura interna - est</t>
  </si>
  <si>
    <t>Pintura interna - curativo</t>
  </si>
  <si>
    <t>Pintura interna - gabinete médico</t>
  </si>
  <si>
    <t>Pintura interno - patio</t>
  </si>
  <si>
    <t>Revestimento cerâmico interno - Laboratórios tipo 1</t>
  </si>
  <si>
    <t>Revestimento cerâmico interno - Laboratórios tipo 2</t>
  </si>
  <si>
    <t>Revestimento cerâmico interno - coord curso</t>
  </si>
  <si>
    <t>Revestimento cerâmico interno - almoxarifado lab</t>
  </si>
  <si>
    <t>Revestimento cerâmico interno - xerox</t>
  </si>
  <si>
    <t>Revestimento cerâmico interno - assistente social</t>
  </si>
  <si>
    <t>Revestimento cerâmico interno - psicologo</t>
  </si>
  <si>
    <t>Revestimento cerâmico interno - recepção</t>
  </si>
  <si>
    <t>Revestimento cerâmico interno - gabinete odontologico</t>
  </si>
  <si>
    <t>Revestimento cerâmico interno - est</t>
  </si>
  <si>
    <t>Revestimento cerâmico interno - curativo</t>
  </si>
  <si>
    <t>Revestimento cerâmico interno - gabinete médico</t>
  </si>
  <si>
    <t>Revestimento cerâmico interno - circulação</t>
  </si>
  <si>
    <t>Revestimento cerâmico interno - patio</t>
  </si>
  <si>
    <t>Revestimento cerâmico interno - alvenarias bancadas lab</t>
  </si>
  <si>
    <t>Revestimento cerâmico externo - fachadas</t>
  </si>
  <si>
    <t>Revestimento cerâmico externo - laje</t>
  </si>
  <si>
    <t>Casquilho cerâmico - pilares circulação interna</t>
  </si>
  <si>
    <t>Casquilho cerâmico - pilares acesso</t>
  </si>
  <si>
    <t>Esquadria aluminio porta 90cm P1</t>
  </si>
  <si>
    <t>Esquadria aluminio porta 160cm P2</t>
  </si>
  <si>
    <t>Com folha fixa e lambri contabilizado no item de lambri</t>
  </si>
  <si>
    <t>Esquadria aluminio porta 180cm P5</t>
  </si>
  <si>
    <t>6 folhas comtabilizado no item de 4 folhas</t>
  </si>
  <si>
    <t>Esquadria aluminio janela vidro e aluminio J1</t>
  </si>
  <si>
    <t>Esquadria aluminio janela vidro e aluminio J2</t>
  </si>
  <si>
    <t>Esquadria aluminio janela vidro e aluminio J3</t>
  </si>
  <si>
    <t>Esquadria aluminio janela vidro e aluminio J4</t>
  </si>
  <si>
    <t>Esquadria aluminio janela vidro e aluminio J9</t>
  </si>
  <si>
    <t>Esquadria aluminio janela vidro e aluminio J8</t>
  </si>
  <si>
    <t>Esquadria aluminio janela vidro e aluminio J10</t>
  </si>
  <si>
    <t>Contraverga janelas</t>
  </si>
  <si>
    <t>Verga - J01</t>
  </si>
  <si>
    <t>Verga - J02</t>
  </si>
  <si>
    <t>Verga - J03</t>
  </si>
  <si>
    <t>Verga - J04</t>
  </si>
  <si>
    <t>Verga - J08</t>
  </si>
  <si>
    <t>Verga - J09</t>
  </si>
  <si>
    <t>Verga - J10</t>
  </si>
  <si>
    <t>Instalação de ar split 9000btus</t>
  </si>
  <si>
    <t>8.16.1</t>
  </si>
  <si>
    <t>Laboratório bancadas tipo 1</t>
  </si>
  <si>
    <t>Laboratório bancadas tipo 2</t>
  </si>
  <si>
    <t>8.11.2.11</t>
  </si>
  <si>
    <t>8.11.2.12</t>
  </si>
  <si>
    <t>Sifão lavatório</t>
  </si>
  <si>
    <t>8.12.3.1</t>
  </si>
  <si>
    <t>8.12.3.2</t>
  </si>
  <si>
    <t>Cuba inox</t>
  </si>
  <si>
    <t>8.12.4.1</t>
  </si>
  <si>
    <t>8.12.4.3</t>
  </si>
  <si>
    <t>8.12.4.2</t>
  </si>
  <si>
    <t>QUADRA DE AREIA</t>
  </si>
  <si>
    <r>
      <rPr>
        <rFont val="Quattrocento Sans"/>
        <color theme="1"/>
        <sz val="11.0"/>
      </rPr>
      <t>Trata-se de memória de cálculo, ou memorial de cálculo, que é um documento que fica anexo ao projeto de construção civil,</t>
    </r>
    <r>
      <rPr>
        <rFont val="Segoe UI"/>
        <color theme="1"/>
        <sz val="11.0"/>
      </rPr>
      <t> e seu principal objetivo é fornecer, de forma detalhada, todos os cálculos que foram efetuados até alcançar o resultado final</t>
    </r>
    <r>
      <rPr>
        <rFont val="Segoe UI"/>
        <color theme="1"/>
        <sz val="11.0"/>
      </rPr>
      <t>, que também deve estar presente no documento.</t>
    </r>
  </si>
  <si>
    <t>9.1.1</t>
  </si>
  <si>
    <t xml:space="preserve">locação </t>
  </si>
  <si>
    <t xml:space="preserve">Alvenaria de embasamento </t>
  </si>
  <si>
    <t>9.1.2</t>
  </si>
  <si>
    <t>9.1.3</t>
  </si>
  <si>
    <t xml:space="preserve">Reaterro </t>
  </si>
  <si>
    <t>9.1.4</t>
  </si>
  <si>
    <t xml:space="preserve">Lastro de concreto magro </t>
  </si>
  <si>
    <t>Alvenaria 19cm (embasamento)</t>
  </si>
  <si>
    <t>9.1.5</t>
  </si>
  <si>
    <t>Forma (cinta)</t>
  </si>
  <si>
    <t>Forma (pilares)</t>
  </si>
  <si>
    <t xml:space="preserve">ALTURA </t>
  </si>
  <si>
    <t xml:space="preserve">COMPRIMENTO </t>
  </si>
  <si>
    <t>9.1.6</t>
  </si>
  <si>
    <t>Aço 5.0</t>
  </si>
  <si>
    <t>Cinta (0,19x0,19)</t>
  </si>
  <si>
    <t>Pilares (0,19x0,19)</t>
  </si>
  <si>
    <t>9.1.7</t>
  </si>
  <si>
    <t>Aço 6.3</t>
  </si>
  <si>
    <t>9.1.8</t>
  </si>
  <si>
    <t>9.1.9</t>
  </si>
  <si>
    <t xml:space="preserve">Aterro </t>
  </si>
  <si>
    <t>9.2.1</t>
  </si>
  <si>
    <t>9.3.1</t>
  </si>
  <si>
    <t xml:space="preserve">Chapisco </t>
  </si>
  <si>
    <t>9.3.2</t>
  </si>
  <si>
    <t>9.9.1</t>
  </si>
  <si>
    <t>Aplicação de fundo selador</t>
  </si>
  <si>
    <t>9.9.2</t>
  </si>
  <si>
    <t>Aplicação de pintura acrílica</t>
  </si>
  <si>
    <t>9.4.1</t>
  </si>
  <si>
    <t xml:space="preserve">alambrado </t>
  </si>
  <si>
    <t>9.4.2</t>
  </si>
  <si>
    <t xml:space="preserve">Portão </t>
  </si>
  <si>
    <t>Poste metalico</t>
  </si>
  <si>
    <t>Mastro para volei</t>
  </si>
  <si>
    <t>9.9.3</t>
  </si>
  <si>
    <t>Pintura superfícies (fundo anticorrosivo)</t>
  </si>
  <si>
    <t>9.9.4</t>
  </si>
  <si>
    <t>Pintura superfícies (esmalte sintético)</t>
  </si>
  <si>
    <t xml:space="preserve">Alambrado </t>
  </si>
  <si>
    <t>-'</t>
  </si>
  <si>
    <t>GUARITA</t>
  </si>
  <si>
    <r>
      <rPr>
        <rFont val="Quattrocento Sans"/>
        <color theme="1"/>
        <sz val="11.0"/>
      </rPr>
      <t>Trata-se de memória de cálculo, ou memorial de cálculo, que é um documento que fica anexo ao projeto de construção civil,</t>
    </r>
    <r>
      <rPr>
        <rFont val="Segoe UI"/>
        <color theme="1"/>
        <sz val="11.0"/>
      </rPr>
      <t> e seu principal objetivo é fornecer, de forma detalhada, todos os cálculos que foram efetuados até alcançar o resultado final</t>
    </r>
    <r>
      <rPr>
        <rFont val="Segoe UI"/>
        <color theme="1"/>
        <sz val="11.0"/>
      </rPr>
      <t>, que também deve estar presente no documento.</t>
    </r>
  </si>
  <si>
    <t>Escavação tubulaçoes</t>
  </si>
  <si>
    <t>LOCAÇÃO</t>
  </si>
  <si>
    <t>TAXA</t>
  </si>
  <si>
    <t>Pilares 20 x 20cm</t>
  </si>
  <si>
    <t>Superestrutura estimada</t>
  </si>
  <si>
    <t>Armação pilar bitola 10 mm</t>
  </si>
  <si>
    <t>Armação pilar bitola 5 mm</t>
  </si>
  <si>
    <t>ÁREA</t>
  </si>
  <si>
    <t>Cintas 0,2*0,4 m</t>
  </si>
  <si>
    <t>Infraestrutura estimada</t>
  </si>
  <si>
    <t>Armação de viga bitola 10 mm</t>
  </si>
  <si>
    <t>Armação de viga bitola 5 mm</t>
  </si>
  <si>
    <t>Lastro baldrames</t>
  </si>
  <si>
    <t>Lastro sapatas</t>
  </si>
  <si>
    <t>Lastro - sala técnica</t>
  </si>
  <si>
    <t>Lastro - bwc</t>
  </si>
  <si>
    <t>Lastro - guarita</t>
  </si>
  <si>
    <t>10.7.02 e 06</t>
  </si>
  <si>
    <t>Regularização</t>
  </si>
  <si>
    <t>Piso Cerâmico - sala técnica</t>
  </si>
  <si>
    <t>Piso Cerâmico - bwc</t>
  </si>
  <si>
    <t>Piso Cerâmico - guarita</t>
  </si>
  <si>
    <t>Rodapé piso cerâmico</t>
  </si>
  <si>
    <t>Vigas 0,2 x 0,4 m</t>
  </si>
  <si>
    <t>Armação de viga bitola 12.5 mm</t>
  </si>
  <si>
    <t>Laje balanço</t>
  </si>
  <si>
    <t>Armação capeamento das lajes</t>
  </si>
  <si>
    <t xml:space="preserve">Alvenaria 9cm - externa </t>
  </si>
  <si>
    <t>Alvenaria 9cm - interna</t>
  </si>
  <si>
    <t>Cobogó</t>
  </si>
  <si>
    <t>Armação sapatas bitola 8mm</t>
  </si>
  <si>
    <t>Rufo topo</t>
  </si>
  <si>
    <t>Algeroz</t>
  </si>
  <si>
    <t>Estrutura metálica (ver memória estrutura)</t>
  </si>
  <si>
    <t>10.6.06 e 07</t>
  </si>
  <si>
    <t>Telha metalica trapezoidal</t>
  </si>
  <si>
    <t>10.13.1</t>
  </si>
  <si>
    <t>Impermeabilização com manta</t>
  </si>
  <si>
    <t>10.13.4</t>
  </si>
  <si>
    <t>Proteção mecanica horizontal</t>
  </si>
  <si>
    <t>10.13.5</t>
  </si>
  <si>
    <t>Proteção mecanica vertical</t>
  </si>
  <si>
    <t>10.13.2</t>
  </si>
  <si>
    <t xml:space="preserve">Impermeabilização com argamassa polimerica - wc </t>
  </si>
  <si>
    <t>10.13.3</t>
  </si>
  <si>
    <t>Impermeabilização pilares</t>
  </si>
  <si>
    <t>Forro de gesso</t>
  </si>
  <si>
    <t>Chapisco interno - bwc</t>
  </si>
  <si>
    <t>Chapisco interno - guarita</t>
  </si>
  <si>
    <t>Chapisco externo</t>
  </si>
  <si>
    <t>Reboco interno - bwc</t>
  </si>
  <si>
    <t>Reboco interno - guarita</t>
  </si>
  <si>
    <t>15.5.04 e 10.5.05</t>
  </si>
  <si>
    <t>Reboco externo</t>
  </si>
  <si>
    <t>Revestimento ceramico - bwc</t>
  </si>
  <si>
    <t>Revestimento ceramico - guarita</t>
  </si>
  <si>
    <t>Revestimento ceramico - sala técnica</t>
  </si>
  <si>
    <t>10.15.05 e 06</t>
  </si>
  <si>
    <t>Pintura do teto</t>
  </si>
  <si>
    <t>10.15.2</t>
  </si>
  <si>
    <t>Pintura interna - guarita</t>
  </si>
  <si>
    <t xml:space="preserve">Esquadria aluminio J1 </t>
  </si>
  <si>
    <t>Esquadria aluminio J2</t>
  </si>
  <si>
    <t>Esquadria aluminio J3</t>
  </si>
  <si>
    <t>Portão correr</t>
  </si>
  <si>
    <t>Portão abrir</t>
  </si>
  <si>
    <t>Contraverga</t>
  </si>
  <si>
    <t>10.14.1</t>
  </si>
  <si>
    <t>10.12.5.6</t>
  </si>
  <si>
    <t>Bancada em granito cinza andorinha - wc</t>
  </si>
  <si>
    <t>Bancada em granito cinza andorinha - guarita</t>
  </si>
  <si>
    <t>Quadro de distribuição 6 circuitos</t>
  </si>
  <si>
    <t>Caixa octagonal</t>
  </si>
  <si>
    <t>uns</t>
  </si>
  <si>
    <t>10.16.1</t>
  </si>
  <si>
    <t xml:space="preserve">Motor para portão </t>
  </si>
  <si>
    <t>10.12.4.1</t>
  </si>
  <si>
    <t>10.12.4.2</t>
  </si>
  <si>
    <t>10.12.3.4</t>
  </si>
  <si>
    <t>10.12.3.6</t>
  </si>
  <si>
    <t>10.12.3.5</t>
  </si>
  <si>
    <t>10.12.5.4</t>
  </si>
  <si>
    <t>10.12.5.1</t>
  </si>
  <si>
    <t>10.12.5.5</t>
  </si>
  <si>
    <t>10.12.5.3</t>
  </si>
  <si>
    <t>10.12.5.2</t>
  </si>
  <si>
    <t>10.16.2</t>
  </si>
  <si>
    <t>Painel ACM</t>
  </si>
  <si>
    <t>PISCINA</t>
  </si>
  <si>
    <r>
      <rPr>
        <rFont val="Quattrocento Sans"/>
        <color theme="1"/>
        <sz val="11.0"/>
      </rPr>
      <t>Trata-se de memória de cálculo, ou memorial de cálculo, que é um documento que fica anexo ao projeto de construção civil,</t>
    </r>
    <r>
      <rPr>
        <rFont val="Segoe UI"/>
        <color theme="1"/>
        <sz val="11.0"/>
      </rPr>
      <t> e seu principal objetivo é fornecer, de forma detalhada, todos os cálculos que foram efetuados até alcançar o resultado final</t>
    </r>
    <r>
      <rPr>
        <rFont val="Segoe UI"/>
        <color theme="1"/>
        <sz val="11.0"/>
      </rPr>
      <t>, que também deve estar presente no documento.</t>
    </r>
  </si>
  <si>
    <t>Concreto FCK 25MPA fundo</t>
  </si>
  <si>
    <t>Concreto FCK 25MPA parede</t>
  </si>
  <si>
    <t>Aproveitamento de 4vezes</t>
  </si>
  <si>
    <t>Aço CA 50</t>
  </si>
  <si>
    <t>Cahapisco fundo</t>
  </si>
  <si>
    <t>Cahapisco parede</t>
  </si>
  <si>
    <t>impermeabilizçaão com pinutura</t>
  </si>
  <si>
    <t>impermeabilizçaão com argamassa polimerica</t>
  </si>
  <si>
    <t>impermeabilizçaão com proteção mecanica</t>
  </si>
  <si>
    <t>Gradil</t>
  </si>
  <si>
    <t>Potão vazado 3,5 x 2,5m</t>
  </si>
  <si>
    <t>Fundação em concreto ciclopico</t>
  </si>
  <si>
    <t>Refletor 400w</t>
  </si>
  <si>
    <t xml:space="preserve">Caixa de passagem </t>
  </si>
  <si>
    <t>Haste de aterramento</t>
  </si>
  <si>
    <t>Quadro 12circuitos</t>
  </si>
  <si>
    <t>Disjuntor de 20 A</t>
  </si>
  <si>
    <t>Casa de bomba</t>
  </si>
  <si>
    <t>Bomba</t>
  </si>
  <si>
    <t>Tubulação 50mm</t>
  </si>
  <si>
    <t>Registro</t>
  </si>
  <si>
    <t>Conexões</t>
  </si>
  <si>
    <t>par</t>
  </si>
  <si>
    <t>Escada em aluminio</t>
  </si>
  <si>
    <t>Revestimento</t>
  </si>
  <si>
    <t>Borda em pedra</t>
  </si>
  <si>
    <t>GARAGEM</t>
  </si>
  <si>
    <r>
      <rPr>
        <rFont val="Quattrocento Sans"/>
        <color theme="1"/>
        <sz val="11.0"/>
      </rPr>
      <t>Trata-se de memória de cálculo, ou memorial de cálculo, que é um documento que fica anexo ao projeto de construção civil,</t>
    </r>
    <r>
      <rPr>
        <rFont val="Segoe UI"/>
        <color theme="1"/>
        <sz val="11.0"/>
      </rPr>
      <t> e seu principal objetivo é fornecer, de forma detalhada, todos os cálculos que foram efetuados até alcançar o resultado final</t>
    </r>
    <r>
      <rPr>
        <rFont val="Segoe UI"/>
        <color theme="1"/>
        <sz val="11.0"/>
      </rPr>
      <t>, que também deve estar presente no documento.</t>
    </r>
  </si>
  <si>
    <t xml:space="preserve">Pilares 60 x 30cm </t>
  </si>
  <si>
    <t>Piso cimentado polido</t>
  </si>
  <si>
    <r>
      <rPr>
        <rFont val="Arial"/>
        <color rgb="FF474747"/>
        <sz val="8.0"/>
      </rPr>
      <t>A área de forma levantada, deverá estar </t>
    </r>
    <r>
      <rPr>
        <rFont val="Arial"/>
        <color rgb="FF040C28"/>
        <sz val="8.0"/>
      </rPr>
      <t>entre 10 e 14 m² por m³ do concreto estrutural empregado</t>
    </r>
    <r>
      <rPr>
        <rFont val="Arial"/>
        <color rgb="FF474747"/>
        <sz val="8.0"/>
      </rPr>
      <t>. Aproveitamentamento 4 vezes.</t>
    </r>
  </si>
  <si>
    <t>Esquadria basculhante</t>
  </si>
  <si>
    <t>Instalação de ar split 18000 btus</t>
  </si>
  <si>
    <t>ESCADA</t>
  </si>
  <si>
    <r>
      <rPr>
        <rFont val="Quattrocento Sans"/>
        <color theme="1"/>
        <sz val="11.0"/>
      </rPr>
      <t>Trata-se de memória de cálculo, ou memorial de cálculo, que é um documento que fica anexo ao projeto de construção civil,</t>
    </r>
    <r>
      <rPr>
        <rFont val="Segoe UI"/>
        <color theme="1"/>
        <sz val="11.0"/>
      </rPr>
      <t> e seu principal objetivo é fornecer, de forma detalhada, todos os cálculos que foram efetuados até alcançar o resultado final</t>
    </r>
    <r>
      <rPr>
        <rFont val="Segoe UI"/>
        <color theme="1"/>
        <sz val="11.0"/>
      </rPr>
      <t>, que também deve estar presente no documento.</t>
    </r>
  </si>
  <si>
    <t>Lastro circulação 1</t>
  </si>
  <si>
    <t>Lastro circulação 2</t>
  </si>
  <si>
    <t>Regularizaçao circulação 1 - térreo e superior</t>
  </si>
  <si>
    <t>Regularizaçao circulação 2 - térreo e superior</t>
  </si>
  <si>
    <t>Regularização Escada 1 e 2</t>
  </si>
  <si>
    <t>Granilite lavado</t>
  </si>
  <si>
    <r>
      <rPr>
        <rFont val="Arial"/>
        <color rgb="FF474747"/>
        <sz val="8.0"/>
      </rPr>
      <t>A área de forma levantada, deverá estar </t>
    </r>
    <r>
      <rPr>
        <rFont val="Arial"/>
        <color rgb="FF040C28"/>
        <sz val="8.0"/>
      </rPr>
      <t>entre 10 e 14 m² por m³ do concreto estrutural empregado</t>
    </r>
    <r>
      <rPr>
        <rFont val="Arial"/>
        <color rgb="FF474747"/>
        <sz val="8.0"/>
      </rPr>
      <t>. Aproveitamentamento 4 vezes.</t>
    </r>
  </si>
  <si>
    <t>Forma laje</t>
  </si>
  <si>
    <t>Alvenria 9cm - Escada 1</t>
  </si>
  <si>
    <t>Alvenria 9cm - Escada 2</t>
  </si>
  <si>
    <t>Alvenria 9cm - Circulação 1 - superior</t>
  </si>
  <si>
    <t>Alvenria 9cm - Circulação 2 - superior</t>
  </si>
  <si>
    <t>Alvenria 9cm - Platibanda circulação 1</t>
  </si>
  <si>
    <t>Alvenria 9cm - Platibanda circulação 2</t>
  </si>
  <si>
    <t>Rufo de topo - Escada 1</t>
  </si>
  <si>
    <t>Rufo de topo - Escada 2</t>
  </si>
  <si>
    <t xml:space="preserve">Impermeabilização com manta 3mm - Escada e circulação 1 </t>
  </si>
  <si>
    <t>Impermeabilização com manta 3mm - Escada e circulação 2</t>
  </si>
  <si>
    <t>13.6.1 e 13.6.2</t>
  </si>
  <si>
    <t xml:space="preserve">Chapisco  e Reboco - Pilares </t>
  </si>
  <si>
    <t>Chapisco  e Reboco</t>
  </si>
  <si>
    <t>13.6.3 e 13.6.4</t>
  </si>
  <si>
    <t xml:space="preserve">Chapisco teto - Escada 1 e 2 </t>
  </si>
  <si>
    <t>Chapisco teto - circulação 1 e 2</t>
  </si>
  <si>
    <t>Revestimento cerâmico 10x10 - Escada 2</t>
  </si>
  <si>
    <t>Revestimento cerâmico 10x10 - Pilares</t>
  </si>
  <si>
    <t>Revestimento cerâmico 10x10 - Circulação 1</t>
  </si>
  <si>
    <t>Revestimento cerâmico 10x10 - Circulação 2</t>
  </si>
  <si>
    <t>Revestimento cerâmico 10x10 - Platibanda circulação 1</t>
  </si>
  <si>
    <t>Revestimento cerâmico 10x10 - Platibanda circulação 2</t>
  </si>
  <si>
    <t>Casquilho cerâmico - Escada 1</t>
  </si>
  <si>
    <t>Pintura interna - Escada 1</t>
  </si>
  <si>
    <t xml:space="preserve">Pintura teto - Escada 1 e 2 </t>
  </si>
  <si>
    <t>Pintura teto - circulação 1 e 2</t>
  </si>
  <si>
    <t>Corrimão escada</t>
  </si>
  <si>
    <t>Escada marinheiro</t>
  </si>
  <si>
    <t>Registro de gaveta 110mm</t>
  </si>
  <si>
    <t>Registro de gaveto do tipo esfera 110mm</t>
  </si>
  <si>
    <t>Registro de gaveto do tipo esfera 75mm</t>
  </si>
  <si>
    <t>Registro de gaveto do tipo esfera 65mm</t>
  </si>
  <si>
    <t>Registro de gaveto do tipo esfera 50mm</t>
  </si>
  <si>
    <t xml:space="preserve">Flange 110mm </t>
  </si>
  <si>
    <t>Flange75mm</t>
  </si>
  <si>
    <t>GINÁSIO</t>
  </si>
  <si>
    <r>
      <rPr>
        <rFont val="Quattrocento Sans"/>
        <color theme="1"/>
        <sz val="11.0"/>
      </rPr>
      <t>Trata-se de memória de cálculo, ou memorial de cálculo, que é um documento que fica anexo ao projeto de construção civil,</t>
    </r>
    <r>
      <rPr>
        <rFont val="Segoe UI"/>
        <color theme="1"/>
        <sz val="11.0"/>
      </rPr>
      <t> e seu principal objetivo é fornecer, de forma detalhada, todos os cálculos que foram efetuados até alcançar o resultado final</t>
    </r>
    <r>
      <rPr>
        <rFont val="Segoe UI"/>
        <color theme="1"/>
        <sz val="11.0"/>
      </rPr>
      <t>, que também deve estar presente no documento.</t>
    </r>
  </si>
  <si>
    <t xml:space="preserve">ITEM </t>
  </si>
  <si>
    <t>Tubulações esgoto e água fria</t>
  </si>
  <si>
    <t>Apiloamento - baldrames</t>
  </si>
  <si>
    <t>Apiloamento - sapatas</t>
  </si>
  <si>
    <t>Concreto magro baldrames</t>
  </si>
  <si>
    <t>Concreto magro sapatas</t>
  </si>
  <si>
    <t>Concreto Infraestrutura - Vigas Baldrames</t>
  </si>
  <si>
    <t xml:space="preserve">Concreto Infraestrutura - Sapatas e Arranques </t>
  </si>
  <si>
    <t>Concreto Superestrutura - Pilares</t>
  </si>
  <si>
    <t>Concreto Superestrutura - Lajes maciças e escada</t>
  </si>
  <si>
    <t>Concreto Superestrutura - Vigas primeiro pavimento</t>
  </si>
  <si>
    <t>Concreto Superestrutura - Vigas cobertura</t>
  </si>
  <si>
    <t>Concreto Superestrutura - Vigas nível 8.2</t>
  </si>
  <si>
    <t>VOL. ESCAVAÇÃO</t>
  </si>
  <si>
    <t>VOL. CONCRETO</t>
  </si>
  <si>
    <t>VOL. TUBULAÇOES</t>
  </si>
  <si>
    <t>Lastro quadra e vestiário</t>
  </si>
  <si>
    <t>Regularizaçao vestiários</t>
  </si>
  <si>
    <t>Regularizaçao pcd</t>
  </si>
  <si>
    <t>Regularizaçao deposito</t>
  </si>
  <si>
    <t>Piso da quadra</t>
  </si>
  <si>
    <t>16.7.05 e 06</t>
  </si>
  <si>
    <t>Revestimento cerâmico vestiários</t>
  </si>
  <si>
    <t>Soleira P3</t>
  </si>
  <si>
    <t>Soleira P4</t>
  </si>
  <si>
    <t>Alvenaria 14cm - Arquibancada</t>
  </si>
  <si>
    <t>Laje pré moldada</t>
  </si>
  <si>
    <t>Forma Fundação - Sapatas</t>
  </si>
  <si>
    <t>Forma Infraestrutura - Vigas baldrames</t>
  </si>
  <si>
    <t>Forma Infraestrutura - Arranque Pilares</t>
  </si>
  <si>
    <t>Forma Superestrutura - Pilares</t>
  </si>
  <si>
    <t>Forma Superestrutura - Vigas primeiro pavimento</t>
  </si>
  <si>
    <t>Forma Superestrutura - Vigas cobertura</t>
  </si>
  <si>
    <t>Forma Superestrutura - Vigas nível 8.2</t>
  </si>
  <si>
    <t>Forma Superestrutura - Lajes maciças e escada</t>
  </si>
  <si>
    <t>Alvenaria 9cm - Fachada lateral</t>
  </si>
  <si>
    <t>Alvenaria 9cm - Fachada posterior</t>
  </si>
  <si>
    <t>Alvenaria 9cm - Interna</t>
  </si>
  <si>
    <t>Alvenaria 9cm - Bancos</t>
  </si>
  <si>
    <t>Aço CA 50 8mm Fundação - Sapatas</t>
  </si>
  <si>
    <t>Aço ca 50 5mm Infraestrutura - Arranque Pilares</t>
  </si>
  <si>
    <t>Aço ca 50 5mm Infraestrutura - Vigas baldrames</t>
  </si>
  <si>
    <t>Aço ca 50 6.3mm Infraestrutura - Vigas baldrames</t>
  </si>
  <si>
    <t>Aço ca 50 10mm Infraestrutura - Arranque Pilares</t>
  </si>
  <si>
    <t>Aço ca 50 10mm Infraestrutura - Vigas baldrames</t>
  </si>
  <si>
    <t>Aço ca 50 12.5mm Infraestrutura - Arranque Pilares</t>
  </si>
  <si>
    <t>Aço ca 50 12.5mm Infraestrutura - Vigas baldrames</t>
  </si>
  <si>
    <t>Aço CA 50 5.0mm Superestrutura - Vigas</t>
  </si>
  <si>
    <t>Aço CA 50 5.0mm Superestrutura - Pilar</t>
  </si>
  <si>
    <t xml:space="preserve">Aço CA 50 6.3mm Superestrutura - Vigas </t>
  </si>
  <si>
    <t>Aço CA 50 8.0mm Superestrutura - Vigas</t>
  </si>
  <si>
    <t>Aço CA 50 10.0mm Superestrutura - Vigas</t>
  </si>
  <si>
    <t>Aço CA 50 10.0mm Superestrutura - Pilar</t>
  </si>
  <si>
    <t xml:space="preserve">Aço CA 50 12.5mm Superestrutura - Vigas </t>
  </si>
  <si>
    <t>Aço CA 50 12.5mm Superestrutura - Pilar</t>
  </si>
  <si>
    <t xml:space="preserve">Aço CA 50 16mm Superestrutura - Vigas </t>
  </si>
  <si>
    <t>Aço CA 50 5.0mm Superestrutura - Lajes</t>
  </si>
  <si>
    <t>Aço CA 50 6.3mm Superestrutura - Lajes</t>
  </si>
  <si>
    <t>Aço CA 50 8.0mm Superestrutura - Lajes e escada</t>
  </si>
  <si>
    <t>Aço CA 50 10.0mm Superestrutura - Lajes</t>
  </si>
  <si>
    <t>Aço CA 50 12.5mm Superestrutura - Lajes e escada</t>
  </si>
  <si>
    <t>Rufo</t>
  </si>
  <si>
    <t>Não tem projeto</t>
  </si>
  <si>
    <t xml:space="preserve">Treliça metalica </t>
  </si>
  <si>
    <t>16.13.01</t>
  </si>
  <si>
    <t>Imermeabilização tronco de pilar 20x20</t>
  </si>
  <si>
    <t>impermeabilização tronco de pilar 20x25</t>
  </si>
  <si>
    <t>impermeabilização tronco de pilar 20x40</t>
  </si>
  <si>
    <t>impermeabilização tronco de pilar 25x25 20x30</t>
  </si>
  <si>
    <t>impermeabilização tronco de pilar 30x70 25x70</t>
  </si>
  <si>
    <t>16.13.2</t>
  </si>
  <si>
    <t>Argamassa polimerica - vestiário masculino e feminino</t>
  </si>
  <si>
    <t>16.13.2.</t>
  </si>
  <si>
    <t>Impermeabilização com argamassa polimerica - vestiário PCD</t>
  </si>
  <si>
    <t>Forro de PVC - vestiário masculino e feminino</t>
  </si>
  <si>
    <t>Forro de PVC - vestiário PCD</t>
  </si>
  <si>
    <t>Forro de PVC - depósito</t>
  </si>
  <si>
    <t>Chapisco interno - quadra laterais</t>
  </si>
  <si>
    <t>Chapisco interno - quadra posterior</t>
  </si>
  <si>
    <t>Chapisco interno - vestiários</t>
  </si>
  <si>
    <t>Chapisco interno - arquibancadas</t>
  </si>
  <si>
    <t>Reboco interno - quadra laterais</t>
  </si>
  <si>
    <t>Reboco interno - quadra posterior</t>
  </si>
  <si>
    <t>Reboco interno - arquibancadas</t>
  </si>
  <si>
    <t>Reboco interno - vestiários</t>
  </si>
  <si>
    <t>16.14.01 e 05</t>
  </si>
  <si>
    <t>16.14.01, 02 e 03</t>
  </si>
  <si>
    <t>Pintura interna epoxi piso</t>
  </si>
  <si>
    <t xml:space="preserve">Revestimento  cerâmico 60x60 parede vestiário </t>
  </si>
  <si>
    <t>Revestimento  cerâmico 60x60 parede pcd</t>
  </si>
  <si>
    <t>Revestimento  cerâmico 60x60 parede deposito</t>
  </si>
  <si>
    <t>Revestimento  cerâmico 60x60 quadra</t>
  </si>
  <si>
    <t>Revestimento  cerâmico 10x10 fachadas</t>
  </si>
  <si>
    <t>Casquilho</t>
  </si>
  <si>
    <t>Esquadria aluminio porta 80cm P1</t>
  </si>
  <si>
    <t>Não foram consideradas as grades previstas em projeto</t>
  </si>
  <si>
    <t>Esquadria aluminio porta 90cm P2</t>
  </si>
  <si>
    <t>Esquadria aluminio porta 100cm P3</t>
  </si>
  <si>
    <t>Esquadria ferro 200cm P4</t>
  </si>
  <si>
    <t>foi considerado o que estava em orçamento e não em projeto</t>
  </si>
  <si>
    <t>Cobogo fachadas laterais</t>
  </si>
  <si>
    <t>Cobogo fachada posterior</t>
  </si>
  <si>
    <t>16.12.3.6</t>
  </si>
  <si>
    <t>Banco pdc</t>
  </si>
  <si>
    <t>Banco vestiário feminino</t>
  </si>
  <si>
    <t>Divisória - Vestiário masculino</t>
  </si>
  <si>
    <t>Divisória - Vestiário feminino</t>
  </si>
  <si>
    <t>Caixa 3 x 3</t>
  </si>
  <si>
    <t>16.12.3.2</t>
  </si>
  <si>
    <t>16.12.3.4</t>
  </si>
  <si>
    <t>16.12.3.1</t>
  </si>
  <si>
    <t>16.12.3.5</t>
  </si>
  <si>
    <t>16.12.3.3</t>
  </si>
  <si>
    <t>16.12.4.1</t>
  </si>
  <si>
    <t>16.12.4.5</t>
  </si>
  <si>
    <t>16.12.4.11</t>
  </si>
  <si>
    <t>16.12.4.8</t>
  </si>
  <si>
    <t>16.12.4.9</t>
  </si>
  <si>
    <t>16.12.4.3</t>
  </si>
  <si>
    <t>16.12.4.4</t>
  </si>
  <si>
    <t>Porta toalha - Cabide</t>
  </si>
  <si>
    <t>16.12.4.10</t>
  </si>
  <si>
    <t>Espelho vestiários</t>
  </si>
  <si>
    <t>Espelho PNE</t>
  </si>
  <si>
    <t>16.15.4</t>
  </si>
  <si>
    <t>Conjunto de traves futsal</t>
  </si>
  <si>
    <t>16.15.5</t>
  </si>
  <si>
    <t>Poste volei</t>
  </si>
  <si>
    <t>16.15.6</t>
  </si>
  <si>
    <t>Conjunto de tabelas de basquete</t>
  </si>
  <si>
    <t>16.15.7</t>
  </si>
  <si>
    <t>Redes volei</t>
  </si>
  <si>
    <t>16.15.3</t>
  </si>
  <si>
    <t>Rede de nilon proteção</t>
  </si>
  <si>
    <t>16.15.9</t>
  </si>
  <si>
    <t>Guarda corpo mezanino</t>
  </si>
  <si>
    <t>LANCHONETE</t>
  </si>
  <si>
    <r>
      <rPr>
        <rFont val="Quattrocento Sans"/>
        <color theme="1"/>
        <sz val="11.0"/>
      </rPr>
      <t>Trata-se de memória de cálculo, ou memorial de cálculo, que é um documento que fica anexo ao projeto de construção civil,</t>
    </r>
    <r>
      <rPr>
        <rFont val="Segoe UI"/>
        <color theme="1"/>
        <sz val="11.0"/>
      </rPr>
      <t> e seu principal objetivo é fornecer, de forma detalhada, todos os cálculos que foram efetuados até alcançar o resultado final</t>
    </r>
    <r>
      <rPr>
        <rFont val="Segoe UI"/>
        <color theme="1"/>
        <sz val="11.0"/>
      </rPr>
      <t>, que também deve estar presente no documento.</t>
    </r>
  </si>
  <si>
    <r>
      <rPr>
        <rFont val="Arial"/>
        <color rgb="FF474747"/>
        <sz val="8.0"/>
      </rPr>
      <t>A área de forma levantada, deverá estar </t>
    </r>
    <r>
      <rPr>
        <rFont val="Arial"/>
        <color rgb="FF040C28"/>
        <sz val="8.0"/>
      </rPr>
      <t>entre 10 e 14 m² por m³ do concreto estrutural empregado</t>
    </r>
    <r>
      <rPr>
        <rFont val="Arial"/>
        <color rgb="FF474747"/>
        <sz val="8.0"/>
      </rPr>
      <t>. Aproveitamentamento 4 vezes.</t>
    </r>
  </si>
  <si>
    <t>17.4.5 e 17.4.8</t>
  </si>
  <si>
    <t>17.2.2 e 17.2.3</t>
  </si>
  <si>
    <t>17.4.2, 17.4.3 e 17.4.4</t>
  </si>
  <si>
    <t>Calha metalica</t>
  </si>
  <si>
    <t>laje</t>
  </si>
  <si>
    <t>Chapisco interno</t>
  </si>
  <si>
    <t>Chapisco teto</t>
  </si>
  <si>
    <t>Reboco interno</t>
  </si>
  <si>
    <t>Reboco teto</t>
  </si>
  <si>
    <t>17.13.1, 17.13.2 e 17.13.3</t>
  </si>
  <si>
    <t>Pintura teto</t>
  </si>
  <si>
    <t>Revestimento  cerâmico interno</t>
  </si>
  <si>
    <t>Revestimento  cerâmico externo</t>
  </si>
  <si>
    <t>Esquadria aluminio porta - P1</t>
  </si>
  <si>
    <t>Esquadria aluminio janela - J3</t>
  </si>
  <si>
    <t>Esquadria aluminio janela - J7</t>
  </si>
  <si>
    <t>Verga - J7</t>
  </si>
  <si>
    <t>Contraverga - J7</t>
  </si>
  <si>
    <t>Instalação de ar split9000btus</t>
  </si>
  <si>
    <t>17.8.1 e 17.8.3</t>
  </si>
  <si>
    <t>17.14.1</t>
  </si>
  <si>
    <t xml:space="preserve">Bancada em granito cinza andorinha </t>
  </si>
  <si>
    <t>17.12.3.1</t>
  </si>
  <si>
    <t>Cuba retangular de embutir</t>
  </si>
  <si>
    <t>Registro de gaveto do tipo esfera 32mm</t>
  </si>
  <si>
    <t>LABORATÓRIOS 02</t>
  </si>
  <si>
    <r>
      <rPr>
        <rFont val="Quattrocento Sans"/>
        <color theme="1"/>
        <sz val="11.0"/>
      </rPr>
      <t>Trata-se de memória de cálculo, ou memorial de cálculo, que é um documento que fica anexo ao projeto de construção civil,</t>
    </r>
    <r>
      <rPr>
        <rFont val="Segoe UI"/>
        <color theme="1"/>
        <sz val="11.0"/>
      </rPr>
      <t> e seu principal objetivo é fornecer, de forma detalhada, todos os cálculos que foram efetuados até alcançar o resultado final</t>
    </r>
    <r>
      <rPr>
        <rFont val="Segoe UI"/>
        <color theme="1"/>
        <sz val="11.0"/>
      </rPr>
      <t>, que também deve estar presente no documento.</t>
    </r>
  </si>
  <si>
    <t>Porcelanato</t>
  </si>
  <si>
    <t>Porta (verga)</t>
  </si>
  <si>
    <t>Janela (verga e contraverga)</t>
  </si>
  <si>
    <t>35.3.4</t>
  </si>
  <si>
    <t>Vergas</t>
  </si>
  <si>
    <t>35.3.5</t>
  </si>
  <si>
    <t>Contravergas</t>
  </si>
  <si>
    <t>Calha no concreto</t>
  </si>
  <si>
    <t>-</t>
  </si>
  <si>
    <t>Pintura parede</t>
  </si>
  <si>
    <t>a. reboco - a. revest. cerâmico</t>
  </si>
  <si>
    <t>WC Masc.</t>
  </si>
  <si>
    <t>WC Femin.</t>
  </si>
  <si>
    <t>Lab. de Física</t>
  </si>
  <si>
    <t>Respaldos e testeiras</t>
  </si>
  <si>
    <t>Lab. de Física (mesas)</t>
  </si>
  <si>
    <t>Divisória em granito cinza andorinha</t>
  </si>
  <si>
    <t>Caixa 4 x 2</t>
  </si>
  <si>
    <t>Te 65mm</t>
  </si>
  <si>
    <t>Luva 75mm</t>
  </si>
  <si>
    <t>Luva 65mm</t>
  </si>
  <si>
    <t>Luva 50mm</t>
  </si>
  <si>
    <t>Luva 40mm</t>
  </si>
  <si>
    <t>Luva 32mm</t>
  </si>
  <si>
    <t>Luva 25mm</t>
  </si>
  <si>
    <t>Joelho LR 25mm Latão</t>
  </si>
  <si>
    <t>Registro de gaveta do tipo esfera 40mm</t>
  </si>
  <si>
    <t>Ducha</t>
  </si>
  <si>
    <r>
      <rPr>
        <rFont val="Quattrocento Sans"/>
        <color theme="1"/>
        <sz val="11.0"/>
      </rPr>
      <t>Trata-se de memória de cálculo, ou memorial de cálculo, que é um documento que fica anexo ao projeto de construção civil,</t>
    </r>
    <r>
      <rPr>
        <rFont val="Segoe UI"/>
        <color theme="1"/>
        <sz val="11.0"/>
      </rPr>
      <t> e seu principal objetivo é fornecer, de forma detalhada, todos os cálculos que foram efetuados até alcançar o resultado final</t>
    </r>
    <r>
      <rPr>
        <rFont val="Segoe UI"/>
        <color theme="1"/>
        <sz val="11.0"/>
      </rPr>
      <t>, que também deve estar presente no documento.</t>
    </r>
  </si>
  <si>
    <t>38.4</t>
  </si>
  <si>
    <t>Mastro</t>
  </si>
  <si>
    <t>38.5</t>
  </si>
  <si>
    <t>Limpeza geral</t>
  </si>
  <si>
    <t>Andaime (guarita)</t>
  </si>
  <si>
    <t>perímetro</t>
  </si>
  <si>
    <t>Andaime (auditório)</t>
  </si>
  <si>
    <t>Andaime (administrativo)</t>
  </si>
  <si>
    <t>Andaime (laboratório 1)</t>
  </si>
  <si>
    <t>Andaime (refeitório)</t>
  </si>
  <si>
    <t>Andaime (sala de aula)</t>
  </si>
  <si>
    <t>Andaime (rampa)</t>
  </si>
  <si>
    <t>Andaime (escada)</t>
  </si>
  <si>
    <t>Andaime (caixa d'água)</t>
  </si>
  <si>
    <t>Limpeza fachada (guarita)</t>
  </si>
  <si>
    <t>Limpeza fachada (auditório)</t>
  </si>
  <si>
    <t>Limpeza fachada (administrativo)</t>
  </si>
  <si>
    <t>Limpeza fachada (laboratório 1)</t>
  </si>
  <si>
    <t>Limpeza fachada (refeitório)</t>
  </si>
  <si>
    <t>Limpeza fachada (sala de aula)</t>
  </si>
  <si>
    <t>Limpeza fachada (rampa)</t>
  </si>
  <si>
    <t>Limpeza fachada (escada)</t>
  </si>
  <si>
    <t>Limpeza fachada (caixa d'água)</t>
  </si>
  <si>
    <t>Blocos administrativo, laboratórios e biblioteca</t>
  </si>
  <si>
    <t>Infraestrutura</t>
  </si>
  <si>
    <t>Superestrurura - Concreto armado</t>
  </si>
  <si>
    <t>Superestrurura - Metálica</t>
  </si>
  <si>
    <t>Pintura</t>
  </si>
  <si>
    <t>Sapatas e Pilares</t>
  </si>
  <si>
    <t>Pilares</t>
  </si>
  <si>
    <t>Local</t>
  </si>
  <si>
    <t>Largura (m)</t>
  </si>
  <si>
    <t>Comprimento (m)</t>
  </si>
  <si>
    <t>taxa (kg/m²)</t>
  </si>
  <si>
    <t>m²/kg</t>
  </si>
  <si>
    <t>área total (m²)</t>
  </si>
  <si>
    <t>Elemento</t>
  </si>
  <si>
    <t>larg</t>
  </si>
  <si>
    <t>alt (forma)</t>
  </si>
  <si>
    <t>alt (escav)</t>
  </si>
  <si>
    <t>volume (escav)</t>
  </si>
  <si>
    <t>área(prep)</t>
  </si>
  <si>
    <t xml:space="preserve">área (forma) </t>
  </si>
  <si>
    <t>área(imp)</t>
  </si>
  <si>
    <t>Bloco Administrativo</t>
  </si>
  <si>
    <t>Laboratórios 2</t>
  </si>
  <si>
    <t xml:space="preserve">S2=S5=S23=S107
</t>
  </si>
  <si>
    <t xml:space="preserve">Pátio coberto </t>
  </si>
  <si>
    <t>S3=S4=S15=S18=S21=S45=S47=S51=S52=S53=S55=S61=S62=S63=S64=S65=S71=S73=S74=S76=S77=S81=S91=S92=S110=S111</t>
  </si>
  <si>
    <t>Biblioteca</t>
  </si>
  <si>
    <t>Laboratórios 1</t>
  </si>
  <si>
    <t xml:space="preserve">S7=S19
</t>
  </si>
  <si>
    <t>Sala de aula</t>
  </si>
  <si>
    <t xml:space="preserve">S8=S9=S14=S17=S20=S22=S34=S49=S57=S68=S108
</t>
  </si>
  <si>
    <t xml:space="preserve">Refeitório </t>
  </si>
  <si>
    <t xml:space="preserve">S10=S46=S54
</t>
  </si>
  <si>
    <t>Vigas</t>
  </si>
  <si>
    <t xml:space="preserve">Auditório </t>
  </si>
  <si>
    <t xml:space="preserve">S11=S12=S105
</t>
  </si>
  <si>
    <t>Auditório - Foyer</t>
  </si>
  <si>
    <t xml:space="preserve">S13=S48=S56
</t>
  </si>
  <si>
    <t>Guarita</t>
  </si>
  <si>
    <t xml:space="preserve">S16=S27=S28=S29=S35=S38=S40=S42=S50=S58=S84=S86=S88=S97=S98=S99
</t>
  </si>
  <si>
    <t>Passarela</t>
  </si>
  <si>
    <t xml:space="preserve">S26=S30=S69=S72=S96=S100
</t>
  </si>
  <si>
    <t xml:space="preserve">S39=S41=S85=S87
</t>
  </si>
  <si>
    <t xml:space="preserve">S70=S80
</t>
  </si>
  <si>
    <t xml:space="preserve">S75=S78=S79=S93=S103=S106=S109
</t>
  </si>
  <si>
    <t>Lajes</t>
  </si>
  <si>
    <t>S24-25/S31-32/S36-37/S43-44</t>
  </si>
  <si>
    <t>concreto</t>
  </si>
  <si>
    <t>S59-60/S82-83/S89-90</t>
  </si>
  <si>
    <t xml:space="preserve">larg </t>
  </si>
  <si>
    <t>área</t>
  </si>
  <si>
    <t>S66-67</t>
  </si>
  <si>
    <t>S94-95</t>
  </si>
  <si>
    <t>S101-102</t>
  </si>
  <si>
    <t>S2=S20=S35=S38=S60=S61</t>
  </si>
  <si>
    <t>Platibanda</t>
  </si>
  <si>
    <t>S4=S5=S6=S73=S74=S75=S76</t>
  </si>
  <si>
    <t>alt</t>
  </si>
  <si>
    <t>volume total</t>
  </si>
  <si>
    <t>S7=S19=S23=S24=S25=S26=S27=S30=S31=S33=S101=S106=S108=S109
=S63=S68=S72=S77=S81=S93=S95=S96=S98
=S36=S37=S40=S43=S47=S51=S55=S58=S62</t>
  </si>
  <si>
    <t>Pilaretes</t>
  </si>
  <si>
    <t>S8=S11=S12=S13=S14=S15=S41=S56=S80=S82=S85=S86=S87=S88=S89=S100=S102</t>
  </si>
  <si>
    <t>S18=S32</t>
  </si>
  <si>
    <t>Item 39.4.2.11</t>
  </si>
  <si>
    <t>S34=S39=S44=S54=S59=S69=S94=S99=S107</t>
  </si>
  <si>
    <t>S42=S57=S67=S92=S97=S105</t>
  </si>
  <si>
    <t>S48=S50</t>
  </si>
  <si>
    <t>S64=S65=S66</t>
  </si>
  <si>
    <t>S111=S114</t>
  </si>
  <si>
    <t>S115</t>
  </si>
  <si>
    <t>S9-10</t>
  </si>
  <si>
    <t>S16-17</t>
  </si>
  <si>
    <t>S21-22</t>
  </si>
  <si>
    <t>S28-29</t>
  </si>
  <si>
    <t>S45-46</t>
  </si>
  <si>
    <t>S52-53</t>
  </si>
  <si>
    <t>S70-71</t>
  </si>
  <si>
    <t>S78-79</t>
  </si>
  <si>
    <t>S83-84</t>
  </si>
  <si>
    <t>S90-91</t>
  </si>
  <si>
    <t>Preparo fundo de vala</t>
  </si>
  <si>
    <t>Concreto tronco de pilar e sapata</t>
  </si>
  <si>
    <t>Vigas baldrames</t>
  </si>
  <si>
    <t>V20</t>
  </si>
  <si>
    <t>V21</t>
  </si>
  <si>
    <t>V22</t>
  </si>
  <si>
    <t>V23</t>
  </si>
  <si>
    <t>V24</t>
  </si>
  <si>
    <t>V25</t>
  </si>
  <si>
    <t>V26</t>
  </si>
  <si>
    <t>V27</t>
  </si>
  <si>
    <t>V28</t>
  </si>
  <si>
    <t>V29</t>
  </si>
  <si>
    <t>V30</t>
  </si>
  <si>
    <t>V31</t>
  </si>
  <si>
    <t>V32</t>
  </si>
  <si>
    <t>V33</t>
  </si>
  <si>
    <t>V34</t>
  </si>
  <si>
    <t>V35</t>
  </si>
  <si>
    <t>V36</t>
  </si>
  <si>
    <t>V37</t>
  </si>
  <si>
    <t>V38</t>
  </si>
  <si>
    <t>V39</t>
  </si>
  <si>
    <t>V40</t>
  </si>
  <si>
    <t>V41</t>
  </si>
  <si>
    <t>V42</t>
  </si>
  <si>
    <t>V43</t>
  </si>
  <si>
    <t>V44</t>
  </si>
  <si>
    <t>Pilares 15x80</t>
  </si>
  <si>
    <t>Pilares 18x25</t>
  </si>
  <si>
    <t>Pilares 20x80</t>
  </si>
  <si>
    <t>Pilares 18x40</t>
  </si>
  <si>
    <t>Pilares 15x30</t>
  </si>
  <si>
    <t>Pilares 30x80</t>
  </si>
  <si>
    <t>Pilares 20x40/20x50</t>
  </si>
  <si>
    <t>Pilares 35x35</t>
  </si>
  <si>
    <t>Pilares 20x25</t>
  </si>
  <si>
    <t xml:space="preserve">Infraestrutura </t>
  </si>
  <si>
    <t>impermeabilização</t>
  </si>
  <si>
    <t>PASSARELAS</t>
  </si>
  <si>
    <t>S1=S2</t>
  </si>
  <si>
    <t>S3=S4=S5=S6=S8=S10=S14=S16=S19=S20=S21=S22=S23=S24=S25=S26=S27=S28=S29=S30=S31=S32=S34=S35=S36=S39=S40=S41=S43=S44</t>
  </si>
  <si>
    <t>S33=S37</t>
  </si>
  <si>
    <t>S7=S9=S11=S12=S13=S15=S17=S18</t>
  </si>
  <si>
    <t>S38=S42</t>
  </si>
  <si>
    <t>Pilares 30x30</t>
  </si>
  <si>
    <t>volume(concreto)</t>
  </si>
  <si>
    <t>blocos de coroamento</t>
  </si>
  <si>
    <t>Preparo fundo de vala blocos</t>
  </si>
  <si>
    <t>magro blocos</t>
  </si>
  <si>
    <t>forma blocos</t>
  </si>
  <si>
    <t>concreto blocos</t>
  </si>
  <si>
    <t>posição</t>
  </si>
  <si>
    <t>Aço blocos (modelo B10)</t>
  </si>
  <si>
    <t>N1</t>
  </si>
  <si>
    <t>N2</t>
  </si>
  <si>
    <t>N3</t>
  </si>
  <si>
    <t>N4</t>
  </si>
  <si>
    <t>N14</t>
  </si>
  <si>
    <t>Total blocos 5.0</t>
  </si>
  <si>
    <t>Total blocos 8.0</t>
  </si>
  <si>
    <t>VIVÊNCIA</t>
  </si>
  <si>
    <r>
      <rPr>
        <rFont val="Quattrocento Sans"/>
        <color theme="1"/>
        <sz val="11.0"/>
      </rPr>
      <t>Trata-se de memória de cálculo, ou memorial de cálculo, que é um documento que fica anexo ao projeto de construção civil,</t>
    </r>
    <r>
      <rPr>
        <rFont val="Segoe UI"/>
        <color theme="1"/>
        <sz val="11.0"/>
      </rPr>
      <t> e seu principal objetivo é fornecer, de forma detalhada, todos os cálculos que foram efetuados até alcançar o resultado final</t>
    </r>
    <r>
      <rPr>
        <rFont val="Segoe UI"/>
        <color theme="1"/>
        <sz val="11.0"/>
      </rPr>
      <t>, que também deve estar presente no documento.</t>
    </r>
  </si>
  <si>
    <t xml:space="preserve">Pilares 20 x 20cm </t>
  </si>
  <si>
    <t>Contrapiso (áreas secas)</t>
  </si>
  <si>
    <r>
      <rPr>
        <rFont val="Arial"/>
        <color rgb="FF474747"/>
        <sz val="8.0"/>
      </rPr>
      <t>A área de forma levantada, deverá estar </t>
    </r>
    <r>
      <rPr>
        <rFont val="Arial"/>
        <color rgb="FF040C28"/>
        <sz val="8.0"/>
      </rPr>
      <t>entre 10 e 14 m² por m³ do concreto estrutural empregado</t>
    </r>
    <r>
      <rPr>
        <rFont val="Arial"/>
        <color rgb="FF474747"/>
        <sz val="8.0"/>
      </rPr>
      <t>. Aproveitamentamento 4 vezes.</t>
    </r>
  </si>
  <si>
    <t>15.2.2 e 15.2.4</t>
  </si>
  <si>
    <t>Forma Infraestrutura e Superestrutura</t>
  </si>
  <si>
    <t>Aço CA 50 Infraestrutura e Superestrutura</t>
  </si>
  <si>
    <t>quant ajustada conforme orçamento</t>
  </si>
  <si>
    <t>Estrutura metálica (terça e treliça)</t>
  </si>
  <si>
    <t>Adotado 11,5kg por m²</t>
  </si>
  <si>
    <t>15.5.1, 15.5.2 e 15.5.3</t>
  </si>
  <si>
    <t>Pintura pilares</t>
  </si>
  <si>
    <t>15.7.1 e 15.7.2</t>
  </si>
  <si>
    <t>banco de madeira</t>
  </si>
  <si>
    <t>ESTACIONAMENTO</t>
  </si>
  <si>
    <r>
      <rPr>
        <rFont val="Quattrocento Sans"/>
        <color theme="1"/>
        <sz val="11.0"/>
      </rPr>
      <t>Trata-se de memória de cálculo, ou memorial de cálculo, que é um documento que fica anexo ao projeto de construção civil,</t>
    </r>
    <r>
      <rPr>
        <rFont val="Segoe UI"/>
        <color theme="1"/>
        <sz val="11.0"/>
      </rPr>
      <t> e seu principal objetivo é fornecer, de forma detalhada, todos os cálculos que foram efetuados até alcançar o resultado final</t>
    </r>
    <r>
      <rPr>
        <rFont val="Segoe UI"/>
        <color theme="1"/>
        <sz val="11.0"/>
      </rPr>
      <t>, que também deve estar presente no documento.</t>
    </r>
  </si>
  <si>
    <t>Meio fio estacionamento</t>
  </si>
  <si>
    <t>Pavimentação em paralelepípedos</t>
  </si>
  <si>
    <t>Calçada de piso cimentado</t>
  </si>
  <si>
    <t>Sarjeta</t>
  </si>
  <si>
    <t>Tubo de concreto DN 300mm</t>
  </si>
  <si>
    <t>Escavação de vala</t>
  </si>
  <si>
    <t>Boca de lobo</t>
  </si>
  <si>
    <t xml:space="preserve">Pintura de vagas </t>
  </si>
  <si>
    <t>Pintura de meio fio</t>
  </si>
  <si>
    <t xml:space="preserve">Faixa elevada - rua </t>
  </si>
  <si>
    <t>Faixa elevada - guarita</t>
  </si>
  <si>
    <t>Tela soldada</t>
  </si>
  <si>
    <t>Lona</t>
  </si>
  <si>
    <t/>
  </si>
  <si>
    <t xml:space="preserve">Demarcação </t>
  </si>
  <si>
    <t>Tampa cega para calha</t>
  </si>
  <si>
    <t xml:space="preserve">RESULTADO </t>
  </si>
  <si>
    <t>Capisco calha</t>
  </si>
  <si>
    <t>reboco calha</t>
  </si>
  <si>
    <t xml:space="preserve">Contrapiso </t>
  </si>
  <si>
    <t>RAMPA</t>
  </si>
  <si>
    <r>
      <rPr>
        <rFont val="Quattrocento Sans"/>
        <color theme="1"/>
        <sz val="11.0"/>
      </rPr>
      <t>Trata-se de memória de cálculo, ou memorial de cálculo, que é um documento que fica anexo ao projeto de construção civil,</t>
    </r>
    <r>
      <rPr>
        <rFont val="Segoe UI"/>
        <color theme="1"/>
        <sz val="11.0"/>
      </rPr>
      <t> e seu principal objetivo é fornecer, de forma detalhada, todos os cálculos que foram efetuados até alcançar o resultado final</t>
    </r>
    <r>
      <rPr>
        <rFont val="Segoe UI"/>
        <color theme="1"/>
        <sz val="11.0"/>
      </rPr>
      <t>, que também deve estar presente no documento.</t>
    </r>
  </si>
  <si>
    <t>Laje das rampas</t>
  </si>
  <si>
    <t>Laje superior</t>
  </si>
  <si>
    <r>
      <rPr>
        <rFont val="Arial"/>
        <color rgb="FF474747"/>
        <sz val="8.0"/>
      </rPr>
      <t>A área de forma levantada, deverá estar </t>
    </r>
    <r>
      <rPr>
        <rFont val="Arial"/>
        <color rgb="FF040C28"/>
        <sz val="8.0"/>
      </rPr>
      <t>entre 10 e 14 m² por m³ do concreto estrutural empregado</t>
    </r>
    <r>
      <rPr>
        <rFont val="Arial"/>
        <color rgb="FF474747"/>
        <sz val="8.0"/>
      </rPr>
      <t>. Aproveitamentamento 4 vezes.</t>
    </r>
  </si>
  <si>
    <t>Alvenaria 9cm Guarda-corpo (rampa)</t>
  </si>
  <si>
    <t>Alvenaria 9cm Platibanda (rampa)</t>
  </si>
  <si>
    <t>Rufo de topo (platibanda)</t>
  </si>
  <si>
    <t>Telha aço galvalume</t>
  </si>
  <si>
    <t>Chapisco Guarda-corpo (rampa)</t>
  </si>
  <si>
    <t>Chapisco topo do Guarda-corpo (rampa)</t>
  </si>
  <si>
    <t>Chapisco Platibanda</t>
  </si>
  <si>
    <t>Chapisco Pilares</t>
  </si>
  <si>
    <t>Reboco Guarda-corpo (rampa)</t>
  </si>
  <si>
    <t>Reboco topo do Guarda-corpo (rampa)</t>
  </si>
  <si>
    <t>Reboco Platibanda</t>
  </si>
  <si>
    <t>Reboco Pilares</t>
  </si>
  <si>
    <t>Selador teto</t>
  </si>
  <si>
    <t>Massa única teto</t>
  </si>
  <si>
    <t>Revestimento  cerâmico 10x10</t>
  </si>
  <si>
    <t>Esquadria aluminio porta alta</t>
  </si>
  <si>
    <t>Basculhante</t>
  </si>
  <si>
    <r>
      <rPr>
        <rFont val="Quattrocento Sans"/>
        <color theme="1"/>
        <sz val="11.0"/>
      </rPr>
      <t>Trata-se de memória de cálculo, ou memorial de cálculo, que é um documento que fica anexo ao projeto de construção civil,</t>
    </r>
    <r>
      <rPr>
        <rFont val="Arial"/>
        <color theme="1"/>
        <sz val="11.0"/>
      </rPr>
      <t> e seu principal objetivo é fornecer, de forma detalhada, todos os cálculos que foram efetuados até alcançar o resultado final, que também deve estar presente no documento.</t>
    </r>
  </si>
  <si>
    <t>PAISAGISMO</t>
  </si>
  <si>
    <r>
      <rPr>
        <rFont val="Quattrocento Sans"/>
        <color theme="1"/>
        <sz val="11.0"/>
      </rPr>
      <t>Trata-se de memória de cálculo, ou memorial de cálculo, que é um documento que fica anexo ao projeto de construção civil,</t>
    </r>
    <r>
      <rPr>
        <rFont val="Segoe UI"/>
        <color theme="1"/>
        <sz val="11.0"/>
      </rPr>
      <t> e seu principal objetivo é fornecer, de forma detalhada, todos os cálculos que foram efetuados até alcançar o resultado final</t>
    </r>
    <r>
      <rPr>
        <rFont val="Segoe UI"/>
        <color theme="1"/>
        <sz val="11.0"/>
      </rPr>
      <t>, que também deve estar presente no documento.</t>
    </r>
  </si>
  <si>
    <t xml:space="preserve">Meio fio </t>
  </si>
  <si>
    <t>Grama esmeralda</t>
  </si>
  <si>
    <t>Arvore de grnde porte</t>
  </si>
  <si>
    <t>Arvore de medio porte</t>
  </si>
  <si>
    <t>Arvora de pequeno porte</t>
  </si>
  <si>
    <t>Paimentação com siexo</t>
  </si>
  <si>
    <t>Postes decorativos 5m de altura  4 petalas</t>
  </si>
  <si>
    <t>Eletrotuo 32</t>
  </si>
  <si>
    <t>Quadro 18circulos</t>
  </si>
  <si>
    <t>Disjutntores</t>
  </si>
  <si>
    <t>Tubo 25mm</t>
  </si>
  <si>
    <t>Registor gaveta 25mm</t>
  </si>
  <si>
    <t>Torneira 25mm</t>
  </si>
  <si>
    <t>Rasgo</t>
  </si>
  <si>
    <t>CAMPO E PISTA DE ATLETISMO</t>
  </si>
  <si>
    <r>
      <rPr>
        <rFont val="Quattrocento Sans"/>
        <color theme="1"/>
        <sz val="11.0"/>
      </rPr>
      <t>Trata-se de memória de cálculo, ou memorial de cálculo, que é um documento que fica anexo ao projeto de construção civil,</t>
    </r>
    <r>
      <rPr>
        <rFont val="Segoe UI"/>
        <color theme="1"/>
        <sz val="11.0"/>
      </rPr>
      <t> e seu principal objetivo é fornecer, de forma detalhada, todos os cálculos que foram efetuados até alcançar o resultado final</t>
    </r>
    <r>
      <rPr>
        <rFont val="Segoe UI"/>
        <color theme="1"/>
        <sz val="11.0"/>
      </rPr>
      <t>, que também deve estar presente no documento.</t>
    </r>
  </si>
  <si>
    <t>Pilares 10 x 15cm</t>
  </si>
  <si>
    <t>Cintas 0,14* 0,20 m</t>
  </si>
  <si>
    <t xml:space="preserve">AREA </t>
  </si>
  <si>
    <t>Concreto FCK 25MPA</t>
  </si>
  <si>
    <t>Aterro  com areia</t>
  </si>
  <si>
    <t>Aterro  com terra vegetal</t>
  </si>
  <si>
    <t>Brita nº 3</t>
  </si>
  <si>
    <t>Brita nº 4</t>
  </si>
  <si>
    <t>Traves de futebol society</t>
  </si>
  <si>
    <t>Tubo de drenagem</t>
  </si>
  <si>
    <t>Tubo de concreto drenante dn 400mm</t>
  </si>
  <si>
    <t>Caixa de inspeção</t>
  </si>
  <si>
    <t>Bandeirinha</t>
  </si>
  <si>
    <t>Rede de futebol</t>
  </si>
  <si>
    <t>Alambrado metalico</t>
  </si>
  <si>
    <t>GRAMA</t>
  </si>
  <si>
    <t>CISTERNA CONCRETO</t>
  </si>
  <si>
    <r>
      <rPr>
        <rFont val="Quattrocento Sans"/>
        <color theme="1"/>
        <sz val="11.0"/>
      </rPr>
      <t>Trata-se de memória de cálculo, ou memorial de cálculo, que é um documento que fica anexo ao projeto de construção civil,</t>
    </r>
    <r>
      <rPr>
        <rFont val="Segoe UI"/>
        <color theme="1"/>
        <sz val="11.0"/>
      </rPr>
      <t> e seu principal objetivo é fornecer, de forma detalhada, todos os cálculos que foram efetuados até alcançar o resultado final</t>
    </r>
    <r>
      <rPr>
        <rFont val="Segoe UI"/>
        <color theme="1"/>
        <sz val="11.0"/>
      </rPr>
      <t>, que também deve estar presente no documento.</t>
    </r>
  </si>
  <si>
    <t>Concreto FCK 25MPA tampa</t>
  </si>
  <si>
    <t>ESTAÇÃO DE TRATAMENTO DE ESGOTO</t>
  </si>
  <si>
    <r>
      <rPr>
        <rFont val="Quattrocento Sans"/>
        <color theme="1"/>
        <sz val="11.0"/>
      </rPr>
      <t>Trata-se de memória de cálculo, ou memorial de cálculo, que é um documento que fica anexo ao projeto de construção civil,</t>
    </r>
    <r>
      <rPr>
        <rFont val="Segoe UI"/>
        <color theme="1"/>
        <sz val="11.0"/>
      </rPr>
      <t> e seu principal objetivo é fornecer, de forma detalhada, todos os cálculos que foram efetuados até alcançar o resultado final</t>
    </r>
    <r>
      <rPr>
        <rFont val="Segoe UI"/>
        <color theme="1"/>
        <sz val="11.0"/>
      </rPr>
      <t>, que também deve estar presente no documento.</t>
    </r>
  </si>
  <si>
    <t>V</t>
  </si>
  <si>
    <r>
      <rPr>
        <rFont val="Quattrocento Sans"/>
        <color theme="1"/>
        <sz val="11.0"/>
      </rPr>
      <t>Trata-se de memória de cálculo, ou memorial de cálculo, que é um documento que fica anexo ao projeto de construção civil,</t>
    </r>
    <r>
      <rPr>
        <rFont val="Segoe UI"/>
        <color theme="1"/>
        <sz val="11.0"/>
      </rPr>
      <t> e seu principal objetivo é fornecer, de forma detalhada, todos os cálculos que foram efetuados até alcançar o resultado final</t>
    </r>
    <r>
      <rPr>
        <rFont val="Segoe UI"/>
        <color theme="1"/>
        <sz val="11.0"/>
      </rPr>
      <t>, que também deve estar presente no documento.</t>
    </r>
  </si>
  <si>
    <t>BARRA DE APOIO RETA, EM ACO INOX POLIDO, COMPRIMENTO 60CM, FIXADA NA PAREDE - FORNECIMENTO E INSTALAÇÃO. AF_01/2020</t>
  </si>
  <si>
    <t xml:space="preserve">Administrativo </t>
  </si>
  <si>
    <t>Laboratórios</t>
  </si>
  <si>
    <t>Auditório</t>
  </si>
  <si>
    <t>diretor</t>
  </si>
  <si>
    <t>Salas de aula</t>
  </si>
  <si>
    <t>BARRA DE APOIO RETA, EM ACO INOX POLIDO, COMPRIMENTO 70 CM, FIXADA NA PAREDE - FORNECIMENTO E INSTALAÇÃO. AF_01/2020</t>
  </si>
  <si>
    <t>BARRA DE APOIO RETA, EM ACO INOX POLIDO, COMPRIMENTO 80 CM, FIXADA NA PAREDE - FORNECIMENTO E INSTALAÇÃO. AF_01/2020</t>
  </si>
  <si>
    <t>BARRA DE APOIO PARA PNE, EM "U" E AÇO INÓX, PROFUNDIDADE 30CM, ALTURA 15CM, DIÂMETRO 40MM, FORNECIMENTO E INSTALAÇÃO. (REF. 12123/ORSE)</t>
  </si>
  <si>
    <t>PUXADOR PARA PCD, FIXADO NA PORTA - FORNECIMENTO E INSTALAÇÃO. AF_01/2020</t>
  </si>
  <si>
    <t>CASA DE GAS</t>
  </si>
  <si>
    <r>
      <rPr>
        <rFont val="Quattrocento Sans"/>
        <color theme="1"/>
        <sz val="11.0"/>
      </rPr>
      <t>Trata-se de memória de cálculo, ou memorial de cálculo, que é um documento que fica anexo ao projeto de construção civil,</t>
    </r>
    <r>
      <rPr>
        <rFont val="Segoe UI"/>
        <color theme="1"/>
        <sz val="11.0"/>
      </rPr>
      <t> e seu principal objetivo é fornecer, de forma detalhada, todos os cálculos que foram efetuados até alcançar o resultado final</t>
    </r>
    <r>
      <rPr>
        <rFont val="Segoe UI"/>
        <color theme="1"/>
        <sz val="11.0"/>
      </rPr>
      <t>, que também deve estar presente no documento.</t>
    </r>
  </si>
  <si>
    <r>
      <rPr>
        <rFont val="Arial"/>
        <color rgb="FF474747"/>
        <sz val="8.0"/>
      </rPr>
      <t>A área de forma levantada, deverá estar </t>
    </r>
    <r>
      <rPr>
        <rFont val="Arial"/>
        <color rgb="FF040C28"/>
        <sz val="8.0"/>
      </rPr>
      <t>entre 10 e 14 m² por m³ do concreto estrutural empregado</t>
    </r>
    <r>
      <rPr>
        <rFont val="Arial"/>
        <color rgb="FF474747"/>
        <sz val="8.0"/>
      </rPr>
      <t>. Aproveitamentamento 4 vezes.</t>
    </r>
  </si>
  <si>
    <t>CISTERNA</t>
  </si>
  <si>
    <r>
      <rPr>
        <rFont val="Quattrocento Sans"/>
        <color theme="1"/>
        <sz val="11.0"/>
      </rPr>
      <t>Trata-se de memória de cálculo, ou memorial de cálculo, que é um documento que fica anexo ao projeto de construção civil,</t>
    </r>
    <r>
      <rPr>
        <rFont val="Segoe UI"/>
        <color theme="1"/>
        <sz val="11.0"/>
      </rPr>
      <t> e seu principal objetivo é fornecer, de forma detalhada, todos os cálculos que foram efetuados até alcançar o resultado final</t>
    </r>
    <r>
      <rPr>
        <rFont val="Segoe UI"/>
        <color theme="1"/>
        <sz val="11.0"/>
      </rPr>
      <t>, que também deve estar presente no documento.</t>
    </r>
  </si>
  <si>
    <t>COMBATE A INCÊNDIO</t>
  </si>
  <si>
    <r>
      <rPr>
        <rFont val="Quattrocento Sans"/>
        <color theme="1"/>
        <sz val="11.0"/>
      </rPr>
      <t>Trata-se de memória de cálculo, ou memorial de cálculo, que é um documento que fica anexo ao projeto de construção civil,</t>
    </r>
    <r>
      <rPr>
        <rFont val="Segoe UI"/>
        <color theme="1"/>
        <sz val="11.0"/>
      </rPr>
      <t> e seu principal objetivo é fornecer, de forma detalhada, todos os cálculos que foram efetuados até alcançar o resultado final</t>
    </r>
    <r>
      <rPr>
        <rFont val="Segoe UI"/>
        <color theme="1"/>
        <sz val="11.0"/>
      </rPr>
      <t>, que também deve estar presente no documento.</t>
    </r>
  </si>
  <si>
    <t>SISTEMA DE PROTEÇÃO CONTRA DESCARGAS ATMOSFERICAS</t>
  </si>
  <si>
    <r>
      <rPr>
        <rFont val="Quattrocento Sans"/>
        <color theme="1"/>
        <sz val="11.0"/>
      </rPr>
      <t>Trata-se de memória de cálculo, ou memorial de cálculo, que é um documento que fica anexo ao projeto de construção civil,</t>
    </r>
    <r>
      <rPr>
        <rFont val="Segoe UI"/>
        <color theme="1"/>
        <sz val="11.0"/>
      </rPr>
      <t> e seu principal objetivo é fornecer, de forma detalhada, todos os cálculos que foram efetuados até alcançar o resultado final</t>
    </r>
    <r>
      <rPr>
        <rFont val="Segoe UI"/>
        <color theme="1"/>
        <sz val="11.0"/>
      </rPr>
      <t>, que também deve estar presente no documento.</t>
    </r>
  </si>
  <si>
    <t>CFTV</t>
  </si>
  <si>
    <r>
      <rPr>
        <rFont val="Quattrocento Sans"/>
        <color theme="1"/>
        <sz val="11.0"/>
      </rPr>
      <t>Trata-se de memória de cálculo, ou memorial de cálculo, que é um documento que fica anexo ao projeto de construção civil,</t>
    </r>
    <r>
      <rPr>
        <rFont val="Segoe UI"/>
        <color theme="1"/>
        <sz val="11.0"/>
      </rPr>
      <t> e seu principal objetivo é fornecer, de forma detalhada, todos os cálculos que foram efetuados até alcançar o resultado final</t>
    </r>
    <r>
      <rPr>
        <rFont val="Segoe UI"/>
        <color theme="1"/>
        <sz val="11.0"/>
      </rPr>
      <t>, que também deve estar presente no documento.</t>
    </r>
  </si>
  <si>
    <t>FOTOVOLTAICO</t>
  </si>
  <si>
    <r>
      <rPr>
        <rFont val="Quattrocento Sans"/>
        <color theme="1"/>
        <sz val="11.0"/>
      </rPr>
      <t>Trata-se de memória de cálculo, ou memorial de cálculo, que é um documento que fica anexo ao projeto de construção civil,</t>
    </r>
    <r>
      <rPr>
        <rFont val="Segoe UI"/>
        <color theme="1"/>
        <sz val="11.0"/>
      </rPr>
      <t> e seu principal objetivo é fornecer, de forma detalhada, todos os cálculos que foram efetuados até alcançar o resultado final</t>
    </r>
    <r>
      <rPr>
        <rFont val="Segoe UI"/>
        <color theme="1"/>
        <sz val="11.0"/>
      </rPr>
      <t>, que também deve estar presente no documento.</t>
    </r>
  </si>
  <si>
    <t>LÓGICA</t>
  </si>
  <si>
    <r>
      <rPr>
        <rFont val="Quattrocento Sans"/>
        <color theme="1"/>
        <sz val="11.0"/>
      </rPr>
      <t>Trata-se de memória de cálculo, ou memorial de cálculo, que é um documento que fica anexo ao projeto de construção civil,</t>
    </r>
    <r>
      <rPr>
        <rFont val="Segoe UI"/>
        <color theme="1"/>
        <sz val="11.0"/>
      </rPr>
      <t> e seu principal objetivo é fornecer, de forma detalhada, todos os cálculos que foram efetuados até alcançar o resultado final</t>
    </r>
    <r>
      <rPr>
        <rFont val="Segoe UI"/>
        <color theme="1"/>
        <sz val="11.0"/>
      </rPr>
      <t>, que também deve estar presente no documento.</t>
    </r>
  </si>
  <si>
    <t>SOM</t>
  </si>
  <si>
    <r>
      <rPr>
        <rFont val="Quattrocento Sans"/>
        <color theme="1"/>
        <sz val="11.0"/>
      </rPr>
      <t>Trata-se de memória de cálculo, ou memorial de cálculo, que é um documento que fica anexo ao projeto de construção civil,</t>
    </r>
    <r>
      <rPr>
        <rFont val="Segoe UI"/>
        <color theme="1"/>
        <sz val="11.0"/>
      </rPr>
      <t> e seu principal objetivo é fornecer, de forma detalhada, todos os cálculos que foram efetuados até alcançar o resultado final</t>
    </r>
    <r>
      <rPr>
        <rFont val="Segoe UI"/>
        <color theme="1"/>
        <sz val="11.0"/>
      </rPr>
      <t>, que também deve estar presente no documento.</t>
    </r>
  </si>
  <si>
    <t>POÇO</t>
  </si>
  <si>
    <r>
      <rPr>
        <rFont val="Quattrocento Sans"/>
        <color theme="1"/>
        <sz val="11.0"/>
      </rPr>
      <t>Trata-se de memória de cálculo, ou memorial de cálculo, que é um documento que fica anexo ao projeto de construção civil,</t>
    </r>
    <r>
      <rPr>
        <rFont val="Segoe UI"/>
        <color theme="1"/>
        <sz val="11.0"/>
      </rPr>
      <t> e seu principal objetivo é fornecer, de forma detalhada, todos os cálculos que foram efetuados até alcançar o resultado final</t>
    </r>
    <r>
      <rPr>
        <rFont val="Segoe UI"/>
        <color theme="1"/>
        <sz val="11.0"/>
      </rPr>
      <t>, que também deve estar presente no documento.</t>
    </r>
  </si>
  <si>
    <t>SUBESTAÇÃO</t>
  </si>
  <si>
    <r>
      <rPr>
        <rFont val="Quattrocento Sans"/>
        <color theme="1"/>
        <sz val="11.0"/>
      </rPr>
      <t>Trata-se de memória de cálculo, ou memorial de cálculo, que é um documento que fica anexo ao projeto de construção civil,</t>
    </r>
    <r>
      <rPr>
        <rFont val="Segoe UI"/>
        <color theme="1"/>
        <sz val="11.0"/>
      </rPr>
      <t> e seu principal objetivo é fornecer, de forma detalhada, todos os cálculos que foram efetuados até alcançar o resultado final</t>
    </r>
    <r>
      <rPr>
        <rFont val="Segoe UI"/>
        <color theme="1"/>
        <sz val="11.0"/>
      </rPr>
      <t>, que também deve estar presente no documento.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</si>
</sst>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0">
    <numFmt numFmtId="164" formatCode="_-* #,##0.00_-;\-* #,##0.00_-;_-* &quot;-&quot;??_-;_-@"/>
    <numFmt numFmtId="165" formatCode="d.m.yy"/>
    <numFmt numFmtId="166" formatCode="_-* #,##0.00_-;\-* #,##0.00_-;_-* &quot;-&quot;??.0_-;_-@"/>
    <numFmt numFmtId="167" formatCode="_-* #,##0.00_-;\-* #,##0.00_-;_-* &quot;-&quot;??.00_-;_-@"/>
    <numFmt numFmtId="168" formatCode="_-* #,##0.000_-;\-* #,##0.000_-;_-* &quot;-&quot;??.0_-;_-@"/>
    <numFmt numFmtId="169" formatCode="d.m.y"/>
    <numFmt numFmtId="170" formatCode="d.m"/>
    <numFmt numFmtId="171" formatCode="d.m.yyyy"/>
    <numFmt numFmtId="172" formatCode="_-* #,##0.0000000_-;\-* #,##0.0000000_-;_-* &quot;-&quot;??.0000000_-;_-@"/>
    <numFmt numFmtId="173" formatCode="0.000"/>
  </numFmts>
  <fonts count="40">
    <font>
      <sz val="11.0"/>
      <color theme="1"/>
      <name val="Aptos Narrow"/>
      <scheme val="minor"/>
    </font>
    <font>
      <b/>
      <color theme="1"/>
      <name val="Arial"/>
    </font>
    <font>
      <color theme="1"/>
      <name val="Arial"/>
    </font>
    <font>
      <color rgb="FF000000"/>
      <name val="Arial"/>
    </font>
    <font>
      <sz val="11.0"/>
      <color theme="1"/>
      <name val="Aptos Narrow"/>
    </font>
    <font>
      <b/>
      <i/>
      <sz val="11.0"/>
      <color theme="1"/>
      <name val="Aptos Narrow"/>
    </font>
    <font>
      <sz val="11.0"/>
      <color theme="1"/>
      <name val="Arial"/>
    </font>
    <font>
      <b/>
      <sz val="11.0"/>
      <color theme="1"/>
      <name val="Aptos Narrow"/>
    </font>
    <font/>
    <font>
      <sz val="11.0"/>
      <color theme="1"/>
      <name val="Quattrocento Sans"/>
    </font>
    <font>
      <b/>
      <sz val="20.0"/>
      <color theme="0"/>
      <name val="Aptos Narrow"/>
    </font>
    <font>
      <b/>
      <sz val="11.0"/>
      <color theme="0"/>
      <name val="Aptos Narrow"/>
    </font>
    <font>
      <sz val="8.0"/>
      <color rgb="FF474747"/>
      <name val="Arial"/>
    </font>
    <font>
      <color theme="1"/>
      <name val="Aptos Narrow"/>
      <scheme val="minor"/>
    </font>
    <font>
      <b/>
      <sz val="11.0"/>
      <color theme="1"/>
      <name val="Arial"/>
    </font>
    <font>
      <sz val="8.0"/>
      <color rgb="FF1F1F1F"/>
      <name val="Arial"/>
    </font>
    <font>
      <sz val="8.0"/>
      <color theme="1"/>
      <name val="Arial"/>
    </font>
    <font>
      <sz val="11.0"/>
      <color rgb="FF1F1F1F"/>
      <name val="&quot;Google Sans&quot;"/>
    </font>
    <font>
      <b/>
      <color theme="1"/>
      <name val="Aptos Narrow"/>
      <scheme val="minor"/>
    </font>
    <font>
      <sz val="11.0"/>
      <color rgb="FF000000"/>
      <name val="Aptos Narrow"/>
    </font>
    <font>
      <sz val="11.0"/>
      <color rgb="FF76A5AF"/>
      <name val="Aptos Narrow"/>
    </font>
    <font>
      <sz val="11.0"/>
      <color rgb="FF000000"/>
      <name val="Arial"/>
    </font>
    <font>
      <sz val="11.0"/>
      <color rgb="FF000000"/>
      <name val="&quot;Aptos Narrow&quot;"/>
    </font>
    <font>
      <strike/>
      <color theme="1"/>
      <name val="Arial"/>
    </font>
    <font>
      <i/>
      <sz val="11.0"/>
      <color theme="1"/>
      <name val="Aptos Narrow"/>
    </font>
    <font>
      <sz val="9.0"/>
      <color theme="1"/>
      <name val="Arial"/>
    </font>
    <font>
      <sz val="10.0"/>
      <color theme="1"/>
      <name val="Arial"/>
    </font>
    <font>
      <sz val="8.0"/>
      <color theme="1"/>
      <name val="Aptos Narrow"/>
    </font>
    <font>
      <b/>
      <i/>
      <sz val="11.0"/>
      <color theme="1"/>
      <name val="Arial"/>
    </font>
    <font>
      <b/>
      <sz val="11.0"/>
      <color rgb="FF000000"/>
      <name val="Aptos Narrow"/>
    </font>
    <font>
      <color rgb="FF000000"/>
      <name val="Aptos Narrow"/>
      <scheme val="minor"/>
    </font>
    <font>
      <b/>
      <sz val="11.0"/>
      <color rgb="FF000000"/>
      <name val="Arial"/>
    </font>
    <font>
      <sz val="11.0"/>
      <color rgb="FFFF0000"/>
      <name val="Arial"/>
    </font>
    <font>
      <b/>
      <sz val="11.0"/>
      <color rgb="FFFFFFFF"/>
      <name val="Arial"/>
    </font>
    <font>
      <b/>
      <sz val="20.0"/>
      <color rgb="FFFFFFFF"/>
      <name val="&quot;Aptos Narrow&quot;"/>
    </font>
    <font>
      <b/>
      <sz val="11.0"/>
      <color rgb="FFFFFFFF"/>
      <name val="&quot;Aptos Narrow&quot;"/>
    </font>
    <font>
      <b/>
      <sz val="11.0"/>
      <color rgb="FF000000"/>
      <name val="&quot;Aptos Narrow&quot;"/>
    </font>
    <font>
      <b/>
      <sz val="11.0"/>
      <color theme="1"/>
      <name val="&quot;Aptos Narrow&quot;"/>
    </font>
    <font>
      <b/>
      <sz val="11.0"/>
      <color rgb="FFFF0000"/>
      <name val="&quot;Aptos Narrow&quot;"/>
    </font>
    <font>
      <color rgb="FFFFFFFF"/>
      <name val="Arial"/>
    </font>
  </fonts>
  <fills count="17">
    <fill>
      <patternFill patternType="none"/>
    </fill>
    <fill>
      <patternFill patternType="lightGray"/>
    </fill>
    <fill>
      <patternFill patternType="solid">
        <fgColor rgb="FF00B0F0"/>
        <bgColor rgb="FF00B0F0"/>
      </patternFill>
    </fill>
    <fill>
      <patternFill patternType="solid">
        <fgColor rgb="FF275317"/>
        <bgColor rgb="FF275317"/>
      </patternFill>
    </fill>
    <fill>
      <patternFill patternType="solid">
        <fgColor rgb="FF7F7F7F"/>
        <bgColor rgb="FF7F7F7F"/>
      </patternFill>
    </fill>
    <fill>
      <patternFill patternType="solid">
        <fgColor theme="0"/>
        <bgColor theme="0"/>
      </patternFill>
    </fill>
    <fill>
      <patternFill patternType="solid">
        <fgColor rgb="FF47D45A"/>
        <bgColor rgb="FF47D45A"/>
      </patternFill>
    </fill>
    <fill>
      <patternFill patternType="solid">
        <fgColor rgb="FFCAEDFB"/>
        <bgColor rgb="FFCAEDFB"/>
      </patternFill>
    </fill>
    <fill>
      <patternFill patternType="solid">
        <fgColor rgb="FF00B050"/>
        <bgColor rgb="FF00B050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00FF00"/>
        <bgColor rgb="FF00FF0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D9D9D9"/>
        <bgColor rgb="FFD9D9D9"/>
      </patternFill>
    </fill>
    <fill>
      <patternFill patternType="solid">
        <fgColor rgb="FFFCE5CD"/>
        <bgColor rgb="FFFCE5CD"/>
      </patternFill>
    </fill>
  </fills>
  <borders count="29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/>
      <top/>
    </border>
    <border>
      <top/>
    </border>
    <border>
      <right/>
      <top/>
    </border>
    <border>
      <left style="thin">
        <color rgb="FF000000"/>
      </left>
      <right style="thin">
        <color rgb="FF000000"/>
      </right>
      <bottom/>
    </border>
    <border>
      <right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9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1" fillId="0" fontId="4" numFmtId="0" xfId="0" applyAlignment="1" applyBorder="1" applyFont="1">
      <alignment horizontal="center"/>
    </xf>
    <xf borderId="2" fillId="0" fontId="4" numFmtId="0" xfId="0" applyBorder="1" applyFont="1"/>
    <xf borderId="2" fillId="0" fontId="4" numFmtId="0" xfId="0" applyAlignment="1" applyBorder="1" applyFont="1">
      <alignment horizontal="center"/>
    </xf>
    <xf borderId="2" fillId="0" fontId="4" numFmtId="0" xfId="0" applyAlignment="1" applyBorder="1" applyFont="1">
      <alignment horizontal="right"/>
    </xf>
    <xf borderId="2" fillId="0" fontId="4" numFmtId="164" xfId="0" applyBorder="1" applyFont="1" applyNumberFormat="1"/>
    <xf borderId="3" fillId="0" fontId="4" numFmtId="0" xfId="0" applyAlignment="1" applyBorder="1" applyFont="1">
      <alignment horizontal="center"/>
    </xf>
    <xf borderId="4" fillId="0" fontId="5" numFmtId="0" xfId="0" applyAlignment="1" applyBorder="1" applyFont="1">
      <alignment horizontal="center"/>
    </xf>
    <xf borderId="0" fillId="0" fontId="5" numFmtId="0" xfId="0" applyFont="1"/>
    <xf borderId="0" fillId="0" fontId="4" numFmtId="0" xfId="0" applyAlignment="1" applyFont="1">
      <alignment horizontal="center"/>
    </xf>
    <xf borderId="0" fillId="0" fontId="4" numFmtId="0" xfId="0" applyAlignment="1" applyFont="1">
      <alignment horizontal="right"/>
    </xf>
    <xf borderId="0" fillId="0" fontId="4" numFmtId="164" xfId="0" applyFont="1" applyNumberFormat="1"/>
    <xf borderId="5" fillId="2" fontId="4" numFmtId="164" xfId="0" applyBorder="1" applyFill="1" applyFont="1" applyNumberFormat="1"/>
    <xf borderId="0" fillId="0" fontId="6" numFmtId="164" xfId="0" applyAlignment="1" applyFont="1" applyNumberFormat="1">
      <alignment readingOrder="0"/>
    </xf>
    <xf borderId="0" fillId="0" fontId="7" numFmtId="164" xfId="0" applyAlignment="1" applyFont="1" applyNumberFormat="1">
      <alignment horizontal="center"/>
    </xf>
    <xf borderId="6" fillId="0" fontId="4" numFmtId="0" xfId="0" applyAlignment="1" applyBorder="1" applyFont="1">
      <alignment horizontal="center"/>
    </xf>
    <xf borderId="4" fillId="0" fontId="4" numFmtId="0" xfId="0" applyAlignment="1" applyBorder="1" applyFont="1">
      <alignment horizontal="center"/>
    </xf>
    <xf borderId="4" fillId="0" fontId="7" numFmtId="0" xfId="0" applyAlignment="1" applyBorder="1" applyFont="1">
      <alignment horizontal="center"/>
    </xf>
    <xf borderId="6" fillId="0" fontId="8" numFmtId="0" xfId="0" applyBorder="1" applyFont="1"/>
    <xf borderId="0" fillId="0" fontId="9" numFmtId="0" xfId="0" applyAlignment="1" applyFont="1">
      <alignment horizontal="left" shrinkToFit="0" vertical="top" wrapText="1"/>
    </xf>
    <xf borderId="7" fillId="3" fontId="10" numFmtId="0" xfId="0" applyAlignment="1" applyBorder="1" applyFill="1" applyFont="1">
      <alignment horizontal="center"/>
    </xf>
    <xf borderId="8" fillId="0" fontId="8" numFmtId="0" xfId="0" applyBorder="1" applyFont="1"/>
    <xf borderId="9" fillId="0" fontId="8" numFmtId="0" xfId="0" applyBorder="1" applyFont="1"/>
    <xf borderId="10" fillId="4" fontId="11" numFmtId="0" xfId="0" applyAlignment="1" applyBorder="1" applyFill="1" applyFont="1">
      <alignment horizontal="center"/>
    </xf>
    <xf borderId="11" fillId="4" fontId="11" numFmtId="0" xfId="0" applyAlignment="1" applyBorder="1" applyFont="1">
      <alignment horizontal="center"/>
    </xf>
    <xf borderId="12" fillId="0" fontId="8" numFmtId="0" xfId="0" applyBorder="1" applyFont="1"/>
    <xf borderId="13" fillId="0" fontId="8" numFmtId="0" xfId="0" applyBorder="1" applyFont="1"/>
    <xf borderId="14" fillId="4" fontId="11" numFmtId="164" xfId="0" applyAlignment="1" applyBorder="1" applyFont="1" applyNumberFormat="1">
      <alignment horizontal="center"/>
    </xf>
    <xf borderId="10" fillId="4" fontId="11" numFmtId="164" xfId="0" applyAlignment="1" applyBorder="1" applyFont="1" applyNumberFormat="1">
      <alignment horizontal="center"/>
    </xf>
    <xf borderId="15" fillId="0" fontId="8" numFmtId="0" xfId="0" applyBorder="1" applyFont="1"/>
    <xf borderId="5" fillId="4" fontId="11" numFmtId="0" xfId="0" applyAlignment="1" applyBorder="1" applyFont="1">
      <alignment horizontal="center"/>
    </xf>
    <xf borderId="5" fillId="4" fontId="11" numFmtId="164" xfId="0" applyAlignment="1" applyBorder="1" applyFont="1" applyNumberFormat="1">
      <alignment horizontal="center"/>
    </xf>
    <xf borderId="16" fillId="4" fontId="11" numFmtId="164" xfId="0" applyAlignment="1" applyBorder="1" applyFont="1" applyNumberFormat="1">
      <alignment horizontal="center"/>
    </xf>
    <xf borderId="5" fillId="2" fontId="6" numFmtId="165" xfId="0" applyAlignment="1" applyBorder="1" applyFont="1" applyNumberFormat="1">
      <alignment horizontal="center" readingOrder="0"/>
    </xf>
    <xf borderId="5" fillId="0" fontId="4" numFmtId="0" xfId="0" applyBorder="1" applyFont="1"/>
    <xf borderId="5" fillId="0" fontId="6" numFmtId="0" xfId="0" applyAlignment="1" applyBorder="1" applyFont="1">
      <alignment horizontal="center" readingOrder="0"/>
    </xf>
    <xf borderId="5" fillId="5" fontId="6" numFmtId="164" xfId="0" applyAlignment="1" applyBorder="1" applyFill="1" applyFont="1" applyNumberFormat="1">
      <alignment horizontal="right" readingOrder="0"/>
    </xf>
    <xf borderId="5" fillId="0" fontId="4" numFmtId="164" xfId="0" applyBorder="1" applyFont="1" applyNumberFormat="1"/>
    <xf borderId="5" fillId="0" fontId="6" numFmtId="164" xfId="0" applyAlignment="1" applyBorder="1" applyFont="1" applyNumberFormat="1">
      <alignment readingOrder="0"/>
    </xf>
    <xf borderId="5" fillId="5" fontId="4" numFmtId="164" xfId="0" applyBorder="1" applyFont="1" applyNumberFormat="1"/>
    <xf borderId="5" fillId="6" fontId="7" numFmtId="164" xfId="0" applyBorder="1" applyFill="1" applyFont="1" applyNumberFormat="1"/>
    <xf borderId="0" fillId="0" fontId="12" numFmtId="0" xfId="0" applyAlignment="1" applyFont="1">
      <alignment horizontal="center" shrinkToFit="0" wrapText="1"/>
    </xf>
    <xf borderId="0" fillId="0" fontId="13" numFmtId="0" xfId="0" applyFont="1"/>
    <xf borderId="5" fillId="0" fontId="4" numFmtId="0" xfId="0" applyAlignment="1" applyBorder="1" applyFont="1">
      <alignment horizontal="center"/>
    </xf>
    <xf borderId="5" fillId="0" fontId="4" numFmtId="164" xfId="0" applyAlignment="1" applyBorder="1" applyFont="1" applyNumberFormat="1">
      <alignment horizontal="center"/>
    </xf>
    <xf borderId="0" fillId="0" fontId="7" numFmtId="0" xfId="0" applyAlignment="1" applyFont="1">
      <alignment horizontal="center"/>
    </xf>
    <xf borderId="5" fillId="0" fontId="6" numFmtId="0" xfId="0" applyAlignment="1" applyBorder="1" applyFont="1">
      <alignment readingOrder="0"/>
    </xf>
    <xf borderId="5" fillId="7" fontId="7" numFmtId="0" xfId="0" applyAlignment="1" applyBorder="1" applyFill="1" applyFont="1">
      <alignment horizontal="center"/>
    </xf>
    <xf borderId="5" fillId="7" fontId="14" numFmtId="0" xfId="0" applyAlignment="1" applyBorder="1" applyFont="1">
      <alignment horizontal="center" readingOrder="0"/>
    </xf>
    <xf borderId="5" fillId="7" fontId="14" numFmtId="164" xfId="0" applyAlignment="1" applyBorder="1" applyFont="1" applyNumberFormat="1">
      <alignment horizontal="center" readingOrder="0"/>
    </xf>
    <xf borderId="5" fillId="7" fontId="7" numFmtId="164" xfId="0" applyAlignment="1" applyBorder="1" applyFont="1" applyNumberFormat="1">
      <alignment horizontal="center"/>
    </xf>
    <xf borderId="17" fillId="0" fontId="2" numFmtId="0" xfId="0" applyAlignment="1" applyBorder="1" applyFont="1">
      <alignment readingOrder="0"/>
    </xf>
    <xf borderId="15" fillId="0" fontId="6" numFmtId="0" xfId="0" applyAlignment="1" applyBorder="1" applyFont="1">
      <alignment horizontal="center" readingOrder="0"/>
    </xf>
    <xf borderId="5" fillId="0" fontId="6" numFmtId="0" xfId="0" applyAlignment="1" applyBorder="1" applyFont="1">
      <alignment horizontal="right" readingOrder="0"/>
    </xf>
    <xf borderId="15" fillId="0" fontId="2" numFmtId="0" xfId="0" applyAlignment="1" applyBorder="1" applyFont="1">
      <alignment readingOrder="0"/>
    </xf>
    <xf borderId="15" fillId="0" fontId="6" numFmtId="164" xfId="0" applyAlignment="1" applyBorder="1" applyFont="1" applyNumberFormat="1">
      <alignment readingOrder="0"/>
    </xf>
    <xf borderId="15" fillId="0" fontId="4" numFmtId="164" xfId="0" applyBorder="1" applyFont="1" applyNumberFormat="1"/>
    <xf borderId="15" fillId="8" fontId="7" numFmtId="164" xfId="0" applyBorder="1" applyFill="1" applyFont="1" applyNumberFormat="1"/>
    <xf borderId="18" fillId="0" fontId="4" numFmtId="0" xfId="0" applyAlignment="1" applyBorder="1" applyFont="1">
      <alignment horizontal="center"/>
    </xf>
    <xf borderId="0" fillId="0" fontId="2" numFmtId="4" xfId="0" applyAlignment="1" applyFont="1" applyNumberFormat="1">
      <alignment readingOrder="0"/>
    </xf>
    <xf borderId="13" fillId="0" fontId="2" numFmtId="0" xfId="0" applyAlignment="1" applyBorder="1" applyFont="1">
      <alignment readingOrder="0"/>
    </xf>
    <xf borderId="5" fillId="8" fontId="7" numFmtId="164" xfId="0" applyBorder="1" applyFont="1" applyNumberFormat="1"/>
    <xf borderId="11" fillId="0" fontId="4" numFmtId="0" xfId="0" applyAlignment="1" applyBorder="1" applyFont="1">
      <alignment horizontal="center"/>
    </xf>
    <xf borderId="0" fillId="0" fontId="13" numFmtId="10" xfId="0" applyFont="1" applyNumberFormat="1"/>
    <xf borderId="5" fillId="0" fontId="2" numFmtId="0" xfId="0" applyAlignment="1" applyBorder="1" applyFont="1">
      <alignment readingOrder="0"/>
    </xf>
    <xf borderId="0" fillId="0" fontId="6" numFmtId="0" xfId="0" applyAlignment="1" applyFont="1">
      <alignment horizontal="right" readingOrder="0"/>
    </xf>
    <xf borderId="0" fillId="8" fontId="7" numFmtId="164" xfId="0" applyFont="1" applyNumberFormat="1"/>
    <xf borderId="0" fillId="0" fontId="6" numFmtId="0" xfId="0" applyAlignment="1" applyFont="1">
      <alignment horizontal="center" readingOrder="0"/>
    </xf>
    <xf borderId="19" fillId="8" fontId="7" numFmtId="164" xfId="0" applyBorder="1" applyFont="1" applyNumberFormat="1"/>
    <xf borderId="0" fillId="0" fontId="6" numFmtId="0" xfId="0" applyAlignment="1" applyFont="1">
      <alignment horizontal="center" readingOrder="0" vertical="center"/>
    </xf>
    <xf borderId="5" fillId="0" fontId="6" numFmtId="166" xfId="0" applyAlignment="1" applyBorder="1" applyFont="1" applyNumberFormat="1">
      <alignment readingOrder="0"/>
    </xf>
    <xf borderId="20" fillId="7" fontId="7" numFmtId="0" xfId="0" applyAlignment="1" applyBorder="1" applyFont="1">
      <alignment horizontal="center"/>
    </xf>
    <xf borderId="16" fillId="7" fontId="7" numFmtId="164" xfId="0" applyAlignment="1" applyBorder="1" applyFont="1" applyNumberFormat="1">
      <alignment horizontal="center"/>
    </xf>
    <xf borderId="20" fillId="7" fontId="7" numFmtId="164" xfId="0" applyAlignment="1" applyBorder="1" applyFont="1" applyNumberFormat="1">
      <alignment horizontal="center"/>
    </xf>
    <xf borderId="5" fillId="5" fontId="7" numFmtId="164" xfId="0" applyBorder="1" applyFont="1" applyNumberFormat="1"/>
    <xf borderId="5" fillId="5" fontId="4" numFmtId="164" xfId="0" applyAlignment="1" applyBorder="1" applyFont="1" applyNumberFormat="1">
      <alignment horizontal="right"/>
    </xf>
    <xf borderId="10" fillId="0" fontId="4" numFmtId="0" xfId="0" applyAlignment="1" applyBorder="1" applyFont="1">
      <alignment horizontal="center"/>
    </xf>
    <xf borderId="5" fillId="5" fontId="4" numFmtId="167" xfId="0" applyAlignment="1" applyBorder="1" applyFont="1" applyNumberFormat="1">
      <alignment horizontal="right"/>
    </xf>
    <xf borderId="5" fillId="0" fontId="6" numFmtId="168" xfId="0" applyAlignment="1" applyBorder="1" applyFont="1" applyNumberFormat="1">
      <alignment readingOrder="0"/>
    </xf>
    <xf borderId="15" fillId="5" fontId="4" numFmtId="164" xfId="0" applyBorder="1" applyFont="1" applyNumberFormat="1"/>
    <xf borderId="10" fillId="0" fontId="6" numFmtId="0" xfId="0" applyAlignment="1" applyBorder="1" applyFont="1">
      <alignment horizontal="center" readingOrder="0"/>
    </xf>
    <xf borderId="6" fillId="0" fontId="13" numFmtId="0" xfId="0" applyBorder="1" applyFont="1"/>
    <xf borderId="5" fillId="0" fontId="4" numFmtId="166" xfId="0" applyBorder="1" applyFont="1" applyNumberFormat="1"/>
    <xf borderId="2" fillId="0" fontId="4" numFmtId="164" xfId="0" applyAlignment="1" applyBorder="1" applyFont="1" applyNumberFormat="1">
      <alignment horizontal="right"/>
    </xf>
    <xf borderId="0" fillId="0" fontId="4" numFmtId="164" xfId="0" applyAlignment="1" applyFont="1" applyNumberFormat="1">
      <alignment horizontal="right"/>
    </xf>
    <xf borderId="7" fillId="3" fontId="10" numFmtId="0" xfId="0" applyAlignment="1" applyBorder="1" applyFont="1">
      <alignment horizontal="center" vertical="center"/>
    </xf>
    <xf borderId="2" fillId="9" fontId="15" numFmtId="0" xfId="0" applyAlignment="1" applyBorder="1" applyFill="1" applyFont="1">
      <alignment readingOrder="0" shrinkToFit="0" wrapText="1"/>
    </xf>
    <xf borderId="3" fillId="9" fontId="15" numFmtId="0" xfId="0" applyAlignment="1" applyBorder="1" applyFont="1">
      <alignment readingOrder="0" shrinkToFit="0" wrapText="1"/>
    </xf>
    <xf borderId="5" fillId="0" fontId="16" numFmtId="0" xfId="0" applyAlignment="1" applyBorder="1" applyFont="1">
      <alignment horizontal="center" readingOrder="0" shrinkToFit="0" wrapText="1"/>
    </xf>
    <xf borderId="20" fillId="5" fontId="4" numFmtId="164" xfId="0" applyAlignment="1" applyBorder="1" applyFont="1" applyNumberFormat="1">
      <alignment horizontal="right"/>
    </xf>
    <xf borderId="16" fillId="5" fontId="4" numFmtId="164" xfId="0" applyBorder="1" applyFont="1" applyNumberFormat="1"/>
    <xf borderId="20" fillId="5" fontId="6" numFmtId="164" xfId="0" applyAlignment="1" applyBorder="1" applyFont="1" applyNumberFormat="1">
      <alignment horizontal="right" readingOrder="0"/>
    </xf>
    <xf borderId="10" fillId="0" fontId="4" numFmtId="0" xfId="0" applyBorder="1" applyFont="1"/>
    <xf borderId="20" fillId="6" fontId="7" numFmtId="164" xfId="0" applyBorder="1" applyFont="1" applyNumberFormat="1"/>
    <xf borderId="5" fillId="0" fontId="6" numFmtId="165" xfId="0" applyAlignment="1" applyBorder="1" applyFont="1" applyNumberFormat="1">
      <alignment horizontal="center" readingOrder="0"/>
    </xf>
    <xf borderId="0" fillId="0" fontId="16" numFmtId="0" xfId="0" applyAlignment="1" applyFont="1">
      <alignment readingOrder="0" shrinkToFit="0" wrapText="1"/>
    </xf>
    <xf borderId="20" fillId="7" fontId="14" numFmtId="0" xfId="0" applyAlignment="1" applyBorder="1" applyFont="1">
      <alignment horizontal="center" readingOrder="0"/>
    </xf>
    <xf borderId="5" fillId="2" fontId="6" numFmtId="0" xfId="0" applyAlignment="1" applyBorder="1" applyFont="1">
      <alignment horizontal="center" readingOrder="0"/>
    </xf>
    <xf borderId="10" fillId="0" fontId="4" numFmtId="164" xfId="0" applyBorder="1" applyFont="1" applyNumberFormat="1"/>
    <xf borderId="5" fillId="0" fontId="7" numFmtId="0" xfId="0" applyAlignment="1" applyBorder="1" applyFont="1">
      <alignment horizontal="center"/>
    </xf>
    <xf borderId="5" fillId="0" fontId="7" numFmtId="164" xfId="0" applyAlignment="1" applyBorder="1" applyFont="1" applyNumberFormat="1">
      <alignment horizontal="center"/>
    </xf>
    <xf borderId="16" fillId="0" fontId="7" numFmtId="164" xfId="0" applyAlignment="1" applyBorder="1" applyFont="1" applyNumberFormat="1">
      <alignment horizontal="center"/>
    </xf>
    <xf borderId="20" fillId="0" fontId="7" numFmtId="164" xfId="0" applyAlignment="1" applyBorder="1" applyFont="1" applyNumberFormat="1">
      <alignment horizontal="center"/>
    </xf>
    <xf borderId="10" fillId="0" fontId="7" numFmtId="0" xfId="0" applyAlignment="1" applyBorder="1" applyFont="1">
      <alignment horizontal="center"/>
    </xf>
    <xf borderId="5" fillId="0" fontId="7" numFmtId="164" xfId="0" applyBorder="1" applyFont="1" applyNumberFormat="1"/>
    <xf borderId="15" fillId="0" fontId="7" numFmtId="164" xfId="0" applyAlignment="1" applyBorder="1" applyFont="1" applyNumberFormat="1">
      <alignment horizontal="center"/>
    </xf>
    <xf borderId="10" fillId="8" fontId="7" numFmtId="164" xfId="0" applyBorder="1" applyFont="1" applyNumberFormat="1"/>
    <xf borderId="5" fillId="0" fontId="6" numFmtId="2" xfId="0" applyAlignment="1" applyBorder="1" applyFont="1" applyNumberFormat="1">
      <alignment readingOrder="0"/>
    </xf>
    <xf borderId="10" fillId="7" fontId="7" numFmtId="0" xfId="0" applyAlignment="1" applyBorder="1" applyFont="1">
      <alignment horizontal="center"/>
    </xf>
    <xf borderId="5" fillId="9" fontId="17" numFmtId="0" xfId="0" applyAlignment="1" applyBorder="1" applyFont="1">
      <alignment readingOrder="0"/>
    </xf>
    <xf borderId="0" fillId="0" fontId="18" numFmtId="0" xfId="0" applyFont="1"/>
    <xf borderId="10" fillId="0" fontId="6" numFmtId="0" xfId="0" applyAlignment="1" applyBorder="1" applyFont="1">
      <alignment readingOrder="0"/>
    </xf>
    <xf borderId="10" fillId="5" fontId="6" numFmtId="164" xfId="0" applyAlignment="1" applyBorder="1" applyFont="1" applyNumberFormat="1">
      <alignment horizontal="right" readingOrder="0"/>
    </xf>
    <xf borderId="5" fillId="0" fontId="4" numFmtId="2" xfId="0" applyBorder="1" applyFont="1" applyNumberFormat="1"/>
    <xf borderId="10" fillId="2" fontId="6" numFmtId="165" xfId="0" applyAlignment="1" applyBorder="1" applyFont="1" applyNumberFormat="1">
      <alignment horizontal="center" readingOrder="0"/>
    </xf>
    <xf borderId="21" fillId="0" fontId="13" numFmtId="0" xfId="0" applyBorder="1" applyFont="1"/>
    <xf borderId="12" fillId="0" fontId="13" numFmtId="0" xfId="0" applyBorder="1" applyFont="1"/>
    <xf borderId="2" fillId="0" fontId="13" numFmtId="0" xfId="0" applyBorder="1" applyFont="1"/>
    <xf borderId="10" fillId="0" fontId="7" numFmtId="164" xfId="0" applyBorder="1" applyFont="1" applyNumberFormat="1"/>
    <xf borderId="10" fillId="5" fontId="4" numFmtId="164" xfId="0" applyAlignment="1" applyBorder="1" applyFont="1" applyNumberFormat="1">
      <alignment horizontal="right"/>
    </xf>
    <xf borderId="5" fillId="0" fontId="4" numFmtId="164" xfId="0" applyAlignment="1" applyBorder="1" applyFont="1" applyNumberFormat="1">
      <alignment horizontal="right"/>
    </xf>
    <xf borderId="5" fillId="2" fontId="4" numFmtId="0" xfId="0" applyAlignment="1" applyBorder="1" applyFont="1">
      <alignment horizontal="center"/>
    </xf>
    <xf borderId="5" fillId="0" fontId="6" numFmtId="164" xfId="0" applyAlignment="1" applyBorder="1" applyFont="1" applyNumberFormat="1">
      <alignment horizontal="right" readingOrder="0"/>
    </xf>
    <xf borderId="5" fillId="10" fontId="4" numFmtId="0" xfId="0" applyAlignment="1" applyBorder="1" applyFill="1" applyFont="1">
      <alignment horizontal="center"/>
    </xf>
    <xf borderId="4" fillId="0" fontId="12" numFmtId="0" xfId="0" applyAlignment="1" applyBorder="1" applyFont="1">
      <alignment horizontal="left" shrinkToFit="0" wrapText="1"/>
    </xf>
    <xf borderId="10" fillId="0" fontId="4" numFmtId="164" xfId="0" applyAlignment="1" applyBorder="1" applyFont="1" applyNumberFormat="1">
      <alignment horizontal="right"/>
    </xf>
    <xf borderId="4" fillId="0" fontId="8" numFmtId="0" xfId="0" applyBorder="1" applyFont="1"/>
    <xf borderId="18" fillId="0" fontId="8" numFmtId="0" xfId="0" applyBorder="1" applyFont="1"/>
    <xf borderId="20" fillId="5" fontId="7" numFmtId="0" xfId="0" applyAlignment="1" applyBorder="1" applyFont="1">
      <alignment horizontal="center"/>
    </xf>
    <xf borderId="10" fillId="0" fontId="4" numFmtId="164" xfId="0" applyAlignment="1" applyBorder="1" applyFont="1" applyNumberFormat="1">
      <alignment horizontal="center"/>
    </xf>
    <xf borderId="20" fillId="8" fontId="7" numFmtId="164" xfId="0" applyBorder="1" applyFont="1" applyNumberFormat="1"/>
    <xf borderId="5" fillId="6" fontId="14" numFmtId="164" xfId="0" applyAlignment="1" applyBorder="1" applyFont="1" applyNumberFormat="1">
      <alignment readingOrder="0"/>
    </xf>
    <xf borderId="10" fillId="0" fontId="14" numFmtId="0" xfId="0" applyAlignment="1" applyBorder="1" applyFont="1">
      <alignment horizontal="center" readingOrder="0"/>
    </xf>
    <xf borderId="10" fillId="0" fontId="14" numFmtId="164" xfId="0" applyAlignment="1" applyBorder="1" applyFont="1" applyNumberFormat="1">
      <alignment horizontal="center" readingOrder="0"/>
    </xf>
    <xf borderId="5" fillId="0" fontId="14" numFmtId="0" xfId="0" applyAlignment="1" applyBorder="1" applyFont="1">
      <alignment horizontal="center" readingOrder="0"/>
    </xf>
    <xf borderId="5" fillId="0" fontId="14" numFmtId="164" xfId="0" applyAlignment="1" applyBorder="1" applyFont="1" applyNumberFormat="1">
      <alignment horizontal="center" readingOrder="0"/>
    </xf>
    <xf borderId="15" fillId="0" fontId="14" numFmtId="164" xfId="0" applyAlignment="1" applyBorder="1" applyFont="1" applyNumberFormat="1">
      <alignment horizontal="center" readingOrder="0"/>
    </xf>
    <xf borderId="10" fillId="0" fontId="7" numFmtId="164" xfId="0" applyAlignment="1" applyBorder="1" applyFont="1" applyNumberFormat="1">
      <alignment horizontal="center"/>
    </xf>
    <xf borderId="5" fillId="11" fontId="6" numFmtId="169" xfId="0" applyAlignment="1" applyBorder="1" applyFill="1" applyFont="1" applyNumberFormat="1">
      <alignment horizontal="center" readingOrder="0"/>
    </xf>
    <xf borderId="5" fillId="9" fontId="4" numFmtId="164" xfId="0" applyBorder="1" applyFont="1" applyNumberFormat="1"/>
    <xf borderId="10" fillId="6" fontId="7" numFmtId="164" xfId="0" applyBorder="1" applyFont="1" applyNumberFormat="1"/>
    <xf borderId="10" fillId="11" fontId="6" numFmtId="169" xfId="0" applyAlignment="1" applyBorder="1" applyFont="1" applyNumberFormat="1">
      <alignment horizontal="center" readingOrder="0"/>
    </xf>
    <xf borderId="5" fillId="10" fontId="6" numFmtId="0" xfId="0" applyAlignment="1" applyBorder="1" applyFont="1">
      <alignment horizontal="center" readingOrder="0"/>
    </xf>
    <xf borderId="10" fillId="0" fontId="12" numFmtId="0" xfId="0" applyAlignment="1" applyBorder="1" applyFont="1">
      <alignment horizontal="left" readingOrder="0" shrinkToFit="0" wrapText="1"/>
    </xf>
    <xf borderId="22" fillId="0" fontId="8" numFmtId="0" xfId="0" applyBorder="1" applyFont="1"/>
    <xf borderId="10" fillId="0" fontId="6" numFmtId="164" xfId="0" applyAlignment="1" applyBorder="1" applyFont="1" applyNumberFormat="1">
      <alignment horizontal="right" readingOrder="0"/>
    </xf>
    <xf borderId="16" fillId="5" fontId="6" numFmtId="164" xfId="0" applyAlignment="1" applyBorder="1" applyFont="1" applyNumberFormat="1">
      <alignment readingOrder="0"/>
    </xf>
    <xf borderId="5" fillId="10" fontId="19" numFmtId="0" xfId="0" applyAlignment="1" applyBorder="1" applyFont="1">
      <alignment horizontal="center"/>
    </xf>
    <xf borderId="10" fillId="11" fontId="6" numFmtId="0" xfId="0" applyAlignment="1" applyBorder="1" applyFont="1">
      <alignment horizontal="center" readingOrder="0"/>
    </xf>
    <xf borderId="5" fillId="5" fontId="6" numFmtId="164" xfId="0" applyAlignment="1" applyBorder="1" applyFont="1" applyNumberFormat="1">
      <alignment readingOrder="0"/>
    </xf>
    <xf borderId="20" fillId="9" fontId="4" numFmtId="164" xfId="0" applyBorder="1" applyFont="1" applyNumberFormat="1"/>
    <xf borderId="5" fillId="11" fontId="6" numFmtId="0" xfId="0" applyAlignment="1" applyBorder="1" applyFont="1">
      <alignment horizontal="center" readingOrder="0"/>
    </xf>
    <xf borderId="5" fillId="0" fontId="6" numFmtId="0" xfId="0" applyAlignment="1" applyBorder="1" applyFont="1">
      <alignment readingOrder="0" vertical="bottom"/>
    </xf>
    <xf borderId="5" fillId="11" fontId="6" numFmtId="169" xfId="0" applyAlignment="1" applyBorder="1" applyFont="1" applyNumberFormat="1">
      <alignment horizontal="center" readingOrder="0" vertical="bottom"/>
    </xf>
    <xf borderId="5" fillId="0" fontId="6" numFmtId="0" xfId="0" applyAlignment="1" applyBorder="1" applyFont="1">
      <alignment vertical="bottom"/>
    </xf>
    <xf borderId="5" fillId="0" fontId="4" numFmtId="0" xfId="0" applyAlignment="1" applyBorder="1" applyFont="1">
      <alignment horizontal="center" vertical="bottom"/>
    </xf>
    <xf borderId="5" fillId="9" fontId="6" numFmtId="164" xfId="0" applyAlignment="1" applyBorder="1" applyFont="1" applyNumberFormat="1">
      <alignment horizontal="right" vertical="bottom"/>
    </xf>
    <xf borderId="5" fillId="0" fontId="4" numFmtId="0" xfId="0" applyAlignment="1" applyBorder="1" applyFont="1">
      <alignment vertical="bottom"/>
    </xf>
    <xf borderId="5" fillId="0" fontId="6" numFmtId="164" xfId="0" applyAlignment="1" applyBorder="1" applyFont="1" applyNumberFormat="1">
      <alignment horizontal="right" vertical="bottom"/>
    </xf>
    <xf borderId="5" fillId="0" fontId="4" numFmtId="164" xfId="0" applyAlignment="1" applyBorder="1" applyFont="1" applyNumberFormat="1">
      <alignment horizontal="right" vertical="bottom"/>
    </xf>
    <xf borderId="5" fillId="9" fontId="4" numFmtId="164" xfId="0" applyAlignment="1" applyBorder="1" applyFont="1" applyNumberFormat="1">
      <alignment vertical="bottom"/>
    </xf>
    <xf borderId="10" fillId="0" fontId="4" numFmtId="0" xfId="0" applyAlignment="1" applyBorder="1" applyFont="1">
      <alignment vertical="bottom"/>
    </xf>
    <xf borderId="0" fillId="0" fontId="4" numFmtId="0" xfId="0" applyAlignment="1" applyFont="1">
      <alignment vertical="bottom"/>
    </xf>
    <xf borderId="10" fillId="0" fontId="6" numFmtId="0" xfId="0" applyAlignment="1" applyBorder="1" applyFont="1">
      <alignment readingOrder="0" vertical="bottom"/>
    </xf>
    <xf borderId="5" fillId="11" fontId="4" numFmtId="169" xfId="0" applyAlignment="1" applyBorder="1" applyFont="1" applyNumberFormat="1">
      <alignment horizontal="center"/>
    </xf>
    <xf borderId="5" fillId="9" fontId="7" numFmtId="164" xfId="0" applyBorder="1" applyFont="1" applyNumberFormat="1"/>
    <xf borderId="1" fillId="0" fontId="4" numFmtId="169" xfId="0" applyAlignment="1" applyBorder="1" applyFont="1" applyNumberFormat="1">
      <alignment horizontal="center"/>
    </xf>
    <xf borderId="4" fillId="0" fontId="5" numFmtId="169" xfId="0" applyAlignment="1" applyBorder="1" applyFont="1" applyNumberFormat="1">
      <alignment horizontal="center"/>
    </xf>
    <xf borderId="4" fillId="0" fontId="4" numFmtId="169" xfId="0" applyAlignment="1" applyBorder="1" applyFont="1" applyNumberFormat="1">
      <alignment horizontal="center"/>
    </xf>
    <xf borderId="4" fillId="0" fontId="7" numFmtId="169" xfId="0" applyAlignment="1" applyBorder="1" applyFont="1" applyNumberFormat="1">
      <alignment horizontal="center"/>
    </xf>
    <xf borderId="0" fillId="0" fontId="9" numFmtId="169" xfId="0" applyAlignment="1" applyFont="1" applyNumberFormat="1">
      <alignment horizontal="left" shrinkToFit="0" vertical="top" wrapText="1"/>
    </xf>
    <xf borderId="7" fillId="3" fontId="10" numFmtId="169" xfId="0" applyAlignment="1" applyBorder="1" applyFont="1" applyNumberFormat="1">
      <alignment horizontal="center" vertical="center"/>
    </xf>
    <xf borderId="11" fillId="12" fontId="14" numFmtId="169" xfId="0" applyAlignment="1" applyBorder="1" applyFill="1" applyFont="1" applyNumberFormat="1">
      <alignment horizontal="center" readingOrder="0"/>
    </xf>
    <xf borderId="20" fillId="7" fontId="14" numFmtId="169" xfId="0" applyAlignment="1" applyBorder="1" applyFont="1" applyNumberFormat="1">
      <alignment horizontal="center" readingOrder="0"/>
    </xf>
    <xf borderId="20" fillId="7" fontId="14" numFmtId="164" xfId="0" applyAlignment="1" applyBorder="1" applyFont="1" applyNumberFormat="1">
      <alignment horizontal="center" readingOrder="0"/>
    </xf>
    <xf borderId="15" fillId="7" fontId="14" numFmtId="164" xfId="0" applyAlignment="1" applyBorder="1" applyFont="1" applyNumberFormat="1">
      <alignment horizontal="center" readingOrder="0"/>
    </xf>
    <xf borderId="5" fillId="7" fontId="14" numFmtId="2" xfId="0" applyAlignment="1" applyBorder="1" applyFont="1" applyNumberFormat="1">
      <alignment horizontal="center" readingOrder="0"/>
    </xf>
    <xf borderId="10" fillId="0" fontId="4" numFmtId="169" xfId="0" applyAlignment="1" applyBorder="1" applyFont="1" applyNumberFormat="1">
      <alignment horizontal="center"/>
    </xf>
    <xf borderId="5" fillId="0" fontId="6" numFmtId="164" xfId="0" applyAlignment="1" applyBorder="1" applyFont="1" applyNumberFormat="1">
      <alignment horizontal="center" readingOrder="0"/>
    </xf>
    <xf borderId="5" fillId="0" fontId="13" numFmtId="2" xfId="0" applyBorder="1" applyFont="1" applyNumberFormat="1"/>
    <xf borderId="0" fillId="0" fontId="4" numFmtId="164" xfId="0" applyAlignment="1" applyFont="1" applyNumberFormat="1">
      <alignment horizontal="center"/>
    </xf>
    <xf borderId="0" fillId="0" fontId="13" numFmtId="2" xfId="0" applyFont="1" applyNumberFormat="1"/>
    <xf borderId="0" fillId="9" fontId="13" numFmtId="0" xfId="0" applyFont="1"/>
    <xf borderId="10" fillId="9" fontId="4" numFmtId="169" xfId="0" applyAlignment="1" applyBorder="1" applyFont="1" applyNumberFormat="1">
      <alignment horizontal="center"/>
    </xf>
    <xf borderId="10" fillId="0" fontId="2" numFmtId="0" xfId="0" applyAlignment="1" applyBorder="1" applyFont="1">
      <alignment readingOrder="0"/>
    </xf>
    <xf borderId="10" fillId="0" fontId="13" numFmtId="2" xfId="0" applyBorder="1" applyFont="1" applyNumberFormat="1"/>
    <xf borderId="5" fillId="0" fontId="2" numFmtId="2" xfId="0" applyAlignment="1" applyBorder="1" applyFont="1" applyNumberFormat="1">
      <alignment readingOrder="0"/>
    </xf>
    <xf borderId="10" fillId="0" fontId="2" numFmtId="0" xfId="0" applyAlignment="1" applyBorder="1" applyFont="1">
      <alignment readingOrder="0" shrinkToFit="0" wrapText="1"/>
    </xf>
    <xf borderId="5" fillId="0" fontId="2" numFmtId="0" xfId="0" applyAlignment="1" applyBorder="1" applyFont="1">
      <alignment horizontal="center" readingOrder="0"/>
    </xf>
    <xf borderId="10" fillId="0" fontId="2" numFmtId="2" xfId="0" applyAlignment="1" applyBorder="1" applyFont="1" applyNumberFormat="1">
      <alignment readingOrder="0"/>
    </xf>
    <xf borderId="15" fillId="0" fontId="13" numFmtId="2" xfId="0" applyBorder="1" applyFont="1" applyNumberFormat="1"/>
    <xf borderId="5" fillId="0" fontId="2" numFmtId="0" xfId="0" applyAlignment="1" applyBorder="1" applyFont="1">
      <alignment readingOrder="0" shrinkToFit="0" wrapText="1"/>
    </xf>
    <xf borderId="10" fillId="9" fontId="6" numFmtId="0" xfId="0" applyAlignment="1" applyBorder="1" applyFont="1">
      <alignment horizontal="left" readingOrder="0"/>
    </xf>
    <xf borderId="10" fillId="9" fontId="4" numFmtId="164" xfId="0" applyAlignment="1" applyBorder="1" applyFont="1" applyNumberFormat="1">
      <alignment horizontal="center"/>
    </xf>
    <xf borderId="5" fillId="9" fontId="7" numFmtId="0" xfId="0" applyAlignment="1" applyBorder="1" applyFont="1">
      <alignment horizontal="center"/>
    </xf>
    <xf borderId="5" fillId="9" fontId="7" numFmtId="164" xfId="0" applyAlignment="1" applyBorder="1" applyFont="1" applyNumberFormat="1">
      <alignment horizontal="center"/>
    </xf>
    <xf borderId="15" fillId="9" fontId="7" numFmtId="164" xfId="0" applyAlignment="1" applyBorder="1" applyFont="1" applyNumberFormat="1">
      <alignment horizontal="center"/>
    </xf>
    <xf borderId="10" fillId="9" fontId="7" numFmtId="164" xfId="0" applyAlignment="1" applyBorder="1" applyFont="1" applyNumberFormat="1">
      <alignment horizontal="center"/>
    </xf>
    <xf borderId="10" fillId="9" fontId="7" numFmtId="0" xfId="0" applyAlignment="1" applyBorder="1" applyFont="1">
      <alignment horizontal="center"/>
    </xf>
    <xf borderId="10" fillId="9" fontId="6" numFmtId="169" xfId="0" applyAlignment="1" applyBorder="1" applyFont="1" applyNumberFormat="1">
      <alignment horizontal="center" readingOrder="0"/>
    </xf>
    <xf borderId="10" fillId="9" fontId="4" numFmtId="0" xfId="0" applyAlignment="1" applyBorder="1" applyFont="1">
      <alignment horizontal="center"/>
    </xf>
    <xf borderId="5" fillId="9" fontId="4" numFmtId="0" xfId="0" applyAlignment="1" applyBorder="1" applyFont="1">
      <alignment horizontal="center"/>
    </xf>
    <xf borderId="5" fillId="9" fontId="4" numFmtId="164" xfId="0" applyAlignment="1" applyBorder="1" applyFont="1" applyNumberFormat="1">
      <alignment horizontal="center"/>
    </xf>
    <xf borderId="15" fillId="9" fontId="4" numFmtId="164" xfId="0" applyAlignment="1" applyBorder="1" applyFont="1" applyNumberFormat="1">
      <alignment horizontal="center"/>
    </xf>
    <xf borderId="5" fillId="9" fontId="6" numFmtId="164" xfId="0" applyAlignment="1" applyBorder="1" applyFont="1" applyNumberFormat="1">
      <alignment horizontal="center" readingOrder="0"/>
    </xf>
    <xf borderId="5" fillId="0" fontId="2" numFmtId="170" xfId="0" applyAlignment="1" applyBorder="1" applyFont="1" applyNumberFormat="1">
      <alignment horizontal="left" readingOrder="0"/>
    </xf>
    <xf borderId="5" fillId="0" fontId="2" numFmtId="0" xfId="0" applyAlignment="1" applyBorder="1" applyFont="1">
      <alignment horizontal="left" readingOrder="0"/>
    </xf>
    <xf borderId="10" fillId="0" fontId="2" numFmtId="0" xfId="0" applyAlignment="1" applyBorder="1" applyFont="1">
      <alignment horizontal="left" readingOrder="0"/>
    </xf>
    <xf borderId="5" fillId="9" fontId="6" numFmtId="164" xfId="0" applyAlignment="1" applyBorder="1" applyFont="1" applyNumberFormat="1">
      <alignment horizontal="left" readingOrder="0"/>
    </xf>
    <xf borderId="10" fillId="0" fontId="2" numFmtId="170" xfId="0" applyAlignment="1" applyBorder="1" applyFont="1" applyNumberFormat="1">
      <alignment horizontal="left" readingOrder="0"/>
    </xf>
    <xf borderId="10" fillId="11" fontId="4" numFmtId="169" xfId="0" applyAlignment="1" applyBorder="1" applyFont="1" applyNumberFormat="1">
      <alignment horizontal="center"/>
    </xf>
    <xf borderId="15" fillId="9" fontId="6" numFmtId="164" xfId="0" applyAlignment="1" applyBorder="1" applyFont="1" applyNumberFormat="1">
      <alignment horizontal="center" readingOrder="0"/>
    </xf>
    <xf borderId="5" fillId="0" fontId="2" numFmtId="170" xfId="0" applyAlignment="1" applyBorder="1" applyFont="1" applyNumberFormat="1">
      <alignment readingOrder="0"/>
    </xf>
    <xf borderId="20" fillId="7" fontId="7" numFmtId="169" xfId="0" applyAlignment="1" applyBorder="1" applyFont="1" applyNumberFormat="1">
      <alignment horizontal="center"/>
    </xf>
    <xf borderId="5" fillId="10" fontId="4" numFmtId="169" xfId="0" applyAlignment="1" applyBorder="1" applyFont="1" applyNumberFormat="1">
      <alignment horizontal="center"/>
    </xf>
    <xf borderId="5" fillId="10" fontId="6" numFmtId="169" xfId="0" applyAlignment="1" applyBorder="1" applyFont="1" applyNumberFormat="1">
      <alignment horizontal="center" readingOrder="0"/>
    </xf>
    <xf borderId="5" fillId="10" fontId="19" numFmtId="169" xfId="0" applyAlignment="1" applyBorder="1" applyFont="1" applyNumberFormat="1">
      <alignment horizontal="center"/>
    </xf>
    <xf borderId="5" fillId="0" fontId="4" numFmtId="169" xfId="0" applyAlignment="1" applyBorder="1" applyFont="1" applyNumberFormat="1">
      <alignment horizontal="center"/>
    </xf>
    <xf borderId="0" fillId="0" fontId="4" numFmtId="169" xfId="0" applyAlignment="1" applyFont="1" applyNumberFormat="1">
      <alignment horizontal="center"/>
    </xf>
    <xf borderId="3" fillId="0" fontId="4" numFmtId="2" xfId="0" applyAlignment="1" applyBorder="1" applyFont="1" applyNumberFormat="1">
      <alignment horizontal="center"/>
    </xf>
    <xf borderId="6" fillId="0" fontId="4" numFmtId="2" xfId="0" applyAlignment="1" applyBorder="1" applyFont="1" applyNumberFormat="1">
      <alignment horizontal="center"/>
    </xf>
    <xf borderId="23" fillId="3" fontId="10" numFmtId="0" xfId="0" applyAlignment="1" applyBorder="1" applyFont="1">
      <alignment horizontal="center" vertical="center"/>
    </xf>
    <xf borderId="24" fillId="0" fontId="8" numFmtId="0" xfId="0" applyBorder="1" applyFont="1"/>
    <xf borderId="25" fillId="0" fontId="8" numFmtId="0" xfId="0" applyBorder="1" applyFont="1"/>
    <xf borderId="11" fillId="12" fontId="14" numFmtId="0" xfId="0" applyAlignment="1" applyBorder="1" applyFont="1">
      <alignment horizontal="center" readingOrder="0"/>
    </xf>
    <xf borderId="5" fillId="0" fontId="2" numFmtId="0" xfId="0" applyAlignment="1" applyBorder="1" applyFont="1">
      <alignment horizontal="right" readingOrder="0"/>
    </xf>
    <xf borderId="5" fillId="0" fontId="2" numFmtId="2" xfId="0" applyAlignment="1" applyBorder="1" applyFont="1" applyNumberFormat="1">
      <alignment horizontal="right" readingOrder="0"/>
    </xf>
    <xf borderId="5" fillId="0" fontId="13" numFmtId="2" xfId="0" applyAlignment="1" applyBorder="1" applyFont="1" applyNumberFormat="1">
      <alignment horizontal="right"/>
    </xf>
    <xf borderId="10" fillId="9" fontId="6" numFmtId="0" xfId="0" applyAlignment="1" applyBorder="1" applyFont="1">
      <alignment horizontal="right" readingOrder="0"/>
    </xf>
    <xf borderId="10" fillId="9" fontId="6" numFmtId="164" xfId="0" applyAlignment="1" applyBorder="1" applyFont="1" applyNumberFormat="1">
      <alignment horizontal="right" readingOrder="0"/>
    </xf>
    <xf borderId="5" fillId="9" fontId="6" numFmtId="0" xfId="0" applyAlignment="1" applyBorder="1" applyFont="1">
      <alignment horizontal="right" readingOrder="0"/>
    </xf>
    <xf borderId="5" fillId="9" fontId="6" numFmtId="164" xfId="0" applyAlignment="1" applyBorder="1" applyFont="1" applyNumberFormat="1">
      <alignment horizontal="right" readingOrder="0"/>
    </xf>
    <xf borderId="10" fillId="9" fontId="4" numFmtId="2" xfId="0" applyAlignment="1" applyBorder="1" applyFont="1" applyNumberFormat="1">
      <alignment horizontal="center"/>
    </xf>
    <xf borderId="10" fillId="9" fontId="20" numFmtId="2" xfId="0" applyAlignment="1" applyBorder="1" applyFont="1" applyNumberFormat="1">
      <alignment horizontal="center"/>
    </xf>
    <xf borderId="10" fillId="9" fontId="4" numFmtId="0" xfId="0" applyAlignment="1" applyBorder="1" applyFont="1">
      <alignment horizontal="right"/>
    </xf>
    <xf borderId="10" fillId="9" fontId="4" numFmtId="164" xfId="0" applyAlignment="1" applyBorder="1" applyFont="1" applyNumberFormat="1">
      <alignment horizontal="right"/>
    </xf>
    <xf borderId="5" fillId="9" fontId="4" numFmtId="0" xfId="0" applyAlignment="1" applyBorder="1" applyFont="1">
      <alignment horizontal="right"/>
    </xf>
    <xf borderId="5" fillId="9" fontId="4" numFmtId="164" xfId="0" applyAlignment="1" applyBorder="1" applyFont="1" applyNumberFormat="1">
      <alignment horizontal="right"/>
    </xf>
    <xf borderId="10" fillId="11" fontId="6" numFmtId="165" xfId="0" applyAlignment="1" applyBorder="1" applyFont="1" applyNumberFormat="1">
      <alignment horizontal="center" readingOrder="0"/>
    </xf>
    <xf borderId="15" fillId="9" fontId="4" numFmtId="164" xfId="0" applyAlignment="1" applyBorder="1" applyFont="1" applyNumberFormat="1">
      <alignment horizontal="right"/>
    </xf>
    <xf borderId="5" fillId="0" fontId="13" numFmtId="0" xfId="0" applyBorder="1" applyFont="1"/>
    <xf borderId="15" fillId="0" fontId="2" numFmtId="2" xfId="0" applyAlignment="1" applyBorder="1" applyFont="1" applyNumberFormat="1">
      <alignment readingOrder="0"/>
    </xf>
    <xf borderId="10" fillId="0" fontId="2" numFmtId="2" xfId="0" applyAlignment="1" applyBorder="1" applyFont="1" applyNumberFormat="1">
      <alignment horizontal="right" readingOrder="0"/>
    </xf>
    <xf borderId="10" fillId="11" fontId="6" numFmtId="165" xfId="0" applyAlignment="1" applyBorder="1" applyFont="1" applyNumberFormat="1">
      <alignment horizontal="center" readingOrder="0"/>
    </xf>
    <xf borderId="20" fillId="7" fontId="7" numFmtId="2" xfId="0" applyAlignment="1" applyBorder="1" applyFont="1" applyNumberFormat="1">
      <alignment horizontal="center"/>
    </xf>
    <xf borderId="10" fillId="9" fontId="7" numFmtId="2" xfId="0" applyAlignment="1" applyBorder="1" applyFont="1" applyNumberFormat="1">
      <alignment horizontal="center"/>
    </xf>
    <xf borderId="10" fillId="9" fontId="6" numFmtId="164" xfId="0" applyAlignment="1" applyBorder="1" applyFont="1" applyNumberFormat="1">
      <alignment horizontal="center" readingOrder="0"/>
    </xf>
    <xf borderId="5" fillId="9" fontId="6" numFmtId="0" xfId="0" applyAlignment="1" applyBorder="1" applyFont="1">
      <alignment horizontal="left" readingOrder="0"/>
    </xf>
    <xf borderId="5" fillId="0" fontId="4" numFmtId="2" xfId="0" applyAlignment="1" applyBorder="1" applyFont="1" applyNumberFormat="1">
      <alignment horizontal="center"/>
    </xf>
    <xf borderId="16" fillId="7" fontId="14" numFmtId="164" xfId="0" applyAlignment="1" applyBorder="1" applyFont="1" applyNumberFormat="1">
      <alignment horizontal="center" readingOrder="0"/>
    </xf>
    <xf borderId="5" fillId="9" fontId="6" numFmtId="169" xfId="0" applyAlignment="1" applyBorder="1" applyFont="1" applyNumberFormat="1">
      <alignment horizontal="center" readingOrder="0"/>
    </xf>
    <xf borderId="20" fillId="9" fontId="7" numFmtId="164" xfId="0" applyBorder="1" applyFont="1" applyNumberFormat="1"/>
    <xf borderId="10" fillId="0" fontId="4" numFmtId="2" xfId="0" applyAlignment="1" applyBorder="1" applyFont="1" applyNumberFormat="1">
      <alignment horizontal="center"/>
    </xf>
    <xf borderId="5" fillId="0" fontId="21" numFmtId="0" xfId="0" applyAlignment="1" applyBorder="1" applyFont="1">
      <alignment readingOrder="0"/>
    </xf>
    <xf borderId="10" fillId="9" fontId="7" numFmtId="164" xfId="0" applyBorder="1" applyFont="1" applyNumberFormat="1"/>
    <xf borderId="10" fillId="0" fontId="21" numFmtId="0" xfId="0" applyAlignment="1" applyBorder="1" applyFont="1">
      <alignment readingOrder="0"/>
    </xf>
    <xf borderId="5" fillId="0" fontId="22" numFmtId="0" xfId="0" applyAlignment="1" applyBorder="1" applyFont="1">
      <alignment readingOrder="0" shrinkToFit="0" vertical="bottom" wrapText="0"/>
    </xf>
    <xf borderId="13" fillId="0" fontId="22" numFmtId="0" xfId="0" applyAlignment="1" applyBorder="1" applyFont="1">
      <alignment horizontal="center" readingOrder="0" shrinkToFit="0" vertical="bottom" wrapText="0"/>
    </xf>
    <xf borderId="13" fillId="9" fontId="22" numFmtId="164" xfId="0" applyAlignment="1" applyBorder="1" applyFont="1" applyNumberFormat="1">
      <alignment horizontal="right" readingOrder="0" shrinkToFit="0" vertical="bottom" wrapText="0"/>
    </xf>
    <xf borderId="13" fillId="0" fontId="22" numFmtId="0" xfId="0" applyAlignment="1" applyBorder="1" applyFont="1">
      <alignment horizontal="right" readingOrder="0" shrinkToFit="0" vertical="bottom" wrapText="0"/>
    </xf>
    <xf borderId="13" fillId="0" fontId="22" numFmtId="164" xfId="0" applyAlignment="1" applyBorder="1" applyFont="1" applyNumberFormat="1">
      <alignment readingOrder="0" shrinkToFit="0" vertical="bottom" wrapText="0"/>
    </xf>
    <xf borderId="10" fillId="6" fontId="7" numFmtId="164" xfId="0" applyAlignment="1" applyBorder="1" applyFont="1" applyNumberFormat="1">
      <alignment horizontal="center"/>
    </xf>
    <xf borderId="15" fillId="0" fontId="22" numFmtId="0" xfId="0" applyAlignment="1" applyBorder="1" applyFont="1">
      <alignment readingOrder="0" shrinkToFit="0" vertical="bottom" wrapText="0"/>
    </xf>
    <xf borderId="17" fillId="0" fontId="22" numFmtId="0" xfId="0" applyAlignment="1" applyBorder="1" applyFont="1">
      <alignment horizontal="center" readingOrder="0" shrinkToFit="0" vertical="bottom" wrapText="0"/>
    </xf>
    <xf borderId="17" fillId="9" fontId="22" numFmtId="164" xfId="0" applyAlignment="1" applyBorder="1" applyFont="1" applyNumberFormat="1">
      <alignment horizontal="right" readingOrder="0" shrinkToFit="0" vertical="bottom" wrapText="0"/>
    </xf>
    <xf borderId="17" fillId="0" fontId="22" numFmtId="0" xfId="0" applyAlignment="1" applyBorder="1" applyFont="1">
      <alignment horizontal="right" readingOrder="0" shrinkToFit="0" vertical="bottom" wrapText="0"/>
    </xf>
    <xf borderId="17" fillId="0" fontId="22" numFmtId="164" xfId="0" applyAlignment="1" applyBorder="1" applyFont="1" applyNumberFormat="1">
      <alignment readingOrder="0" shrinkToFit="0" vertical="bottom" wrapText="0"/>
    </xf>
    <xf borderId="5" fillId="9" fontId="22" numFmtId="164" xfId="0" applyAlignment="1" applyBorder="1" applyFont="1" applyNumberFormat="1">
      <alignment horizontal="right" readingOrder="0" shrinkToFit="0" vertical="bottom" wrapText="0"/>
    </xf>
    <xf borderId="13" fillId="0" fontId="21" numFmtId="0" xfId="0" applyAlignment="1" applyBorder="1" applyFont="1">
      <alignment horizontal="right" readingOrder="0" shrinkToFit="0" vertical="bottom" wrapText="0"/>
    </xf>
    <xf borderId="13" fillId="9" fontId="21" numFmtId="164" xfId="0" applyAlignment="1" applyBorder="1" applyFont="1" applyNumberFormat="1">
      <alignment horizontal="right" readingOrder="0" shrinkToFit="0" vertical="bottom" wrapText="0"/>
    </xf>
    <xf borderId="13" fillId="0" fontId="21" numFmtId="164" xfId="0" applyAlignment="1" applyBorder="1" applyFont="1" applyNumberFormat="1">
      <alignment readingOrder="0" shrinkToFit="0" vertical="bottom" wrapText="0"/>
    </xf>
    <xf borderId="15" fillId="9" fontId="21" numFmtId="164" xfId="0" applyAlignment="1" applyBorder="1" applyFont="1" applyNumberFormat="1">
      <alignment horizontal="right" readingOrder="0" shrinkToFit="0" vertical="bottom" wrapText="0"/>
    </xf>
    <xf borderId="17" fillId="0" fontId="21" numFmtId="0" xfId="0" applyAlignment="1" applyBorder="1" applyFont="1">
      <alignment horizontal="right" readingOrder="0" shrinkToFit="0" vertical="bottom" wrapText="0"/>
    </xf>
    <xf borderId="5" fillId="9" fontId="21" numFmtId="164" xfId="0" applyAlignment="1" applyBorder="1" applyFont="1" applyNumberFormat="1">
      <alignment horizontal="right" readingOrder="0" shrinkToFit="0" vertical="bottom" wrapText="0"/>
    </xf>
    <xf borderId="17" fillId="9" fontId="21" numFmtId="164" xfId="0" applyAlignment="1" applyBorder="1" applyFont="1" applyNumberFormat="1">
      <alignment horizontal="right" readingOrder="0" shrinkToFit="0" vertical="bottom" wrapText="0"/>
    </xf>
    <xf borderId="22" fillId="9" fontId="22" numFmtId="164" xfId="0" applyAlignment="1" applyBorder="1" applyFont="1" applyNumberFormat="1">
      <alignment horizontal="right" readingOrder="0" shrinkToFit="0" vertical="bottom" wrapText="0"/>
    </xf>
    <xf borderId="10" fillId="9" fontId="21" numFmtId="164" xfId="0" applyAlignment="1" applyBorder="1" applyFont="1" applyNumberFormat="1">
      <alignment horizontal="right" readingOrder="0" shrinkToFit="0" vertical="bottom" wrapText="0"/>
    </xf>
    <xf borderId="10" fillId="9" fontId="22" numFmtId="164" xfId="0" applyAlignment="1" applyBorder="1" applyFont="1" applyNumberFormat="1">
      <alignment horizontal="right" readingOrder="0" shrinkToFit="0" vertical="bottom" wrapText="0"/>
    </xf>
    <xf borderId="17" fillId="0" fontId="21" numFmtId="164" xfId="0" applyAlignment="1" applyBorder="1" applyFont="1" applyNumberFormat="1">
      <alignment readingOrder="0" shrinkToFit="0" vertical="bottom" wrapText="0"/>
    </xf>
    <xf borderId="17" fillId="9" fontId="6" numFmtId="164" xfId="0" applyAlignment="1" applyBorder="1" applyFont="1" applyNumberFormat="1">
      <alignment horizontal="center" readingOrder="0"/>
    </xf>
    <xf borderId="17" fillId="9" fontId="4" numFmtId="164" xfId="0" applyAlignment="1" applyBorder="1" applyFont="1" applyNumberFormat="1">
      <alignment horizontal="center"/>
    </xf>
    <xf borderId="16" fillId="9" fontId="4" numFmtId="164" xfId="0" applyAlignment="1" applyBorder="1" applyFont="1" applyNumberFormat="1">
      <alignment horizontal="center"/>
    </xf>
    <xf borderId="10" fillId="7" fontId="7" numFmtId="164" xfId="0" applyAlignment="1" applyBorder="1" applyFont="1" applyNumberFormat="1">
      <alignment horizontal="center"/>
    </xf>
    <xf borderId="15" fillId="5" fontId="6" numFmtId="164" xfId="0" applyAlignment="1" applyBorder="1" applyFont="1" applyNumberFormat="1">
      <alignment readingOrder="0"/>
    </xf>
    <xf borderId="26" fillId="6" fontId="7" numFmtId="164" xfId="0" applyBorder="1" applyFont="1" applyNumberFormat="1"/>
    <xf borderId="5" fillId="11" fontId="4" numFmtId="0" xfId="0" applyAlignment="1" applyBorder="1" applyFont="1">
      <alignment horizontal="center"/>
    </xf>
    <xf borderId="5" fillId="8" fontId="7" numFmtId="164" xfId="0" applyAlignment="1" applyBorder="1" applyFont="1" applyNumberFormat="1">
      <alignment horizontal="center"/>
    </xf>
    <xf borderId="15" fillId="8" fontId="7" numFmtId="164" xfId="0" applyAlignment="1" applyBorder="1" applyFont="1" applyNumberFormat="1">
      <alignment horizontal="center"/>
    </xf>
    <xf borderId="5" fillId="11" fontId="21" numFmtId="0" xfId="0" applyAlignment="1" applyBorder="1" applyFont="1">
      <alignment horizontal="center" readingOrder="0"/>
    </xf>
    <xf borderId="5" fillId="11" fontId="21" numFmtId="165" xfId="0" applyAlignment="1" applyBorder="1" applyFont="1" applyNumberFormat="1">
      <alignment horizontal="center" readingOrder="0"/>
    </xf>
    <xf borderId="5" fillId="9" fontId="19" numFmtId="0" xfId="0" applyAlignment="1" applyBorder="1" applyFont="1">
      <alignment horizontal="center"/>
    </xf>
    <xf borderId="0" fillId="9" fontId="7" numFmtId="164" xfId="0" applyFont="1" applyNumberFormat="1"/>
    <xf borderId="10" fillId="9" fontId="21" numFmtId="165" xfId="0" applyAlignment="1" applyBorder="1" applyFont="1" applyNumberFormat="1">
      <alignment horizontal="center" readingOrder="0"/>
    </xf>
    <xf borderId="10" fillId="9" fontId="6" numFmtId="0" xfId="0" applyAlignment="1" applyBorder="1" applyFont="1">
      <alignment readingOrder="0"/>
    </xf>
    <xf borderId="10" fillId="9" fontId="6" numFmtId="0" xfId="0" applyAlignment="1" applyBorder="1" applyFont="1">
      <alignment horizontal="center" readingOrder="0"/>
    </xf>
    <xf borderId="5" fillId="9" fontId="4" numFmtId="0" xfId="0" applyBorder="1" applyFont="1"/>
    <xf borderId="15" fillId="9" fontId="4" numFmtId="164" xfId="0" applyBorder="1" applyFont="1" applyNumberFormat="1"/>
    <xf borderId="10" fillId="11" fontId="21" numFmtId="165" xfId="0" applyAlignment="1" applyBorder="1" applyFont="1" applyNumberFormat="1">
      <alignment horizontal="center" readingOrder="0"/>
    </xf>
    <xf borderId="10" fillId="9" fontId="4" numFmtId="164" xfId="0" applyBorder="1" applyFont="1" applyNumberFormat="1"/>
    <xf borderId="0" fillId="0" fontId="4" numFmtId="2" xfId="0" applyAlignment="1" applyFont="1" applyNumberFormat="1">
      <alignment horizontal="center"/>
    </xf>
    <xf borderId="5" fillId="8" fontId="14" numFmtId="164" xfId="0" applyAlignment="1" applyBorder="1" applyFont="1" applyNumberFormat="1">
      <alignment readingOrder="0"/>
    </xf>
    <xf borderId="10" fillId="11" fontId="4" numFmtId="0" xfId="0" applyAlignment="1" applyBorder="1" applyFont="1">
      <alignment horizontal="center"/>
    </xf>
    <xf borderId="0" fillId="9" fontId="13" numFmtId="2" xfId="0" applyFont="1" applyNumberFormat="1"/>
    <xf borderId="0" fillId="9" fontId="2" numFmtId="2" xfId="0" applyAlignment="1" applyFont="1" applyNumberFormat="1">
      <alignment readingOrder="0"/>
    </xf>
    <xf borderId="0" fillId="9" fontId="2" numFmtId="0" xfId="0" applyAlignment="1" applyFont="1">
      <alignment readingOrder="0"/>
    </xf>
    <xf borderId="0" fillId="10" fontId="4" numFmtId="164" xfId="0" applyFont="1" applyNumberFormat="1"/>
    <xf borderId="0" fillId="0" fontId="23" numFmtId="0" xfId="0" applyAlignment="1" applyFont="1">
      <alignment readingOrder="0"/>
    </xf>
    <xf borderId="0" fillId="10" fontId="2" numFmtId="0" xfId="0" applyAlignment="1" applyFont="1">
      <alignment readingOrder="0"/>
    </xf>
    <xf borderId="0" fillId="10" fontId="13" numFmtId="0" xfId="0" applyFont="1"/>
    <xf borderId="10" fillId="8" fontId="7" numFmtId="164" xfId="0" applyAlignment="1" applyBorder="1" applyFont="1" applyNumberFormat="1">
      <alignment horizontal="center"/>
    </xf>
    <xf borderId="10" fillId="0" fontId="12" numFmtId="0" xfId="0" applyAlignment="1" applyBorder="1" applyFont="1">
      <alignment horizontal="left" shrinkToFit="0" wrapText="1"/>
    </xf>
    <xf borderId="0" fillId="0" fontId="13" numFmtId="0" xfId="0" applyFont="1"/>
    <xf borderId="5" fillId="2" fontId="4" numFmtId="0" xfId="0" applyBorder="1" applyFont="1"/>
    <xf borderId="5" fillId="0" fontId="24" numFmtId="0" xfId="0" applyBorder="1" applyFont="1"/>
    <xf borderId="10" fillId="2" fontId="4" numFmtId="0" xfId="0" applyAlignment="1" applyBorder="1" applyFont="1">
      <alignment horizontal="center"/>
    </xf>
    <xf borderId="5" fillId="10" fontId="6" numFmtId="0" xfId="0" applyAlignment="1" applyBorder="1" applyFont="1">
      <alignment readingOrder="0"/>
    </xf>
    <xf borderId="5" fillId="10" fontId="4" numFmtId="164" xfId="0" applyAlignment="1" applyBorder="1" applyFont="1" applyNumberFormat="1">
      <alignment horizontal="right"/>
    </xf>
    <xf borderId="5" fillId="10" fontId="4" numFmtId="0" xfId="0" applyBorder="1" applyFont="1"/>
    <xf borderId="10" fillId="10" fontId="6" numFmtId="0" xfId="0" applyAlignment="1" applyBorder="1" applyFont="1">
      <alignment horizontal="left" readingOrder="0"/>
    </xf>
    <xf borderId="10" fillId="10" fontId="6" numFmtId="0" xfId="0" applyAlignment="1" applyBorder="1" applyFont="1">
      <alignment horizontal="center" readingOrder="0"/>
    </xf>
    <xf borderId="10" fillId="10" fontId="6" numFmtId="0" xfId="0" applyAlignment="1" applyBorder="1" applyFont="1">
      <alignment readingOrder="0"/>
    </xf>
    <xf borderId="10" fillId="10" fontId="4" numFmtId="0" xfId="0" applyAlignment="1" applyBorder="1" applyFont="1">
      <alignment horizontal="center"/>
    </xf>
    <xf borderId="10" fillId="10" fontId="4" numFmtId="164" xfId="0" applyAlignment="1" applyBorder="1" applyFont="1" applyNumberFormat="1">
      <alignment horizontal="right"/>
    </xf>
    <xf borderId="5" fillId="10" fontId="6" numFmtId="164" xfId="0" applyAlignment="1" applyBorder="1" applyFont="1" applyNumberFormat="1">
      <alignment readingOrder="0"/>
    </xf>
    <xf borderId="10" fillId="8" fontId="4" numFmtId="164" xfId="0" applyAlignment="1" applyBorder="1" applyFont="1" applyNumberFormat="1">
      <alignment horizontal="center"/>
    </xf>
    <xf borderId="5" fillId="2" fontId="4" numFmtId="164" xfId="0" applyAlignment="1" applyBorder="1" applyFont="1" applyNumberFormat="1">
      <alignment horizontal="right"/>
    </xf>
    <xf borderId="5" fillId="2" fontId="7" numFmtId="164" xfId="0" applyBorder="1" applyFont="1" applyNumberFormat="1"/>
    <xf borderId="10" fillId="6" fontId="4" numFmtId="0" xfId="0" applyAlignment="1" applyBorder="1" applyFont="1">
      <alignment horizontal="left"/>
    </xf>
    <xf borderId="10" fillId="0" fontId="6" numFmtId="0" xfId="0" applyAlignment="1" applyBorder="1" applyFont="1">
      <alignment horizontal="left" readingOrder="0"/>
    </xf>
    <xf borderId="5" fillId="0" fontId="4" numFmtId="0" xfId="0" applyAlignment="1" applyBorder="1" applyFont="1">
      <alignment horizontal="right"/>
    </xf>
    <xf borderId="15" fillId="0" fontId="4" numFmtId="164" xfId="0" applyAlignment="1" applyBorder="1" applyFont="1" applyNumberFormat="1">
      <alignment horizontal="right"/>
    </xf>
    <xf borderId="10" fillId="0" fontId="25" numFmtId="0" xfId="0" applyAlignment="1" applyBorder="1" applyFont="1">
      <alignment horizontal="left" readingOrder="0"/>
    </xf>
    <xf borderId="10" fillId="0" fontId="4" numFmtId="0" xfId="0" applyAlignment="1" applyBorder="1" applyFont="1">
      <alignment horizontal="left"/>
    </xf>
    <xf borderId="5" fillId="0" fontId="7" numFmtId="2" xfId="0" applyAlignment="1" applyBorder="1" applyFont="1" applyNumberFormat="1">
      <alignment horizontal="center"/>
    </xf>
    <xf borderId="5" fillId="7" fontId="1" numFmtId="0" xfId="0" applyAlignment="1" applyBorder="1" applyFont="1">
      <alignment readingOrder="0"/>
    </xf>
    <xf borderId="5" fillId="7" fontId="1" numFmtId="2" xfId="0" applyAlignment="1" applyBorder="1" applyFont="1" applyNumberFormat="1">
      <alignment readingOrder="0"/>
    </xf>
    <xf borderId="5" fillId="6" fontId="7" numFmtId="2" xfId="0" applyAlignment="1" applyBorder="1" applyFont="1" applyNumberFormat="1">
      <alignment horizontal="center"/>
    </xf>
    <xf borderId="5" fillId="6" fontId="14" numFmtId="2" xfId="0" applyAlignment="1" applyBorder="1" applyFont="1" applyNumberFormat="1">
      <alignment horizontal="center" readingOrder="0"/>
    </xf>
    <xf borderId="15" fillId="0" fontId="7" numFmtId="164" xfId="0" applyBorder="1" applyFont="1" applyNumberFormat="1"/>
    <xf borderId="10" fillId="0" fontId="6" numFmtId="164" xfId="0" applyAlignment="1" applyBorder="1" applyFont="1" applyNumberFormat="1">
      <alignment readingOrder="0"/>
    </xf>
    <xf borderId="0" fillId="0" fontId="2" numFmtId="171" xfId="0" applyAlignment="1" applyFont="1" applyNumberFormat="1">
      <alignment readingOrder="0"/>
    </xf>
    <xf borderId="11" fillId="0" fontId="16" numFmtId="0" xfId="0" applyAlignment="1" applyBorder="1" applyFont="1">
      <alignment horizontal="center" readingOrder="0" shrinkToFit="0" wrapText="1"/>
    </xf>
    <xf borderId="6" fillId="0" fontId="16" numFmtId="0" xfId="0" applyAlignment="1" applyBorder="1" applyFont="1">
      <alignment readingOrder="0" shrinkToFit="0" wrapText="1"/>
    </xf>
    <xf borderId="3" fillId="0" fontId="16" numFmtId="0" xfId="0" applyAlignment="1" applyBorder="1" applyFont="1">
      <alignment readingOrder="0" shrinkToFit="0" wrapText="1"/>
    </xf>
    <xf borderId="3" fillId="0" fontId="7" numFmtId="0" xfId="0" applyAlignment="1" applyBorder="1" applyFont="1">
      <alignment horizontal="center"/>
    </xf>
    <xf borderId="10" fillId="13" fontId="26" numFmtId="0" xfId="0" applyAlignment="1" applyBorder="1" applyFill="1" applyFont="1">
      <alignment horizontal="center" readingOrder="0" shrinkToFit="0" wrapText="1"/>
    </xf>
    <xf borderId="0" fillId="13" fontId="26" numFmtId="0" xfId="0" applyAlignment="1" applyFont="1">
      <alignment readingOrder="0" shrinkToFit="0" wrapText="1"/>
    </xf>
    <xf borderId="5" fillId="0" fontId="16" numFmtId="0" xfId="0" applyAlignment="1" applyBorder="1" applyFont="1">
      <alignment horizontal="center" readingOrder="0" shrinkToFit="0" vertical="center" wrapText="1"/>
    </xf>
    <xf borderId="5" fillId="0" fontId="27" numFmtId="0" xfId="0" applyAlignment="1" applyBorder="1" applyFont="1">
      <alignment horizontal="center" shrinkToFit="0" wrapText="1"/>
    </xf>
    <xf borderId="10" fillId="0" fontId="6" numFmtId="164" xfId="0" applyAlignment="1" applyBorder="1" applyFont="1" applyNumberFormat="1">
      <alignment horizontal="center" readingOrder="0"/>
    </xf>
    <xf borderId="1" fillId="0" fontId="6" numFmtId="0" xfId="0" applyAlignment="1" applyBorder="1" applyFont="1">
      <alignment horizontal="center" readingOrder="0"/>
    </xf>
    <xf borderId="2" fillId="0" fontId="19" numFmtId="164" xfId="0" applyBorder="1" applyFont="1" applyNumberFormat="1"/>
    <xf borderId="4" fillId="0" fontId="28" numFmtId="0" xfId="0" applyAlignment="1" applyBorder="1" applyFont="1">
      <alignment horizontal="center" readingOrder="0"/>
    </xf>
    <xf borderId="0" fillId="0" fontId="19" numFmtId="164" xfId="0" applyFont="1" applyNumberFormat="1"/>
    <xf borderId="4" fillId="0" fontId="6" numFmtId="0" xfId="0" applyAlignment="1" applyBorder="1" applyFont="1">
      <alignment horizontal="center" readingOrder="0"/>
    </xf>
    <xf borderId="0" fillId="0" fontId="9" numFmtId="0" xfId="0" applyAlignment="1" applyFont="1">
      <alignment horizontal="left" readingOrder="0" shrinkToFit="0" vertical="top" wrapText="1"/>
    </xf>
    <xf borderId="10" fillId="4" fontId="11" numFmtId="169" xfId="0" applyAlignment="1" applyBorder="1" applyFont="1" applyNumberFormat="1">
      <alignment horizontal="center"/>
    </xf>
    <xf borderId="14" fillId="4" fontId="29" numFmtId="164" xfId="0" applyAlignment="1" applyBorder="1" applyFont="1" applyNumberFormat="1">
      <alignment horizontal="center"/>
    </xf>
    <xf borderId="16" fillId="4" fontId="29" numFmtId="164" xfId="0" applyAlignment="1" applyBorder="1" applyFont="1" applyNumberFormat="1">
      <alignment horizontal="center"/>
    </xf>
    <xf borderId="5" fillId="5" fontId="19" numFmtId="164" xfId="0" applyBorder="1" applyFont="1" applyNumberFormat="1"/>
    <xf borderId="16" fillId="7" fontId="29" numFmtId="164" xfId="0" applyAlignment="1" applyBorder="1" applyFont="1" applyNumberFormat="1">
      <alignment horizontal="center"/>
    </xf>
    <xf borderId="15" fillId="5" fontId="19" numFmtId="164" xfId="0" applyBorder="1" applyFont="1" applyNumberFormat="1"/>
    <xf borderId="15" fillId="9" fontId="29" numFmtId="164" xfId="0" applyAlignment="1" applyBorder="1" applyFont="1" applyNumberFormat="1">
      <alignment horizontal="center"/>
    </xf>
    <xf borderId="5" fillId="10" fontId="21" numFmtId="169" xfId="0" applyAlignment="1" applyBorder="1" applyFont="1" applyNumberFormat="1">
      <alignment horizontal="center" readingOrder="0"/>
    </xf>
    <xf borderId="5" fillId="11" fontId="21" numFmtId="169" xfId="0" applyAlignment="1" applyBorder="1" applyFont="1" applyNumberFormat="1">
      <alignment horizontal="center" readingOrder="0"/>
    </xf>
    <xf borderId="16" fillId="5" fontId="19" numFmtId="164" xfId="0" applyBorder="1" applyFont="1" applyNumberFormat="1"/>
    <xf borderId="5" fillId="0" fontId="4" numFmtId="0" xfId="0" applyAlignment="1" applyBorder="1" applyFont="1">
      <alignment horizontal="center" vertical="bottom"/>
    </xf>
    <xf borderId="5" fillId="0" fontId="3" numFmtId="0" xfId="0" applyAlignment="1" applyBorder="1" applyFont="1">
      <alignment readingOrder="0"/>
    </xf>
    <xf borderId="10" fillId="0" fontId="6" numFmtId="169" xfId="0" applyAlignment="1" applyBorder="1" applyFont="1" applyNumberFormat="1">
      <alignment horizontal="center" readingOrder="0"/>
    </xf>
    <xf borderId="5" fillId="5" fontId="21" numFmtId="164" xfId="0" applyAlignment="1" applyBorder="1" applyFont="1" applyNumberFormat="1">
      <alignment readingOrder="0"/>
    </xf>
    <xf borderId="10" fillId="11" fontId="21" numFmtId="169" xfId="0" applyAlignment="1" applyBorder="1" applyFont="1" applyNumberFormat="1">
      <alignment horizontal="center" readingOrder="0"/>
    </xf>
    <xf borderId="10" fillId="0" fontId="21" numFmtId="0" xfId="0" applyAlignment="1" applyBorder="1" applyFont="1">
      <alignment horizontal="center" readingOrder="0"/>
    </xf>
    <xf borderId="10" fillId="5" fontId="21" numFmtId="164" xfId="0" applyAlignment="1" applyBorder="1" applyFont="1" applyNumberFormat="1">
      <alignment horizontal="right" readingOrder="0"/>
    </xf>
    <xf borderId="5" fillId="0" fontId="19" numFmtId="0" xfId="0" applyBorder="1" applyFont="1"/>
    <xf borderId="5" fillId="5" fontId="19" numFmtId="164" xfId="0" applyAlignment="1" applyBorder="1" applyFont="1" applyNumberFormat="1">
      <alignment horizontal="right"/>
    </xf>
    <xf borderId="5" fillId="0" fontId="19" numFmtId="164" xfId="0" applyBorder="1" applyFont="1" applyNumberFormat="1"/>
    <xf borderId="15" fillId="0" fontId="19" numFmtId="164" xfId="0" applyBorder="1" applyFont="1" applyNumberFormat="1"/>
    <xf borderId="10" fillId="9" fontId="19" numFmtId="164" xfId="0" applyBorder="1" applyFont="1" applyNumberFormat="1"/>
    <xf borderId="10" fillId="0" fontId="19" numFmtId="0" xfId="0" applyAlignment="1" applyBorder="1" applyFont="1">
      <alignment horizontal="center"/>
    </xf>
    <xf borderId="0" fillId="0" fontId="30" numFmtId="0" xfId="0" applyFont="1"/>
    <xf borderId="5" fillId="0" fontId="21" numFmtId="0" xfId="0" applyAlignment="1" applyBorder="1" applyFont="1">
      <alignment horizontal="center" readingOrder="0"/>
    </xf>
    <xf borderId="5" fillId="5" fontId="21" numFmtId="164" xfId="0" applyAlignment="1" applyBorder="1" applyFont="1" applyNumberFormat="1">
      <alignment horizontal="right" readingOrder="0"/>
    </xf>
    <xf borderId="5" fillId="9" fontId="19" numFmtId="164" xfId="0" applyBorder="1" applyFont="1" applyNumberFormat="1"/>
    <xf borderId="5" fillId="0" fontId="19" numFmtId="0" xfId="0" applyAlignment="1" applyBorder="1" applyFont="1">
      <alignment horizontal="center"/>
    </xf>
    <xf borderId="5" fillId="0" fontId="21" numFmtId="164" xfId="0" applyAlignment="1" applyBorder="1" applyFont="1" applyNumberFormat="1">
      <alignment readingOrder="0"/>
    </xf>
    <xf borderId="5" fillId="8" fontId="29" numFmtId="164" xfId="0" applyBorder="1" applyFont="1" applyNumberFormat="1"/>
    <xf borderId="0" fillId="10" fontId="4" numFmtId="169" xfId="0" applyAlignment="1" applyFont="1" applyNumberFormat="1">
      <alignment horizontal="center"/>
    </xf>
    <xf borderId="5" fillId="7" fontId="29" numFmtId="164" xfId="0" applyAlignment="1" applyBorder="1" applyFont="1" applyNumberFormat="1">
      <alignment horizontal="center"/>
    </xf>
    <xf borderId="0" fillId="0" fontId="6" numFmtId="164" xfId="0" applyAlignment="1" applyFont="1" applyNumberFormat="1">
      <alignment horizontal="right" readingOrder="0"/>
    </xf>
    <xf borderId="5" fillId="0" fontId="21" numFmtId="49" xfId="0" applyAlignment="1" applyBorder="1" applyFont="1" applyNumberFormat="1">
      <alignment horizontal="center" readingOrder="0"/>
    </xf>
    <xf borderId="5" fillId="6" fontId="29" numFmtId="164" xfId="0" applyBorder="1" applyFont="1" applyNumberFormat="1"/>
    <xf borderId="10" fillId="6" fontId="29" numFmtId="164" xfId="0" applyAlignment="1" applyBorder="1" applyFont="1" applyNumberFormat="1">
      <alignment horizontal="center" vertical="center"/>
    </xf>
    <xf borderId="20" fillId="7" fontId="29" numFmtId="0" xfId="0" applyAlignment="1" applyBorder="1" applyFont="1">
      <alignment horizontal="center"/>
    </xf>
    <xf borderId="5" fillId="7" fontId="29" numFmtId="0" xfId="0" applyAlignment="1" applyBorder="1" applyFont="1">
      <alignment horizontal="center"/>
    </xf>
    <xf borderId="20" fillId="7" fontId="29" numFmtId="164" xfId="0" applyAlignment="1" applyBorder="1" applyFont="1" applyNumberFormat="1">
      <alignment horizontal="center"/>
    </xf>
    <xf borderId="5" fillId="0" fontId="29" numFmtId="164" xfId="0" applyBorder="1" applyFont="1" applyNumberFormat="1"/>
    <xf borderId="10" fillId="0" fontId="29" numFmtId="164" xfId="0" applyBorder="1" applyFont="1" applyNumberFormat="1"/>
    <xf borderId="5" fillId="7" fontId="31" numFmtId="0" xfId="0" applyAlignment="1" applyBorder="1" applyFont="1">
      <alignment horizontal="center" readingOrder="0"/>
    </xf>
    <xf borderId="5" fillId="7" fontId="31" numFmtId="164" xfId="0" applyAlignment="1" applyBorder="1" applyFont="1" applyNumberFormat="1">
      <alignment horizontal="center" readingOrder="0"/>
    </xf>
    <xf borderId="10" fillId="6" fontId="29" numFmtId="164" xfId="0" applyBorder="1" applyFont="1" applyNumberFormat="1"/>
    <xf borderId="10" fillId="0" fontId="21" numFmtId="49" xfId="0" applyAlignment="1" applyBorder="1" applyFont="1" applyNumberFormat="1">
      <alignment horizontal="center" readingOrder="0"/>
    </xf>
    <xf borderId="15" fillId="7" fontId="7" numFmtId="164" xfId="0" applyAlignment="1" applyBorder="1" applyFont="1" applyNumberFormat="1">
      <alignment horizontal="center"/>
    </xf>
    <xf borderId="5" fillId="9" fontId="2" numFmtId="164" xfId="0" applyAlignment="1" applyBorder="1" applyFont="1" applyNumberFormat="1">
      <alignment horizontal="center" readingOrder="0" shrinkToFit="0" vertical="bottom" wrapText="0"/>
    </xf>
    <xf borderId="5" fillId="14" fontId="7" numFmtId="164" xfId="0" applyBorder="1" applyFill="1" applyFont="1" applyNumberFormat="1"/>
    <xf borderId="5" fillId="9" fontId="2" numFmtId="172" xfId="0" applyAlignment="1" applyBorder="1" applyFont="1" applyNumberFormat="1">
      <alignment horizontal="center" readingOrder="0" shrinkToFit="0" vertical="bottom" wrapText="0"/>
    </xf>
    <xf borderId="0" fillId="11" fontId="2" numFmtId="169" xfId="0" applyAlignment="1" applyFont="1" applyNumberFormat="1">
      <alignment horizontal="center" readingOrder="0"/>
    </xf>
    <xf borderId="15" fillId="9" fontId="6" numFmtId="168" xfId="0" applyAlignment="1" applyBorder="1" applyFont="1" applyNumberFormat="1">
      <alignment horizontal="center" readingOrder="0" shrinkToFit="0" wrapText="0"/>
    </xf>
    <xf borderId="15" fillId="9" fontId="6" numFmtId="168" xfId="0" applyAlignment="1" applyBorder="1" applyFont="1" applyNumberFormat="1">
      <alignment horizontal="center" readingOrder="0"/>
    </xf>
    <xf borderId="15" fillId="6" fontId="7" numFmtId="164" xfId="0" applyBorder="1" applyFont="1" applyNumberFormat="1"/>
    <xf borderId="15" fillId="5" fontId="6" numFmtId="164" xfId="0" applyBorder="1" applyFont="1" applyNumberFormat="1"/>
    <xf borderId="5" fillId="11" fontId="6" numFmtId="165" xfId="0" applyAlignment="1" applyBorder="1" applyFont="1" applyNumberFormat="1">
      <alignment horizontal="center" readingOrder="0"/>
    </xf>
    <xf borderId="10" fillId="0" fontId="32" numFmtId="0" xfId="0" applyAlignment="1" applyBorder="1" applyFont="1">
      <alignment readingOrder="0"/>
    </xf>
    <xf borderId="0" fillId="10" fontId="4" numFmtId="0" xfId="0" applyAlignment="1" applyFont="1">
      <alignment horizontal="center"/>
    </xf>
    <xf borderId="5" fillId="0" fontId="4" numFmtId="0" xfId="0" applyAlignment="1" applyBorder="1" applyFont="1">
      <alignment horizontal="left"/>
    </xf>
    <xf borderId="5" fillId="8" fontId="4" numFmtId="164" xfId="0" applyBorder="1" applyFont="1" applyNumberFormat="1"/>
    <xf borderId="10" fillId="0" fontId="6" numFmtId="0" xfId="0" applyAlignment="1" applyBorder="1" applyFont="1">
      <alignment readingOrder="0" vertical="center"/>
    </xf>
    <xf borderId="26" fillId="0" fontId="8" numFmtId="0" xfId="0" applyBorder="1" applyFont="1"/>
    <xf borderId="20" fillId="5" fontId="7" numFmtId="164" xfId="0" applyBorder="1" applyFont="1" applyNumberFormat="1"/>
    <xf borderId="20" fillId="9" fontId="6" numFmtId="164" xfId="0" applyAlignment="1" applyBorder="1" applyFont="1" applyNumberFormat="1">
      <alignment horizontal="center" readingOrder="0"/>
    </xf>
    <xf borderId="20" fillId="6" fontId="14" numFmtId="164" xfId="0" applyAlignment="1" applyBorder="1" applyFont="1" applyNumberFormat="1">
      <alignment readingOrder="0"/>
    </xf>
    <xf borderId="10" fillId="10" fontId="6" numFmtId="169" xfId="0" applyAlignment="1" applyBorder="1" applyFont="1" applyNumberFormat="1">
      <alignment horizontal="center" readingOrder="0"/>
    </xf>
    <xf borderId="5" fillId="0" fontId="5" numFmtId="169" xfId="0" applyAlignment="1" applyBorder="1" applyFont="1" applyNumberFormat="1">
      <alignment horizontal="center"/>
    </xf>
    <xf borderId="5" fillId="0" fontId="5" numFmtId="0" xfId="0" applyBorder="1" applyFont="1"/>
    <xf borderId="11" fillId="0" fontId="7" numFmtId="169" xfId="0" applyAlignment="1" applyBorder="1" applyFont="1" applyNumberFormat="1">
      <alignment horizontal="center"/>
    </xf>
    <xf borderId="11" fillId="0" fontId="9" numFmtId="169" xfId="0" applyAlignment="1" applyBorder="1" applyFont="1" applyNumberFormat="1">
      <alignment horizontal="left" shrinkToFit="0" vertical="top" wrapText="1"/>
    </xf>
    <xf borderId="11" fillId="3" fontId="10" numFmtId="169" xfId="0" applyAlignment="1" applyBorder="1" applyFont="1" applyNumberFormat="1">
      <alignment horizontal="center" vertical="center"/>
    </xf>
    <xf borderId="10" fillId="4" fontId="33" numFmtId="169" xfId="0" applyAlignment="1" applyBorder="1" applyFont="1" applyNumberFormat="1">
      <alignment horizontal="center" readingOrder="0"/>
    </xf>
    <xf borderId="5" fillId="10" fontId="6" numFmtId="164" xfId="0" applyAlignment="1" applyBorder="1" applyFont="1" applyNumberFormat="1">
      <alignment horizontal="right" readingOrder="0"/>
    </xf>
    <xf borderId="5" fillId="10" fontId="4" numFmtId="164" xfId="0" applyBorder="1" applyFont="1" applyNumberFormat="1"/>
    <xf borderId="22" fillId="8" fontId="7" numFmtId="164" xfId="0" applyBorder="1" applyFont="1" applyNumberFormat="1"/>
    <xf borderId="5" fillId="7" fontId="14" numFmtId="169" xfId="0" applyAlignment="1" applyBorder="1" applyFont="1" applyNumberFormat="1">
      <alignment horizontal="center" readingOrder="0"/>
    </xf>
    <xf borderId="5" fillId="7" fontId="7" numFmtId="169" xfId="0" applyAlignment="1" applyBorder="1" applyFont="1" applyNumberFormat="1">
      <alignment horizontal="center"/>
    </xf>
    <xf borderId="0" fillId="0" fontId="13" numFmtId="164" xfId="0" applyFont="1" applyNumberFormat="1"/>
    <xf borderId="5" fillId="6" fontId="7" numFmtId="164" xfId="0" applyAlignment="1" applyBorder="1" applyFont="1" applyNumberFormat="1">
      <alignment horizontal="center"/>
    </xf>
    <xf borderId="15" fillId="0" fontId="12" numFmtId="0" xfId="0" applyAlignment="1" applyBorder="1" applyFont="1">
      <alignment horizontal="left" shrinkToFit="0" wrapText="1"/>
    </xf>
    <xf borderId="5" fillId="0" fontId="12" numFmtId="0" xfId="0" applyAlignment="1" applyBorder="1" applyFont="1">
      <alignment horizontal="left" shrinkToFit="0" wrapText="1"/>
    </xf>
    <xf borderId="5" fillId="0" fontId="21" numFmtId="0" xfId="0" applyAlignment="1" applyBorder="1" applyFont="1">
      <alignment readingOrder="0" shrinkToFit="0" vertical="bottom" wrapText="0"/>
    </xf>
    <xf borderId="5" fillId="7" fontId="4" numFmtId="169" xfId="0" applyAlignment="1" applyBorder="1" applyFont="1" applyNumberFormat="1">
      <alignment horizontal="center"/>
    </xf>
    <xf borderId="5" fillId="7" fontId="4" numFmtId="0" xfId="0" applyAlignment="1" applyBorder="1" applyFont="1">
      <alignment horizontal="center"/>
    </xf>
    <xf borderId="5" fillId="7" fontId="4" numFmtId="164" xfId="0" applyAlignment="1" applyBorder="1" applyFont="1" applyNumberFormat="1">
      <alignment horizontal="center"/>
    </xf>
    <xf borderId="5" fillId="10" fontId="6" numFmtId="165" xfId="0" applyAlignment="1" applyBorder="1" applyFont="1" applyNumberFormat="1">
      <alignment horizontal="center" readingOrder="0"/>
    </xf>
    <xf borderId="10" fillId="0" fontId="6" numFmtId="165" xfId="0" applyAlignment="1" applyBorder="1" applyFont="1" applyNumberFormat="1">
      <alignment horizontal="center" readingOrder="0"/>
    </xf>
    <xf borderId="5" fillId="10" fontId="6" numFmtId="0" xfId="0" applyAlignment="1" applyBorder="1" applyFont="1">
      <alignment horizontal="center" readingOrder="0" shrinkToFit="0" wrapText="1"/>
    </xf>
    <xf borderId="5" fillId="2" fontId="6" numFmtId="0" xfId="0" applyAlignment="1" applyBorder="1" applyFont="1">
      <alignment horizontal="center" readingOrder="0" shrinkToFit="0" wrapText="1"/>
    </xf>
    <xf borderId="5" fillId="0" fontId="6" numFmtId="0" xfId="0" applyAlignment="1" applyBorder="1" applyFont="1">
      <alignment readingOrder="0" vertical="center"/>
    </xf>
    <xf borderId="5" fillId="0" fontId="4" numFmtId="0" xfId="0" applyAlignment="1" applyBorder="1" applyFont="1">
      <alignment horizontal="center" vertical="center"/>
    </xf>
    <xf borderId="5" fillId="5" fontId="6" numFmtId="164" xfId="0" applyAlignment="1" applyBorder="1" applyFont="1" applyNumberFormat="1">
      <alignment horizontal="right" readingOrder="0" vertical="center"/>
    </xf>
    <xf borderId="5" fillId="0" fontId="4" numFmtId="164" xfId="0" applyAlignment="1" applyBorder="1" applyFont="1" applyNumberFormat="1">
      <alignment vertical="center"/>
    </xf>
    <xf borderId="5" fillId="5" fontId="4" numFmtId="164" xfId="0" applyAlignment="1" applyBorder="1" applyFont="1" applyNumberFormat="1">
      <alignment vertical="center"/>
    </xf>
    <xf borderId="5" fillId="8" fontId="7" numFmtId="164" xfId="0" applyAlignment="1" applyBorder="1" applyFont="1" applyNumberFormat="1">
      <alignment vertical="center"/>
    </xf>
    <xf borderId="20" fillId="0" fontId="7" numFmtId="164" xfId="0" applyBorder="1" applyFont="1" applyNumberFormat="1"/>
    <xf borderId="0" fillId="0" fontId="7" numFmtId="164" xfId="0" applyFont="1" applyNumberFormat="1"/>
    <xf borderId="0" fillId="3" fontId="34" numFmtId="0" xfId="0" applyAlignment="1" applyFont="1">
      <alignment horizontal="center" readingOrder="0" shrinkToFit="0" wrapText="0"/>
    </xf>
    <xf borderId="27" fillId="0" fontId="8" numFmtId="0" xfId="0" applyBorder="1" applyFont="1"/>
    <xf borderId="10" fillId="4" fontId="35" numFmtId="0" xfId="0" applyAlignment="1" applyBorder="1" applyFont="1">
      <alignment horizontal="center" readingOrder="0" shrinkToFit="0" vertical="bottom" wrapText="0"/>
    </xf>
    <xf borderId="10" fillId="4" fontId="35" numFmtId="164" xfId="0" applyAlignment="1" applyBorder="1" applyFont="1" applyNumberFormat="1">
      <alignment horizontal="center" readingOrder="0" shrinkToFit="0" vertical="bottom" wrapText="0"/>
    </xf>
    <xf borderId="12" fillId="4" fontId="35" numFmtId="0" xfId="0" applyAlignment="1" applyBorder="1" applyFont="1">
      <alignment horizontal="center" readingOrder="0" shrinkToFit="0" vertical="bottom" wrapText="0"/>
    </xf>
    <xf borderId="3" fillId="4" fontId="35" numFmtId="164" xfId="0" applyAlignment="1" applyBorder="1" applyFont="1" applyNumberFormat="1">
      <alignment horizontal="center" shrinkToFit="0" vertical="bottom" wrapText="0"/>
    </xf>
    <xf borderId="17" fillId="4" fontId="35" numFmtId="0" xfId="0" applyAlignment="1" applyBorder="1" applyFont="1">
      <alignment horizontal="center" readingOrder="0" shrinkToFit="0" vertical="bottom" wrapText="0"/>
    </xf>
    <xf borderId="17" fillId="4" fontId="35" numFmtId="164" xfId="0" applyAlignment="1" applyBorder="1" applyFont="1" applyNumberFormat="1">
      <alignment horizontal="center" readingOrder="0" shrinkToFit="0" vertical="bottom" wrapText="0"/>
    </xf>
    <xf borderId="15" fillId="0" fontId="22" numFmtId="0" xfId="0" applyAlignment="1" applyBorder="1" applyFont="1">
      <alignment horizontal="center" readingOrder="0" shrinkToFit="0" vertical="bottom" wrapText="0"/>
    </xf>
    <xf borderId="17" fillId="0" fontId="22" numFmtId="0" xfId="0" applyAlignment="1" applyBorder="1" applyFont="1">
      <alignment readingOrder="0" shrinkToFit="0" vertical="bottom" wrapText="0"/>
    </xf>
    <xf borderId="17" fillId="0" fontId="22" numFmtId="0" xfId="0" applyAlignment="1" applyBorder="1" applyFont="1">
      <alignment horizontal="center" readingOrder="0" shrinkToFit="0" vertical="bottom" wrapText="0"/>
    </xf>
    <xf borderId="17" fillId="9" fontId="22" numFmtId="164" xfId="0" applyAlignment="1" applyBorder="1" applyFont="1" applyNumberFormat="1">
      <alignment horizontal="right" readingOrder="0" shrinkToFit="0" vertical="bottom" wrapText="0"/>
    </xf>
    <xf borderId="17" fillId="0" fontId="22" numFmtId="0" xfId="0" applyAlignment="1" applyBorder="1" applyFont="1">
      <alignment horizontal="right" readingOrder="0" shrinkToFit="0" vertical="bottom" wrapText="0"/>
    </xf>
    <xf borderId="17" fillId="0" fontId="22" numFmtId="164" xfId="0" applyAlignment="1" applyBorder="1" applyFont="1" applyNumberFormat="1">
      <alignment readingOrder="0" shrinkToFit="0" vertical="bottom" wrapText="0"/>
    </xf>
    <xf borderId="17" fillId="9" fontId="22" numFmtId="164" xfId="0" applyAlignment="1" applyBorder="1" applyFont="1" applyNumberFormat="1">
      <alignment shrinkToFit="0" vertical="bottom" wrapText="0"/>
    </xf>
    <xf borderId="17" fillId="6" fontId="36" numFmtId="164" xfId="0" applyAlignment="1" applyBorder="1" applyFont="1" applyNumberFormat="1">
      <alignment readingOrder="0" shrinkToFit="0" vertical="bottom" wrapText="0"/>
    </xf>
    <xf borderId="17" fillId="0" fontId="22" numFmtId="0" xfId="0" applyAlignment="1" applyBorder="1" applyFont="1">
      <alignment horizontal="center" shrinkToFit="0" vertical="bottom" wrapText="0"/>
    </xf>
    <xf borderId="22" fillId="7" fontId="36" numFmtId="0" xfId="0" applyAlignment="1" applyBorder="1" applyFont="1">
      <alignment horizontal="center" readingOrder="0" shrinkToFit="0" vertical="bottom" wrapText="0"/>
    </xf>
    <xf borderId="6" fillId="7" fontId="36" numFmtId="0" xfId="0" applyAlignment="1" applyBorder="1" applyFont="1">
      <alignment horizontal="center" readingOrder="0" shrinkToFit="0" vertical="bottom" wrapText="0"/>
    </xf>
    <xf borderId="6" fillId="7" fontId="36" numFmtId="164" xfId="0" applyAlignment="1" applyBorder="1" applyFont="1" applyNumberFormat="1">
      <alignment horizontal="center" readingOrder="0" shrinkToFit="0" vertical="bottom" wrapText="0"/>
    </xf>
    <xf borderId="17" fillId="7" fontId="36" numFmtId="0" xfId="0" applyAlignment="1" applyBorder="1" applyFont="1">
      <alignment horizontal="center" readingOrder="0" shrinkToFit="0" vertical="bottom" wrapText="0"/>
    </xf>
    <xf borderId="17" fillId="7" fontId="36" numFmtId="164" xfId="0" applyAlignment="1" applyBorder="1" applyFont="1" applyNumberFormat="1">
      <alignment horizontal="center" readingOrder="0" shrinkToFit="0" vertical="bottom" wrapText="0"/>
    </xf>
    <xf borderId="5" fillId="0" fontId="22" numFmtId="0" xfId="0" applyAlignment="1" applyBorder="1" applyFont="1">
      <alignment horizontal="center" readingOrder="0" shrinkToFit="0" vertical="bottom" wrapText="0"/>
    </xf>
    <xf borderId="13" fillId="0" fontId="22" numFmtId="0" xfId="0" applyAlignment="1" applyBorder="1" applyFont="1">
      <alignment readingOrder="0" shrinkToFit="0" vertical="bottom" wrapText="0"/>
    </xf>
    <xf borderId="13" fillId="0" fontId="22" numFmtId="0" xfId="0" applyAlignment="1" applyBorder="1" applyFont="1">
      <alignment horizontal="center" readingOrder="0" shrinkToFit="0" vertical="bottom" wrapText="0"/>
    </xf>
    <xf borderId="13" fillId="9" fontId="22" numFmtId="164" xfId="0" applyAlignment="1" applyBorder="1" applyFont="1" applyNumberFormat="1">
      <alignment horizontal="right" readingOrder="0" shrinkToFit="0" vertical="bottom" wrapText="0"/>
    </xf>
    <xf borderId="17" fillId="0" fontId="22" numFmtId="0" xfId="0" applyAlignment="1" applyBorder="1" applyFont="1">
      <alignment shrinkToFit="0" vertical="bottom" wrapText="0"/>
    </xf>
    <xf borderId="13" fillId="8" fontId="36" numFmtId="164" xfId="0" applyAlignment="1" applyBorder="1" applyFont="1" applyNumberFormat="1">
      <alignment readingOrder="0" shrinkToFit="0" vertical="bottom" wrapText="0"/>
    </xf>
    <xf borderId="13" fillId="0" fontId="22" numFmtId="0" xfId="0" applyAlignment="1" applyBorder="1" applyFont="1">
      <alignment horizontal="center" shrinkToFit="0" vertical="bottom" wrapText="0"/>
    </xf>
    <xf borderId="17" fillId="9" fontId="22" numFmtId="164" xfId="0" applyAlignment="1" applyBorder="1" applyFont="1" applyNumberFormat="1">
      <alignment horizontal="right" shrinkToFit="0" vertical="bottom" wrapText="0"/>
    </xf>
    <xf borderId="17" fillId="0" fontId="22" numFmtId="164" xfId="0" applyAlignment="1" applyBorder="1" applyFont="1" applyNumberFormat="1">
      <alignment shrinkToFit="0" vertical="bottom" wrapText="0"/>
    </xf>
    <xf borderId="13" fillId="6" fontId="36" numFmtId="164" xfId="0" applyAlignment="1" applyBorder="1" applyFont="1" applyNumberFormat="1">
      <alignment readingOrder="0" shrinkToFit="0" vertical="bottom" wrapText="0"/>
    </xf>
    <xf borderId="17" fillId="0" fontId="22" numFmtId="0" xfId="0" applyAlignment="1" applyBorder="1" applyFont="1">
      <alignment readingOrder="0" shrinkToFit="0" vertical="bottom" wrapText="0"/>
    </xf>
    <xf borderId="13" fillId="0" fontId="22" numFmtId="164" xfId="0" applyAlignment="1" applyBorder="1" applyFont="1" applyNumberFormat="1">
      <alignment shrinkToFit="0" vertical="bottom" wrapText="0"/>
    </xf>
    <xf borderId="17" fillId="0" fontId="36" numFmtId="164" xfId="0" applyAlignment="1" applyBorder="1" applyFont="1" applyNumberFormat="1">
      <alignment shrinkToFit="0" vertical="bottom" wrapText="0"/>
    </xf>
    <xf borderId="6" fillId="0" fontId="22" numFmtId="0" xfId="0" applyAlignment="1" applyBorder="1" applyFont="1">
      <alignment horizontal="center" shrinkToFit="0" vertical="bottom" wrapText="0"/>
    </xf>
    <xf borderId="3" fillId="0" fontId="22" numFmtId="0" xfId="0" applyAlignment="1" applyBorder="1" applyFont="1">
      <alignment horizontal="center" shrinkToFit="0" vertical="bottom" wrapText="0"/>
    </xf>
    <xf borderId="3" fillId="7" fontId="36" numFmtId="0" xfId="0" applyAlignment="1" applyBorder="1" applyFont="1">
      <alignment horizontal="center" readingOrder="0" shrinkToFit="0" vertical="bottom" wrapText="0"/>
    </xf>
    <xf borderId="17" fillId="9" fontId="22" numFmtId="164" xfId="0" applyAlignment="1" applyBorder="1" applyFont="1" applyNumberFormat="1">
      <alignment readingOrder="0" shrinkToFit="0" vertical="bottom" wrapText="0"/>
    </xf>
    <xf borderId="13" fillId="0" fontId="22" numFmtId="164" xfId="0" applyAlignment="1" applyBorder="1" applyFont="1" applyNumberFormat="1">
      <alignment readingOrder="0" shrinkToFit="0" vertical="bottom" wrapText="0"/>
    </xf>
    <xf borderId="15" fillId="0" fontId="22" numFmtId="0" xfId="0" applyAlignment="1" applyBorder="1" applyFont="1">
      <alignment horizontal="center" shrinkToFit="0" vertical="bottom" wrapText="0"/>
    </xf>
    <xf borderId="6" fillId="0" fontId="22" numFmtId="0" xfId="0" applyAlignment="1" applyBorder="1" applyFont="1">
      <alignment shrinkToFit="0" vertical="bottom" wrapText="0"/>
    </xf>
    <xf borderId="6" fillId="9" fontId="22" numFmtId="164" xfId="0" applyAlignment="1" applyBorder="1" applyFont="1" applyNumberFormat="1">
      <alignment horizontal="right" shrinkToFit="0" vertical="bottom" wrapText="0"/>
    </xf>
    <xf borderId="6" fillId="6" fontId="36" numFmtId="164" xfId="0" applyAlignment="1" applyBorder="1" applyFont="1" applyNumberFormat="1">
      <alignment readingOrder="0" shrinkToFit="0" vertical="bottom" wrapText="0"/>
    </xf>
    <xf borderId="3" fillId="0" fontId="22" numFmtId="0" xfId="0" applyAlignment="1" applyBorder="1" applyFont="1">
      <alignment readingOrder="0" shrinkToFit="0" vertical="bottom" wrapText="0"/>
    </xf>
    <xf borderId="3" fillId="0" fontId="22" numFmtId="0" xfId="0" applyAlignment="1" applyBorder="1" applyFont="1">
      <alignment horizontal="center" readingOrder="0" shrinkToFit="0" vertical="bottom" wrapText="0"/>
    </xf>
    <xf borderId="3" fillId="9" fontId="22" numFmtId="164" xfId="0" applyAlignment="1" applyBorder="1" applyFont="1" applyNumberFormat="1">
      <alignment horizontal="right" readingOrder="0" shrinkToFit="0" vertical="bottom" wrapText="0"/>
    </xf>
    <xf borderId="3" fillId="6" fontId="36" numFmtId="164" xfId="0" applyAlignment="1" applyBorder="1" applyFont="1" applyNumberFormat="1">
      <alignment readingOrder="0" shrinkToFit="0" vertical="bottom" wrapText="0"/>
    </xf>
    <xf borderId="3" fillId="0" fontId="22" numFmtId="0" xfId="0" applyAlignment="1" applyBorder="1" applyFont="1">
      <alignment shrinkToFit="0" vertical="bottom" wrapText="0"/>
    </xf>
    <xf borderId="3" fillId="9" fontId="22" numFmtId="164" xfId="0" applyAlignment="1" applyBorder="1" applyFont="1" applyNumberFormat="1">
      <alignment horizontal="right" shrinkToFit="0" vertical="bottom" wrapText="0"/>
    </xf>
    <xf borderId="13" fillId="0" fontId="22" numFmtId="164" xfId="0" applyAlignment="1" applyBorder="1" applyFont="1" applyNumberFormat="1">
      <alignment shrinkToFit="0" vertical="bottom" wrapText="0"/>
    </xf>
    <xf borderId="22" fillId="0" fontId="22" numFmtId="0" xfId="0" applyAlignment="1" applyBorder="1" applyFont="1">
      <alignment horizontal="center" readingOrder="0" shrinkToFit="0" vertical="bottom" wrapText="0"/>
    </xf>
    <xf borderId="10" fillId="0" fontId="22" numFmtId="0" xfId="0" applyAlignment="1" applyBorder="1" applyFont="1">
      <alignment horizontal="center" readingOrder="0" shrinkToFit="0" vertical="bottom" wrapText="0"/>
    </xf>
    <xf borderId="6" fillId="0" fontId="22" numFmtId="0" xfId="0" applyAlignment="1" applyBorder="1" applyFont="1">
      <alignment readingOrder="0" shrinkToFit="0" vertical="bottom" wrapText="0"/>
    </xf>
    <xf borderId="3" fillId="7" fontId="36" numFmtId="164" xfId="0" applyAlignment="1" applyBorder="1" applyFont="1" applyNumberFormat="1">
      <alignment horizontal="center" readingOrder="0" shrinkToFit="0" vertical="bottom" wrapText="0"/>
    </xf>
    <xf borderId="13" fillId="9" fontId="22" numFmtId="164" xfId="0" applyAlignment="1" applyBorder="1" applyFont="1" applyNumberFormat="1">
      <alignment horizontal="right" shrinkToFit="0" vertical="bottom" wrapText="0"/>
    </xf>
    <xf borderId="3" fillId="6" fontId="36" numFmtId="164" xfId="0" applyAlignment="1" applyBorder="1" applyFont="1" applyNumberFormat="1">
      <alignment shrinkToFit="0" vertical="bottom" wrapText="0"/>
    </xf>
    <xf borderId="13" fillId="0" fontId="36" numFmtId="164" xfId="0" applyAlignment="1" applyBorder="1" applyFont="1" applyNumberFormat="1">
      <alignment shrinkToFit="0" vertical="bottom" wrapText="0"/>
    </xf>
    <xf borderId="6" fillId="0" fontId="36" numFmtId="164" xfId="0" applyAlignment="1" applyBorder="1" applyFont="1" applyNumberFormat="1">
      <alignment shrinkToFit="0" vertical="bottom" wrapText="0"/>
    </xf>
    <xf borderId="3" fillId="0" fontId="36" numFmtId="164" xfId="0" applyAlignment="1" applyBorder="1" applyFont="1" applyNumberFormat="1">
      <alignment shrinkToFit="0" vertical="bottom" wrapText="0"/>
    </xf>
    <xf borderId="3" fillId="9" fontId="36" numFmtId="0" xfId="0" applyAlignment="1" applyBorder="1" applyFont="1">
      <alignment horizontal="center" readingOrder="0" shrinkToFit="0" vertical="bottom" wrapText="0"/>
    </xf>
    <xf borderId="6" fillId="0" fontId="22" numFmtId="0" xfId="0" applyAlignment="1" applyBorder="1" applyFont="1">
      <alignment horizontal="center" readingOrder="0" shrinkToFit="0" vertical="bottom" wrapText="0"/>
    </xf>
    <xf borderId="6" fillId="8" fontId="36" numFmtId="164" xfId="0" applyAlignment="1" applyBorder="1" applyFont="1" applyNumberFormat="1">
      <alignment readingOrder="0" shrinkToFit="0" vertical="bottom" wrapText="0"/>
    </xf>
    <xf borderId="17" fillId="8" fontId="36" numFmtId="164" xfId="0" applyAlignment="1" applyBorder="1" applyFont="1" applyNumberFormat="1">
      <alignment readingOrder="0" shrinkToFit="0" vertical="bottom" wrapText="0"/>
    </xf>
    <xf borderId="0" fillId="0" fontId="22" numFmtId="164" xfId="0" applyAlignment="1" applyFont="1" applyNumberFormat="1">
      <alignment shrinkToFit="0" vertical="bottom" wrapText="0"/>
    </xf>
    <xf borderId="17" fillId="0" fontId="22" numFmtId="164" xfId="0" applyAlignment="1" applyBorder="1" applyFont="1" applyNumberFormat="1">
      <alignment shrinkToFit="0" vertical="bottom" wrapText="0"/>
    </xf>
    <xf borderId="17" fillId="8" fontId="37" numFmtId="164" xfId="0" applyAlignment="1" applyBorder="1" applyFont="1" applyNumberFormat="1">
      <alignment readingOrder="0" shrinkToFit="0" vertical="bottom" wrapText="0"/>
    </xf>
    <xf borderId="13" fillId="0" fontId="22" numFmtId="0" xfId="0" applyAlignment="1" applyBorder="1" applyFont="1">
      <alignment readingOrder="0" shrinkToFit="0" vertical="bottom" wrapText="0"/>
    </xf>
    <xf borderId="6" fillId="0" fontId="22" numFmtId="0" xfId="0" applyAlignment="1" applyBorder="1" applyFont="1">
      <alignment readingOrder="0" shrinkToFit="0" vertical="bottom" wrapText="0"/>
    </xf>
    <xf borderId="6" fillId="9" fontId="22" numFmtId="164" xfId="0" applyAlignment="1" applyBorder="1" applyFont="1" applyNumberFormat="1">
      <alignment horizontal="right" readingOrder="0" shrinkToFit="0" vertical="bottom" wrapText="0"/>
    </xf>
    <xf borderId="3" fillId="0" fontId="22" numFmtId="0" xfId="0" applyAlignment="1" applyBorder="1" applyFont="1">
      <alignment readingOrder="0" shrinkToFit="0" vertical="bottom" wrapText="0"/>
    </xf>
    <xf borderId="10" fillId="0" fontId="22" numFmtId="0" xfId="0" applyAlignment="1" applyBorder="1" applyFont="1">
      <alignment horizontal="center" shrinkToFit="0" vertical="bottom" wrapText="0"/>
    </xf>
    <xf borderId="3" fillId="0" fontId="22" numFmtId="0" xfId="0" applyAlignment="1" applyBorder="1" applyFont="1">
      <alignment shrinkToFit="0" vertical="bottom" wrapText="0"/>
    </xf>
    <xf borderId="3" fillId="0" fontId="22" numFmtId="0" xfId="0" applyAlignment="1" applyBorder="1" applyFont="1">
      <alignment horizontal="center" shrinkToFit="0" vertical="bottom" wrapText="0"/>
    </xf>
    <xf borderId="3" fillId="0" fontId="22" numFmtId="0" xfId="0" applyAlignment="1" applyBorder="1" applyFont="1">
      <alignment horizontal="center" readingOrder="0" shrinkToFit="0" vertical="bottom" wrapText="0"/>
    </xf>
    <xf borderId="3" fillId="8" fontId="36" numFmtId="164" xfId="0" applyAlignment="1" applyBorder="1" applyFont="1" applyNumberFormat="1">
      <alignment readingOrder="0" shrinkToFit="0" vertical="bottom" wrapText="0"/>
    </xf>
    <xf borderId="10" fillId="7" fontId="36" numFmtId="0" xfId="0" applyAlignment="1" applyBorder="1" applyFont="1">
      <alignment horizontal="center" readingOrder="0" shrinkToFit="0" vertical="bottom" wrapText="0"/>
    </xf>
    <xf borderId="17" fillId="7" fontId="36" numFmtId="164" xfId="0" applyAlignment="1" applyBorder="1" applyFont="1" applyNumberFormat="1">
      <alignment horizontal="center" shrinkToFit="0" vertical="bottom" wrapText="0"/>
    </xf>
    <xf borderId="17" fillId="0" fontId="22" numFmtId="164" xfId="0" applyAlignment="1" applyBorder="1" applyFont="1" applyNumberFormat="1">
      <alignment horizontal="right" readingOrder="0" shrinkToFit="0" vertical="bottom" wrapText="0"/>
    </xf>
    <xf borderId="0" fillId="0" fontId="22" numFmtId="0" xfId="0" applyAlignment="1" applyFont="1">
      <alignment horizontal="center" shrinkToFit="0" vertical="bottom" wrapText="0"/>
    </xf>
    <xf borderId="0" fillId="0" fontId="22" numFmtId="0" xfId="0" applyAlignment="1" applyFont="1">
      <alignment shrinkToFit="0" vertical="bottom" wrapText="0"/>
    </xf>
    <xf borderId="0" fillId="0" fontId="22" numFmtId="164" xfId="0" applyAlignment="1" applyFont="1" applyNumberFormat="1">
      <alignment horizontal="right" shrinkToFit="0" vertical="bottom" wrapText="0"/>
    </xf>
    <xf borderId="13" fillId="7" fontId="36" numFmtId="0" xfId="0" applyAlignment="1" applyBorder="1" applyFont="1">
      <alignment horizontal="center" readingOrder="0" shrinkToFit="0" vertical="bottom" wrapText="0"/>
    </xf>
    <xf borderId="13" fillId="7" fontId="36" numFmtId="164" xfId="0" applyAlignment="1" applyBorder="1" applyFont="1" applyNumberFormat="1">
      <alignment horizontal="center" readingOrder="0" shrinkToFit="0" vertical="bottom" wrapText="0"/>
    </xf>
    <xf borderId="17" fillId="8" fontId="38" numFmtId="164" xfId="0" applyAlignment="1" applyBorder="1" applyFont="1" applyNumberFormat="1">
      <alignment readingOrder="0" shrinkToFit="0" vertical="bottom" wrapText="0"/>
    </xf>
    <xf borderId="17" fillId="0" fontId="22" numFmtId="164" xfId="0" applyAlignment="1" applyBorder="1" applyFont="1" applyNumberFormat="1">
      <alignment horizontal="right" shrinkToFit="0" vertical="bottom" wrapText="0"/>
    </xf>
    <xf borderId="13" fillId="2" fontId="6" numFmtId="165" xfId="0" applyAlignment="1" applyBorder="1" applyFont="1" applyNumberFormat="1">
      <alignment horizontal="center" readingOrder="0"/>
    </xf>
    <xf borderId="10" fillId="2" fontId="6" numFmtId="0" xfId="0" applyAlignment="1" applyBorder="1" applyFont="1">
      <alignment horizontal="center" readingOrder="0"/>
    </xf>
    <xf borderId="0" fillId="0" fontId="13" numFmtId="173" xfId="0" applyFont="1" applyNumberFormat="1"/>
    <xf borderId="11" fillId="15" fontId="2" numFmtId="0" xfId="0" applyAlignment="1" applyBorder="1" applyFill="1" applyFont="1">
      <alignment horizontal="center" readingOrder="0"/>
    </xf>
    <xf borderId="11" fillId="15" fontId="2" numFmtId="173" xfId="0" applyAlignment="1" applyBorder="1" applyFont="1" applyNumberFormat="1">
      <alignment horizontal="center" readingOrder="0"/>
    </xf>
    <xf borderId="11" fillId="16" fontId="2" numFmtId="0" xfId="0" applyAlignment="1" applyBorder="1" applyFill="1" applyFont="1">
      <alignment readingOrder="0"/>
    </xf>
    <xf borderId="5" fillId="0" fontId="2" numFmtId="173" xfId="0" applyAlignment="1" applyBorder="1" applyFont="1" applyNumberFormat="1">
      <alignment readingOrder="0"/>
    </xf>
    <xf borderId="5" fillId="0" fontId="13" numFmtId="173" xfId="0" applyBorder="1" applyFont="1" applyNumberFormat="1"/>
    <xf borderId="5" fillId="0" fontId="18" numFmtId="2" xfId="0" applyBorder="1" applyFont="1" applyNumberFormat="1"/>
    <xf borderId="0" fillId="0" fontId="2" numFmtId="0" xfId="0" applyAlignment="1" applyFont="1">
      <alignment readingOrder="0" vertical="center"/>
    </xf>
    <xf borderId="5" fillId="0" fontId="2" numFmtId="0" xfId="0" applyAlignment="1" applyBorder="1" applyFont="1">
      <alignment readingOrder="0" vertical="center"/>
    </xf>
    <xf borderId="15" fillId="0" fontId="2" numFmtId="0" xfId="0" applyAlignment="1" applyBorder="1" applyFont="1">
      <alignment readingOrder="0" vertical="center"/>
    </xf>
    <xf borderId="5" fillId="9" fontId="39" numFmtId="0" xfId="0" applyAlignment="1" applyBorder="1" applyFont="1">
      <alignment horizontal="center" readingOrder="0"/>
    </xf>
    <xf borderId="0" fillId="9" fontId="39" numFmtId="173" xfId="0" applyAlignment="1" applyFont="1" applyNumberFormat="1">
      <alignment horizontal="center" readingOrder="0"/>
    </xf>
    <xf borderId="5" fillId="0" fontId="3" numFmtId="0" xfId="0" applyAlignment="1" applyBorder="1" applyFont="1">
      <alignment readingOrder="0" shrinkToFit="0" wrapText="1"/>
    </xf>
    <xf borderId="5" fillId="9" fontId="3" numFmtId="2" xfId="0" applyAlignment="1" applyBorder="1" applyFont="1" applyNumberFormat="1">
      <alignment horizontal="center" readingOrder="0"/>
    </xf>
    <xf borderId="5" fillId="9" fontId="3" numFmtId="0" xfId="0" applyAlignment="1" applyBorder="1" applyFont="1">
      <alignment horizontal="center" readingOrder="0"/>
    </xf>
    <xf borderId="5" fillId="0" fontId="3" numFmtId="2" xfId="0" applyAlignment="1" applyBorder="1" applyFont="1" applyNumberFormat="1">
      <alignment readingOrder="0"/>
    </xf>
    <xf borderId="11" fillId="9" fontId="3" numFmtId="0" xfId="0" applyAlignment="1" applyBorder="1" applyFont="1">
      <alignment horizontal="right" readingOrder="0"/>
    </xf>
    <xf borderId="0" fillId="9" fontId="39" numFmtId="0" xfId="0" applyAlignment="1" applyFont="1">
      <alignment horizontal="center" readingOrder="0"/>
    </xf>
    <xf borderId="0" fillId="9" fontId="39" numFmtId="2" xfId="0" applyAlignment="1" applyFont="1" applyNumberFormat="1">
      <alignment horizontal="center" readingOrder="0"/>
    </xf>
    <xf borderId="0" fillId="9" fontId="2" numFmtId="0" xfId="0" applyAlignment="1" applyFont="1">
      <alignment horizontal="center" readingOrder="0"/>
    </xf>
    <xf borderId="0" fillId="9" fontId="13" numFmtId="173" xfId="0" applyFont="1" applyNumberFormat="1"/>
    <xf borderId="0" fillId="9" fontId="2" numFmtId="0" xfId="0" applyAlignment="1" applyFont="1">
      <alignment readingOrder="0" vertical="center"/>
    </xf>
    <xf borderId="0" fillId="0" fontId="2" numFmtId="2" xfId="0" applyAlignment="1" applyFont="1" applyNumberFormat="1">
      <alignment readingOrder="0"/>
    </xf>
    <xf borderId="5" fillId="16" fontId="2" numFmtId="0" xfId="0" applyAlignment="1" applyBorder="1" applyFont="1">
      <alignment readingOrder="0"/>
    </xf>
    <xf borderId="5" fillId="0" fontId="30" numFmtId="0" xfId="0" applyBorder="1" applyFont="1"/>
    <xf borderId="5" fillId="0" fontId="30" numFmtId="2" xfId="0" applyBorder="1" applyFont="1" applyNumberFormat="1"/>
    <xf borderId="5" fillId="0" fontId="3" numFmtId="0" xfId="0" applyAlignment="1" applyBorder="1" applyFont="1">
      <alignment horizontal="left" readingOrder="0"/>
    </xf>
    <xf borderId="10" fillId="2" fontId="6" numFmtId="0" xfId="0" applyAlignment="1" applyBorder="1" applyFont="1">
      <alignment horizontal="center" readingOrder="0" shrinkToFit="0" vertical="center" wrapText="1"/>
    </xf>
    <xf borderId="10" fillId="2" fontId="6" numFmtId="0" xfId="0" applyAlignment="1" applyBorder="1" applyFont="1">
      <alignment horizontal="center" readingOrder="0" vertical="center"/>
    </xf>
    <xf borderId="5" fillId="5" fontId="4" numFmtId="0" xfId="0" applyAlignment="1" applyBorder="1" applyFont="1">
      <alignment horizontal="center"/>
    </xf>
    <xf borderId="5" fillId="5" fontId="6" numFmtId="0" xfId="0" applyAlignment="1" applyBorder="1" applyFont="1">
      <alignment readingOrder="0"/>
    </xf>
    <xf borderId="5" fillId="5" fontId="4" numFmtId="0" xfId="0" applyBorder="1" applyFont="1"/>
    <xf borderId="20" fillId="5" fontId="4" numFmtId="0" xfId="0" applyAlignment="1" applyBorder="1" applyFont="1">
      <alignment horizontal="center"/>
    </xf>
    <xf borderId="19" fillId="5" fontId="4" numFmtId="0" xfId="0" applyBorder="1" applyFont="1"/>
    <xf borderId="5" fillId="0" fontId="4" numFmtId="9" xfId="0" applyBorder="1" applyFont="1" applyNumberFormat="1"/>
    <xf quotePrefix="1" borderId="5" fillId="0" fontId="6" numFmtId="0" xfId="0" applyAlignment="1" applyBorder="1" applyFont="1">
      <alignment readingOrder="0"/>
    </xf>
    <xf borderId="10" fillId="0" fontId="6" numFmtId="170" xfId="0" applyAlignment="1" applyBorder="1" applyFont="1" applyNumberFormat="1">
      <alignment horizontal="center" readingOrder="0"/>
    </xf>
    <xf borderId="28" fillId="6" fontId="7" numFmtId="164" xfId="0" applyAlignment="1" applyBorder="1" applyFont="1" applyNumberFormat="1">
      <alignment horizontal="center"/>
    </xf>
    <xf borderId="2" fillId="0" fontId="4" numFmtId="0" xfId="0" applyAlignment="1" applyBorder="1" applyFont="1">
      <alignment vertical="top"/>
    </xf>
    <xf borderId="0" fillId="0" fontId="5" numFmtId="0" xfId="0" applyAlignment="1" applyFont="1">
      <alignment vertical="top"/>
    </xf>
    <xf borderId="0" fillId="0" fontId="13" numFmtId="0" xfId="0" applyAlignment="1" applyFont="1">
      <alignment vertical="top"/>
    </xf>
    <xf borderId="10" fillId="4" fontId="11" numFmtId="0" xfId="0" applyAlignment="1" applyBorder="1" applyFont="1">
      <alignment horizontal="center" vertical="top"/>
    </xf>
    <xf borderId="20" fillId="7" fontId="7" numFmtId="0" xfId="0" applyAlignment="1" applyBorder="1" applyFont="1">
      <alignment horizontal="center" vertical="top"/>
    </xf>
    <xf borderId="10" fillId="0" fontId="6" numFmtId="0" xfId="0" applyAlignment="1" applyBorder="1" applyFont="1">
      <alignment readingOrder="0" vertical="top"/>
    </xf>
    <xf borderId="5" fillId="0" fontId="4" numFmtId="0" xfId="0" applyAlignment="1" applyBorder="1" applyFont="1">
      <alignment horizontal="center" readingOrder="0"/>
    </xf>
    <xf borderId="10" fillId="0" fontId="4" numFmtId="164" xfId="0" applyAlignment="1" applyBorder="1" applyFont="1" applyNumberFormat="1">
      <alignment horizontal="center" vertical="center"/>
    </xf>
    <xf borderId="5" fillId="0" fontId="6" numFmtId="0" xfId="0" applyAlignment="1" applyBorder="1" applyFont="1">
      <alignment readingOrder="0" vertical="top"/>
    </xf>
    <xf borderId="10" fillId="7" fontId="7" numFmtId="0" xfId="0" applyAlignment="1" applyBorder="1" applyFont="1">
      <alignment horizontal="center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40" Type="http://schemas.openxmlformats.org/officeDocument/2006/relationships/worksheet" Target="worksheets/sheet37.xml"/><Relationship Id="rId42" Type="http://schemas.openxmlformats.org/officeDocument/2006/relationships/worksheet" Target="worksheets/sheet39.xml"/><Relationship Id="rId41" Type="http://schemas.openxmlformats.org/officeDocument/2006/relationships/worksheet" Target="worksheets/sheet38.xml"/><Relationship Id="rId44" Type="http://schemas.openxmlformats.org/officeDocument/2006/relationships/worksheet" Target="worksheets/sheet41.xml"/><Relationship Id="rId43" Type="http://schemas.openxmlformats.org/officeDocument/2006/relationships/worksheet" Target="worksheets/sheet40.xml"/><Relationship Id="rId46" Type="http://schemas.openxmlformats.org/officeDocument/2006/relationships/worksheet" Target="worksheets/sheet43.xml"/><Relationship Id="rId45" Type="http://schemas.openxmlformats.org/officeDocument/2006/relationships/worksheet" Target="worksheets/sheet42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48" Type="http://schemas.openxmlformats.org/officeDocument/2006/relationships/worksheet" Target="worksheets/sheet45.xml"/><Relationship Id="rId47" Type="http://schemas.openxmlformats.org/officeDocument/2006/relationships/worksheet" Target="worksheets/sheet44.xml"/><Relationship Id="rId49" Type="http://schemas.openxmlformats.org/officeDocument/2006/relationships/worksheet" Target="worksheets/sheet4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31" Type="http://schemas.openxmlformats.org/officeDocument/2006/relationships/worksheet" Target="worksheets/sheet28.xml"/><Relationship Id="rId30" Type="http://schemas.openxmlformats.org/officeDocument/2006/relationships/worksheet" Target="worksheets/sheet27.xml"/><Relationship Id="rId33" Type="http://schemas.openxmlformats.org/officeDocument/2006/relationships/worksheet" Target="worksheets/sheet30.xml"/><Relationship Id="rId32" Type="http://schemas.openxmlformats.org/officeDocument/2006/relationships/worksheet" Target="worksheets/sheet29.xml"/><Relationship Id="rId35" Type="http://schemas.openxmlformats.org/officeDocument/2006/relationships/worksheet" Target="worksheets/sheet32.xml"/><Relationship Id="rId34" Type="http://schemas.openxmlformats.org/officeDocument/2006/relationships/worksheet" Target="worksheets/sheet31.xml"/><Relationship Id="rId37" Type="http://schemas.openxmlformats.org/officeDocument/2006/relationships/worksheet" Target="worksheets/sheet34.xml"/><Relationship Id="rId36" Type="http://schemas.openxmlformats.org/officeDocument/2006/relationships/worksheet" Target="worksheets/sheet33.xml"/><Relationship Id="rId39" Type="http://schemas.openxmlformats.org/officeDocument/2006/relationships/worksheet" Target="worksheets/sheet36.xml"/><Relationship Id="rId38" Type="http://schemas.openxmlformats.org/officeDocument/2006/relationships/worksheet" Target="worksheets/sheet35.xml"/><Relationship Id="rId20" Type="http://schemas.openxmlformats.org/officeDocument/2006/relationships/worksheet" Target="worksheets/sheet17.xml"/><Relationship Id="rId22" Type="http://schemas.openxmlformats.org/officeDocument/2006/relationships/worksheet" Target="worksheets/sheet19.xml"/><Relationship Id="rId21" Type="http://schemas.openxmlformats.org/officeDocument/2006/relationships/worksheet" Target="worksheets/sheet18.xml"/><Relationship Id="rId24" Type="http://schemas.openxmlformats.org/officeDocument/2006/relationships/worksheet" Target="worksheets/sheet21.xml"/><Relationship Id="rId23" Type="http://schemas.openxmlformats.org/officeDocument/2006/relationships/worksheet" Target="worksheets/sheet20.xml"/><Relationship Id="rId26" Type="http://schemas.openxmlformats.org/officeDocument/2006/relationships/worksheet" Target="worksheets/sheet23.xml"/><Relationship Id="rId25" Type="http://schemas.openxmlformats.org/officeDocument/2006/relationships/worksheet" Target="worksheets/sheet22.xml"/><Relationship Id="rId28" Type="http://schemas.openxmlformats.org/officeDocument/2006/relationships/worksheet" Target="worksheets/sheet25.xml"/><Relationship Id="rId27" Type="http://schemas.openxmlformats.org/officeDocument/2006/relationships/worksheet" Target="worksheets/sheet24.xml"/><Relationship Id="rId29" Type="http://schemas.openxmlformats.org/officeDocument/2006/relationships/worksheet" Target="worksheets/sheet26.xml"/><Relationship Id="rId51" Type="http://schemas.openxmlformats.org/officeDocument/2006/relationships/worksheet" Target="worksheets/sheet48.xml"/><Relationship Id="rId50" Type="http://schemas.openxmlformats.org/officeDocument/2006/relationships/worksheet" Target="worksheets/sheet47.xml"/><Relationship Id="rId53" Type="http://schemas.openxmlformats.org/officeDocument/2006/relationships/worksheet" Target="worksheets/sheet50.xml"/><Relationship Id="rId52" Type="http://schemas.openxmlformats.org/officeDocument/2006/relationships/worksheet" Target="worksheets/sheet49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54" Type="http://schemas.openxmlformats.org/officeDocument/2006/relationships/worksheet" Target="worksheets/sheet51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19" Type="http://schemas.openxmlformats.org/officeDocument/2006/relationships/worksheet" Target="worksheets/sheet16.xml"/><Relationship Id="rId18" Type="http://schemas.openxmlformats.org/officeDocument/2006/relationships/worksheet" Target="worksheets/sheet15.xml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5.png"/></Relationships>
</file>

<file path=xl/drawings/_rels/drawing1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5.png"/></Relationships>
</file>

<file path=xl/drawings/_rels/drawing1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6.png"/></Relationships>
</file>

<file path=xl/drawings/_rels/drawing1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6.png"/></Relationships>
</file>

<file path=xl/drawings/_rels/drawing1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6.png"/></Relationships>
</file>

<file path=xl/drawings/_rels/drawing1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7.png"/></Relationships>
</file>

<file path=xl/drawings/_rels/drawing1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7.png"/></Relationships>
</file>

<file path=xl/drawings/_rels/drawing17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7.png"/></Relationships>
</file>

<file path=xl/drawings/_rels/drawing18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8.png"/></Relationships>
</file>

<file path=xl/drawings/_rels/drawing19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9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0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0.png"/></Relationships>
</file>

<file path=xl/drawings/_rels/drawing2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1.png"/></Relationships>
</file>

<file path=xl/drawings/_rels/drawing2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2.png"/></Relationships>
</file>

<file path=xl/drawings/_rels/drawing2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3.png"/></Relationships>
</file>

<file path=xl/drawings/_rels/drawing2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4.png"/></Relationships>
</file>

<file path=xl/drawings/_rels/drawing2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5.png"/></Relationships>
</file>

<file path=xl/drawings/_rels/drawing2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6.png"/></Relationships>
</file>

<file path=xl/drawings/_rels/drawing27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7.png"/></Relationships>
</file>

<file path=xl/drawings/_rels/drawing28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3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8.png"/></Relationships>
</file>

<file path=xl/drawings/_rels/drawing3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9.png"/></Relationships>
</file>

<file path=xl/drawings/_rels/drawing3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4.png"/></Relationships>
</file>

<file path=xl/drawings/_rels/drawing3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0.png"/></Relationships>
</file>

<file path=xl/drawings/_rels/drawing37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1.png"/></Relationships>
</file>

<file path=xl/drawings/_rels/drawing38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2.png"/><Relationship Id="rId3" Type="http://schemas.openxmlformats.org/officeDocument/2006/relationships/image" Target="../media/image23.png"/></Relationships>
</file>

<file path=xl/drawings/_rels/drawing39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40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4.png"/></Relationships>
</file>

<file path=xl/drawings/_rels/drawing4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7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8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9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3.png"/></Relationships>
</file>

<file path=xl/drawings/_rels/drawing50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3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3.pn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4.pn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285750</xdr:colOff>
      <xdr:row>0</xdr:row>
      <xdr:rowOff>152400</xdr:rowOff>
    </xdr:from>
    <xdr:ext cx="1390650" cy="885825"/>
    <xdr:pic>
      <xdr:nvPicPr>
        <xdr:cNvPr descr="Instituto Federal do Piauí – Wikipédia, a enciclopédia liv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409575</xdr:colOff>
      <xdr:row>1</xdr:row>
      <xdr:rowOff>142875</xdr:rowOff>
    </xdr:from>
    <xdr:ext cx="8296275" cy="2705100"/>
    <xdr:pic>
      <xdr:nvPicPr>
        <xdr:cNvPr id="0" name="image5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285750</xdr:colOff>
      <xdr:row>0</xdr:row>
      <xdr:rowOff>152400</xdr:rowOff>
    </xdr:from>
    <xdr:ext cx="1390650" cy="885825"/>
    <xdr:pic>
      <xdr:nvPicPr>
        <xdr:cNvPr descr="Instituto Federal do Piauí – Wikipédia, a enciclopédia liv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409575</xdr:colOff>
      <xdr:row>1</xdr:row>
      <xdr:rowOff>142875</xdr:rowOff>
    </xdr:from>
    <xdr:ext cx="8296275" cy="2705100"/>
    <xdr:pic>
      <xdr:nvPicPr>
        <xdr:cNvPr id="0" name="image5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866775</xdr:colOff>
      <xdr:row>0</xdr:row>
      <xdr:rowOff>104775</xdr:rowOff>
    </xdr:from>
    <xdr:ext cx="990600" cy="1076325"/>
    <xdr:pic>
      <xdr:nvPicPr>
        <xdr:cNvPr descr="Instituto Federal do Piauí – Wikipédia, a enciclopédia liv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114300</xdr:colOff>
      <xdr:row>3</xdr:row>
      <xdr:rowOff>104775</xdr:rowOff>
    </xdr:from>
    <xdr:ext cx="5486400" cy="2647950"/>
    <xdr:pic>
      <xdr:nvPicPr>
        <xdr:cNvPr id="0" name="image6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866775</xdr:colOff>
      <xdr:row>0</xdr:row>
      <xdr:rowOff>104775</xdr:rowOff>
    </xdr:from>
    <xdr:ext cx="990600" cy="1076325"/>
    <xdr:pic>
      <xdr:nvPicPr>
        <xdr:cNvPr descr="Instituto Federal do Piauí – Wikipédia, a enciclopédia liv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114300</xdr:colOff>
      <xdr:row>3</xdr:row>
      <xdr:rowOff>104775</xdr:rowOff>
    </xdr:from>
    <xdr:ext cx="5486400" cy="2647950"/>
    <xdr:pic>
      <xdr:nvPicPr>
        <xdr:cNvPr id="0" name="image6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866775</xdr:colOff>
      <xdr:row>0</xdr:row>
      <xdr:rowOff>104775</xdr:rowOff>
    </xdr:from>
    <xdr:ext cx="990600" cy="1076325"/>
    <xdr:pic>
      <xdr:nvPicPr>
        <xdr:cNvPr descr="Instituto Federal do Piauí – Wikipédia, a enciclopédia liv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114300</xdr:colOff>
      <xdr:row>3</xdr:row>
      <xdr:rowOff>104775</xdr:rowOff>
    </xdr:from>
    <xdr:ext cx="5486400" cy="2647950"/>
    <xdr:pic>
      <xdr:nvPicPr>
        <xdr:cNvPr id="0" name="image6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723900</xdr:colOff>
      <xdr:row>0</xdr:row>
      <xdr:rowOff>180975</xdr:rowOff>
    </xdr:from>
    <xdr:ext cx="828675" cy="914400"/>
    <xdr:pic>
      <xdr:nvPicPr>
        <xdr:cNvPr descr="Instituto Federal do Piauí – Wikipédia, a enciclopédia liv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619125</xdr:colOff>
      <xdr:row>0</xdr:row>
      <xdr:rowOff>200025</xdr:rowOff>
    </xdr:from>
    <xdr:ext cx="6019800" cy="3276600"/>
    <xdr:pic>
      <xdr:nvPicPr>
        <xdr:cNvPr id="0" name="image7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723900</xdr:colOff>
      <xdr:row>0</xdr:row>
      <xdr:rowOff>180975</xdr:rowOff>
    </xdr:from>
    <xdr:ext cx="828675" cy="914400"/>
    <xdr:pic>
      <xdr:nvPicPr>
        <xdr:cNvPr descr="Instituto Federal do Piauí – Wikipédia, a enciclopédia liv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619125</xdr:colOff>
      <xdr:row>0</xdr:row>
      <xdr:rowOff>200025</xdr:rowOff>
    </xdr:from>
    <xdr:ext cx="6019800" cy="3276600"/>
    <xdr:pic>
      <xdr:nvPicPr>
        <xdr:cNvPr id="0" name="image7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723900</xdr:colOff>
      <xdr:row>0</xdr:row>
      <xdr:rowOff>180975</xdr:rowOff>
    </xdr:from>
    <xdr:ext cx="828675" cy="914400"/>
    <xdr:pic>
      <xdr:nvPicPr>
        <xdr:cNvPr descr="Instituto Federal do Piauí – Wikipédia, a enciclopédia liv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619125</xdr:colOff>
      <xdr:row>0</xdr:row>
      <xdr:rowOff>200025</xdr:rowOff>
    </xdr:from>
    <xdr:ext cx="6019800" cy="3276600"/>
    <xdr:pic>
      <xdr:nvPicPr>
        <xdr:cNvPr id="0" name="image7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209550</xdr:colOff>
      <xdr:row>0</xdr:row>
      <xdr:rowOff>104775</xdr:rowOff>
    </xdr:from>
    <xdr:ext cx="990600" cy="1076325"/>
    <xdr:pic>
      <xdr:nvPicPr>
        <xdr:cNvPr descr="Instituto Federal do Piauí – Wikipédia, a enciclopédia liv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590550</xdr:colOff>
      <xdr:row>1</xdr:row>
      <xdr:rowOff>0</xdr:rowOff>
    </xdr:from>
    <xdr:ext cx="5905500" cy="3276600"/>
    <xdr:pic>
      <xdr:nvPicPr>
        <xdr:cNvPr id="0" name="image8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666750</xdr:colOff>
      <xdr:row>0</xdr:row>
      <xdr:rowOff>171450</xdr:rowOff>
    </xdr:from>
    <xdr:ext cx="990600" cy="1085850"/>
    <xdr:pic>
      <xdr:nvPicPr>
        <xdr:cNvPr descr="Instituto Federal do Piauí – Wikipédia, a enciclopédia liv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28575</xdr:colOff>
      <xdr:row>0</xdr:row>
      <xdr:rowOff>133350</xdr:rowOff>
    </xdr:from>
    <xdr:ext cx="6086475" cy="3076575"/>
    <xdr:pic>
      <xdr:nvPicPr>
        <xdr:cNvPr id="0" name="image9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1552575</xdr:colOff>
      <xdr:row>0</xdr:row>
      <xdr:rowOff>152400</xdr:rowOff>
    </xdr:from>
    <xdr:ext cx="990600" cy="781050"/>
    <xdr:pic>
      <xdr:nvPicPr>
        <xdr:cNvPr descr="Instituto Federal do Piauí – Wikipédia, a enciclopédia liv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57150</xdr:colOff>
      <xdr:row>9</xdr:row>
      <xdr:rowOff>38100</xdr:rowOff>
    </xdr:from>
    <xdr:ext cx="1104900" cy="676275"/>
    <xdr:pic>
      <xdr:nvPicPr>
        <xdr:cNvPr id="0" name="image2.png" title="Imagem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523875</xdr:colOff>
      <xdr:row>0</xdr:row>
      <xdr:rowOff>161925</xdr:rowOff>
    </xdr:from>
    <xdr:ext cx="990600" cy="1085850"/>
    <xdr:pic>
      <xdr:nvPicPr>
        <xdr:cNvPr descr="Instituto Federal do Piauí – Wikipédia, a enciclopédia liv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361950</xdr:colOff>
      <xdr:row>3</xdr:row>
      <xdr:rowOff>95250</xdr:rowOff>
    </xdr:from>
    <xdr:ext cx="6486525" cy="2009775"/>
    <xdr:pic>
      <xdr:nvPicPr>
        <xdr:cNvPr id="0" name="image10.png" title="Imagem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285750</xdr:colOff>
      <xdr:row>0</xdr:row>
      <xdr:rowOff>152400</xdr:rowOff>
    </xdr:from>
    <xdr:ext cx="1390650" cy="1209675"/>
    <xdr:pic>
      <xdr:nvPicPr>
        <xdr:cNvPr descr="Instituto Federal do Piauí – Wikipédia, a enciclopédia liv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514350</xdr:colOff>
      <xdr:row>0</xdr:row>
      <xdr:rowOff>85725</xdr:rowOff>
    </xdr:from>
    <xdr:ext cx="6791325" cy="3333750"/>
    <xdr:pic>
      <xdr:nvPicPr>
        <xdr:cNvPr id="0" name="image1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866775</xdr:colOff>
      <xdr:row>1</xdr:row>
      <xdr:rowOff>114300</xdr:rowOff>
    </xdr:from>
    <xdr:ext cx="990600" cy="1076325"/>
    <xdr:pic>
      <xdr:nvPicPr>
        <xdr:cNvPr descr="Instituto Federal do Piauí – Wikipédia, a enciclopédia liv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257175</xdr:colOff>
      <xdr:row>0</xdr:row>
      <xdr:rowOff>9525</xdr:rowOff>
    </xdr:from>
    <xdr:ext cx="5391150" cy="2743200"/>
    <xdr:pic>
      <xdr:nvPicPr>
        <xdr:cNvPr id="0" name="image1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676275</xdr:colOff>
      <xdr:row>0</xdr:row>
      <xdr:rowOff>123825</xdr:rowOff>
    </xdr:from>
    <xdr:ext cx="990600" cy="1076325"/>
    <xdr:pic>
      <xdr:nvPicPr>
        <xdr:cNvPr descr="Instituto Federal do Piauí – Wikipédia, a enciclopédia liv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314325</xdr:colOff>
      <xdr:row>0</xdr:row>
      <xdr:rowOff>9525</xdr:rowOff>
    </xdr:from>
    <xdr:ext cx="4552950" cy="3343275"/>
    <xdr:pic>
      <xdr:nvPicPr>
        <xdr:cNvPr id="0" name="image1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857250</xdr:colOff>
      <xdr:row>0</xdr:row>
      <xdr:rowOff>76200</xdr:rowOff>
    </xdr:from>
    <xdr:ext cx="990600" cy="1076325"/>
    <xdr:pic>
      <xdr:nvPicPr>
        <xdr:cNvPr descr="Instituto Federal do Piauí – Wikipédia, a enciclopédia liv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323850</xdr:colOff>
      <xdr:row>1</xdr:row>
      <xdr:rowOff>114300</xdr:rowOff>
    </xdr:from>
    <xdr:ext cx="7743825" cy="3095625"/>
    <xdr:pic>
      <xdr:nvPicPr>
        <xdr:cNvPr id="0" name="image14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257175</xdr:colOff>
      <xdr:row>0</xdr:row>
      <xdr:rowOff>104775</xdr:rowOff>
    </xdr:from>
    <xdr:ext cx="990600" cy="1076325"/>
    <xdr:pic>
      <xdr:nvPicPr>
        <xdr:cNvPr descr="Instituto Federal do Piauí – Wikipédia, a enciclopédia liv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800100</xdr:colOff>
      <xdr:row>1</xdr:row>
      <xdr:rowOff>28575</xdr:rowOff>
    </xdr:from>
    <xdr:ext cx="5753100" cy="3114675"/>
    <xdr:pic>
      <xdr:nvPicPr>
        <xdr:cNvPr id="0" name="image15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523875</xdr:colOff>
      <xdr:row>0</xdr:row>
      <xdr:rowOff>142875</xdr:rowOff>
    </xdr:from>
    <xdr:ext cx="990600" cy="1076325"/>
    <xdr:pic>
      <xdr:nvPicPr>
        <xdr:cNvPr descr="Instituto Federal do Piauí – Wikipédia, a enciclopédia liv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295275</xdr:colOff>
      <xdr:row>0</xdr:row>
      <xdr:rowOff>133350</xdr:rowOff>
    </xdr:from>
    <xdr:ext cx="3962400" cy="3086100"/>
    <xdr:pic>
      <xdr:nvPicPr>
        <xdr:cNvPr id="0" name="image16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819150</xdr:colOff>
      <xdr:row>0</xdr:row>
      <xdr:rowOff>161925</xdr:rowOff>
    </xdr:from>
    <xdr:ext cx="990600" cy="981075"/>
    <xdr:pic>
      <xdr:nvPicPr>
        <xdr:cNvPr descr="Instituto Federal do Piauí – Wikipédia, a enciclopédia liv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381000</xdr:colOff>
      <xdr:row>0</xdr:row>
      <xdr:rowOff>180975</xdr:rowOff>
    </xdr:from>
    <xdr:ext cx="6477000" cy="3162300"/>
    <xdr:pic>
      <xdr:nvPicPr>
        <xdr:cNvPr id="0" name="image17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285750</xdr:colOff>
      <xdr:row>0</xdr:row>
      <xdr:rowOff>152400</xdr:rowOff>
    </xdr:from>
    <xdr:ext cx="1390650" cy="1066800"/>
    <xdr:pic>
      <xdr:nvPicPr>
        <xdr:cNvPr descr="Instituto Federal do Piauí – Wikipédia, a enciclopédia liv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1552575</xdr:colOff>
      <xdr:row>0</xdr:row>
      <xdr:rowOff>152400</xdr:rowOff>
    </xdr:from>
    <xdr:ext cx="990600" cy="781050"/>
    <xdr:pic>
      <xdr:nvPicPr>
        <xdr:cNvPr descr="Instituto Federal do Piauí – Wikipédia, a enciclopédia liv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57150</xdr:colOff>
      <xdr:row>9</xdr:row>
      <xdr:rowOff>38100</xdr:rowOff>
    </xdr:from>
    <xdr:ext cx="1104900" cy="676275"/>
    <xdr:pic>
      <xdr:nvPicPr>
        <xdr:cNvPr id="0" name="image2.png" title="Imagem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276225</xdr:colOff>
      <xdr:row>0</xdr:row>
      <xdr:rowOff>57150</xdr:rowOff>
    </xdr:from>
    <xdr:ext cx="1390650" cy="1095375"/>
    <xdr:pic>
      <xdr:nvPicPr>
        <xdr:cNvPr descr="Instituto Federal do Piauí – Wikipédia, a enciclopédia liv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266700</xdr:colOff>
      <xdr:row>0</xdr:row>
      <xdr:rowOff>114300</xdr:rowOff>
    </xdr:from>
    <xdr:ext cx="7153275" cy="3343275"/>
    <xdr:pic>
      <xdr:nvPicPr>
        <xdr:cNvPr id="0" name="image18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933450</xdr:colOff>
      <xdr:row>1</xdr:row>
      <xdr:rowOff>0</xdr:rowOff>
    </xdr:from>
    <xdr:ext cx="990600" cy="1076325"/>
    <xdr:pic>
      <xdr:nvPicPr>
        <xdr:cNvPr descr="Instituto Federal do Piauí – Wikipédia, a enciclopédia liv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4486275" cy="2800350"/>
    <xdr:pic>
      <xdr:nvPicPr>
        <xdr:cNvPr id="0" name="image19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685800</xdr:colOff>
      <xdr:row>0</xdr:row>
      <xdr:rowOff>95250</xdr:rowOff>
    </xdr:from>
    <xdr:ext cx="990600" cy="1076325"/>
    <xdr:pic>
      <xdr:nvPicPr>
        <xdr:cNvPr descr="Instituto Federal do Piauí – Wikipédia, a enciclopédia liv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438150</xdr:colOff>
      <xdr:row>1</xdr:row>
      <xdr:rowOff>228600</xdr:rowOff>
    </xdr:from>
    <xdr:ext cx="6105525" cy="2476500"/>
    <xdr:pic>
      <xdr:nvPicPr>
        <xdr:cNvPr id="0" name="image14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714375</xdr:colOff>
      <xdr:row>0</xdr:row>
      <xdr:rowOff>123825</xdr:rowOff>
    </xdr:from>
    <xdr:ext cx="990600" cy="1076325"/>
    <xdr:pic>
      <xdr:nvPicPr>
        <xdr:cNvPr descr="Instituto Federal do Piauí – Wikipédia, a enciclopédia liv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561975</xdr:colOff>
      <xdr:row>0</xdr:row>
      <xdr:rowOff>200025</xdr:rowOff>
    </xdr:from>
    <xdr:ext cx="11210925" cy="3752850"/>
    <xdr:pic>
      <xdr:nvPicPr>
        <xdr:cNvPr id="0" name="image20.png" title="Imagem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514350</xdr:colOff>
      <xdr:row>1</xdr:row>
      <xdr:rowOff>47625</xdr:rowOff>
    </xdr:from>
    <xdr:ext cx="990600" cy="1076325"/>
    <xdr:pic>
      <xdr:nvPicPr>
        <xdr:cNvPr descr="Instituto Federal do Piauí – Wikipédia, a enciclopédia liv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142875</xdr:colOff>
      <xdr:row>0</xdr:row>
      <xdr:rowOff>0</xdr:rowOff>
    </xdr:from>
    <xdr:ext cx="6210300" cy="3086100"/>
    <xdr:pic>
      <xdr:nvPicPr>
        <xdr:cNvPr id="0" name="image2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419100</xdr:colOff>
      <xdr:row>0</xdr:row>
      <xdr:rowOff>209550</xdr:rowOff>
    </xdr:from>
    <xdr:ext cx="1000125" cy="1085850"/>
    <xdr:pic>
      <xdr:nvPicPr>
        <xdr:cNvPr descr="Instituto Federal do Piauí – Wikipédia, a enciclopédia liv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542925</xdr:colOff>
      <xdr:row>0</xdr:row>
      <xdr:rowOff>123825</xdr:rowOff>
    </xdr:from>
    <xdr:ext cx="3800475" cy="2771775"/>
    <xdr:pic>
      <xdr:nvPicPr>
        <xdr:cNvPr id="0" name="image2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495300</xdr:colOff>
      <xdr:row>0</xdr:row>
      <xdr:rowOff>142875</xdr:rowOff>
    </xdr:from>
    <xdr:ext cx="3867150" cy="2647950"/>
    <xdr:pic>
      <xdr:nvPicPr>
        <xdr:cNvPr id="0" name="image23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657225</xdr:colOff>
      <xdr:row>1</xdr:row>
      <xdr:rowOff>9525</xdr:rowOff>
    </xdr:from>
    <xdr:ext cx="990600" cy="809625"/>
    <xdr:pic>
      <xdr:nvPicPr>
        <xdr:cNvPr descr="Instituto Federal do Piauí – Wikipédia, a enciclopédia liv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1552575</xdr:colOff>
      <xdr:row>0</xdr:row>
      <xdr:rowOff>152400</xdr:rowOff>
    </xdr:from>
    <xdr:ext cx="990600" cy="781050"/>
    <xdr:pic>
      <xdr:nvPicPr>
        <xdr:cNvPr descr="Instituto Federal do Piauí – Wikipédia, a enciclopédia liv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57150</xdr:colOff>
      <xdr:row>9</xdr:row>
      <xdr:rowOff>38100</xdr:rowOff>
    </xdr:from>
    <xdr:ext cx="1104900" cy="676275"/>
    <xdr:pic>
      <xdr:nvPicPr>
        <xdr:cNvPr id="0" name="image2.png" title="Imagem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1228725</xdr:colOff>
      <xdr:row>0</xdr:row>
      <xdr:rowOff>38100</xdr:rowOff>
    </xdr:from>
    <xdr:ext cx="990600" cy="1076325"/>
    <xdr:pic>
      <xdr:nvPicPr>
        <xdr:cNvPr descr="Instituto Federal do Piauí – Wikipédia, a enciclopédia liv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1228725</xdr:colOff>
      <xdr:row>0</xdr:row>
      <xdr:rowOff>38100</xdr:rowOff>
    </xdr:from>
    <xdr:ext cx="990600" cy="1076325"/>
    <xdr:pic>
      <xdr:nvPicPr>
        <xdr:cNvPr descr="Instituto Federal do Piauí – Wikipédia, a enciclopédia liv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609600</xdr:colOff>
      <xdr:row>0</xdr:row>
      <xdr:rowOff>123825</xdr:rowOff>
    </xdr:from>
    <xdr:ext cx="1066800" cy="1371600"/>
    <xdr:pic>
      <xdr:nvPicPr>
        <xdr:cNvPr descr="Instituto Federal do Piauí – Wikipédia, a enciclopédia livre"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733425</xdr:colOff>
      <xdr:row>0</xdr:row>
      <xdr:rowOff>0</xdr:rowOff>
    </xdr:from>
    <xdr:ext cx="990600" cy="1076325"/>
    <xdr:pic>
      <xdr:nvPicPr>
        <xdr:cNvPr descr="Instituto Federal do Piauí – Wikipédia, a enciclopédia liv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2857500</xdr:colOff>
      <xdr:row>2</xdr:row>
      <xdr:rowOff>161925</xdr:rowOff>
    </xdr:from>
    <xdr:ext cx="2333625" cy="1857375"/>
    <xdr:pic>
      <xdr:nvPicPr>
        <xdr:cNvPr id="0" name="image24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647700</xdr:colOff>
      <xdr:row>2</xdr:row>
      <xdr:rowOff>161925</xdr:rowOff>
    </xdr:from>
    <xdr:ext cx="1895475" cy="1857375"/>
    <xdr:pic>
      <xdr:nvPicPr>
        <xdr:cNvPr id="0" name="image24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438150</xdr:colOff>
      <xdr:row>2</xdr:row>
      <xdr:rowOff>190500</xdr:rowOff>
    </xdr:from>
    <xdr:ext cx="1952625" cy="1857375"/>
    <xdr:pic>
      <xdr:nvPicPr>
        <xdr:cNvPr id="0" name="image24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1562100</xdr:colOff>
      <xdr:row>2</xdr:row>
      <xdr:rowOff>171450</xdr:rowOff>
    </xdr:from>
    <xdr:ext cx="2200275" cy="1857375"/>
    <xdr:pic>
      <xdr:nvPicPr>
        <xdr:cNvPr id="0" name="image24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1066800</xdr:colOff>
      <xdr:row>0</xdr:row>
      <xdr:rowOff>133350</xdr:rowOff>
    </xdr:from>
    <xdr:ext cx="990600" cy="1076325"/>
    <xdr:pic>
      <xdr:nvPicPr>
        <xdr:cNvPr descr="Instituto Federal do Piauí – Wikipédia, a enciclopédia liv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819150</xdr:colOff>
      <xdr:row>0</xdr:row>
      <xdr:rowOff>152400</xdr:rowOff>
    </xdr:from>
    <xdr:ext cx="990600" cy="1076325"/>
    <xdr:pic>
      <xdr:nvPicPr>
        <xdr:cNvPr descr="Instituto Federal do Piauí – Wikipédia, a enciclopédia liv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838200</xdr:colOff>
      <xdr:row>0</xdr:row>
      <xdr:rowOff>0</xdr:rowOff>
    </xdr:from>
    <xdr:ext cx="990600" cy="1076325"/>
    <xdr:pic>
      <xdr:nvPicPr>
        <xdr:cNvPr descr="Instituto Federal do Piauí – Wikipédia, a enciclopédia liv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762000</xdr:colOff>
      <xdr:row>0</xdr:row>
      <xdr:rowOff>0</xdr:rowOff>
    </xdr:from>
    <xdr:ext cx="990600" cy="1076325"/>
    <xdr:pic>
      <xdr:nvPicPr>
        <xdr:cNvPr descr="Instituto Federal do Piauí – Wikipédia, a enciclopédia liv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723900</xdr:colOff>
      <xdr:row>0</xdr:row>
      <xdr:rowOff>133350</xdr:rowOff>
    </xdr:from>
    <xdr:ext cx="990600" cy="1076325"/>
    <xdr:pic>
      <xdr:nvPicPr>
        <xdr:cNvPr descr="Instituto Federal do Piauí – Wikipédia, a enciclopédia liv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952500</xdr:colOff>
      <xdr:row>0</xdr:row>
      <xdr:rowOff>152400</xdr:rowOff>
    </xdr:from>
    <xdr:ext cx="990600" cy="1076325"/>
    <xdr:pic>
      <xdr:nvPicPr>
        <xdr:cNvPr descr="Instituto Federal do Piauí – Wikipédia, a enciclopédia liv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285750</xdr:colOff>
      <xdr:row>0</xdr:row>
      <xdr:rowOff>152400</xdr:rowOff>
    </xdr:from>
    <xdr:ext cx="1390650" cy="1066800"/>
    <xdr:pic>
      <xdr:nvPicPr>
        <xdr:cNvPr descr="Instituto Federal do Piauí – Wikipédia, a enciclopédia liv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85725</xdr:colOff>
      <xdr:row>3</xdr:row>
      <xdr:rowOff>0</xdr:rowOff>
    </xdr:from>
    <xdr:ext cx="10429875" cy="221932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762000</xdr:colOff>
      <xdr:row>0</xdr:row>
      <xdr:rowOff>38100</xdr:rowOff>
    </xdr:from>
    <xdr:ext cx="990600" cy="1076325"/>
    <xdr:pic>
      <xdr:nvPicPr>
        <xdr:cNvPr descr="Instituto Federal do Piauí – Wikipédia, a enciclopédia liv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733425</xdr:colOff>
      <xdr:row>0</xdr:row>
      <xdr:rowOff>123825</xdr:rowOff>
    </xdr:from>
    <xdr:ext cx="990600" cy="1076325"/>
    <xdr:pic>
      <xdr:nvPicPr>
        <xdr:cNvPr descr="Instituto Federal do Piauí – Wikipédia, a enciclopédia liv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285750</xdr:colOff>
      <xdr:row>0</xdr:row>
      <xdr:rowOff>152400</xdr:rowOff>
    </xdr:from>
    <xdr:ext cx="1390650" cy="1066800"/>
    <xdr:pic>
      <xdr:nvPicPr>
        <xdr:cNvPr descr="Instituto Federal do Piauí – Wikipédia, a enciclopédia liv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85725</xdr:colOff>
      <xdr:row>3</xdr:row>
      <xdr:rowOff>0</xdr:rowOff>
    </xdr:from>
    <xdr:ext cx="10429875" cy="221932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285750</xdr:colOff>
      <xdr:row>0</xdr:row>
      <xdr:rowOff>152400</xdr:rowOff>
    </xdr:from>
    <xdr:ext cx="1390650" cy="1066800"/>
    <xdr:pic>
      <xdr:nvPicPr>
        <xdr:cNvPr descr="Instituto Federal do Piauí – Wikipédia, a enciclopédia liv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85725</xdr:colOff>
      <xdr:row>3</xdr:row>
      <xdr:rowOff>0</xdr:rowOff>
    </xdr:from>
    <xdr:ext cx="10429875" cy="221932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285750</xdr:colOff>
      <xdr:row>0</xdr:row>
      <xdr:rowOff>152400</xdr:rowOff>
    </xdr:from>
    <xdr:ext cx="1390650" cy="1171575"/>
    <xdr:pic>
      <xdr:nvPicPr>
        <xdr:cNvPr descr="Instituto Federal do Piauí – Wikipédia, a enciclopédia liv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647700</xdr:colOff>
      <xdr:row>1</xdr:row>
      <xdr:rowOff>9525</xdr:rowOff>
    </xdr:from>
    <xdr:ext cx="5905500" cy="3124200"/>
    <xdr:pic>
      <xdr:nvPicPr>
        <xdr:cNvPr id="0" name="image4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285750</xdr:colOff>
      <xdr:row>265</xdr:row>
      <xdr:rowOff>152400</xdr:rowOff>
    </xdr:from>
    <xdr:ext cx="1390650" cy="1171575"/>
    <xdr:pic>
      <xdr:nvPicPr>
        <xdr:cNvPr descr="Instituto Federal do Piauí – Wikipédia, a enciclopédia liv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647700</xdr:colOff>
      <xdr:row>266</xdr:row>
      <xdr:rowOff>9525</xdr:rowOff>
    </xdr:from>
    <xdr:ext cx="5162550" cy="3124200"/>
    <xdr:pic>
      <xdr:nvPicPr>
        <xdr:cNvPr id="0" name="image4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285750</xdr:colOff>
      <xdr:row>0</xdr:row>
      <xdr:rowOff>152400</xdr:rowOff>
    </xdr:from>
    <xdr:ext cx="1390650" cy="885825"/>
    <xdr:pic>
      <xdr:nvPicPr>
        <xdr:cNvPr descr="Instituto Federal do Piauí – Wikipédia, a enciclopédia liv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409575</xdr:colOff>
      <xdr:row>1</xdr:row>
      <xdr:rowOff>142875</xdr:rowOff>
    </xdr:from>
    <xdr:ext cx="8296275" cy="2705100"/>
    <xdr:pic>
      <xdr:nvPicPr>
        <xdr:cNvPr id="0" name="image5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29.xml"/><Relationship Id="rId3" Type="http://schemas.openxmlformats.org/officeDocument/2006/relationships/vmlDrawing" Target="../drawings/vmlDrawing1.v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30.xml"/><Relationship Id="rId3" Type="http://schemas.openxmlformats.org/officeDocument/2006/relationships/vmlDrawing" Target="../drawings/vmlDrawing2.vml"/></Relationships>
</file>

<file path=xl/worksheets/_rels/sheet31.xml.rels><?xml version="1.0" encoding="UTF-8" standalone="yes"?>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31.xml"/><Relationship Id="rId3" Type="http://schemas.openxmlformats.org/officeDocument/2006/relationships/vmlDrawing" Target="../drawings/vmlDrawing3.vml"/></Relationships>
</file>

<file path=xl/worksheets/_rels/sheet3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2.63"/>
  </cols>
  <sheetData>
    <row r="3">
      <c r="A3" s="1" t="s">
        <v>0</v>
      </c>
      <c r="B3" s="1" t="s">
        <v>1</v>
      </c>
    </row>
    <row r="4">
      <c r="A4" s="2" t="s">
        <v>2</v>
      </c>
      <c r="B4" s="2" t="s">
        <v>3</v>
      </c>
      <c r="C4" s="2" t="s">
        <v>4</v>
      </c>
    </row>
    <row r="5">
      <c r="A5" s="2" t="s">
        <v>5</v>
      </c>
      <c r="B5" s="2" t="s">
        <v>6</v>
      </c>
    </row>
    <row r="6">
      <c r="A6" s="2" t="s">
        <v>7</v>
      </c>
      <c r="B6" s="2" t="s">
        <v>8</v>
      </c>
    </row>
    <row r="7">
      <c r="A7" s="2" t="s">
        <v>9</v>
      </c>
      <c r="B7" s="2" t="s">
        <v>10</v>
      </c>
    </row>
    <row r="8">
      <c r="A8" s="2" t="s">
        <v>11</v>
      </c>
      <c r="B8" s="2" t="s">
        <v>12</v>
      </c>
    </row>
    <row r="9">
      <c r="A9" s="2" t="s">
        <v>13</v>
      </c>
      <c r="B9" s="2" t="s">
        <v>14</v>
      </c>
    </row>
    <row r="10">
      <c r="A10" s="2" t="s">
        <v>15</v>
      </c>
      <c r="B10" s="2" t="s">
        <v>16</v>
      </c>
    </row>
    <row r="11">
      <c r="A11" s="2" t="s">
        <v>17</v>
      </c>
      <c r="B11" s="2" t="s">
        <v>18</v>
      </c>
    </row>
    <row r="12">
      <c r="A12" s="2" t="s">
        <v>19</v>
      </c>
      <c r="B12" s="2" t="s">
        <v>20</v>
      </c>
    </row>
    <row r="13">
      <c r="A13" s="2" t="s">
        <v>21</v>
      </c>
      <c r="B13" s="2" t="s">
        <v>22</v>
      </c>
    </row>
    <row r="14">
      <c r="A14" s="2" t="s">
        <v>23</v>
      </c>
      <c r="B14" s="2" t="s">
        <v>24</v>
      </c>
    </row>
    <row r="15">
      <c r="A15" s="2" t="s">
        <v>25</v>
      </c>
      <c r="B15" s="2" t="s">
        <v>26</v>
      </c>
    </row>
    <row r="16">
      <c r="A16" s="2" t="s">
        <v>27</v>
      </c>
      <c r="B16" s="2" t="s">
        <v>28</v>
      </c>
    </row>
    <row r="17">
      <c r="A17" s="2" t="s">
        <v>29</v>
      </c>
      <c r="B17" s="2" t="s">
        <v>30</v>
      </c>
    </row>
    <row r="18">
      <c r="A18" s="2" t="s">
        <v>31</v>
      </c>
      <c r="B18" s="2" t="s">
        <v>32</v>
      </c>
    </row>
    <row r="19">
      <c r="A19" s="2" t="s">
        <v>33</v>
      </c>
      <c r="B19" s="2" t="s">
        <v>34</v>
      </c>
    </row>
    <row r="20">
      <c r="A20" s="2" t="s">
        <v>35</v>
      </c>
      <c r="B20" s="2" t="s">
        <v>36</v>
      </c>
    </row>
    <row r="21">
      <c r="A21" s="2" t="s">
        <v>37</v>
      </c>
      <c r="B21" s="2" t="s">
        <v>38</v>
      </c>
    </row>
    <row r="22">
      <c r="A22" s="3" t="s">
        <v>39</v>
      </c>
      <c r="B22" s="2" t="s">
        <v>40</v>
      </c>
    </row>
    <row r="23">
      <c r="A23" s="2" t="s">
        <v>41</v>
      </c>
      <c r="B23" s="2" t="s">
        <v>42</v>
      </c>
    </row>
    <row r="24">
      <c r="A24" s="2" t="s">
        <v>43</v>
      </c>
      <c r="B24" s="2" t="s">
        <v>44</v>
      </c>
    </row>
    <row r="25">
      <c r="A25" s="2" t="s">
        <v>45</v>
      </c>
      <c r="B25" s="2" t="s">
        <v>46</v>
      </c>
    </row>
    <row r="26">
      <c r="A26" s="2" t="s">
        <v>47</v>
      </c>
      <c r="B26" s="2" t="s">
        <v>48</v>
      </c>
    </row>
    <row r="27">
      <c r="A27" s="2" t="s">
        <v>49</v>
      </c>
      <c r="B27" s="2" t="s">
        <v>50</v>
      </c>
    </row>
    <row r="28">
      <c r="A28" s="2" t="s">
        <v>51</v>
      </c>
      <c r="B28" s="2" t="s">
        <v>52</v>
      </c>
    </row>
    <row r="29">
      <c r="A29" s="2" t="s">
        <v>53</v>
      </c>
      <c r="B29" s="2" t="s">
        <v>54</v>
      </c>
    </row>
    <row r="30">
      <c r="A30" s="2" t="s">
        <v>55</v>
      </c>
      <c r="B30" s="2" t="s">
        <v>56</v>
      </c>
    </row>
    <row r="31">
      <c r="A31" s="2" t="s">
        <v>57</v>
      </c>
      <c r="B31" s="2" t="s">
        <v>58</v>
      </c>
      <c r="C31" s="2" t="s">
        <v>59</v>
      </c>
      <c r="D31" s="2" t="s">
        <v>60</v>
      </c>
    </row>
    <row r="32">
      <c r="C32" s="3" t="s">
        <v>61</v>
      </c>
      <c r="D32" s="3">
        <v>11.5</v>
      </c>
    </row>
    <row r="33">
      <c r="A33" s="2" t="s">
        <v>62</v>
      </c>
      <c r="B33" s="2" t="s">
        <v>63</v>
      </c>
      <c r="C33" s="2" t="s">
        <v>64</v>
      </c>
      <c r="D33" s="2"/>
    </row>
    <row r="34">
      <c r="A34" s="2" t="s">
        <v>65</v>
      </c>
      <c r="B34" s="2" t="s">
        <v>66</v>
      </c>
      <c r="C34" s="2" t="s">
        <v>64</v>
      </c>
      <c r="D34" s="2"/>
    </row>
    <row r="36">
      <c r="A36" s="2" t="s">
        <v>67</v>
      </c>
      <c r="B36" s="2" t="s">
        <v>68</v>
      </c>
    </row>
    <row r="37">
      <c r="A37" s="2" t="s">
        <v>69</v>
      </c>
      <c r="B37" s="2" t="s">
        <v>70</v>
      </c>
    </row>
    <row r="38">
      <c r="A38" s="2" t="s">
        <v>71</v>
      </c>
      <c r="B38" s="2" t="s">
        <v>36</v>
      </c>
    </row>
    <row r="39">
      <c r="A39" s="2" t="s">
        <v>72</v>
      </c>
      <c r="B39" s="2">
        <v>93203.0</v>
      </c>
    </row>
    <row r="40">
      <c r="A40" s="2" t="s">
        <v>73</v>
      </c>
      <c r="B40" s="2" t="s">
        <v>74</v>
      </c>
    </row>
    <row r="41">
      <c r="A41" s="2" t="s">
        <v>75</v>
      </c>
      <c r="B41" s="2" t="s">
        <v>76</v>
      </c>
    </row>
    <row r="42">
      <c r="A42" s="2" t="s">
        <v>77</v>
      </c>
      <c r="B42" s="2" t="s">
        <v>78</v>
      </c>
    </row>
    <row r="43">
      <c r="A43" s="2" t="s">
        <v>79</v>
      </c>
      <c r="B43" s="2" t="s">
        <v>80</v>
      </c>
    </row>
    <row r="45">
      <c r="A45" s="2" t="s">
        <v>81</v>
      </c>
      <c r="B45" s="2" t="s">
        <v>82</v>
      </c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/>
  </sheetPr>
  <sheetViews>
    <sheetView workbookViewId="0"/>
  </sheetViews>
  <sheetFormatPr customHeight="1" defaultColWidth="12.63" defaultRowHeight="15.0"/>
  <cols>
    <col customWidth="1" min="1" max="1" width="14.88"/>
    <col customWidth="1" min="2" max="2" width="71.63"/>
    <col customWidth="1" min="3" max="3" width="9.13"/>
    <col customWidth="1" min="4" max="4" width="12.0"/>
    <col customWidth="1" min="5" max="5" width="12.88"/>
    <col customWidth="1" min="6" max="6" width="17.75"/>
    <col customWidth="1" min="7" max="7" width="20.25"/>
    <col customWidth="1" min="8" max="8" width="19.0"/>
    <col customWidth="1" min="9" max="10" width="15.13"/>
    <col customWidth="1" min="11" max="11" width="24.38"/>
    <col customWidth="1" min="12" max="26" width="8.63"/>
  </cols>
  <sheetData>
    <row r="1" ht="19.5" customHeight="1">
      <c r="A1" s="169"/>
      <c r="B1" s="5"/>
      <c r="C1" s="6"/>
      <c r="D1" s="86"/>
      <c r="E1" s="5"/>
      <c r="F1" s="8"/>
      <c r="G1" s="8"/>
      <c r="H1" s="8"/>
      <c r="I1" s="8"/>
      <c r="J1" s="8"/>
      <c r="K1" s="9"/>
    </row>
    <row r="2" ht="19.5" customHeight="1">
      <c r="A2" s="170" t="s">
        <v>83</v>
      </c>
      <c r="B2" s="11" t="s">
        <v>84</v>
      </c>
      <c r="C2" s="12"/>
      <c r="D2" s="87"/>
      <c r="F2" s="14"/>
      <c r="G2" s="14"/>
      <c r="H2" s="14"/>
      <c r="I2" s="14"/>
      <c r="J2" s="17" t="s">
        <v>144</v>
      </c>
      <c r="K2" s="18"/>
    </row>
    <row r="3" ht="19.5" customHeight="1">
      <c r="A3" s="170" t="s">
        <v>86</v>
      </c>
      <c r="B3" s="11" t="s">
        <v>87</v>
      </c>
      <c r="C3" s="12"/>
      <c r="D3" s="87"/>
      <c r="F3" s="14"/>
      <c r="G3" s="14"/>
      <c r="H3" s="14"/>
      <c r="I3" s="14"/>
      <c r="J3" s="14"/>
      <c r="K3" s="18"/>
    </row>
    <row r="4" ht="19.5" customHeight="1">
      <c r="A4" s="171"/>
      <c r="C4" s="12"/>
      <c r="D4" s="87"/>
      <c r="F4" s="14"/>
      <c r="G4" s="14"/>
      <c r="H4" s="14"/>
      <c r="I4" s="14"/>
      <c r="J4" s="14"/>
      <c r="K4" s="18"/>
    </row>
    <row r="5" ht="19.5" customHeight="1">
      <c r="A5" s="171"/>
      <c r="C5" s="12"/>
      <c r="D5" s="87"/>
      <c r="F5" s="14"/>
      <c r="G5" s="14"/>
      <c r="H5" s="14"/>
      <c r="I5" s="14"/>
      <c r="J5" s="14"/>
      <c r="K5" s="18"/>
    </row>
    <row r="6" ht="200.25" customHeight="1">
      <c r="A6" s="172" t="s">
        <v>380</v>
      </c>
      <c r="K6" s="21"/>
    </row>
    <row r="7" ht="64.5" customHeight="1">
      <c r="A7" s="173" t="s">
        <v>642</v>
      </c>
      <c r="K7" s="21"/>
    </row>
    <row r="8" ht="37.5" customHeight="1">
      <c r="A8" s="174" t="s">
        <v>90</v>
      </c>
      <c r="B8" s="24"/>
      <c r="C8" s="24"/>
      <c r="D8" s="24"/>
      <c r="E8" s="24"/>
      <c r="F8" s="24"/>
      <c r="G8" s="24"/>
      <c r="H8" s="24"/>
      <c r="I8" s="24"/>
      <c r="J8" s="24"/>
      <c r="K8" s="25"/>
    </row>
    <row r="9" ht="19.5" customHeight="1">
      <c r="A9" s="175" t="s">
        <v>643</v>
      </c>
      <c r="B9" s="28"/>
      <c r="C9" s="28"/>
      <c r="D9" s="28"/>
      <c r="E9" s="28"/>
      <c r="F9" s="28"/>
      <c r="G9" s="28"/>
      <c r="H9" s="28"/>
      <c r="I9" s="28"/>
      <c r="J9" s="28"/>
      <c r="K9" s="29"/>
    </row>
    <row r="10" ht="19.5" customHeight="1">
      <c r="A10" s="176" t="s">
        <v>1</v>
      </c>
      <c r="B10" s="99" t="s">
        <v>644</v>
      </c>
      <c r="C10" s="99" t="s">
        <v>645</v>
      </c>
      <c r="D10" s="177" t="s">
        <v>646</v>
      </c>
      <c r="E10" s="51" t="s">
        <v>647</v>
      </c>
      <c r="F10" s="52" t="s">
        <v>648</v>
      </c>
      <c r="G10" s="52" t="s">
        <v>649</v>
      </c>
      <c r="H10" s="178" t="s">
        <v>650</v>
      </c>
      <c r="I10" s="178" t="s">
        <v>651</v>
      </c>
      <c r="J10" s="177" t="s">
        <v>652</v>
      </c>
      <c r="K10" s="179" t="s">
        <v>653</v>
      </c>
      <c r="O10" s="2"/>
      <c r="P10" s="2"/>
      <c r="R10" s="2"/>
    </row>
    <row r="11" ht="19.5" customHeight="1">
      <c r="A11" s="180"/>
      <c r="B11" s="83" t="s">
        <v>500</v>
      </c>
      <c r="C11" s="38">
        <v>1.0</v>
      </c>
      <c r="D11" s="47">
        <v>34.2</v>
      </c>
      <c r="E11" s="38">
        <v>0.14</v>
      </c>
      <c r="F11" s="181">
        <v>0.55</v>
      </c>
      <c r="G11" s="181">
        <f t="shared" ref="G11:G65" si="1">F11+0.05</f>
        <v>0.6</v>
      </c>
      <c r="H11" s="182">
        <f t="shared" ref="H11:H65" si="2">D11*(E11+0.4)*G11</f>
        <v>11.0808</v>
      </c>
      <c r="I11" s="182">
        <f t="shared" ref="I11:I65" si="3">C11*D11*E11</f>
        <v>4.788</v>
      </c>
      <c r="J11" s="182">
        <f t="shared" ref="J11:J65" si="4">2*(C11*D11*F11)</f>
        <v>37.62</v>
      </c>
      <c r="K11" s="182">
        <f t="shared" ref="K11:K65" si="5">D11*(E11+F11*2)</f>
        <v>42.408</v>
      </c>
      <c r="M11" s="183"/>
    </row>
    <row r="12" ht="19.5" customHeight="1">
      <c r="A12" s="180"/>
      <c r="B12" s="83" t="s">
        <v>501</v>
      </c>
      <c r="C12" s="38">
        <v>1.0</v>
      </c>
      <c r="D12" s="47">
        <v>18.08</v>
      </c>
      <c r="E12" s="38">
        <v>0.14</v>
      </c>
      <c r="F12" s="181">
        <v>0.55</v>
      </c>
      <c r="G12" s="181">
        <f t="shared" si="1"/>
        <v>0.6</v>
      </c>
      <c r="H12" s="182">
        <f t="shared" si="2"/>
        <v>5.85792</v>
      </c>
      <c r="I12" s="182">
        <f t="shared" si="3"/>
        <v>2.5312</v>
      </c>
      <c r="J12" s="182">
        <f t="shared" si="4"/>
        <v>19.888</v>
      </c>
      <c r="K12" s="182">
        <f t="shared" si="5"/>
        <v>22.4192</v>
      </c>
      <c r="M12" s="183"/>
    </row>
    <row r="13" ht="19.5" customHeight="1">
      <c r="A13" s="180"/>
      <c r="B13" s="83" t="s">
        <v>502</v>
      </c>
      <c r="C13" s="38">
        <v>1.0</v>
      </c>
      <c r="D13" s="47">
        <v>2.52</v>
      </c>
      <c r="E13" s="38">
        <v>0.14</v>
      </c>
      <c r="F13" s="181">
        <v>0.55</v>
      </c>
      <c r="G13" s="181">
        <f t="shared" si="1"/>
        <v>0.6</v>
      </c>
      <c r="H13" s="182">
        <f t="shared" si="2"/>
        <v>0.81648</v>
      </c>
      <c r="I13" s="182">
        <f t="shared" si="3"/>
        <v>0.3528</v>
      </c>
      <c r="J13" s="182">
        <f t="shared" si="4"/>
        <v>2.772</v>
      </c>
      <c r="K13" s="182">
        <f t="shared" si="5"/>
        <v>3.1248</v>
      </c>
      <c r="M13" s="183"/>
    </row>
    <row r="14" ht="19.5" customHeight="1">
      <c r="A14" s="180"/>
      <c r="B14" s="83" t="s">
        <v>503</v>
      </c>
      <c r="C14" s="38">
        <v>1.0</v>
      </c>
      <c r="D14" s="47">
        <v>5.38</v>
      </c>
      <c r="E14" s="38">
        <v>0.14</v>
      </c>
      <c r="F14" s="181">
        <v>0.55</v>
      </c>
      <c r="G14" s="181">
        <f t="shared" si="1"/>
        <v>0.6</v>
      </c>
      <c r="H14" s="182">
        <f t="shared" si="2"/>
        <v>1.74312</v>
      </c>
      <c r="I14" s="182">
        <f t="shared" si="3"/>
        <v>0.7532</v>
      </c>
      <c r="J14" s="182">
        <f t="shared" si="4"/>
        <v>5.918</v>
      </c>
      <c r="K14" s="182">
        <f t="shared" si="5"/>
        <v>6.6712</v>
      </c>
      <c r="M14" s="183"/>
    </row>
    <row r="15" ht="19.5" customHeight="1">
      <c r="A15" s="180"/>
      <c r="B15" s="83" t="s">
        <v>504</v>
      </c>
      <c r="C15" s="38">
        <v>1.0</v>
      </c>
      <c r="D15" s="47">
        <v>2.52</v>
      </c>
      <c r="E15" s="38">
        <v>0.14</v>
      </c>
      <c r="F15" s="181">
        <v>0.55</v>
      </c>
      <c r="G15" s="181">
        <f t="shared" si="1"/>
        <v>0.6</v>
      </c>
      <c r="H15" s="182">
        <f t="shared" si="2"/>
        <v>0.81648</v>
      </c>
      <c r="I15" s="182">
        <f t="shared" si="3"/>
        <v>0.3528</v>
      </c>
      <c r="J15" s="182">
        <f t="shared" si="4"/>
        <v>2.772</v>
      </c>
      <c r="K15" s="182">
        <f t="shared" si="5"/>
        <v>3.1248</v>
      </c>
      <c r="M15" s="183"/>
    </row>
    <row r="16" ht="19.5" customHeight="1">
      <c r="A16" s="180"/>
      <c r="B16" s="83" t="s">
        <v>505</v>
      </c>
      <c r="C16" s="38">
        <v>1.0</v>
      </c>
      <c r="D16" s="47">
        <v>34.4</v>
      </c>
      <c r="E16" s="38">
        <v>0.14</v>
      </c>
      <c r="F16" s="181">
        <v>0.55</v>
      </c>
      <c r="G16" s="181">
        <f t="shared" si="1"/>
        <v>0.6</v>
      </c>
      <c r="H16" s="182">
        <f t="shared" si="2"/>
        <v>11.1456</v>
      </c>
      <c r="I16" s="182">
        <f t="shared" si="3"/>
        <v>4.816</v>
      </c>
      <c r="J16" s="182">
        <f t="shared" si="4"/>
        <v>37.84</v>
      </c>
      <c r="K16" s="182">
        <f t="shared" si="5"/>
        <v>42.656</v>
      </c>
      <c r="M16" s="183"/>
    </row>
    <row r="17" ht="19.5" customHeight="1">
      <c r="A17" s="180"/>
      <c r="B17" s="83" t="s">
        <v>506</v>
      </c>
      <c r="C17" s="38">
        <v>1.0</v>
      </c>
      <c r="D17" s="47">
        <v>16.025</v>
      </c>
      <c r="E17" s="38">
        <v>0.14</v>
      </c>
      <c r="F17" s="181">
        <v>0.55</v>
      </c>
      <c r="G17" s="181">
        <f t="shared" si="1"/>
        <v>0.6</v>
      </c>
      <c r="H17" s="182">
        <f t="shared" si="2"/>
        <v>5.1921</v>
      </c>
      <c r="I17" s="182">
        <f t="shared" si="3"/>
        <v>2.2435</v>
      </c>
      <c r="J17" s="182">
        <f t="shared" si="4"/>
        <v>17.6275</v>
      </c>
      <c r="K17" s="182">
        <f t="shared" si="5"/>
        <v>19.871</v>
      </c>
      <c r="M17" s="183"/>
    </row>
    <row r="18" ht="19.5" customHeight="1">
      <c r="A18" s="180"/>
      <c r="B18" s="83" t="s">
        <v>507</v>
      </c>
      <c r="C18" s="38">
        <v>1.0</v>
      </c>
      <c r="D18" s="47">
        <v>34.4</v>
      </c>
      <c r="E18" s="38">
        <v>0.14</v>
      </c>
      <c r="F18" s="181">
        <v>0.55</v>
      </c>
      <c r="G18" s="181">
        <f t="shared" si="1"/>
        <v>0.6</v>
      </c>
      <c r="H18" s="182">
        <f t="shared" si="2"/>
        <v>11.1456</v>
      </c>
      <c r="I18" s="182">
        <f t="shared" si="3"/>
        <v>4.816</v>
      </c>
      <c r="J18" s="182">
        <f t="shared" si="4"/>
        <v>37.84</v>
      </c>
      <c r="K18" s="182">
        <f t="shared" si="5"/>
        <v>42.656</v>
      </c>
      <c r="M18" s="183"/>
    </row>
    <row r="19" ht="19.5" customHeight="1">
      <c r="A19" s="180"/>
      <c r="B19" s="83" t="s">
        <v>508</v>
      </c>
      <c r="C19" s="38">
        <v>1.0</v>
      </c>
      <c r="D19" s="47">
        <v>16.025</v>
      </c>
      <c r="E19" s="38">
        <v>0.14</v>
      </c>
      <c r="F19" s="181">
        <v>0.55</v>
      </c>
      <c r="G19" s="181">
        <f t="shared" si="1"/>
        <v>0.6</v>
      </c>
      <c r="H19" s="182">
        <f t="shared" si="2"/>
        <v>5.1921</v>
      </c>
      <c r="I19" s="182">
        <f t="shared" si="3"/>
        <v>2.2435</v>
      </c>
      <c r="J19" s="182">
        <f t="shared" si="4"/>
        <v>17.6275</v>
      </c>
      <c r="K19" s="182">
        <f t="shared" si="5"/>
        <v>19.871</v>
      </c>
      <c r="M19" s="183"/>
    </row>
    <row r="20" ht="19.5" customHeight="1">
      <c r="A20" s="180"/>
      <c r="B20" s="83" t="s">
        <v>509</v>
      </c>
      <c r="C20" s="38">
        <v>1.0</v>
      </c>
      <c r="D20" s="47">
        <v>34.2</v>
      </c>
      <c r="E20" s="38">
        <v>0.14</v>
      </c>
      <c r="F20" s="181">
        <v>0.55</v>
      </c>
      <c r="G20" s="181">
        <f t="shared" si="1"/>
        <v>0.6</v>
      </c>
      <c r="H20" s="182">
        <f t="shared" si="2"/>
        <v>11.0808</v>
      </c>
      <c r="I20" s="182">
        <f t="shared" si="3"/>
        <v>4.788</v>
      </c>
      <c r="J20" s="182">
        <f t="shared" si="4"/>
        <v>37.62</v>
      </c>
      <c r="K20" s="182">
        <f t="shared" si="5"/>
        <v>42.408</v>
      </c>
      <c r="M20" s="183"/>
    </row>
    <row r="21" ht="19.5" customHeight="1">
      <c r="A21" s="180"/>
      <c r="B21" s="83" t="s">
        <v>510</v>
      </c>
      <c r="C21" s="38">
        <v>1.0</v>
      </c>
      <c r="D21" s="47">
        <v>18.08</v>
      </c>
      <c r="E21" s="38">
        <v>0.14</v>
      </c>
      <c r="F21" s="181">
        <v>0.55</v>
      </c>
      <c r="G21" s="181">
        <f t="shared" si="1"/>
        <v>0.6</v>
      </c>
      <c r="H21" s="182">
        <f t="shared" si="2"/>
        <v>5.85792</v>
      </c>
      <c r="I21" s="182">
        <f t="shared" si="3"/>
        <v>2.5312</v>
      </c>
      <c r="J21" s="182">
        <f t="shared" si="4"/>
        <v>19.888</v>
      </c>
      <c r="K21" s="182">
        <f t="shared" si="5"/>
        <v>22.4192</v>
      </c>
      <c r="M21" s="183"/>
    </row>
    <row r="22" ht="19.5" customHeight="1">
      <c r="A22" s="180"/>
      <c r="B22" s="83" t="s">
        <v>511</v>
      </c>
      <c r="C22" s="38">
        <v>1.0</v>
      </c>
      <c r="D22" s="47">
        <v>2.02</v>
      </c>
      <c r="E22" s="38">
        <v>0.14</v>
      </c>
      <c r="F22" s="181">
        <v>0.3</v>
      </c>
      <c r="G22" s="181">
        <f t="shared" si="1"/>
        <v>0.35</v>
      </c>
      <c r="H22" s="182">
        <f t="shared" si="2"/>
        <v>0.38178</v>
      </c>
      <c r="I22" s="182">
        <f t="shared" si="3"/>
        <v>0.2828</v>
      </c>
      <c r="J22" s="182">
        <f t="shared" si="4"/>
        <v>1.212</v>
      </c>
      <c r="K22" s="182">
        <f t="shared" si="5"/>
        <v>1.4948</v>
      </c>
      <c r="M22" s="183"/>
    </row>
    <row r="23" ht="19.5" customHeight="1">
      <c r="A23" s="180"/>
      <c r="B23" s="83" t="s">
        <v>512</v>
      </c>
      <c r="C23" s="38">
        <v>1.0</v>
      </c>
      <c r="D23" s="47">
        <v>13.72</v>
      </c>
      <c r="E23" s="38">
        <v>0.14</v>
      </c>
      <c r="F23" s="181">
        <v>0.35</v>
      </c>
      <c r="G23" s="181">
        <f t="shared" si="1"/>
        <v>0.4</v>
      </c>
      <c r="H23" s="182">
        <f t="shared" si="2"/>
        <v>2.96352</v>
      </c>
      <c r="I23" s="182">
        <f t="shared" si="3"/>
        <v>1.9208</v>
      </c>
      <c r="J23" s="182">
        <f t="shared" si="4"/>
        <v>9.604</v>
      </c>
      <c r="K23" s="182">
        <f t="shared" si="5"/>
        <v>11.5248</v>
      </c>
      <c r="M23" s="183"/>
    </row>
    <row r="24" ht="19.5" customHeight="1">
      <c r="A24" s="180"/>
      <c r="B24" s="83" t="s">
        <v>513</v>
      </c>
      <c r="C24" s="38">
        <v>1.0</v>
      </c>
      <c r="D24" s="47">
        <v>4.17</v>
      </c>
      <c r="E24" s="38">
        <v>0.14</v>
      </c>
      <c r="F24" s="181">
        <v>0.5</v>
      </c>
      <c r="G24" s="181">
        <f t="shared" si="1"/>
        <v>0.55</v>
      </c>
      <c r="H24" s="182">
        <f t="shared" si="2"/>
        <v>1.23849</v>
      </c>
      <c r="I24" s="182">
        <f t="shared" si="3"/>
        <v>0.5838</v>
      </c>
      <c r="J24" s="182">
        <f t="shared" si="4"/>
        <v>4.17</v>
      </c>
      <c r="K24" s="182">
        <f t="shared" si="5"/>
        <v>4.7538</v>
      </c>
      <c r="M24" s="183"/>
    </row>
    <row r="25" ht="19.5" customHeight="1">
      <c r="A25" s="180"/>
      <c r="B25" s="83" t="s">
        <v>514</v>
      </c>
      <c r="C25" s="38">
        <v>1.0</v>
      </c>
      <c r="D25" s="47">
        <v>4.17</v>
      </c>
      <c r="E25" s="38">
        <v>0.14</v>
      </c>
      <c r="F25" s="181">
        <v>0.5</v>
      </c>
      <c r="G25" s="181">
        <f t="shared" si="1"/>
        <v>0.55</v>
      </c>
      <c r="H25" s="182">
        <f t="shared" si="2"/>
        <v>1.23849</v>
      </c>
      <c r="I25" s="182">
        <f t="shared" si="3"/>
        <v>0.5838</v>
      </c>
      <c r="J25" s="182">
        <f t="shared" si="4"/>
        <v>4.17</v>
      </c>
      <c r="K25" s="182">
        <f t="shared" si="5"/>
        <v>4.7538</v>
      </c>
      <c r="M25" s="183"/>
    </row>
    <row r="26" ht="19.5" customHeight="1">
      <c r="A26" s="180"/>
      <c r="B26" s="83" t="s">
        <v>515</v>
      </c>
      <c r="C26" s="38">
        <v>1.0</v>
      </c>
      <c r="D26" s="47">
        <v>6.71</v>
      </c>
      <c r="E26" s="38">
        <v>0.14</v>
      </c>
      <c r="F26" s="181">
        <v>0.35</v>
      </c>
      <c r="G26" s="181">
        <f t="shared" si="1"/>
        <v>0.4</v>
      </c>
      <c r="H26" s="182">
        <f t="shared" si="2"/>
        <v>1.44936</v>
      </c>
      <c r="I26" s="182">
        <f t="shared" si="3"/>
        <v>0.9394</v>
      </c>
      <c r="J26" s="182">
        <f t="shared" si="4"/>
        <v>4.697</v>
      </c>
      <c r="K26" s="182">
        <f t="shared" si="5"/>
        <v>5.6364</v>
      </c>
      <c r="M26" s="183"/>
    </row>
    <row r="27" ht="19.5" customHeight="1">
      <c r="A27" s="180"/>
      <c r="B27" s="83" t="s">
        <v>516</v>
      </c>
      <c r="C27" s="38">
        <v>1.0</v>
      </c>
      <c r="D27" s="47">
        <v>1.95</v>
      </c>
      <c r="E27" s="38">
        <v>0.14</v>
      </c>
      <c r="F27" s="181">
        <v>0.3</v>
      </c>
      <c r="G27" s="181">
        <f t="shared" si="1"/>
        <v>0.35</v>
      </c>
      <c r="H27" s="182">
        <f t="shared" si="2"/>
        <v>0.36855</v>
      </c>
      <c r="I27" s="182">
        <f t="shared" si="3"/>
        <v>0.273</v>
      </c>
      <c r="J27" s="182">
        <f t="shared" si="4"/>
        <v>1.17</v>
      </c>
      <c r="K27" s="182">
        <f t="shared" si="5"/>
        <v>1.443</v>
      </c>
      <c r="M27" s="183"/>
    </row>
    <row r="28" ht="19.5" customHeight="1">
      <c r="A28" s="180"/>
      <c r="B28" s="83" t="s">
        <v>517</v>
      </c>
      <c r="C28" s="38">
        <v>1.0</v>
      </c>
      <c r="D28" s="47">
        <v>16.45</v>
      </c>
      <c r="E28" s="38">
        <v>0.14</v>
      </c>
      <c r="F28" s="181">
        <v>0.55</v>
      </c>
      <c r="G28" s="181">
        <f t="shared" si="1"/>
        <v>0.6</v>
      </c>
      <c r="H28" s="182">
        <f t="shared" si="2"/>
        <v>5.3298</v>
      </c>
      <c r="I28" s="182">
        <f t="shared" si="3"/>
        <v>2.303</v>
      </c>
      <c r="J28" s="182">
        <f t="shared" si="4"/>
        <v>18.095</v>
      </c>
      <c r="K28" s="182">
        <f t="shared" si="5"/>
        <v>20.398</v>
      </c>
      <c r="M28" s="183"/>
    </row>
    <row r="29" ht="19.5" customHeight="1">
      <c r="A29" s="180"/>
      <c r="B29" s="83" t="s">
        <v>518</v>
      </c>
      <c r="C29" s="38">
        <v>1.0</v>
      </c>
      <c r="D29" s="47">
        <v>3.9</v>
      </c>
      <c r="E29" s="38">
        <v>0.14</v>
      </c>
      <c r="F29" s="181">
        <v>0.5</v>
      </c>
      <c r="G29" s="181">
        <f t="shared" si="1"/>
        <v>0.55</v>
      </c>
      <c r="H29" s="182">
        <f t="shared" si="2"/>
        <v>1.1583</v>
      </c>
      <c r="I29" s="182">
        <f t="shared" si="3"/>
        <v>0.546</v>
      </c>
      <c r="J29" s="182">
        <f t="shared" si="4"/>
        <v>3.9</v>
      </c>
      <c r="K29" s="182">
        <f t="shared" si="5"/>
        <v>4.446</v>
      </c>
      <c r="M29" s="183"/>
    </row>
    <row r="30" ht="19.5" customHeight="1">
      <c r="A30" s="180"/>
      <c r="B30" s="83" t="s">
        <v>519</v>
      </c>
      <c r="C30" s="38">
        <v>1.0</v>
      </c>
      <c r="D30" s="47">
        <v>2.1</v>
      </c>
      <c r="E30" s="38">
        <v>0.14</v>
      </c>
      <c r="F30" s="181">
        <v>0.3</v>
      </c>
      <c r="G30" s="181">
        <f t="shared" si="1"/>
        <v>0.35</v>
      </c>
      <c r="H30" s="182">
        <f t="shared" si="2"/>
        <v>0.3969</v>
      </c>
      <c r="I30" s="182">
        <f t="shared" si="3"/>
        <v>0.294</v>
      </c>
      <c r="J30" s="182">
        <f t="shared" si="4"/>
        <v>1.26</v>
      </c>
      <c r="K30" s="182">
        <f t="shared" si="5"/>
        <v>1.554</v>
      </c>
      <c r="M30" s="183"/>
    </row>
    <row r="31" ht="19.5" customHeight="1">
      <c r="A31" s="180"/>
      <c r="B31" s="83" t="s">
        <v>520</v>
      </c>
      <c r="C31" s="38">
        <v>1.0</v>
      </c>
      <c r="D31" s="47">
        <v>3.9</v>
      </c>
      <c r="E31" s="38">
        <v>0.14</v>
      </c>
      <c r="F31" s="181">
        <v>0.3</v>
      </c>
      <c r="G31" s="181">
        <f t="shared" si="1"/>
        <v>0.35</v>
      </c>
      <c r="H31" s="182">
        <f t="shared" si="2"/>
        <v>0.7371</v>
      </c>
      <c r="I31" s="182">
        <f t="shared" si="3"/>
        <v>0.546</v>
      </c>
      <c r="J31" s="182">
        <f t="shared" si="4"/>
        <v>2.34</v>
      </c>
      <c r="K31" s="182">
        <f t="shared" si="5"/>
        <v>2.886</v>
      </c>
      <c r="M31" s="183"/>
    </row>
    <row r="32" ht="19.5" customHeight="1">
      <c r="A32" s="180"/>
      <c r="B32" s="83" t="s">
        <v>521</v>
      </c>
      <c r="C32" s="38">
        <v>1.0</v>
      </c>
      <c r="D32" s="47">
        <v>2.19</v>
      </c>
      <c r="E32" s="38">
        <v>0.2</v>
      </c>
      <c r="F32" s="181">
        <v>0.5</v>
      </c>
      <c r="G32" s="181">
        <f t="shared" si="1"/>
        <v>0.55</v>
      </c>
      <c r="H32" s="182">
        <f t="shared" si="2"/>
        <v>0.7227</v>
      </c>
      <c r="I32" s="182">
        <f t="shared" si="3"/>
        <v>0.438</v>
      </c>
      <c r="J32" s="182">
        <f t="shared" si="4"/>
        <v>2.19</v>
      </c>
      <c r="K32" s="182">
        <f t="shared" si="5"/>
        <v>2.628</v>
      </c>
      <c r="M32" s="183"/>
    </row>
    <row r="33" ht="19.5" customHeight="1">
      <c r="A33" s="180"/>
      <c r="B33" s="83" t="s">
        <v>522</v>
      </c>
      <c r="C33" s="38">
        <v>1.0</v>
      </c>
      <c r="D33" s="47">
        <v>2.33</v>
      </c>
      <c r="E33" s="38">
        <v>0.14</v>
      </c>
      <c r="F33" s="181">
        <v>0.5</v>
      </c>
      <c r="G33" s="181">
        <f t="shared" si="1"/>
        <v>0.55</v>
      </c>
      <c r="H33" s="182">
        <f t="shared" si="2"/>
        <v>0.69201</v>
      </c>
      <c r="I33" s="182">
        <f t="shared" si="3"/>
        <v>0.3262</v>
      </c>
      <c r="J33" s="182">
        <f t="shared" si="4"/>
        <v>2.33</v>
      </c>
      <c r="K33" s="182">
        <f t="shared" si="5"/>
        <v>2.6562</v>
      </c>
      <c r="M33" s="183"/>
    </row>
    <row r="34" ht="19.5" customHeight="1">
      <c r="A34" s="180"/>
      <c r="B34" s="83" t="s">
        <v>523</v>
      </c>
      <c r="C34" s="38">
        <v>1.0</v>
      </c>
      <c r="D34" s="47">
        <v>3.9</v>
      </c>
      <c r="E34" s="38">
        <v>0.2</v>
      </c>
      <c r="F34" s="181">
        <v>0.5</v>
      </c>
      <c r="G34" s="181">
        <f t="shared" si="1"/>
        <v>0.55</v>
      </c>
      <c r="H34" s="182">
        <f t="shared" si="2"/>
        <v>1.287</v>
      </c>
      <c r="I34" s="182">
        <f t="shared" si="3"/>
        <v>0.78</v>
      </c>
      <c r="J34" s="182">
        <f t="shared" si="4"/>
        <v>3.9</v>
      </c>
      <c r="K34" s="182">
        <f t="shared" si="5"/>
        <v>4.68</v>
      </c>
      <c r="M34" s="183"/>
    </row>
    <row r="35" ht="19.5" customHeight="1">
      <c r="A35" s="180"/>
      <c r="B35" s="83" t="s">
        <v>524</v>
      </c>
      <c r="C35" s="38">
        <v>1.0</v>
      </c>
      <c r="D35" s="47">
        <v>2.35</v>
      </c>
      <c r="E35" s="38">
        <v>0.14</v>
      </c>
      <c r="F35" s="181">
        <v>0.5</v>
      </c>
      <c r="G35" s="181">
        <f t="shared" si="1"/>
        <v>0.55</v>
      </c>
      <c r="H35" s="182">
        <f t="shared" si="2"/>
        <v>0.69795</v>
      </c>
      <c r="I35" s="182">
        <f t="shared" si="3"/>
        <v>0.329</v>
      </c>
      <c r="J35" s="182">
        <f t="shared" si="4"/>
        <v>2.35</v>
      </c>
      <c r="K35" s="182">
        <f t="shared" si="5"/>
        <v>2.679</v>
      </c>
      <c r="M35" s="183"/>
    </row>
    <row r="36" ht="19.5" customHeight="1">
      <c r="A36" s="180"/>
      <c r="B36" s="83" t="s">
        <v>525</v>
      </c>
      <c r="C36" s="38">
        <v>1.0</v>
      </c>
      <c r="D36" s="47">
        <v>2.2</v>
      </c>
      <c r="E36" s="38">
        <v>0.2</v>
      </c>
      <c r="F36" s="181">
        <v>0.5</v>
      </c>
      <c r="G36" s="181">
        <f t="shared" si="1"/>
        <v>0.55</v>
      </c>
      <c r="H36" s="182">
        <f t="shared" si="2"/>
        <v>0.726</v>
      </c>
      <c r="I36" s="182">
        <f t="shared" si="3"/>
        <v>0.44</v>
      </c>
      <c r="J36" s="182">
        <f t="shared" si="4"/>
        <v>2.2</v>
      </c>
      <c r="K36" s="182">
        <f t="shared" si="5"/>
        <v>2.64</v>
      </c>
      <c r="M36" s="183"/>
    </row>
    <row r="37" ht="19.5" customHeight="1">
      <c r="A37" s="180"/>
      <c r="B37" s="83" t="s">
        <v>526</v>
      </c>
      <c r="C37" s="38">
        <v>1.0</v>
      </c>
      <c r="D37" s="47">
        <v>16.45</v>
      </c>
      <c r="E37" s="38">
        <v>0.14</v>
      </c>
      <c r="F37" s="181">
        <v>0.55</v>
      </c>
      <c r="G37" s="181">
        <f t="shared" si="1"/>
        <v>0.6</v>
      </c>
      <c r="H37" s="182">
        <f t="shared" si="2"/>
        <v>5.3298</v>
      </c>
      <c r="I37" s="182">
        <f t="shared" si="3"/>
        <v>2.303</v>
      </c>
      <c r="J37" s="182">
        <f t="shared" si="4"/>
        <v>18.095</v>
      </c>
      <c r="K37" s="182">
        <f t="shared" si="5"/>
        <v>20.398</v>
      </c>
      <c r="M37" s="183"/>
    </row>
    <row r="38" ht="19.5" customHeight="1">
      <c r="A38" s="180"/>
      <c r="B38" s="83" t="s">
        <v>527</v>
      </c>
      <c r="C38" s="38">
        <v>1.0</v>
      </c>
      <c r="D38" s="47">
        <v>2.19</v>
      </c>
      <c r="E38" s="38">
        <v>0.2</v>
      </c>
      <c r="F38" s="181">
        <v>0.5</v>
      </c>
      <c r="G38" s="181">
        <f t="shared" si="1"/>
        <v>0.55</v>
      </c>
      <c r="H38" s="182">
        <f t="shared" si="2"/>
        <v>0.7227</v>
      </c>
      <c r="I38" s="182">
        <f t="shared" si="3"/>
        <v>0.438</v>
      </c>
      <c r="J38" s="182">
        <f t="shared" si="4"/>
        <v>2.19</v>
      </c>
      <c r="K38" s="182">
        <f t="shared" si="5"/>
        <v>2.628</v>
      </c>
      <c r="M38" s="183"/>
    </row>
    <row r="39" ht="19.5" customHeight="1">
      <c r="A39" s="180"/>
      <c r="B39" s="83" t="s">
        <v>528</v>
      </c>
      <c r="C39" s="38">
        <v>1.0</v>
      </c>
      <c r="D39" s="47">
        <v>8.96</v>
      </c>
      <c r="E39" s="38">
        <v>0.14</v>
      </c>
      <c r="F39" s="181">
        <v>0.5</v>
      </c>
      <c r="G39" s="181">
        <f t="shared" si="1"/>
        <v>0.55</v>
      </c>
      <c r="H39" s="182">
        <f t="shared" si="2"/>
        <v>2.66112</v>
      </c>
      <c r="I39" s="182">
        <f t="shared" si="3"/>
        <v>1.2544</v>
      </c>
      <c r="J39" s="182">
        <f t="shared" si="4"/>
        <v>8.96</v>
      </c>
      <c r="K39" s="182">
        <f t="shared" si="5"/>
        <v>10.2144</v>
      </c>
      <c r="M39" s="183"/>
    </row>
    <row r="40" ht="19.5" customHeight="1">
      <c r="A40" s="180"/>
      <c r="B40" s="83" t="s">
        <v>529</v>
      </c>
      <c r="C40" s="38">
        <v>1.0</v>
      </c>
      <c r="D40" s="47">
        <v>2.22</v>
      </c>
      <c r="E40" s="38">
        <v>0.2</v>
      </c>
      <c r="F40" s="181">
        <v>0.5</v>
      </c>
      <c r="G40" s="181">
        <f t="shared" si="1"/>
        <v>0.55</v>
      </c>
      <c r="H40" s="182">
        <f t="shared" si="2"/>
        <v>0.7326</v>
      </c>
      <c r="I40" s="182">
        <f t="shared" si="3"/>
        <v>0.444</v>
      </c>
      <c r="J40" s="182">
        <f t="shared" si="4"/>
        <v>2.22</v>
      </c>
      <c r="K40" s="182">
        <f t="shared" si="5"/>
        <v>2.664</v>
      </c>
      <c r="M40" s="183"/>
    </row>
    <row r="41" ht="19.5" customHeight="1">
      <c r="A41" s="180"/>
      <c r="B41" s="83" t="s">
        <v>530</v>
      </c>
      <c r="C41" s="38">
        <v>1.0</v>
      </c>
      <c r="D41" s="47">
        <v>16.45</v>
      </c>
      <c r="E41" s="38">
        <v>0.14</v>
      </c>
      <c r="F41" s="181">
        <v>0.55</v>
      </c>
      <c r="G41" s="181">
        <f t="shared" si="1"/>
        <v>0.6</v>
      </c>
      <c r="H41" s="182">
        <f t="shared" si="2"/>
        <v>5.3298</v>
      </c>
      <c r="I41" s="182">
        <f t="shared" si="3"/>
        <v>2.303</v>
      </c>
      <c r="J41" s="182">
        <f t="shared" si="4"/>
        <v>18.095</v>
      </c>
      <c r="K41" s="182">
        <f t="shared" si="5"/>
        <v>20.398</v>
      </c>
      <c r="M41" s="183"/>
    </row>
    <row r="42" ht="19.5" customHeight="1">
      <c r="A42" s="180"/>
      <c r="B42" s="83" t="s">
        <v>531</v>
      </c>
      <c r="C42" s="38">
        <v>1.0</v>
      </c>
      <c r="D42" s="47">
        <v>2.1</v>
      </c>
      <c r="E42" s="38">
        <v>0.14</v>
      </c>
      <c r="F42" s="181">
        <v>0.3</v>
      </c>
      <c r="G42" s="181">
        <f t="shared" si="1"/>
        <v>0.35</v>
      </c>
      <c r="H42" s="182">
        <f t="shared" si="2"/>
        <v>0.3969</v>
      </c>
      <c r="I42" s="182">
        <f t="shared" si="3"/>
        <v>0.294</v>
      </c>
      <c r="J42" s="182">
        <f t="shared" si="4"/>
        <v>1.26</v>
      </c>
      <c r="K42" s="182">
        <f t="shared" si="5"/>
        <v>1.554</v>
      </c>
      <c r="M42" s="183"/>
    </row>
    <row r="43" ht="19.5" customHeight="1">
      <c r="A43" s="180"/>
      <c r="B43" s="83" t="s">
        <v>532</v>
      </c>
      <c r="C43" s="38">
        <v>1.0</v>
      </c>
      <c r="D43" s="47">
        <v>16.45</v>
      </c>
      <c r="E43" s="38">
        <v>0.14</v>
      </c>
      <c r="F43" s="181">
        <v>0.55</v>
      </c>
      <c r="G43" s="181">
        <f t="shared" si="1"/>
        <v>0.6</v>
      </c>
      <c r="H43" s="182">
        <f t="shared" si="2"/>
        <v>5.3298</v>
      </c>
      <c r="I43" s="182">
        <f t="shared" si="3"/>
        <v>2.303</v>
      </c>
      <c r="J43" s="182">
        <f t="shared" si="4"/>
        <v>18.095</v>
      </c>
      <c r="K43" s="182">
        <f t="shared" si="5"/>
        <v>20.398</v>
      </c>
      <c r="M43" s="183"/>
    </row>
    <row r="44" ht="19.5" customHeight="1">
      <c r="A44" s="180"/>
      <c r="B44" s="83" t="s">
        <v>533</v>
      </c>
      <c r="C44" s="38">
        <v>1.0</v>
      </c>
      <c r="D44" s="47">
        <v>2.1</v>
      </c>
      <c r="E44" s="38">
        <v>0.14</v>
      </c>
      <c r="F44" s="181">
        <v>0.3</v>
      </c>
      <c r="G44" s="181">
        <f t="shared" si="1"/>
        <v>0.35</v>
      </c>
      <c r="H44" s="182">
        <f t="shared" si="2"/>
        <v>0.3969</v>
      </c>
      <c r="I44" s="182">
        <f t="shared" si="3"/>
        <v>0.294</v>
      </c>
      <c r="J44" s="182">
        <f t="shared" si="4"/>
        <v>1.26</v>
      </c>
      <c r="K44" s="182">
        <f t="shared" si="5"/>
        <v>1.554</v>
      </c>
      <c r="M44" s="183"/>
    </row>
    <row r="45" ht="19.5" customHeight="1">
      <c r="A45" s="180"/>
      <c r="B45" s="83" t="s">
        <v>534</v>
      </c>
      <c r="C45" s="38">
        <v>1.0</v>
      </c>
      <c r="D45" s="47">
        <v>8.96</v>
      </c>
      <c r="E45" s="38">
        <v>0.14</v>
      </c>
      <c r="F45" s="181">
        <v>0.35</v>
      </c>
      <c r="G45" s="181">
        <f t="shared" si="1"/>
        <v>0.4</v>
      </c>
      <c r="H45" s="182">
        <f t="shared" si="2"/>
        <v>1.93536</v>
      </c>
      <c r="I45" s="182">
        <f t="shared" si="3"/>
        <v>1.2544</v>
      </c>
      <c r="J45" s="182">
        <f t="shared" si="4"/>
        <v>6.272</v>
      </c>
      <c r="K45" s="182">
        <f t="shared" si="5"/>
        <v>7.5264</v>
      </c>
      <c r="M45" s="183"/>
    </row>
    <row r="46" ht="19.5" customHeight="1">
      <c r="A46" s="180"/>
      <c r="B46" s="83" t="s">
        <v>535</v>
      </c>
      <c r="C46" s="38">
        <v>1.0</v>
      </c>
      <c r="D46" s="47">
        <v>16.45</v>
      </c>
      <c r="E46" s="38">
        <v>0.14</v>
      </c>
      <c r="F46" s="181">
        <v>0.55</v>
      </c>
      <c r="G46" s="181">
        <f t="shared" si="1"/>
        <v>0.6</v>
      </c>
      <c r="H46" s="182">
        <f t="shared" si="2"/>
        <v>5.3298</v>
      </c>
      <c r="I46" s="182">
        <f t="shared" si="3"/>
        <v>2.303</v>
      </c>
      <c r="J46" s="182">
        <f t="shared" si="4"/>
        <v>18.095</v>
      </c>
      <c r="K46" s="182">
        <f t="shared" si="5"/>
        <v>20.398</v>
      </c>
      <c r="M46" s="183"/>
    </row>
    <row r="47" ht="19.5" customHeight="1">
      <c r="A47" s="180"/>
      <c r="B47" s="83" t="s">
        <v>536</v>
      </c>
      <c r="C47" s="38">
        <v>1.0</v>
      </c>
      <c r="D47" s="47">
        <v>2.1</v>
      </c>
      <c r="E47" s="38">
        <v>0.14</v>
      </c>
      <c r="F47" s="181">
        <v>0.3</v>
      </c>
      <c r="G47" s="181">
        <f t="shared" si="1"/>
        <v>0.35</v>
      </c>
      <c r="H47" s="182">
        <f t="shared" si="2"/>
        <v>0.3969</v>
      </c>
      <c r="I47" s="182">
        <f t="shared" si="3"/>
        <v>0.294</v>
      </c>
      <c r="J47" s="182">
        <f t="shared" si="4"/>
        <v>1.26</v>
      </c>
      <c r="K47" s="182">
        <f t="shared" si="5"/>
        <v>1.554</v>
      </c>
      <c r="M47" s="183"/>
    </row>
    <row r="48" ht="19.5" customHeight="1">
      <c r="A48" s="180"/>
      <c r="B48" s="83" t="s">
        <v>537</v>
      </c>
      <c r="C48" s="38">
        <v>1.0</v>
      </c>
      <c r="D48" s="47">
        <v>7.16</v>
      </c>
      <c r="E48" s="38">
        <v>0.14</v>
      </c>
      <c r="F48" s="181">
        <v>0.55</v>
      </c>
      <c r="G48" s="181">
        <f t="shared" si="1"/>
        <v>0.6</v>
      </c>
      <c r="H48" s="182">
        <f t="shared" si="2"/>
        <v>2.31984</v>
      </c>
      <c r="I48" s="182">
        <f t="shared" si="3"/>
        <v>1.0024</v>
      </c>
      <c r="J48" s="182">
        <f t="shared" si="4"/>
        <v>7.876</v>
      </c>
      <c r="K48" s="182">
        <f t="shared" si="5"/>
        <v>8.8784</v>
      </c>
      <c r="M48" s="183"/>
    </row>
    <row r="49" ht="19.5" customHeight="1">
      <c r="A49" s="180"/>
      <c r="B49" s="83" t="s">
        <v>538</v>
      </c>
      <c r="C49" s="38">
        <v>1.0</v>
      </c>
      <c r="D49" s="47">
        <v>4.5</v>
      </c>
      <c r="E49" s="38">
        <v>0.2</v>
      </c>
      <c r="F49" s="181">
        <v>0.4</v>
      </c>
      <c r="G49" s="181">
        <f t="shared" si="1"/>
        <v>0.45</v>
      </c>
      <c r="H49" s="182">
        <f t="shared" si="2"/>
        <v>1.215</v>
      </c>
      <c r="I49" s="182">
        <f t="shared" si="3"/>
        <v>0.9</v>
      </c>
      <c r="J49" s="182">
        <f t="shared" si="4"/>
        <v>3.6</v>
      </c>
      <c r="K49" s="182">
        <f t="shared" si="5"/>
        <v>4.5</v>
      </c>
      <c r="M49" s="183"/>
    </row>
    <row r="50" ht="19.5" customHeight="1">
      <c r="A50" s="180"/>
      <c r="B50" s="83" t="s">
        <v>539</v>
      </c>
      <c r="C50" s="38">
        <v>1.0</v>
      </c>
      <c r="D50" s="47">
        <v>4.5</v>
      </c>
      <c r="E50" s="38">
        <v>0.14</v>
      </c>
      <c r="F50" s="181">
        <v>0.35</v>
      </c>
      <c r="G50" s="181">
        <f t="shared" si="1"/>
        <v>0.4</v>
      </c>
      <c r="H50" s="182">
        <f t="shared" si="2"/>
        <v>0.972</v>
      </c>
      <c r="I50" s="182">
        <f t="shared" si="3"/>
        <v>0.63</v>
      </c>
      <c r="J50" s="182">
        <f t="shared" si="4"/>
        <v>3.15</v>
      </c>
      <c r="K50" s="182">
        <f t="shared" si="5"/>
        <v>3.78</v>
      </c>
      <c r="M50" s="183"/>
    </row>
    <row r="51" ht="19.5" customHeight="1">
      <c r="A51" s="180"/>
      <c r="B51" s="83" t="s">
        <v>540</v>
      </c>
      <c r="C51" s="38">
        <v>1.0</v>
      </c>
      <c r="D51" s="47">
        <v>4.5</v>
      </c>
      <c r="E51" s="38">
        <v>0.2</v>
      </c>
      <c r="F51" s="181">
        <v>0.4</v>
      </c>
      <c r="G51" s="181">
        <f t="shared" si="1"/>
        <v>0.45</v>
      </c>
      <c r="H51" s="182">
        <f t="shared" si="2"/>
        <v>1.215</v>
      </c>
      <c r="I51" s="182">
        <f t="shared" si="3"/>
        <v>0.9</v>
      </c>
      <c r="J51" s="182">
        <f t="shared" si="4"/>
        <v>3.6</v>
      </c>
      <c r="K51" s="182">
        <f t="shared" si="5"/>
        <v>4.5</v>
      </c>
      <c r="M51" s="183"/>
    </row>
    <row r="52" ht="19.5" customHeight="1">
      <c r="A52" s="180"/>
      <c r="B52" s="83" t="s">
        <v>541</v>
      </c>
      <c r="C52" s="38">
        <v>1.0</v>
      </c>
      <c r="D52" s="47">
        <v>6.65</v>
      </c>
      <c r="E52" s="38">
        <v>0.14</v>
      </c>
      <c r="F52" s="181">
        <v>0.55</v>
      </c>
      <c r="G52" s="181">
        <f t="shared" si="1"/>
        <v>0.6</v>
      </c>
      <c r="H52" s="182">
        <f t="shared" si="2"/>
        <v>2.1546</v>
      </c>
      <c r="I52" s="182">
        <f t="shared" si="3"/>
        <v>0.931</v>
      </c>
      <c r="J52" s="182">
        <f t="shared" si="4"/>
        <v>7.315</v>
      </c>
      <c r="K52" s="182">
        <f t="shared" si="5"/>
        <v>8.246</v>
      </c>
      <c r="M52" s="183"/>
    </row>
    <row r="53" ht="19.5" customHeight="1">
      <c r="A53" s="180"/>
      <c r="B53" s="83" t="s">
        <v>542</v>
      </c>
      <c r="C53" s="38">
        <v>1.0</v>
      </c>
      <c r="D53" s="47">
        <v>9.3</v>
      </c>
      <c r="E53" s="38">
        <v>0.14</v>
      </c>
      <c r="F53" s="181">
        <v>0.6</v>
      </c>
      <c r="G53" s="181">
        <f t="shared" si="1"/>
        <v>0.65</v>
      </c>
      <c r="H53" s="182">
        <f t="shared" si="2"/>
        <v>3.2643</v>
      </c>
      <c r="I53" s="182">
        <f t="shared" si="3"/>
        <v>1.302</v>
      </c>
      <c r="J53" s="182">
        <f t="shared" si="4"/>
        <v>11.16</v>
      </c>
      <c r="K53" s="182">
        <f t="shared" si="5"/>
        <v>12.462</v>
      </c>
      <c r="M53" s="183"/>
    </row>
    <row r="54" ht="19.5" customHeight="1">
      <c r="A54" s="180"/>
      <c r="B54" s="83" t="s">
        <v>543</v>
      </c>
      <c r="C54" s="38">
        <v>1.0</v>
      </c>
      <c r="D54" s="47">
        <v>4.5</v>
      </c>
      <c r="E54" s="38">
        <v>0.2</v>
      </c>
      <c r="F54" s="181">
        <v>0.4</v>
      </c>
      <c r="G54" s="181">
        <f t="shared" si="1"/>
        <v>0.45</v>
      </c>
      <c r="H54" s="182">
        <f t="shared" si="2"/>
        <v>1.215</v>
      </c>
      <c r="I54" s="182">
        <f t="shared" si="3"/>
        <v>0.9</v>
      </c>
      <c r="J54" s="182">
        <f t="shared" si="4"/>
        <v>3.6</v>
      </c>
      <c r="K54" s="182">
        <f t="shared" si="5"/>
        <v>4.5</v>
      </c>
      <c r="M54" s="183"/>
    </row>
    <row r="55" ht="19.5" customHeight="1">
      <c r="A55" s="180"/>
      <c r="B55" s="83" t="s">
        <v>544</v>
      </c>
      <c r="C55" s="38">
        <v>1.0</v>
      </c>
      <c r="D55" s="47">
        <v>4.5</v>
      </c>
      <c r="E55" s="38">
        <v>0.14</v>
      </c>
      <c r="F55" s="181">
        <v>0.35</v>
      </c>
      <c r="G55" s="181">
        <f t="shared" si="1"/>
        <v>0.4</v>
      </c>
      <c r="H55" s="182">
        <f t="shared" si="2"/>
        <v>0.972</v>
      </c>
      <c r="I55" s="182">
        <f t="shared" si="3"/>
        <v>0.63</v>
      </c>
      <c r="J55" s="182">
        <f t="shared" si="4"/>
        <v>3.15</v>
      </c>
      <c r="K55" s="182">
        <f t="shared" si="5"/>
        <v>3.78</v>
      </c>
      <c r="M55" s="183"/>
    </row>
    <row r="56" ht="19.5" customHeight="1">
      <c r="A56" s="180"/>
      <c r="B56" s="83" t="s">
        <v>545</v>
      </c>
      <c r="C56" s="38">
        <v>1.0</v>
      </c>
      <c r="D56" s="47">
        <v>4.5</v>
      </c>
      <c r="E56" s="38">
        <v>0.2</v>
      </c>
      <c r="F56" s="181">
        <v>0.4</v>
      </c>
      <c r="G56" s="181">
        <f t="shared" si="1"/>
        <v>0.45</v>
      </c>
      <c r="H56" s="182">
        <f t="shared" si="2"/>
        <v>1.215</v>
      </c>
      <c r="I56" s="182">
        <f t="shared" si="3"/>
        <v>0.9</v>
      </c>
      <c r="J56" s="182">
        <f t="shared" si="4"/>
        <v>3.6</v>
      </c>
      <c r="K56" s="182">
        <f t="shared" si="5"/>
        <v>4.5</v>
      </c>
      <c r="M56" s="183"/>
    </row>
    <row r="57" ht="19.5" customHeight="1">
      <c r="A57" s="180"/>
      <c r="B57" s="83" t="s">
        <v>546</v>
      </c>
      <c r="C57" s="38">
        <v>1.0</v>
      </c>
      <c r="D57" s="47">
        <v>16.45</v>
      </c>
      <c r="E57" s="38">
        <v>0.14</v>
      </c>
      <c r="F57" s="181">
        <v>0.55</v>
      </c>
      <c r="G57" s="181">
        <f t="shared" si="1"/>
        <v>0.6</v>
      </c>
      <c r="H57" s="182">
        <f t="shared" si="2"/>
        <v>5.3298</v>
      </c>
      <c r="I57" s="182">
        <f t="shared" si="3"/>
        <v>2.303</v>
      </c>
      <c r="J57" s="182">
        <f t="shared" si="4"/>
        <v>18.095</v>
      </c>
      <c r="K57" s="182">
        <f t="shared" si="5"/>
        <v>20.398</v>
      </c>
      <c r="M57" s="183"/>
    </row>
    <row r="58" ht="19.5" customHeight="1">
      <c r="A58" s="180"/>
      <c r="B58" s="83" t="s">
        <v>547</v>
      </c>
      <c r="C58" s="38">
        <v>1.0</v>
      </c>
      <c r="D58" s="47">
        <v>2.1</v>
      </c>
      <c r="E58" s="38">
        <v>0.14</v>
      </c>
      <c r="F58" s="181">
        <v>0.3</v>
      </c>
      <c r="G58" s="181">
        <f t="shared" si="1"/>
        <v>0.35</v>
      </c>
      <c r="H58" s="182">
        <f t="shared" si="2"/>
        <v>0.3969</v>
      </c>
      <c r="I58" s="182">
        <f t="shared" si="3"/>
        <v>0.294</v>
      </c>
      <c r="J58" s="182">
        <f t="shared" si="4"/>
        <v>1.26</v>
      </c>
      <c r="K58" s="182">
        <f t="shared" si="5"/>
        <v>1.554</v>
      </c>
      <c r="M58" s="183"/>
    </row>
    <row r="59" ht="19.5" customHeight="1">
      <c r="A59" s="180"/>
      <c r="B59" s="83" t="s">
        <v>548</v>
      </c>
      <c r="C59" s="38">
        <v>1.0</v>
      </c>
      <c r="D59" s="47">
        <v>16.45</v>
      </c>
      <c r="E59" s="38">
        <v>0.14</v>
      </c>
      <c r="F59" s="181">
        <v>0.55</v>
      </c>
      <c r="G59" s="181">
        <f t="shared" si="1"/>
        <v>0.6</v>
      </c>
      <c r="H59" s="182">
        <f t="shared" si="2"/>
        <v>5.3298</v>
      </c>
      <c r="I59" s="182">
        <f t="shared" si="3"/>
        <v>2.303</v>
      </c>
      <c r="J59" s="182">
        <f t="shared" si="4"/>
        <v>18.095</v>
      </c>
      <c r="K59" s="182">
        <f t="shared" si="5"/>
        <v>20.398</v>
      </c>
      <c r="M59" s="183"/>
    </row>
    <row r="60" ht="19.5" customHeight="1">
      <c r="A60" s="180"/>
      <c r="B60" s="83" t="s">
        <v>549</v>
      </c>
      <c r="C60" s="38">
        <v>1.0</v>
      </c>
      <c r="D60" s="47">
        <v>2.1</v>
      </c>
      <c r="E60" s="38">
        <v>0.14</v>
      </c>
      <c r="F60" s="181">
        <v>0.3</v>
      </c>
      <c r="G60" s="181">
        <f t="shared" si="1"/>
        <v>0.35</v>
      </c>
      <c r="H60" s="182">
        <f t="shared" si="2"/>
        <v>0.3969</v>
      </c>
      <c r="I60" s="182">
        <f t="shared" si="3"/>
        <v>0.294</v>
      </c>
      <c r="J60" s="182">
        <f t="shared" si="4"/>
        <v>1.26</v>
      </c>
      <c r="K60" s="182">
        <f t="shared" si="5"/>
        <v>1.554</v>
      </c>
      <c r="M60" s="183"/>
    </row>
    <row r="61" ht="19.5" customHeight="1">
      <c r="A61" s="180"/>
      <c r="B61" s="83" t="s">
        <v>550</v>
      </c>
      <c r="C61" s="38">
        <v>1.0</v>
      </c>
      <c r="D61" s="47">
        <v>16.45</v>
      </c>
      <c r="E61" s="38">
        <v>0.14</v>
      </c>
      <c r="F61" s="181">
        <v>0.55</v>
      </c>
      <c r="G61" s="181">
        <f t="shared" si="1"/>
        <v>0.6</v>
      </c>
      <c r="H61" s="182">
        <f t="shared" si="2"/>
        <v>5.3298</v>
      </c>
      <c r="I61" s="182">
        <f t="shared" si="3"/>
        <v>2.303</v>
      </c>
      <c r="J61" s="182">
        <f t="shared" si="4"/>
        <v>18.095</v>
      </c>
      <c r="K61" s="182">
        <f t="shared" si="5"/>
        <v>20.398</v>
      </c>
      <c r="M61" s="183"/>
    </row>
    <row r="62" ht="19.5" customHeight="1">
      <c r="A62" s="180"/>
      <c r="B62" s="83" t="s">
        <v>551</v>
      </c>
      <c r="C62" s="38">
        <v>1.0</v>
      </c>
      <c r="D62" s="47">
        <v>2.15</v>
      </c>
      <c r="E62" s="38">
        <v>0.14</v>
      </c>
      <c r="F62" s="181">
        <v>0.3</v>
      </c>
      <c r="G62" s="181">
        <f t="shared" si="1"/>
        <v>0.35</v>
      </c>
      <c r="H62" s="182">
        <f t="shared" si="2"/>
        <v>0.40635</v>
      </c>
      <c r="I62" s="182">
        <f t="shared" si="3"/>
        <v>0.301</v>
      </c>
      <c r="J62" s="182">
        <f t="shared" si="4"/>
        <v>1.29</v>
      </c>
      <c r="K62" s="182">
        <f t="shared" si="5"/>
        <v>1.591</v>
      </c>
      <c r="M62" s="183"/>
    </row>
    <row r="63" ht="19.5" customHeight="1">
      <c r="A63" s="180"/>
      <c r="B63" s="83" t="s">
        <v>552</v>
      </c>
      <c r="C63" s="38">
        <v>1.0</v>
      </c>
      <c r="D63" s="47">
        <v>2.13</v>
      </c>
      <c r="E63" s="38">
        <v>0.14</v>
      </c>
      <c r="F63" s="181">
        <v>0.3</v>
      </c>
      <c r="G63" s="181">
        <f t="shared" si="1"/>
        <v>0.35</v>
      </c>
      <c r="H63" s="182">
        <f t="shared" si="2"/>
        <v>0.40257</v>
      </c>
      <c r="I63" s="182">
        <f t="shared" si="3"/>
        <v>0.2982</v>
      </c>
      <c r="J63" s="182">
        <f t="shared" si="4"/>
        <v>1.278</v>
      </c>
      <c r="K63" s="182">
        <f t="shared" si="5"/>
        <v>1.5762</v>
      </c>
      <c r="M63" s="183"/>
    </row>
    <row r="64" ht="19.5" customHeight="1">
      <c r="A64" s="180"/>
      <c r="B64" s="83" t="s">
        <v>553</v>
      </c>
      <c r="C64" s="38">
        <v>1.0</v>
      </c>
      <c r="D64" s="47">
        <v>2.13</v>
      </c>
      <c r="E64" s="38">
        <v>0.14</v>
      </c>
      <c r="F64" s="181">
        <v>0.3</v>
      </c>
      <c r="G64" s="181">
        <f t="shared" si="1"/>
        <v>0.35</v>
      </c>
      <c r="H64" s="182">
        <f t="shared" si="2"/>
        <v>0.40257</v>
      </c>
      <c r="I64" s="182">
        <f t="shared" si="3"/>
        <v>0.2982</v>
      </c>
      <c r="J64" s="182">
        <f t="shared" si="4"/>
        <v>1.278</v>
      </c>
      <c r="K64" s="182">
        <f t="shared" si="5"/>
        <v>1.5762</v>
      </c>
      <c r="M64" s="183"/>
    </row>
    <row r="65" ht="19.5" customHeight="1">
      <c r="A65" s="180"/>
      <c r="B65" s="83" t="s">
        <v>554</v>
      </c>
      <c r="C65" s="38">
        <v>1.0</v>
      </c>
      <c r="D65" s="47">
        <v>2.13</v>
      </c>
      <c r="E65" s="38">
        <v>0.14</v>
      </c>
      <c r="F65" s="181">
        <v>0.3</v>
      </c>
      <c r="G65" s="181">
        <f t="shared" si="1"/>
        <v>0.35</v>
      </c>
      <c r="H65" s="182">
        <f t="shared" si="2"/>
        <v>0.40257</v>
      </c>
      <c r="I65" s="182">
        <f t="shared" si="3"/>
        <v>0.2982</v>
      </c>
      <c r="J65" s="182">
        <f t="shared" si="4"/>
        <v>1.278</v>
      </c>
      <c r="K65" s="182">
        <f t="shared" si="5"/>
        <v>1.5762</v>
      </c>
      <c r="L65" s="184">
        <f>SUM(K11:K65)</f>
        <v>576.8578</v>
      </c>
      <c r="M65" s="183"/>
    </row>
    <row r="66" ht="19.5" customHeight="1">
      <c r="A66" s="176" t="s">
        <v>1</v>
      </c>
      <c r="B66" s="99" t="s">
        <v>644</v>
      </c>
      <c r="C66" s="99" t="s">
        <v>645</v>
      </c>
      <c r="D66" s="177" t="s">
        <v>646</v>
      </c>
      <c r="E66" s="51" t="s">
        <v>647</v>
      </c>
      <c r="F66" s="52" t="s">
        <v>648</v>
      </c>
      <c r="G66" s="52" t="s">
        <v>649</v>
      </c>
      <c r="H66" s="178" t="s">
        <v>650</v>
      </c>
      <c r="I66" s="178" t="s">
        <v>651</v>
      </c>
      <c r="J66" s="177" t="s">
        <v>654</v>
      </c>
      <c r="K66" s="179" t="s">
        <v>653</v>
      </c>
      <c r="L66" s="185"/>
      <c r="M66" s="185"/>
      <c r="N66" s="185"/>
      <c r="O66" s="185"/>
      <c r="P66" s="185"/>
      <c r="Q66" s="185"/>
      <c r="R66" s="185"/>
      <c r="S66" s="185"/>
      <c r="T66" s="185"/>
      <c r="U66" s="185"/>
      <c r="V66" s="185"/>
      <c r="W66" s="185"/>
      <c r="X66" s="185"/>
      <c r="Y66" s="185"/>
      <c r="Z66" s="185"/>
    </row>
    <row r="67" ht="19.5" customHeight="1">
      <c r="A67" s="186"/>
      <c r="B67" s="187" t="s">
        <v>655</v>
      </c>
      <c r="C67" s="67">
        <v>11.0</v>
      </c>
      <c r="D67" s="67"/>
      <c r="E67" s="67"/>
      <c r="F67" s="67"/>
      <c r="G67" s="67">
        <f t="shared" ref="G67:G75" si="6">0.05+1.5</f>
        <v>1.55</v>
      </c>
      <c r="H67" s="182">
        <f t="shared" ref="H67:H75" si="7">J67*G67*C67</f>
        <v>47.399</v>
      </c>
      <c r="I67" s="182">
        <f>1.6272*C67</f>
        <v>17.8992</v>
      </c>
      <c r="J67" s="182">
        <f>2.78</f>
        <v>2.78</v>
      </c>
      <c r="K67" s="188"/>
      <c r="L67" s="185"/>
      <c r="M67" s="185"/>
      <c r="N67" s="185"/>
      <c r="O67" s="185"/>
      <c r="P67" s="185"/>
      <c r="Q67" s="185"/>
      <c r="R67" s="185"/>
      <c r="S67" s="185"/>
      <c r="T67" s="185"/>
      <c r="U67" s="185"/>
      <c r="V67" s="185"/>
      <c r="W67" s="185"/>
      <c r="X67" s="185"/>
      <c r="Y67" s="185"/>
      <c r="Z67" s="185"/>
    </row>
    <row r="68" ht="19.5" customHeight="1">
      <c r="A68" s="186"/>
      <c r="B68" s="187" t="s">
        <v>656</v>
      </c>
      <c r="C68" s="67">
        <v>11.0</v>
      </c>
      <c r="D68" s="67"/>
      <c r="E68" s="67"/>
      <c r="F68" s="67"/>
      <c r="G68" s="67">
        <f t="shared" si="6"/>
        <v>1.55</v>
      </c>
      <c r="H68" s="182">
        <f t="shared" si="7"/>
        <v>61.5505</v>
      </c>
      <c r="I68" s="189">
        <f>C68*2.25</f>
        <v>24.75</v>
      </c>
      <c r="J68" s="189">
        <v>3.61</v>
      </c>
      <c r="K68" s="188"/>
      <c r="L68" s="185"/>
      <c r="M68" s="185"/>
      <c r="N68" s="185"/>
      <c r="O68" s="185"/>
      <c r="P68" s="185"/>
      <c r="Q68" s="185"/>
      <c r="R68" s="185"/>
      <c r="S68" s="185"/>
      <c r="T68" s="185"/>
      <c r="U68" s="185"/>
      <c r="V68" s="185"/>
      <c r="W68" s="185"/>
      <c r="X68" s="185"/>
      <c r="Y68" s="185"/>
      <c r="Z68" s="185"/>
    </row>
    <row r="69" ht="19.5" customHeight="1">
      <c r="A69" s="186"/>
      <c r="B69" s="187" t="s">
        <v>657</v>
      </c>
      <c r="C69" s="67">
        <v>1.0</v>
      </c>
      <c r="D69" s="67"/>
      <c r="E69" s="67"/>
      <c r="F69" s="67"/>
      <c r="G69" s="67">
        <f t="shared" si="6"/>
        <v>1.55</v>
      </c>
      <c r="H69" s="182">
        <f t="shared" si="7"/>
        <v>3.906</v>
      </c>
      <c r="I69" s="189">
        <f>C69*1.36</f>
        <v>1.36</v>
      </c>
      <c r="J69" s="189">
        <v>2.52</v>
      </c>
      <c r="K69" s="188"/>
      <c r="L69" s="185"/>
      <c r="M69" s="185"/>
      <c r="N69" s="185"/>
      <c r="O69" s="185"/>
      <c r="P69" s="185"/>
      <c r="Q69" s="185"/>
      <c r="R69" s="185"/>
      <c r="S69" s="185"/>
      <c r="T69" s="185"/>
      <c r="U69" s="185"/>
      <c r="V69" s="185"/>
      <c r="W69" s="185"/>
      <c r="X69" s="185"/>
      <c r="Y69" s="185"/>
      <c r="Z69" s="185"/>
    </row>
    <row r="70">
      <c r="A70" s="186"/>
      <c r="B70" s="190" t="s">
        <v>658</v>
      </c>
      <c r="C70" s="67">
        <v>18.0</v>
      </c>
      <c r="D70" s="67"/>
      <c r="E70" s="67"/>
      <c r="F70" s="67"/>
      <c r="G70" s="67">
        <f t="shared" si="6"/>
        <v>1.55</v>
      </c>
      <c r="H70" s="182">
        <f t="shared" si="7"/>
        <v>53.01</v>
      </c>
      <c r="I70" s="189">
        <f>C70* 0.9</f>
        <v>16.2</v>
      </c>
      <c r="J70" s="189">
        <v>1.9</v>
      </c>
      <c r="K70" s="188"/>
      <c r="L70" s="185"/>
      <c r="M70" s="185"/>
      <c r="N70" s="185"/>
      <c r="O70" s="185"/>
      <c r="P70" s="185"/>
      <c r="Q70" s="185"/>
      <c r="R70" s="185"/>
      <c r="S70" s="185"/>
      <c r="T70" s="185"/>
      <c r="U70" s="185"/>
      <c r="V70" s="185"/>
      <c r="W70" s="185"/>
      <c r="X70" s="185"/>
      <c r="Y70" s="185"/>
      <c r="Z70" s="185"/>
    </row>
    <row r="71" ht="48.0" customHeight="1">
      <c r="A71" s="186"/>
      <c r="B71" s="190" t="s">
        <v>659</v>
      </c>
      <c r="C71" s="67">
        <v>36.0</v>
      </c>
      <c r="D71" s="67"/>
      <c r="E71" s="67"/>
      <c r="F71" s="67"/>
      <c r="G71" s="67">
        <f t="shared" si="6"/>
        <v>1.55</v>
      </c>
      <c r="H71" s="182">
        <f t="shared" si="7"/>
        <v>55.8</v>
      </c>
      <c r="I71" s="189">
        <f>C71* 0.36</f>
        <v>12.96</v>
      </c>
      <c r="J71" s="189">
        <v>1.0</v>
      </c>
      <c r="K71" s="188"/>
      <c r="L71" s="185"/>
      <c r="M71" s="185"/>
      <c r="N71" s="185"/>
      <c r="O71" s="185"/>
      <c r="P71" s="185"/>
      <c r="Q71" s="185"/>
      <c r="R71" s="185"/>
      <c r="S71" s="185"/>
      <c r="T71" s="185"/>
      <c r="U71" s="185"/>
      <c r="V71" s="185"/>
      <c r="W71" s="185"/>
      <c r="X71" s="185"/>
      <c r="Y71" s="185"/>
      <c r="Z71" s="185"/>
    </row>
    <row r="72" ht="33.0" customHeight="1">
      <c r="A72" s="186"/>
      <c r="B72" s="190" t="s">
        <v>660</v>
      </c>
      <c r="C72" s="67">
        <v>29.0</v>
      </c>
      <c r="D72" s="67"/>
      <c r="E72" s="67"/>
      <c r="F72" s="67"/>
      <c r="G72" s="67">
        <f t="shared" si="6"/>
        <v>1.55</v>
      </c>
      <c r="H72" s="182">
        <f t="shared" si="7"/>
        <v>115.5215</v>
      </c>
      <c r="I72" s="189">
        <f>C72* 1.4725</f>
        <v>42.7025</v>
      </c>
      <c r="J72" s="189">
        <v>2.57</v>
      </c>
      <c r="K72" s="188"/>
      <c r="L72" s="185"/>
      <c r="M72" s="185"/>
      <c r="N72" s="185"/>
      <c r="O72" s="185"/>
      <c r="P72" s="185"/>
      <c r="Q72" s="185"/>
      <c r="R72" s="185"/>
      <c r="S72" s="185"/>
      <c r="T72" s="185"/>
      <c r="U72" s="185"/>
      <c r="V72" s="185"/>
      <c r="W72" s="185"/>
      <c r="X72" s="185"/>
      <c r="Y72" s="185"/>
      <c r="Z72" s="185"/>
    </row>
    <row r="73" ht="19.5" customHeight="1">
      <c r="A73" s="186"/>
      <c r="B73" s="187" t="s">
        <v>661</v>
      </c>
      <c r="C73" s="67">
        <v>1.0</v>
      </c>
      <c r="D73" s="67"/>
      <c r="E73" s="67"/>
      <c r="F73" s="67"/>
      <c r="G73" s="67">
        <f t="shared" si="6"/>
        <v>1.55</v>
      </c>
      <c r="H73" s="182">
        <f t="shared" si="7"/>
        <v>5.5955</v>
      </c>
      <c r="I73" s="2">
        <f>2.25</f>
        <v>2.25</v>
      </c>
      <c r="J73" s="189">
        <v>3.61</v>
      </c>
      <c r="K73" s="188"/>
      <c r="L73" s="185"/>
      <c r="M73" s="185"/>
      <c r="N73" s="185"/>
      <c r="O73" s="185"/>
      <c r="P73" s="185"/>
      <c r="Q73" s="185"/>
      <c r="R73" s="185"/>
      <c r="S73" s="185"/>
      <c r="T73" s="185"/>
      <c r="U73" s="185"/>
      <c r="V73" s="185"/>
      <c r="W73" s="185"/>
      <c r="X73" s="185"/>
      <c r="Y73" s="185"/>
      <c r="Z73" s="185"/>
    </row>
    <row r="74" ht="19.5" customHeight="1">
      <c r="A74" s="186"/>
      <c r="B74" s="187" t="s">
        <v>662</v>
      </c>
      <c r="C74" s="67">
        <v>2.0</v>
      </c>
      <c r="D74" s="67"/>
      <c r="E74" s="67"/>
      <c r="F74" s="67"/>
      <c r="G74" s="67">
        <f t="shared" si="6"/>
        <v>1.55</v>
      </c>
      <c r="H74" s="182">
        <f t="shared" si="7"/>
        <v>7.967</v>
      </c>
      <c r="I74" s="189">
        <f>C74* 1.4725</f>
        <v>2.945</v>
      </c>
      <c r="J74" s="189">
        <v>2.57</v>
      </c>
      <c r="K74" s="188"/>
      <c r="L74" s="185"/>
      <c r="M74" s="185"/>
      <c r="N74" s="185"/>
      <c r="O74" s="185"/>
      <c r="P74" s="185"/>
      <c r="Q74" s="185"/>
      <c r="R74" s="185"/>
      <c r="S74" s="185"/>
      <c r="T74" s="185"/>
      <c r="U74" s="185"/>
      <c r="V74" s="185"/>
      <c r="W74" s="185"/>
      <c r="X74" s="185"/>
      <c r="Y74" s="185"/>
      <c r="Z74" s="185"/>
    </row>
    <row r="75" ht="19.5" customHeight="1">
      <c r="A75" s="186"/>
      <c r="B75" s="187" t="s">
        <v>663</v>
      </c>
      <c r="C75" s="67">
        <v>4.0</v>
      </c>
      <c r="D75" s="67"/>
      <c r="E75" s="67"/>
      <c r="F75" s="67"/>
      <c r="G75" s="67">
        <f t="shared" si="6"/>
        <v>1.55</v>
      </c>
      <c r="H75" s="182">
        <f t="shared" si="7"/>
        <v>11.78</v>
      </c>
      <c r="I75" s="189">
        <f>C75* 0.9</f>
        <v>3.6</v>
      </c>
      <c r="J75" s="189">
        <v>1.9</v>
      </c>
      <c r="K75" s="188"/>
      <c r="L75" s="185"/>
      <c r="M75" s="185"/>
      <c r="N75" s="185"/>
      <c r="O75" s="185"/>
      <c r="P75" s="185"/>
      <c r="Q75" s="185"/>
      <c r="R75" s="185"/>
      <c r="S75" s="185"/>
      <c r="T75" s="185"/>
      <c r="U75" s="185"/>
      <c r="V75" s="185"/>
      <c r="W75" s="185"/>
      <c r="X75" s="185"/>
      <c r="Y75" s="185"/>
      <c r="Z75" s="185"/>
    </row>
    <row r="76" ht="19.5" customHeight="1">
      <c r="A76" s="176" t="s">
        <v>1</v>
      </c>
      <c r="B76" s="99" t="s">
        <v>644</v>
      </c>
      <c r="C76" s="99" t="s">
        <v>645</v>
      </c>
      <c r="D76" s="177" t="s">
        <v>646</v>
      </c>
      <c r="E76" s="51" t="s">
        <v>647</v>
      </c>
      <c r="F76" s="52" t="s">
        <v>648</v>
      </c>
      <c r="G76" s="52" t="s">
        <v>649</v>
      </c>
      <c r="H76" s="178" t="s">
        <v>650</v>
      </c>
      <c r="I76" s="178" t="s">
        <v>651</v>
      </c>
      <c r="J76" s="177" t="s">
        <v>652</v>
      </c>
      <c r="K76" s="179" t="s">
        <v>653</v>
      </c>
      <c r="L76" s="185"/>
      <c r="M76" s="185"/>
      <c r="N76" s="185"/>
      <c r="O76" s="185"/>
      <c r="P76" s="185"/>
      <c r="Q76" s="185"/>
      <c r="R76" s="185"/>
      <c r="S76" s="185"/>
      <c r="T76" s="185"/>
      <c r="U76" s="185"/>
      <c r="V76" s="185"/>
      <c r="W76" s="185"/>
      <c r="X76" s="185"/>
      <c r="Y76" s="185"/>
      <c r="Z76" s="185"/>
    </row>
    <row r="77" ht="19.5" customHeight="1">
      <c r="A77" s="186"/>
      <c r="B77" s="191" t="s">
        <v>664</v>
      </c>
      <c r="C77" s="67">
        <v>18.0</v>
      </c>
      <c r="D77" s="67">
        <v>0.8</v>
      </c>
      <c r="E77" s="67">
        <v>0.35</v>
      </c>
      <c r="F77" s="67">
        <v>1.5</v>
      </c>
      <c r="G77" s="67"/>
      <c r="H77" s="182"/>
      <c r="I77" s="182"/>
      <c r="J77" s="182">
        <f t="shared" ref="J77:J84" si="8">C77*((D77+E77)*2)*F77</f>
        <v>62.1</v>
      </c>
      <c r="K77" s="182">
        <f t="shared" ref="K77:K84" si="9">C77*((D77+E77)*2)*F77</f>
        <v>62.1</v>
      </c>
      <c r="L77" s="185"/>
      <c r="M77" s="185"/>
      <c r="N77" s="185"/>
      <c r="O77" s="185"/>
      <c r="P77" s="185"/>
      <c r="Q77" s="185"/>
      <c r="R77" s="185"/>
      <c r="S77" s="185"/>
      <c r="T77" s="185"/>
      <c r="U77" s="185"/>
      <c r="V77" s="185"/>
      <c r="W77" s="185"/>
      <c r="X77" s="185"/>
      <c r="Y77" s="185"/>
      <c r="Z77" s="185"/>
    </row>
    <row r="78" ht="19.5" customHeight="1">
      <c r="A78" s="186"/>
      <c r="B78" s="191" t="s">
        <v>665</v>
      </c>
      <c r="C78" s="67">
        <v>4.0</v>
      </c>
      <c r="D78" s="189">
        <v>0.3</v>
      </c>
      <c r="E78" s="67">
        <v>0.18</v>
      </c>
      <c r="F78" s="67">
        <v>1.5</v>
      </c>
      <c r="G78" s="67"/>
      <c r="H78" s="182"/>
      <c r="I78" s="182"/>
      <c r="J78" s="182">
        <f t="shared" si="8"/>
        <v>5.76</v>
      </c>
      <c r="K78" s="182">
        <f t="shared" si="9"/>
        <v>5.76</v>
      </c>
      <c r="L78" s="185"/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5"/>
    </row>
    <row r="79" ht="19.5" customHeight="1">
      <c r="A79" s="186"/>
      <c r="B79" s="191" t="s">
        <v>666</v>
      </c>
      <c r="C79" s="67">
        <v>22.0</v>
      </c>
      <c r="D79" s="189">
        <v>0.2</v>
      </c>
      <c r="E79" s="67">
        <v>0.2</v>
      </c>
      <c r="F79" s="67">
        <v>1.5</v>
      </c>
      <c r="G79" s="67"/>
      <c r="H79" s="182"/>
      <c r="I79" s="182"/>
      <c r="J79" s="182">
        <f t="shared" si="8"/>
        <v>26.4</v>
      </c>
      <c r="K79" s="182">
        <f t="shared" si="9"/>
        <v>26.4</v>
      </c>
      <c r="L79" s="185"/>
      <c r="M79" s="185"/>
      <c r="N79" s="185"/>
      <c r="O79" s="185"/>
      <c r="P79" s="185"/>
      <c r="Q79" s="185"/>
      <c r="R79" s="185"/>
      <c r="S79" s="185"/>
      <c r="T79" s="185"/>
      <c r="U79" s="185"/>
      <c r="V79" s="185"/>
      <c r="W79" s="185"/>
      <c r="X79" s="185"/>
      <c r="Y79" s="185"/>
      <c r="Z79" s="185"/>
    </row>
    <row r="80" ht="19.5" customHeight="1">
      <c r="A80" s="186"/>
      <c r="B80" s="191" t="s">
        <v>667</v>
      </c>
      <c r="C80" s="67">
        <v>4.0</v>
      </c>
      <c r="D80" s="189">
        <v>0.2</v>
      </c>
      <c r="E80" s="67">
        <v>0.3</v>
      </c>
      <c r="F80" s="67">
        <v>1.5</v>
      </c>
      <c r="G80" s="67"/>
      <c r="H80" s="182"/>
      <c r="I80" s="182"/>
      <c r="J80" s="182">
        <f t="shared" si="8"/>
        <v>6</v>
      </c>
      <c r="K80" s="182">
        <f t="shared" si="9"/>
        <v>6</v>
      </c>
      <c r="L80" s="185"/>
      <c r="M80" s="185"/>
      <c r="N80" s="185"/>
      <c r="O80" s="185"/>
      <c r="P80" s="185"/>
      <c r="Q80" s="185"/>
      <c r="R80" s="185"/>
      <c r="S80" s="185"/>
      <c r="T80" s="185"/>
      <c r="U80" s="185"/>
      <c r="V80" s="185"/>
      <c r="W80" s="185"/>
      <c r="X80" s="185"/>
      <c r="Y80" s="185"/>
      <c r="Z80" s="185"/>
    </row>
    <row r="81" ht="19.5" customHeight="1">
      <c r="A81" s="186"/>
      <c r="B81" s="191" t="s">
        <v>668</v>
      </c>
      <c r="C81" s="67">
        <v>24.0</v>
      </c>
      <c r="D81" s="189">
        <v>0.2</v>
      </c>
      <c r="E81" s="67">
        <v>0.4</v>
      </c>
      <c r="F81" s="67">
        <v>1.5</v>
      </c>
      <c r="G81" s="67"/>
      <c r="H81" s="182"/>
      <c r="I81" s="182"/>
      <c r="J81" s="182">
        <f t="shared" si="8"/>
        <v>43.2</v>
      </c>
      <c r="K81" s="182">
        <f t="shared" si="9"/>
        <v>43.2</v>
      </c>
      <c r="L81" s="185"/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  <c r="X81" s="185"/>
      <c r="Y81" s="185"/>
      <c r="Z81" s="185"/>
    </row>
    <row r="82" ht="19.5" customHeight="1">
      <c r="A82" s="186"/>
      <c r="B82" s="191" t="s">
        <v>669</v>
      </c>
      <c r="C82" s="67">
        <v>16.0</v>
      </c>
      <c r="D82" s="189">
        <v>0.25</v>
      </c>
      <c r="E82" s="67">
        <v>0.5</v>
      </c>
      <c r="F82" s="67">
        <v>1.5</v>
      </c>
      <c r="G82" s="67"/>
      <c r="H82" s="182"/>
      <c r="I82" s="182"/>
      <c r="J82" s="182">
        <f t="shared" si="8"/>
        <v>36</v>
      </c>
      <c r="K82" s="182">
        <f t="shared" si="9"/>
        <v>36</v>
      </c>
      <c r="L82" s="185"/>
      <c r="M82" s="185"/>
      <c r="N82" s="185"/>
      <c r="O82" s="185"/>
      <c r="P82" s="185"/>
      <c r="Q82" s="185"/>
      <c r="R82" s="185"/>
      <c r="S82" s="185"/>
      <c r="T82" s="185"/>
      <c r="U82" s="185"/>
      <c r="V82" s="185"/>
      <c r="W82" s="185"/>
      <c r="X82" s="185"/>
      <c r="Y82" s="185"/>
      <c r="Z82" s="185"/>
    </row>
    <row r="83" ht="19.5" customHeight="1">
      <c r="A83" s="186"/>
      <c r="B83" s="191" t="s">
        <v>670</v>
      </c>
      <c r="C83" s="67">
        <v>3.0</v>
      </c>
      <c r="D83" s="189">
        <v>0.25</v>
      </c>
      <c r="E83" s="67">
        <v>0.35</v>
      </c>
      <c r="F83" s="67">
        <v>1.5</v>
      </c>
      <c r="G83" s="67"/>
      <c r="H83" s="182"/>
      <c r="I83" s="182"/>
      <c r="J83" s="182">
        <f t="shared" si="8"/>
        <v>5.4</v>
      </c>
      <c r="K83" s="182">
        <f t="shared" si="9"/>
        <v>5.4</v>
      </c>
      <c r="L83" s="185"/>
      <c r="M83" s="185"/>
      <c r="N83" s="185"/>
      <c r="O83" s="185"/>
      <c r="P83" s="185"/>
      <c r="Q83" s="185"/>
      <c r="R83" s="185"/>
      <c r="S83" s="185"/>
      <c r="T83" s="185"/>
      <c r="U83" s="185"/>
      <c r="V83" s="185"/>
      <c r="W83" s="185"/>
      <c r="X83" s="185"/>
      <c r="Y83" s="185"/>
      <c r="Z83" s="185"/>
    </row>
    <row r="84" ht="19.5" customHeight="1">
      <c r="A84" s="186"/>
      <c r="B84" s="191" t="s">
        <v>671</v>
      </c>
      <c r="C84" s="67">
        <v>22.0</v>
      </c>
      <c r="D84" s="189">
        <v>0.25</v>
      </c>
      <c r="E84" s="67">
        <v>0.25</v>
      </c>
      <c r="F84" s="67">
        <v>1.5</v>
      </c>
      <c r="G84" s="67"/>
      <c r="H84" s="182"/>
      <c r="I84" s="182"/>
      <c r="J84" s="182">
        <f t="shared" si="8"/>
        <v>33</v>
      </c>
      <c r="K84" s="182">
        <f t="shared" si="9"/>
        <v>33</v>
      </c>
      <c r="L84" s="185"/>
      <c r="M84" s="185"/>
      <c r="N84" s="185"/>
      <c r="O84" s="185"/>
      <c r="P84" s="185"/>
      <c r="Q84" s="185"/>
      <c r="R84" s="185"/>
      <c r="S84" s="185"/>
      <c r="T84" s="185"/>
      <c r="U84" s="185"/>
      <c r="V84" s="185"/>
      <c r="W84" s="185"/>
      <c r="X84" s="185"/>
      <c r="Y84" s="185"/>
      <c r="Z84" s="185"/>
    </row>
    <row r="85" ht="19.5" customHeight="1">
      <c r="A85" s="186"/>
      <c r="B85" s="67"/>
      <c r="C85" s="187"/>
      <c r="D85" s="192"/>
      <c r="E85" s="67"/>
      <c r="F85" s="67"/>
      <c r="G85" s="67"/>
      <c r="H85" s="193"/>
      <c r="I85" s="193"/>
      <c r="J85" s="188"/>
      <c r="K85" s="188"/>
      <c r="L85" s="185"/>
      <c r="M85" s="185"/>
      <c r="N85" s="185"/>
      <c r="O85" s="185"/>
      <c r="P85" s="185"/>
      <c r="Q85" s="185"/>
      <c r="R85" s="185"/>
      <c r="S85" s="185"/>
      <c r="T85" s="185"/>
      <c r="U85" s="185"/>
      <c r="V85" s="185"/>
      <c r="W85" s="185"/>
      <c r="X85" s="185"/>
      <c r="Y85" s="185"/>
      <c r="Z85" s="185"/>
    </row>
    <row r="86" ht="19.5" customHeight="1">
      <c r="A86" s="144">
        <v>39848.0</v>
      </c>
      <c r="B86" s="67" t="s">
        <v>672</v>
      </c>
      <c r="C86" s="83" t="s">
        <v>103</v>
      </c>
      <c r="D86" s="132">
        <f>SUM(K11:K84)</f>
        <v>794.7178</v>
      </c>
      <c r="E86" s="102"/>
      <c r="F86" s="103"/>
      <c r="G86" s="103"/>
      <c r="H86" s="108"/>
      <c r="I86" s="108"/>
      <c r="J86" s="140"/>
      <c r="K86" s="106"/>
    </row>
    <row r="87" ht="19.5" customHeight="1">
      <c r="A87" s="144">
        <v>39451.0</v>
      </c>
      <c r="B87" s="194" t="s">
        <v>673</v>
      </c>
      <c r="C87" s="83" t="s">
        <v>103</v>
      </c>
      <c r="D87" s="132">
        <f>SUM(I11:I75)</f>
        <v>195.7415</v>
      </c>
      <c r="E87" s="102"/>
      <c r="F87" s="103"/>
      <c r="G87" s="103"/>
      <c r="H87" s="108"/>
      <c r="I87" s="108"/>
      <c r="J87" s="140"/>
      <c r="K87" s="106"/>
    </row>
    <row r="88" ht="19.5" customHeight="1">
      <c r="A88" s="144">
        <v>36895.0</v>
      </c>
      <c r="B88" s="194" t="s">
        <v>674</v>
      </c>
      <c r="C88" s="83" t="s">
        <v>148</v>
      </c>
      <c r="D88" s="132">
        <f>SUM(H11:H65)</f>
        <v>150.81855</v>
      </c>
      <c r="E88" s="102"/>
      <c r="F88" s="103"/>
      <c r="G88" s="103"/>
      <c r="H88" s="108"/>
      <c r="I88" s="108"/>
      <c r="J88" s="140"/>
      <c r="K88" s="106"/>
    </row>
    <row r="89" ht="19.5" customHeight="1">
      <c r="A89" s="144">
        <v>37260.0</v>
      </c>
      <c r="B89" s="194" t="s">
        <v>675</v>
      </c>
      <c r="C89" s="83" t="s">
        <v>148</v>
      </c>
      <c r="D89" s="132">
        <f>SUM(H67:H76)</f>
        <v>362.5295</v>
      </c>
      <c r="E89" s="102"/>
      <c r="F89" s="103"/>
      <c r="G89" s="103"/>
      <c r="H89" s="108"/>
      <c r="I89" s="108"/>
      <c r="J89" s="140"/>
      <c r="K89" s="106"/>
    </row>
    <row r="90" ht="19.5" customHeight="1">
      <c r="A90" s="144">
        <v>37625.0</v>
      </c>
      <c r="B90" s="194" t="s">
        <v>676</v>
      </c>
      <c r="C90" s="83" t="s">
        <v>148</v>
      </c>
      <c r="D90" s="132">
        <f>D87*0.05</f>
        <v>9.787075</v>
      </c>
      <c r="E90" s="102"/>
      <c r="F90" s="103"/>
      <c r="G90" s="103"/>
      <c r="H90" s="108"/>
      <c r="I90" s="108"/>
      <c r="J90" s="140"/>
      <c r="K90" s="106"/>
    </row>
    <row r="91" ht="19.5" customHeight="1">
      <c r="A91" s="144">
        <v>36926.0</v>
      </c>
      <c r="B91" s="194" t="s">
        <v>677</v>
      </c>
      <c r="C91" s="83" t="s">
        <v>103</v>
      </c>
      <c r="D91" s="132">
        <f>188.34+233.69+122.02</f>
        <v>544.05</v>
      </c>
      <c r="E91" s="102"/>
      <c r="F91" s="103"/>
      <c r="G91" s="103"/>
      <c r="H91" s="108"/>
      <c r="I91" s="108"/>
      <c r="J91" s="140"/>
      <c r="K91" s="106"/>
    </row>
    <row r="92" ht="19.5" customHeight="1">
      <c r="A92" s="144">
        <v>38387.0</v>
      </c>
      <c r="B92" s="195" t="s">
        <v>678</v>
      </c>
      <c r="C92" s="83" t="s">
        <v>148</v>
      </c>
      <c r="D92" s="132">
        <f>11.68+14.68+7.83</f>
        <v>34.19</v>
      </c>
      <c r="E92" s="102"/>
      <c r="F92" s="103"/>
      <c r="G92" s="103"/>
      <c r="H92" s="108"/>
      <c r="I92" s="108"/>
      <c r="J92" s="140"/>
      <c r="K92" s="106"/>
    </row>
    <row r="93" ht="19.5" customHeight="1">
      <c r="A93" s="144">
        <v>40578.0</v>
      </c>
      <c r="B93" s="195" t="s">
        <v>679</v>
      </c>
      <c r="C93" s="83" t="s">
        <v>103</v>
      </c>
      <c r="D93" s="132">
        <f>J77</f>
        <v>62.1</v>
      </c>
      <c r="E93" s="102"/>
      <c r="F93" s="103"/>
      <c r="G93" s="103"/>
      <c r="H93" s="108"/>
      <c r="I93" s="108"/>
      <c r="J93" s="140"/>
      <c r="K93" s="106"/>
    </row>
    <row r="94" ht="19.5" customHeight="1">
      <c r="A94" s="144">
        <v>38387.0</v>
      </c>
      <c r="B94" s="195" t="s">
        <v>680</v>
      </c>
      <c r="C94" s="83" t="s">
        <v>148</v>
      </c>
      <c r="D94" s="196">
        <f>SUM(G77:G84)</f>
        <v>0</v>
      </c>
      <c r="E94" s="197"/>
      <c r="F94" s="198"/>
      <c r="G94" s="198"/>
      <c r="H94" s="199"/>
      <c r="I94" s="199"/>
      <c r="J94" s="200"/>
      <c r="K94" s="201"/>
      <c r="L94" s="185"/>
      <c r="M94" s="185"/>
      <c r="N94" s="185"/>
      <c r="O94" s="185"/>
      <c r="P94" s="185"/>
      <c r="Q94" s="185"/>
      <c r="R94" s="185"/>
      <c r="S94" s="185"/>
      <c r="T94" s="185"/>
      <c r="U94" s="185"/>
      <c r="V94" s="185"/>
      <c r="W94" s="185"/>
      <c r="X94" s="185"/>
      <c r="Y94" s="185"/>
      <c r="Z94" s="185"/>
    </row>
    <row r="95" ht="19.5" customHeight="1">
      <c r="A95" s="144">
        <v>37291.0</v>
      </c>
      <c r="B95" s="195" t="s">
        <v>681</v>
      </c>
      <c r="C95" s="83" t="s">
        <v>103</v>
      </c>
      <c r="D95" s="196">
        <f>56.39+79.2+57.6+38.9+4.2</f>
        <v>236.29</v>
      </c>
      <c r="E95" s="197"/>
      <c r="F95" s="198"/>
      <c r="G95" s="198"/>
      <c r="H95" s="199"/>
      <c r="I95" s="199"/>
      <c r="J95" s="200"/>
      <c r="K95" s="201"/>
      <c r="L95" s="185"/>
      <c r="M95" s="185"/>
      <c r="N95" s="185"/>
      <c r="O95" s="185"/>
      <c r="P95" s="185"/>
      <c r="Q95" s="185"/>
      <c r="R95" s="185"/>
      <c r="S95" s="185"/>
      <c r="T95" s="185"/>
      <c r="U95" s="185"/>
      <c r="V95" s="185"/>
      <c r="W95" s="185"/>
      <c r="X95" s="185"/>
      <c r="Y95" s="185"/>
      <c r="Z95" s="185"/>
    </row>
    <row r="96" ht="19.5" customHeight="1">
      <c r="A96" s="144">
        <v>38387.0</v>
      </c>
      <c r="B96" s="195" t="s">
        <v>682</v>
      </c>
      <c r="C96" s="83" t="s">
        <v>148</v>
      </c>
      <c r="D96" s="196">
        <f>18.81+16.16+18.35+8.9+0.87</f>
        <v>63.09</v>
      </c>
      <c r="E96" s="197"/>
      <c r="F96" s="198"/>
      <c r="G96" s="198"/>
      <c r="H96" s="199"/>
      <c r="I96" s="199"/>
      <c r="J96" s="200"/>
      <c r="K96" s="201"/>
      <c r="L96" s="185"/>
      <c r="M96" s="185"/>
      <c r="N96" s="185"/>
      <c r="O96" s="185"/>
      <c r="P96" s="185"/>
      <c r="Q96" s="185"/>
      <c r="R96" s="185"/>
      <c r="S96" s="185"/>
      <c r="T96" s="185"/>
      <c r="U96" s="185"/>
      <c r="V96" s="185"/>
      <c r="W96" s="185"/>
      <c r="X96" s="185"/>
      <c r="Y96" s="185"/>
      <c r="Z96" s="185"/>
    </row>
    <row r="97" ht="19.5" customHeight="1">
      <c r="A97" s="202"/>
      <c r="B97" s="195"/>
      <c r="C97" s="203"/>
      <c r="D97" s="196"/>
      <c r="E97" s="204"/>
      <c r="F97" s="205"/>
      <c r="G97" s="205"/>
      <c r="H97" s="206"/>
      <c r="I97" s="206"/>
      <c r="J97" s="196"/>
      <c r="K97" s="203"/>
      <c r="L97" s="185"/>
      <c r="M97" s="185"/>
      <c r="N97" s="185"/>
      <c r="O97" s="185"/>
      <c r="P97" s="185"/>
      <c r="Q97" s="185"/>
      <c r="R97" s="185"/>
      <c r="S97" s="185"/>
      <c r="T97" s="185"/>
      <c r="U97" s="185"/>
      <c r="V97" s="185"/>
      <c r="W97" s="185"/>
      <c r="X97" s="185"/>
      <c r="Y97" s="185"/>
      <c r="Z97" s="185"/>
    </row>
    <row r="98" ht="19.5" customHeight="1">
      <c r="A98" s="186"/>
      <c r="B98" s="194"/>
      <c r="C98" s="67" t="s">
        <v>683</v>
      </c>
      <c r="D98" s="189" t="s">
        <v>108</v>
      </c>
      <c r="E98" s="67" t="s">
        <v>684</v>
      </c>
      <c r="F98" s="207" t="s">
        <v>158</v>
      </c>
      <c r="G98" s="205"/>
      <c r="H98" s="206"/>
      <c r="I98" s="206"/>
      <c r="J98" s="196"/>
      <c r="K98" s="203"/>
      <c r="L98" s="185"/>
      <c r="M98" s="185"/>
      <c r="N98" s="185"/>
      <c r="O98" s="185"/>
      <c r="P98" s="185"/>
      <c r="Q98" s="185"/>
      <c r="R98" s="185"/>
      <c r="S98" s="185"/>
      <c r="T98" s="185"/>
      <c r="U98" s="185"/>
      <c r="V98" s="185"/>
      <c r="W98" s="185"/>
      <c r="X98" s="185"/>
      <c r="Y98" s="185"/>
      <c r="Z98" s="185"/>
    </row>
    <row r="99" ht="19.5" customHeight="1">
      <c r="A99" s="144"/>
      <c r="B99" s="194" t="s">
        <v>685</v>
      </c>
      <c r="C99" s="67" t="s">
        <v>686</v>
      </c>
      <c r="D99" s="189">
        <f>710+1006+559</f>
        <v>2275</v>
      </c>
      <c r="E99" s="67">
        <v>0.154</v>
      </c>
      <c r="F99" s="205">
        <f t="shared" ref="F99:F117" si="10">D99*E99</f>
        <v>350.35</v>
      </c>
      <c r="G99" s="205"/>
      <c r="H99" s="206"/>
      <c r="I99" s="206"/>
      <c r="J99" s="196"/>
      <c r="K99" s="203"/>
      <c r="L99" s="185"/>
      <c r="M99" s="185"/>
      <c r="N99" s="185"/>
      <c r="O99" s="185"/>
      <c r="P99" s="185"/>
      <c r="Q99" s="185"/>
      <c r="R99" s="185"/>
      <c r="S99" s="185"/>
      <c r="T99" s="185"/>
      <c r="U99" s="185"/>
      <c r="V99" s="185"/>
      <c r="W99" s="185"/>
      <c r="X99" s="185"/>
      <c r="Y99" s="185"/>
      <c r="Z99" s="185"/>
    </row>
    <row r="100" ht="19.5" customHeight="1">
      <c r="A100" s="186"/>
      <c r="B100" s="194"/>
      <c r="C100" s="208">
        <v>45357.0</v>
      </c>
      <c r="D100" s="189">
        <v>63.2</v>
      </c>
      <c r="E100" s="67">
        <v>0.245</v>
      </c>
      <c r="F100" s="205">
        <f t="shared" si="10"/>
        <v>15.484</v>
      </c>
      <c r="G100" s="205"/>
      <c r="H100" s="206"/>
      <c r="I100" s="206"/>
      <c r="J100" s="196"/>
      <c r="K100" s="203"/>
      <c r="L100" s="185"/>
      <c r="M100" s="185"/>
      <c r="N100" s="185"/>
      <c r="O100" s="185"/>
      <c r="P100" s="185"/>
      <c r="Q100" s="185"/>
      <c r="R100" s="185"/>
      <c r="S100" s="185"/>
      <c r="T100" s="185"/>
      <c r="U100" s="185"/>
      <c r="V100" s="185"/>
      <c r="W100" s="185"/>
      <c r="X100" s="185"/>
      <c r="Y100" s="185"/>
      <c r="Z100" s="185"/>
    </row>
    <row r="101" ht="19.5" customHeight="1">
      <c r="A101" s="186"/>
      <c r="B101" s="194"/>
      <c r="C101" s="209">
        <v>8.0</v>
      </c>
      <c r="D101" s="189">
        <f>883.8+907.1+501.1</f>
        <v>2292</v>
      </c>
      <c r="E101" s="67">
        <v>0.395</v>
      </c>
      <c r="F101" s="205">
        <f t="shared" si="10"/>
        <v>905.34</v>
      </c>
      <c r="G101" s="205"/>
      <c r="H101" s="206"/>
      <c r="I101" s="206"/>
      <c r="J101" s="196"/>
      <c r="K101" s="203"/>
      <c r="L101" s="185"/>
      <c r="M101" s="185"/>
      <c r="N101" s="185"/>
      <c r="O101" s="185"/>
      <c r="P101" s="185"/>
      <c r="Q101" s="185"/>
      <c r="R101" s="185"/>
      <c r="S101" s="185"/>
      <c r="T101" s="185"/>
      <c r="U101" s="185"/>
      <c r="V101" s="185"/>
      <c r="W101" s="185"/>
      <c r="X101" s="185"/>
      <c r="Y101" s="185"/>
      <c r="Z101" s="185"/>
    </row>
    <row r="102" ht="19.5" customHeight="1">
      <c r="A102" s="186"/>
      <c r="B102" s="194">
        <v>92427.0</v>
      </c>
      <c r="C102" s="209">
        <v>10.0</v>
      </c>
      <c r="D102" s="189">
        <f>236+107</f>
        <v>343</v>
      </c>
      <c r="E102" s="67">
        <v>0.617</v>
      </c>
      <c r="F102" s="205">
        <f t="shared" si="10"/>
        <v>211.631</v>
      </c>
      <c r="G102" s="205"/>
      <c r="H102" s="206"/>
      <c r="I102" s="206"/>
      <c r="J102" s="196"/>
      <c r="K102" s="203"/>
      <c r="L102" s="185"/>
      <c r="M102" s="185"/>
      <c r="N102" s="185"/>
      <c r="O102" s="185"/>
      <c r="P102" s="185"/>
      <c r="Q102" s="185"/>
      <c r="R102" s="185"/>
      <c r="S102" s="185"/>
      <c r="T102" s="185"/>
      <c r="U102" s="185"/>
      <c r="V102" s="185"/>
      <c r="W102" s="185"/>
      <c r="X102" s="185"/>
      <c r="Y102" s="185"/>
      <c r="Z102" s="185"/>
    </row>
    <row r="103" ht="19.5" customHeight="1">
      <c r="A103" s="186"/>
      <c r="B103" s="194"/>
      <c r="C103" s="208">
        <v>45424.0</v>
      </c>
      <c r="D103" s="189">
        <f>16+22.2</f>
        <v>38.2</v>
      </c>
      <c r="E103" s="67">
        <v>0.963</v>
      </c>
      <c r="F103" s="205">
        <f t="shared" si="10"/>
        <v>36.7866</v>
      </c>
      <c r="G103" s="205"/>
      <c r="H103" s="206"/>
      <c r="I103" s="206"/>
      <c r="J103" s="196"/>
      <c r="K103" s="203"/>
      <c r="L103" s="185"/>
      <c r="M103" s="185"/>
      <c r="N103" s="185"/>
      <c r="O103" s="185"/>
      <c r="P103" s="185"/>
      <c r="Q103" s="185"/>
      <c r="R103" s="185"/>
      <c r="S103" s="185"/>
      <c r="T103" s="185"/>
      <c r="U103" s="185"/>
      <c r="V103" s="185"/>
      <c r="W103" s="185"/>
      <c r="X103" s="185"/>
      <c r="Y103" s="185"/>
      <c r="Z103" s="185"/>
    </row>
    <row r="104" ht="19.5" customHeight="1">
      <c r="A104" s="202"/>
      <c r="B104" s="195"/>
      <c r="C104" s="203"/>
      <c r="D104" s="196"/>
      <c r="E104" s="204"/>
      <c r="F104" s="205">
        <f t="shared" si="10"/>
        <v>0</v>
      </c>
      <c r="G104" s="205"/>
      <c r="H104" s="206"/>
      <c r="I104" s="206"/>
      <c r="J104" s="196"/>
      <c r="K104" s="203"/>
      <c r="L104" s="185"/>
      <c r="M104" s="185"/>
      <c r="N104" s="185"/>
      <c r="O104" s="185"/>
      <c r="P104" s="185"/>
      <c r="Q104" s="185"/>
      <c r="R104" s="185"/>
      <c r="S104" s="185"/>
      <c r="T104" s="185"/>
      <c r="U104" s="185"/>
      <c r="V104" s="185"/>
      <c r="W104" s="185"/>
      <c r="X104" s="185"/>
      <c r="Y104" s="185"/>
      <c r="Z104" s="185"/>
    </row>
    <row r="105" ht="19.5" customHeight="1">
      <c r="A105" s="144"/>
      <c r="B105" s="194" t="s">
        <v>687</v>
      </c>
      <c r="C105" s="67" t="s">
        <v>686</v>
      </c>
      <c r="D105" s="189">
        <f>1203.5+561.7</f>
        <v>1765.2</v>
      </c>
      <c r="E105" s="67">
        <v>0.154</v>
      </c>
      <c r="F105" s="205">
        <f t="shared" si="10"/>
        <v>271.8408</v>
      </c>
      <c r="G105" s="205"/>
      <c r="H105" s="206"/>
      <c r="I105" s="206"/>
      <c r="J105" s="196"/>
      <c r="K105" s="203"/>
      <c r="L105" s="185"/>
      <c r="M105" s="185"/>
      <c r="N105" s="185"/>
      <c r="O105" s="185"/>
      <c r="P105" s="185"/>
      <c r="Q105" s="185"/>
      <c r="R105" s="185"/>
      <c r="S105" s="185"/>
      <c r="T105" s="185"/>
      <c r="U105" s="185"/>
      <c r="V105" s="185"/>
      <c r="W105" s="185"/>
      <c r="X105" s="185"/>
      <c r="Y105" s="185"/>
      <c r="Z105" s="185"/>
    </row>
    <row r="106" ht="19.5" customHeight="1">
      <c r="A106" s="186"/>
      <c r="B106" s="194"/>
      <c r="C106" s="209">
        <v>8.0</v>
      </c>
      <c r="D106" s="189">
        <f>1962.4+680.7</f>
        <v>2643.1</v>
      </c>
      <c r="E106" s="67">
        <v>0.395</v>
      </c>
      <c r="F106" s="205">
        <f t="shared" si="10"/>
        <v>1044.0245</v>
      </c>
      <c r="G106" s="205"/>
      <c r="H106" s="206"/>
      <c r="I106" s="206"/>
      <c r="J106" s="196"/>
      <c r="K106" s="203"/>
      <c r="L106" s="185"/>
      <c r="M106" s="185"/>
      <c r="N106" s="185"/>
      <c r="O106" s="185"/>
      <c r="P106" s="185"/>
      <c r="Q106" s="185"/>
      <c r="R106" s="185"/>
      <c r="S106" s="185"/>
      <c r="T106" s="185"/>
      <c r="U106" s="185"/>
      <c r="V106" s="185"/>
      <c r="W106" s="185"/>
      <c r="X106" s="185"/>
      <c r="Y106" s="185"/>
      <c r="Z106" s="185"/>
    </row>
    <row r="107" ht="19.5" customHeight="1">
      <c r="A107" s="186"/>
      <c r="B107" s="194"/>
      <c r="C107" s="209">
        <v>10.0</v>
      </c>
      <c r="D107" s="189">
        <f>664.1+374.5</f>
        <v>1038.6</v>
      </c>
      <c r="E107" s="67">
        <v>0.617</v>
      </c>
      <c r="F107" s="205">
        <f t="shared" si="10"/>
        <v>640.8162</v>
      </c>
      <c r="G107" s="205"/>
      <c r="H107" s="206"/>
      <c r="I107" s="206"/>
      <c r="J107" s="196"/>
      <c r="K107" s="203"/>
      <c r="L107" s="185"/>
      <c r="M107" s="185"/>
      <c r="N107" s="185"/>
      <c r="O107" s="185"/>
      <c r="P107" s="185"/>
      <c r="Q107" s="185"/>
      <c r="R107" s="185"/>
      <c r="S107" s="185"/>
      <c r="T107" s="185"/>
      <c r="U107" s="185"/>
      <c r="V107" s="185"/>
      <c r="W107" s="185"/>
      <c r="X107" s="185"/>
      <c r="Y107" s="185"/>
      <c r="Z107" s="185"/>
    </row>
    <row r="108" ht="19.5" customHeight="1">
      <c r="A108" s="186"/>
      <c r="B108" s="194"/>
      <c r="C108" s="208">
        <v>45424.0</v>
      </c>
      <c r="D108" s="189">
        <v>43.1</v>
      </c>
      <c r="E108" s="67">
        <v>0.963</v>
      </c>
      <c r="F108" s="205">
        <f t="shared" si="10"/>
        <v>41.5053</v>
      </c>
      <c r="G108" s="205"/>
      <c r="H108" s="206"/>
      <c r="I108" s="206"/>
      <c r="J108" s="196"/>
      <c r="K108" s="203"/>
      <c r="L108" s="185"/>
      <c r="M108" s="185"/>
      <c r="N108" s="185"/>
      <c r="O108" s="185"/>
      <c r="P108" s="185"/>
      <c r="Q108" s="185"/>
      <c r="R108" s="185"/>
      <c r="S108" s="185"/>
      <c r="T108" s="185"/>
      <c r="U108" s="185"/>
      <c r="V108" s="185"/>
      <c r="W108" s="185"/>
      <c r="X108" s="185"/>
      <c r="Y108" s="185"/>
      <c r="Z108" s="185"/>
    </row>
    <row r="109" ht="19.5" customHeight="1">
      <c r="A109" s="186"/>
      <c r="B109" s="190"/>
      <c r="C109" s="210" t="s">
        <v>688</v>
      </c>
      <c r="D109" s="192">
        <f>236.1+13.3</f>
        <v>249.4</v>
      </c>
      <c r="E109" s="67">
        <v>1.578</v>
      </c>
      <c r="F109" s="205">
        <f t="shared" si="10"/>
        <v>393.5532</v>
      </c>
      <c r="G109" s="205"/>
      <c r="H109" s="206"/>
      <c r="I109" s="206"/>
      <c r="J109" s="196"/>
      <c r="K109" s="203"/>
      <c r="L109" s="185"/>
      <c r="M109" s="185"/>
      <c r="N109" s="185"/>
      <c r="O109" s="185"/>
      <c r="P109" s="185"/>
      <c r="Q109" s="185"/>
      <c r="R109" s="185"/>
      <c r="S109" s="185"/>
      <c r="T109" s="185"/>
      <c r="U109" s="185"/>
      <c r="V109" s="185"/>
      <c r="W109" s="185"/>
      <c r="X109" s="185"/>
      <c r="Y109" s="185"/>
      <c r="Z109" s="185"/>
    </row>
    <row r="110" ht="19.5" customHeight="1">
      <c r="A110" s="202"/>
      <c r="B110" s="195"/>
      <c r="C110" s="203"/>
      <c r="D110" s="196"/>
      <c r="E110" s="204"/>
      <c r="F110" s="205">
        <f t="shared" si="10"/>
        <v>0</v>
      </c>
      <c r="G110" s="205"/>
      <c r="H110" s="206"/>
      <c r="I110" s="206"/>
      <c r="J110" s="196"/>
      <c r="K110" s="203"/>
      <c r="L110" s="185"/>
      <c r="M110" s="185"/>
      <c r="N110" s="185"/>
      <c r="O110" s="185"/>
      <c r="P110" s="185"/>
      <c r="Q110" s="185"/>
      <c r="R110" s="185"/>
      <c r="S110" s="185"/>
      <c r="T110" s="185"/>
      <c r="U110" s="185"/>
      <c r="V110" s="185"/>
      <c r="W110" s="185"/>
      <c r="X110" s="185"/>
      <c r="Y110" s="185"/>
      <c r="Z110" s="185"/>
    </row>
    <row r="111" ht="19.5" customHeight="1">
      <c r="A111" s="144"/>
      <c r="B111" s="194" t="s">
        <v>689</v>
      </c>
      <c r="C111" s="67" t="s">
        <v>686</v>
      </c>
      <c r="D111" s="189">
        <f>223.7+259.9+298+123.1+13.5</f>
        <v>918.2</v>
      </c>
      <c r="E111" s="67">
        <v>0.154</v>
      </c>
      <c r="F111" s="205">
        <f t="shared" si="10"/>
        <v>141.4028</v>
      </c>
      <c r="G111" s="211" t="s">
        <v>690</v>
      </c>
      <c r="H111" s="206"/>
      <c r="I111" s="206"/>
      <c r="J111" s="196"/>
      <c r="K111" s="203"/>
      <c r="L111" s="185"/>
      <c r="M111" s="185"/>
      <c r="N111" s="185"/>
      <c r="O111" s="185"/>
      <c r="P111" s="185"/>
      <c r="Q111" s="185"/>
      <c r="R111" s="185"/>
      <c r="S111" s="185"/>
      <c r="T111" s="185"/>
      <c r="U111" s="185"/>
      <c r="V111" s="185"/>
      <c r="W111" s="185"/>
      <c r="X111" s="185"/>
      <c r="Y111" s="185"/>
      <c r="Z111" s="185"/>
    </row>
    <row r="112" ht="19.5" customHeight="1">
      <c r="A112" s="186"/>
      <c r="B112" s="194"/>
      <c r="C112" s="208">
        <v>45357.0</v>
      </c>
      <c r="D112" s="189">
        <f>1.8+4.9+24.2</f>
        <v>30.9</v>
      </c>
      <c r="E112" s="67">
        <v>0.245</v>
      </c>
      <c r="F112" s="205">
        <f t="shared" si="10"/>
        <v>7.5705</v>
      </c>
      <c r="G112" s="205"/>
      <c r="H112" s="206"/>
      <c r="I112" s="206"/>
      <c r="J112" s="196"/>
      <c r="K112" s="203"/>
      <c r="L112" s="185"/>
      <c r="M112" s="185"/>
      <c r="N112" s="185"/>
      <c r="O112" s="185"/>
      <c r="P112" s="185"/>
      <c r="Q112" s="185"/>
      <c r="R112" s="185"/>
      <c r="S112" s="185"/>
      <c r="T112" s="185"/>
      <c r="U112" s="185"/>
      <c r="V112" s="185"/>
      <c r="W112" s="185"/>
      <c r="X112" s="185"/>
      <c r="Y112" s="185"/>
      <c r="Z112" s="185"/>
    </row>
    <row r="113" ht="19.5" customHeight="1">
      <c r="A113" s="186"/>
      <c r="B113" s="194"/>
      <c r="C113" s="209">
        <v>8.0</v>
      </c>
      <c r="D113" s="189">
        <f>21.4+8</f>
        <v>29.4</v>
      </c>
      <c r="E113" s="67">
        <v>0.395</v>
      </c>
      <c r="F113" s="205">
        <f t="shared" si="10"/>
        <v>11.613</v>
      </c>
      <c r="G113" s="205"/>
      <c r="H113" s="206"/>
      <c r="I113" s="206"/>
      <c r="J113" s="196"/>
      <c r="K113" s="203"/>
      <c r="L113" s="185"/>
      <c r="M113" s="185"/>
      <c r="N113" s="185"/>
      <c r="O113" s="185"/>
      <c r="P113" s="185"/>
      <c r="Q113" s="185"/>
      <c r="R113" s="185"/>
      <c r="S113" s="185"/>
      <c r="T113" s="185"/>
      <c r="U113" s="185"/>
      <c r="V113" s="185"/>
      <c r="W113" s="185"/>
      <c r="X113" s="185"/>
      <c r="Y113" s="185"/>
      <c r="Z113" s="185"/>
    </row>
    <row r="114" ht="19.5" customHeight="1">
      <c r="A114" s="186"/>
      <c r="B114" s="194"/>
      <c r="C114" s="209">
        <v>10.0</v>
      </c>
      <c r="D114" s="189">
        <f>28.1+37.6+50.4</f>
        <v>116.1</v>
      </c>
      <c r="E114" s="67">
        <v>0.617</v>
      </c>
      <c r="F114" s="205">
        <f t="shared" si="10"/>
        <v>71.6337</v>
      </c>
      <c r="G114" s="205"/>
      <c r="H114" s="206"/>
      <c r="I114" s="206"/>
      <c r="J114" s="196"/>
      <c r="K114" s="203"/>
      <c r="L114" s="185"/>
      <c r="M114" s="185"/>
      <c r="N114" s="185"/>
      <c r="O114" s="185"/>
      <c r="P114" s="185"/>
      <c r="Q114" s="185"/>
      <c r="R114" s="185"/>
      <c r="S114" s="185"/>
      <c r="T114" s="185"/>
      <c r="U114" s="185"/>
      <c r="V114" s="185"/>
      <c r="W114" s="185"/>
      <c r="X114" s="185"/>
      <c r="Y114" s="185"/>
      <c r="Z114" s="185"/>
    </row>
    <row r="115" ht="19.5" customHeight="1">
      <c r="A115" s="186"/>
      <c r="B115" s="194"/>
      <c r="C115" s="208">
        <v>45424.0</v>
      </c>
      <c r="D115" s="189">
        <f>385.9+269.1+538.7+99.8+16.6</f>
        <v>1310.1</v>
      </c>
      <c r="E115" s="67">
        <v>0.963</v>
      </c>
      <c r="F115" s="205">
        <f t="shared" si="10"/>
        <v>1261.6263</v>
      </c>
      <c r="G115" s="205"/>
      <c r="H115" s="206"/>
      <c r="I115" s="206"/>
      <c r="J115" s="196"/>
      <c r="K115" s="203"/>
      <c r="L115" s="185"/>
      <c r="M115" s="185"/>
      <c r="N115" s="185"/>
      <c r="O115" s="185"/>
      <c r="P115" s="185"/>
      <c r="Q115" s="185"/>
      <c r="R115" s="185"/>
      <c r="S115" s="185"/>
      <c r="T115" s="185"/>
      <c r="U115" s="185"/>
      <c r="V115" s="185"/>
      <c r="W115" s="185"/>
      <c r="X115" s="185"/>
      <c r="Y115" s="185"/>
      <c r="Z115" s="185"/>
    </row>
    <row r="116" ht="19.5" customHeight="1">
      <c r="A116" s="186"/>
      <c r="B116" s="190"/>
      <c r="C116" s="210" t="s">
        <v>688</v>
      </c>
      <c r="D116" s="192">
        <f>102.9+39.5</f>
        <v>142.4</v>
      </c>
      <c r="E116" s="67">
        <v>1.578</v>
      </c>
      <c r="F116" s="205">
        <f t="shared" si="10"/>
        <v>224.7072</v>
      </c>
      <c r="G116" s="205"/>
      <c r="H116" s="206"/>
      <c r="I116" s="206"/>
      <c r="J116" s="196"/>
      <c r="K116" s="203"/>
      <c r="L116" s="185"/>
      <c r="M116" s="185"/>
      <c r="N116" s="185"/>
      <c r="O116" s="185"/>
      <c r="P116" s="185"/>
      <c r="Q116" s="185"/>
      <c r="R116" s="185"/>
      <c r="S116" s="185"/>
      <c r="T116" s="185"/>
      <c r="U116" s="185"/>
      <c r="V116" s="185"/>
      <c r="W116" s="185"/>
      <c r="X116" s="185"/>
      <c r="Y116" s="185"/>
      <c r="Z116" s="185"/>
    </row>
    <row r="117" ht="19.5" customHeight="1">
      <c r="A117" s="186"/>
      <c r="B117" s="190"/>
      <c r="C117" s="212"/>
      <c r="D117" s="192"/>
      <c r="E117" s="67"/>
      <c r="F117" s="205">
        <f t="shared" si="10"/>
        <v>0</v>
      </c>
      <c r="G117" s="205"/>
      <c r="H117" s="206"/>
      <c r="I117" s="206"/>
      <c r="J117" s="196"/>
      <c r="K117" s="203"/>
      <c r="L117" s="185"/>
      <c r="M117" s="185"/>
      <c r="N117" s="185"/>
      <c r="O117" s="185"/>
      <c r="P117" s="185"/>
      <c r="Q117" s="185"/>
      <c r="R117" s="185"/>
      <c r="S117" s="185"/>
      <c r="T117" s="185"/>
      <c r="U117" s="185"/>
      <c r="V117" s="185"/>
      <c r="W117" s="185"/>
      <c r="X117" s="185"/>
      <c r="Y117" s="185"/>
      <c r="Z117" s="185"/>
    </row>
    <row r="118" ht="19.5" customHeight="1">
      <c r="A118" s="186"/>
      <c r="B118" s="190"/>
      <c r="C118" s="210" t="s">
        <v>106</v>
      </c>
      <c r="D118" s="192" t="s">
        <v>691</v>
      </c>
      <c r="E118" s="67" t="s">
        <v>692</v>
      </c>
      <c r="F118" s="207" t="s">
        <v>693</v>
      </c>
      <c r="G118" s="205"/>
      <c r="H118" s="206"/>
      <c r="I118" s="206"/>
      <c r="J118" s="196"/>
      <c r="K118" s="203"/>
      <c r="L118" s="185"/>
      <c r="M118" s="185"/>
      <c r="N118" s="185"/>
      <c r="O118" s="185"/>
      <c r="P118" s="185"/>
      <c r="Q118" s="185"/>
      <c r="R118" s="185"/>
      <c r="S118" s="185"/>
      <c r="T118" s="185"/>
      <c r="U118" s="185"/>
      <c r="V118" s="185"/>
      <c r="W118" s="185"/>
      <c r="X118" s="185"/>
      <c r="Y118" s="185"/>
      <c r="Z118" s="185"/>
    </row>
    <row r="119" ht="19.5" customHeight="1">
      <c r="A119" s="213"/>
      <c r="B119" s="190" t="s">
        <v>694</v>
      </c>
      <c r="C119" s="210">
        <v>256.0</v>
      </c>
      <c r="D119" s="192">
        <v>0.3</v>
      </c>
      <c r="E119" s="67">
        <v>9.0</v>
      </c>
      <c r="F119" s="205">
        <f>C119*E119</f>
        <v>2304</v>
      </c>
      <c r="G119" s="205"/>
      <c r="H119" s="206"/>
      <c r="I119" s="206"/>
      <c r="J119" s="196"/>
      <c r="K119" s="203"/>
      <c r="L119" s="185"/>
      <c r="M119" s="185"/>
      <c r="N119" s="185"/>
      <c r="O119" s="185"/>
      <c r="P119" s="185"/>
      <c r="Q119" s="185"/>
      <c r="R119" s="185"/>
      <c r="S119" s="185"/>
      <c r="T119" s="185"/>
      <c r="U119" s="185"/>
      <c r="V119" s="185"/>
      <c r="W119" s="185"/>
      <c r="X119" s="185"/>
      <c r="Y119" s="185"/>
      <c r="Z119" s="185"/>
    </row>
    <row r="120" ht="19.5" customHeight="1">
      <c r="A120" s="186"/>
      <c r="B120" s="190"/>
      <c r="C120" s="210" t="s">
        <v>106</v>
      </c>
      <c r="D120" s="192" t="s">
        <v>695</v>
      </c>
      <c r="E120" s="67" t="s">
        <v>683</v>
      </c>
      <c r="F120" s="207" t="s">
        <v>696</v>
      </c>
      <c r="G120" s="67" t="s">
        <v>684</v>
      </c>
      <c r="H120" s="214" t="s">
        <v>697</v>
      </c>
      <c r="I120" s="206"/>
      <c r="J120" s="196"/>
      <c r="K120" s="203"/>
      <c r="L120" s="185"/>
      <c r="M120" s="185"/>
      <c r="N120" s="185"/>
      <c r="O120" s="185"/>
      <c r="P120" s="185"/>
      <c r="Q120" s="185"/>
      <c r="R120" s="185"/>
      <c r="S120" s="185"/>
      <c r="T120" s="185"/>
      <c r="U120" s="185"/>
      <c r="V120" s="185"/>
      <c r="W120" s="185"/>
      <c r="X120" s="185"/>
      <c r="Y120" s="185"/>
      <c r="Z120" s="185"/>
    </row>
    <row r="121" ht="19.5" customHeight="1">
      <c r="A121" s="213"/>
      <c r="B121" s="190" t="s">
        <v>698</v>
      </c>
      <c r="C121" s="210">
        <v>256.0</v>
      </c>
      <c r="D121" s="192">
        <v>29.0</v>
      </c>
      <c r="E121" s="67" t="s">
        <v>686</v>
      </c>
      <c r="F121" s="207">
        <v>0.75</v>
      </c>
      <c r="G121" s="67">
        <v>0.154</v>
      </c>
      <c r="H121" s="206">
        <f t="shared" ref="H121:H122" si="11">C121*D121*F121*G121</f>
        <v>857.472</v>
      </c>
      <c r="I121" s="206"/>
      <c r="J121" s="196"/>
      <c r="K121" s="203"/>
      <c r="L121" s="185"/>
      <c r="M121" s="185"/>
      <c r="N121" s="185"/>
      <c r="O121" s="185"/>
      <c r="P121" s="185"/>
      <c r="Q121" s="185"/>
      <c r="R121" s="185"/>
      <c r="S121" s="185"/>
      <c r="T121" s="185"/>
      <c r="U121" s="185"/>
      <c r="V121" s="185"/>
      <c r="W121" s="185"/>
      <c r="X121" s="185"/>
      <c r="Y121" s="185"/>
      <c r="Z121" s="185"/>
    </row>
    <row r="122" ht="19.5" customHeight="1">
      <c r="A122" s="186"/>
      <c r="B122" s="190"/>
      <c r="C122" s="210">
        <v>256.0</v>
      </c>
      <c r="D122" s="192">
        <v>6.0</v>
      </c>
      <c r="E122" s="215">
        <v>45424.0</v>
      </c>
      <c r="F122" s="207">
        <v>6.42</v>
      </c>
      <c r="G122" s="67">
        <v>0.963</v>
      </c>
      <c r="H122" s="206">
        <f t="shared" si="11"/>
        <v>9496.25856</v>
      </c>
      <c r="I122" s="206"/>
      <c r="J122" s="196"/>
      <c r="K122" s="203"/>
      <c r="L122" s="185"/>
      <c r="M122" s="185"/>
      <c r="N122" s="185"/>
      <c r="O122" s="185"/>
      <c r="P122" s="185"/>
      <c r="Q122" s="185"/>
      <c r="R122" s="185"/>
      <c r="S122" s="185"/>
      <c r="T122" s="185"/>
      <c r="U122" s="185"/>
      <c r="V122" s="185"/>
      <c r="W122" s="185"/>
      <c r="X122" s="185"/>
      <c r="Y122" s="185"/>
      <c r="Z122" s="185"/>
    </row>
    <row r="123" ht="19.5" customHeight="1">
      <c r="A123" s="186"/>
      <c r="B123" s="190"/>
      <c r="C123" s="212"/>
      <c r="D123" s="192"/>
      <c r="E123" s="67"/>
      <c r="F123" s="205"/>
      <c r="G123" s="205"/>
      <c r="H123" s="206"/>
      <c r="I123" s="206"/>
      <c r="J123" s="196"/>
      <c r="K123" s="203"/>
      <c r="L123" s="185"/>
      <c r="M123" s="185"/>
      <c r="N123" s="185"/>
      <c r="O123" s="185"/>
      <c r="P123" s="185"/>
      <c r="Q123" s="185"/>
      <c r="R123" s="185"/>
      <c r="S123" s="185"/>
      <c r="T123" s="185"/>
      <c r="U123" s="185"/>
      <c r="V123" s="185"/>
      <c r="W123" s="185"/>
      <c r="X123" s="185"/>
      <c r="Y123" s="185"/>
      <c r="Z123" s="185"/>
    </row>
    <row r="124" ht="19.5" customHeight="1">
      <c r="A124" s="216" t="s">
        <v>1</v>
      </c>
      <c r="B124" s="74" t="s">
        <v>91</v>
      </c>
      <c r="C124" s="74" t="s">
        <v>92</v>
      </c>
      <c r="D124" s="76" t="s">
        <v>93</v>
      </c>
      <c r="E124" s="50" t="s">
        <v>97</v>
      </c>
      <c r="F124" s="53" t="s">
        <v>121</v>
      </c>
      <c r="G124" s="53" t="s">
        <v>99</v>
      </c>
      <c r="H124" s="75" t="s">
        <v>100</v>
      </c>
      <c r="I124" s="75" t="s">
        <v>101</v>
      </c>
      <c r="J124" s="76" t="s">
        <v>95</v>
      </c>
      <c r="K124" s="74" t="s">
        <v>96</v>
      </c>
    </row>
    <row r="125" ht="19.5" customHeight="1">
      <c r="A125" s="217">
        <v>1.0</v>
      </c>
      <c r="B125" s="37" t="s">
        <v>150</v>
      </c>
      <c r="C125" s="46" t="s">
        <v>148</v>
      </c>
      <c r="D125" s="78">
        <v>2.0</v>
      </c>
      <c r="E125" s="37"/>
      <c r="F125" s="40">
        <v>57.0</v>
      </c>
      <c r="G125" s="40">
        <v>21.0</v>
      </c>
      <c r="H125" s="40">
        <f>(G125+F125)*D125</f>
        <v>156</v>
      </c>
      <c r="I125" s="42"/>
      <c r="J125" s="64">
        <f>H125</f>
        <v>156</v>
      </c>
      <c r="K125" s="46"/>
    </row>
    <row r="126" ht="19.5" customHeight="1">
      <c r="A126" s="216" t="s">
        <v>1</v>
      </c>
      <c r="B126" s="74" t="s">
        <v>91</v>
      </c>
      <c r="C126" s="74" t="s">
        <v>92</v>
      </c>
      <c r="D126" s="177" t="s">
        <v>93</v>
      </c>
      <c r="E126" s="50" t="s">
        <v>97</v>
      </c>
      <c r="F126" s="53" t="s">
        <v>121</v>
      </c>
      <c r="G126" s="53" t="s">
        <v>99</v>
      </c>
      <c r="H126" s="75" t="s">
        <v>100</v>
      </c>
      <c r="I126" s="75" t="s">
        <v>101</v>
      </c>
      <c r="J126" s="76" t="s">
        <v>95</v>
      </c>
      <c r="K126" s="74" t="s">
        <v>96</v>
      </c>
    </row>
    <row r="127" ht="19.5" customHeight="1">
      <c r="A127" s="216" t="s">
        <v>1</v>
      </c>
      <c r="B127" s="74" t="s">
        <v>91</v>
      </c>
      <c r="C127" s="74" t="s">
        <v>92</v>
      </c>
      <c r="D127" s="76" t="s">
        <v>93</v>
      </c>
      <c r="E127" s="50" t="s">
        <v>97</v>
      </c>
      <c r="F127" s="53" t="s">
        <v>121</v>
      </c>
      <c r="G127" s="53" t="s">
        <v>99</v>
      </c>
      <c r="H127" s="75" t="s">
        <v>100</v>
      </c>
      <c r="I127" s="75" t="s">
        <v>101</v>
      </c>
      <c r="J127" s="76" t="s">
        <v>95</v>
      </c>
      <c r="K127" s="74" t="s">
        <v>96</v>
      </c>
    </row>
    <row r="128" ht="19.5" customHeight="1">
      <c r="A128" s="217">
        <v>1.0</v>
      </c>
      <c r="B128" s="37" t="s">
        <v>339</v>
      </c>
      <c r="C128" s="46" t="s">
        <v>148</v>
      </c>
      <c r="D128" s="78" t="str">
        <f>H10</f>
        <v>VOLUME (escav)</v>
      </c>
      <c r="E128" s="37"/>
      <c r="F128" s="78"/>
      <c r="G128" s="40"/>
      <c r="H128" s="40" t="str">
        <f>D128</f>
        <v>VOLUME (escav)</v>
      </c>
      <c r="I128" s="42"/>
      <c r="J128" s="43" t="str">
        <f>H128</f>
        <v>VOLUME (escav)</v>
      </c>
      <c r="K128" s="46"/>
    </row>
    <row r="129" ht="19.5" customHeight="1">
      <c r="A129" s="217">
        <v>2.0</v>
      </c>
      <c r="B129" s="37" t="s">
        <v>340</v>
      </c>
      <c r="C129" s="46" t="s">
        <v>148</v>
      </c>
      <c r="D129" s="78">
        <v>1.0</v>
      </c>
      <c r="E129" s="37">
        <v>0.4</v>
      </c>
      <c r="F129" s="78">
        <v>55.0</v>
      </c>
      <c r="G129" s="40">
        <v>18.0</v>
      </c>
      <c r="H129" s="40">
        <f>G129*F129*E129</f>
        <v>396</v>
      </c>
      <c r="I129" s="42"/>
      <c r="J129" s="43" t="str">
        <f>H129-J128</f>
        <v>#VALUE!</v>
      </c>
      <c r="K129" s="46" t="s">
        <v>341</v>
      </c>
    </row>
    <row r="130" ht="19.5" customHeight="1">
      <c r="A130" s="216" t="s">
        <v>1</v>
      </c>
      <c r="B130" s="74" t="s">
        <v>91</v>
      </c>
      <c r="C130" s="74" t="s">
        <v>92</v>
      </c>
      <c r="D130" s="76" t="s">
        <v>93</v>
      </c>
      <c r="E130" s="50" t="s">
        <v>97</v>
      </c>
      <c r="F130" s="53" t="s">
        <v>121</v>
      </c>
      <c r="G130" s="53" t="s">
        <v>99</v>
      </c>
      <c r="H130" s="75" t="s">
        <v>100</v>
      </c>
      <c r="I130" s="75" t="s">
        <v>101</v>
      </c>
      <c r="J130" s="76" t="s">
        <v>95</v>
      </c>
      <c r="K130" s="74" t="s">
        <v>96</v>
      </c>
      <c r="L130" s="14" t="str">
        <f>#REF!+J160</f>
        <v>#REF!</v>
      </c>
    </row>
    <row r="131" ht="19.5" customHeight="1">
      <c r="A131" s="141">
        <v>37076.0</v>
      </c>
      <c r="B131" s="37" t="s">
        <v>172</v>
      </c>
      <c r="C131" s="46" t="s">
        <v>148</v>
      </c>
      <c r="D131" s="78">
        <v>1.0</v>
      </c>
      <c r="E131" s="37">
        <v>0.05</v>
      </c>
      <c r="F131" s="39">
        <v>53.05</v>
      </c>
      <c r="G131" s="41">
        <v>17.9</v>
      </c>
      <c r="H131" s="40">
        <f>G131*F131*E131*D131</f>
        <v>47.47975</v>
      </c>
      <c r="I131" s="42"/>
      <c r="J131" s="43">
        <f>H131</f>
        <v>47.47975</v>
      </c>
      <c r="K131" s="46"/>
    </row>
    <row r="132" ht="19.5" customHeight="1">
      <c r="A132" s="141">
        <v>38537.0</v>
      </c>
      <c r="B132" s="49" t="s">
        <v>342</v>
      </c>
      <c r="C132" s="46" t="s">
        <v>103</v>
      </c>
      <c r="D132" s="39">
        <v>2.0</v>
      </c>
      <c r="E132" s="37"/>
      <c r="F132" s="39">
        <v>53.05</v>
      </c>
      <c r="G132" s="41">
        <v>17.9</v>
      </c>
      <c r="H132" s="40">
        <f>G132*F132*D132</f>
        <v>1899.19</v>
      </c>
      <c r="I132" s="42">
        <f>H133</f>
        <v>95.4</v>
      </c>
      <c r="J132" s="43">
        <f>H132-I132</f>
        <v>1803.79</v>
      </c>
      <c r="K132" s="46"/>
    </row>
    <row r="133" ht="19.5" customHeight="1">
      <c r="A133" s="141">
        <v>37441.0</v>
      </c>
      <c r="B133" s="49" t="s">
        <v>556</v>
      </c>
      <c r="C133" s="46" t="s">
        <v>103</v>
      </c>
      <c r="D133" s="39">
        <v>2.0</v>
      </c>
      <c r="E133" s="37"/>
      <c r="F133" s="39"/>
      <c r="G133" s="41"/>
      <c r="H133" s="40">
        <f>2*47.7</f>
        <v>95.4</v>
      </c>
      <c r="I133" s="42"/>
      <c r="J133" s="43">
        <f>H133</f>
        <v>95.4</v>
      </c>
      <c r="K133" s="46"/>
    </row>
    <row r="134" ht="19.5" customHeight="1">
      <c r="A134" s="141">
        <v>37806.0</v>
      </c>
      <c r="B134" s="49" t="s">
        <v>557</v>
      </c>
      <c r="C134" s="46" t="s">
        <v>103</v>
      </c>
      <c r="D134" s="39">
        <v>11.0</v>
      </c>
      <c r="E134" s="37"/>
      <c r="F134" s="39">
        <v>7.0</v>
      </c>
      <c r="G134" s="41">
        <v>8.0</v>
      </c>
      <c r="H134" s="40">
        <f>D134*F134*G134</f>
        <v>616</v>
      </c>
      <c r="I134" s="42"/>
      <c r="J134" s="142">
        <f t="shared" ref="J134:J139" si="12">H134-I134</f>
        <v>616</v>
      </c>
      <c r="K134" s="46"/>
    </row>
    <row r="135" ht="19.5" customHeight="1">
      <c r="A135" s="141">
        <v>37806.0</v>
      </c>
      <c r="B135" s="49" t="s">
        <v>558</v>
      </c>
      <c r="C135" s="46" t="s">
        <v>103</v>
      </c>
      <c r="D135" s="39">
        <v>1.0</v>
      </c>
      <c r="E135" s="37"/>
      <c r="F135" s="39"/>
      <c r="G135" s="41"/>
      <c r="H135" s="41">
        <v>47.7</v>
      </c>
      <c r="I135" s="42"/>
      <c r="J135" s="142">
        <f t="shared" si="12"/>
        <v>47.7</v>
      </c>
      <c r="K135" s="46"/>
    </row>
    <row r="136" ht="19.5" customHeight="1">
      <c r="A136" s="141">
        <v>37806.0</v>
      </c>
      <c r="B136" s="49" t="s">
        <v>559</v>
      </c>
      <c r="C136" s="46" t="s">
        <v>103</v>
      </c>
      <c r="D136" s="115">
        <v>1.0</v>
      </c>
      <c r="E136" s="37"/>
      <c r="F136" s="39"/>
      <c r="G136" s="40"/>
      <c r="H136" s="58">
        <v>182.3</v>
      </c>
      <c r="I136" s="82"/>
      <c r="J136" s="142">
        <f t="shared" si="12"/>
        <v>182.3</v>
      </c>
      <c r="K136" s="79"/>
    </row>
    <row r="137" ht="19.5" customHeight="1">
      <c r="A137" s="141">
        <v>37806.0</v>
      </c>
      <c r="B137" s="49" t="s">
        <v>560</v>
      </c>
      <c r="C137" s="46" t="s">
        <v>103</v>
      </c>
      <c r="D137" s="39">
        <v>11.0</v>
      </c>
      <c r="E137" s="37"/>
      <c r="F137" s="39">
        <v>7.0</v>
      </c>
      <c r="G137" s="41">
        <v>8.0</v>
      </c>
      <c r="H137" s="40">
        <f>D137*F137*G137</f>
        <v>616</v>
      </c>
      <c r="I137" s="42"/>
      <c r="J137" s="142">
        <f t="shared" si="12"/>
        <v>616</v>
      </c>
      <c r="K137" s="46"/>
    </row>
    <row r="138" ht="19.5" customHeight="1">
      <c r="A138" s="141">
        <v>37806.0</v>
      </c>
      <c r="B138" s="49" t="s">
        <v>561</v>
      </c>
      <c r="C138" s="46" t="s">
        <v>103</v>
      </c>
      <c r="D138" s="39">
        <v>1.0</v>
      </c>
      <c r="E138" s="37"/>
      <c r="F138" s="39"/>
      <c r="G138" s="41"/>
      <c r="H138" s="41">
        <v>47.7</v>
      </c>
      <c r="I138" s="42"/>
      <c r="J138" s="142">
        <f t="shared" si="12"/>
        <v>47.7</v>
      </c>
      <c r="K138" s="46"/>
    </row>
    <row r="139" ht="19.5" customHeight="1">
      <c r="A139" s="141">
        <v>37806.0</v>
      </c>
      <c r="B139" s="49" t="s">
        <v>562</v>
      </c>
      <c r="C139" s="46" t="s">
        <v>103</v>
      </c>
      <c r="D139" s="115">
        <v>1.0</v>
      </c>
      <c r="E139" s="37"/>
      <c r="F139" s="39"/>
      <c r="G139" s="40"/>
      <c r="H139" s="58">
        <v>182.3</v>
      </c>
      <c r="I139" s="82"/>
      <c r="J139" s="142">
        <f t="shared" si="12"/>
        <v>182.3</v>
      </c>
      <c r="K139" s="79"/>
    </row>
    <row r="140" ht="19.5" customHeight="1">
      <c r="A140" s="141">
        <v>37806.0</v>
      </c>
      <c r="B140" s="114"/>
      <c r="C140" s="83"/>
      <c r="D140" s="115"/>
      <c r="E140" s="37"/>
      <c r="F140" s="39"/>
      <c r="G140" s="40"/>
      <c r="H140" s="59"/>
      <c r="I140" s="82"/>
      <c r="J140" s="143">
        <f>SUM(J134:J139)</f>
        <v>1692</v>
      </c>
      <c r="K140" s="79"/>
    </row>
    <row r="141" ht="19.5" customHeight="1">
      <c r="A141" s="144">
        <v>38902.0</v>
      </c>
      <c r="B141" s="114" t="s">
        <v>563</v>
      </c>
      <c r="C141" s="83" t="s">
        <v>108</v>
      </c>
      <c r="D141" s="115">
        <v>1.0</v>
      </c>
      <c r="E141" s="37"/>
      <c r="F141" s="39"/>
      <c r="G141" s="40"/>
      <c r="H141" s="58">
        <v>178.05</v>
      </c>
      <c r="I141" s="82"/>
      <c r="J141" s="143">
        <f>H141-I141</f>
        <v>178.05</v>
      </c>
      <c r="K141" s="79"/>
    </row>
    <row r="142" ht="19.5" customHeight="1">
      <c r="A142" s="144">
        <v>39267.0</v>
      </c>
      <c r="B142" s="114" t="s">
        <v>564</v>
      </c>
      <c r="C142" s="83" t="s">
        <v>108</v>
      </c>
      <c r="D142" s="115">
        <v>8.0</v>
      </c>
      <c r="E142" s="37"/>
      <c r="F142" s="39">
        <v>0.9</v>
      </c>
      <c r="G142" s="40"/>
      <c r="H142" s="59">
        <f>D142*F142</f>
        <v>7.2</v>
      </c>
      <c r="I142" s="82"/>
      <c r="J142" s="143">
        <f>H142</f>
        <v>7.2</v>
      </c>
      <c r="K142" s="79"/>
    </row>
    <row r="143" ht="19.5" customHeight="1">
      <c r="A143" s="216" t="s">
        <v>1</v>
      </c>
      <c r="B143" s="74" t="s">
        <v>91</v>
      </c>
      <c r="C143" s="74" t="s">
        <v>92</v>
      </c>
      <c r="D143" s="76" t="s">
        <v>93</v>
      </c>
      <c r="E143" s="50" t="s">
        <v>97</v>
      </c>
      <c r="F143" s="53" t="s">
        <v>121</v>
      </c>
      <c r="G143" s="53" t="s">
        <v>99</v>
      </c>
      <c r="H143" s="75" t="s">
        <v>100</v>
      </c>
      <c r="I143" s="75" t="s">
        <v>101</v>
      </c>
      <c r="J143" s="76" t="s">
        <v>95</v>
      </c>
      <c r="K143" s="74" t="s">
        <v>96</v>
      </c>
    </row>
    <row r="144" ht="19.5" customHeight="1">
      <c r="A144" s="217">
        <v>1.0</v>
      </c>
      <c r="B144" s="37" t="s">
        <v>345</v>
      </c>
      <c r="C144" s="46" t="s">
        <v>148</v>
      </c>
      <c r="D144" s="78">
        <v>4.0</v>
      </c>
      <c r="E144" s="37">
        <v>0.3</v>
      </c>
      <c r="F144" s="78">
        <v>55.0</v>
      </c>
      <c r="G144" s="40">
        <v>0.14</v>
      </c>
      <c r="H144" s="40">
        <f t="shared" ref="H144:H148" si="13">G144*F144*E144*D144</f>
        <v>9.24</v>
      </c>
      <c r="I144" s="42"/>
      <c r="J144" s="40"/>
      <c r="K144" s="46"/>
    </row>
    <row r="145" ht="19.5" customHeight="1">
      <c r="A145" s="217">
        <v>2.0</v>
      </c>
      <c r="B145" s="37" t="s">
        <v>345</v>
      </c>
      <c r="C145" s="46" t="s">
        <v>148</v>
      </c>
      <c r="D145" s="78">
        <v>9.0</v>
      </c>
      <c r="E145" s="37">
        <v>0.3</v>
      </c>
      <c r="F145" s="78">
        <v>18.0</v>
      </c>
      <c r="G145" s="40">
        <v>0.14</v>
      </c>
      <c r="H145" s="40">
        <f t="shared" si="13"/>
        <v>6.804</v>
      </c>
      <c r="I145" s="42"/>
      <c r="J145" s="107"/>
      <c r="K145" s="46"/>
    </row>
    <row r="146" ht="19.5" customHeight="1">
      <c r="A146" s="217">
        <v>3.0</v>
      </c>
      <c r="B146" s="37" t="s">
        <v>345</v>
      </c>
      <c r="C146" s="46" t="s">
        <v>148</v>
      </c>
      <c r="D146" s="78">
        <v>1.0</v>
      </c>
      <c r="E146" s="37">
        <v>0.3</v>
      </c>
      <c r="F146" s="78">
        <v>5.5</v>
      </c>
      <c r="G146" s="40">
        <v>0.14</v>
      </c>
      <c r="H146" s="40">
        <f t="shared" si="13"/>
        <v>0.231</v>
      </c>
      <c r="I146" s="42"/>
      <c r="J146" s="107"/>
      <c r="K146" s="79"/>
    </row>
    <row r="147" ht="19.5" customHeight="1">
      <c r="A147" s="217">
        <v>4.0</v>
      </c>
      <c r="B147" s="37" t="s">
        <v>345</v>
      </c>
      <c r="C147" s="46" t="s">
        <v>148</v>
      </c>
      <c r="D147" s="78">
        <v>1.0</v>
      </c>
      <c r="E147" s="37">
        <v>0.3</v>
      </c>
      <c r="F147" s="78">
        <v>7.0</v>
      </c>
      <c r="G147" s="40">
        <v>0.14</v>
      </c>
      <c r="H147" s="40">
        <f t="shared" si="13"/>
        <v>0.294</v>
      </c>
      <c r="I147" s="42"/>
      <c r="J147" s="107"/>
      <c r="K147" s="79"/>
    </row>
    <row r="148" ht="19.5" customHeight="1">
      <c r="A148" s="217">
        <v>5.0</v>
      </c>
      <c r="B148" s="37" t="s">
        <v>345</v>
      </c>
      <c r="C148" s="46" t="s">
        <v>148</v>
      </c>
      <c r="D148" s="78">
        <v>2.0</v>
      </c>
      <c r="E148" s="37">
        <v>0.3</v>
      </c>
      <c r="F148" s="78">
        <v>2.5</v>
      </c>
      <c r="G148" s="40">
        <v>0.14</v>
      </c>
      <c r="H148" s="40">
        <f t="shared" si="13"/>
        <v>0.21</v>
      </c>
      <c r="I148" s="42"/>
      <c r="J148" s="43">
        <f>SUM(H144:H148)</f>
        <v>16.779</v>
      </c>
      <c r="K148" s="79"/>
    </row>
    <row r="149" ht="19.5" customHeight="1">
      <c r="A149" s="216" t="s">
        <v>1</v>
      </c>
      <c r="B149" s="74" t="s">
        <v>91</v>
      </c>
      <c r="C149" s="74" t="s">
        <v>92</v>
      </c>
      <c r="D149" s="76" t="s">
        <v>93</v>
      </c>
      <c r="E149" s="50" t="s">
        <v>97</v>
      </c>
      <c r="F149" s="53" t="s">
        <v>121</v>
      </c>
      <c r="G149" s="53" t="s">
        <v>99</v>
      </c>
      <c r="H149" s="75" t="s">
        <v>100</v>
      </c>
      <c r="I149" s="75" t="s">
        <v>101</v>
      </c>
      <c r="J149" s="76" t="s">
        <v>95</v>
      </c>
      <c r="K149" s="74" t="s">
        <v>96</v>
      </c>
    </row>
    <row r="150" ht="19.5" customHeight="1">
      <c r="A150" s="218">
        <v>1.0</v>
      </c>
      <c r="B150" s="37" t="s">
        <v>565</v>
      </c>
      <c r="C150" s="46" t="s">
        <v>148</v>
      </c>
      <c r="D150" s="78">
        <v>4.0</v>
      </c>
      <c r="E150" s="37">
        <v>0.45</v>
      </c>
      <c r="F150" s="40">
        <v>55.0</v>
      </c>
      <c r="G150" s="40">
        <v>0.14</v>
      </c>
      <c r="H150" s="40">
        <f t="shared" ref="H150:H160" si="14">G150*F150*E150*D150</f>
        <v>13.86</v>
      </c>
      <c r="I150" s="42"/>
      <c r="J150" s="40"/>
      <c r="K150" s="46"/>
    </row>
    <row r="151" ht="19.5" customHeight="1">
      <c r="A151" s="217">
        <v>2.0</v>
      </c>
      <c r="B151" s="37" t="s">
        <v>565</v>
      </c>
      <c r="C151" s="46" t="s">
        <v>148</v>
      </c>
      <c r="D151" s="78">
        <v>9.0</v>
      </c>
      <c r="E151" s="37">
        <v>0.45</v>
      </c>
      <c r="F151" s="40">
        <v>18.0</v>
      </c>
      <c r="G151" s="40">
        <v>0.14</v>
      </c>
      <c r="H151" s="40">
        <f t="shared" si="14"/>
        <v>10.206</v>
      </c>
      <c r="I151" s="42"/>
      <c r="J151" s="107"/>
      <c r="K151" s="46"/>
      <c r="L151" s="14" t="str">
        <f>J151+#REF!+#REF!</f>
        <v>#REF!</v>
      </c>
    </row>
    <row r="152" ht="19.5" customHeight="1">
      <c r="A152" s="217">
        <v>3.0</v>
      </c>
      <c r="B152" s="37" t="s">
        <v>565</v>
      </c>
      <c r="C152" s="46" t="s">
        <v>148</v>
      </c>
      <c r="D152" s="78">
        <v>1.0</v>
      </c>
      <c r="E152" s="37">
        <v>0.45</v>
      </c>
      <c r="F152" s="40">
        <v>5.5</v>
      </c>
      <c r="G152" s="40">
        <v>0.14</v>
      </c>
      <c r="H152" s="40">
        <f t="shared" si="14"/>
        <v>0.3465</v>
      </c>
      <c r="I152" s="42"/>
      <c r="J152" s="107"/>
      <c r="K152" s="79"/>
      <c r="L152" s="14"/>
    </row>
    <row r="153" ht="19.5" customHeight="1">
      <c r="A153" s="217">
        <v>4.0</v>
      </c>
      <c r="B153" s="37" t="s">
        <v>565</v>
      </c>
      <c r="C153" s="46" t="s">
        <v>148</v>
      </c>
      <c r="D153" s="78">
        <v>1.0</v>
      </c>
      <c r="E153" s="37">
        <v>0.45</v>
      </c>
      <c r="F153" s="40">
        <v>7.0</v>
      </c>
      <c r="G153" s="40">
        <v>0.14</v>
      </c>
      <c r="H153" s="40">
        <f t="shared" si="14"/>
        <v>0.441</v>
      </c>
      <c r="I153" s="42"/>
      <c r="J153" s="107"/>
      <c r="K153" s="79"/>
      <c r="L153" s="14"/>
    </row>
    <row r="154" ht="19.5" customHeight="1">
      <c r="A154" s="217">
        <v>5.0</v>
      </c>
      <c r="B154" s="37" t="s">
        <v>565</v>
      </c>
      <c r="C154" s="46" t="s">
        <v>148</v>
      </c>
      <c r="D154" s="78">
        <v>2.0</v>
      </c>
      <c r="E154" s="37">
        <v>0.45</v>
      </c>
      <c r="F154" s="40">
        <v>2.5</v>
      </c>
      <c r="G154" s="40">
        <v>0.14</v>
      </c>
      <c r="H154" s="40">
        <f t="shared" si="14"/>
        <v>0.315</v>
      </c>
      <c r="I154" s="42"/>
      <c r="J154" s="107"/>
      <c r="K154" s="79"/>
      <c r="L154" s="14"/>
    </row>
    <row r="155" ht="19.5" customHeight="1">
      <c r="A155" s="217">
        <v>5.0</v>
      </c>
      <c r="B155" s="37" t="s">
        <v>346</v>
      </c>
      <c r="C155" s="46" t="s">
        <v>148</v>
      </c>
      <c r="D155" s="78">
        <v>4.0</v>
      </c>
      <c r="E155" s="37">
        <v>0.25</v>
      </c>
      <c r="F155" s="40">
        <v>55.0</v>
      </c>
      <c r="G155" s="40">
        <v>0.14</v>
      </c>
      <c r="H155" s="40">
        <f t="shared" si="14"/>
        <v>7.7</v>
      </c>
      <c r="I155" s="42"/>
      <c r="J155" s="40"/>
      <c r="K155" s="79"/>
      <c r="L155" s="14"/>
    </row>
    <row r="156" ht="19.5" customHeight="1">
      <c r="A156" s="217">
        <v>6.0</v>
      </c>
      <c r="B156" s="37" t="s">
        <v>346</v>
      </c>
      <c r="C156" s="46" t="s">
        <v>148</v>
      </c>
      <c r="D156" s="78">
        <v>9.0</v>
      </c>
      <c r="E156" s="37">
        <v>0.25</v>
      </c>
      <c r="F156" s="40">
        <v>18.0</v>
      </c>
      <c r="G156" s="40">
        <v>0.14</v>
      </c>
      <c r="H156" s="40">
        <f t="shared" si="14"/>
        <v>5.67</v>
      </c>
      <c r="I156" s="42"/>
      <c r="J156" s="107"/>
      <c r="K156" s="79"/>
      <c r="L156" s="14"/>
    </row>
    <row r="157" ht="19.5" customHeight="1">
      <c r="A157" s="217">
        <v>7.0</v>
      </c>
      <c r="B157" s="37" t="s">
        <v>346</v>
      </c>
      <c r="C157" s="46" t="s">
        <v>148</v>
      </c>
      <c r="D157" s="78">
        <v>1.0</v>
      </c>
      <c r="E157" s="37">
        <v>0.25</v>
      </c>
      <c r="F157" s="40">
        <v>5.5</v>
      </c>
      <c r="G157" s="40">
        <v>0.14</v>
      </c>
      <c r="H157" s="40">
        <f t="shared" si="14"/>
        <v>0.1925</v>
      </c>
      <c r="I157" s="42"/>
      <c r="J157" s="107"/>
      <c r="K157" s="79"/>
      <c r="L157" s="14"/>
    </row>
    <row r="158" ht="19.5" customHeight="1">
      <c r="A158" s="217">
        <v>8.0</v>
      </c>
      <c r="B158" s="37" t="s">
        <v>346</v>
      </c>
      <c r="C158" s="46" t="s">
        <v>148</v>
      </c>
      <c r="D158" s="78">
        <v>1.0</v>
      </c>
      <c r="E158" s="37">
        <v>0.25</v>
      </c>
      <c r="F158" s="40">
        <v>7.0</v>
      </c>
      <c r="G158" s="40">
        <v>0.14</v>
      </c>
      <c r="H158" s="40">
        <f t="shared" si="14"/>
        <v>0.245</v>
      </c>
      <c r="I158" s="42"/>
      <c r="J158" s="107"/>
      <c r="K158" s="79"/>
      <c r="L158" s="14"/>
    </row>
    <row r="159" ht="19.5" customHeight="1">
      <c r="A159" s="217">
        <v>9.0</v>
      </c>
      <c r="B159" s="37" t="s">
        <v>346</v>
      </c>
      <c r="C159" s="46" t="s">
        <v>148</v>
      </c>
      <c r="D159" s="78">
        <v>2.0</v>
      </c>
      <c r="E159" s="37">
        <v>0.25</v>
      </c>
      <c r="F159" s="40">
        <v>2.5</v>
      </c>
      <c r="G159" s="40">
        <v>0.14</v>
      </c>
      <c r="H159" s="40">
        <f t="shared" si="14"/>
        <v>0.175</v>
      </c>
      <c r="I159" s="42"/>
      <c r="J159" s="107"/>
      <c r="K159" s="79"/>
      <c r="L159" s="14"/>
    </row>
    <row r="160" ht="19.5" customHeight="1">
      <c r="A160" s="217">
        <v>10.0</v>
      </c>
      <c r="B160" s="37" t="s">
        <v>566</v>
      </c>
      <c r="C160" s="46" t="s">
        <v>148</v>
      </c>
      <c r="D160" s="78">
        <v>2.0</v>
      </c>
      <c r="E160" s="37">
        <v>0.4</v>
      </c>
      <c r="F160" s="40">
        <v>55.0</v>
      </c>
      <c r="G160" s="40">
        <v>0.14</v>
      </c>
      <c r="H160" s="40">
        <f t="shared" si="14"/>
        <v>6.16</v>
      </c>
      <c r="I160" s="42"/>
      <c r="J160" s="96">
        <f>SUM(H150:H160)</f>
        <v>45.311</v>
      </c>
      <c r="K160" s="79"/>
      <c r="L160" s="14"/>
    </row>
    <row r="161" ht="19.5" customHeight="1">
      <c r="A161" s="216" t="s">
        <v>1</v>
      </c>
      <c r="B161" s="74" t="s">
        <v>91</v>
      </c>
      <c r="C161" s="74" t="s">
        <v>92</v>
      </c>
      <c r="D161" s="76" t="s">
        <v>93</v>
      </c>
      <c r="E161" s="50" t="s">
        <v>97</v>
      </c>
      <c r="F161" s="53" t="s">
        <v>121</v>
      </c>
      <c r="G161" s="53" t="s">
        <v>99</v>
      </c>
      <c r="H161" s="75" t="s">
        <v>100</v>
      </c>
      <c r="I161" s="75" t="s">
        <v>101</v>
      </c>
      <c r="J161" s="76" t="s">
        <v>95</v>
      </c>
      <c r="K161" s="74" t="s">
        <v>96</v>
      </c>
    </row>
    <row r="162" ht="19.5" customHeight="1">
      <c r="A162" s="217">
        <v>1.0</v>
      </c>
      <c r="B162" s="37" t="s">
        <v>176</v>
      </c>
      <c r="C162" s="46" t="s">
        <v>103</v>
      </c>
      <c r="D162" s="78">
        <v>1.0</v>
      </c>
      <c r="E162" s="37">
        <v>0.3</v>
      </c>
      <c r="F162" s="40">
        <v>55.0</v>
      </c>
      <c r="G162" s="40">
        <v>18.0</v>
      </c>
      <c r="H162" s="40">
        <f>G162*F162</f>
        <v>990</v>
      </c>
      <c r="I162" s="42"/>
      <c r="J162" s="43">
        <f>H162-I162</f>
        <v>990</v>
      </c>
      <c r="K162" s="47"/>
    </row>
    <row r="163" ht="19.5" customHeight="1">
      <c r="A163" s="216" t="s">
        <v>1</v>
      </c>
      <c r="B163" s="74" t="s">
        <v>91</v>
      </c>
      <c r="C163" s="74" t="s">
        <v>92</v>
      </c>
      <c r="D163" s="76" t="s">
        <v>93</v>
      </c>
      <c r="E163" s="50" t="s">
        <v>148</v>
      </c>
      <c r="F163" s="53" t="s">
        <v>347</v>
      </c>
      <c r="G163" s="53" t="s">
        <v>348</v>
      </c>
      <c r="H163" s="75" t="s">
        <v>100</v>
      </c>
      <c r="I163" s="75" t="s">
        <v>101</v>
      </c>
      <c r="J163" s="76" t="s">
        <v>95</v>
      </c>
      <c r="K163" s="50" t="s">
        <v>96</v>
      </c>
    </row>
    <row r="164" ht="20.25" customHeight="1">
      <c r="A164" s="217">
        <v>1.0</v>
      </c>
      <c r="B164" s="37" t="s">
        <v>349</v>
      </c>
      <c r="C164" s="46" t="s">
        <v>103</v>
      </c>
      <c r="D164" s="123">
        <v>1.0</v>
      </c>
      <c r="E164" s="40" t="str">
        <f>#REF!</f>
        <v>#REF!</v>
      </c>
      <c r="F164" s="40">
        <v>10.0</v>
      </c>
      <c r="G164" s="40" t="str">
        <f t="shared" ref="G164:G166" si="15">E164/4</f>
        <v>#REF!</v>
      </c>
      <c r="H164" s="40" t="str">
        <f t="shared" ref="H164:H166" si="16">G164*F164</f>
        <v>#REF!</v>
      </c>
      <c r="I164" s="42"/>
      <c r="J164" s="107"/>
      <c r="K164" s="146" t="s">
        <v>699</v>
      </c>
    </row>
    <row r="165" ht="18.75" customHeight="1">
      <c r="A165" s="217">
        <v>2.0</v>
      </c>
      <c r="B165" s="37" t="s">
        <v>351</v>
      </c>
      <c r="C165" s="46" t="s">
        <v>103</v>
      </c>
      <c r="D165" s="128">
        <v>1.0</v>
      </c>
      <c r="E165" s="40" t="str">
        <f>#REF!+#REF!</f>
        <v>#REF!</v>
      </c>
      <c r="F165" s="40">
        <v>12.0</v>
      </c>
      <c r="G165" s="40" t="str">
        <f t="shared" si="15"/>
        <v>#REF!</v>
      </c>
      <c r="H165" s="59" t="str">
        <f t="shared" si="16"/>
        <v>#REF!</v>
      </c>
      <c r="I165" s="93"/>
      <c r="J165" s="107"/>
      <c r="K165" s="147"/>
    </row>
    <row r="166" ht="18.0" customHeight="1">
      <c r="A166" s="217">
        <v>3.0</v>
      </c>
      <c r="B166" s="37" t="s">
        <v>352</v>
      </c>
      <c r="C166" s="46" t="s">
        <v>103</v>
      </c>
      <c r="D166" s="128">
        <v>1.0</v>
      </c>
      <c r="E166" s="40" t="str">
        <f>J160+#REF!</f>
        <v>#REF!</v>
      </c>
      <c r="F166" s="40">
        <v>12.0</v>
      </c>
      <c r="G166" s="40" t="str">
        <f t="shared" si="15"/>
        <v>#REF!</v>
      </c>
      <c r="H166" s="59" t="str">
        <f t="shared" si="16"/>
        <v>#REF!</v>
      </c>
      <c r="I166" s="93"/>
      <c r="J166" s="107" t="str">
        <f>SUM(H164:H166)</f>
        <v>#REF!</v>
      </c>
      <c r="K166" s="32"/>
    </row>
    <row r="167" ht="19.5" customHeight="1">
      <c r="A167" s="216" t="s">
        <v>1</v>
      </c>
      <c r="B167" s="74" t="s">
        <v>91</v>
      </c>
      <c r="C167" s="74" t="s">
        <v>92</v>
      </c>
      <c r="D167" s="76" t="s">
        <v>93</v>
      </c>
      <c r="E167" s="50" t="s">
        <v>97</v>
      </c>
      <c r="F167" s="53" t="s">
        <v>121</v>
      </c>
      <c r="G167" s="53" t="s">
        <v>99</v>
      </c>
      <c r="H167" s="75" t="s">
        <v>100</v>
      </c>
      <c r="I167" s="75" t="s">
        <v>101</v>
      </c>
      <c r="J167" s="76" t="s">
        <v>95</v>
      </c>
      <c r="K167" s="74" t="s">
        <v>96</v>
      </c>
    </row>
    <row r="168" ht="19.5" customHeight="1">
      <c r="A168" s="141">
        <v>37319.0</v>
      </c>
      <c r="B168" s="49" t="s">
        <v>577</v>
      </c>
      <c r="C168" s="46" t="s">
        <v>103</v>
      </c>
      <c r="D168" s="39">
        <v>4.0</v>
      </c>
      <c r="E168" s="49">
        <v>3.0</v>
      </c>
      <c r="F168" s="39">
        <v>53.05</v>
      </c>
      <c r="G168" s="40"/>
      <c r="H168" s="40">
        <f t="shared" ref="H168:H173" si="17">F168*E168*D168</f>
        <v>636.6</v>
      </c>
      <c r="I168" s="42">
        <f>22*1.5*1+14*1.5*0.45</f>
        <v>42.45</v>
      </c>
      <c r="J168" s="40">
        <f t="shared" ref="J168:J173" si="18">H168-I168</f>
        <v>594.15</v>
      </c>
      <c r="K168" s="46"/>
    </row>
    <row r="169" ht="19.5" customHeight="1">
      <c r="A169" s="141">
        <v>37319.0</v>
      </c>
      <c r="B169" s="49" t="s">
        <v>577</v>
      </c>
      <c r="C169" s="46" t="s">
        <v>103</v>
      </c>
      <c r="D169" s="39">
        <v>9.0</v>
      </c>
      <c r="E169" s="49">
        <v>3.0</v>
      </c>
      <c r="F169" s="39">
        <v>18.05</v>
      </c>
      <c r="G169" s="40"/>
      <c r="H169" s="40">
        <f t="shared" si="17"/>
        <v>487.35</v>
      </c>
      <c r="I169" s="42">
        <f>15*0.9*2.1</f>
        <v>28.35</v>
      </c>
      <c r="J169" s="40">
        <f t="shared" si="18"/>
        <v>459</v>
      </c>
      <c r="K169" s="46"/>
    </row>
    <row r="170" ht="19.5" customHeight="1">
      <c r="A170" s="141">
        <v>37319.0</v>
      </c>
      <c r="B170" s="49" t="s">
        <v>578</v>
      </c>
      <c r="C170" s="46" t="s">
        <v>103</v>
      </c>
      <c r="D170" s="39">
        <v>4.0</v>
      </c>
      <c r="E170" s="49">
        <v>3.3</v>
      </c>
      <c r="F170" s="39">
        <v>53.05</v>
      </c>
      <c r="G170" s="40"/>
      <c r="H170" s="40">
        <f t="shared" si="17"/>
        <v>700.26</v>
      </c>
      <c r="I170" s="42">
        <f>22*1.5*1+14*1.5*0.45</f>
        <v>42.45</v>
      </c>
      <c r="J170" s="40">
        <f t="shared" si="18"/>
        <v>657.81</v>
      </c>
      <c r="K170" s="46"/>
    </row>
    <row r="171" ht="19.5" customHeight="1">
      <c r="A171" s="141">
        <v>37319.0</v>
      </c>
      <c r="B171" s="49" t="s">
        <v>578</v>
      </c>
      <c r="C171" s="46" t="s">
        <v>103</v>
      </c>
      <c r="D171" s="39">
        <v>9.0</v>
      </c>
      <c r="E171" s="49">
        <v>3.3</v>
      </c>
      <c r="F171" s="39">
        <v>18.05</v>
      </c>
      <c r="G171" s="40"/>
      <c r="H171" s="40">
        <f t="shared" si="17"/>
        <v>536.085</v>
      </c>
      <c r="I171" s="42">
        <f>15*0.9*2.1</f>
        <v>28.35</v>
      </c>
      <c r="J171" s="40">
        <f t="shared" si="18"/>
        <v>507.735</v>
      </c>
      <c r="K171" s="46"/>
    </row>
    <row r="172" ht="19.5" customHeight="1">
      <c r="A172" s="141">
        <v>37319.0</v>
      </c>
      <c r="B172" s="49" t="s">
        <v>579</v>
      </c>
      <c r="C172" s="46" t="s">
        <v>103</v>
      </c>
      <c r="D172" s="39">
        <v>2.0</v>
      </c>
      <c r="E172" s="49">
        <v>1.55</v>
      </c>
      <c r="F172" s="39">
        <v>53.05</v>
      </c>
      <c r="G172" s="40"/>
      <c r="H172" s="40">
        <f t="shared" si="17"/>
        <v>164.455</v>
      </c>
      <c r="I172" s="42"/>
      <c r="J172" s="40">
        <f t="shared" si="18"/>
        <v>164.455</v>
      </c>
      <c r="K172" s="46"/>
    </row>
    <row r="173" ht="19.5" customHeight="1">
      <c r="A173" s="141">
        <v>37319.0</v>
      </c>
      <c r="B173" s="49" t="s">
        <v>579</v>
      </c>
      <c r="C173" s="46" t="s">
        <v>103</v>
      </c>
      <c r="D173" s="39">
        <v>2.0</v>
      </c>
      <c r="E173" s="49">
        <v>1.55</v>
      </c>
      <c r="F173" s="39">
        <v>18.05</v>
      </c>
      <c r="G173" s="40"/>
      <c r="H173" s="40">
        <f t="shared" si="17"/>
        <v>55.955</v>
      </c>
      <c r="I173" s="42"/>
      <c r="J173" s="40">
        <f t="shared" si="18"/>
        <v>55.955</v>
      </c>
      <c r="K173" s="46"/>
    </row>
    <row r="174" ht="19.5" customHeight="1">
      <c r="A174" s="141">
        <v>37319.0</v>
      </c>
      <c r="B174" s="95"/>
      <c r="C174" s="79"/>
      <c r="D174" s="92"/>
      <c r="E174" s="37"/>
      <c r="F174" s="78"/>
      <c r="G174" s="40"/>
      <c r="H174" s="59"/>
      <c r="I174" s="93"/>
      <c r="J174" s="96">
        <f>SUM(J168:J173)</f>
        <v>2439.105</v>
      </c>
      <c r="K174" s="79"/>
    </row>
    <row r="175" ht="19.5" customHeight="1">
      <c r="A175" s="144"/>
      <c r="B175" s="95"/>
      <c r="C175" s="79"/>
      <c r="D175" s="92"/>
      <c r="E175" s="37"/>
      <c r="F175" s="78"/>
      <c r="G175" s="40"/>
      <c r="H175" s="59"/>
      <c r="I175" s="93"/>
      <c r="J175" s="96"/>
      <c r="K175" s="79"/>
    </row>
    <row r="176" ht="19.5" customHeight="1">
      <c r="A176" s="216" t="s">
        <v>1</v>
      </c>
      <c r="B176" s="74" t="s">
        <v>91</v>
      </c>
      <c r="C176" s="74" t="s">
        <v>92</v>
      </c>
      <c r="D176" s="76" t="s">
        <v>93</v>
      </c>
      <c r="E176" s="50" t="s">
        <v>97</v>
      </c>
      <c r="F176" s="53" t="s">
        <v>121</v>
      </c>
      <c r="G176" s="53" t="s">
        <v>99</v>
      </c>
      <c r="H176" s="75" t="s">
        <v>100</v>
      </c>
      <c r="I176" s="75" t="s">
        <v>101</v>
      </c>
      <c r="J176" s="76" t="s">
        <v>95</v>
      </c>
      <c r="K176" s="74" t="s">
        <v>96</v>
      </c>
    </row>
    <row r="177" ht="19.5" customHeight="1">
      <c r="A177" s="217">
        <v>1.0</v>
      </c>
      <c r="B177" s="37" t="s">
        <v>182</v>
      </c>
      <c r="C177" s="46" t="s">
        <v>103</v>
      </c>
      <c r="D177" s="78">
        <f>J162</f>
        <v>990</v>
      </c>
      <c r="E177" s="37"/>
      <c r="F177" s="40"/>
      <c r="G177" s="40"/>
      <c r="H177" s="40">
        <f>D177</f>
        <v>990</v>
      </c>
      <c r="I177" s="42"/>
      <c r="J177" s="43">
        <f>H177-I177</f>
        <v>990</v>
      </c>
      <c r="K177" s="46" t="s">
        <v>183</v>
      </c>
    </row>
    <row r="178" ht="19.5" customHeight="1">
      <c r="A178" s="216" t="s">
        <v>1</v>
      </c>
      <c r="B178" s="74" t="s">
        <v>91</v>
      </c>
      <c r="C178" s="74" t="s">
        <v>92</v>
      </c>
      <c r="D178" s="76" t="s">
        <v>93</v>
      </c>
      <c r="E178" s="50" t="s">
        <v>187</v>
      </c>
      <c r="F178" s="53"/>
      <c r="G178" s="53" t="s">
        <v>353</v>
      </c>
      <c r="H178" s="75" t="s">
        <v>100</v>
      </c>
      <c r="I178" s="75" t="s">
        <v>101</v>
      </c>
      <c r="J178" s="76" t="s">
        <v>95</v>
      </c>
      <c r="K178" s="74" t="s">
        <v>96</v>
      </c>
    </row>
    <row r="179" ht="19.5" customHeight="1">
      <c r="A179" s="219">
        <v>1.0</v>
      </c>
      <c r="B179" s="37" t="s">
        <v>354</v>
      </c>
      <c r="C179" s="46" t="s">
        <v>158</v>
      </c>
      <c r="D179" s="78" t="str">
        <f>#REF!</f>
        <v>#REF!</v>
      </c>
      <c r="E179" s="37">
        <v>80.0</v>
      </c>
      <c r="F179" s="40"/>
      <c r="G179" s="40" t="str">
        <f t="shared" ref="G179:G182" si="19">E179*D179</f>
        <v>#REF!</v>
      </c>
      <c r="H179" s="40" t="str">
        <f t="shared" ref="H179:H182" si="20">E179*D179</f>
        <v>#REF!</v>
      </c>
      <c r="I179" s="42"/>
      <c r="J179" s="107"/>
      <c r="K179" s="46" t="s">
        <v>355</v>
      </c>
    </row>
    <row r="180" ht="19.5" customHeight="1">
      <c r="A180" s="219">
        <v>2.0</v>
      </c>
      <c r="B180" s="37" t="s">
        <v>356</v>
      </c>
      <c r="C180" s="46" t="s">
        <v>158</v>
      </c>
      <c r="D180" s="78" t="str">
        <f>#REF!+#REF!</f>
        <v>#REF!</v>
      </c>
      <c r="E180" s="37">
        <v>90.0</v>
      </c>
      <c r="F180" s="40"/>
      <c r="G180" s="40" t="str">
        <f t="shared" si="19"/>
        <v>#REF!</v>
      </c>
      <c r="H180" s="40" t="str">
        <f t="shared" si="20"/>
        <v>#REF!</v>
      </c>
      <c r="I180" s="42"/>
      <c r="J180" s="121"/>
      <c r="K180" s="79"/>
    </row>
    <row r="181" ht="19.5" customHeight="1">
      <c r="A181" s="219">
        <v>3.0</v>
      </c>
      <c r="B181" s="37" t="s">
        <v>357</v>
      </c>
      <c r="C181" s="46" t="s">
        <v>158</v>
      </c>
      <c r="D181" s="78" t="str">
        <f>J160+#REF!</f>
        <v>#REF!</v>
      </c>
      <c r="E181" s="37">
        <v>100.0</v>
      </c>
      <c r="F181" s="40"/>
      <c r="G181" s="40" t="str">
        <f t="shared" si="19"/>
        <v>#REF!</v>
      </c>
      <c r="H181" s="40" t="str">
        <f t="shared" si="20"/>
        <v>#REF!</v>
      </c>
      <c r="I181" s="42"/>
      <c r="J181" s="121"/>
      <c r="K181" s="79"/>
    </row>
    <row r="182" ht="19.5" customHeight="1">
      <c r="A182" s="219">
        <v>4.0</v>
      </c>
      <c r="B182" s="37" t="s">
        <v>358</v>
      </c>
      <c r="C182" s="46" t="s">
        <v>158</v>
      </c>
      <c r="D182" s="78">
        <f>J177*0.15</f>
        <v>148.5</v>
      </c>
      <c r="E182" s="37">
        <v>80.0</v>
      </c>
      <c r="F182" s="40"/>
      <c r="G182" s="40">
        <f t="shared" si="19"/>
        <v>11880</v>
      </c>
      <c r="H182" s="40">
        <f t="shared" si="20"/>
        <v>11880</v>
      </c>
      <c r="I182" s="42"/>
      <c r="J182" s="96" t="str">
        <f>SUM(H179:H182)</f>
        <v>#REF!</v>
      </c>
      <c r="K182" s="79"/>
    </row>
    <row r="183" ht="19.5" customHeight="1">
      <c r="A183" s="216" t="s">
        <v>1</v>
      </c>
      <c r="B183" s="74" t="s">
        <v>91</v>
      </c>
      <c r="C183" s="74" t="s">
        <v>92</v>
      </c>
      <c r="D183" s="76" t="s">
        <v>93</v>
      </c>
      <c r="E183" s="50" t="s">
        <v>97</v>
      </c>
      <c r="F183" s="53" t="s">
        <v>121</v>
      </c>
      <c r="G183" s="53" t="s">
        <v>99</v>
      </c>
      <c r="H183" s="75" t="s">
        <v>100</v>
      </c>
      <c r="I183" s="75" t="s">
        <v>101</v>
      </c>
      <c r="J183" s="76" t="s">
        <v>95</v>
      </c>
      <c r="K183" s="74" t="s">
        <v>96</v>
      </c>
    </row>
    <row r="184" ht="19.5" customHeight="1">
      <c r="A184" s="141">
        <v>38507.0</v>
      </c>
      <c r="B184" s="37" t="s">
        <v>184</v>
      </c>
      <c r="C184" s="46" t="s">
        <v>108</v>
      </c>
      <c r="D184" s="39">
        <v>2.0</v>
      </c>
      <c r="E184" s="37"/>
      <c r="F184" s="41">
        <v>18.05</v>
      </c>
      <c r="G184" s="41">
        <v>53.05</v>
      </c>
      <c r="H184" s="40">
        <f>D184*(F184+G184)</f>
        <v>142.2</v>
      </c>
      <c r="I184" s="42"/>
      <c r="J184" s="77"/>
      <c r="K184" s="46"/>
    </row>
    <row r="185" ht="19.5" customHeight="1">
      <c r="A185" s="141">
        <v>38507.0</v>
      </c>
      <c r="B185" s="37" t="s">
        <v>185</v>
      </c>
      <c r="C185" s="46" t="s">
        <v>108</v>
      </c>
      <c r="D185" s="39">
        <v>2.0</v>
      </c>
      <c r="E185" s="37"/>
      <c r="F185" s="41">
        <v>18.05</v>
      </c>
      <c r="G185" s="40"/>
      <c r="H185" s="40">
        <f>D185*F185</f>
        <v>36.1</v>
      </c>
      <c r="I185" s="42"/>
      <c r="J185" s="43">
        <f>H185+H184</f>
        <v>178.3</v>
      </c>
      <c r="K185" s="46"/>
    </row>
    <row r="186" ht="19.5" customHeight="1">
      <c r="A186" s="216" t="s">
        <v>1</v>
      </c>
      <c r="B186" s="74" t="s">
        <v>91</v>
      </c>
      <c r="C186" s="74" t="s">
        <v>92</v>
      </c>
      <c r="D186" s="76" t="s">
        <v>93</v>
      </c>
      <c r="E186" s="50" t="s">
        <v>99</v>
      </c>
      <c r="F186" s="53" t="s">
        <v>121</v>
      </c>
      <c r="G186" s="53"/>
      <c r="H186" s="75" t="s">
        <v>100</v>
      </c>
      <c r="I186" s="75" t="s">
        <v>101</v>
      </c>
      <c r="J186" s="76" t="s">
        <v>95</v>
      </c>
      <c r="K186" s="74" t="s">
        <v>96</v>
      </c>
    </row>
    <row r="187" ht="19.5" customHeight="1">
      <c r="A187" s="141">
        <v>37046.0</v>
      </c>
      <c r="B187" s="49" t="s">
        <v>580</v>
      </c>
      <c r="C187" s="38" t="s">
        <v>158</v>
      </c>
      <c r="D187" s="39">
        <f>'39 ESTRUTURAL ADM, LAB E BIBLIO'!Y11</f>
        <v>10368.5725</v>
      </c>
      <c r="E187" s="37"/>
      <c r="F187" s="40"/>
      <c r="G187" s="40"/>
      <c r="H187" s="40"/>
      <c r="I187" s="42"/>
      <c r="J187" s="43">
        <f t="shared" ref="J187:J188" si="21">D187</f>
        <v>10368.5725</v>
      </c>
      <c r="K187" s="46"/>
    </row>
    <row r="188" ht="19.5" customHeight="1">
      <c r="A188" s="144" t="s">
        <v>581</v>
      </c>
      <c r="B188" s="49" t="s">
        <v>582</v>
      </c>
      <c r="C188" s="83" t="s">
        <v>103</v>
      </c>
      <c r="D188" s="115">
        <f>'39 ESTRUTURAL ADM, LAB E BIBLIO'!AA11</f>
        <v>909.5239035</v>
      </c>
      <c r="E188" s="37"/>
      <c r="F188" s="40"/>
      <c r="G188" s="40"/>
      <c r="H188" s="59"/>
      <c r="I188" s="82"/>
      <c r="J188" s="43">
        <f t="shared" si="21"/>
        <v>909.5239035</v>
      </c>
      <c r="K188" s="79"/>
    </row>
    <row r="189" ht="19.5" customHeight="1">
      <c r="A189" s="216" t="s">
        <v>1</v>
      </c>
      <c r="B189" s="74" t="s">
        <v>91</v>
      </c>
      <c r="C189" s="74" t="s">
        <v>92</v>
      </c>
      <c r="D189" s="76" t="s">
        <v>93</v>
      </c>
      <c r="E189" s="50" t="s">
        <v>99</v>
      </c>
      <c r="F189" s="53" t="s">
        <v>121</v>
      </c>
      <c r="G189" s="53"/>
      <c r="H189" s="75" t="s">
        <v>100</v>
      </c>
      <c r="I189" s="75" t="s">
        <v>101</v>
      </c>
      <c r="J189" s="76" t="s">
        <v>95</v>
      </c>
      <c r="K189" s="74" t="s">
        <v>96</v>
      </c>
    </row>
    <row r="190" ht="19.5" customHeight="1">
      <c r="A190" s="141">
        <v>37411.0</v>
      </c>
      <c r="B190" s="37" t="s">
        <v>189</v>
      </c>
      <c r="C190" s="46" t="s">
        <v>103</v>
      </c>
      <c r="D190" s="78">
        <v>1.0</v>
      </c>
      <c r="E190" s="49">
        <v>17.75</v>
      </c>
      <c r="F190" s="41">
        <v>53.05</v>
      </c>
      <c r="G190" s="40"/>
      <c r="H190" s="40">
        <f>F190*E190</f>
        <v>941.6375</v>
      </c>
      <c r="I190" s="42"/>
      <c r="J190" s="43">
        <f t="shared" ref="J190:J191" si="22">H190-I190</f>
        <v>941.6375</v>
      </c>
      <c r="K190" s="46"/>
    </row>
    <row r="191" ht="19.5" customHeight="1">
      <c r="A191" s="141">
        <v>37776.0</v>
      </c>
      <c r="B191" s="114" t="s">
        <v>583</v>
      </c>
      <c r="C191" s="83" t="s">
        <v>108</v>
      </c>
      <c r="D191" s="115">
        <v>1.0</v>
      </c>
      <c r="E191" s="49"/>
      <c r="F191" s="41">
        <v>53.05</v>
      </c>
      <c r="G191" s="40"/>
      <c r="H191" s="59">
        <f>D191*F191</f>
        <v>53.05</v>
      </c>
      <c r="I191" s="82"/>
      <c r="J191" s="43">
        <f t="shared" si="22"/>
        <v>53.05</v>
      </c>
      <c r="K191" s="79"/>
    </row>
    <row r="192" ht="19.5" customHeight="1">
      <c r="A192" s="216" t="s">
        <v>1</v>
      </c>
      <c r="B192" s="74" t="s">
        <v>91</v>
      </c>
      <c r="C192" s="74" t="s">
        <v>92</v>
      </c>
      <c r="D192" s="76" t="s">
        <v>93</v>
      </c>
      <c r="E192" s="50" t="s">
        <v>99</v>
      </c>
      <c r="F192" s="53" t="s">
        <v>121</v>
      </c>
      <c r="G192" s="53" t="s">
        <v>97</v>
      </c>
      <c r="H192" s="75" t="s">
        <v>100</v>
      </c>
      <c r="I192" s="75" t="s">
        <v>101</v>
      </c>
      <c r="J192" s="76" t="s">
        <v>95</v>
      </c>
      <c r="K192" s="74" t="s">
        <v>96</v>
      </c>
    </row>
    <row r="193" ht="19.5" customHeight="1">
      <c r="A193" s="141">
        <v>38142.0</v>
      </c>
      <c r="B193" s="49" t="s">
        <v>584</v>
      </c>
      <c r="C193" s="38" t="s">
        <v>108</v>
      </c>
      <c r="D193" s="78">
        <v>2.0</v>
      </c>
      <c r="E193" s="37"/>
      <c r="F193" s="41">
        <v>53.05</v>
      </c>
      <c r="G193" s="40"/>
      <c r="H193" s="40"/>
      <c r="I193" s="42"/>
      <c r="J193" s="43">
        <f>D193*F193</f>
        <v>106.1</v>
      </c>
      <c r="K193" s="46"/>
    </row>
    <row r="194" ht="19.5" customHeight="1">
      <c r="A194" s="216" t="s">
        <v>1</v>
      </c>
      <c r="B194" s="74" t="s">
        <v>91</v>
      </c>
      <c r="C194" s="74" t="s">
        <v>92</v>
      </c>
      <c r="D194" s="76" t="s">
        <v>93</v>
      </c>
      <c r="E194" s="50" t="s">
        <v>193</v>
      </c>
      <c r="F194" s="53" t="s">
        <v>121</v>
      </c>
      <c r="G194" s="53" t="s">
        <v>194</v>
      </c>
      <c r="H194" s="75" t="s">
        <v>100</v>
      </c>
      <c r="I194" s="75" t="s">
        <v>101</v>
      </c>
      <c r="J194" s="76" t="s">
        <v>95</v>
      </c>
      <c r="K194" s="74" t="s">
        <v>96</v>
      </c>
    </row>
    <row r="195" ht="19.5" customHeight="1">
      <c r="A195" s="220">
        <v>1.0</v>
      </c>
      <c r="B195" s="37" t="s">
        <v>361</v>
      </c>
      <c r="C195" s="46" t="s">
        <v>103</v>
      </c>
      <c r="D195" s="78">
        <v>2.0</v>
      </c>
      <c r="E195" s="37">
        <v>1.1</v>
      </c>
      <c r="F195" s="40">
        <v>55.0</v>
      </c>
      <c r="G195" s="40"/>
      <c r="H195" s="40">
        <f>F195*E195*D195</f>
        <v>121</v>
      </c>
      <c r="I195" s="42"/>
      <c r="J195" s="43">
        <f t="shared" ref="J195:J198" si="23">H195-I195</f>
        <v>121</v>
      </c>
      <c r="K195" s="46"/>
    </row>
    <row r="196" ht="19.5" customHeight="1">
      <c r="A196" s="220">
        <v>2.0</v>
      </c>
      <c r="B196" s="37"/>
      <c r="C196" s="46" t="s">
        <v>103</v>
      </c>
      <c r="D196" s="78">
        <v>1.0</v>
      </c>
      <c r="E196" s="37">
        <v>60.0</v>
      </c>
      <c r="F196" s="40"/>
      <c r="G196" s="40"/>
      <c r="H196" s="40">
        <f>E196*D196</f>
        <v>60</v>
      </c>
      <c r="I196" s="42"/>
      <c r="J196" s="43">
        <f t="shared" si="23"/>
        <v>60</v>
      </c>
      <c r="K196" s="79"/>
    </row>
    <row r="197" ht="19.5" customHeight="1">
      <c r="A197" s="220">
        <v>3.0</v>
      </c>
      <c r="B197" s="49" t="s">
        <v>585</v>
      </c>
      <c r="C197" s="46" t="s">
        <v>103</v>
      </c>
      <c r="D197" s="39">
        <v>4.0</v>
      </c>
      <c r="E197" s="37"/>
      <c r="F197" s="39">
        <v>17.81</v>
      </c>
      <c r="G197" s="41">
        <v>3.0</v>
      </c>
      <c r="H197" s="40">
        <f t="shared" ref="H197:H198" si="24">D197*F197*G197</f>
        <v>213.72</v>
      </c>
      <c r="I197" s="42">
        <f>4*(0.9*2.1+0.45*1.5)</f>
        <v>10.26</v>
      </c>
      <c r="J197" s="40">
        <f t="shared" si="23"/>
        <v>203.46</v>
      </c>
      <c r="K197" s="79"/>
    </row>
    <row r="198" ht="19.5" customHeight="1">
      <c r="A198" s="220">
        <v>4.0</v>
      </c>
      <c r="B198" s="49" t="s">
        <v>586</v>
      </c>
      <c r="C198" s="46" t="s">
        <v>103</v>
      </c>
      <c r="D198" s="39">
        <v>4.0</v>
      </c>
      <c r="E198" s="37"/>
      <c r="F198" s="39">
        <v>8.44</v>
      </c>
      <c r="G198" s="41">
        <v>3.0</v>
      </c>
      <c r="H198" s="40">
        <f t="shared" si="24"/>
        <v>101.28</v>
      </c>
      <c r="I198" s="152">
        <f>4*0.9*2.1</f>
        <v>7.56</v>
      </c>
      <c r="J198" s="40">
        <f t="shared" si="23"/>
        <v>93.72</v>
      </c>
      <c r="K198" s="79"/>
    </row>
    <row r="199" ht="19.5" customHeight="1">
      <c r="A199" s="220"/>
      <c r="B199" s="37"/>
      <c r="C199" s="46" t="s">
        <v>103</v>
      </c>
      <c r="D199" s="78">
        <v>2.0</v>
      </c>
      <c r="E199" s="37">
        <v>0.94</v>
      </c>
      <c r="F199" s="40">
        <v>2.5</v>
      </c>
      <c r="G199" s="40"/>
      <c r="H199" s="40">
        <f>F199*E199*D199</f>
        <v>4.7</v>
      </c>
      <c r="I199" s="42"/>
      <c r="J199" s="96">
        <f>SUM(J197:J198)</f>
        <v>297.18</v>
      </c>
      <c r="K199" s="79"/>
    </row>
    <row r="200" ht="19.5" customHeight="1">
      <c r="A200" s="216" t="s">
        <v>1</v>
      </c>
      <c r="B200" s="74" t="s">
        <v>91</v>
      </c>
      <c r="C200" s="74" t="s">
        <v>92</v>
      </c>
      <c r="D200" s="76" t="s">
        <v>93</v>
      </c>
      <c r="E200" s="50" t="s">
        <v>161</v>
      </c>
      <c r="F200" s="53"/>
      <c r="G200" s="53"/>
      <c r="H200" s="75" t="s">
        <v>100</v>
      </c>
      <c r="I200" s="75" t="s">
        <v>101</v>
      </c>
      <c r="J200" s="76" t="s">
        <v>95</v>
      </c>
      <c r="K200" s="74" t="s">
        <v>96</v>
      </c>
    </row>
    <row r="201" ht="19.5" customHeight="1">
      <c r="A201" s="141">
        <v>37107.0</v>
      </c>
      <c r="B201" s="49" t="s">
        <v>587</v>
      </c>
      <c r="C201" s="46" t="s">
        <v>103</v>
      </c>
      <c r="D201" s="39">
        <v>11.0</v>
      </c>
      <c r="E201" s="37"/>
      <c r="F201" s="39">
        <v>7.0</v>
      </c>
      <c r="G201" s="41">
        <v>8.0</v>
      </c>
      <c r="H201" s="40">
        <f>D201*F201*G201</f>
        <v>616</v>
      </c>
      <c r="I201" s="42"/>
      <c r="J201" s="142">
        <f t="shared" ref="J201:J206" si="25">H201-I201</f>
        <v>616</v>
      </c>
      <c r="K201" s="46"/>
    </row>
    <row r="202" ht="19.5" customHeight="1">
      <c r="A202" s="141">
        <v>37107.0</v>
      </c>
      <c r="B202" s="49" t="s">
        <v>588</v>
      </c>
      <c r="C202" s="46" t="s">
        <v>103</v>
      </c>
      <c r="D202" s="39">
        <v>1.0</v>
      </c>
      <c r="E202" s="37"/>
      <c r="F202" s="39"/>
      <c r="G202" s="41"/>
      <c r="H202" s="41">
        <v>47.7</v>
      </c>
      <c r="I202" s="82"/>
      <c r="J202" s="142">
        <f t="shared" si="25"/>
        <v>47.7</v>
      </c>
      <c r="K202" s="79"/>
    </row>
    <row r="203" ht="19.5" customHeight="1">
      <c r="A203" s="141">
        <v>37107.0</v>
      </c>
      <c r="B203" s="49" t="s">
        <v>589</v>
      </c>
      <c r="C203" s="46" t="s">
        <v>103</v>
      </c>
      <c r="D203" s="115">
        <v>1.0</v>
      </c>
      <c r="E203" s="37"/>
      <c r="F203" s="39"/>
      <c r="G203" s="40"/>
      <c r="H203" s="58">
        <v>182.3</v>
      </c>
      <c r="I203" s="82"/>
      <c r="J203" s="142">
        <f t="shared" si="25"/>
        <v>182.3</v>
      </c>
      <c r="K203" s="79"/>
    </row>
    <row r="204" ht="19.5" customHeight="1">
      <c r="A204" s="141">
        <v>37107.0</v>
      </c>
      <c r="B204" s="49" t="s">
        <v>590</v>
      </c>
      <c r="C204" s="46" t="s">
        <v>103</v>
      </c>
      <c r="D204" s="39">
        <v>11.0</v>
      </c>
      <c r="E204" s="37"/>
      <c r="F204" s="39">
        <v>7.0</v>
      </c>
      <c r="G204" s="41">
        <v>8.0</v>
      </c>
      <c r="H204" s="40">
        <f>D204*F204*G204</f>
        <v>616</v>
      </c>
      <c r="I204" s="82"/>
      <c r="J204" s="142">
        <f t="shared" si="25"/>
        <v>616</v>
      </c>
      <c r="K204" s="79"/>
    </row>
    <row r="205" ht="19.5" customHeight="1">
      <c r="A205" s="141">
        <v>37107.0</v>
      </c>
      <c r="B205" s="49" t="s">
        <v>591</v>
      </c>
      <c r="C205" s="46" t="s">
        <v>103</v>
      </c>
      <c r="D205" s="39">
        <v>1.0</v>
      </c>
      <c r="E205" s="37"/>
      <c r="F205" s="39"/>
      <c r="G205" s="41"/>
      <c r="H205" s="41">
        <v>47.7</v>
      </c>
      <c r="I205" s="82"/>
      <c r="J205" s="142">
        <f t="shared" si="25"/>
        <v>47.7</v>
      </c>
      <c r="K205" s="79"/>
    </row>
    <row r="206" ht="19.5" customHeight="1">
      <c r="A206" s="141">
        <v>37107.0</v>
      </c>
      <c r="B206" s="49" t="s">
        <v>592</v>
      </c>
      <c r="C206" s="46" t="s">
        <v>103</v>
      </c>
      <c r="D206" s="115">
        <v>1.0</v>
      </c>
      <c r="E206" s="37"/>
      <c r="F206" s="39"/>
      <c r="G206" s="40"/>
      <c r="H206" s="58">
        <v>182.3</v>
      </c>
      <c r="I206" s="82"/>
      <c r="J206" s="142">
        <f t="shared" si="25"/>
        <v>182.3</v>
      </c>
      <c r="K206" s="79"/>
    </row>
    <row r="207" ht="19.5" customHeight="1">
      <c r="A207" s="141">
        <v>37107.0</v>
      </c>
      <c r="B207" s="114"/>
      <c r="C207" s="79"/>
      <c r="D207" s="115"/>
      <c r="E207" s="37"/>
      <c r="F207" s="39"/>
      <c r="G207" s="40"/>
      <c r="H207" s="58"/>
      <c r="I207" s="82"/>
      <c r="J207" s="143">
        <f>SUM(J201:J206)</f>
        <v>1692</v>
      </c>
      <c r="K207" s="79"/>
    </row>
    <row r="208" ht="19.5" customHeight="1">
      <c r="A208" s="216" t="s">
        <v>1</v>
      </c>
      <c r="B208" s="74" t="s">
        <v>91</v>
      </c>
      <c r="C208" s="74" t="s">
        <v>92</v>
      </c>
      <c r="D208" s="76" t="s">
        <v>93</v>
      </c>
      <c r="E208" s="50" t="s">
        <v>99</v>
      </c>
      <c r="F208" s="53" t="s">
        <v>121</v>
      </c>
      <c r="G208" s="53" t="s">
        <v>97</v>
      </c>
      <c r="H208" s="75" t="s">
        <v>100</v>
      </c>
      <c r="I208" s="75" t="s">
        <v>101</v>
      </c>
      <c r="J208" s="76" t="s">
        <v>95</v>
      </c>
      <c r="K208" s="74" t="s">
        <v>96</v>
      </c>
    </row>
    <row r="209" ht="19.5" customHeight="1">
      <c r="A209" s="141">
        <v>37015.0</v>
      </c>
      <c r="B209" s="49" t="s">
        <v>593</v>
      </c>
      <c r="C209" s="46" t="s">
        <v>103</v>
      </c>
      <c r="D209" s="39">
        <v>11.0</v>
      </c>
      <c r="E209" s="49"/>
      <c r="F209" s="39">
        <f>(8+7)*2</f>
        <v>30</v>
      </c>
      <c r="G209" s="41">
        <v>3.0</v>
      </c>
      <c r="H209" s="40">
        <f t="shared" ref="H209:H212" si="26">D209*F209*G209</f>
        <v>990</v>
      </c>
      <c r="I209" s="42">
        <f>11*(0.45*1.5+1*2.1*0.9+2*1*1.5)</f>
        <v>61.215</v>
      </c>
      <c r="J209" s="40">
        <f t="shared" ref="J209:J212" si="27">H209-I209</f>
        <v>928.785</v>
      </c>
      <c r="K209" s="46"/>
    </row>
    <row r="210" ht="19.5" customHeight="1">
      <c r="A210" s="141">
        <v>37015.0</v>
      </c>
      <c r="B210" s="49" t="s">
        <v>594</v>
      </c>
      <c r="C210" s="46" t="s">
        <v>103</v>
      </c>
      <c r="D210" s="39">
        <v>1.0</v>
      </c>
      <c r="E210" s="37"/>
      <c r="F210" s="39">
        <v>178.05</v>
      </c>
      <c r="G210" s="41">
        <v>3.0</v>
      </c>
      <c r="H210" s="40">
        <f t="shared" si="26"/>
        <v>534.15</v>
      </c>
      <c r="I210" s="42">
        <f>15*2.1*0.9+12*0.45*1.5</f>
        <v>36.45</v>
      </c>
      <c r="J210" s="40">
        <f t="shared" si="27"/>
        <v>497.7</v>
      </c>
      <c r="K210" s="46"/>
    </row>
    <row r="211" ht="19.5" customHeight="1">
      <c r="A211" s="141">
        <v>37015.0</v>
      </c>
      <c r="B211" s="49" t="s">
        <v>595</v>
      </c>
      <c r="C211" s="46" t="s">
        <v>103</v>
      </c>
      <c r="D211" s="39">
        <v>2.0</v>
      </c>
      <c r="E211" s="37"/>
      <c r="F211" s="39">
        <v>17.81</v>
      </c>
      <c r="G211" s="41">
        <v>3.0</v>
      </c>
      <c r="H211" s="40">
        <f t="shared" si="26"/>
        <v>106.86</v>
      </c>
      <c r="I211" s="42">
        <f>2*(0.9*2.1+0.45*1.5)</f>
        <v>5.13</v>
      </c>
      <c r="J211" s="40">
        <f t="shared" si="27"/>
        <v>101.73</v>
      </c>
      <c r="K211" s="46"/>
    </row>
    <row r="212" ht="19.5" customHeight="1">
      <c r="A212" s="141">
        <v>37015.0</v>
      </c>
      <c r="B212" s="49" t="s">
        <v>596</v>
      </c>
      <c r="C212" s="46" t="s">
        <v>103</v>
      </c>
      <c r="D212" s="39">
        <v>2.0</v>
      </c>
      <c r="E212" s="37"/>
      <c r="F212" s="39">
        <v>8.44</v>
      </c>
      <c r="G212" s="41">
        <v>3.0</v>
      </c>
      <c r="H212" s="40">
        <f t="shared" si="26"/>
        <v>50.64</v>
      </c>
      <c r="I212" s="152">
        <f>2*0.9*2.1</f>
        <v>3.78</v>
      </c>
      <c r="J212" s="40">
        <f t="shared" si="27"/>
        <v>46.86</v>
      </c>
      <c r="K212" s="79"/>
    </row>
    <row r="213" ht="19.5" customHeight="1">
      <c r="A213" s="141">
        <v>37015.0</v>
      </c>
      <c r="B213" s="49"/>
      <c r="C213" s="46"/>
      <c r="D213" s="78"/>
      <c r="E213" s="37"/>
      <c r="F213" s="78"/>
      <c r="G213" s="40"/>
      <c r="H213" s="40"/>
      <c r="I213" s="42"/>
      <c r="J213" s="40"/>
      <c r="K213" s="79"/>
    </row>
    <row r="214" ht="19.5" customHeight="1">
      <c r="A214" s="141">
        <v>37015.0</v>
      </c>
      <c r="B214" s="49" t="s">
        <v>597</v>
      </c>
      <c r="C214" s="46" t="s">
        <v>103</v>
      </c>
      <c r="D214" s="39">
        <v>11.0</v>
      </c>
      <c r="E214" s="49"/>
      <c r="F214" s="39">
        <f>(8+7)*2</f>
        <v>30</v>
      </c>
      <c r="G214" s="41">
        <v>3.3</v>
      </c>
      <c r="H214" s="40">
        <f t="shared" ref="H214:H217" si="28">D214*F214*G214</f>
        <v>1089</v>
      </c>
      <c r="I214" s="42">
        <f>11*(0.45*1.5+1*2.1*0.9+2*1*1.5)</f>
        <v>61.215</v>
      </c>
      <c r="J214" s="40">
        <f t="shared" ref="J214:J217" si="29">H214-I214</f>
        <v>1027.785</v>
      </c>
      <c r="K214" s="79"/>
    </row>
    <row r="215" ht="19.5" customHeight="1">
      <c r="A215" s="141">
        <v>37015.0</v>
      </c>
      <c r="B215" s="49" t="s">
        <v>598</v>
      </c>
      <c r="C215" s="46" t="s">
        <v>103</v>
      </c>
      <c r="D215" s="39">
        <v>1.0</v>
      </c>
      <c r="E215" s="37"/>
      <c r="F215" s="39">
        <v>178.05</v>
      </c>
      <c r="G215" s="41">
        <v>3.3</v>
      </c>
      <c r="H215" s="40">
        <f t="shared" si="28"/>
        <v>587.565</v>
      </c>
      <c r="I215" s="42">
        <f>15*2.1*0.9+12*0.45*1.5</f>
        <v>36.45</v>
      </c>
      <c r="J215" s="40">
        <f t="shared" si="29"/>
        <v>551.115</v>
      </c>
      <c r="K215" s="79"/>
    </row>
    <row r="216" ht="19.5" customHeight="1">
      <c r="A216" s="141">
        <v>37015.0</v>
      </c>
      <c r="B216" s="49" t="s">
        <v>599</v>
      </c>
      <c r="C216" s="46" t="s">
        <v>103</v>
      </c>
      <c r="D216" s="39">
        <v>2.0</v>
      </c>
      <c r="E216" s="37"/>
      <c r="F216" s="39">
        <v>17.81</v>
      </c>
      <c r="G216" s="41">
        <v>3.3</v>
      </c>
      <c r="H216" s="40">
        <f t="shared" si="28"/>
        <v>117.546</v>
      </c>
      <c r="I216" s="42">
        <f>2*(0.9*2.1+0.45*1.5)</f>
        <v>5.13</v>
      </c>
      <c r="J216" s="40">
        <f t="shared" si="29"/>
        <v>112.416</v>
      </c>
      <c r="K216" s="79"/>
    </row>
    <row r="217" ht="19.5" customHeight="1">
      <c r="A217" s="141">
        <v>37015.0</v>
      </c>
      <c r="B217" s="49" t="s">
        <v>600</v>
      </c>
      <c r="C217" s="46" t="s">
        <v>103</v>
      </c>
      <c r="D217" s="39">
        <v>2.0</v>
      </c>
      <c r="E217" s="37"/>
      <c r="F217" s="39">
        <v>8.44</v>
      </c>
      <c r="G217" s="41">
        <v>3.3</v>
      </c>
      <c r="H217" s="40">
        <f t="shared" si="28"/>
        <v>55.704</v>
      </c>
      <c r="I217" s="152">
        <f>2*0.9*2.1</f>
        <v>3.78</v>
      </c>
      <c r="J217" s="40">
        <f t="shared" si="29"/>
        <v>51.924</v>
      </c>
      <c r="K217" s="79"/>
    </row>
    <row r="218" ht="19.5" customHeight="1">
      <c r="A218" s="141">
        <v>37015.0</v>
      </c>
      <c r="B218" s="95"/>
      <c r="C218" s="79"/>
      <c r="D218" s="92"/>
      <c r="E218" s="37"/>
      <c r="F218" s="78"/>
      <c r="G218" s="40"/>
      <c r="H218" s="59"/>
      <c r="I218" s="93"/>
      <c r="J218" s="96">
        <f>SUM(J209:J217)</f>
        <v>3318.315</v>
      </c>
      <c r="K218" s="79"/>
    </row>
    <row r="219" ht="19.5" customHeight="1">
      <c r="A219" s="141">
        <v>37380.0</v>
      </c>
      <c r="B219" s="114" t="s">
        <v>601</v>
      </c>
      <c r="C219" s="46" t="s">
        <v>103</v>
      </c>
      <c r="D219" s="94">
        <v>2.0</v>
      </c>
      <c r="E219" s="49">
        <v>17.75</v>
      </c>
      <c r="F219" s="39">
        <v>53.05</v>
      </c>
      <c r="G219" s="41">
        <v>1.55</v>
      </c>
      <c r="H219" s="59">
        <f t="shared" ref="H219:H220" si="30">(E219+F219)*D219*G219</f>
        <v>219.48</v>
      </c>
      <c r="I219" s="93"/>
      <c r="J219" s="153">
        <f>H219</f>
        <v>219.48</v>
      </c>
      <c r="K219" s="79"/>
    </row>
    <row r="220" ht="19.5" customHeight="1">
      <c r="A220" s="141">
        <v>37380.0</v>
      </c>
      <c r="B220" s="114" t="s">
        <v>602</v>
      </c>
      <c r="C220" s="46" t="s">
        <v>103</v>
      </c>
      <c r="D220" s="94">
        <v>2.0</v>
      </c>
      <c r="E220" s="49">
        <v>18.05</v>
      </c>
      <c r="F220" s="39">
        <v>53.35</v>
      </c>
      <c r="G220" s="41">
        <v>8.3</v>
      </c>
      <c r="H220" s="59">
        <f t="shared" si="30"/>
        <v>1185.24</v>
      </c>
      <c r="I220" s="93">
        <f>44*1.5*1+4*0.45*1.5</f>
        <v>68.7</v>
      </c>
      <c r="J220" s="153">
        <f t="shared" ref="J220:J221" si="31">H220-I220</f>
        <v>1116.54</v>
      </c>
      <c r="K220" s="79"/>
    </row>
    <row r="221" ht="19.5" customHeight="1">
      <c r="A221" s="141"/>
      <c r="B221" s="114" t="s">
        <v>603</v>
      </c>
      <c r="C221" s="46" t="s">
        <v>103</v>
      </c>
      <c r="D221" s="115">
        <f>7*2</f>
        <v>14</v>
      </c>
      <c r="E221" s="37"/>
      <c r="F221" s="39">
        <v>1.65</v>
      </c>
      <c r="G221" s="41">
        <v>6.4</v>
      </c>
      <c r="H221" s="59">
        <f>D221*F221*G221</f>
        <v>147.84</v>
      </c>
      <c r="I221" s="93"/>
      <c r="J221" s="153">
        <f t="shared" si="31"/>
        <v>147.84</v>
      </c>
      <c r="K221" s="79"/>
    </row>
    <row r="222" ht="19.5" customHeight="1">
      <c r="A222" s="141">
        <v>37380.0</v>
      </c>
      <c r="B222" s="114"/>
      <c r="C222" s="79"/>
      <c r="D222" s="94"/>
      <c r="E222" s="49"/>
      <c r="F222" s="39"/>
      <c r="G222" s="41"/>
      <c r="H222" s="59"/>
      <c r="I222" s="93"/>
      <c r="J222" s="96">
        <f>SUM(J219:J221)</f>
        <v>1483.86</v>
      </c>
      <c r="K222" s="79"/>
    </row>
    <row r="223" ht="19.5" customHeight="1">
      <c r="A223" s="144">
        <v>38111.0</v>
      </c>
      <c r="B223" s="114" t="s">
        <v>604</v>
      </c>
      <c r="C223" s="46" t="s">
        <v>103</v>
      </c>
      <c r="D223" s="94">
        <v>2.0</v>
      </c>
      <c r="E223" s="49">
        <v>0.65</v>
      </c>
      <c r="F223" s="39">
        <v>52.0</v>
      </c>
      <c r="G223" s="41"/>
      <c r="H223" s="59">
        <f>D223*E223*F223</f>
        <v>67.6</v>
      </c>
      <c r="I223" s="93"/>
      <c r="J223" s="96">
        <f>H223</f>
        <v>67.6</v>
      </c>
      <c r="K223" s="79"/>
    </row>
    <row r="224" ht="19.5" customHeight="1">
      <c r="A224" s="216" t="s">
        <v>1</v>
      </c>
      <c r="B224" s="74" t="s">
        <v>91</v>
      </c>
      <c r="C224" s="74" t="s">
        <v>92</v>
      </c>
      <c r="D224" s="76" t="s">
        <v>93</v>
      </c>
      <c r="E224" s="50" t="s">
        <v>99</v>
      </c>
      <c r="F224" s="53" t="s">
        <v>121</v>
      </c>
      <c r="G224" s="53" t="s">
        <v>97</v>
      </c>
      <c r="H224" s="75" t="s">
        <v>100</v>
      </c>
      <c r="I224" s="75" t="s">
        <v>101</v>
      </c>
      <c r="J224" s="76" t="s">
        <v>95</v>
      </c>
      <c r="K224" s="74" t="s">
        <v>96</v>
      </c>
    </row>
    <row r="225" ht="19.5" customHeight="1">
      <c r="A225" s="141">
        <v>37745.0</v>
      </c>
      <c r="B225" s="49" t="s">
        <v>605</v>
      </c>
      <c r="C225" s="46" t="s">
        <v>103</v>
      </c>
      <c r="D225" s="39">
        <v>11.0</v>
      </c>
      <c r="E225" s="49"/>
      <c r="F225" s="39">
        <f>(8+7)*2</f>
        <v>30</v>
      </c>
      <c r="G225" s="41">
        <v>3.0</v>
      </c>
      <c r="H225" s="40">
        <f t="shared" ref="H225:H228" si="32">D225*F225*G225</f>
        <v>990</v>
      </c>
      <c r="I225" s="42">
        <f>11*(0.45*1.5+1*2.1*0.9+2*1*1.5)</f>
        <v>61.215</v>
      </c>
      <c r="J225" s="40">
        <f t="shared" ref="J225:J228" si="33">H225-I225</f>
        <v>928.785</v>
      </c>
      <c r="K225" s="79"/>
    </row>
    <row r="226" ht="19.5" customHeight="1">
      <c r="A226" s="141">
        <v>37745.0</v>
      </c>
      <c r="B226" s="49" t="s">
        <v>606</v>
      </c>
      <c r="C226" s="46" t="s">
        <v>103</v>
      </c>
      <c r="D226" s="39">
        <v>1.0</v>
      </c>
      <c r="E226" s="37"/>
      <c r="F226" s="39">
        <v>178.05</v>
      </c>
      <c r="G226" s="41">
        <v>3.0</v>
      </c>
      <c r="H226" s="40">
        <f t="shared" si="32"/>
        <v>534.15</v>
      </c>
      <c r="I226" s="42">
        <f>15*2.1*0.9+12*0.45*1.5</f>
        <v>36.45</v>
      </c>
      <c r="J226" s="40">
        <f t="shared" si="33"/>
        <v>497.7</v>
      </c>
      <c r="K226" s="79"/>
    </row>
    <row r="227" ht="19.5" customHeight="1">
      <c r="A227" s="141">
        <v>37745.0</v>
      </c>
      <c r="B227" s="49" t="s">
        <v>607</v>
      </c>
      <c r="C227" s="46" t="s">
        <v>103</v>
      </c>
      <c r="D227" s="39">
        <v>2.0</v>
      </c>
      <c r="E227" s="37"/>
      <c r="F227" s="39">
        <v>17.81</v>
      </c>
      <c r="G227" s="41">
        <v>3.0</v>
      </c>
      <c r="H227" s="40">
        <f t="shared" si="32"/>
        <v>106.86</v>
      </c>
      <c r="I227" s="42">
        <f>2*(0.9*2.1+0.45*1.5)</f>
        <v>5.13</v>
      </c>
      <c r="J227" s="40">
        <f t="shared" si="33"/>
        <v>101.73</v>
      </c>
      <c r="K227" s="79"/>
    </row>
    <row r="228" ht="19.5" customHeight="1">
      <c r="A228" s="141">
        <v>37745.0</v>
      </c>
      <c r="B228" s="49" t="s">
        <v>608</v>
      </c>
      <c r="C228" s="46" t="s">
        <v>103</v>
      </c>
      <c r="D228" s="39">
        <v>2.0</v>
      </c>
      <c r="E228" s="37"/>
      <c r="F228" s="39">
        <v>8.44</v>
      </c>
      <c r="G228" s="41">
        <v>3.0</v>
      </c>
      <c r="H228" s="40">
        <f t="shared" si="32"/>
        <v>50.64</v>
      </c>
      <c r="I228" s="152">
        <f>2*0.9*2.1</f>
        <v>3.78</v>
      </c>
      <c r="J228" s="40">
        <f t="shared" si="33"/>
        <v>46.86</v>
      </c>
      <c r="K228" s="79"/>
    </row>
    <row r="229" ht="19.5" customHeight="1">
      <c r="A229" s="141">
        <v>37745.0</v>
      </c>
      <c r="B229" s="49"/>
      <c r="C229" s="46"/>
      <c r="D229" s="78"/>
      <c r="E229" s="37"/>
      <c r="F229" s="78"/>
      <c r="G229" s="40"/>
      <c r="H229" s="40"/>
      <c r="I229" s="42"/>
      <c r="J229" s="40"/>
      <c r="K229" s="79"/>
    </row>
    <row r="230" ht="19.5" customHeight="1">
      <c r="A230" s="141">
        <v>37745.0</v>
      </c>
      <c r="B230" s="49" t="s">
        <v>609</v>
      </c>
      <c r="C230" s="46" t="s">
        <v>103</v>
      </c>
      <c r="D230" s="39">
        <v>11.0</v>
      </c>
      <c r="E230" s="49"/>
      <c r="F230" s="39">
        <f>(8+7)*2</f>
        <v>30</v>
      </c>
      <c r="G230" s="41">
        <v>3.3</v>
      </c>
      <c r="H230" s="40">
        <f t="shared" ref="H230:H233" si="34">D230*F230*G230</f>
        <v>1089</v>
      </c>
      <c r="I230" s="42">
        <f>11*(0.45*1.5+1*2.1*0.9+2*1*1.5)</f>
        <v>61.215</v>
      </c>
      <c r="J230" s="40">
        <f t="shared" ref="J230:J233" si="35">H230-I230</f>
        <v>1027.785</v>
      </c>
      <c r="K230" s="79"/>
    </row>
    <row r="231" ht="19.5" customHeight="1">
      <c r="A231" s="141">
        <v>37745.0</v>
      </c>
      <c r="B231" s="49" t="s">
        <v>610</v>
      </c>
      <c r="C231" s="46" t="s">
        <v>103</v>
      </c>
      <c r="D231" s="39">
        <v>1.0</v>
      </c>
      <c r="E231" s="37"/>
      <c r="F231" s="39">
        <v>178.05</v>
      </c>
      <c r="G231" s="41">
        <v>3.3</v>
      </c>
      <c r="H231" s="40">
        <f t="shared" si="34"/>
        <v>587.565</v>
      </c>
      <c r="I231" s="42">
        <f>15*2.1*0.9+12*0.45*1.5</f>
        <v>36.45</v>
      </c>
      <c r="J231" s="40">
        <f t="shared" si="35"/>
        <v>551.115</v>
      </c>
      <c r="K231" s="46"/>
    </row>
    <row r="232" ht="19.5" customHeight="1">
      <c r="A232" s="141">
        <v>37745.0</v>
      </c>
      <c r="B232" s="49" t="s">
        <v>611</v>
      </c>
      <c r="C232" s="46" t="s">
        <v>103</v>
      </c>
      <c r="D232" s="39">
        <v>2.0</v>
      </c>
      <c r="E232" s="37"/>
      <c r="F232" s="39">
        <v>17.81</v>
      </c>
      <c r="G232" s="41">
        <v>3.3</v>
      </c>
      <c r="H232" s="40">
        <f t="shared" si="34"/>
        <v>117.546</v>
      </c>
      <c r="I232" s="42">
        <f>2*(0.9*2.1+0.45*1.5)</f>
        <v>5.13</v>
      </c>
      <c r="J232" s="40">
        <f t="shared" si="35"/>
        <v>112.416</v>
      </c>
      <c r="K232" s="46"/>
    </row>
    <row r="233" ht="19.5" customHeight="1">
      <c r="A233" s="141">
        <v>37745.0</v>
      </c>
      <c r="B233" s="49" t="s">
        <v>612</v>
      </c>
      <c r="C233" s="46" t="s">
        <v>103</v>
      </c>
      <c r="D233" s="39">
        <v>2.0</v>
      </c>
      <c r="E233" s="37"/>
      <c r="F233" s="39">
        <v>8.44</v>
      </c>
      <c r="G233" s="41">
        <v>3.3</v>
      </c>
      <c r="H233" s="40">
        <f t="shared" si="34"/>
        <v>55.704</v>
      </c>
      <c r="I233" s="152">
        <f>2*0.9*2.1</f>
        <v>3.78</v>
      </c>
      <c r="J233" s="40">
        <f t="shared" si="35"/>
        <v>51.924</v>
      </c>
      <c r="K233" s="46"/>
    </row>
    <row r="234" ht="19.5" customHeight="1">
      <c r="A234" s="141">
        <v>37745.0</v>
      </c>
      <c r="B234" s="95"/>
      <c r="C234" s="79"/>
      <c r="D234" s="92"/>
      <c r="E234" s="37"/>
      <c r="F234" s="78"/>
      <c r="G234" s="40"/>
      <c r="H234" s="59"/>
      <c r="I234" s="93"/>
      <c r="J234" s="96">
        <f>SUM(J225:J233)</f>
        <v>3318.315</v>
      </c>
      <c r="K234" s="46"/>
    </row>
    <row r="235" ht="19.5" customHeight="1">
      <c r="A235" s="141">
        <v>38111.0</v>
      </c>
      <c r="B235" s="114" t="s">
        <v>613</v>
      </c>
      <c r="C235" s="46" t="s">
        <v>103</v>
      </c>
      <c r="D235" s="94">
        <v>2.0</v>
      </c>
      <c r="E235" s="49">
        <v>17.75</v>
      </c>
      <c r="F235" s="39">
        <v>53.05</v>
      </c>
      <c r="G235" s="41">
        <v>1.55</v>
      </c>
      <c r="H235" s="59">
        <f t="shared" ref="H235:H236" si="36">(E235+F235)*D235*G235</f>
        <v>219.48</v>
      </c>
      <c r="I235" s="93"/>
      <c r="J235" s="153">
        <f>H235</f>
        <v>219.48</v>
      </c>
      <c r="K235" s="46"/>
    </row>
    <row r="236" ht="19.5" customHeight="1">
      <c r="A236" s="141">
        <v>38111.0</v>
      </c>
      <c r="B236" s="114" t="s">
        <v>614</v>
      </c>
      <c r="C236" s="46" t="s">
        <v>103</v>
      </c>
      <c r="D236" s="94">
        <v>2.0</v>
      </c>
      <c r="E236" s="49">
        <v>18.05</v>
      </c>
      <c r="F236" s="39">
        <v>53.35</v>
      </c>
      <c r="G236" s="41">
        <v>8.3</v>
      </c>
      <c r="H236" s="59">
        <f t="shared" si="36"/>
        <v>1185.24</v>
      </c>
      <c r="I236" s="93">
        <f>44*1.5*1+4*0.45*1.5</f>
        <v>68.7</v>
      </c>
      <c r="J236" s="153">
        <f t="shared" ref="J236:J237" si="37">H236-I236</f>
        <v>1116.54</v>
      </c>
      <c r="K236" s="46"/>
    </row>
    <row r="237" ht="19.5" customHeight="1">
      <c r="A237" s="141">
        <v>38111.0</v>
      </c>
      <c r="B237" s="114" t="s">
        <v>615</v>
      </c>
      <c r="C237" s="46" t="s">
        <v>103</v>
      </c>
      <c r="D237" s="115">
        <f>7*2</f>
        <v>14</v>
      </c>
      <c r="E237" s="37"/>
      <c r="F237" s="39">
        <v>1.65</v>
      </c>
      <c r="G237" s="41">
        <v>6.4</v>
      </c>
      <c r="H237" s="59">
        <f>D237*F237*G237</f>
        <v>147.84</v>
      </c>
      <c r="I237" s="93"/>
      <c r="J237" s="153">
        <f t="shared" si="37"/>
        <v>147.84</v>
      </c>
      <c r="K237" s="46"/>
    </row>
    <row r="238" ht="19.5" customHeight="1">
      <c r="A238" s="141">
        <v>38111.0</v>
      </c>
      <c r="B238" s="114"/>
      <c r="C238" s="79"/>
      <c r="D238" s="94"/>
      <c r="E238" s="49"/>
      <c r="F238" s="39"/>
      <c r="G238" s="41"/>
      <c r="H238" s="59"/>
      <c r="I238" s="93"/>
      <c r="J238" s="96">
        <f>SUM(J235:J237)</f>
        <v>1483.86</v>
      </c>
      <c r="K238" s="46"/>
    </row>
    <row r="239" ht="19.5" customHeight="1">
      <c r="A239" s="144">
        <v>38841.0</v>
      </c>
      <c r="B239" s="114" t="s">
        <v>616</v>
      </c>
      <c r="C239" s="46" t="s">
        <v>103</v>
      </c>
      <c r="D239" s="94">
        <v>2.0</v>
      </c>
      <c r="E239" s="49">
        <v>0.65</v>
      </c>
      <c r="F239" s="39">
        <v>52.0</v>
      </c>
      <c r="G239" s="41"/>
      <c r="H239" s="59">
        <f>D239*E239*F239</f>
        <v>67.6</v>
      </c>
      <c r="I239" s="93"/>
      <c r="J239" s="96">
        <f>H239</f>
        <v>67.6</v>
      </c>
      <c r="K239" s="79"/>
    </row>
    <row r="240" ht="19.5" customHeight="1">
      <c r="A240" s="216" t="s">
        <v>1</v>
      </c>
      <c r="B240" s="74" t="s">
        <v>91</v>
      </c>
      <c r="C240" s="74" t="s">
        <v>92</v>
      </c>
      <c r="D240" s="76" t="s">
        <v>93</v>
      </c>
      <c r="E240" s="50" t="s">
        <v>99</v>
      </c>
      <c r="F240" s="53" t="s">
        <v>121</v>
      </c>
      <c r="G240" s="53" t="s">
        <v>97</v>
      </c>
      <c r="H240" s="75" t="s">
        <v>100</v>
      </c>
      <c r="I240" s="75" t="s">
        <v>101</v>
      </c>
      <c r="J240" s="76" t="s">
        <v>95</v>
      </c>
      <c r="K240" s="74" t="s">
        <v>96</v>
      </c>
    </row>
    <row r="241" ht="19.5" customHeight="1">
      <c r="A241" s="141" t="s">
        <v>617</v>
      </c>
      <c r="B241" s="49" t="s">
        <v>618</v>
      </c>
      <c r="C241" s="46" t="s">
        <v>103</v>
      </c>
      <c r="D241" s="39">
        <v>1.0</v>
      </c>
      <c r="E241" s="37"/>
      <c r="F241" s="39">
        <v>178.05</v>
      </c>
      <c r="G241" s="41">
        <v>2.75</v>
      </c>
      <c r="H241" s="40">
        <f t="shared" ref="H241:H244" si="38">D241*F241*G241</f>
        <v>489.6375</v>
      </c>
      <c r="I241" s="42">
        <f>15*2.1*0.9+12*0.45*1.5</f>
        <v>36.45</v>
      </c>
      <c r="J241" s="40">
        <f t="shared" ref="J241:J244" si="39">H241-I241</f>
        <v>453.1875</v>
      </c>
      <c r="K241" s="46"/>
    </row>
    <row r="242" ht="19.5" customHeight="1">
      <c r="A242" s="141" t="s">
        <v>617</v>
      </c>
      <c r="B242" s="155" t="s">
        <v>619</v>
      </c>
      <c r="C242" s="46" t="s">
        <v>103</v>
      </c>
      <c r="D242" s="39">
        <v>11.0</v>
      </c>
      <c r="E242" s="49"/>
      <c r="F242" s="39">
        <f>(8+7)*2</f>
        <v>30</v>
      </c>
      <c r="G242" s="41">
        <f>2.75-1.6</f>
        <v>1.15</v>
      </c>
      <c r="H242" s="40">
        <f t="shared" si="38"/>
        <v>379.5</v>
      </c>
      <c r="I242" s="42">
        <f>11*0.45*1.5</f>
        <v>7.425</v>
      </c>
      <c r="J242" s="40">
        <f t="shared" si="39"/>
        <v>372.075</v>
      </c>
      <c r="K242" s="46"/>
    </row>
    <row r="243" ht="19.5" customHeight="1">
      <c r="A243" s="141" t="s">
        <v>617</v>
      </c>
      <c r="B243" s="49" t="s">
        <v>620</v>
      </c>
      <c r="C243" s="46" t="s">
        <v>103</v>
      </c>
      <c r="D243" s="39">
        <v>1.0</v>
      </c>
      <c r="E243" s="37"/>
      <c r="F243" s="39">
        <v>178.05</v>
      </c>
      <c r="G243" s="41">
        <v>2.75</v>
      </c>
      <c r="H243" s="40">
        <f t="shared" si="38"/>
        <v>489.6375</v>
      </c>
      <c r="I243" s="42">
        <f>15*2.1*0.9+12*0.45*1.5</f>
        <v>36.45</v>
      </c>
      <c r="J243" s="40">
        <f t="shared" si="39"/>
        <v>453.1875</v>
      </c>
      <c r="K243" s="46"/>
    </row>
    <row r="244" ht="19.5" customHeight="1">
      <c r="A244" s="141" t="s">
        <v>617</v>
      </c>
      <c r="B244" s="155" t="s">
        <v>621</v>
      </c>
      <c r="C244" s="46" t="s">
        <v>103</v>
      </c>
      <c r="D244" s="39">
        <v>11.0</v>
      </c>
      <c r="E244" s="49"/>
      <c r="F244" s="39">
        <f>(8+7)*2</f>
        <v>30</v>
      </c>
      <c r="G244" s="41">
        <f>2.75-1.6</f>
        <v>1.15</v>
      </c>
      <c r="H244" s="40">
        <f t="shared" si="38"/>
        <v>379.5</v>
      </c>
      <c r="I244" s="42">
        <f>11*0.45*1.5</f>
        <v>7.425</v>
      </c>
      <c r="J244" s="40">
        <f t="shared" si="39"/>
        <v>372.075</v>
      </c>
      <c r="K244" s="46"/>
    </row>
    <row r="245" ht="19.5" customHeight="1">
      <c r="A245" s="141" t="s">
        <v>617</v>
      </c>
      <c r="B245" s="37"/>
      <c r="C245" s="46" t="s">
        <v>103</v>
      </c>
      <c r="D245" s="78"/>
      <c r="E245" s="37"/>
      <c r="F245" s="78"/>
      <c r="G245" s="40"/>
      <c r="H245" s="40"/>
      <c r="I245" s="93"/>
      <c r="J245" s="64">
        <f>SUM(J241:J244)</f>
        <v>1650.525</v>
      </c>
      <c r="K245" s="132"/>
    </row>
    <row r="246" ht="19.5" customHeight="1">
      <c r="A246" s="216" t="s">
        <v>1</v>
      </c>
      <c r="B246" s="99" t="s">
        <v>91</v>
      </c>
      <c r="C246" s="74" t="s">
        <v>92</v>
      </c>
      <c r="D246" s="76" t="s">
        <v>93</v>
      </c>
      <c r="E246" s="50" t="s">
        <v>99</v>
      </c>
      <c r="F246" s="53" t="s">
        <v>121</v>
      </c>
      <c r="G246" s="53" t="s">
        <v>97</v>
      </c>
      <c r="H246" s="75" t="s">
        <v>100</v>
      </c>
      <c r="I246" s="75" t="s">
        <v>101</v>
      </c>
      <c r="J246" s="76" t="s">
        <v>95</v>
      </c>
      <c r="K246" s="74" t="s">
        <v>96</v>
      </c>
    </row>
    <row r="247" ht="19.5" customHeight="1">
      <c r="A247" s="141">
        <v>39206.0</v>
      </c>
      <c r="B247" s="155" t="s">
        <v>622</v>
      </c>
      <c r="C247" s="46" t="s">
        <v>103</v>
      </c>
      <c r="D247" s="39">
        <v>11.0</v>
      </c>
      <c r="E247" s="49"/>
      <c r="F247" s="39">
        <f t="shared" ref="F247:F248" si="40">(8+7)*2</f>
        <v>30</v>
      </c>
      <c r="G247" s="41">
        <v>1.6</v>
      </c>
      <c r="H247" s="40">
        <f t="shared" ref="H247:H248" si="41">D247*F247*G247</f>
        <v>528</v>
      </c>
      <c r="I247" s="42"/>
      <c r="J247" s="40">
        <f t="shared" ref="J247:J248" si="42">H247</f>
        <v>528</v>
      </c>
      <c r="K247" s="46"/>
    </row>
    <row r="248" ht="19.5" customHeight="1">
      <c r="A248" s="156">
        <v>39206.0</v>
      </c>
      <c r="B248" s="157" t="s">
        <v>623</v>
      </c>
      <c r="C248" s="158" t="s">
        <v>103</v>
      </c>
      <c r="D248" s="159">
        <v>11.0</v>
      </c>
      <c r="E248" s="160"/>
      <c r="F248" s="159">
        <f t="shared" si="40"/>
        <v>30</v>
      </c>
      <c r="G248" s="161">
        <v>1.6</v>
      </c>
      <c r="H248" s="162">
        <f t="shared" si="41"/>
        <v>528</v>
      </c>
      <c r="I248" s="163"/>
      <c r="J248" s="162">
        <f t="shared" si="42"/>
        <v>528</v>
      </c>
      <c r="K248" s="164"/>
      <c r="L248" s="165"/>
      <c r="M248" s="165"/>
      <c r="N248" s="165"/>
      <c r="O248" s="165"/>
      <c r="P248" s="165"/>
      <c r="Q248" s="165"/>
      <c r="R248" s="165"/>
      <c r="S248" s="165"/>
      <c r="T248" s="165"/>
      <c r="U248" s="165"/>
      <c r="V248" s="165"/>
      <c r="W248" s="165"/>
      <c r="X248" s="165"/>
      <c r="Y248" s="165"/>
      <c r="Z248" s="165"/>
    </row>
    <row r="249" ht="19.5" customHeight="1">
      <c r="A249" s="141">
        <v>39206.0</v>
      </c>
      <c r="B249" s="155"/>
      <c r="C249" s="46"/>
      <c r="D249" s="39"/>
      <c r="E249" s="37"/>
      <c r="F249" s="39"/>
      <c r="G249" s="41"/>
      <c r="H249" s="40"/>
      <c r="I249" s="42"/>
      <c r="J249" s="133">
        <f>SUM(J247:J248)</f>
        <v>1056</v>
      </c>
      <c r="K249" s="79"/>
    </row>
    <row r="250" ht="19.5" customHeight="1">
      <c r="A250" s="141">
        <v>39572.0</v>
      </c>
      <c r="B250" s="155" t="s">
        <v>624</v>
      </c>
      <c r="C250" s="46" t="s">
        <v>103</v>
      </c>
      <c r="D250" s="39">
        <v>2.0</v>
      </c>
      <c r="E250" s="37"/>
      <c r="F250" s="39">
        <v>17.81</v>
      </c>
      <c r="G250" s="41">
        <v>2.75</v>
      </c>
      <c r="H250" s="40">
        <f t="shared" ref="H250:H253" si="43">D250*F250*G250</f>
        <v>97.955</v>
      </c>
      <c r="I250" s="42"/>
      <c r="J250" s="40">
        <f t="shared" ref="J250:J253" si="44">H250</f>
        <v>97.955</v>
      </c>
      <c r="K250" s="79"/>
    </row>
    <row r="251" ht="19.5" customHeight="1">
      <c r="A251" s="141">
        <v>39572.0</v>
      </c>
      <c r="B251" s="155" t="s">
        <v>625</v>
      </c>
      <c r="C251" s="46" t="s">
        <v>103</v>
      </c>
      <c r="D251" s="39">
        <v>2.0</v>
      </c>
      <c r="E251" s="37"/>
      <c r="F251" s="39">
        <v>8.44</v>
      </c>
      <c r="G251" s="41">
        <v>2.75</v>
      </c>
      <c r="H251" s="40">
        <f t="shared" si="43"/>
        <v>46.42</v>
      </c>
      <c r="I251" s="42"/>
      <c r="J251" s="40">
        <f t="shared" si="44"/>
        <v>46.42</v>
      </c>
      <c r="K251" s="79"/>
    </row>
    <row r="252" ht="19.5" customHeight="1">
      <c r="A252" s="141">
        <v>39572.0</v>
      </c>
      <c r="B252" s="155" t="s">
        <v>626</v>
      </c>
      <c r="C252" s="46" t="s">
        <v>103</v>
      </c>
      <c r="D252" s="39">
        <v>2.0</v>
      </c>
      <c r="E252" s="37"/>
      <c r="F252" s="39">
        <v>17.81</v>
      </c>
      <c r="G252" s="41">
        <v>2.75</v>
      </c>
      <c r="H252" s="40">
        <f t="shared" si="43"/>
        <v>97.955</v>
      </c>
      <c r="I252" s="93"/>
      <c r="J252" s="40">
        <f t="shared" si="44"/>
        <v>97.955</v>
      </c>
      <c r="K252" s="79"/>
    </row>
    <row r="253" ht="19.5" customHeight="1">
      <c r="A253" s="141">
        <v>39572.0</v>
      </c>
      <c r="B253" s="155" t="s">
        <v>627</v>
      </c>
      <c r="C253" s="46" t="s">
        <v>103</v>
      </c>
      <c r="D253" s="39">
        <v>2.0</v>
      </c>
      <c r="E253" s="37"/>
      <c r="F253" s="39">
        <v>8.44</v>
      </c>
      <c r="G253" s="41">
        <v>2.75</v>
      </c>
      <c r="H253" s="40">
        <f t="shared" si="43"/>
        <v>46.42</v>
      </c>
      <c r="I253" s="93"/>
      <c r="J253" s="40">
        <f t="shared" si="44"/>
        <v>46.42</v>
      </c>
      <c r="K253" s="79"/>
    </row>
    <row r="254" ht="19.5" customHeight="1">
      <c r="A254" s="141">
        <v>39572.0</v>
      </c>
      <c r="B254" s="166"/>
      <c r="C254" s="79"/>
      <c r="D254" s="115"/>
      <c r="E254" s="37"/>
      <c r="F254" s="39"/>
      <c r="G254" s="41"/>
      <c r="H254" s="59"/>
      <c r="I254" s="93"/>
      <c r="J254" s="133">
        <f>SUM(J250:J253)</f>
        <v>288.75</v>
      </c>
      <c r="K254" s="79"/>
    </row>
    <row r="255" ht="19.5" customHeight="1">
      <c r="A255" s="144">
        <v>39937.0</v>
      </c>
      <c r="B255" s="114" t="s">
        <v>628</v>
      </c>
      <c r="C255" s="46" t="s">
        <v>103</v>
      </c>
      <c r="D255" s="94">
        <v>2.0</v>
      </c>
      <c r="E255" s="49">
        <v>17.75</v>
      </c>
      <c r="F255" s="39">
        <v>53.05</v>
      </c>
      <c r="G255" s="41">
        <v>1.55</v>
      </c>
      <c r="H255" s="59">
        <f t="shared" ref="H255:H256" si="45">(E255+F255)*D255*G255</f>
        <v>219.48</v>
      </c>
      <c r="I255" s="93"/>
      <c r="J255" s="153">
        <f>H255</f>
        <v>219.48</v>
      </c>
      <c r="K255" s="79"/>
    </row>
    <row r="256" ht="19.5" customHeight="1">
      <c r="A256" s="144">
        <v>39937.0</v>
      </c>
      <c r="B256" s="114" t="s">
        <v>629</v>
      </c>
      <c r="C256" s="46" t="s">
        <v>103</v>
      </c>
      <c r="D256" s="94">
        <v>2.0</v>
      </c>
      <c r="E256" s="49">
        <v>18.05</v>
      </c>
      <c r="F256" s="39">
        <v>53.35</v>
      </c>
      <c r="G256" s="41">
        <v>8.3</v>
      </c>
      <c r="H256" s="59">
        <f t="shared" si="45"/>
        <v>1185.24</v>
      </c>
      <c r="I256" s="93">
        <f>44*1.5*1+4*0.45*1.5</f>
        <v>68.7</v>
      </c>
      <c r="J256" s="153">
        <f t="shared" ref="J256:J257" si="46">H256-I256</f>
        <v>1116.54</v>
      </c>
      <c r="K256" s="79"/>
    </row>
    <row r="257" ht="19.5" customHeight="1">
      <c r="A257" s="144">
        <v>39937.0</v>
      </c>
      <c r="B257" s="114" t="s">
        <v>630</v>
      </c>
      <c r="C257" s="46" t="s">
        <v>103</v>
      </c>
      <c r="D257" s="94">
        <v>2.0</v>
      </c>
      <c r="E257" s="49">
        <v>0.65</v>
      </c>
      <c r="F257" s="39">
        <v>52.0</v>
      </c>
      <c r="G257" s="41"/>
      <c r="H257" s="59">
        <f>D257*E257*F257</f>
        <v>67.6</v>
      </c>
      <c r="I257" s="93"/>
      <c r="J257" s="153">
        <f t="shared" si="46"/>
        <v>67.6</v>
      </c>
      <c r="K257" s="79"/>
    </row>
    <row r="258" ht="19.5" customHeight="1">
      <c r="A258" s="144">
        <v>39937.0</v>
      </c>
      <c r="B258" s="114"/>
      <c r="C258" s="79"/>
      <c r="D258" s="94"/>
      <c r="E258" s="49"/>
      <c r="F258" s="39"/>
      <c r="G258" s="41"/>
      <c r="H258" s="59"/>
      <c r="I258" s="93"/>
      <c r="J258" s="133">
        <f>SUM(J255:J257)</f>
        <v>1403.62</v>
      </c>
      <c r="K258" s="79"/>
    </row>
    <row r="259" ht="19.5" customHeight="1">
      <c r="A259" s="144">
        <v>40302.0</v>
      </c>
      <c r="B259" s="166" t="s">
        <v>631</v>
      </c>
      <c r="C259" s="46" t="s">
        <v>103</v>
      </c>
      <c r="D259" s="115">
        <f>7*2</f>
        <v>14</v>
      </c>
      <c r="E259" s="37"/>
      <c r="F259" s="39">
        <v>1.65</v>
      </c>
      <c r="G259" s="41">
        <v>6.4</v>
      </c>
      <c r="H259" s="59">
        <f>D259*F259*G259</f>
        <v>147.84</v>
      </c>
      <c r="I259" s="93"/>
      <c r="J259" s="133">
        <f>H259</f>
        <v>147.84</v>
      </c>
      <c r="K259" s="79"/>
    </row>
    <row r="260" ht="19.5" customHeight="1">
      <c r="A260" s="216" t="s">
        <v>1</v>
      </c>
      <c r="B260" s="74" t="s">
        <v>91</v>
      </c>
      <c r="C260" s="74" t="s">
        <v>92</v>
      </c>
      <c r="D260" s="76" t="s">
        <v>93</v>
      </c>
      <c r="E260" s="50" t="s">
        <v>97</v>
      </c>
      <c r="F260" s="52" t="s">
        <v>632</v>
      </c>
      <c r="G260" s="53" t="s">
        <v>99</v>
      </c>
      <c r="H260" s="75" t="s">
        <v>100</v>
      </c>
      <c r="I260" s="75" t="s">
        <v>101</v>
      </c>
      <c r="J260" s="76" t="s">
        <v>95</v>
      </c>
      <c r="K260" s="74" t="s">
        <v>96</v>
      </c>
    </row>
    <row r="261" ht="19.5" customHeight="1">
      <c r="A261" s="141">
        <v>37503.0</v>
      </c>
      <c r="B261" s="49" t="s">
        <v>633</v>
      </c>
      <c r="C261" s="46" t="s">
        <v>103</v>
      </c>
      <c r="D261" s="39">
        <v>26.0</v>
      </c>
      <c r="E261" s="49">
        <v>2.1</v>
      </c>
      <c r="F261" s="78"/>
      <c r="G261" s="40">
        <v>0.9</v>
      </c>
      <c r="H261" s="40">
        <f t="shared" ref="H261:H263" si="47">G261*E261*D261</f>
        <v>49.14</v>
      </c>
      <c r="I261" s="42"/>
      <c r="J261" s="40"/>
      <c r="K261" s="46"/>
      <c r="L261" s="45">
        <f t="shared" ref="L261:L268" si="48">G261*D261</f>
        <v>23.4</v>
      </c>
    </row>
    <row r="262" ht="19.5" customHeight="1">
      <c r="A262" s="141">
        <v>37503.0</v>
      </c>
      <c r="B262" s="49" t="s">
        <v>634</v>
      </c>
      <c r="C262" s="46" t="s">
        <v>103</v>
      </c>
      <c r="D262" s="39">
        <v>4.0</v>
      </c>
      <c r="E262" s="49">
        <v>2.1</v>
      </c>
      <c r="F262" s="78"/>
      <c r="G262" s="40">
        <v>0.9</v>
      </c>
      <c r="H262" s="40">
        <f t="shared" si="47"/>
        <v>7.56</v>
      </c>
      <c r="I262" s="42"/>
      <c r="J262" s="142"/>
      <c r="K262" s="46"/>
      <c r="L262" s="45">
        <f t="shared" si="48"/>
        <v>3.6</v>
      </c>
    </row>
    <row r="263" ht="19.5" customHeight="1">
      <c r="A263" s="141">
        <v>37503.0</v>
      </c>
      <c r="B263" s="49" t="s">
        <v>635</v>
      </c>
      <c r="C263" s="46" t="s">
        <v>103</v>
      </c>
      <c r="D263" s="39">
        <v>12.0</v>
      </c>
      <c r="E263" s="49">
        <v>1.65</v>
      </c>
      <c r="F263" s="78"/>
      <c r="G263" s="41">
        <v>0.84</v>
      </c>
      <c r="H263" s="40">
        <f t="shared" si="47"/>
        <v>16.632</v>
      </c>
      <c r="I263" s="42"/>
      <c r="J263" s="142"/>
      <c r="K263" s="46"/>
      <c r="L263" s="45">
        <f t="shared" si="48"/>
        <v>10.08</v>
      </c>
    </row>
    <row r="264" ht="19.5" customHeight="1">
      <c r="A264" s="141">
        <v>37503.0</v>
      </c>
      <c r="B264" s="49"/>
      <c r="C264" s="46"/>
      <c r="D264" s="39"/>
      <c r="E264" s="49"/>
      <c r="F264" s="78"/>
      <c r="G264" s="41"/>
      <c r="H264" s="40"/>
      <c r="I264" s="42"/>
      <c r="J264" s="64">
        <f>SUM(H261:H263)</f>
        <v>73.332</v>
      </c>
      <c r="K264" s="46"/>
      <c r="L264" s="45">
        <f t="shared" si="48"/>
        <v>0</v>
      </c>
    </row>
    <row r="265" ht="19.5" customHeight="1">
      <c r="A265" s="167"/>
      <c r="B265" s="49"/>
      <c r="C265" s="46"/>
      <c r="D265" s="39"/>
      <c r="E265" s="49"/>
      <c r="F265" s="78"/>
      <c r="G265" s="41"/>
      <c r="H265" s="40"/>
      <c r="I265" s="42"/>
      <c r="J265" s="142"/>
      <c r="K265" s="46"/>
      <c r="L265" s="45">
        <f t="shared" si="48"/>
        <v>0</v>
      </c>
    </row>
    <row r="266" ht="19.5" customHeight="1">
      <c r="A266" s="141">
        <v>37138.0</v>
      </c>
      <c r="B266" s="49" t="s">
        <v>219</v>
      </c>
      <c r="C266" s="46" t="s">
        <v>103</v>
      </c>
      <c r="D266" s="39">
        <v>44.0</v>
      </c>
      <c r="E266" s="49">
        <v>1.0</v>
      </c>
      <c r="F266" s="78">
        <f t="shared" ref="F266:F267" si="49">(G266+E266)*2</f>
        <v>5</v>
      </c>
      <c r="G266" s="41">
        <v>1.5</v>
      </c>
      <c r="H266" s="40">
        <f t="shared" ref="H266:H267" si="50">G266*E266*D266</f>
        <v>66</v>
      </c>
      <c r="I266" s="42"/>
      <c r="J266" s="142">
        <f t="shared" ref="J266:J267" si="51">H266</f>
        <v>66</v>
      </c>
      <c r="K266" s="46"/>
      <c r="L266" s="45">
        <f t="shared" si="48"/>
        <v>66</v>
      </c>
    </row>
    <row r="267" ht="19.5" customHeight="1">
      <c r="A267" s="141">
        <v>37138.0</v>
      </c>
      <c r="B267" s="49" t="s">
        <v>220</v>
      </c>
      <c r="C267" s="46" t="s">
        <v>103</v>
      </c>
      <c r="D267" s="39">
        <v>28.0</v>
      </c>
      <c r="E267" s="49">
        <v>0.45</v>
      </c>
      <c r="F267" s="78">
        <f t="shared" si="49"/>
        <v>3.9</v>
      </c>
      <c r="G267" s="41">
        <v>1.5</v>
      </c>
      <c r="H267" s="40">
        <f t="shared" si="50"/>
        <v>18.9</v>
      </c>
      <c r="I267" s="42"/>
      <c r="J267" s="142">
        <f t="shared" si="51"/>
        <v>18.9</v>
      </c>
      <c r="K267" s="46"/>
      <c r="L267" s="45">
        <f t="shared" si="48"/>
        <v>42</v>
      </c>
    </row>
    <row r="268" ht="19.5" customHeight="1">
      <c r="A268" s="141">
        <v>37138.0</v>
      </c>
      <c r="B268" s="49"/>
      <c r="C268" s="38"/>
      <c r="D268" s="39"/>
      <c r="E268" s="49"/>
      <c r="F268" s="78"/>
      <c r="G268" s="40"/>
      <c r="H268" s="40"/>
      <c r="I268" s="42"/>
      <c r="J268" s="64">
        <f>SUM(J266:J267)</f>
        <v>84.9</v>
      </c>
      <c r="K268" s="46"/>
      <c r="L268" s="45">
        <f t="shared" si="48"/>
        <v>0</v>
      </c>
    </row>
    <row r="269" ht="19.5" customHeight="1">
      <c r="A269" s="141"/>
      <c r="B269" s="49"/>
      <c r="C269" s="38"/>
      <c r="D269" s="39"/>
      <c r="E269" s="49"/>
      <c r="F269" s="78"/>
      <c r="G269" s="40"/>
      <c r="H269" s="40"/>
      <c r="I269" s="42"/>
      <c r="J269" s="168"/>
      <c r="K269" s="46"/>
    </row>
    <row r="270" ht="19.5" customHeight="1">
      <c r="A270" s="141">
        <v>38234.0</v>
      </c>
      <c r="B270" s="49" t="s">
        <v>636</v>
      </c>
      <c r="C270" s="38" t="s">
        <v>108</v>
      </c>
      <c r="D270" s="39">
        <v>1.0</v>
      </c>
      <c r="E270" s="49"/>
      <c r="F270" s="78">
        <f>D266*F266+D267*F267</f>
        <v>329.2</v>
      </c>
      <c r="G270" s="40"/>
      <c r="H270" s="40">
        <f>D270*F270</f>
        <v>329.2</v>
      </c>
      <c r="I270" s="42"/>
      <c r="J270" s="64">
        <f t="shared" ref="J270:J272" si="52">H270</f>
        <v>329.2</v>
      </c>
      <c r="K270" s="46"/>
    </row>
    <row r="271" ht="19.5" customHeight="1">
      <c r="A271" s="141">
        <v>37868.0</v>
      </c>
      <c r="B271" s="49" t="s">
        <v>637</v>
      </c>
      <c r="C271" s="46" t="s">
        <v>103</v>
      </c>
      <c r="D271" s="39">
        <v>2.0</v>
      </c>
      <c r="E271" s="49">
        <v>2.15</v>
      </c>
      <c r="F271" s="78"/>
      <c r="G271" s="41">
        <v>5.7</v>
      </c>
      <c r="H271" s="40">
        <f t="shared" ref="H271:H272" si="53">D271*E271*G271</f>
        <v>24.51</v>
      </c>
      <c r="I271" s="42"/>
      <c r="J271" s="142">
        <f t="shared" si="52"/>
        <v>24.51</v>
      </c>
      <c r="K271" s="46"/>
    </row>
    <row r="272" ht="19.5" customHeight="1">
      <c r="A272" s="144">
        <v>37868.0</v>
      </c>
      <c r="B272" s="49" t="s">
        <v>637</v>
      </c>
      <c r="C272" s="46" t="s">
        <v>103</v>
      </c>
      <c r="D272" s="115">
        <v>4.0</v>
      </c>
      <c r="E272" s="49">
        <v>2.0</v>
      </c>
      <c r="F272" s="78"/>
      <c r="G272" s="41">
        <v>1.8</v>
      </c>
      <c r="H272" s="40">
        <f t="shared" si="53"/>
        <v>14.4</v>
      </c>
      <c r="I272" s="82"/>
      <c r="J272" s="142">
        <f t="shared" si="52"/>
        <v>14.4</v>
      </c>
      <c r="K272" s="79"/>
    </row>
    <row r="273" ht="19.5" customHeight="1">
      <c r="A273" s="144">
        <v>37868.0</v>
      </c>
      <c r="B273" s="95"/>
      <c r="C273" s="79"/>
      <c r="D273" s="122"/>
      <c r="E273" s="37"/>
      <c r="F273" s="78"/>
      <c r="G273" s="40"/>
      <c r="H273" s="59"/>
      <c r="I273" s="82"/>
      <c r="J273" s="109">
        <f>SUM(J271:J272)</f>
        <v>38.91</v>
      </c>
      <c r="K273" s="79"/>
    </row>
    <row r="274" ht="19.5" customHeight="1">
      <c r="A274" s="216" t="s">
        <v>1</v>
      </c>
      <c r="B274" s="74" t="s">
        <v>91</v>
      </c>
      <c r="C274" s="74" t="s">
        <v>92</v>
      </c>
      <c r="D274" s="76" t="s">
        <v>93</v>
      </c>
      <c r="E274" s="50" t="s">
        <v>161</v>
      </c>
      <c r="F274" s="53" t="s">
        <v>121</v>
      </c>
      <c r="G274" s="53" t="s">
        <v>99</v>
      </c>
      <c r="H274" s="75" t="s">
        <v>100</v>
      </c>
      <c r="I274" s="75" t="s">
        <v>101</v>
      </c>
      <c r="J274" s="76" t="s">
        <v>95</v>
      </c>
      <c r="K274" s="74" t="s">
        <v>96</v>
      </c>
    </row>
    <row r="275" ht="19.5" customHeight="1">
      <c r="A275" s="141">
        <v>38172.0</v>
      </c>
      <c r="B275" s="37" t="s">
        <v>162</v>
      </c>
      <c r="C275" s="46" t="s">
        <v>103</v>
      </c>
      <c r="D275" s="39">
        <v>55.0</v>
      </c>
      <c r="E275" s="37">
        <v>2.0</v>
      </c>
      <c r="F275" s="78"/>
      <c r="G275" s="41">
        <v>2.0</v>
      </c>
      <c r="H275" s="40">
        <f t="shared" ref="H275:H276" si="54">G275*E275*D275</f>
        <v>220</v>
      </c>
      <c r="I275" s="42"/>
      <c r="J275" s="40"/>
      <c r="K275" s="46"/>
    </row>
    <row r="276" ht="19.5" customHeight="1">
      <c r="A276" s="141">
        <v>38172.0</v>
      </c>
      <c r="B276" s="37" t="s">
        <v>162</v>
      </c>
      <c r="C276" s="46" t="s">
        <v>103</v>
      </c>
      <c r="D276" s="78">
        <v>18.0</v>
      </c>
      <c r="E276" s="37">
        <v>2.0</v>
      </c>
      <c r="F276" s="78"/>
      <c r="G276" s="41">
        <v>2.0</v>
      </c>
      <c r="H276" s="40">
        <f t="shared" si="54"/>
        <v>72</v>
      </c>
      <c r="I276" s="42"/>
      <c r="J276" s="64">
        <f>SUM(H275:H276)</f>
        <v>292</v>
      </c>
      <c r="K276" s="46"/>
    </row>
    <row r="277" ht="19.5" customHeight="1">
      <c r="A277" s="216" t="s">
        <v>1</v>
      </c>
      <c r="B277" s="74" t="s">
        <v>91</v>
      </c>
      <c r="C277" s="74" t="s">
        <v>92</v>
      </c>
      <c r="D277" s="76" t="s">
        <v>93</v>
      </c>
      <c r="E277" s="50" t="s">
        <v>161</v>
      </c>
      <c r="F277" s="53" t="s">
        <v>121</v>
      </c>
      <c r="G277" s="53" t="s">
        <v>99</v>
      </c>
      <c r="H277" s="75" t="s">
        <v>100</v>
      </c>
      <c r="I277" s="75" t="s">
        <v>101</v>
      </c>
      <c r="J277" s="76" t="s">
        <v>95</v>
      </c>
      <c r="K277" s="74" t="s">
        <v>96</v>
      </c>
    </row>
    <row r="278" ht="19.5" customHeight="1">
      <c r="A278" s="217">
        <v>1.0</v>
      </c>
      <c r="B278" s="37" t="s">
        <v>374</v>
      </c>
      <c r="C278" s="46" t="s">
        <v>106</v>
      </c>
      <c r="D278" s="78">
        <v>20.0</v>
      </c>
      <c r="E278" s="37">
        <v>2.0</v>
      </c>
      <c r="F278" s="78"/>
      <c r="G278" s="40">
        <v>1.0</v>
      </c>
      <c r="H278" s="40">
        <f t="shared" ref="H278:H280" si="55">G278*E278*D278</f>
        <v>40</v>
      </c>
      <c r="I278" s="42"/>
      <c r="J278" s="40"/>
      <c r="K278" s="46"/>
    </row>
    <row r="279" ht="19.5" customHeight="1">
      <c r="A279" s="217">
        <v>2.0</v>
      </c>
      <c r="B279" s="37" t="s">
        <v>375</v>
      </c>
      <c r="C279" s="46" t="s">
        <v>106</v>
      </c>
      <c r="D279" s="78">
        <v>1.0</v>
      </c>
      <c r="E279" s="37">
        <v>2.0</v>
      </c>
      <c r="F279" s="78"/>
      <c r="G279" s="40">
        <v>1.0</v>
      </c>
      <c r="H279" s="40">
        <f t="shared" si="55"/>
        <v>2</v>
      </c>
      <c r="I279" s="42"/>
      <c r="J279" s="64">
        <f>SUM(H278:H279)</f>
        <v>42</v>
      </c>
      <c r="K279" s="46"/>
    </row>
    <row r="280" ht="19.5" customHeight="1">
      <c r="A280" s="217">
        <v>3.0</v>
      </c>
      <c r="B280" s="37" t="s">
        <v>376</v>
      </c>
      <c r="C280" s="46" t="s">
        <v>106</v>
      </c>
      <c r="D280" s="78">
        <v>200.0</v>
      </c>
      <c r="E280" s="37">
        <v>2.0</v>
      </c>
      <c r="F280" s="78"/>
      <c r="G280" s="40">
        <v>1.0</v>
      </c>
      <c r="H280" s="40">
        <f t="shared" si="55"/>
        <v>400</v>
      </c>
      <c r="I280" s="42"/>
      <c r="J280" s="64">
        <f>H280</f>
        <v>400</v>
      </c>
      <c r="K280" s="79"/>
    </row>
    <row r="281" ht="19.5" customHeight="1">
      <c r="A281" s="216" t="s">
        <v>1</v>
      </c>
      <c r="B281" s="74" t="s">
        <v>91</v>
      </c>
      <c r="C281" s="74" t="s">
        <v>92</v>
      </c>
      <c r="D281" s="76" t="s">
        <v>93</v>
      </c>
      <c r="E281" s="50" t="s">
        <v>161</v>
      </c>
      <c r="F281" s="53" t="s">
        <v>121</v>
      </c>
      <c r="G281" s="53" t="s">
        <v>99</v>
      </c>
      <c r="H281" s="75" t="s">
        <v>100</v>
      </c>
      <c r="I281" s="75" t="s">
        <v>101</v>
      </c>
      <c r="J281" s="76" t="s">
        <v>95</v>
      </c>
      <c r="K281" s="74" t="s">
        <v>96</v>
      </c>
    </row>
    <row r="282" ht="19.5" customHeight="1">
      <c r="A282" s="141" t="s">
        <v>638</v>
      </c>
      <c r="B282" s="49" t="s">
        <v>639</v>
      </c>
      <c r="C282" s="46" t="s">
        <v>103</v>
      </c>
      <c r="D282" s="39">
        <v>4.0</v>
      </c>
      <c r="E282" s="37"/>
      <c r="F282" s="39">
        <v>2.2</v>
      </c>
      <c r="G282" s="40">
        <v>0.6</v>
      </c>
      <c r="H282" s="40">
        <f t="shared" ref="H282:H283" si="56">D282*F282*G282</f>
        <v>5.28</v>
      </c>
      <c r="I282" s="42"/>
      <c r="J282" s="40"/>
      <c r="K282" s="46"/>
    </row>
    <row r="283" ht="19.5" customHeight="1">
      <c r="A283" s="141" t="s">
        <v>638</v>
      </c>
      <c r="B283" s="49" t="s">
        <v>640</v>
      </c>
      <c r="C283" s="46" t="s">
        <v>103</v>
      </c>
      <c r="D283" s="115">
        <v>4.0</v>
      </c>
      <c r="E283" s="37"/>
      <c r="F283" s="39">
        <v>2.8</v>
      </c>
      <c r="G283" s="41">
        <v>0.2</v>
      </c>
      <c r="H283" s="40">
        <f t="shared" si="56"/>
        <v>2.24</v>
      </c>
      <c r="I283" s="82"/>
      <c r="J283" s="101"/>
      <c r="K283" s="79"/>
    </row>
    <row r="284" ht="19.5" customHeight="1">
      <c r="A284" s="141" t="s">
        <v>638</v>
      </c>
      <c r="B284" s="114"/>
      <c r="C284" s="79"/>
      <c r="D284" s="115"/>
      <c r="E284" s="37"/>
      <c r="F284" s="39"/>
      <c r="G284" s="41"/>
      <c r="H284" s="59"/>
      <c r="I284" s="82"/>
      <c r="J284" s="64">
        <f>SUM(H282:H283)</f>
        <v>7.52</v>
      </c>
      <c r="K284" s="79"/>
    </row>
    <row r="285" ht="19.5" customHeight="1">
      <c r="A285" s="216" t="s">
        <v>1</v>
      </c>
      <c r="B285" s="74" t="s">
        <v>91</v>
      </c>
      <c r="C285" s="74" t="s">
        <v>92</v>
      </c>
      <c r="D285" s="76" t="s">
        <v>93</v>
      </c>
      <c r="E285" s="50" t="s">
        <v>161</v>
      </c>
      <c r="F285" s="53" t="s">
        <v>121</v>
      </c>
      <c r="G285" s="53" t="s">
        <v>97</v>
      </c>
      <c r="H285" s="75" t="s">
        <v>100</v>
      </c>
      <c r="I285" s="75" t="s">
        <v>101</v>
      </c>
      <c r="J285" s="76" t="s">
        <v>95</v>
      </c>
      <c r="K285" s="74" t="s">
        <v>96</v>
      </c>
    </row>
    <row r="286" ht="19.5" customHeight="1">
      <c r="A286" s="220">
        <v>1.0</v>
      </c>
      <c r="B286" s="37" t="s">
        <v>244</v>
      </c>
      <c r="C286" s="46" t="s">
        <v>103</v>
      </c>
      <c r="D286" s="78">
        <v>8.0</v>
      </c>
      <c r="E286" s="37">
        <v>2.0</v>
      </c>
      <c r="F286" s="78">
        <v>1.5</v>
      </c>
      <c r="G286" s="40">
        <v>1.8</v>
      </c>
      <c r="H286" s="40">
        <f>F286*E286*D286</f>
        <v>24</v>
      </c>
      <c r="I286" s="42"/>
      <c r="J286" s="40"/>
      <c r="K286" s="46"/>
    </row>
    <row r="287" ht="19.5" customHeight="1">
      <c r="A287" s="220">
        <v>2.0</v>
      </c>
      <c r="B287" s="37" t="s">
        <v>244</v>
      </c>
      <c r="C287" s="46" t="s">
        <v>103</v>
      </c>
      <c r="D287" s="78">
        <v>8.0</v>
      </c>
      <c r="E287" s="37">
        <v>2.0</v>
      </c>
      <c r="F287" s="78">
        <v>0.5</v>
      </c>
      <c r="G287" s="40">
        <v>1.8</v>
      </c>
      <c r="H287" s="40">
        <f>G287*F287*E287</f>
        <v>1.8</v>
      </c>
      <c r="I287" s="42"/>
      <c r="J287" s="64">
        <f>SUM(H286:H287)</f>
        <v>25.8</v>
      </c>
      <c r="K287" s="46"/>
    </row>
    <row r="288" ht="19.5" customHeight="1">
      <c r="A288" s="216" t="s">
        <v>1</v>
      </c>
      <c r="B288" s="74" t="s">
        <v>91</v>
      </c>
      <c r="C288" s="74" t="s">
        <v>92</v>
      </c>
      <c r="D288" s="76" t="s">
        <v>93</v>
      </c>
      <c r="E288" s="50" t="s">
        <v>161</v>
      </c>
      <c r="F288" s="53"/>
      <c r="G288" s="53"/>
      <c r="H288" s="75" t="s">
        <v>100</v>
      </c>
      <c r="I288" s="75" t="s">
        <v>101</v>
      </c>
      <c r="J288" s="76" t="s">
        <v>95</v>
      </c>
      <c r="K288" s="74" t="s">
        <v>96</v>
      </c>
    </row>
    <row r="289" ht="19.5" customHeight="1">
      <c r="A289" s="220">
        <v>1.0</v>
      </c>
      <c r="B289" s="37" t="s">
        <v>245</v>
      </c>
      <c r="C289" s="46" t="s">
        <v>106</v>
      </c>
      <c r="D289" s="78">
        <v>9.0</v>
      </c>
      <c r="E289" s="37">
        <v>20.0</v>
      </c>
      <c r="F289" s="78"/>
      <c r="G289" s="40"/>
      <c r="H289" s="40">
        <f t="shared" ref="H289:H306" si="57">E289*D289</f>
        <v>180</v>
      </c>
      <c r="I289" s="42"/>
      <c r="J289" s="64">
        <f t="shared" ref="J289:J306" si="58">H289</f>
        <v>180</v>
      </c>
      <c r="K289" s="46"/>
    </row>
    <row r="290" ht="19.5" customHeight="1">
      <c r="A290" s="220">
        <v>2.0</v>
      </c>
      <c r="B290" s="37" t="s">
        <v>245</v>
      </c>
      <c r="C290" s="46" t="s">
        <v>106</v>
      </c>
      <c r="D290" s="78">
        <v>20.0</v>
      </c>
      <c r="E290" s="37">
        <v>2.0</v>
      </c>
      <c r="F290" s="78"/>
      <c r="G290" s="40"/>
      <c r="H290" s="40">
        <f t="shared" si="57"/>
        <v>40</v>
      </c>
      <c r="I290" s="42"/>
      <c r="J290" s="64">
        <f t="shared" si="58"/>
        <v>40</v>
      </c>
      <c r="K290" s="46"/>
    </row>
    <row r="291" ht="19.5" customHeight="1">
      <c r="A291" s="220">
        <f t="shared" ref="A291:A295" si="59">A289+1</f>
        <v>2</v>
      </c>
      <c r="B291" s="37" t="s">
        <v>246</v>
      </c>
      <c r="C291" s="46" t="s">
        <v>106</v>
      </c>
      <c r="D291" s="78">
        <v>20.0</v>
      </c>
      <c r="E291" s="37">
        <v>20.0</v>
      </c>
      <c r="F291" s="78"/>
      <c r="G291" s="40"/>
      <c r="H291" s="40">
        <f t="shared" si="57"/>
        <v>400</v>
      </c>
      <c r="I291" s="42"/>
      <c r="J291" s="64">
        <f t="shared" si="58"/>
        <v>400</v>
      </c>
      <c r="K291" s="46"/>
    </row>
    <row r="292" ht="19.5" customHeight="1">
      <c r="A292" s="220">
        <f t="shared" si="59"/>
        <v>3</v>
      </c>
      <c r="B292" s="37" t="s">
        <v>246</v>
      </c>
      <c r="C292" s="46" t="s">
        <v>106</v>
      </c>
      <c r="D292" s="78">
        <v>8.0</v>
      </c>
      <c r="E292" s="37">
        <v>2.0</v>
      </c>
      <c r="F292" s="78"/>
      <c r="G292" s="40"/>
      <c r="H292" s="40">
        <f t="shared" si="57"/>
        <v>16</v>
      </c>
      <c r="I292" s="42"/>
      <c r="J292" s="64">
        <f t="shared" si="58"/>
        <v>16</v>
      </c>
      <c r="K292" s="46"/>
    </row>
    <row r="293" ht="19.5" customHeight="1">
      <c r="A293" s="220">
        <f t="shared" si="59"/>
        <v>3</v>
      </c>
      <c r="B293" s="37" t="s">
        <v>247</v>
      </c>
      <c r="C293" s="46" t="s">
        <v>106</v>
      </c>
      <c r="D293" s="78">
        <v>2.0</v>
      </c>
      <c r="E293" s="37">
        <v>2.0</v>
      </c>
      <c r="F293" s="78"/>
      <c r="G293" s="40"/>
      <c r="H293" s="40">
        <f t="shared" si="57"/>
        <v>4</v>
      </c>
      <c r="I293" s="42"/>
      <c r="J293" s="64">
        <f t="shared" si="58"/>
        <v>4</v>
      </c>
      <c r="K293" s="46"/>
    </row>
    <row r="294" ht="19.5" customHeight="1">
      <c r="A294" s="220">
        <f t="shared" si="59"/>
        <v>4</v>
      </c>
      <c r="B294" s="37" t="s">
        <v>248</v>
      </c>
      <c r="C294" s="46" t="s">
        <v>106</v>
      </c>
      <c r="D294" s="78">
        <v>4.0</v>
      </c>
      <c r="E294" s="37">
        <v>2.0</v>
      </c>
      <c r="F294" s="78"/>
      <c r="G294" s="40"/>
      <c r="H294" s="40">
        <f t="shared" si="57"/>
        <v>8</v>
      </c>
      <c r="I294" s="42"/>
      <c r="J294" s="64">
        <f t="shared" si="58"/>
        <v>8</v>
      </c>
      <c r="K294" s="46"/>
    </row>
    <row r="295" ht="19.5" customHeight="1">
      <c r="A295" s="220">
        <f t="shared" si="59"/>
        <v>4</v>
      </c>
      <c r="B295" s="37" t="s">
        <v>249</v>
      </c>
      <c r="C295" s="46" t="s">
        <v>106</v>
      </c>
      <c r="D295" s="78">
        <v>11.0</v>
      </c>
      <c r="E295" s="37">
        <v>2.0</v>
      </c>
      <c r="F295" s="78"/>
      <c r="G295" s="40"/>
      <c r="H295" s="40">
        <f t="shared" si="57"/>
        <v>22</v>
      </c>
      <c r="I295" s="42"/>
      <c r="J295" s="64">
        <f t="shared" si="58"/>
        <v>22</v>
      </c>
      <c r="K295" s="46"/>
    </row>
    <row r="296" ht="19.5" customHeight="1">
      <c r="A296" s="220">
        <f t="shared" ref="A296:A297" si="60">A291+1</f>
        <v>3</v>
      </c>
      <c r="B296" s="37" t="s">
        <v>250</v>
      </c>
      <c r="C296" s="46" t="s">
        <v>106</v>
      </c>
      <c r="D296" s="123">
        <f>H295+H294+H293+H292+H291</f>
        <v>450</v>
      </c>
      <c r="E296" s="37">
        <v>1.0</v>
      </c>
      <c r="F296" s="40"/>
      <c r="G296" s="40"/>
      <c r="H296" s="40">
        <f t="shared" si="57"/>
        <v>450</v>
      </c>
      <c r="I296" s="40"/>
      <c r="J296" s="64">
        <f t="shared" si="58"/>
        <v>450</v>
      </c>
      <c r="K296" s="46"/>
    </row>
    <row r="297" ht="19.5" customHeight="1">
      <c r="A297" s="220">
        <f t="shared" si="60"/>
        <v>4</v>
      </c>
      <c r="B297" s="37" t="s">
        <v>251</v>
      </c>
      <c r="C297" s="46" t="s">
        <v>106</v>
      </c>
      <c r="D297" s="123">
        <f>H290+H289</f>
        <v>220</v>
      </c>
      <c r="E297" s="37">
        <v>1.0</v>
      </c>
      <c r="F297" s="40"/>
      <c r="G297" s="40"/>
      <c r="H297" s="40">
        <f t="shared" si="57"/>
        <v>220</v>
      </c>
      <c r="I297" s="40"/>
      <c r="J297" s="64">
        <f t="shared" si="58"/>
        <v>220</v>
      </c>
      <c r="K297" s="46"/>
    </row>
    <row r="298" ht="19.5" customHeight="1">
      <c r="A298" s="220">
        <f>A296+1</f>
        <v>4</v>
      </c>
      <c r="B298" s="37" t="s">
        <v>641</v>
      </c>
      <c r="C298" s="46" t="s">
        <v>108</v>
      </c>
      <c r="D298" s="123">
        <v>1200.0</v>
      </c>
      <c r="E298" s="37">
        <v>1.0</v>
      </c>
      <c r="F298" s="40"/>
      <c r="G298" s="40"/>
      <c r="H298" s="40">
        <f t="shared" si="57"/>
        <v>1200</v>
      </c>
      <c r="I298" s="40"/>
      <c r="J298" s="64">
        <f t="shared" si="58"/>
        <v>1200</v>
      </c>
      <c r="K298" s="46"/>
    </row>
    <row r="299" ht="19.5" customHeight="1">
      <c r="A299" s="220">
        <f t="shared" ref="A299:A306" si="61">A298+1</f>
        <v>5</v>
      </c>
      <c r="B299" s="37" t="s">
        <v>254</v>
      </c>
      <c r="C299" s="46" t="s">
        <v>108</v>
      </c>
      <c r="D299" s="123">
        <v>5000.0</v>
      </c>
      <c r="E299" s="37">
        <v>1.0</v>
      </c>
      <c r="F299" s="40"/>
      <c r="G299" s="40"/>
      <c r="H299" s="40">
        <f t="shared" si="57"/>
        <v>5000</v>
      </c>
      <c r="I299" s="40"/>
      <c r="J299" s="64">
        <f t="shared" si="58"/>
        <v>5000</v>
      </c>
      <c r="K299" s="46"/>
    </row>
    <row r="300" ht="19.5" customHeight="1">
      <c r="A300" s="220">
        <f t="shared" si="61"/>
        <v>6</v>
      </c>
      <c r="B300" s="37" t="s">
        <v>255</v>
      </c>
      <c r="C300" s="46" t="s">
        <v>108</v>
      </c>
      <c r="D300" s="123">
        <v>22.0</v>
      </c>
      <c r="E300" s="37">
        <v>16.0</v>
      </c>
      <c r="F300" s="40"/>
      <c r="G300" s="40"/>
      <c r="H300" s="40">
        <f t="shared" si="57"/>
        <v>352</v>
      </c>
      <c r="I300" s="40"/>
      <c r="J300" s="64">
        <f t="shared" si="58"/>
        <v>352</v>
      </c>
      <c r="K300" s="46"/>
    </row>
    <row r="301" ht="19.5" customHeight="1">
      <c r="A301" s="220">
        <f t="shared" si="61"/>
        <v>7</v>
      </c>
      <c r="B301" s="37" t="s">
        <v>256</v>
      </c>
      <c r="C301" s="46" t="s">
        <v>108</v>
      </c>
      <c r="D301" s="123">
        <v>70.0</v>
      </c>
      <c r="E301" s="37">
        <v>4.0</v>
      </c>
      <c r="F301" s="40"/>
      <c r="G301" s="40"/>
      <c r="H301" s="40">
        <f t="shared" si="57"/>
        <v>280</v>
      </c>
      <c r="I301" s="40"/>
      <c r="J301" s="64">
        <f t="shared" si="58"/>
        <v>280</v>
      </c>
      <c r="K301" s="46"/>
    </row>
    <row r="302" ht="19.5" customHeight="1">
      <c r="A302" s="220">
        <f t="shared" si="61"/>
        <v>8</v>
      </c>
      <c r="B302" s="37" t="s">
        <v>257</v>
      </c>
      <c r="C302" s="46" t="s">
        <v>106</v>
      </c>
      <c r="D302" s="123">
        <v>3.0</v>
      </c>
      <c r="E302" s="37">
        <v>2.0</v>
      </c>
      <c r="F302" s="40"/>
      <c r="G302" s="40"/>
      <c r="H302" s="40">
        <f t="shared" si="57"/>
        <v>6</v>
      </c>
      <c r="I302" s="40"/>
      <c r="J302" s="64">
        <f t="shared" si="58"/>
        <v>6</v>
      </c>
      <c r="K302" s="46"/>
    </row>
    <row r="303" ht="19.5" customHeight="1">
      <c r="A303" s="220">
        <f t="shared" si="61"/>
        <v>9</v>
      </c>
      <c r="B303" s="37" t="s">
        <v>258</v>
      </c>
      <c r="C303" s="46" t="s">
        <v>106</v>
      </c>
      <c r="D303" s="123">
        <v>14.0</v>
      </c>
      <c r="E303" s="37">
        <v>2.0</v>
      </c>
      <c r="F303" s="40"/>
      <c r="G303" s="40"/>
      <c r="H303" s="40">
        <f t="shared" si="57"/>
        <v>28</v>
      </c>
      <c r="I303" s="40"/>
      <c r="J303" s="64">
        <f t="shared" si="58"/>
        <v>28</v>
      </c>
      <c r="K303" s="46"/>
    </row>
    <row r="304" ht="19.5" customHeight="1">
      <c r="A304" s="220">
        <f t="shared" si="61"/>
        <v>10</v>
      </c>
      <c r="B304" s="37" t="s">
        <v>259</v>
      </c>
      <c r="C304" s="46" t="s">
        <v>108</v>
      </c>
      <c r="D304" s="123">
        <v>150.0</v>
      </c>
      <c r="E304" s="37">
        <v>1.0</v>
      </c>
      <c r="F304" s="40"/>
      <c r="G304" s="40"/>
      <c r="H304" s="40">
        <f t="shared" si="57"/>
        <v>150</v>
      </c>
      <c r="I304" s="40"/>
      <c r="J304" s="64">
        <f t="shared" si="58"/>
        <v>150</v>
      </c>
      <c r="K304" s="46"/>
    </row>
    <row r="305" ht="19.5" customHeight="1">
      <c r="A305" s="220">
        <f t="shared" si="61"/>
        <v>11</v>
      </c>
      <c r="B305" s="37" t="s">
        <v>260</v>
      </c>
      <c r="C305" s="46" t="s">
        <v>108</v>
      </c>
      <c r="D305" s="123">
        <v>55.0</v>
      </c>
      <c r="E305" s="37">
        <v>2.0</v>
      </c>
      <c r="F305" s="40"/>
      <c r="G305" s="40"/>
      <c r="H305" s="40">
        <f t="shared" si="57"/>
        <v>110</v>
      </c>
      <c r="I305" s="40"/>
      <c r="J305" s="64">
        <f t="shared" si="58"/>
        <v>110</v>
      </c>
      <c r="K305" s="46"/>
    </row>
    <row r="306" ht="19.5" customHeight="1">
      <c r="A306" s="220">
        <f t="shared" si="61"/>
        <v>12</v>
      </c>
      <c r="B306" s="37" t="s">
        <v>261</v>
      </c>
      <c r="C306" s="46" t="s">
        <v>106</v>
      </c>
      <c r="D306" s="123">
        <v>8.0</v>
      </c>
      <c r="E306" s="37">
        <v>1.0</v>
      </c>
      <c r="F306" s="40"/>
      <c r="G306" s="40"/>
      <c r="H306" s="40">
        <f t="shared" si="57"/>
        <v>8</v>
      </c>
      <c r="I306" s="40"/>
      <c r="J306" s="64">
        <f t="shared" si="58"/>
        <v>8</v>
      </c>
      <c r="K306" s="46"/>
    </row>
    <row r="307" ht="19.5" customHeight="1">
      <c r="A307" s="221"/>
      <c r="C307" s="12"/>
      <c r="D307" s="87"/>
      <c r="F307" s="14"/>
      <c r="G307" s="14"/>
      <c r="H307" s="14"/>
      <c r="I307" s="14"/>
      <c r="J307" s="14"/>
      <c r="K307" s="12"/>
    </row>
    <row r="308" ht="19.5" customHeight="1">
      <c r="A308" s="216" t="s">
        <v>1</v>
      </c>
      <c r="B308" s="74" t="s">
        <v>91</v>
      </c>
      <c r="C308" s="74" t="s">
        <v>92</v>
      </c>
      <c r="D308" s="76" t="s">
        <v>93</v>
      </c>
      <c r="E308" s="50" t="s">
        <v>161</v>
      </c>
      <c r="F308" s="53" t="s">
        <v>121</v>
      </c>
      <c r="G308" s="53" t="s">
        <v>99</v>
      </c>
      <c r="H308" s="53" t="s">
        <v>100</v>
      </c>
      <c r="I308" s="53" t="s">
        <v>101</v>
      </c>
      <c r="J308" s="76" t="s">
        <v>95</v>
      </c>
      <c r="K308" s="74" t="s">
        <v>96</v>
      </c>
    </row>
    <row r="309" ht="19.5" customHeight="1">
      <c r="A309" s="220">
        <v>1.0</v>
      </c>
      <c r="B309" s="37" t="s">
        <v>262</v>
      </c>
      <c r="C309" s="46" t="s">
        <v>108</v>
      </c>
      <c r="D309" s="78">
        <v>400.0</v>
      </c>
      <c r="E309" s="37">
        <v>1.0</v>
      </c>
      <c r="F309" s="78"/>
      <c r="G309" s="40"/>
      <c r="H309" s="40">
        <f t="shared" ref="H309:H332" si="62">E309*D309</f>
        <v>400</v>
      </c>
      <c r="I309" s="42"/>
      <c r="J309" s="64">
        <f t="shared" ref="J309:J332" si="63">H309</f>
        <v>400</v>
      </c>
      <c r="K309" s="46"/>
    </row>
    <row r="310" ht="19.5" customHeight="1">
      <c r="A310" s="220">
        <f t="shared" ref="A310:A332" si="64">A309+1</f>
        <v>2</v>
      </c>
      <c r="B310" s="37" t="s">
        <v>263</v>
      </c>
      <c r="C310" s="46" t="s">
        <v>108</v>
      </c>
      <c r="D310" s="123">
        <v>200.0</v>
      </c>
      <c r="E310" s="37">
        <v>2.0</v>
      </c>
      <c r="F310" s="40"/>
      <c r="G310" s="40"/>
      <c r="H310" s="40">
        <f t="shared" si="62"/>
        <v>400</v>
      </c>
      <c r="I310" s="40"/>
      <c r="J310" s="64">
        <f t="shared" si="63"/>
        <v>400</v>
      </c>
      <c r="K310" s="46"/>
    </row>
    <row r="311" ht="19.5" customHeight="1">
      <c r="A311" s="220">
        <f t="shared" si="64"/>
        <v>3</v>
      </c>
      <c r="B311" s="37" t="s">
        <v>264</v>
      </c>
      <c r="C311" s="46" t="s">
        <v>108</v>
      </c>
      <c r="D311" s="123">
        <v>100.0</v>
      </c>
      <c r="E311" s="37">
        <v>2.0</v>
      </c>
      <c r="F311" s="40"/>
      <c r="G311" s="40"/>
      <c r="H311" s="40">
        <f t="shared" si="62"/>
        <v>200</v>
      </c>
      <c r="I311" s="40"/>
      <c r="J311" s="64">
        <f t="shared" si="63"/>
        <v>200</v>
      </c>
      <c r="K311" s="46"/>
    </row>
    <row r="312" ht="19.5" customHeight="1">
      <c r="A312" s="220">
        <f t="shared" si="64"/>
        <v>4</v>
      </c>
      <c r="B312" s="37" t="s">
        <v>265</v>
      </c>
      <c r="C312" s="46" t="s">
        <v>106</v>
      </c>
      <c r="D312" s="123">
        <v>4.0</v>
      </c>
      <c r="E312" s="37">
        <v>2.0</v>
      </c>
      <c r="F312" s="40"/>
      <c r="G312" s="40"/>
      <c r="H312" s="40">
        <f t="shared" si="62"/>
        <v>8</v>
      </c>
      <c r="I312" s="40"/>
      <c r="J312" s="64">
        <f t="shared" si="63"/>
        <v>8</v>
      </c>
      <c r="K312" s="46"/>
    </row>
    <row r="313" ht="19.5" customHeight="1">
      <c r="A313" s="220">
        <f t="shared" si="64"/>
        <v>5</v>
      </c>
      <c r="B313" s="37" t="s">
        <v>266</v>
      </c>
      <c r="C313" s="46" t="s">
        <v>106</v>
      </c>
      <c r="D313" s="123">
        <v>8.0</v>
      </c>
      <c r="E313" s="37">
        <v>2.0</v>
      </c>
      <c r="F313" s="40"/>
      <c r="G313" s="40"/>
      <c r="H313" s="40">
        <f t="shared" si="62"/>
        <v>16</v>
      </c>
      <c r="I313" s="40"/>
      <c r="J313" s="64">
        <f t="shared" si="63"/>
        <v>16</v>
      </c>
      <c r="K313" s="46"/>
    </row>
    <row r="314" ht="19.5" customHeight="1">
      <c r="A314" s="220">
        <f t="shared" si="64"/>
        <v>6</v>
      </c>
      <c r="B314" s="37" t="s">
        <v>267</v>
      </c>
      <c r="C314" s="46" t="s">
        <v>106</v>
      </c>
      <c r="D314" s="123">
        <v>8.0</v>
      </c>
      <c r="E314" s="37">
        <v>2.0</v>
      </c>
      <c r="F314" s="40"/>
      <c r="G314" s="40"/>
      <c r="H314" s="40">
        <f t="shared" si="62"/>
        <v>16</v>
      </c>
      <c r="I314" s="40"/>
      <c r="J314" s="64">
        <f t="shared" si="63"/>
        <v>16</v>
      </c>
      <c r="K314" s="46"/>
    </row>
    <row r="315" ht="19.5" customHeight="1">
      <c r="A315" s="220">
        <f t="shared" si="64"/>
        <v>7</v>
      </c>
      <c r="B315" s="37" t="s">
        <v>268</v>
      </c>
      <c r="C315" s="46" t="s">
        <v>106</v>
      </c>
      <c r="D315" s="123">
        <v>8.0</v>
      </c>
      <c r="E315" s="37">
        <v>2.0</v>
      </c>
      <c r="F315" s="40"/>
      <c r="G315" s="40"/>
      <c r="H315" s="40">
        <f t="shared" si="62"/>
        <v>16</v>
      </c>
      <c r="I315" s="40"/>
      <c r="J315" s="64">
        <f t="shared" si="63"/>
        <v>16</v>
      </c>
      <c r="K315" s="46"/>
    </row>
    <row r="316" ht="19.5" customHeight="1">
      <c r="A316" s="220">
        <f t="shared" si="64"/>
        <v>8</v>
      </c>
      <c r="B316" s="37" t="s">
        <v>269</v>
      </c>
      <c r="C316" s="46" t="s">
        <v>106</v>
      </c>
      <c r="D316" s="123">
        <v>8.0</v>
      </c>
      <c r="E316" s="37">
        <v>2.0</v>
      </c>
      <c r="F316" s="40"/>
      <c r="G316" s="40"/>
      <c r="H316" s="40">
        <f t="shared" si="62"/>
        <v>16</v>
      </c>
      <c r="I316" s="40"/>
      <c r="J316" s="64">
        <f t="shared" si="63"/>
        <v>16</v>
      </c>
      <c r="K316" s="46"/>
    </row>
    <row r="317" ht="19.5" customHeight="1">
      <c r="A317" s="220">
        <f t="shared" si="64"/>
        <v>9</v>
      </c>
      <c r="B317" s="37" t="s">
        <v>270</v>
      </c>
      <c r="C317" s="46" t="s">
        <v>106</v>
      </c>
      <c r="D317" s="123">
        <v>8.0</v>
      </c>
      <c r="E317" s="37">
        <v>2.0</v>
      </c>
      <c r="F317" s="40"/>
      <c r="G317" s="40"/>
      <c r="H317" s="40">
        <f t="shared" si="62"/>
        <v>16</v>
      </c>
      <c r="I317" s="40"/>
      <c r="J317" s="64">
        <f t="shared" si="63"/>
        <v>16</v>
      </c>
      <c r="K317" s="46"/>
    </row>
    <row r="318" ht="19.5" customHeight="1">
      <c r="A318" s="220">
        <f t="shared" si="64"/>
        <v>10</v>
      </c>
      <c r="B318" s="37" t="s">
        <v>271</v>
      </c>
      <c r="C318" s="46" t="s">
        <v>106</v>
      </c>
      <c r="D318" s="123">
        <v>8.0</v>
      </c>
      <c r="E318" s="37">
        <v>2.0</v>
      </c>
      <c r="F318" s="40"/>
      <c r="G318" s="40"/>
      <c r="H318" s="40">
        <f t="shared" si="62"/>
        <v>16</v>
      </c>
      <c r="I318" s="40"/>
      <c r="J318" s="64">
        <f t="shared" si="63"/>
        <v>16</v>
      </c>
      <c r="K318" s="46"/>
    </row>
    <row r="319" ht="19.5" customHeight="1">
      <c r="A319" s="220">
        <f t="shared" si="64"/>
        <v>11</v>
      </c>
      <c r="B319" s="37" t="s">
        <v>272</v>
      </c>
      <c r="C319" s="46" t="s">
        <v>106</v>
      </c>
      <c r="D319" s="123">
        <v>8.0</v>
      </c>
      <c r="E319" s="37">
        <v>2.0</v>
      </c>
      <c r="F319" s="40"/>
      <c r="G319" s="40"/>
      <c r="H319" s="40">
        <f t="shared" si="62"/>
        <v>16</v>
      </c>
      <c r="I319" s="40"/>
      <c r="J319" s="64">
        <f t="shared" si="63"/>
        <v>16</v>
      </c>
      <c r="K319" s="46"/>
    </row>
    <row r="320" ht="19.5" customHeight="1">
      <c r="A320" s="220">
        <f t="shared" si="64"/>
        <v>12</v>
      </c>
      <c r="B320" s="37" t="s">
        <v>273</v>
      </c>
      <c r="C320" s="46" t="s">
        <v>106</v>
      </c>
      <c r="D320" s="123">
        <v>4.0</v>
      </c>
      <c r="E320" s="37">
        <v>2.0</v>
      </c>
      <c r="F320" s="40"/>
      <c r="G320" s="40"/>
      <c r="H320" s="40">
        <f t="shared" si="62"/>
        <v>8</v>
      </c>
      <c r="I320" s="40"/>
      <c r="J320" s="64">
        <f t="shared" si="63"/>
        <v>8</v>
      </c>
      <c r="K320" s="46"/>
    </row>
    <row r="321" ht="19.5" customHeight="1">
      <c r="A321" s="220">
        <f t="shared" si="64"/>
        <v>13</v>
      </c>
      <c r="B321" s="37" t="s">
        <v>274</v>
      </c>
      <c r="C321" s="46" t="s">
        <v>106</v>
      </c>
      <c r="D321" s="123">
        <v>4.0</v>
      </c>
      <c r="E321" s="37">
        <v>2.0</v>
      </c>
      <c r="F321" s="40"/>
      <c r="G321" s="40"/>
      <c r="H321" s="40">
        <f t="shared" si="62"/>
        <v>8</v>
      </c>
      <c r="I321" s="40"/>
      <c r="J321" s="64">
        <f t="shared" si="63"/>
        <v>8</v>
      </c>
      <c r="K321" s="46"/>
    </row>
    <row r="322" ht="19.5" customHeight="1">
      <c r="A322" s="220">
        <f t="shared" si="64"/>
        <v>14</v>
      </c>
      <c r="B322" s="37" t="s">
        <v>275</v>
      </c>
      <c r="C322" s="46" t="s">
        <v>106</v>
      </c>
      <c r="D322" s="123">
        <v>4.0</v>
      </c>
      <c r="E322" s="37">
        <v>2.0</v>
      </c>
      <c r="F322" s="40"/>
      <c r="G322" s="40"/>
      <c r="H322" s="40">
        <f t="shared" si="62"/>
        <v>8</v>
      </c>
      <c r="I322" s="40"/>
      <c r="J322" s="64">
        <f t="shared" si="63"/>
        <v>8</v>
      </c>
      <c r="K322" s="46"/>
    </row>
    <row r="323" ht="19.5" customHeight="1">
      <c r="A323" s="220">
        <f t="shared" si="64"/>
        <v>15</v>
      </c>
      <c r="B323" s="37" t="s">
        <v>276</v>
      </c>
      <c r="C323" s="46" t="s">
        <v>106</v>
      </c>
      <c r="D323" s="123">
        <v>4.0</v>
      </c>
      <c r="E323" s="37">
        <v>2.0</v>
      </c>
      <c r="F323" s="40"/>
      <c r="G323" s="40"/>
      <c r="H323" s="40">
        <f t="shared" si="62"/>
        <v>8</v>
      </c>
      <c r="I323" s="40"/>
      <c r="J323" s="64">
        <f t="shared" si="63"/>
        <v>8</v>
      </c>
      <c r="K323" s="46"/>
    </row>
    <row r="324" ht="19.5" customHeight="1">
      <c r="A324" s="220">
        <f t="shared" si="64"/>
        <v>16</v>
      </c>
      <c r="B324" s="37" t="s">
        <v>277</v>
      </c>
      <c r="C324" s="46" t="s">
        <v>106</v>
      </c>
      <c r="D324" s="123">
        <v>3.0</v>
      </c>
      <c r="E324" s="37">
        <v>2.0</v>
      </c>
      <c r="F324" s="40"/>
      <c r="G324" s="40"/>
      <c r="H324" s="40">
        <f t="shared" si="62"/>
        <v>6</v>
      </c>
      <c r="I324" s="40"/>
      <c r="J324" s="64">
        <f t="shared" si="63"/>
        <v>6</v>
      </c>
      <c r="K324" s="46"/>
    </row>
    <row r="325" ht="19.5" customHeight="1">
      <c r="A325" s="220">
        <f t="shared" si="64"/>
        <v>17</v>
      </c>
      <c r="B325" s="37" t="s">
        <v>278</v>
      </c>
      <c r="C325" s="46" t="s">
        <v>106</v>
      </c>
      <c r="D325" s="123">
        <v>3.0</v>
      </c>
      <c r="E325" s="37">
        <v>2.0</v>
      </c>
      <c r="F325" s="40"/>
      <c r="G325" s="40"/>
      <c r="H325" s="40">
        <f t="shared" si="62"/>
        <v>6</v>
      </c>
      <c r="I325" s="40"/>
      <c r="J325" s="64">
        <f t="shared" si="63"/>
        <v>6</v>
      </c>
      <c r="K325" s="46"/>
    </row>
    <row r="326" ht="19.5" customHeight="1">
      <c r="A326" s="220">
        <f t="shared" si="64"/>
        <v>18</v>
      </c>
      <c r="B326" s="37" t="s">
        <v>279</v>
      </c>
      <c r="C326" s="46" t="s">
        <v>106</v>
      </c>
      <c r="D326" s="123">
        <v>10.0</v>
      </c>
      <c r="E326" s="37">
        <v>2.0</v>
      </c>
      <c r="F326" s="40"/>
      <c r="G326" s="40"/>
      <c r="H326" s="40">
        <f t="shared" si="62"/>
        <v>20</v>
      </c>
      <c r="I326" s="40"/>
      <c r="J326" s="64">
        <f t="shared" si="63"/>
        <v>20</v>
      </c>
      <c r="K326" s="46"/>
    </row>
    <row r="327" ht="19.5" customHeight="1">
      <c r="A327" s="220">
        <f t="shared" si="64"/>
        <v>19</v>
      </c>
      <c r="B327" s="37" t="s">
        <v>280</v>
      </c>
      <c r="C327" s="46" t="s">
        <v>106</v>
      </c>
      <c r="D327" s="123">
        <v>14.0</v>
      </c>
      <c r="E327" s="37">
        <v>2.0</v>
      </c>
      <c r="F327" s="40"/>
      <c r="G327" s="40"/>
      <c r="H327" s="40">
        <f t="shared" si="62"/>
        <v>28</v>
      </c>
      <c r="I327" s="40"/>
      <c r="J327" s="64">
        <f t="shared" si="63"/>
        <v>28</v>
      </c>
      <c r="K327" s="46"/>
    </row>
    <row r="328" ht="19.5" customHeight="1">
      <c r="A328" s="220">
        <f t="shared" si="64"/>
        <v>20</v>
      </c>
      <c r="B328" s="37" t="s">
        <v>281</v>
      </c>
      <c r="C328" s="46" t="s">
        <v>106</v>
      </c>
      <c r="D328" s="123">
        <v>8.0</v>
      </c>
      <c r="E328" s="37">
        <v>2.0</v>
      </c>
      <c r="F328" s="40"/>
      <c r="G328" s="40"/>
      <c r="H328" s="40">
        <f t="shared" si="62"/>
        <v>16</v>
      </c>
      <c r="I328" s="40"/>
      <c r="J328" s="64">
        <f t="shared" si="63"/>
        <v>16</v>
      </c>
      <c r="K328" s="46"/>
    </row>
    <row r="329" ht="19.5" customHeight="1">
      <c r="A329" s="220">
        <f t="shared" si="64"/>
        <v>21</v>
      </c>
      <c r="B329" s="37" t="s">
        <v>378</v>
      </c>
      <c r="C329" s="46" t="s">
        <v>106</v>
      </c>
      <c r="D329" s="123">
        <v>2.0</v>
      </c>
      <c r="E329" s="37">
        <v>2.0</v>
      </c>
      <c r="F329" s="40"/>
      <c r="G329" s="40"/>
      <c r="H329" s="40">
        <f t="shared" si="62"/>
        <v>4</v>
      </c>
      <c r="I329" s="40"/>
      <c r="J329" s="64">
        <f t="shared" si="63"/>
        <v>4</v>
      </c>
      <c r="K329" s="46"/>
    </row>
    <row r="330" ht="19.5" customHeight="1">
      <c r="A330" s="220">
        <f t="shared" si="64"/>
        <v>22</v>
      </c>
      <c r="B330" s="37" t="s">
        <v>284</v>
      </c>
      <c r="C330" s="46" t="s">
        <v>106</v>
      </c>
      <c r="D330" s="123">
        <v>7.0</v>
      </c>
      <c r="E330" s="37">
        <v>2.0</v>
      </c>
      <c r="F330" s="40"/>
      <c r="G330" s="40"/>
      <c r="H330" s="40">
        <f t="shared" si="62"/>
        <v>14</v>
      </c>
      <c r="I330" s="40"/>
      <c r="J330" s="64">
        <f t="shared" si="63"/>
        <v>14</v>
      </c>
      <c r="K330" s="46"/>
    </row>
    <row r="331" ht="19.5" customHeight="1">
      <c r="A331" s="220">
        <f t="shared" si="64"/>
        <v>23</v>
      </c>
      <c r="B331" s="37" t="s">
        <v>285</v>
      </c>
      <c r="C331" s="46" t="s">
        <v>106</v>
      </c>
      <c r="D331" s="123">
        <v>3.0</v>
      </c>
      <c r="E331" s="37">
        <v>2.0</v>
      </c>
      <c r="F331" s="40"/>
      <c r="G331" s="40"/>
      <c r="H331" s="40">
        <f t="shared" si="62"/>
        <v>6</v>
      </c>
      <c r="I331" s="40"/>
      <c r="J331" s="64">
        <f t="shared" si="63"/>
        <v>6</v>
      </c>
      <c r="K331" s="79"/>
    </row>
    <row r="332" ht="19.5" customHeight="1">
      <c r="A332" s="220">
        <f t="shared" si="64"/>
        <v>24</v>
      </c>
      <c r="B332" s="37" t="s">
        <v>286</v>
      </c>
      <c r="C332" s="46" t="s">
        <v>106</v>
      </c>
      <c r="D332" s="123">
        <v>2.0</v>
      </c>
      <c r="E332" s="37">
        <v>2.0</v>
      </c>
      <c r="F332" s="40"/>
      <c r="G332" s="40"/>
      <c r="H332" s="40">
        <f t="shared" si="62"/>
        <v>4</v>
      </c>
      <c r="I332" s="40"/>
      <c r="J332" s="64">
        <f t="shared" si="63"/>
        <v>4</v>
      </c>
      <c r="K332" s="79"/>
    </row>
    <row r="333" ht="19.5" customHeight="1">
      <c r="A333" s="216" t="s">
        <v>1</v>
      </c>
      <c r="B333" s="74" t="s">
        <v>91</v>
      </c>
      <c r="C333" s="74" t="s">
        <v>92</v>
      </c>
      <c r="D333" s="76" t="s">
        <v>93</v>
      </c>
      <c r="E333" s="50" t="s">
        <v>161</v>
      </c>
      <c r="F333" s="53" t="s">
        <v>121</v>
      </c>
      <c r="G333" s="53" t="s">
        <v>99</v>
      </c>
      <c r="H333" s="53" t="s">
        <v>100</v>
      </c>
      <c r="I333" s="53" t="s">
        <v>101</v>
      </c>
      <c r="J333" s="76" t="s">
        <v>95</v>
      </c>
      <c r="K333" s="74" t="s">
        <v>96</v>
      </c>
    </row>
    <row r="334" ht="19.5" customHeight="1">
      <c r="A334" s="220">
        <v>1.0</v>
      </c>
      <c r="B334" s="37" t="s">
        <v>287</v>
      </c>
      <c r="C334" s="46" t="s">
        <v>108</v>
      </c>
      <c r="D334" s="78">
        <v>0.0</v>
      </c>
      <c r="E334" s="37">
        <v>1.0</v>
      </c>
      <c r="F334" s="78"/>
      <c r="G334" s="40"/>
      <c r="H334" s="40">
        <f t="shared" ref="H334:H374" si="65">E334*D334</f>
        <v>0</v>
      </c>
      <c r="I334" s="42"/>
      <c r="J334" s="64">
        <f t="shared" ref="J334:J374" si="66">H334</f>
        <v>0</v>
      </c>
      <c r="K334" s="46"/>
    </row>
    <row r="335" ht="19.5" customHeight="1">
      <c r="A335" s="220">
        <f t="shared" ref="A335:A374" si="67">A334+1</f>
        <v>2</v>
      </c>
      <c r="B335" s="37" t="s">
        <v>288</v>
      </c>
      <c r="C335" s="46" t="s">
        <v>108</v>
      </c>
      <c r="D335" s="78">
        <v>100.0</v>
      </c>
      <c r="E335" s="37">
        <v>1.0</v>
      </c>
      <c r="F335" s="78"/>
      <c r="G335" s="40"/>
      <c r="H335" s="40">
        <f t="shared" si="65"/>
        <v>100</v>
      </c>
      <c r="I335" s="42"/>
      <c r="J335" s="64">
        <f t="shared" si="66"/>
        <v>100</v>
      </c>
      <c r="K335" s="46"/>
    </row>
    <row r="336" ht="19.5" customHeight="1">
      <c r="A336" s="220">
        <f t="shared" si="67"/>
        <v>3</v>
      </c>
      <c r="B336" s="37" t="s">
        <v>289</v>
      </c>
      <c r="C336" s="46" t="s">
        <v>108</v>
      </c>
      <c r="D336" s="78">
        <v>50.0</v>
      </c>
      <c r="E336" s="37">
        <v>1.0</v>
      </c>
      <c r="F336" s="78"/>
      <c r="G336" s="40"/>
      <c r="H336" s="40">
        <f t="shared" si="65"/>
        <v>50</v>
      </c>
      <c r="I336" s="42"/>
      <c r="J336" s="64">
        <f t="shared" si="66"/>
        <v>50</v>
      </c>
      <c r="K336" s="46"/>
    </row>
    <row r="337" ht="19.5" customHeight="1">
      <c r="A337" s="220">
        <f t="shared" si="67"/>
        <v>4</v>
      </c>
      <c r="B337" s="37" t="s">
        <v>263</v>
      </c>
      <c r="C337" s="46" t="s">
        <v>108</v>
      </c>
      <c r="D337" s="78">
        <v>100.0</v>
      </c>
      <c r="E337" s="37">
        <v>1.0</v>
      </c>
      <c r="F337" s="78"/>
      <c r="G337" s="40"/>
      <c r="H337" s="40">
        <f t="shared" si="65"/>
        <v>100</v>
      </c>
      <c r="I337" s="42"/>
      <c r="J337" s="64">
        <f t="shared" si="66"/>
        <v>100</v>
      </c>
      <c r="K337" s="46"/>
    </row>
    <row r="338" ht="19.5" customHeight="1">
      <c r="A338" s="220">
        <f t="shared" si="67"/>
        <v>5</v>
      </c>
      <c r="B338" s="37" t="s">
        <v>264</v>
      </c>
      <c r="C338" s="46" t="s">
        <v>108</v>
      </c>
      <c r="D338" s="123">
        <v>100.0</v>
      </c>
      <c r="E338" s="37">
        <v>2.0</v>
      </c>
      <c r="F338" s="40"/>
      <c r="G338" s="40"/>
      <c r="H338" s="40">
        <f t="shared" si="65"/>
        <v>200</v>
      </c>
      <c r="I338" s="40"/>
      <c r="J338" s="64">
        <f t="shared" si="66"/>
        <v>200</v>
      </c>
      <c r="K338" s="46"/>
    </row>
    <row r="339" ht="19.5" customHeight="1">
      <c r="A339" s="220">
        <f t="shared" si="67"/>
        <v>6</v>
      </c>
      <c r="B339" s="37" t="s">
        <v>290</v>
      </c>
      <c r="C339" s="46" t="s">
        <v>108</v>
      </c>
      <c r="D339" s="123">
        <v>24.0</v>
      </c>
      <c r="E339" s="37">
        <v>2.0</v>
      </c>
      <c r="F339" s="40"/>
      <c r="G339" s="40"/>
      <c r="H339" s="40">
        <f t="shared" si="65"/>
        <v>48</v>
      </c>
      <c r="I339" s="40"/>
      <c r="J339" s="64">
        <f t="shared" si="66"/>
        <v>48</v>
      </c>
      <c r="K339" s="46"/>
    </row>
    <row r="340" ht="19.5" customHeight="1">
      <c r="A340" s="220">
        <f t="shared" si="67"/>
        <v>7</v>
      </c>
      <c r="B340" s="37" t="s">
        <v>291</v>
      </c>
      <c r="C340" s="46" t="s">
        <v>108</v>
      </c>
      <c r="D340" s="123">
        <v>60.0</v>
      </c>
      <c r="E340" s="37">
        <v>2.0</v>
      </c>
      <c r="F340" s="40"/>
      <c r="G340" s="40"/>
      <c r="H340" s="40">
        <f t="shared" si="65"/>
        <v>120</v>
      </c>
      <c r="I340" s="40"/>
      <c r="J340" s="64">
        <f t="shared" si="66"/>
        <v>120</v>
      </c>
      <c r="K340" s="46"/>
    </row>
    <row r="341" ht="19.5" customHeight="1">
      <c r="A341" s="220">
        <f t="shared" si="67"/>
        <v>8</v>
      </c>
      <c r="B341" s="37" t="s">
        <v>292</v>
      </c>
      <c r="C341" s="46" t="s">
        <v>106</v>
      </c>
      <c r="D341" s="123">
        <v>0.0</v>
      </c>
      <c r="E341" s="37">
        <v>1.0</v>
      </c>
      <c r="F341" s="40"/>
      <c r="G341" s="40"/>
      <c r="H341" s="40">
        <f t="shared" si="65"/>
        <v>0</v>
      </c>
      <c r="I341" s="40"/>
      <c r="J341" s="64">
        <f t="shared" si="66"/>
        <v>0</v>
      </c>
      <c r="K341" s="46"/>
    </row>
    <row r="342" ht="19.5" customHeight="1">
      <c r="A342" s="220">
        <f t="shared" si="67"/>
        <v>9</v>
      </c>
      <c r="B342" s="37" t="s">
        <v>293</v>
      </c>
      <c r="C342" s="46" t="s">
        <v>106</v>
      </c>
      <c r="D342" s="123">
        <v>2.0</v>
      </c>
      <c r="E342" s="37">
        <v>1.0</v>
      </c>
      <c r="F342" s="40"/>
      <c r="G342" s="40"/>
      <c r="H342" s="40">
        <f t="shared" si="65"/>
        <v>2</v>
      </c>
      <c r="I342" s="40"/>
      <c r="J342" s="64">
        <f t="shared" si="66"/>
        <v>2</v>
      </c>
      <c r="K342" s="46"/>
    </row>
    <row r="343" ht="19.5" customHeight="1">
      <c r="A343" s="220">
        <f t="shared" si="67"/>
        <v>10</v>
      </c>
      <c r="B343" s="37" t="s">
        <v>294</v>
      </c>
      <c r="C343" s="46" t="s">
        <v>106</v>
      </c>
      <c r="D343" s="123">
        <v>2.0</v>
      </c>
      <c r="E343" s="37">
        <v>1.0</v>
      </c>
      <c r="F343" s="40"/>
      <c r="G343" s="40"/>
      <c r="H343" s="40">
        <f t="shared" si="65"/>
        <v>2</v>
      </c>
      <c r="I343" s="40"/>
      <c r="J343" s="64">
        <f t="shared" si="66"/>
        <v>2</v>
      </c>
      <c r="K343" s="46"/>
    </row>
    <row r="344" ht="19.5" customHeight="1">
      <c r="A344" s="220">
        <f t="shared" si="67"/>
        <v>11</v>
      </c>
      <c r="B344" s="37" t="s">
        <v>295</v>
      </c>
      <c r="C344" s="46" t="s">
        <v>106</v>
      </c>
      <c r="D344" s="123">
        <v>2.0</v>
      </c>
      <c r="E344" s="37">
        <v>1.0</v>
      </c>
      <c r="F344" s="40"/>
      <c r="G344" s="40"/>
      <c r="H344" s="40">
        <f t="shared" si="65"/>
        <v>2</v>
      </c>
      <c r="I344" s="40"/>
      <c r="J344" s="64">
        <f t="shared" si="66"/>
        <v>2</v>
      </c>
      <c r="K344" s="46"/>
    </row>
    <row r="345" ht="19.5" customHeight="1">
      <c r="A345" s="220">
        <f t="shared" si="67"/>
        <v>12</v>
      </c>
      <c r="B345" s="37" t="s">
        <v>270</v>
      </c>
      <c r="C345" s="46" t="s">
        <v>106</v>
      </c>
      <c r="D345" s="123">
        <v>2.0</v>
      </c>
      <c r="E345" s="37">
        <v>1.0</v>
      </c>
      <c r="F345" s="40"/>
      <c r="G345" s="40"/>
      <c r="H345" s="40">
        <f t="shared" si="65"/>
        <v>2</v>
      </c>
      <c r="I345" s="40"/>
      <c r="J345" s="64">
        <f t="shared" si="66"/>
        <v>2</v>
      </c>
      <c r="K345" s="46"/>
    </row>
    <row r="346" ht="19.5" customHeight="1">
      <c r="A346" s="220">
        <f t="shared" si="67"/>
        <v>13</v>
      </c>
      <c r="B346" s="37" t="s">
        <v>296</v>
      </c>
      <c r="C346" s="46" t="s">
        <v>106</v>
      </c>
      <c r="D346" s="123">
        <v>2.0</v>
      </c>
      <c r="E346" s="37">
        <v>2.0</v>
      </c>
      <c r="F346" s="40"/>
      <c r="G346" s="40"/>
      <c r="H346" s="40">
        <f t="shared" si="65"/>
        <v>4</v>
      </c>
      <c r="I346" s="40"/>
      <c r="J346" s="64">
        <f t="shared" si="66"/>
        <v>4</v>
      </c>
      <c r="K346" s="46"/>
    </row>
    <row r="347" ht="19.5" customHeight="1">
      <c r="A347" s="220">
        <f t="shared" si="67"/>
        <v>14</v>
      </c>
      <c r="B347" s="37" t="s">
        <v>297</v>
      </c>
      <c r="C347" s="46" t="s">
        <v>106</v>
      </c>
      <c r="D347" s="123">
        <v>4.0</v>
      </c>
      <c r="E347" s="37">
        <v>2.0</v>
      </c>
      <c r="F347" s="40"/>
      <c r="G347" s="40"/>
      <c r="H347" s="40">
        <f t="shared" si="65"/>
        <v>8</v>
      </c>
      <c r="I347" s="40"/>
      <c r="J347" s="64">
        <f t="shared" si="66"/>
        <v>8</v>
      </c>
      <c r="K347" s="46"/>
    </row>
    <row r="348" ht="19.5" customHeight="1">
      <c r="A348" s="220">
        <f t="shared" si="67"/>
        <v>15</v>
      </c>
      <c r="B348" s="37" t="s">
        <v>298</v>
      </c>
      <c r="C348" s="46" t="s">
        <v>106</v>
      </c>
      <c r="D348" s="123">
        <v>2.0</v>
      </c>
      <c r="E348" s="37">
        <v>1.0</v>
      </c>
      <c r="F348" s="40"/>
      <c r="G348" s="40"/>
      <c r="H348" s="40">
        <f t="shared" si="65"/>
        <v>2</v>
      </c>
      <c r="I348" s="40"/>
      <c r="J348" s="64">
        <f t="shared" si="66"/>
        <v>2</v>
      </c>
      <c r="K348" s="46"/>
    </row>
    <row r="349" ht="19.5" customHeight="1">
      <c r="A349" s="220">
        <f t="shared" si="67"/>
        <v>16</v>
      </c>
      <c r="B349" s="37" t="s">
        <v>299</v>
      </c>
      <c r="C349" s="46" t="s">
        <v>106</v>
      </c>
      <c r="D349" s="123">
        <v>2.0</v>
      </c>
      <c r="E349" s="37">
        <v>1.0</v>
      </c>
      <c r="F349" s="40"/>
      <c r="G349" s="40"/>
      <c r="H349" s="40">
        <f t="shared" si="65"/>
        <v>2</v>
      </c>
      <c r="I349" s="40"/>
      <c r="J349" s="64">
        <f t="shared" si="66"/>
        <v>2</v>
      </c>
      <c r="K349" s="46"/>
    </row>
    <row r="350" ht="19.5" customHeight="1">
      <c r="A350" s="220">
        <f t="shared" si="67"/>
        <v>17</v>
      </c>
      <c r="B350" s="37" t="s">
        <v>300</v>
      </c>
      <c r="C350" s="46" t="s">
        <v>106</v>
      </c>
      <c r="D350" s="123">
        <v>2.0</v>
      </c>
      <c r="E350" s="37">
        <v>1.0</v>
      </c>
      <c r="F350" s="40"/>
      <c r="G350" s="40"/>
      <c r="H350" s="40">
        <f t="shared" si="65"/>
        <v>2</v>
      </c>
      <c r="I350" s="40"/>
      <c r="J350" s="64">
        <f t="shared" si="66"/>
        <v>2</v>
      </c>
      <c r="K350" s="46"/>
    </row>
    <row r="351" ht="19.5" customHeight="1">
      <c r="A351" s="220">
        <f t="shared" si="67"/>
        <v>18</v>
      </c>
      <c r="B351" s="37" t="s">
        <v>301</v>
      </c>
      <c r="C351" s="46" t="s">
        <v>106</v>
      </c>
      <c r="D351" s="123">
        <v>2.0</v>
      </c>
      <c r="E351" s="37">
        <v>1.0</v>
      </c>
      <c r="F351" s="40"/>
      <c r="G351" s="40"/>
      <c r="H351" s="40">
        <f t="shared" si="65"/>
        <v>2</v>
      </c>
      <c r="I351" s="40"/>
      <c r="J351" s="64">
        <f t="shared" si="66"/>
        <v>2</v>
      </c>
      <c r="K351" s="46"/>
    </row>
    <row r="352" ht="19.5" customHeight="1">
      <c r="A352" s="220">
        <f t="shared" si="67"/>
        <v>19</v>
      </c>
      <c r="B352" s="37" t="s">
        <v>302</v>
      </c>
      <c r="C352" s="46" t="s">
        <v>106</v>
      </c>
      <c r="D352" s="123">
        <v>2.0</v>
      </c>
      <c r="E352" s="37">
        <v>1.0</v>
      </c>
      <c r="F352" s="40"/>
      <c r="G352" s="40"/>
      <c r="H352" s="40">
        <f t="shared" si="65"/>
        <v>2</v>
      </c>
      <c r="I352" s="40"/>
      <c r="J352" s="64">
        <f t="shared" si="66"/>
        <v>2</v>
      </c>
      <c r="K352" s="46"/>
    </row>
    <row r="353" ht="19.5" customHeight="1">
      <c r="A353" s="220">
        <f t="shared" si="67"/>
        <v>20</v>
      </c>
      <c r="B353" s="37" t="s">
        <v>303</v>
      </c>
      <c r="C353" s="46" t="s">
        <v>106</v>
      </c>
      <c r="D353" s="123">
        <v>1.0</v>
      </c>
      <c r="E353" s="37">
        <v>2.0</v>
      </c>
      <c r="F353" s="40"/>
      <c r="G353" s="40"/>
      <c r="H353" s="40">
        <f t="shared" si="65"/>
        <v>2</v>
      </c>
      <c r="I353" s="40"/>
      <c r="J353" s="64">
        <f t="shared" si="66"/>
        <v>2</v>
      </c>
      <c r="K353" s="46"/>
    </row>
    <row r="354" ht="19.5" customHeight="1">
      <c r="A354" s="220">
        <f t="shared" si="67"/>
        <v>21</v>
      </c>
      <c r="B354" s="37" t="s">
        <v>304</v>
      </c>
      <c r="C354" s="46" t="s">
        <v>106</v>
      </c>
      <c r="D354" s="123">
        <v>4.0</v>
      </c>
      <c r="E354" s="37">
        <v>2.0</v>
      </c>
      <c r="F354" s="40"/>
      <c r="G354" s="40"/>
      <c r="H354" s="40">
        <f t="shared" si="65"/>
        <v>8</v>
      </c>
      <c r="I354" s="40"/>
      <c r="J354" s="64">
        <f t="shared" si="66"/>
        <v>8</v>
      </c>
      <c r="K354" s="46"/>
    </row>
    <row r="355" ht="19.5" customHeight="1">
      <c r="A355" s="220">
        <f t="shared" si="67"/>
        <v>22</v>
      </c>
      <c r="B355" s="37" t="s">
        <v>305</v>
      </c>
      <c r="C355" s="46" t="s">
        <v>106</v>
      </c>
      <c r="D355" s="123">
        <v>0.0</v>
      </c>
      <c r="E355" s="37">
        <v>1.0</v>
      </c>
      <c r="F355" s="40"/>
      <c r="G355" s="40"/>
      <c r="H355" s="40">
        <f t="shared" si="65"/>
        <v>0</v>
      </c>
      <c r="I355" s="40"/>
      <c r="J355" s="64">
        <f t="shared" si="66"/>
        <v>0</v>
      </c>
      <c r="K355" s="46"/>
    </row>
    <row r="356" ht="19.5" customHeight="1">
      <c r="A356" s="220">
        <f t="shared" si="67"/>
        <v>23</v>
      </c>
      <c r="B356" s="37" t="s">
        <v>306</v>
      </c>
      <c r="C356" s="46" t="s">
        <v>106</v>
      </c>
      <c r="D356" s="123">
        <v>2.0</v>
      </c>
      <c r="E356" s="37">
        <v>1.0</v>
      </c>
      <c r="F356" s="40"/>
      <c r="G356" s="40"/>
      <c r="H356" s="40">
        <f t="shared" si="65"/>
        <v>2</v>
      </c>
      <c r="I356" s="40"/>
      <c r="J356" s="64">
        <f t="shared" si="66"/>
        <v>2</v>
      </c>
      <c r="K356" s="46"/>
    </row>
    <row r="357" ht="19.5" customHeight="1">
      <c r="A357" s="220">
        <f t="shared" si="67"/>
        <v>24</v>
      </c>
      <c r="B357" s="37" t="s">
        <v>307</v>
      </c>
      <c r="C357" s="46" t="s">
        <v>106</v>
      </c>
      <c r="D357" s="123">
        <v>2.0</v>
      </c>
      <c r="E357" s="37">
        <v>1.0</v>
      </c>
      <c r="F357" s="40"/>
      <c r="G357" s="40"/>
      <c r="H357" s="40">
        <f t="shared" si="65"/>
        <v>2</v>
      </c>
      <c r="I357" s="40"/>
      <c r="J357" s="64">
        <f t="shared" si="66"/>
        <v>2</v>
      </c>
      <c r="K357" s="46"/>
    </row>
    <row r="358" ht="19.5" customHeight="1">
      <c r="A358" s="220">
        <f t="shared" si="67"/>
        <v>25</v>
      </c>
      <c r="B358" s="37" t="s">
        <v>308</v>
      </c>
      <c r="C358" s="46" t="s">
        <v>106</v>
      </c>
      <c r="D358" s="123">
        <v>2.0</v>
      </c>
      <c r="E358" s="37">
        <v>1.0</v>
      </c>
      <c r="F358" s="40"/>
      <c r="G358" s="40"/>
      <c r="H358" s="40">
        <f t="shared" si="65"/>
        <v>2</v>
      </c>
      <c r="I358" s="40"/>
      <c r="J358" s="64">
        <f t="shared" si="66"/>
        <v>2</v>
      </c>
      <c r="K358" s="46"/>
    </row>
    <row r="359" ht="19.5" customHeight="1">
      <c r="A359" s="220">
        <f t="shared" si="67"/>
        <v>26</v>
      </c>
      <c r="B359" s="37" t="s">
        <v>309</v>
      </c>
      <c r="C359" s="46" t="s">
        <v>106</v>
      </c>
      <c r="D359" s="123">
        <v>4.0</v>
      </c>
      <c r="E359" s="37">
        <v>1.0</v>
      </c>
      <c r="F359" s="40"/>
      <c r="G359" s="40"/>
      <c r="H359" s="40">
        <f t="shared" si="65"/>
        <v>4</v>
      </c>
      <c r="I359" s="40"/>
      <c r="J359" s="64">
        <f t="shared" si="66"/>
        <v>4</v>
      </c>
      <c r="K359" s="46"/>
    </row>
    <row r="360" ht="19.5" customHeight="1">
      <c r="A360" s="220">
        <f t="shared" si="67"/>
        <v>27</v>
      </c>
      <c r="B360" s="37" t="s">
        <v>310</v>
      </c>
      <c r="C360" s="46" t="s">
        <v>106</v>
      </c>
      <c r="D360" s="123">
        <v>2.0</v>
      </c>
      <c r="E360" s="37">
        <v>1.0</v>
      </c>
      <c r="F360" s="40"/>
      <c r="G360" s="40"/>
      <c r="H360" s="40">
        <f t="shared" si="65"/>
        <v>2</v>
      </c>
      <c r="I360" s="40"/>
      <c r="J360" s="64">
        <f t="shared" si="66"/>
        <v>2</v>
      </c>
      <c r="K360" s="46"/>
    </row>
    <row r="361" ht="19.5" customHeight="1">
      <c r="A361" s="220">
        <f t="shared" si="67"/>
        <v>28</v>
      </c>
      <c r="B361" s="37" t="s">
        <v>311</v>
      </c>
      <c r="C361" s="46" t="s">
        <v>106</v>
      </c>
      <c r="D361" s="123">
        <v>4.0</v>
      </c>
      <c r="E361" s="37">
        <v>1.0</v>
      </c>
      <c r="F361" s="40"/>
      <c r="G361" s="40"/>
      <c r="H361" s="40">
        <f t="shared" si="65"/>
        <v>4</v>
      </c>
      <c r="I361" s="40"/>
      <c r="J361" s="64">
        <f t="shared" si="66"/>
        <v>4</v>
      </c>
      <c r="K361" s="46"/>
    </row>
    <row r="362" ht="19.5" customHeight="1">
      <c r="A362" s="220">
        <f t="shared" si="67"/>
        <v>29</v>
      </c>
      <c r="B362" s="37" t="s">
        <v>312</v>
      </c>
      <c r="C362" s="46" t="s">
        <v>106</v>
      </c>
      <c r="D362" s="123">
        <v>11.0</v>
      </c>
      <c r="E362" s="37">
        <v>2.0</v>
      </c>
      <c r="F362" s="40"/>
      <c r="G362" s="40"/>
      <c r="H362" s="40">
        <f t="shared" si="65"/>
        <v>22</v>
      </c>
      <c r="I362" s="40"/>
      <c r="J362" s="64">
        <f t="shared" si="66"/>
        <v>22</v>
      </c>
      <c r="K362" s="46"/>
    </row>
    <row r="363" ht="19.5" customHeight="1">
      <c r="A363" s="220">
        <f t="shared" si="67"/>
        <v>30</v>
      </c>
      <c r="B363" s="37" t="s">
        <v>313</v>
      </c>
      <c r="C363" s="46" t="s">
        <v>106</v>
      </c>
      <c r="D363" s="123">
        <v>20.0</v>
      </c>
      <c r="E363" s="37">
        <v>2.0</v>
      </c>
      <c r="F363" s="40"/>
      <c r="G363" s="40"/>
      <c r="H363" s="40">
        <f t="shared" si="65"/>
        <v>40</v>
      </c>
      <c r="I363" s="40"/>
      <c r="J363" s="64">
        <f t="shared" si="66"/>
        <v>40</v>
      </c>
      <c r="K363" s="46"/>
    </row>
    <row r="364" ht="19.5" customHeight="1">
      <c r="A364" s="220">
        <f t="shared" si="67"/>
        <v>31</v>
      </c>
      <c r="B364" s="37" t="s">
        <v>314</v>
      </c>
      <c r="C364" s="46" t="s">
        <v>106</v>
      </c>
      <c r="D364" s="123">
        <v>2.0</v>
      </c>
      <c r="E364" s="37">
        <v>2.0</v>
      </c>
      <c r="F364" s="40"/>
      <c r="G364" s="40"/>
      <c r="H364" s="40">
        <f t="shared" si="65"/>
        <v>4</v>
      </c>
      <c r="I364" s="40"/>
      <c r="J364" s="64">
        <f t="shared" si="66"/>
        <v>4</v>
      </c>
      <c r="K364" s="46"/>
    </row>
    <row r="365" ht="19.5" customHeight="1">
      <c r="A365" s="220">
        <f t="shared" si="67"/>
        <v>32</v>
      </c>
      <c r="B365" s="37" t="s">
        <v>315</v>
      </c>
      <c r="C365" s="46" t="s">
        <v>106</v>
      </c>
      <c r="D365" s="123">
        <v>4.0</v>
      </c>
      <c r="E365" s="37">
        <v>2.0</v>
      </c>
      <c r="F365" s="40"/>
      <c r="G365" s="40"/>
      <c r="H365" s="40">
        <f t="shared" si="65"/>
        <v>8</v>
      </c>
      <c r="I365" s="40"/>
      <c r="J365" s="64">
        <f t="shared" si="66"/>
        <v>8</v>
      </c>
      <c r="K365" s="46"/>
    </row>
    <row r="366" ht="19.5" customHeight="1">
      <c r="A366" s="220">
        <f t="shared" si="67"/>
        <v>33</v>
      </c>
      <c r="B366" s="37" t="s">
        <v>316</v>
      </c>
      <c r="C366" s="46" t="s">
        <v>106</v>
      </c>
      <c r="D366" s="123"/>
      <c r="E366" s="37">
        <v>1.0</v>
      </c>
      <c r="F366" s="40"/>
      <c r="G366" s="40"/>
      <c r="H366" s="40">
        <f t="shared" si="65"/>
        <v>0</v>
      </c>
      <c r="I366" s="40"/>
      <c r="J366" s="64">
        <f t="shared" si="66"/>
        <v>0</v>
      </c>
      <c r="K366" s="46"/>
    </row>
    <row r="367" ht="19.5" customHeight="1">
      <c r="A367" s="220">
        <f t="shared" si="67"/>
        <v>34</v>
      </c>
      <c r="B367" s="37" t="s">
        <v>317</v>
      </c>
      <c r="C367" s="46" t="s">
        <v>106</v>
      </c>
      <c r="D367" s="123">
        <v>2.0</v>
      </c>
      <c r="E367" s="37">
        <v>2.0</v>
      </c>
      <c r="F367" s="40"/>
      <c r="G367" s="40"/>
      <c r="H367" s="40">
        <f t="shared" si="65"/>
        <v>4</v>
      </c>
      <c r="I367" s="40"/>
      <c r="J367" s="64">
        <f t="shared" si="66"/>
        <v>4</v>
      </c>
      <c r="K367" s="46"/>
    </row>
    <row r="368" ht="19.5" customHeight="1">
      <c r="A368" s="220">
        <f t="shared" si="67"/>
        <v>35</v>
      </c>
      <c r="B368" s="37" t="s">
        <v>318</v>
      </c>
      <c r="C368" s="46" t="s">
        <v>106</v>
      </c>
      <c r="D368" s="123">
        <v>1.0</v>
      </c>
      <c r="E368" s="37">
        <v>1.0</v>
      </c>
      <c r="F368" s="40"/>
      <c r="G368" s="40"/>
      <c r="H368" s="40">
        <f t="shared" si="65"/>
        <v>1</v>
      </c>
      <c r="I368" s="40"/>
      <c r="J368" s="64">
        <f t="shared" si="66"/>
        <v>1</v>
      </c>
      <c r="K368" s="46"/>
    </row>
    <row r="369" ht="19.5" customHeight="1">
      <c r="A369" s="220">
        <f t="shared" si="67"/>
        <v>36</v>
      </c>
      <c r="B369" s="37" t="s">
        <v>319</v>
      </c>
      <c r="C369" s="46" t="s">
        <v>106</v>
      </c>
      <c r="D369" s="123">
        <v>23.0</v>
      </c>
      <c r="E369" s="37">
        <v>2.0</v>
      </c>
      <c r="F369" s="40"/>
      <c r="G369" s="40"/>
      <c r="H369" s="40">
        <f t="shared" si="65"/>
        <v>46</v>
      </c>
      <c r="I369" s="40"/>
      <c r="J369" s="64">
        <f t="shared" si="66"/>
        <v>46</v>
      </c>
      <c r="K369" s="46"/>
    </row>
    <row r="370" ht="19.5" customHeight="1">
      <c r="A370" s="220">
        <f t="shared" si="67"/>
        <v>37</v>
      </c>
      <c r="B370" s="37" t="s">
        <v>320</v>
      </c>
      <c r="C370" s="46" t="s">
        <v>106</v>
      </c>
      <c r="D370" s="123">
        <v>8.0</v>
      </c>
      <c r="E370" s="37">
        <v>2.0</v>
      </c>
      <c r="F370" s="40"/>
      <c r="G370" s="40"/>
      <c r="H370" s="40">
        <f t="shared" si="65"/>
        <v>16</v>
      </c>
      <c r="I370" s="40"/>
      <c r="J370" s="64">
        <f t="shared" si="66"/>
        <v>16</v>
      </c>
      <c r="K370" s="46"/>
    </row>
    <row r="371" ht="19.5" customHeight="1">
      <c r="A371" s="220">
        <f t="shared" si="67"/>
        <v>38</v>
      </c>
      <c r="B371" s="37" t="s">
        <v>321</v>
      </c>
      <c r="C371" s="46" t="s">
        <v>106</v>
      </c>
      <c r="D371" s="123">
        <v>8.0</v>
      </c>
      <c r="E371" s="37">
        <v>2.0</v>
      </c>
      <c r="F371" s="40"/>
      <c r="G371" s="40"/>
      <c r="H371" s="40">
        <f t="shared" si="65"/>
        <v>16</v>
      </c>
      <c r="I371" s="40"/>
      <c r="J371" s="64">
        <f t="shared" si="66"/>
        <v>16</v>
      </c>
      <c r="K371" s="46"/>
    </row>
    <row r="372" ht="19.5" customHeight="1">
      <c r="A372" s="220">
        <f t="shared" si="67"/>
        <v>39</v>
      </c>
      <c r="B372" s="37" t="s">
        <v>322</v>
      </c>
      <c r="C372" s="46" t="s">
        <v>106</v>
      </c>
      <c r="D372" s="123"/>
      <c r="E372" s="37">
        <v>1.0</v>
      </c>
      <c r="F372" s="40"/>
      <c r="G372" s="40"/>
      <c r="H372" s="40">
        <f t="shared" si="65"/>
        <v>0</v>
      </c>
      <c r="I372" s="40"/>
      <c r="J372" s="64">
        <f t="shared" si="66"/>
        <v>0</v>
      </c>
      <c r="K372" s="46"/>
    </row>
    <row r="373" ht="19.5" customHeight="1">
      <c r="A373" s="220">
        <f t="shared" si="67"/>
        <v>40</v>
      </c>
      <c r="B373" s="37" t="s">
        <v>323</v>
      </c>
      <c r="C373" s="46" t="s">
        <v>108</v>
      </c>
      <c r="D373" s="123">
        <v>100.0</v>
      </c>
      <c r="E373" s="37">
        <v>2.0</v>
      </c>
      <c r="F373" s="40"/>
      <c r="G373" s="40"/>
      <c r="H373" s="40">
        <f t="shared" si="65"/>
        <v>200</v>
      </c>
      <c r="I373" s="40"/>
      <c r="J373" s="64">
        <f t="shared" si="66"/>
        <v>200</v>
      </c>
      <c r="K373" s="46"/>
    </row>
    <row r="374" ht="19.5" customHeight="1">
      <c r="A374" s="220">
        <f t="shared" si="67"/>
        <v>41</v>
      </c>
      <c r="B374" s="37" t="s">
        <v>324</v>
      </c>
      <c r="C374" s="46" t="s">
        <v>325</v>
      </c>
      <c r="D374" s="123">
        <v>10.0</v>
      </c>
      <c r="E374" s="37">
        <v>2.0</v>
      </c>
      <c r="F374" s="40"/>
      <c r="G374" s="40"/>
      <c r="H374" s="40">
        <f t="shared" si="65"/>
        <v>20</v>
      </c>
      <c r="I374" s="40"/>
      <c r="J374" s="64">
        <f t="shared" si="66"/>
        <v>20</v>
      </c>
      <c r="K374" s="46"/>
    </row>
    <row r="375" ht="19.5" customHeight="1">
      <c r="A375" s="221"/>
      <c r="C375" s="12"/>
      <c r="D375" s="87"/>
      <c r="F375" s="14"/>
      <c r="G375" s="14"/>
      <c r="H375" s="14"/>
      <c r="I375" s="14"/>
      <c r="J375" s="14"/>
      <c r="K375" s="12"/>
    </row>
    <row r="376" ht="19.5" customHeight="1">
      <c r="A376" s="216" t="s">
        <v>1</v>
      </c>
      <c r="B376" s="74" t="s">
        <v>91</v>
      </c>
      <c r="C376" s="74" t="s">
        <v>92</v>
      </c>
      <c r="D376" s="76" t="s">
        <v>93</v>
      </c>
      <c r="E376" s="50" t="s">
        <v>161</v>
      </c>
      <c r="F376" s="53" t="s">
        <v>121</v>
      </c>
      <c r="G376" s="53" t="s">
        <v>99</v>
      </c>
      <c r="H376" s="53" t="s">
        <v>100</v>
      </c>
      <c r="I376" s="53" t="s">
        <v>101</v>
      </c>
      <c r="J376" s="76" t="s">
        <v>95</v>
      </c>
      <c r="K376" s="74" t="s">
        <v>96</v>
      </c>
    </row>
    <row r="377" ht="19.5" customHeight="1">
      <c r="A377" s="220">
        <v>1.0</v>
      </c>
      <c r="B377" s="37" t="s">
        <v>326</v>
      </c>
      <c r="C377" s="46" t="s">
        <v>108</v>
      </c>
      <c r="D377" s="78">
        <v>8.0</v>
      </c>
      <c r="E377" s="37">
        <v>2.0</v>
      </c>
      <c r="F377" s="78"/>
      <c r="G377" s="40"/>
      <c r="H377" s="40">
        <f t="shared" ref="H377:H380" si="68">E377*D377</f>
        <v>16</v>
      </c>
      <c r="I377" s="42"/>
      <c r="J377" s="43">
        <f t="shared" ref="J377:J380" si="69">H377</f>
        <v>16</v>
      </c>
      <c r="K377" s="46"/>
    </row>
    <row r="378" ht="19.5" customHeight="1">
      <c r="A378" s="220">
        <v>2.0</v>
      </c>
      <c r="B378" s="37" t="s">
        <v>327</v>
      </c>
      <c r="C378" s="46"/>
      <c r="D378" s="123">
        <v>3.0</v>
      </c>
      <c r="E378" s="37">
        <v>2.0</v>
      </c>
      <c r="F378" s="40"/>
      <c r="G378" s="40"/>
      <c r="H378" s="40">
        <f t="shared" si="68"/>
        <v>6</v>
      </c>
      <c r="I378" s="40"/>
      <c r="J378" s="43">
        <f t="shared" si="69"/>
        <v>6</v>
      </c>
      <c r="K378" s="46"/>
    </row>
    <row r="379" ht="19.5" customHeight="1">
      <c r="A379" s="220">
        <v>3.0</v>
      </c>
      <c r="B379" s="37" t="s">
        <v>379</v>
      </c>
      <c r="C379" s="46"/>
      <c r="D379" s="123">
        <v>3.0</v>
      </c>
      <c r="E379" s="37">
        <v>2.0</v>
      </c>
      <c r="F379" s="40"/>
      <c r="G379" s="40"/>
      <c r="H379" s="40">
        <f t="shared" si="68"/>
        <v>6</v>
      </c>
      <c r="I379" s="40"/>
      <c r="J379" s="43">
        <f t="shared" si="69"/>
        <v>6</v>
      </c>
      <c r="K379" s="46"/>
    </row>
    <row r="380" ht="19.5" customHeight="1">
      <c r="A380" s="220">
        <v>4.0</v>
      </c>
      <c r="B380" s="37" t="s">
        <v>330</v>
      </c>
      <c r="C380" s="46" t="s">
        <v>103</v>
      </c>
      <c r="D380" s="123">
        <v>9.0</v>
      </c>
      <c r="E380" s="37">
        <v>2.0</v>
      </c>
      <c r="F380" s="40"/>
      <c r="G380" s="40"/>
      <c r="H380" s="40">
        <f t="shared" si="68"/>
        <v>18</v>
      </c>
      <c r="I380" s="40"/>
      <c r="J380" s="43">
        <f t="shared" si="69"/>
        <v>18</v>
      </c>
      <c r="K380" s="46"/>
    </row>
    <row r="381" ht="19.5" customHeight="1">
      <c r="A381" s="221"/>
      <c r="C381" s="12"/>
      <c r="D381" s="87"/>
      <c r="F381" s="14"/>
      <c r="G381" s="14"/>
      <c r="H381" s="14"/>
      <c r="I381" s="14"/>
      <c r="J381" s="14"/>
      <c r="K381" s="12"/>
    </row>
    <row r="382" ht="19.5" customHeight="1">
      <c r="A382" s="221"/>
      <c r="C382" s="12"/>
      <c r="D382" s="87"/>
      <c r="F382" s="14"/>
      <c r="G382" s="14"/>
      <c r="H382" s="14"/>
      <c r="I382" s="14"/>
      <c r="J382" s="14"/>
      <c r="K382" s="12"/>
    </row>
    <row r="383" ht="19.5" customHeight="1">
      <c r="A383" s="221"/>
      <c r="C383" s="12"/>
      <c r="D383" s="87"/>
      <c r="F383" s="14"/>
      <c r="G383" s="14"/>
      <c r="H383" s="14"/>
      <c r="I383" s="14"/>
      <c r="J383" s="14"/>
      <c r="K383" s="12"/>
    </row>
    <row r="384" ht="19.5" customHeight="1">
      <c r="A384" s="221"/>
      <c r="C384" s="12"/>
      <c r="D384" s="87"/>
      <c r="F384" s="14"/>
      <c r="G384" s="14"/>
      <c r="H384" s="14"/>
      <c r="I384" s="14"/>
      <c r="J384" s="14"/>
      <c r="K384" s="12"/>
    </row>
    <row r="385" ht="19.5" customHeight="1">
      <c r="A385" s="221"/>
      <c r="C385" s="12"/>
      <c r="D385" s="87"/>
      <c r="F385" s="14"/>
      <c r="G385" s="14"/>
      <c r="H385" s="14"/>
      <c r="I385" s="14"/>
      <c r="J385" s="14"/>
      <c r="K385" s="12"/>
    </row>
    <row r="386" ht="19.5" customHeight="1">
      <c r="A386" s="221"/>
      <c r="C386" s="12"/>
      <c r="D386" s="87"/>
      <c r="F386" s="14"/>
      <c r="G386" s="14"/>
      <c r="H386" s="14"/>
      <c r="I386" s="14"/>
      <c r="J386" s="14"/>
      <c r="K386" s="12"/>
    </row>
    <row r="387" ht="19.5" customHeight="1">
      <c r="A387" s="221"/>
      <c r="C387" s="12"/>
      <c r="D387" s="87"/>
      <c r="F387" s="14"/>
      <c r="G387" s="14"/>
      <c r="H387" s="14"/>
      <c r="I387" s="14"/>
      <c r="J387" s="14"/>
      <c r="K387" s="12"/>
    </row>
    <row r="388" ht="19.5" customHeight="1">
      <c r="A388" s="221"/>
      <c r="C388" s="12"/>
      <c r="D388" s="87"/>
      <c r="F388" s="14"/>
      <c r="G388" s="14"/>
      <c r="H388" s="14"/>
      <c r="I388" s="14"/>
      <c r="J388" s="14"/>
      <c r="K388" s="12"/>
    </row>
    <row r="389" ht="19.5" customHeight="1">
      <c r="A389" s="221"/>
      <c r="C389" s="12"/>
      <c r="D389" s="87"/>
      <c r="F389" s="14"/>
      <c r="G389" s="14"/>
      <c r="H389" s="14"/>
      <c r="I389" s="14"/>
      <c r="J389" s="14"/>
      <c r="K389" s="12"/>
    </row>
    <row r="390" ht="19.5" customHeight="1">
      <c r="A390" s="221"/>
      <c r="C390" s="12"/>
      <c r="D390" s="87"/>
      <c r="F390" s="14"/>
      <c r="G390" s="14"/>
      <c r="H390" s="14"/>
      <c r="I390" s="14"/>
      <c r="J390" s="14"/>
      <c r="K390" s="12"/>
    </row>
    <row r="391" ht="19.5" customHeight="1">
      <c r="A391" s="221"/>
      <c r="C391" s="12"/>
      <c r="D391" s="87"/>
      <c r="F391" s="14"/>
      <c r="G391" s="14"/>
      <c r="H391" s="14"/>
      <c r="I391" s="14"/>
      <c r="J391" s="14"/>
      <c r="K391" s="12"/>
    </row>
    <row r="392" ht="19.5" customHeight="1">
      <c r="A392" s="221"/>
      <c r="C392" s="12"/>
      <c r="D392" s="87"/>
      <c r="F392" s="14"/>
      <c r="G392" s="14"/>
      <c r="H392" s="14"/>
      <c r="I392" s="14"/>
      <c r="J392" s="14"/>
      <c r="K392" s="12"/>
    </row>
    <row r="393" ht="19.5" customHeight="1">
      <c r="A393" s="221"/>
      <c r="C393" s="12"/>
      <c r="D393" s="87"/>
      <c r="F393" s="14"/>
      <c r="G393" s="14"/>
      <c r="H393" s="14"/>
      <c r="I393" s="14"/>
      <c r="J393" s="14"/>
      <c r="K393" s="12"/>
    </row>
    <row r="394" ht="19.5" customHeight="1">
      <c r="A394" s="221"/>
      <c r="C394" s="12"/>
      <c r="D394" s="87"/>
      <c r="F394" s="14"/>
      <c r="G394" s="14"/>
      <c r="H394" s="14"/>
      <c r="I394" s="14"/>
      <c r="J394" s="14"/>
      <c r="K394" s="12"/>
    </row>
    <row r="395" ht="19.5" customHeight="1">
      <c r="A395" s="221"/>
      <c r="C395" s="12"/>
      <c r="D395" s="87"/>
      <c r="F395" s="14"/>
      <c r="G395" s="14"/>
      <c r="H395" s="14"/>
      <c r="I395" s="14"/>
      <c r="J395" s="14"/>
      <c r="K395" s="12"/>
    </row>
    <row r="396" ht="19.5" customHeight="1">
      <c r="A396" s="221"/>
      <c r="C396" s="12"/>
      <c r="D396" s="87"/>
      <c r="F396" s="14"/>
      <c r="G396" s="14"/>
      <c r="H396" s="14"/>
      <c r="I396" s="14"/>
      <c r="J396" s="14"/>
      <c r="K396" s="12"/>
    </row>
    <row r="397" ht="19.5" customHeight="1">
      <c r="A397" s="221"/>
      <c r="C397" s="12"/>
      <c r="D397" s="87"/>
      <c r="F397" s="14"/>
      <c r="G397" s="14"/>
      <c r="H397" s="14"/>
      <c r="I397" s="14"/>
      <c r="J397" s="14"/>
      <c r="K397" s="12"/>
    </row>
    <row r="398" ht="19.5" customHeight="1">
      <c r="A398" s="221"/>
      <c r="C398" s="12"/>
      <c r="D398" s="87"/>
      <c r="F398" s="14"/>
      <c r="G398" s="14"/>
      <c r="H398" s="14"/>
      <c r="I398" s="14"/>
      <c r="J398" s="14"/>
      <c r="K398" s="12"/>
    </row>
    <row r="399" ht="19.5" customHeight="1">
      <c r="A399" s="221"/>
      <c r="C399" s="12"/>
      <c r="D399" s="87"/>
      <c r="F399" s="14"/>
      <c r="G399" s="14"/>
      <c r="H399" s="14"/>
      <c r="I399" s="14"/>
      <c r="J399" s="14"/>
      <c r="K399" s="12"/>
    </row>
    <row r="400" ht="19.5" customHeight="1">
      <c r="A400" s="221"/>
      <c r="C400" s="12"/>
      <c r="D400" s="87"/>
      <c r="F400" s="14"/>
      <c r="G400" s="14"/>
      <c r="H400" s="14"/>
      <c r="I400" s="14"/>
      <c r="J400" s="14"/>
      <c r="K400" s="12"/>
    </row>
    <row r="401" ht="19.5" customHeight="1">
      <c r="A401" s="221"/>
      <c r="C401" s="12"/>
      <c r="D401" s="87"/>
      <c r="F401" s="14"/>
      <c r="G401" s="14"/>
      <c r="H401" s="14"/>
      <c r="I401" s="14"/>
      <c r="J401" s="14"/>
      <c r="K401" s="12"/>
    </row>
    <row r="402" ht="19.5" customHeight="1">
      <c r="A402" s="221"/>
      <c r="C402" s="12"/>
      <c r="D402" s="87"/>
      <c r="F402" s="14"/>
      <c r="G402" s="14"/>
      <c r="H402" s="14"/>
      <c r="I402" s="14"/>
      <c r="J402" s="14"/>
      <c r="K402" s="12"/>
    </row>
    <row r="403" ht="19.5" customHeight="1">
      <c r="A403" s="221"/>
      <c r="C403" s="12"/>
      <c r="D403" s="87"/>
      <c r="F403" s="14"/>
      <c r="G403" s="14"/>
      <c r="H403" s="14"/>
      <c r="I403" s="14"/>
      <c r="J403" s="14"/>
      <c r="K403" s="12"/>
    </row>
    <row r="404" ht="19.5" customHeight="1">
      <c r="A404" s="221"/>
      <c r="C404" s="12"/>
      <c r="D404" s="87"/>
      <c r="F404" s="14"/>
      <c r="G404" s="14"/>
      <c r="H404" s="14"/>
      <c r="I404" s="14"/>
      <c r="J404" s="14"/>
      <c r="K404" s="12"/>
    </row>
    <row r="405" ht="19.5" customHeight="1">
      <c r="A405" s="221"/>
      <c r="C405" s="12"/>
      <c r="D405" s="87"/>
      <c r="F405" s="14"/>
      <c r="G405" s="14"/>
      <c r="H405" s="14"/>
      <c r="I405" s="14"/>
      <c r="J405" s="14"/>
      <c r="K405" s="12"/>
    </row>
    <row r="406" ht="19.5" customHeight="1">
      <c r="A406" s="221"/>
      <c r="C406" s="12"/>
      <c r="D406" s="87"/>
      <c r="F406" s="14"/>
      <c r="G406" s="14"/>
      <c r="H406" s="14"/>
      <c r="I406" s="14"/>
      <c r="J406" s="14"/>
      <c r="K406" s="12"/>
    </row>
    <row r="407" ht="19.5" customHeight="1">
      <c r="A407" s="221"/>
      <c r="C407" s="12"/>
      <c r="D407" s="87"/>
      <c r="F407" s="14"/>
      <c r="G407" s="14"/>
      <c r="H407" s="14"/>
      <c r="I407" s="14"/>
      <c r="J407" s="14"/>
      <c r="K407" s="12"/>
    </row>
    <row r="408" ht="19.5" customHeight="1">
      <c r="A408" s="221"/>
      <c r="C408" s="12"/>
      <c r="D408" s="87"/>
      <c r="F408" s="14"/>
      <c r="G408" s="14"/>
      <c r="H408" s="14"/>
      <c r="I408" s="14"/>
      <c r="J408" s="14"/>
      <c r="K408" s="12"/>
    </row>
    <row r="409" ht="19.5" customHeight="1">
      <c r="A409" s="221"/>
      <c r="C409" s="12"/>
      <c r="D409" s="87"/>
      <c r="F409" s="14"/>
      <c r="G409" s="14"/>
      <c r="H409" s="14"/>
      <c r="I409" s="14"/>
      <c r="J409" s="14"/>
      <c r="K409" s="12"/>
    </row>
    <row r="410" ht="19.5" customHeight="1">
      <c r="A410" s="221"/>
      <c r="C410" s="12"/>
      <c r="D410" s="87"/>
      <c r="F410" s="14"/>
      <c r="G410" s="14"/>
      <c r="H410" s="14"/>
      <c r="I410" s="14"/>
      <c r="J410" s="14"/>
      <c r="K410" s="12"/>
    </row>
    <row r="411" ht="19.5" customHeight="1">
      <c r="A411" s="221"/>
      <c r="C411" s="12"/>
      <c r="D411" s="87"/>
      <c r="F411" s="14"/>
      <c r="G411" s="14"/>
      <c r="H411" s="14"/>
      <c r="I411" s="14"/>
      <c r="J411" s="14"/>
      <c r="K411" s="12"/>
    </row>
    <row r="412" ht="19.5" customHeight="1">
      <c r="A412" s="221"/>
      <c r="C412" s="12"/>
      <c r="D412" s="87"/>
      <c r="F412" s="14"/>
      <c r="G412" s="14"/>
      <c r="H412" s="14"/>
      <c r="I412" s="14"/>
      <c r="J412" s="14"/>
      <c r="K412" s="12"/>
    </row>
    <row r="413" ht="19.5" customHeight="1">
      <c r="A413" s="221"/>
      <c r="C413" s="12"/>
      <c r="D413" s="87"/>
      <c r="F413" s="14"/>
      <c r="G413" s="14"/>
      <c r="H413" s="14"/>
      <c r="I413" s="14"/>
      <c r="J413" s="14"/>
      <c r="K413" s="12"/>
    </row>
    <row r="414" ht="19.5" customHeight="1">
      <c r="A414" s="221"/>
      <c r="C414" s="12"/>
      <c r="D414" s="87"/>
      <c r="F414" s="14"/>
      <c r="G414" s="14"/>
      <c r="H414" s="14"/>
      <c r="I414" s="14"/>
      <c r="J414" s="14"/>
      <c r="K414" s="12"/>
    </row>
    <row r="415" ht="19.5" customHeight="1">
      <c r="A415" s="221"/>
      <c r="C415" s="12"/>
      <c r="D415" s="87"/>
      <c r="F415" s="14"/>
      <c r="G415" s="14"/>
      <c r="H415" s="14"/>
      <c r="I415" s="14"/>
      <c r="J415" s="14"/>
      <c r="K415" s="12"/>
    </row>
    <row r="416" ht="19.5" customHeight="1">
      <c r="A416" s="221"/>
      <c r="C416" s="12"/>
      <c r="D416" s="87"/>
      <c r="F416" s="14"/>
      <c r="G416" s="14"/>
      <c r="H416" s="14"/>
      <c r="I416" s="14"/>
      <c r="J416" s="14"/>
      <c r="K416" s="12"/>
    </row>
    <row r="417" ht="19.5" customHeight="1">
      <c r="A417" s="221"/>
      <c r="C417" s="12"/>
      <c r="D417" s="87"/>
      <c r="F417" s="14"/>
      <c r="G417" s="14"/>
      <c r="H417" s="14"/>
      <c r="I417" s="14"/>
      <c r="J417" s="14"/>
      <c r="K417" s="12"/>
    </row>
    <row r="418" ht="19.5" customHeight="1">
      <c r="A418" s="221"/>
      <c r="C418" s="12"/>
      <c r="D418" s="87"/>
      <c r="F418" s="14"/>
      <c r="G418" s="14"/>
      <c r="H418" s="14"/>
      <c r="I418" s="14"/>
      <c r="J418" s="14"/>
      <c r="K418" s="12"/>
    </row>
    <row r="419" ht="19.5" customHeight="1">
      <c r="A419" s="221"/>
      <c r="C419" s="12"/>
      <c r="D419" s="87"/>
      <c r="F419" s="14"/>
      <c r="G419" s="14"/>
      <c r="H419" s="14"/>
      <c r="I419" s="14"/>
      <c r="J419" s="14"/>
      <c r="K419" s="12"/>
    </row>
    <row r="420" ht="19.5" customHeight="1">
      <c r="A420" s="221"/>
      <c r="C420" s="12"/>
      <c r="D420" s="87"/>
      <c r="F420" s="14"/>
      <c r="G420" s="14"/>
      <c r="H420" s="14"/>
      <c r="I420" s="14"/>
      <c r="J420" s="14"/>
      <c r="K420" s="12"/>
    </row>
    <row r="421" ht="19.5" customHeight="1">
      <c r="A421" s="221"/>
      <c r="C421" s="12"/>
      <c r="D421" s="87"/>
      <c r="F421" s="14"/>
      <c r="G421" s="14"/>
      <c r="H421" s="14"/>
      <c r="I421" s="14"/>
      <c r="J421" s="14"/>
      <c r="K421" s="12"/>
    </row>
    <row r="422" ht="19.5" customHeight="1">
      <c r="A422" s="221"/>
      <c r="C422" s="12"/>
      <c r="D422" s="87"/>
      <c r="F422" s="14"/>
      <c r="G422" s="14"/>
      <c r="H422" s="14"/>
      <c r="I422" s="14"/>
      <c r="J422" s="14"/>
      <c r="K422" s="12"/>
    </row>
    <row r="423" ht="19.5" customHeight="1">
      <c r="A423" s="221"/>
      <c r="C423" s="12"/>
      <c r="D423" s="87"/>
      <c r="F423" s="14"/>
      <c r="G423" s="14"/>
      <c r="H423" s="14"/>
      <c r="I423" s="14"/>
      <c r="J423" s="14"/>
      <c r="K423" s="12"/>
    </row>
    <row r="424" ht="19.5" customHeight="1">
      <c r="A424" s="221"/>
      <c r="C424" s="12"/>
      <c r="D424" s="87"/>
      <c r="F424" s="14"/>
      <c r="G424" s="14"/>
      <c r="H424" s="14"/>
      <c r="I424" s="14"/>
      <c r="J424" s="14"/>
      <c r="K424" s="12"/>
    </row>
    <row r="425" ht="19.5" customHeight="1">
      <c r="A425" s="221"/>
      <c r="C425" s="12"/>
      <c r="D425" s="87"/>
      <c r="F425" s="14"/>
      <c r="G425" s="14"/>
      <c r="H425" s="14"/>
      <c r="I425" s="14"/>
      <c r="J425" s="14"/>
      <c r="K425" s="12"/>
    </row>
    <row r="426" ht="19.5" customHeight="1">
      <c r="A426" s="221"/>
      <c r="C426" s="12"/>
      <c r="D426" s="87"/>
      <c r="F426" s="14"/>
      <c r="G426" s="14"/>
      <c r="H426" s="14"/>
      <c r="I426" s="14"/>
      <c r="J426" s="14"/>
      <c r="K426" s="12"/>
    </row>
    <row r="427" ht="19.5" customHeight="1">
      <c r="A427" s="221"/>
      <c r="C427" s="12"/>
      <c r="D427" s="87"/>
      <c r="F427" s="14"/>
      <c r="G427" s="14"/>
      <c r="H427" s="14"/>
      <c r="I427" s="14"/>
      <c r="J427" s="14"/>
      <c r="K427" s="12"/>
    </row>
    <row r="428" ht="19.5" customHeight="1">
      <c r="A428" s="221"/>
      <c r="C428" s="12"/>
      <c r="D428" s="87"/>
      <c r="F428" s="14"/>
      <c r="G428" s="14"/>
      <c r="H428" s="14"/>
      <c r="I428" s="14"/>
      <c r="J428" s="14"/>
      <c r="K428" s="12"/>
    </row>
    <row r="429" ht="19.5" customHeight="1">
      <c r="A429" s="221"/>
      <c r="C429" s="12"/>
      <c r="D429" s="87"/>
      <c r="F429" s="14"/>
      <c r="G429" s="14"/>
      <c r="H429" s="14"/>
      <c r="I429" s="14"/>
      <c r="J429" s="14"/>
      <c r="K429" s="12"/>
    </row>
    <row r="430" ht="19.5" customHeight="1">
      <c r="A430" s="221"/>
      <c r="C430" s="12"/>
      <c r="D430" s="87"/>
      <c r="F430" s="14"/>
      <c r="G430" s="14"/>
      <c r="H430" s="14"/>
      <c r="I430" s="14"/>
      <c r="J430" s="14"/>
      <c r="K430" s="12"/>
    </row>
    <row r="431" ht="19.5" customHeight="1">
      <c r="A431" s="221"/>
      <c r="C431" s="12"/>
      <c r="D431" s="87"/>
      <c r="F431" s="14"/>
      <c r="G431" s="14"/>
      <c r="H431" s="14"/>
      <c r="I431" s="14"/>
      <c r="J431" s="14"/>
      <c r="K431" s="12"/>
    </row>
    <row r="432" ht="19.5" customHeight="1">
      <c r="A432" s="221"/>
      <c r="C432" s="12"/>
      <c r="D432" s="87"/>
      <c r="F432" s="14"/>
      <c r="G432" s="14"/>
      <c r="H432" s="14"/>
      <c r="I432" s="14"/>
      <c r="J432" s="14"/>
      <c r="K432" s="12"/>
    </row>
    <row r="433" ht="19.5" customHeight="1">
      <c r="A433" s="221"/>
      <c r="C433" s="12"/>
      <c r="D433" s="87"/>
      <c r="F433" s="14"/>
      <c r="G433" s="14"/>
      <c r="H433" s="14"/>
      <c r="I433" s="14"/>
      <c r="J433" s="14"/>
      <c r="K433" s="12"/>
    </row>
    <row r="434" ht="19.5" customHeight="1">
      <c r="A434" s="221"/>
      <c r="C434" s="12"/>
      <c r="D434" s="87"/>
      <c r="F434" s="14"/>
      <c r="G434" s="14"/>
      <c r="H434" s="14"/>
      <c r="I434" s="14"/>
      <c r="J434" s="14"/>
      <c r="K434" s="12"/>
    </row>
    <row r="435" ht="19.5" customHeight="1">
      <c r="A435" s="221"/>
      <c r="C435" s="12"/>
      <c r="D435" s="87"/>
      <c r="F435" s="14"/>
      <c r="G435" s="14"/>
      <c r="H435" s="14"/>
      <c r="I435" s="14"/>
      <c r="J435" s="14"/>
      <c r="K435" s="12"/>
    </row>
    <row r="436" ht="19.5" customHeight="1">
      <c r="A436" s="221"/>
      <c r="C436" s="12"/>
      <c r="D436" s="87"/>
      <c r="F436" s="14"/>
      <c r="G436" s="14"/>
      <c r="H436" s="14"/>
      <c r="I436" s="14"/>
      <c r="J436" s="14"/>
      <c r="K436" s="12"/>
    </row>
    <row r="437" ht="19.5" customHeight="1">
      <c r="A437" s="221"/>
      <c r="C437" s="12"/>
      <c r="D437" s="87"/>
      <c r="F437" s="14"/>
      <c r="G437" s="14"/>
      <c r="H437" s="14"/>
      <c r="I437" s="14"/>
      <c r="J437" s="14"/>
      <c r="K437" s="12"/>
    </row>
    <row r="438" ht="19.5" customHeight="1">
      <c r="A438" s="221"/>
      <c r="C438" s="12"/>
      <c r="D438" s="87"/>
      <c r="F438" s="14"/>
      <c r="G438" s="14"/>
      <c r="H438" s="14"/>
      <c r="I438" s="14"/>
      <c r="J438" s="14"/>
      <c r="K438" s="12"/>
    </row>
    <row r="439" ht="19.5" customHeight="1">
      <c r="A439" s="221"/>
      <c r="C439" s="12"/>
      <c r="D439" s="87"/>
      <c r="F439" s="14"/>
      <c r="G439" s="14"/>
      <c r="H439" s="14"/>
      <c r="I439" s="14"/>
      <c r="J439" s="14"/>
      <c r="K439" s="12"/>
    </row>
    <row r="440" ht="19.5" customHeight="1">
      <c r="A440" s="221"/>
      <c r="C440" s="12"/>
      <c r="D440" s="87"/>
      <c r="F440" s="14"/>
      <c r="G440" s="14"/>
      <c r="H440" s="14"/>
      <c r="I440" s="14"/>
      <c r="J440" s="14"/>
      <c r="K440" s="12"/>
    </row>
    <row r="441" ht="19.5" customHeight="1">
      <c r="A441" s="221"/>
      <c r="C441" s="12"/>
      <c r="D441" s="87"/>
      <c r="F441" s="14"/>
      <c r="G441" s="14"/>
      <c r="H441" s="14"/>
      <c r="I441" s="14"/>
      <c r="J441" s="14"/>
      <c r="K441" s="12"/>
    </row>
    <row r="442" ht="19.5" customHeight="1">
      <c r="A442" s="221"/>
      <c r="C442" s="12"/>
      <c r="D442" s="87"/>
      <c r="F442" s="14"/>
      <c r="G442" s="14"/>
      <c r="H442" s="14"/>
      <c r="I442" s="14"/>
      <c r="J442" s="14"/>
      <c r="K442" s="12"/>
    </row>
    <row r="443" ht="19.5" customHeight="1">
      <c r="A443" s="221"/>
      <c r="C443" s="12"/>
      <c r="D443" s="87"/>
      <c r="F443" s="14"/>
      <c r="G443" s="14"/>
      <c r="H443" s="14"/>
      <c r="I443" s="14"/>
      <c r="J443" s="14"/>
      <c r="K443" s="12"/>
    </row>
    <row r="444" ht="19.5" customHeight="1">
      <c r="A444" s="221"/>
      <c r="C444" s="12"/>
      <c r="D444" s="87"/>
      <c r="F444" s="14"/>
      <c r="G444" s="14"/>
      <c r="H444" s="14"/>
      <c r="I444" s="14"/>
      <c r="J444" s="14"/>
      <c r="K444" s="12"/>
    </row>
    <row r="445" ht="19.5" customHeight="1">
      <c r="A445" s="221"/>
      <c r="C445" s="12"/>
      <c r="D445" s="87"/>
      <c r="F445" s="14"/>
      <c r="G445" s="14"/>
      <c r="H445" s="14"/>
      <c r="I445" s="14"/>
      <c r="J445" s="14"/>
      <c r="K445" s="12"/>
    </row>
    <row r="446" ht="19.5" customHeight="1">
      <c r="A446" s="221"/>
      <c r="C446" s="12"/>
      <c r="D446" s="87"/>
      <c r="F446" s="14"/>
      <c r="G446" s="14"/>
      <c r="H446" s="14"/>
      <c r="I446" s="14"/>
      <c r="J446" s="14"/>
      <c r="K446" s="12"/>
    </row>
    <row r="447" ht="19.5" customHeight="1">
      <c r="A447" s="221"/>
      <c r="C447" s="12"/>
      <c r="D447" s="87"/>
      <c r="F447" s="14"/>
      <c r="G447" s="14"/>
      <c r="H447" s="14"/>
      <c r="I447" s="14"/>
      <c r="J447" s="14"/>
      <c r="K447" s="12"/>
    </row>
    <row r="448" ht="19.5" customHeight="1">
      <c r="A448" s="221"/>
      <c r="C448" s="12"/>
      <c r="D448" s="87"/>
      <c r="F448" s="14"/>
      <c r="G448" s="14"/>
      <c r="H448" s="14"/>
      <c r="I448" s="14"/>
      <c r="J448" s="14"/>
      <c r="K448" s="12"/>
    </row>
    <row r="449" ht="19.5" customHeight="1">
      <c r="A449" s="221"/>
      <c r="C449" s="12"/>
      <c r="D449" s="87"/>
      <c r="F449" s="14"/>
      <c r="G449" s="14"/>
      <c r="H449" s="14"/>
      <c r="I449" s="14"/>
      <c r="J449" s="14"/>
      <c r="K449" s="12"/>
    </row>
    <row r="450" ht="19.5" customHeight="1">
      <c r="A450" s="221"/>
      <c r="C450" s="12"/>
      <c r="D450" s="87"/>
      <c r="F450" s="14"/>
      <c r="G450" s="14"/>
      <c r="H450" s="14"/>
      <c r="I450" s="14"/>
      <c r="J450" s="14"/>
      <c r="K450" s="12"/>
    </row>
    <row r="451" ht="19.5" customHeight="1">
      <c r="A451" s="221"/>
      <c r="C451" s="12"/>
      <c r="D451" s="87"/>
      <c r="F451" s="14"/>
      <c r="G451" s="14"/>
      <c r="H451" s="14"/>
      <c r="I451" s="14"/>
      <c r="J451" s="14"/>
      <c r="K451" s="12"/>
    </row>
    <row r="452" ht="19.5" customHeight="1">
      <c r="A452" s="221"/>
      <c r="C452" s="12"/>
      <c r="D452" s="87"/>
      <c r="F452" s="14"/>
      <c r="G452" s="14"/>
      <c r="H452" s="14"/>
      <c r="I452" s="14"/>
      <c r="J452" s="14"/>
      <c r="K452" s="12"/>
    </row>
    <row r="453" ht="19.5" customHeight="1">
      <c r="A453" s="221"/>
      <c r="C453" s="12"/>
      <c r="D453" s="87"/>
      <c r="F453" s="14"/>
      <c r="G453" s="14"/>
      <c r="H453" s="14"/>
      <c r="I453" s="14"/>
      <c r="J453" s="14"/>
      <c r="K453" s="12"/>
    </row>
    <row r="454" ht="19.5" customHeight="1">
      <c r="A454" s="221"/>
      <c r="C454" s="12"/>
      <c r="D454" s="87"/>
      <c r="F454" s="14"/>
      <c r="G454" s="14"/>
      <c r="H454" s="14"/>
      <c r="I454" s="14"/>
      <c r="J454" s="14"/>
      <c r="K454" s="12"/>
    </row>
    <row r="455" ht="19.5" customHeight="1">
      <c r="A455" s="221"/>
      <c r="C455" s="12"/>
      <c r="D455" s="87"/>
      <c r="F455" s="14"/>
      <c r="G455" s="14"/>
      <c r="H455" s="14"/>
      <c r="I455" s="14"/>
      <c r="J455" s="14"/>
      <c r="K455" s="12"/>
    </row>
    <row r="456" ht="19.5" customHeight="1">
      <c r="A456" s="221"/>
      <c r="C456" s="12"/>
      <c r="D456" s="87"/>
      <c r="F456" s="14"/>
      <c r="G456" s="14"/>
      <c r="H456" s="14"/>
      <c r="I456" s="14"/>
      <c r="J456" s="14"/>
      <c r="K456" s="12"/>
    </row>
    <row r="457" ht="19.5" customHeight="1">
      <c r="A457" s="221"/>
      <c r="C457" s="12"/>
      <c r="D457" s="87"/>
      <c r="F457" s="14"/>
      <c r="G457" s="14"/>
      <c r="H457" s="14"/>
      <c r="I457" s="14"/>
      <c r="J457" s="14"/>
      <c r="K457" s="12"/>
    </row>
    <row r="458" ht="19.5" customHeight="1">
      <c r="A458" s="221"/>
      <c r="C458" s="12"/>
      <c r="D458" s="87"/>
      <c r="F458" s="14"/>
      <c r="G458" s="14"/>
      <c r="H458" s="14"/>
      <c r="I458" s="14"/>
      <c r="J458" s="14"/>
      <c r="K458" s="12"/>
    </row>
    <row r="459" ht="19.5" customHeight="1">
      <c r="A459" s="221"/>
      <c r="C459" s="12"/>
      <c r="D459" s="87"/>
      <c r="F459" s="14"/>
      <c r="G459" s="14"/>
      <c r="H459" s="14"/>
      <c r="I459" s="14"/>
      <c r="J459" s="14"/>
      <c r="K459" s="12"/>
    </row>
    <row r="460" ht="19.5" customHeight="1">
      <c r="A460" s="221"/>
      <c r="C460" s="12"/>
      <c r="D460" s="87"/>
      <c r="F460" s="14"/>
      <c r="G460" s="14"/>
      <c r="H460" s="14"/>
      <c r="I460" s="14"/>
      <c r="J460" s="14"/>
      <c r="K460" s="12"/>
    </row>
    <row r="461" ht="19.5" customHeight="1">
      <c r="A461" s="221"/>
      <c r="C461" s="12"/>
      <c r="D461" s="87"/>
      <c r="F461" s="14"/>
      <c r="G461" s="14"/>
      <c r="H461" s="14"/>
      <c r="I461" s="14"/>
      <c r="J461" s="14"/>
      <c r="K461" s="12"/>
    </row>
    <row r="462" ht="19.5" customHeight="1">
      <c r="A462" s="221"/>
      <c r="C462" s="12"/>
      <c r="D462" s="87"/>
      <c r="F462" s="14"/>
      <c r="G462" s="14"/>
      <c r="H462" s="14"/>
      <c r="I462" s="14"/>
      <c r="J462" s="14"/>
      <c r="K462" s="12"/>
    </row>
    <row r="463" ht="19.5" customHeight="1">
      <c r="A463" s="221"/>
      <c r="C463" s="12"/>
      <c r="D463" s="87"/>
      <c r="F463" s="14"/>
      <c r="G463" s="14"/>
      <c r="H463" s="14"/>
      <c r="I463" s="14"/>
      <c r="J463" s="14"/>
      <c r="K463" s="12"/>
    </row>
    <row r="464" ht="19.5" customHeight="1">
      <c r="A464" s="221"/>
      <c r="C464" s="12"/>
      <c r="D464" s="87"/>
      <c r="F464" s="14"/>
      <c r="G464" s="14"/>
      <c r="H464" s="14"/>
      <c r="I464" s="14"/>
      <c r="J464" s="14"/>
      <c r="K464" s="12"/>
    </row>
    <row r="465" ht="19.5" customHeight="1">
      <c r="A465" s="221"/>
      <c r="C465" s="12"/>
      <c r="D465" s="87"/>
      <c r="F465" s="14"/>
      <c r="G465" s="14"/>
      <c r="H465" s="14"/>
      <c r="I465" s="14"/>
      <c r="J465" s="14"/>
      <c r="K465" s="12"/>
    </row>
    <row r="466" ht="19.5" customHeight="1">
      <c r="A466" s="221"/>
      <c r="C466" s="12"/>
      <c r="D466" s="87"/>
      <c r="F466" s="14"/>
      <c r="G466" s="14"/>
      <c r="H466" s="14"/>
      <c r="I466" s="14"/>
      <c r="J466" s="14"/>
      <c r="K466" s="12"/>
    </row>
    <row r="467" ht="19.5" customHeight="1">
      <c r="A467" s="221"/>
      <c r="C467" s="12"/>
      <c r="D467" s="87"/>
      <c r="F467" s="14"/>
      <c r="G467" s="14"/>
      <c r="H467" s="14"/>
      <c r="I467" s="14"/>
      <c r="J467" s="14"/>
      <c r="K467" s="12"/>
    </row>
    <row r="468" ht="19.5" customHeight="1">
      <c r="A468" s="221"/>
      <c r="C468" s="12"/>
      <c r="D468" s="87"/>
      <c r="F468" s="14"/>
      <c r="G468" s="14"/>
      <c r="H468" s="14"/>
      <c r="I468" s="14"/>
      <c r="J468" s="14"/>
      <c r="K468" s="12"/>
    </row>
    <row r="469" ht="19.5" customHeight="1">
      <c r="A469" s="221"/>
      <c r="C469" s="12"/>
      <c r="D469" s="87"/>
      <c r="F469" s="14"/>
      <c r="G469" s="14"/>
      <c r="H469" s="14"/>
      <c r="I469" s="14"/>
      <c r="J469" s="14"/>
      <c r="K469" s="12"/>
    </row>
    <row r="470" ht="19.5" customHeight="1">
      <c r="A470" s="221"/>
      <c r="C470" s="12"/>
      <c r="D470" s="87"/>
      <c r="F470" s="14"/>
      <c r="G470" s="14"/>
      <c r="H470" s="14"/>
      <c r="I470" s="14"/>
      <c r="J470" s="14"/>
      <c r="K470" s="12"/>
    </row>
    <row r="471" ht="19.5" customHeight="1">
      <c r="A471" s="221"/>
      <c r="C471" s="12"/>
      <c r="D471" s="87"/>
      <c r="F471" s="14"/>
      <c r="G471" s="14"/>
      <c r="H471" s="14"/>
      <c r="I471" s="14"/>
      <c r="J471" s="14"/>
      <c r="K471" s="12"/>
    </row>
    <row r="472" ht="19.5" customHeight="1">
      <c r="A472" s="221"/>
      <c r="C472" s="12"/>
      <c r="D472" s="87"/>
      <c r="F472" s="14"/>
      <c r="G472" s="14"/>
      <c r="H472" s="14"/>
      <c r="I472" s="14"/>
      <c r="J472" s="14"/>
      <c r="K472" s="12"/>
    </row>
    <row r="473" ht="19.5" customHeight="1">
      <c r="A473" s="221"/>
      <c r="C473" s="12"/>
      <c r="D473" s="87"/>
      <c r="F473" s="14"/>
      <c r="G473" s="14"/>
      <c r="H473" s="14"/>
      <c r="I473" s="14"/>
      <c r="J473" s="14"/>
      <c r="K473" s="12"/>
    </row>
    <row r="474" ht="19.5" customHeight="1">
      <c r="A474" s="221"/>
      <c r="C474" s="12"/>
      <c r="D474" s="87"/>
      <c r="F474" s="14"/>
      <c r="G474" s="14"/>
      <c r="H474" s="14"/>
      <c r="I474" s="14"/>
      <c r="J474" s="14"/>
      <c r="K474" s="12"/>
    </row>
    <row r="475" ht="19.5" customHeight="1">
      <c r="A475" s="221"/>
      <c r="C475" s="12"/>
      <c r="D475" s="87"/>
      <c r="F475" s="14"/>
      <c r="G475" s="14"/>
      <c r="H475" s="14"/>
      <c r="I475" s="14"/>
      <c r="J475" s="14"/>
      <c r="K475" s="12"/>
    </row>
    <row r="476" ht="19.5" customHeight="1">
      <c r="A476" s="221"/>
      <c r="C476" s="12"/>
      <c r="D476" s="87"/>
      <c r="F476" s="14"/>
      <c r="G476" s="14"/>
      <c r="H476" s="14"/>
      <c r="I476" s="14"/>
      <c r="J476" s="14"/>
      <c r="K476" s="12"/>
    </row>
    <row r="477" ht="19.5" customHeight="1">
      <c r="A477" s="221"/>
      <c r="C477" s="12"/>
      <c r="D477" s="87"/>
      <c r="F477" s="14"/>
      <c r="G477" s="14"/>
      <c r="H477" s="14"/>
      <c r="I477" s="14"/>
      <c r="J477" s="14"/>
      <c r="K477" s="12"/>
    </row>
    <row r="478" ht="19.5" customHeight="1">
      <c r="A478" s="221"/>
      <c r="C478" s="12"/>
      <c r="D478" s="87"/>
      <c r="F478" s="14"/>
      <c r="G478" s="14"/>
      <c r="H478" s="14"/>
      <c r="I478" s="14"/>
      <c r="J478" s="14"/>
      <c r="K478" s="12"/>
    </row>
    <row r="479" ht="19.5" customHeight="1">
      <c r="A479" s="221"/>
      <c r="C479" s="12"/>
      <c r="D479" s="87"/>
      <c r="F479" s="14"/>
      <c r="G479" s="14"/>
      <c r="H479" s="14"/>
      <c r="I479" s="14"/>
      <c r="J479" s="14"/>
      <c r="K479" s="12"/>
    </row>
    <row r="480" ht="19.5" customHeight="1">
      <c r="A480" s="221"/>
      <c r="C480" s="12"/>
      <c r="D480" s="87"/>
      <c r="F480" s="14"/>
      <c r="G480" s="14"/>
      <c r="H480" s="14"/>
      <c r="I480" s="14"/>
      <c r="J480" s="14"/>
      <c r="K480" s="12"/>
    </row>
    <row r="481" ht="19.5" customHeight="1">
      <c r="A481" s="221"/>
      <c r="C481" s="12"/>
      <c r="D481" s="87"/>
      <c r="F481" s="14"/>
      <c r="G481" s="14"/>
      <c r="H481" s="14"/>
      <c r="I481" s="14"/>
      <c r="J481" s="14"/>
      <c r="K481" s="12"/>
    </row>
    <row r="482" ht="19.5" customHeight="1">
      <c r="A482" s="221"/>
      <c r="C482" s="12"/>
      <c r="D482" s="87"/>
      <c r="F482" s="14"/>
      <c r="G482" s="14"/>
      <c r="H482" s="14"/>
      <c r="I482" s="14"/>
      <c r="J482" s="14"/>
      <c r="K482" s="12"/>
    </row>
    <row r="483" ht="19.5" customHeight="1">
      <c r="A483" s="221"/>
      <c r="C483" s="12"/>
      <c r="D483" s="87"/>
      <c r="F483" s="14"/>
      <c r="G483" s="14"/>
      <c r="H483" s="14"/>
      <c r="I483" s="14"/>
      <c r="J483" s="14"/>
      <c r="K483" s="12"/>
    </row>
    <row r="484" ht="19.5" customHeight="1">
      <c r="A484" s="221"/>
      <c r="C484" s="12"/>
      <c r="D484" s="87"/>
      <c r="F484" s="14"/>
      <c r="G484" s="14"/>
      <c r="H484" s="14"/>
      <c r="I484" s="14"/>
      <c r="J484" s="14"/>
      <c r="K484" s="12"/>
    </row>
    <row r="485" ht="19.5" customHeight="1">
      <c r="A485" s="221"/>
      <c r="C485" s="12"/>
      <c r="D485" s="87"/>
      <c r="F485" s="14"/>
      <c r="G485" s="14"/>
      <c r="H485" s="14"/>
      <c r="I485" s="14"/>
      <c r="J485" s="14"/>
      <c r="K485" s="12"/>
    </row>
    <row r="486" ht="19.5" customHeight="1">
      <c r="A486" s="221"/>
      <c r="C486" s="12"/>
      <c r="D486" s="87"/>
      <c r="F486" s="14"/>
      <c r="G486" s="14"/>
      <c r="H486" s="14"/>
      <c r="I486" s="14"/>
      <c r="J486" s="14"/>
      <c r="K486" s="12"/>
    </row>
    <row r="487" ht="19.5" customHeight="1">
      <c r="A487" s="221"/>
      <c r="C487" s="12"/>
      <c r="D487" s="87"/>
      <c r="F487" s="14"/>
      <c r="G487" s="14"/>
      <c r="H487" s="14"/>
      <c r="I487" s="14"/>
      <c r="J487" s="14"/>
      <c r="K487" s="12"/>
    </row>
    <row r="488" ht="19.5" customHeight="1">
      <c r="A488" s="221"/>
      <c r="C488" s="12"/>
      <c r="D488" s="87"/>
      <c r="F488" s="14"/>
      <c r="G488" s="14"/>
      <c r="H488" s="14"/>
      <c r="I488" s="14"/>
      <c r="J488" s="14"/>
      <c r="K488" s="12"/>
    </row>
    <row r="489" ht="19.5" customHeight="1">
      <c r="A489" s="221"/>
      <c r="C489" s="12"/>
      <c r="D489" s="87"/>
      <c r="F489" s="14"/>
      <c r="G489" s="14"/>
      <c r="H489" s="14"/>
      <c r="I489" s="14"/>
      <c r="J489" s="14"/>
      <c r="K489" s="12"/>
    </row>
    <row r="490" ht="19.5" customHeight="1">
      <c r="A490" s="221"/>
      <c r="C490" s="12"/>
      <c r="D490" s="87"/>
      <c r="F490" s="14"/>
      <c r="G490" s="14"/>
      <c r="H490" s="14"/>
      <c r="I490" s="14"/>
      <c r="J490" s="14"/>
      <c r="K490" s="12"/>
    </row>
    <row r="491" ht="19.5" customHeight="1">
      <c r="A491" s="221"/>
      <c r="C491" s="12"/>
      <c r="D491" s="87"/>
      <c r="F491" s="14"/>
      <c r="G491" s="14"/>
      <c r="H491" s="14"/>
      <c r="I491" s="14"/>
      <c r="J491" s="14"/>
      <c r="K491" s="12"/>
    </row>
    <row r="492" ht="19.5" customHeight="1">
      <c r="A492" s="221"/>
      <c r="C492" s="12"/>
      <c r="D492" s="87"/>
      <c r="F492" s="14"/>
      <c r="G492" s="14"/>
      <c r="H492" s="14"/>
      <c r="I492" s="14"/>
      <c r="J492" s="14"/>
      <c r="K492" s="12"/>
    </row>
    <row r="493" ht="19.5" customHeight="1">
      <c r="A493" s="221"/>
      <c r="C493" s="12"/>
      <c r="D493" s="87"/>
      <c r="F493" s="14"/>
      <c r="G493" s="14"/>
      <c r="H493" s="14"/>
      <c r="I493" s="14"/>
      <c r="J493" s="14"/>
      <c r="K493" s="12"/>
    </row>
    <row r="494" ht="19.5" customHeight="1">
      <c r="A494" s="221"/>
      <c r="C494" s="12"/>
      <c r="D494" s="87"/>
      <c r="F494" s="14"/>
      <c r="G494" s="14"/>
      <c r="H494" s="14"/>
      <c r="I494" s="14"/>
      <c r="J494" s="14"/>
      <c r="K494" s="12"/>
    </row>
    <row r="495" ht="19.5" customHeight="1">
      <c r="A495" s="221"/>
      <c r="C495" s="12"/>
      <c r="D495" s="87"/>
      <c r="F495" s="14"/>
      <c r="G495" s="14"/>
      <c r="H495" s="14"/>
      <c r="I495" s="14"/>
      <c r="J495" s="14"/>
      <c r="K495" s="12"/>
    </row>
    <row r="496" ht="19.5" customHeight="1">
      <c r="A496" s="221"/>
      <c r="C496" s="12"/>
      <c r="D496" s="87"/>
      <c r="F496" s="14"/>
      <c r="G496" s="14"/>
      <c r="H496" s="14"/>
      <c r="I496" s="14"/>
      <c r="J496" s="14"/>
      <c r="K496" s="12"/>
    </row>
    <row r="497" ht="19.5" customHeight="1">
      <c r="A497" s="221"/>
      <c r="C497" s="12"/>
      <c r="D497" s="87"/>
      <c r="F497" s="14"/>
      <c r="G497" s="14"/>
      <c r="H497" s="14"/>
      <c r="I497" s="14"/>
      <c r="J497" s="14"/>
      <c r="K497" s="12"/>
    </row>
    <row r="498" ht="19.5" customHeight="1">
      <c r="A498" s="221"/>
      <c r="C498" s="12"/>
      <c r="D498" s="87"/>
      <c r="F498" s="14"/>
      <c r="G498" s="14"/>
      <c r="H498" s="14"/>
      <c r="I498" s="14"/>
      <c r="J498" s="14"/>
      <c r="K498" s="12"/>
    </row>
    <row r="499" ht="19.5" customHeight="1">
      <c r="A499" s="221"/>
      <c r="C499" s="12"/>
      <c r="D499" s="87"/>
      <c r="F499" s="14"/>
      <c r="G499" s="14"/>
      <c r="H499" s="14"/>
      <c r="I499" s="14"/>
      <c r="J499" s="14"/>
      <c r="K499" s="12"/>
    </row>
    <row r="500" ht="19.5" customHeight="1">
      <c r="A500" s="221"/>
      <c r="C500" s="12"/>
      <c r="D500" s="87"/>
      <c r="F500" s="14"/>
      <c r="G500" s="14"/>
      <c r="H500" s="14"/>
      <c r="I500" s="14"/>
      <c r="J500" s="14"/>
      <c r="K500" s="12"/>
    </row>
    <row r="501" ht="19.5" customHeight="1">
      <c r="A501" s="221"/>
      <c r="C501" s="12"/>
      <c r="D501" s="87"/>
      <c r="F501" s="14"/>
      <c r="G501" s="14"/>
      <c r="H501" s="14"/>
      <c r="I501" s="14"/>
      <c r="J501" s="14"/>
      <c r="K501" s="12"/>
    </row>
    <row r="502" ht="19.5" customHeight="1">
      <c r="A502" s="221"/>
      <c r="C502" s="12"/>
      <c r="D502" s="87"/>
      <c r="F502" s="14"/>
      <c r="G502" s="14"/>
      <c r="H502" s="14"/>
      <c r="I502" s="14"/>
      <c r="J502" s="14"/>
      <c r="K502" s="12"/>
    </row>
    <row r="503" ht="19.5" customHeight="1">
      <c r="A503" s="221"/>
      <c r="C503" s="12"/>
      <c r="D503" s="87"/>
      <c r="F503" s="14"/>
      <c r="G503" s="14"/>
      <c r="H503" s="14"/>
      <c r="I503" s="14"/>
      <c r="J503" s="14"/>
      <c r="K503" s="12"/>
    </row>
    <row r="504" ht="19.5" customHeight="1">
      <c r="A504" s="221"/>
      <c r="C504" s="12"/>
      <c r="D504" s="87"/>
      <c r="F504" s="14"/>
      <c r="G504" s="14"/>
      <c r="H504" s="14"/>
      <c r="I504" s="14"/>
      <c r="J504" s="14"/>
      <c r="K504" s="12"/>
    </row>
    <row r="505" ht="19.5" customHeight="1">
      <c r="A505" s="221"/>
      <c r="C505" s="12"/>
      <c r="D505" s="87"/>
      <c r="F505" s="14"/>
      <c r="G505" s="14"/>
      <c r="H505" s="14"/>
      <c r="I505" s="14"/>
      <c r="J505" s="14"/>
      <c r="K505" s="12"/>
    </row>
    <row r="506" ht="19.5" customHeight="1">
      <c r="A506" s="221"/>
      <c r="C506" s="12"/>
      <c r="D506" s="87"/>
      <c r="F506" s="14"/>
      <c r="G506" s="14"/>
      <c r="H506" s="14"/>
      <c r="I506" s="14"/>
      <c r="J506" s="14"/>
      <c r="K506" s="12"/>
    </row>
    <row r="507" ht="19.5" customHeight="1">
      <c r="A507" s="221"/>
      <c r="C507" s="12"/>
      <c r="D507" s="87"/>
      <c r="F507" s="14"/>
      <c r="G507" s="14"/>
      <c r="H507" s="14"/>
      <c r="I507" s="14"/>
      <c r="J507" s="14"/>
      <c r="K507" s="12"/>
    </row>
    <row r="508" ht="19.5" customHeight="1">
      <c r="A508" s="221"/>
      <c r="C508" s="12"/>
      <c r="D508" s="87"/>
      <c r="F508" s="14"/>
      <c r="G508" s="14"/>
      <c r="H508" s="14"/>
      <c r="I508" s="14"/>
      <c r="J508" s="14"/>
      <c r="K508" s="12"/>
    </row>
    <row r="509" ht="19.5" customHeight="1">
      <c r="A509" s="221"/>
      <c r="C509" s="12"/>
      <c r="D509" s="87"/>
      <c r="F509" s="14"/>
      <c r="G509" s="14"/>
      <c r="H509" s="14"/>
      <c r="I509" s="14"/>
      <c r="J509" s="14"/>
      <c r="K509" s="12"/>
    </row>
    <row r="510" ht="19.5" customHeight="1">
      <c r="A510" s="221"/>
      <c r="C510" s="12"/>
      <c r="D510" s="87"/>
      <c r="F510" s="14"/>
      <c r="G510" s="14"/>
      <c r="H510" s="14"/>
      <c r="I510" s="14"/>
      <c r="J510" s="14"/>
      <c r="K510" s="12"/>
    </row>
    <row r="511" ht="19.5" customHeight="1">
      <c r="A511" s="221"/>
      <c r="C511" s="12"/>
      <c r="D511" s="87"/>
      <c r="F511" s="14"/>
      <c r="G511" s="14"/>
      <c r="H511" s="14"/>
      <c r="I511" s="14"/>
      <c r="J511" s="14"/>
      <c r="K511" s="12"/>
    </row>
    <row r="512" ht="19.5" customHeight="1">
      <c r="A512" s="221"/>
      <c r="C512" s="12"/>
      <c r="D512" s="87"/>
      <c r="F512" s="14"/>
      <c r="G512" s="14"/>
      <c r="H512" s="14"/>
      <c r="I512" s="14"/>
      <c r="J512" s="14"/>
      <c r="K512" s="12"/>
    </row>
    <row r="513" ht="19.5" customHeight="1">
      <c r="A513" s="221"/>
      <c r="C513" s="12"/>
      <c r="D513" s="87"/>
      <c r="F513" s="14"/>
      <c r="G513" s="14"/>
      <c r="H513" s="14"/>
      <c r="I513" s="14"/>
      <c r="J513" s="14"/>
      <c r="K513" s="12"/>
    </row>
    <row r="514" ht="19.5" customHeight="1">
      <c r="A514" s="221"/>
      <c r="C514" s="12"/>
      <c r="D514" s="87"/>
      <c r="F514" s="14"/>
      <c r="G514" s="14"/>
      <c r="H514" s="14"/>
      <c r="I514" s="14"/>
      <c r="J514" s="14"/>
      <c r="K514" s="12"/>
    </row>
    <row r="515" ht="19.5" customHeight="1">
      <c r="A515" s="221"/>
      <c r="C515" s="12"/>
      <c r="D515" s="87"/>
      <c r="F515" s="14"/>
      <c r="G515" s="14"/>
      <c r="H515" s="14"/>
      <c r="I515" s="14"/>
      <c r="J515" s="14"/>
      <c r="K515" s="12"/>
    </row>
    <row r="516" ht="19.5" customHeight="1">
      <c r="A516" s="221"/>
      <c r="C516" s="12"/>
      <c r="D516" s="87"/>
      <c r="F516" s="14"/>
      <c r="G516" s="14"/>
      <c r="H516" s="14"/>
      <c r="I516" s="14"/>
      <c r="J516" s="14"/>
      <c r="K516" s="12"/>
    </row>
    <row r="517" ht="19.5" customHeight="1">
      <c r="A517" s="221"/>
      <c r="C517" s="12"/>
      <c r="D517" s="87"/>
      <c r="F517" s="14"/>
      <c r="G517" s="14"/>
      <c r="H517" s="14"/>
      <c r="I517" s="14"/>
      <c r="J517" s="14"/>
      <c r="K517" s="12"/>
    </row>
    <row r="518" ht="19.5" customHeight="1">
      <c r="A518" s="221"/>
      <c r="C518" s="12"/>
      <c r="D518" s="87"/>
      <c r="F518" s="14"/>
      <c r="G518" s="14"/>
      <c r="H518" s="14"/>
      <c r="I518" s="14"/>
      <c r="J518" s="14"/>
      <c r="K518" s="12"/>
    </row>
    <row r="519" ht="19.5" customHeight="1">
      <c r="A519" s="221"/>
      <c r="C519" s="12"/>
      <c r="D519" s="87"/>
      <c r="F519" s="14"/>
      <c r="G519" s="14"/>
      <c r="H519" s="14"/>
      <c r="I519" s="14"/>
      <c r="J519" s="14"/>
      <c r="K519" s="12"/>
    </row>
    <row r="520" ht="19.5" customHeight="1">
      <c r="A520" s="221"/>
      <c r="C520" s="12"/>
      <c r="D520" s="87"/>
      <c r="F520" s="14"/>
      <c r="G520" s="14"/>
      <c r="H520" s="14"/>
      <c r="I520" s="14"/>
      <c r="J520" s="14"/>
      <c r="K520" s="12"/>
    </row>
    <row r="521" ht="19.5" customHeight="1">
      <c r="A521" s="221"/>
      <c r="C521" s="12"/>
      <c r="D521" s="87"/>
      <c r="F521" s="14"/>
      <c r="G521" s="14"/>
      <c r="H521" s="14"/>
      <c r="I521" s="14"/>
      <c r="J521" s="14"/>
      <c r="K521" s="12"/>
    </row>
    <row r="522" ht="19.5" customHeight="1">
      <c r="A522" s="221"/>
      <c r="C522" s="12"/>
      <c r="D522" s="87"/>
      <c r="F522" s="14"/>
      <c r="G522" s="14"/>
      <c r="H522" s="14"/>
      <c r="I522" s="14"/>
      <c r="J522" s="14"/>
      <c r="K522" s="12"/>
    </row>
    <row r="523" ht="19.5" customHeight="1">
      <c r="A523" s="221"/>
      <c r="C523" s="12"/>
      <c r="D523" s="87"/>
      <c r="F523" s="14"/>
      <c r="G523" s="14"/>
      <c r="H523" s="14"/>
      <c r="I523" s="14"/>
      <c r="J523" s="14"/>
      <c r="K523" s="12"/>
    </row>
    <row r="524" ht="19.5" customHeight="1">
      <c r="A524" s="221"/>
      <c r="C524" s="12"/>
      <c r="D524" s="87"/>
      <c r="F524" s="14"/>
      <c r="G524" s="14"/>
      <c r="H524" s="14"/>
      <c r="I524" s="14"/>
      <c r="J524" s="14"/>
      <c r="K524" s="12"/>
    </row>
    <row r="525" ht="19.5" customHeight="1">
      <c r="A525" s="221"/>
      <c r="C525" s="12"/>
      <c r="D525" s="87"/>
      <c r="F525" s="14"/>
      <c r="G525" s="14"/>
      <c r="H525" s="14"/>
      <c r="I525" s="14"/>
      <c r="J525" s="14"/>
      <c r="K525" s="12"/>
    </row>
    <row r="526" ht="19.5" customHeight="1">
      <c r="A526" s="221"/>
      <c r="C526" s="12"/>
      <c r="D526" s="87"/>
      <c r="F526" s="14"/>
      <c r="G526" s="14"/>
      <c r="H526" s="14"/>
      <c r="I526" s="14"/>
      <c r="J526" s="14"/>
      <c r="K526" s="12"/>
    </row>
    <row r="527" ht="19.5" customHeight="1">
      <c r="A527" s="221"/>
      <c r="C527" s="12"/>
      <c r="D527" s="87"/>
      <c r="F527" s="14"/>
      <c r="G527" s="14"/>
      <c r="H527" s="14"/>
      <c r="I527" s="14"/>
      <c r="J527" s="14"/>
      <c r="K527" s="12"/>
    </row>
    <row r="528" ht="19.5" customHeight="1">
      <c r="A528" s="221"/>
      <c r="C528" s="12"/>
      <c r="D528" s="87"/>
      <c r="F528" s="14"/>
      <c r="G528" s="14"/>
      <c r="H528" s="14"/>
      <c r="I528" s="14"/>
      <c r="J528" s="14"/>
      <c r="K528" s="12"/>
    </row>
    <row r="529" ht="19.5" customHeight="1">
      <c r="A529" s="221"/>
      <c r="C529" s="12"/>
      <c r="D529" s="87"/>
      <c r="F529" s="14"/>
      <c r="G529" s="14"/>
      <c r="H529" s="14"/>
      <c r="I529" s="14"/>
      <c r="J529" s="14"/>
      <c r="K529" s="12"/>
    </row>
    <row r="530" ht="19.5" customHeight="1">
      <c r="A530" s="221"/>
      <c r="C530" s="12"/>
      <c r="D530" s="87"/>
      <c r="F530" s="14"/>
      <c r="G530" s="14"/>
      <c r="H530" s="14"/>
      <c r="I530" s="14"/>
      <c r="J530" s="14"/>
      <c r="K530" s="12"/>
    </row>
    <row r="531" ht="19.5" customHeight="1">
      <c r="A531" s="221"/>
      <c r="C531" s="12"/>
      <c r="D531" s="87"/>
      <c r="F531" s="14"/>
      <c r="G531" s="14"/>
      <c r="H531" s="14"/>
      <c r="I531" s="14"/>
      <c r="J531" s="14"/>
      <c r="K531" s="12"/>
    </row>
    <row r="532" ht="19.5" customHeight="1">
      <c r="A532" s="221"/>
      <c r="C532" s="12"/>
      <c r="D532" s="87"/>
      <c r="F532" s="14"/>
      <c r="G532" s="14"/>
      <c r="H532" s="14"/>
      <c r="I532" s="14"/>
      <c r="J532" s="14"/>
      <c r="K532" s="12"/>
    </row>
    <row r="533" ht="19.5" customHeight="1">
      <c r="A533" s="221"/>
      <c r="C533" s="12"/>
      <c r="D533" s="87"/>
      <c r="F533" s="14"/>
      <c r="G533" s="14"/>
      <c r="H533" s="14"/>
      <c r="I533" s="14"/>
      <c r="J533" s="14"/>
      <c r="K533" s="12"/>
    </row>
    <row r="534" ht="19.5" customHeight="1">
      <c r="A534" s="221"/>
      <c r="C534" s="12"/>
      <c r="D534" s="87"/>
      <c r="F534" s="14"/>
      <c r="G534" s="14"/>
      <c r="H534" s="14"/>
      <c r="I534" s="14"/>
      <c r="J534" s="14"/>
      <c r="K534" s="12"/>
    </row>
    <row r="535" ht="19.5" customHeight="1">
      <c r="A535" s="221"/>
      <c r="C535" s="12"/>
      <c r="D535" s="87"/>
      <c r="F535" s="14"/>
      <c r="G535" s="14"/>
      <c r="H535" s="14"/>
      <c r="I535" s="14"/>
      <c r="J535" s="14"/>
      <c r="K535" s="12"/>
    </row>
    <row r="536" ht="19.5" customHeight="1">
      <c r="A536" s="221"/>
      <c r="C536" s="12"/>
      <c r="D536" s="87"/>
      <c r="F536" s="14"/>
      <c r="G536" s="14"/>
      <c r="H536" s="14"/>
      <c r="I536" s="14"/>
      <c r="J536" s="14"/>
      <c r="K536" s="12"/>
    </row>
    <row r="537" ht="19.5" customHeight="1">
      <c r="A537" s="221"/>
      <c r="C537" s="12"/>
      <c r="D537" s="87"/>
      <c r="F537" s="14"/>
      <c r="G537" s="14"/>
      <c r="H537" s="14"/>
      <c r="I537" s="14"/>
      <c r="J537" s="14"/>
      <c r="K537" s="12"/>
    </row>
    <row r="538" ht="19.5" customHeight="1">
      <c r="A538" s="221"/>
      <c r="C538" s="12"/>
      <c r="D538" s="87"/>
      <c r="F538" s="14"/>
      <c r="G538" s="14"/>
      <c r="H538" s="14"/>
      <c r="I538" s="14"/>
      <c r="J538" s="14"/>
      <c r="K538" s="12"/>
    </row>
    <row r="539" ht="19.5" customHeight="1">
      <c r="A539" s="221"/>
      <c r="C539" s="12"/>
      <c r="D539" s="87"/>
      <c r="F539" s="14"/>
      <c r="G539" s="14"/>
      <c r="H539" s="14"/>
      <c r="I539" s="14"/>
      <c r="J539" s="14"/>
      <c r="K539" s="12"/>
    </row>
    <row r="540" ht="19.5" customHeight="1">
      <c r="A540" s="221"/>
      <c r="C540" s="12"/>
      <c r="D540" s="87"/>
      <c r="F540" s="14"/>
      <c r="G540" s="14"/>
      <c r="H540" s="14"/>
      <c r="I540" s="14"/>
      <c r="J540" s="14"/>
      <c r="K540" s="12"/>
    </row>
    <row r="541" ht="19.5" customHeight="1">
      <c r="A541" s="221"/>
      <c r="C541" s="12"/>
      <c r="D541" s="87"/>
      <c r="F541" s="14"/>
      <c r="G541" s="14"/>
      <c r="H541" s="14"/>
      <c r="I541" s="14"/>
      <c r="J541" s="14"/>
      <c r="K541" s="12"/>
    </row>
    <row r="542" ht="19.5" customHeight="1">
      <c r="A542" s="221"/>
      <c r="C542" s="12"/>
      <c r="D542" s="87"/>
      <c r="F542" s="14"/>
      <c r="G542" s="14"/>
      <c r="H542" s="14"/>
      <c r="I542" s="14"/>
      <c r="J542" s="14"/>
      <c r="K542" s="12"/>
    </row>
    <row r="543" ht="19.5" customHeight="1">
      <c r="A543" s="221"/>
      <c r="C543" s="12"/>
      <c r="D543" s="87"/>
      <c r="F543" s="14"/>
      <c r="G543" s="14"/>
      <c r="H543" s="14"/>
      <c r="I543" s="14"/>
      <c r="J543" s="14"/>
      <c r="K543" s="12"/>
    </row>
    <row r="544" ht="19.5" customHeight="1">
      <c r="A544" s="221"/>
      <c r="C544" s="12"/>
      <c r="D544" s="87"/>
      <c r="F544" s="14"/>
      <c r="G544" s="14"/>
      <c r="H544" s="14"/>
      <c r="I544" s="14"/>
      <c r="J544" s="14"/>
      <c r="K544" s="12"/>
    </row>
    <row r="545" ht="19.5" customHeight="1">
      <c r="A545" s="221"/>
      <c r="C545" s="12"/>
      <c r="D545" s="87"/>
      <c r="F545" s="14"/>
      <c r="G545" s="14"/>
      <c r="H545" s="14"/>
      <c r="I545" s="14"/>
      <c r="J545" s="14"/>
      <c r="K545" s="12"/>
    </row>
    <row r="546" ht="19.5" customHeight="1">
      <c r="A546" s="221"/>
      <c r="C546" s="12"/>
      <c r="D546" s="87"/>
      <c r="F546" s="14"/>
      <c r="G546" s="14"/>
      <c r="H546" s="14"/>
      <c r="I546" s="14"/>
      <c r="J546" s="14"/>
      <c r="K546" s="12"/>
    </row>
    <row r="547" ht="19.5" customHeight="1">
      <c r="A547" s="221"/>
      <c r="C547" s="12"/>
      <c r="D547" s="87"/>
      <c r="F547" s="14"/>
      <c r="G547" s="14"/>
      <c r="H547" s="14"/>
      <c r="I547" s="14"/>
      <c r="J547" s="14"/>
      <c r="K547" s="12"/>
    </row>
    <row r="548" ht="19.5" customHeight="1">
      <c r="A548" s="221"/>
      <c r="C548" s="12"/>
      <c r="D548" s="87"/>
      <c r="F548" s="14"/>
      <c r="G548" s="14"/>
      <c r="H548" s="14"/>
      <c r="I548" s="14"/>
      <c r="J548" s="14"/>
      <c r="K548" s="12"/>
    </row>
    <row r="549" ht="19.5" customHeight="1">
      <c r="A549" s="221"/>
      <c r="C549" s="12"/>
      <c r="D549" s="87"/>
      <c r="F549" s="14"/>
      <c r="G549" s="14"/>
      <c r="H549" s="14"/>
      <c r="I549" s="14"/>
      <c r="J549" s="14"/>
      <c r="K549" s="12"/>
    </row>
    <row r="550" ht="19.5" customHeight="1">
      <c r="A550" s="221"/>
      <c r="C550" s="12"/>
      <c r="D550" s="87"/>
      <c r="F550" s="14"/>
      <c r="G550" s="14"/>
      <c r="H550" s="14"/>
      <c r="I550" s="14"/>
      <c r="J550" s="14"/>
      <c r="K550" s="12"/>
    </row>
    <row r="551" ht="19.5" customHeight="1">
      <c r="A551" s="221"/>
      <c r="C551" s="12"/>
      <c r="D551" s="87"/>
      <c r="F551" s="14"/>
      <c r="G551" s="14"/>
      <c r="H551" s="14"/>
      <c r="I551" s="14"/>
      <c r="J551" s="14"/>
      <c r="K551" s="12"/>
    </row>
    <row r="552" ht="19.5" customHeight="1">
      <c r="A552" s="221"/>
      <c r="C552" s="12"/>
      <c r="D552" s="87"/>
      <c r="F552" s="14"/>
      <c r="G552" s="14"/>
      <c r="H552" s="14"/>
      <c r="I552" s="14"/>
      <c r="J552" s="14"/>
      <c r="K552" s="12"/>
    </row>
    <row r="553" ht="19.5" customHeight="1">
      <c r="A553" s="221"/>
      <c r="C553" s="12"/>
      <c r="D553" s="87"/>
      <c r="F553" s="14"/>
      <c r="G553" s="14"/>
      <c r="H553" s="14"/>
      <c r="I553" s="14"/>
      <c r="J553" s="14"/>
      <c r="K553" s="12"/>
    </row>
    <row r="554" ht="19.5" customHeight="1">
      <c r="A554" s="221"/>
      <c r="C554" s="12"/>
      <c r="D554" s="87"/>
      <c r="F554" s="14"/>
      <c r="G554" s="14"/>
      <c r="H554" s="14"/>
      <c r="I554" s="14"/>
      <c r="J554" s="14"/>
      <c r="K554" s="12"/>
    </row>
    <row r="555" ht="19.5" customHeight="1">
      <c r="A555" s="221"/>
      <c r="C555" s="12"/>
      <c r="D555" s="87"/>
      <c r="F555" s="14"/>
      <c r="G555" s="14"/>
      <c r="H555" s="14"/>
      <c r="I555" s="14"/>
      <c r="J555" s="14"/>
      <c r="K555" s="12"/>
    </row>
    <row r="556" ht="19.5" customHeight="1">
      <c r="A556" s="221"/>
      <c r="C556" s="12"/>
      <c r="D556" s="87"/>
      <c r="F556" s="14"/>
      <c r="G556" s="14"/>
      <c r="H556" s="14"/>
      <c r="I556" s="14"/>
      <c r="J556" s="14"/>
      <c r="K556" s="12"/>
    </row>
    <row r="557" ht="19.5" customHeight="1">
      <c r="A557" s="221"/>
      <c r="C557" s="12"/>
      <c r="D557" s="87"/>
      <c r="F557" s="14"/>
      <c r="G557" s="14"/>
      <c r="H557" s="14"/>
      <c r="I557" s="14"/>
      <c r="J557" s="14"/>
      <c r="K557" s="12"/>
    </row>
    <row r="558" ht="19.5" customHeight="1">
      <c r="A558" s="221"/>
      <c r="C558" s="12"/>
      <c r="D558" s="87"/>
      <c r="F558" s="14"/>
      <c r="G558" s="14"/>
      <c r="H558" s="14"/>
      <c r="I558" s="14"/>
      <c r="J558" s="14"/>
      <c r="K558" s="12"/>
    </row>
    <row r="559" ht="19.5" customHeight="1">
      <c r="A559" s="221"/>
      <c r="C559" s="12"/>
      <c r="D559" s="87"/>
      <c r="F559" s="14"/>
      <c r="G559" s="14"/>
      <c r="H559" s="14"/>
      <c r="I559" s="14"/>
      <c r="J559" s="14"/>
      <c r="K559" s="12"/>
    </row>
    <row r="560" ht="19.5" customHeight="1">
      <c r="A560" s="221"/>
      <c r="C560" s="12"/>
      <c r="D560" s="87"/>
      <c r="F560" s="14"/>
      <c r="G560" s="14"/>
      <c r="H560" s="14"/>
      <c r="I560" s="14"/>
      <c r="J560" s="14"/>
      <c r="K560" s="12"/>
    </row>
    <row r="561" ht="19.5" customHeight="1">
      <c r="A561" s="221"/>
      <c r="C561" s="12"/>
      <c r="D561" s="87"/>
      <c r="F561" s="14"/>
      <c r="G561" s="14"/>
      <c r="H561" s="14"/>
      <c r="I561" s="14"/>
      <c r="J561" s="14"/>
      <c r="K561" s="12"/>
    </row>
    <row r="562" ht="19.5" customHeight="1">
      <c r="A562" s="221"/>
      <c r="C562" s="12"/>
      <c r="D562" s="87"/>
      <c r="F562" s="14"/>
      <c r="G562" s="14"/>
      <c r="H562" s="14"/>
      <c r="I562" s="14"/>
      <c r="J562" s="14"/>
      <c r="K562" s="12"/>
    </row>
    <row r="563" ht="19.5" customHeight="1">
      <c r="A563" s="221"/>
      <c r="C563" s="12"/>
      <c r="D563" s="87"/>
      <c r="F563" s="14"/>
      <c r="G563" s="14"/>
      <c r="H563" s="14"/>
      <c r="I563" s="14"/>
      <c r="J563" s="14"/>
      <c r="K563" s="12"/>
    </row>
    <row r="564" ht="19.5" customHeight="1">
      <c r="A564" s="221"/>
      <c r="C564" s="12"/>
      <c r="D564" s="87"/>
      <c r="F564" s="14"/>
      <c r="G564" s="14"/>
      <c r="H564" s="14"/>
      <c r="I564" s="14"/>
      <c r="J564" s="14"/>
      <c r="K564" s="12"/>
    </row>
    <row r="565" ht="19.5" customHeight="1">
      <c r="A565" s="221"/>
      <c r="C565" s="12"/>
      <c r="D565" s="87"/>
      <c r="F565" s="14"/>
      <c r="G565" s="14"/>
      <c r="H565" s="14"/>
      <c r="I565" s="14"/>
      <c r="J565" s="14"/>
      <c r="K565" s="12"/>
    </row>
    <row r="566" ht="19.5" customHeight="1">
      <c r="A566" s="221"/>
      <c r="C566" s="12"/>
      <c r="D566" s="87"/>
      <c r="F566" s="14"/>
      <c r="G566" s="14"/>
      <c r="H566" s="14"/>
      <c r="I566" s="14"/>
      <c r="J566" s="14"/>
      <c r="K566" s="12"/>
    </row>
    <row r="567" ht="19.5" customHeight="1">
      <c r="A567" s="221"/>
      <c r="C567" s="12"/>
      <c r="D567" s="87"/>
      <c r="F567" s="14"/>
      <c r="G567" s="14"/>
      <c r="H567" s="14"/>
      <c r="I567" s="14"/>
      <c r="J567" s="14"/>
      <c r="K567" s="12"/>
    </row>
    <row r="568" ht="19.5" customHeight="1">
      <c r="A568" s="221"/>
      <c r="C568" s="12"/>
      <c r="D568" s="87"/>
      <c r="F568" s="14"/>
      <c r="G568" s="14"/>
      <c r="H568" s="14"/>
      <c r="I568" s="14"/>
      <c r="J568" s="14"/>
      <c r="K568" s="12"/>
    </row>
    <row r="569" ht="19.5" customHeight="1">
      <c r="A569" s="221"/>
      <c r="C569" s="12"/>
      <c r="D569" s="87"/>
      <c r="F569" s="14"/>
      <c r="G569" s="14"/>
      <c r="H569" s="14"/>
      <c r="I569" s="14"/>
      <c r="J569" s="14"/>
      <c r="K569" s="12"/>
    </row>
    <row r="570" ht="19.5" customHeight="1">
      <c r="A570" s="221"/>
      <c r="C570" s="12"/>
      <c r="D570" s="87"/>
      <c r="F570" s="14"/>
      <c r="G570" s="14"/>
      <c r="H570" s="14"/>
      <c r="I570" s="14"/>
      <c r="J570" s="14"/>
      <c r="K570" s="12"/>
    </row>
    <row r="571" ht="19.5" customHeight="1">
      <c r="A571" s="221"/>
      <c r="C571" s="12"/>
      <c r="D571" s="87"/>
      <c r="F571" s="14"/>
      <c r="G571" s="14"/>
      <c r="H571" s="14"/>
      <c r="I571" s="14"/>
      <c r="J571" s="14"/>
      <c r="K571" s="12"/>
    </row>
    <row r="572" ht="19.5" customHeight="1">
      <c r="A572" s="221"/>
      <c r="C572" s="12"/>
      <c r="D572" s="87"/>
      <c r="F572" s="14"/>
      <c r="G572" s="14"/>
      <c r="H572" s="14"/>
      <c r="I572" s="14"/>
      <c r="J572" s="14"/>
      <c r="K572" s="12"/>
    </row>
    <row r="573" ht="19.5" customHeight="1">
      <c r="A573" s="221"/>
      <c r="C573" s="12"/>
      <c r="D573" s="87"/>
      <c r="F573" s="14"/>
      <c r="G573" s="14"/>
      <c r="H573" s="14"/>
      <c r="I573" s="14"/>
      <c r="J573" s="14"/>
      <c r="K573" s="12"/>
    </row>
    <row r="574" ht="19.5" customHeight="1">
      <c r="A574" s="221"/>
      <c r="C574" s="12"/>
      <c r="D574" s="87"/>
      <c r="F574" s="14"/>
      <c r="G574" s="14"/>
      <c r="H574" s="14"/>
      <c r="I574" s="14"/>
      <c r="J574" s="14"/>
      <c r="K574" s="12"/>
    </row>
    <row r="575" ht="19.5" customHeight="1">
      <c r="A575" s="221"/>
      <c r="C575" s="12"/>
      <c r="D575" s="87"/>
      <c r="F575" s="14"/>
      <c r="G575" s="14"/>
      <c r="H575" s="14"/>
      <c r="I575" s="14"/>
      <c r="J575" s="14"/>
      <c r="K575" s="12"/>
    </row>
    <row r="576" ht="19.5" customHeight="1">
      <c r="A576" s="221"/>
      <c r="C576" s="12"/>
      <c r="D576" s="87"/>
      <c r="F576" s="14"/>
      <c r="G576" s="14"/>
      <c r="H576" s="14"/>
      <c r="I576" s="14"/>
      <c r="J576" s="14"/>
      <c r="K576" s="12"/>
    </row>
    <row r="577" ht="19.5" customHeight="1">
      <c r="A577" s="221"/>
      <c r="C577" s="12"/>
      <c r="D577" s="87"/>
      <c r="F577" s="14"/>
      <c r="G577" s="14"/>
      <c r="H577" s="14"/>
      <c r="I577" s="14"/>
      <c r="J577" s="14"/>
      <c r="K577" s="12"/>
    </row>
    <row r="578" ht="19.5" customHeight="1">
      <c r="A578" s="221"/>
      <c r="C578" s="12"/>
      <c r="D578" s="87"/>
      <c r="F578" s="14"/>
      <c r="G578" s="14"/>
      <c r="H578" s="14"/>
      <c r="I578" s="14"/>
      <c r="J578" s="14"/>
      <c r="K578" s="12"/>
    </row>
    <row r="579" ht="19.5" customHeight="1">
      <c r="A579" s="221"/>
      <c r="C579" s="12"/>
      <c r="D579" s="87"/>
      <c r="F579" s="14"/>
      <c r="G579" s="14"/>
      <c r="H579" s="14"/>
      <c r="I579" s="14"/>
      <c r="J579" s="14"/>
      <c r="K579" s="12"/>
    </row>
    <row r="580" ht="19.5" customHeight="1">
      <c r="A580" s="221"/>
      <c r="C580" s="12"/>
      <c r="D580" s="87"/>
      <c r="F580" s="14"/>
      <c r="G580" s="14"/>
      <c r="H580" s="14"/>
      <c r="I580" s="14"/>
      <c r="J580" s="14"/>
      <c r="K580" s="12"/>
    </row>
    <row r="581" ht="19.5" customHeight="1">
      <c r="A581" s="221"/>
      <c r="C581" s="12"/>
      <c r="D581" s="87"/>
      <c r="F581" s="14"/>
      <c r="G581" s="14"/>
      <c r="H581" s="14"/>
      <c r="I581" s="14"/>
      <c r="J581" s="14"/>
      <c r="K581" s="12"/>
    </row>
    <row r="582" ht="19.5" customHeight="1">
      <c r="A582" s="221"/>
      <c r="C582" s="12"/>
      <c r="D582" s="87"/>
      <c r="F582" s="14"/>
      <c r="G582" s="14"/>
      <c r="H582" s="14"/>
      <c r="I582" s="14"/>
      <c r="J582" s="14"/>
      <c r="K582" s="12"/>
    </row>
    <row r="583" ht="19.5" customHeight="1">
      <c r="A583" s="221"/>
      <c r="C583" s="12"/>
      <c r="D583" s="87"/>
      <c r="F583" s="14"/>
      <c r="G583" s="14"/>
      <c r="H583" s="14"/>
      <c r="I583" s="14"/>
      <c r="J583" s="14"/>
      <c r="K583" s="12"/>
    </row>
    <row r="584" ht="19.5" customHeight="1">
      <c r="A584" s="221"/>
      <c r="C584" s="12"/>
      <c r="D584" s="87"/>
      <c r="F584" s="14"/>
      <c r="G584" s="14"/>
      <c r="H584" s="14"/>
      <c r="I584" s="14"/>
      <c r="J584" s="14"/>
      <c r="K584" s="12"/>
    </row>
    <row r="585" ht="19.5" customHeight="1">
      <c r="A585" s="221"/>
      <c r="C585" s="12"/>
      <c r="D585" s="87"/>
      <c r="F585" s="14"/>
      <c r="G585" s="14"/>
      <c r="H585" s="14"/>
      <c r="I585" s="14"/>
      <c r="J585" s="14"/>
      <c r="K585" s="12"/>
    </row>
    <row r="586" ht="19.5" customHeight="1">
      <c r="A586" s="221"/>
      <c r="C586" s="12"/>
      <c r="D586" s="87"/>
      <c r="F586" s="14"/>
      <c r="G586" s="14"/>
      <c r="H586" s="14"/>
      <c r="I586" s="14"/>
      <c r="J586" s="14"/>
      <c r="K586" s="12"/>
    </row>
    <row r="587" ht="19.5" customHeight="1">
      <c r="A587" s="221"/>
      <c r="C587" s="12"/>
      <c r="D587" s="87"/>
      <c r="F587" s="14"/>
      <c r="G587" s="14"/>
      <c r="H587" s="14"/>
      <c r="I587" s="14"/>
      <c r="J587" s="14"/>
      <c r="K587" s="12"/>
    </row>
    <row r="588" ht="19.5" customHeight="1">
      <c r="A588" s="221"/>
      <c r="C588" s="12"/>
      <c r="D588" s="87"/>
      <c r="F588" s="14"/>
      <c r="G588" s="14"/>
      <c r="H588" s="14"/>
      <c r="I588" s="14"/>
      <c r="J588" s="14"/>
      <c r="K588" s="12"/>
    </row>
    <row r="589" ht="19.5" customHeight="1">
      <c r="A589" s="221"/>
      <c r="C589" s="12"/>
      <c r="D589" s="87"/>
      <c r="F589" s="14"/>
      <c r="G589" s="14"/>
      <c r="H589" s="14"/>
      <c r="I589" s="14"/>
      <c r="J589" s="14"/>
      <c r="K589" s="12"/>
    </row>
    <row r="590" ht="19.5" customHeight="1">
      <c r="A590" s="221"/>
      <c r="C590" s="12"/>
      <c r="D590" s="87"/>
      <c r="F590" s="14"/>
      <c r="G590" s="14"/>
      <c r="H590" s="14"/>
      <c r="I590" s="14"/>
      <c r="J590" s="14"/>
      <c r="K590" s="12"/>
    </row>
    <row r="591" ht="19.5" customHeight="1">
      <c r="A591" s="221"/>
      <c r="C591" s="12"/>
      <c r="D591" s="87"/>
      <c r="F591" s="14"/>
      <c r="G591" s="14"/>
      <c r="H591" s="14"/>
      <c r="I591" s="14"/>
      <c r="J591" s="14"/>
      <c r="K591" s="12"/>
    </row>
    <row r="592" ht="19.5" customHeight="1">
      <c r="A592" s="221"/>
      <c r="C592" s="12"/>
      <c r="D592" s="87"/>
      <c r="F592" s="14"/>
      <c r="G592" s="14"/>
      <c r="H592" s="14"/>
      <c r="I592" s="14"/>
      <c r="J592" s="14"/>
      <c r="K592" s="12"/>
    </row>
    <row r="593" ht="19.5" customHeight="1">
      <c r="A593" s="221"/>
      <c r="C593" s="12"/>
      <c r="D593" s="87"/>
      <c r="F593" s="14"/>
      <c r="G593" s="14"/>
      <c r="H593" s="14"/>
      <c r="I593" s="14"/>
      <c r="J593" s="14"/>
      <c r="K593" s="12"/>
    </row>
    <row r="594" ht="19.5" customHeight="1">
      <c r="A594" s="221"/>
      <c r="C594" s="12"/>
      <c r="D594" s="87"/>
      <c r="F594" s="14"/>
      <c r="G594" s="14"/>
      <c r="H594" s="14"/>
      <c r="I594" s="14"/>
      <c r="J594" s="14"/>
      <c r="K594" s="12"/>
    </row>
    <row r="595" ht="19.5" customHeight="1">
      <c r="A595" s="221"/>
      <c r="C595" s="12"/>
      <c r="D595" s="87"/>
      <c r="F595" s="14"/>
      <c r="G595" s="14"/>
      <c r="H595" s="14"/>
      <c r="I595" s="14"/>
      <c r="J595" s="14"/>
      <c r="K595" s="12"/>
    </row>
    <row r="596" ht="19.5" customHeight="1">
      <c r="A596" s="221"/>
      <c r="C596" s="12"/>
      <c r="D596" s="87"/>
      <c r="F596" s="14"/>
      <c r="G596" s="14"/>
      <c r="H596" s="14"/>
      <c r="I596" s="14"/>
      <c r="J596" s="14"/>
      <c r="K596" s="12"/>
    </row>
    <row r="597" ht="19.5" customHeight="1">
      <c r="A597" s="221"/>
      <c r="C597" s="12"/>
      <c r="D597" s="87"/>
      <c r="F597" s="14"/>
      <c r="G597" s="14"/>
      <c r="H597" s="14"/>
      <c r="I597" s="14"/>
      <c r="J597" s="14"/>
      <c r="K597" s="12"/>
    </row>
    <row r="598" ht="19.5" customHeight="1">
      <c r="A598" s="221"/>
      <c r="C598" s="12"/>
      <c r="D598" s="87"/>
      <c r="F598" s="14"/>
      <c r="G598" s="14"/>
      <c r="H598" s="14"/>
      <c r="I598" s="14"/>
      <c r="J598" s="14"/>
      <c r="K598" s="12"/>
    </row>
    <row r="599" ht="19.5" customHeight="1">
      <c r="A599" s="221"/>
      <c r="C599" s="12"/>
      <c r="D599" s="87"/>
      <c r="F599" s="14"/>
      <c r="G599" s="14"/>
      <c r="H599" s="14"/>
      <c r="I599" s="14"/>
      <c r="J599" s="14"/>
      <c r="K599" s="12"/>
    </row>
    <row r="600" ht="19.5" customHeight="1">
      <c r="A600" s="221"/>
      <c r="C600" s="12"/>
      <c r="D600" s="87"/>
      <c r="F600" s="14"/>
      <c r="G600" s="14"/>
      <c r="H600" s="14"/>
      <c r="I600" s="14"/>
      <c r="J600" s="14"/>
      <c r="K600" s="12"/>
    </row>
    <row r="601" ht="19.5" customHeight="1">
      <c r="A601" s="221"/>
      <c r="C601" s="12"/>
      <c r="D601" s="87"/>
      <c r="F601" s="14"/>
      <c r="G601" s="14"/>
      <c r="H601" s="14"/>
      <c r="I601" s="14"/>
      <c r="J601" s="14"/>
      <c r="K601" s="12"/>
    </row>
    <row r="602" ht="19.5" customHeight="1">
      <c r="A602" s="221"/>
      <c r="C602" s="12"/>
      <c r="D602" s="87"/>
      <c r="F602" s="14"/>
      <c r="G602" s="14"/>
      <c r="H602" s="14"/>
      <c r="I602" s="14"/>
      <c r="J602" s="14"/>
      <c r="K602" s="12"/>
    </row>
    <row r="603" ht="19.5" customHeight="1">
      <c r="A603" s="221"/>
      <c r="C603" s="12"/>
      <c r="D603" s="87"/>
      <c r="F603" s="14"/>
      <c r="G603" s="14"/>
      <c r="H603" s="14"/>
      <c r="I603" s="14"/>
      <c r="J603" s="14"/>
      <c r="K603" s="12"/>
    </row>
    <row r="604" ht="19.5" customHeight="1">
      <c r="A604" s="221"/>
      <c r="C604" s="12"/>
      <c r="D604" s="87"/>
      <c r="F604" s="14"/>
      <c r="G604" s="14"/>
      <c r="H604" s="14"/>
      <c r="I604" s="14"/>
      <c r="J604" s="14"/>
      <c r="K604" s="12"/>
    </row>
    <row r="605" ht="19.5" customHeight="1">
      <c r="A605" s="221"/>
      <c r="C605" s="12"/>
      <c r="D605" s="87"/>
      <c r="F605" s="14"/>
      <c r="G605" s="14"/>
      <c r="H605" s="14"/>
      <c r="I605" s="14"/>
      <c r="J605" s="14"/>
      <c r="K605" s="12"/>
    </row>
    <row r="606" ht="19.5" customHeight="1">
      <c r="A606" s="221"/>
      <c r="C606" s="12"/>
      <c r="D606" s="87"/>
      <c r="F606" s="14"/>
      <c r="G606" s="14"/>
      <c r="H606" s="14"/>
      <c r="I606" s="14"/>
      <c r="J606" s="14"/>
      <c r="K606" s="12"/>
    </row>
    <row r="607" ht="19.5" customHeight="1">
      <c r="A607" s="221"/>
      <c r="C607" s="12"/>
      <c r="D607" s="87"/>
      <c r="F607" s="14"/>
      <c r="G607" s="14"/>
      <c r="H607" s="14"/>
      <c r="I607" s="14"/>
      <c r="J607" s="14"/>
      <c r="K607" s="12"/>
    </row>
    <row r="608" ht="19.5" customHeight="1">
      <c r="A608" s="221"/>
      <c r="C608" s="12"/>
      <c r="D608" s="87"/>
      <c r="F608" s="14"/>
      <c r="G608" s="14"/>
      <c r="H608" s="14"/>
      <c r="I608" s="14"/>
      <c r="J608" s="14"/>
      <c r="K608" s="12"/>
    </row>
    <row r="609" ht="19.5" customHeight="1">
      <c r="A609" s="221"/>
      <c r="C609" s="12"/>
      <c r="D609" s="87"/>
      <c r="F609" s="14"/>
      <c r="G609" s="14"/>
      <c r="H609" s="14"/>
      <c r="I609" s="14"/>
      <c r="J609" s="14"/>
      <c r="K609" s="12"/>
    </row>
    <row r="610" ht="19.5" customHeight="1">
      <c r="A610" s="221"/>
      <c r="C610" s="12"/>
      <c r="D610" s="87"/>
      <c r="F610" s="14"/>
      <c r="G610" s="14"/>
      <c r="H610" s="14"/>
      <c r="I610" s="14"/>
      <c r="J610" s="14"/>
      <c r="K610" s="12"/>
    </row>
    <row r="611" ht="19.5" customHeight="1">
      <c r="A611" s="221"/>
      <c r="C611" s="12"/>
      <c r="D611" s="87"/>
      <c r="F611" s="14"/>
      <c r="G611" s="14"/>
      <c r="H611" s="14"/>
      <c r="I611" s="14"/>
      <c r="J611" s="14"/>
      <c r="K611" s="12"/>
    </row>
    <row r="612" ht="19.5" customHeight="1">
      <c r="A612" s="221"/>
      <c r="C612" s="12"/>
      <c r="D612" s="87"/>
      <c r="F612" s="14"/>
      <c r="G612" s="14"/>
      <c r="H612" s="14"/>
      <c r="I612" s="14"/>
      <c r="J612" s="14"/>
      <c r="K612" s="12"/>
    </row>
    <row r="613" ht="19.5" customHeight="1">
      <c r="A613" s="221"/>
      <c r="C613" s="12"/>
      <c r="D613" s="87"/>
      <c r="F613" s="14"/>
      <c r="G613" s="14"/>
      <c r="H613" s="14"/>
      <c r="I613" s="14"/>
      <c r="J613" s="14"/>
      <c r="K613" s="12"/>
    </row>
    <row r="614" ht="19.5" customHeight="1">
      <c r="A614" s="221"/>
      <c r="C614" s="12"/>
      <c r="D614" s="87"/>
      <c r="F614" s="14"/>
      <c r="G614" s="14"/>
      <c r="H614" s="14"/>
      <c r="I614" s="14"/>
      <c r="J614" s="14"/>
      <c r="K614" s="12"/>
    </row>
    <row r="615" ht="19.5" customHeight="1">
      <c r="A615" s="221"/>
      <c r="C615" s="12"/>
      <c r="D615" s="87"/>
      <c r="F615" s="14"/>
      <c r="G615" s="14"/>
      <c r="H615" s="14"/>
      <c r="I615" s="14"/>
      <c r="J615" s="14"/>
      <c r="K615" s="12"/>
    </row>
    <row r="616" ht="19.5" customHeight="1">
      <c r="A616" s="221"/>
      <c r="C616" s="12"/>
      <c r="D616" s="87"/>
      <c r="F616" s="14"/>
      <c r="G616" s="14"/>
      <c r="H616" s="14"/>
      <c r="I616" s="14"/>
      <c r="J616" s="14"/>
      <c r="K616" s="12"/>
    </row>
    <row r="617" ht="19.5" customHeight="1">
      <c r="A617" s="221"/>
      <c r="C617" s="12"/>
      <c r="D617" s="87"/>
      <c r="F617" s="14"/>
      <c r="G617" s="14"/>
      <c r="H617" s="14"/>
      <c r="I617" s="14"/>
      <c r="J617" s="14"/>
      <c r="K617" s="12"/>
    </row>
    <row r="618" ht="19.5" customHeight="1">
      <c r="A618" s="221"/>
      <c r="C618" s="12"/>
      <c r="D618" s="87"/>
      <c r="F618" s="14"/>
      <c r="G618" s="14"/>
      <c r="H618" s="14"/>
      <c r="I618" s="14"/>
      <c r="J618" s="14"/>
      <c r="K618" s="12"/>
    </row>
    <row r="619" ht="19.5" customHeight="1">
      <c r="A619" s="221"/>
      <c r="C619" s="12"/>
      <c r="D619" s="87"/>
      <c r="F619" s="14"/>
      <c r="G619" s="14"/>
      <c r="H619" s="14"/>
      <c r="I619" s="14"/>
      <c r="J619" s="14"/>
      <c r="K619" s="12"/>
    </row>
    <row r="620" ht="19.5" customHeight="1">
      <c r="A620" s="221"/>
      <c r="C620" s="12"/>
      <c r="D620" s="87"/>
      <c r="F620" s="14"/>
      <c r="G620" s="14"/>
      <c r="H620" s="14"/>
      <c r="I620" s="14"/>
      <c r="J620" s="14"/>
      <c r="K620" s="12"/>
    </row>
    <row r="621" ht="19.5" customHeight="1">
      <c r="A621" s="221"/>
      <c r="C621" s="12"/>
      <c r="D621" s="87"/>
      <c r="F621" s="14"/>
      <c r="G621" s="14"/>
      <c r="H621" s="14"/>
      <c r="I621" s="14"/>
      <c r="J621" s="14"/>
      <c r="K621" s="12"/>
    </row>
    <row r="622" ht="19.5" customHeight="1">
      <c r="A622" s="221"/>
      <c r="C622" s="12"/>
      <c r="D622" s="87"/>
      <c r="F622" s="14"/>
      <c r="G622" s="14"/>
      <c r="H622" s="14"/>
      <c r="I622" s="14"/>
      <c r="J622" s="14"/>
      <c r="K622" s="12"/>
    </row>
    <row r="623" ht="19.5" customHeight="1">
      <c r="A623" s="221"/>
      <c r="C623" s="12"/>
      <c r="D623" s="87"/>
      <c r="F623" s="14"/>
      <c r="G623" s="14"/>
      <c r="H623" s="14"/>
      <c r="I623" s="14"/>
      <c r="J623" s="14"/>
      <c r="K623" s="12"/>
    </row>
    <row r="624" ht="19.5" customHeight="1">
      <c r="A624" s="221"/>
      <c r="C624" s="12"/>
      <c r="D624" s="87"/>
      <c r="F624" s="14"/>
      <c r="G624" s="14"/>
      <c r="H624" s="14"/>
      <c r="I624" s="14"/>
      <c r="J624" s="14"/>
      <c r="K624" s="12"/>
    </row>
    <row r="625" ht="19.5" customHeight="1">
      <c r="A625" s="221"/>
      <c r="C625" s="12"/>
      <c r="D625" s="87"/>
      <c r="F625" s="14"/>
      <c r="G625" s="14"/>
      <c r="H625" s="14"/>
      <c r="I625" s="14"/>
      <c r="J625" s="14"/>
      <c r="K625" s="12"/>
    </row>
    <row r="626" ht="19.5" customHeight="1">
      <c r="A626" s="221"/>
      <c r="C626" s="12"/>
      <c r="D626" s="87"/>
      <c r="F626" s="14"/>
      <c r="G626" s="14"/>
      <c r="H626" s="14"/>
      <c r="I626" s="14"/>
      <c r="J626" s="14"/>
      <c r="K626" s="12"/>
    </row>
    <row r="627" ht="19.5" customHeight="1">
      <c r="A627" s="221"/>
      <c r="C627" s="12"/>
      <c r="D627" s="87"/>
      <c r="F627" s="14"/>
      <c r="G627" s="14"/>
      <c r="H627" s="14"/>
      <c r="I627" s="14"/>
      <c r="J627" s="14"/>
      <c r="K627" s="12"/>
    </row>
    <row r="628" ht="19.5" customHeight="1">
      <c r="A628" s="221"/>
      <c r="C628" s="12"/>
      <c r="D628" s="87"/>
      <c r="F628" s="14"/>
      <c r="G628" s="14"/>
      <c r="H628" s="14"/>
      <c r="I628" s="14"/>
      <c r="J628" s="14"/>
      <c r="K628" s="12"/>
    </row>
    <row r="629" ht="19.5" customHeight="1">
      <c r="A629" s="221"/>
      <c r="C629" s="12"/>
      <c r="D629" s="87"/>
      <c r="F629" s="14"/>
      <c r="G629" s="14"/>
      <c r="H629" s="14"/>
      <c r="I629" s="14"/>
      <c r="J629" s="14"/>
      <c r="K629" s="12"/>
    </row>
    <row r="630" ht="19.5" customHeight="1">
      <c r="A630" s="221"/>
      <c r="C630" s="12"/>
      <c r="D630" s="87"/>
      <c r="F630" s="14"/>
      <c r="G630" s="14"/>
      <c r="H630" s="14"/>
      <c r="I630" s="14"/>
      <c r="J630" s="14"/>
      <c r="K630" s="12"/>
    </row>
    <row r="631" ht="19.5" customHeight="1">
      <c r="A631" s="221"/>
      <c r="C631" s="12"/>
      <c r="D631" s="87"/>
      <c r="F631" s="14"/>
      <c r="G631" s="14"/>
      <c r="H631" s="14"/>
      <c r="I631" s="14"/>
      <c r="J631" s="14"/>
      <c r="K631" s="12"/>
    </row>
    <row r="632" ht="19.5" customHeight="1">
      <c r="A632" s="221"/>
      <c r="C632" s="12"/>
      <c r="D632" s="87"/>
      <c r="F632" s="14"/>
      <c r="G632" s="14"/>
      <c r="H632" s="14"/>
      <c r="I632" s="14"/>
      <c r="J632" s="14"/>
      <c r="K632" s="12"/>
    </row>
    <row r="633" ht="19.5" customHeight="1">
      <c r="A633" s="221"/>
      <c r="C633" s="12"/>
      <c r="D633" s="87"/>
      <c r="F633" s="14"/>
      <c r="G633" s="14"/>
      <c r="H633" s="14"/>
      <c r="I633" s="14"/>
      <c r="J633" s="14"/>
      <c r="K633" s="12"/>
    </row>
    <row r="634" ht="19.5" customHeight="1">
      <c r="A634" s="221"/>
      <c r="C634" s="12"/>
      <c r="D634" s="87"/>
      <c r="F634" s="14"/>
      <c r="G634" s="14"/>
      <c r="H634" s="14"/>
      <c r="I634" s="14"/>
      <c r="J634" s="14"/>
      <c r="K634" s="12"/>
    </row>
    <row r="635" ht="19.5" customHeight="1">
      <c r="A635" s="221"/>
      <c r="C635" s="12"/>
      <c r="D635" s="87"/>
      <c r="F635" s="14"/>
      <c r="G635" s="14"/>
      <c r="H635" s="14"/>
      <c r="I635" s="14"/>
      <c r="J635" s="14"/>
      <c r="K635" s="12"/>
    </row>
    <row r="636" ht="19.5" customHeight="1">
      <c r="A636" s="221"/>
      <c r="C636" s="12"/>
      <c r="D636" s="87"/>
      <c r="F636" s="14"/>
      <c r="G636" s="14"/>
      <c r="H636" s="14"/>
      <c r="I636" s="14"/>
      <c r="J636" s="14"/>
      <c r="K636" s="12"/>
    </row>
    <row r="637" ht="19.5" customHeight="1">
      <c r="A637" s="221"/>
      <c r="C637" s="12"/>
      <c r="D637" s="87"/>
      <c r="F637" s="14"/>
      <c r="G637" s="14"/>
      <c r="H637" s="14"/>
      <c r="I637" s="14"/>
      <c r="J637" s="14"/>
      <c r="K637" s="12"/>
    </row>
    <row r="638" ht="19.5" customHeight="1">
      <c r="A638" s="221"/>
      <c r="C638" s="12"/>
      <c r="D638" s="87"/>
      <c r="F638" s="14"/>
      <c r="G638" s="14"/>
      <c r="H638" s="14"/>
      <c r="I638" s="14"/>
      <c r="J638" s="14"/>
      <c r="K638" s="12"/>
    </row>
    <row r="639" ht="19.5" customHeight="1">
      <c r="A639" s="221"/>
      <c r="C639" s="12"/>
      <c r="D639" s="87"/>
      <c r="F639" s="14"/>
      <c r="G639" s="14"/>
      <c r="H639" s="14"/>
      <c r="I639" s="14"/>
      <c r="J639" s="14"/>
      <c r="K639" s="12"/>
    </row>
    <row r="640" ht="19.5" customHeight="1">
      <c r="A640" s="221"/>
      <c r="C640" s="12"/>
      <c r="D640" s="87"/>
      <c r="F640" s="14"/>
      <c r="G640" s="14"/>
      <c r="H640" s="14"/>
      <c r="I640" s="14"/>
      <c r="J640" s="14"/>
      <c r="K640" s="12"/>
    </row>
    <row r="641" ht="19.5" customHeight="1">
      <c r="A641" s="221"/>
      <c r="C641" s="12"/>
      <c r="D641" s="87"/>
      <c r="F641" s="14"/>
      <c r="G641" s="14"/>
      <c r="H641" s="14"/>
      <c r="I641" s="14"/>
      <c r="J641" s="14"/>
      <c r="K641" s="12"/>
    </row>
    <row r="642" ht="19.5" customHeight="1">
      <c r="A642" s="221"/>
      <c r="C642" s="12"/>
      <c r="D642" s="87"/>
      <c r="F642" s="14"/>
      <c r="G642" s="14"/>
      <c r="H642" s="14"/>
      <c r="I642" s="14"/>
      <c r="J642" s="14"/>
      <c r="K642" s="12"/>
    </row>
    <row r="643" ht="19.5" customHeight="1">
      <c r="A643" s="221"/>
      <c r="C643" s="12"/>
      <c r="D643" s="87"/>
      <c r="F643" s="14"/>
      <c r="G643" s="14"/>
      <c r="H643" s="14"/>
      <c r="I643" s="14"/>
      <c r="J643" s="14"/>
      <c r="K643" s="12"/>
    </row>
    <row r="644" ht="19.5" customHeight="1">
      <c r="A644" s="221"/>
      <c r="C644" s="12"/>
      <c r="D644" s="87"/>
      <c r="F644" s="14"/>
      <c r="G644" s="14"/>
      <c r="H644" s="14"/>
      <c r="I644" s="14"/>
      <c r="J644" s="14"/>
      <c r="K644" s="12"/>
    </row>
    <row r="645" ht="19.5" customHeight="1">
      <c r="A645" s="221"/>
      <c r="C645" s="12"/>
      <c r="D645" s="87"/>
      <c r="F645" s="14"/>
      <c r="G645" s="14"/>
      <c r="H645" s="14"/>
      <c r="I645" s="14"/>
      <c r="J645" s="14"/>
      <c r="K645" s="12"/>
    </row>
    <row r="646" ht="19.5" customHeight="1">
      <c r="A646" s="221"/>
      <c r="C646" s="12"/>
      <c r="D646" s="87"/>
      <c r="F646" s="14"/>
      <c r="G646" s="14"/>
      <c r="H646" s="14"/>
      <c r="I646" s="14"/>
      <c r="J646" s="14"/>
      <c r="K646" s="12"/>
    </row>
    <row r="647" ht="19.5" customHeight="1">
      <c r="A647" s="221"/>
      <c r="C647" s="12"/>
      <c r="D647" s="87"/>
      <c r="F647" s="14"/>
      <c r="G647" s="14"/>
      <c r="H647" s="14"/>
      <c r="I647" s="14"/>
      <c r="J647" s="14"/>
      <c r="K647" s="12"/>
    </row>
    <row r="648" ht="19.5" customHeight="1">
      <c r="A648" s="221"/>
      <c r="C648" s="12"/>
      <c r="D648" s="87"/>
      <c r="F648" s="14"/>
      <c r="G648" s="14"/>
      <c r="H648" s="14"/>
      <c r="I648" s="14"/>
      <c r="J648" s="14"/>
      <c r="K648" s="12"/>
    </row>
    <row r="649" ht="19.5" customHeight="1">
      <c r="A649" s="221"/>
      <c r="C649" s="12"/>
      <c r="D649" s="87"/>
      <c r="F649" s="14"/>
      <c r="G649" s="14"/>
      <c r="H649" s="14"/>
      <c r="I649" s="14"/>
      <c r="J649" s="14"/>
      <c r="K649" s="12"/>
    </row>
    <row r="650" ht="19.5" customHeight="1">
      <c r="A650" s="221"/>
      <c r="C650" s="12"/>
      <c r="D650" s="87"/>
      <c r="F650" s="14"/>
      <c r="G650" s="14"/>
      <c r="H650" s="14"/>
      <c r="I650" s="14"/>
      <c r="J650" s="14"/>
      <c r="K650" s="12"/>
    </row>
    <row r="651" ht="19.5" customHeight="1">
      <c r="A651" s="221"/>
      <c r="C651" s="12"/>
      <c r="D651" s="87"/>
      <c r="F651" s="14"/>
      <c r="G651" s="14"/>
      <c r="H651" s="14"/>
      <c r="I651" s="14"/>
      <c r="J651" s="14"/>
      <c r="K651" s="12"/>
    </row>
    <row r="652" ht="19.5" customHeight="1">
      <c r="A652" s="221"/>
      <c r="C652" s="12"/>
      <c r="D652" s="87"/>
      <c r="F652" s="14"/>
      <c r="G652" s="14"/>
      <c r="H652" s="14"/>
      <c r="I652" s="14"/>
      <c r="J652" s="14"/>
      <c r="K652" s="12"/>
    </row>
    <row r="653" ht="19.5" customHeight="1">
      <c r="A653" s="221"/>
      <c r="C653" s="12"/>
      <c r="D653" s="87"/>
      <c r="F653" s="14"/>
      <c r="G653" s="14"/>
      <c r="H653" s="14"/>
      <c r="I653" s="14"/>
      <c r="J653" s="14"/>
      <c r="K653" s="12"/>
    </row>
    <row r="654" ht="19.5" customHeight="1">
      <c r="A654" s="221"/>
      <c r="C654" s="12"/>
      <c r="D654" s="87"/>
      <c r="F654" s="14"/>
      <c r="G654" s="14"/>
      <c r="H654" s="14"/>
      <c r="I654" s="14"/>
      <c r="J654" s="14"/>
      <c r="K654" s="12"/>
    </row>
    <row r="655" ht="19.5" customHeight="1">
      <c r="A655" s="221"/>
      <c r="C655" s="12"/>
      <c r="D655" s="87"/>
      <c r="F655" s="14"/>
      <c r="G655" s="14"/>
      <c r="H655" s="14"/>
      <c r="I655" s="14"/>
      <c r="J655" s="14"/>
      <c r="K655" s="12"/>
    </row>
    <row r="656" ht="19.5" customHeight="1">
      <c r="A656" s="221"/>
      <c r="C656" s="12"/>
      <c r="D656" s="87"/>
      <c r="F656" s="14"/>
      <c r="G656" s="14"/>
      <c r="H656" s="14"/>
      <c r="I656" s="14"/>
      <c r="J656" s="14"/>
      <c r="K656" s="12"/>
    </row>
    <row r="657" ht="19.5" customHeight="1">
      <c r="A657" s="221"/>
      <c r="C657" s="12"/>
      <c r="D657" s="87"/>
      <c r="F657" s="14"/>
      <c r="G657" s="14"/>
      <c r="H657" s="14"/>
      <c r="I657" s="14"/>
      <c r="J657" s="14"/>
      <c r="K657" s="12"/>
    </row>
    <row r="658" ht="19.5" customHeight="1">
      <c r="A658" s="221"/>
      <c r="C658" s="12"/>
      <c r="D658" s="87"/>
      <c r="F658" s="14"/>
      <c r="G658" s="14"/>
      <c r="H658" s="14"/>
      <c r="I658" s="14"/>
      <c r="J658" s="14"/>
      <c r="K658" s="12"/>
    </row>
    <row r="659" ht="19.5" customHeight="1">
      <c r="A659" s="221"/>
      <c r="C659" s="12"/>
      <c r="D659" s="87"/>
      <c r="F659" s="14"/>
      <c r="G659" s="14"/>
      <c r="H659" s="14"/>
      <c r="I659" s="14"/>
      <c r="J659" s="14"/>
      <c r="K659" s="12"/>
    </row>
    <row r="660" ht="19.5" customHeight="1">
      <c r="A660" s="221"/>
      <c r="C660" s="12"/>
      <c r="D660" s="87"/>
      <c r="F660" s="14"/>
      <c r="G660" s="14"/>
      <c r="H660" s="14"/>
      <c r="I660" s="14"/>
      <c r="J660" s="14"/>
      <c r="K660" s="12"/>
    </row>
    <row r="661" ht="19.5" customHeight="1">
      <c r="A661" s="221"/>
      <c r="C661" s="12"/>
      <c r="D661" s="87"/>
      <c r="F661" s="14"/>
      <c r="G661" s="14"/>
      <c r="H661" s="14"/>
      <c r="I661" s="14"/>
      <c r="J661" s="14"/>
      <c r="K661" s="12"/>
    </row>
    <row r="662" ht="19.5" customHeight="1">
      <c r="A662" s="221"/>
      <c r="C662" s="12"/>
      <c r="D662" s="87"/>
      <c r="F662" s="14"/>
      <c r="G662" s="14"/>
      <c r="H662" s="14"/>
      <c r="I662" s="14"/>
      <c r="J662" s="14"/>
      <c r="K662" s="12"/>
    </row>
    <row r="663" ht="19.5" customHeight="1">
      <c r="A663" s="221"/>
      <c r="C663" s="12"/>
      <c r="D663" s="87"/>
      <c r="F663" s="14"/>
      <c r="G663" s="14"/>
      <c r="H663" s="14"/>
      <c r="I663" s="14"/>
      <c r="J663" s="14"/>
      <c r="K663" s="12"/>
    </row>
    <row r="664" ht="19.5" customHeight="1">
      <c r="A664" s="221"/>
      <c r="C664" s="12"/>
      <c r="D664" s="87"/>
      <c r="F664" s="14"/>
      <c r="G664" s="14"/>
      <c r="H664" s="14"/>
      <c r="I664" s="14"/>
      <c r="J664" s="14"/>
      <c r="K664" s="12"/>
    </row>
    <row r="665" ht="19.5" customHeight="1">
      <c r="A665" s="221"/>
      <c r="C665" s="12"/>
      <c r="D665" s="87"/>
      <c r="F665" s="14"/>
      <c r="G665" s="14"/>
      <c r="H665" s="14"/>
      <c r="I665" s="14"/>
      <c r="J665" s="14"/>
      <c r="K665" s="12"/>
    </row>
    <row r="666" ht="19.5" customHeight="1">
      <c r="A666" s="221"/>
      <c r="C666" s="12"/>
      <c r="D666" s="87"/>
      <c r="F666" s="14"/>
      <c r="G666" s="14"/>
      <c r="H666" s="14"/>
      <c r="I666" s="14"/>
      <c r="J666" s="14"/>
      <c r="K666" s="12"/>
    </row>
    <row r="667" ht="19.5" customHeight="1">
      <c r="A667" s="221"/>
      <c r="C667" s="12"/>
      <c r="D667" s="87"/>
      <c r="F667" s="14"/>
      <c r="G667" s="14"/>
      <c r="H667" s="14"/>
      <c r="I667" s="14"/>
      <c r="J667" s="14"/>
      <c r="K667" s="12"/>
    </row>
    <row r="668" ht="19.5" customHeight="1">
      <c r="A668" s="221"/>
      <c r="C668" s="12"/>
      <c r="D668" s="87"/>
      <c r="F668" s="14"/>
      <c r="G668" s="14"/>
      <c r="H668" s="14"/>
      <c r="I668" s="14"/>
      <c r="J668" s="14"/>
      <c r="K668" s="12"/>
    </row>
    <row r="669" ht="19.5" customHeight="1">
      <c r="A669" s="221"/>
      <c r="C669" s="12"/>
      <c r="D669" s="87"/>
      <c r="F669" s="14"/>
      <c r="G669" s="14"/>
      <c r="H669" s="14"/>
      <c r="I669" s="14"/>
      <c r="J669" s="14"/>
      <c r="K669" s="12"/>
    </row>
    <row r="670" ht="19.5" customHeight="1">
      <c r="A670" s="221"/>
      <c r="C670" s="12"/>
      <c r="D670" s="87"/>
      <c r="F670" s="14"/>
      <c r="G670" s="14"/>
      <c r="H670" s="14"/>
      <c r="I670" s="14"/>
      <c r="J670" s="14"/>
      <c r="K670" s="12"/>
    </row>
    <row r="671" ht="19.5" customHeight="1">
      <c r="A671" s="221"/>
      <c r="C671" s="12"/>
      <c r="D671" s="87"/>
      <c r="F671" s="14"/>
      <c r="G671" s="14"/>
      <c r="H671" s="14"/>
      <c r="I671" s="14"/>
      <c r="J671" s="14"/>
      <c r="K671" s="12"/>
    </row>
    <row r="672" ht="19.5" customHeight="1">
      <c r="A672" s="221"/>
      <c r="C672" s="12"/>
      <c r="D672" s="87"/>
      <c r="F672" s="14"/>
      <c r="G672" s="14"/>
      <c r="H672" s="14"/>
      <c r="I672" s="14"/>
      <c r="J672" s="14"/>
      <c r="K672" s="12"/>
    </row>
    <row r="673" ht="19.5" customHeight="1">
      <c r="A673" s="221"/>
      <c r="C673" s="12"/>
      <c r="D673" s="87"/>
      <c r="F673" s="14"/>
      <c r="G673" s="14"/>
      <c r="H673" s="14"/>
      <c r="I673" s="14"/>
      <c r="J673" s="14"/>
      <c r="K673" s="12"/>
    </row>
    <row r="674" ht="19.5" customHeight="1">
      <c r="A674" s="221"/>
      <c r="C674" s="12"/>
      <c r="D674" s="87"/>
      <c r="F674" s="14"/>
      <c r="G674" s="14"/>
      <c r="H674" s="14"/>
      <c r="I674" s="14"/>
      <c r="J674" s="14"/>
      <c r="K674" s="12"/>
    </row>
    <row r="675" ht="19.5" customHeight="1">
      <c r="A675" s="221"/>
      <c r="C675" s="12"/>
      <c r="D675" s="87"/>
      <c r="F675" s="14"/>
      <c r="G675" s="14"/>
      <c r="H675" s="14"/>
      <c r="I675" s="14"/>
      <c r="J675" s="14"/>
      <c r="K675" s="12"/>
    </row>
    <row r="676" ht="19.5" customHeight="1">
      <c r="A676" s="221"/>
      <c r="C676" s="12"/>
      <c r="D676" s="87"/>
      <c r="F676" s="14"/>
      <c r="G676" s="14"/>
      <c r="H676" s="14"/>
      <c r="I676" s="14"/>
      <c r="J676" s="14"/>
      <c r="K676" s="12"/>
    </row>
    <row r="677" ht="19.5" customHeight="1">
      <c r="A677" s="221"/>
      <c r="C677" s="12"/>
      <c r="D677" s="87"/>
      <c r="F677" s="14"/>
      <c r="G677" s="14"/>
      <c r="H677" s="14"/>
      <c r="I677" s="14"/>
      <c r="J677" s="14"/>
      <c r="K677" s="12"/>
    </row>
    <row r="678" ht="19.5" customHeight="1">
      <c r="A678" s="221"/>
      <c r="C678" s="12"/>
      <c r="D678" s="87"/>
      <c r="F678" s="14"/>
      <c r="G678" s="14"/>
      <c r="H678" s="14"/>
      <c r="I678" s="14"/>
      <c r="J678" s="14"/>
      <c r="K678" s="12"/>
    </row>
    <row r="679" ht="19.5" customHeight="1">
      <c r="A679" s="221"/>
      <c r="C679" s="12"/>
      <c r="D679" s="87"/>
      <c r="F679" s="14"/>
      <c r="G679" s="14"/>
      <c r="H679" s="14"/>
      <c r="I679" s="14"/>
      <c r="J679" s="14"/>
      <c r="K679" s="12"/>
    </row>
    <row r="680" ht="19.5" customHeight="1">
      <c r="A680" s="221"/>
      <c r="C680" s="12"/>
      <c r="D680" s="87"/>
      <c r="F680" s="14"/>
      <c r="G680" s="14"/>
      <c r="H680" s="14"/>
      <c r="I680" s="14"/>
      <c r="J680" s="14"/>
      <c r="K680" s="12"/>
    </row>
    <row r="681" ht="19.5" customHeight="1">
      <c r="A681" s="221"/>
      <c r="C681" s="12"/>
      <c r="D681" s="87"/>
      <c r="F681" s="14"/>
      <c r="G681" s="14"/>
      <c r="H681" s="14"/>
      <c r="I681" s="14"/>
      <c r="J681" s="14"/>
      <c r="K681" s="12"/>
    </row>
    <row r="682" ht="19.5" customHeight="1">
      <c r="A682" s="221"/>
      <c r="C682" s="12"/>
      <c r="D682" s="87"/>
      <c r="F682" s="14"/>
      <c r="G682" s="14"/>
      <c r="H682" s="14"/>
      <c r="I682" s="14"/>
      <c r="J682" s="14"/>
      <c r="K682" s="12"/>
    </row>
    <row r="683" ht="19.5" customHeight="1">
      <c r="A683" s="221"/>
      <c r="C683" s="12"/>
      <c r="D683" s="87"/>
      <c r="F683" s="14"/>
      <c r="G683" s="14"/>
      <c r="H683" s="14"/>
      <c r="I683" s="14"/>
      <c r="J683" s="14"/>
      <c r="K683" s="12"/>
    </row>
    <row r="684" ht="19.5" customHeight="1">
      <c r="A684" s="221"/>
      <c r="C684" s="12"/>
      <c r="D684" s="87"/>
      <c r="F684" s="14"/>
      <c r="G684" s="14"/>
      <c r="H684" s="14"/>
      <c r="I684" s="14"/>
      <c r="J684" s="14"/>
      <c r="K684" s="12"/>
    </row>
    <row r="685" ht="19.5" customHeight="1">
      <c r="A685" s="221"/>
      <c r="C685" s="12"/>
      <c r="D685" s="87"/>
      <c r="F685" s="14"/>
      <c r="G685" s="14"/>
      <c r="H685" s="14"/>
      <c r="I685" s="14"/>
      <c r="J685" s="14"/>
      <c r="K685" s="12"/>
    </row>
    <row r="686" ht="19.5" customHeight="1">
      <c r="A686" s="221"/>
      <c r="C686" s="12"/>
      <c r="D686" s="87"/>
      <c r="F686" s="14"/>
      <c r="G686" s="14"/>
      <c r="H686" s="14"/>
      <c r="I686" s="14"/>
      <c r="J686" s="14"/>
      <c r="K686" s="12"/>
    </row>
    <row r="687" ht="19.5" customHeight="1">
      <c r="A687" s="221"/>
      <c r="C687" s="12"/>
      <c r="D687" s="87"/>
      <c r="F687" s="14"/>
      <c r="G687" s="14"/>
      <c r="H687" s="14"/>
      <c r="I687" s="14"/>
      <c r="J687" s="14"/>
      <c r="K687" s="12"/>
    </row>
    <row r="688" ht="19.5" customHeight="1">
      <c r="A688" s="221"/>
      <c r="C688" s="12"/>
      <c r="D688" s="87"/>
      <c r="F688" s="14"/>
      <c r="G688" s="14"/>
      <c r="H688" s="14"/>
      <c r="I688" s="14"/>
      <c r="J688" s="14"/>
      <c r="K688" s="12"/>
    </row>
    <row r="689" ht="19.5" customHeight="1">
      <c r="A689" s="221"/>
      <c r="C689" s="12"/>
      <c r="D689" s="87"/>
      <c r="F689" s="14"/>
      <c r="G689" s="14"/>
      <c r="H689" s="14"/>
      <c r="I689" s="14"/>
      <c r="J689" s="14"/>
      <c r="K689" s="12"/>
    </row>
    <row r="690" ht="19.5" customHeight="1">
      <c r="A690" s="221"/>
      <c r="C690" s="12"/>
      <c r="D690" s="87"/>
      <c r="F690" s="14"/>
      <c r="G690" s="14"/>
      <c r="H690" s="14"/>
      <c r="I690" s="14"/>
      <c r="J690" s="14"/>
      <c r="K690" s="12"/>
    </row>
    <row r="691" ht="19.5" customHeight="1">
      <c r="A691" s="221"/>
      <c r="C691" s="12"/>
      <c r="D691" s="87"/>
      <c r="F691" s="14"/>
      <c r="G691" s="14"/>
      <c r="H691" s="14"/>
      <c r="I691" s="14"/>
      <c r="J691" s="14"/>
      <c r="K691" s="12"/>
    </row>
    <row r="692" ht="19.5" customHeight="1">
      <c r="A692" s="221"/>
      <c r="C692" s="12"/>
      <c r="D692" s="87"/>
      <c r="F692" s="14"/>
      <c r="G692" s="14"/>
      <c r="H692" s="14"/>
      <c r="I692" s="14"/>
      <c r="J692" s="14"/>
      <c r="K692" s="12"/>
    </row>
    <row r="693" ht="19.5" customHeight="1">
      <c r="A693" s="221"/>
      <c r="C693" s="12"/>
      <c r="D693" s="87"/>
      <c r="F693" s="14"/>
      <c r="G693" s="14"/>
      <c r="H693" s="14"/>
      <c r="I693" s="14"/>
      <c r="J693" s="14"/>
      <c r="K693" s="12"/>
    </row>
    <row r="694" ht="19.5" customHeight="1">
      <c r="A694" s="221"/>
      <c r="C694" s="12"/>
      <c r="D694" s="87"/>
      <c r="F694" s="14"/>
      <c r="G694" s="14"/>
      <c r="H694" s="14"/>
      <c r="I694" s="14"/>
      <c r="J694" s="14"/>
      <c r="K694" s="12"/>
    </row>
    <row r="695" ht="19.5" customHeight="1">
      <c r="A695" s="221"/>
      <c r="C695" s="12"/>
      <c r="D695" s="87"/>
      <c r="F695" s="14"/>
      <c r="G695" s="14"/>
      <c r="H695" s="14"/>
      <c r="I695" s="14"/>
      <c r="J695" s="14"/>
      <c r="K695" s="12"/>
    </row>
    <row r="696" ht="19.5" customHeight="1">
      <c r="A696" s="221"/>
      <c r="C696" s="12"/>
      <c r="D696" s="87"/>
      <c r="F696" s="14"/>
      <c r="G696" s="14"/>
      <c r="H696" s="14"/>
      <c r="I696" s="14"/>
      <c r="J696" s="14"/>
      <c r="K696" s="12"/>
    </row>
    <row r="697" ht="19.5" customHeight="1">
      <c r="A697" s="221"/>
      <c r="C697" s="12"/>
      <c r="D697" s="87"/>
      <c r="F697" s="14"/>
      <c r="G697" s="14"/>
      <c r="H697" s="14"/>
      <c r="I697" s="14"/>
      <c r="J697" s="14"/>
      <c r="K697" s="12"/>
    </row>
    <row r="698" ht="19.5" customHeight="1">
      <c r="A698" s="221"/>
      <c r="C698" s="12"/>
      <c r="D698" s="87"/>
      <c r="F698" s="14"/>
      <c r="G698" s="14"/>
      <c r="H698" s="14"/>
      <c r="I698" s="14"/>
      <c r="J698" s="14"/>
      <c r="K698" s="12"/>
    </row>
    <row r="699" ht="19.5" customHeight="1">
      <c r="A699" s="221"/>
      <c r="C699" s="12"/>
      <c r="D699" s="87"/>
      <c r="F699" s="14"/>
      <c r="G699" s="14"/>
      <c r="H699" s="14"/>
      <c r="I699" s="14"/>
      <c r="J699" s="14"/>
      <c r="K699" s="12"/>
    </row>
    <row r="700" ht="19.5" customHeight="1">
      <c r="A700" s="221"/>
      <c r="C700" s="12"/>
      <c r="D700" s="87"/>
      <c r="F700" s="14"/>
      <c r="G700" s="14"/>
      <c r="H700" s="14"/>
      <c r="I700" s="14"/>
      <c r="J700" s="14"/>
      <c r="K700" s="12"/>
    </row>
    <row r="701" ht="19.5" customHeight="1">
      <c r="A701" s="221"/>
      <c r="C701" s="12"/>
      <c r="D701" s="87"/>
      <c r="F701" s="14"/>
      <c r="G701" s="14"/>
      <c r="H701" s="14"/>
      <c r="I701" s="14"/>
      <c r="J701" s="14"/>
      <c r="K701" s="12"/>
    </row>
    <row r="702" ht="19.5" customHeight="1">
      <c r="A702" s="221"/>
      <c r="C702" s="12"/>
      <c r="D702" s="87"/>
      <c r="F702" s="14"/>
      <c r="G702" s="14"/>
      <c r="H702" s="14"/>
      <c r="I702" s="14"/>
      <c r="J702" s="14"/>
      <c r="K702" s="12"/>
    </row>
    <row r="703" ht="19.5" customHeight="1">
      <c r="A703" s="221"/>
      <c r="C703" s="12"/>
      <c r="D703" s="87"/>
      <c r="F703" s="14"/>
      <c r="G703" s="14"/>
      <c r="H703" s="14"/>
      <c r="I703" s="14"/>
      <c r="J703" s="14"/>
      <c r="K703" s="12"/>
    </row>
    <row r="704" ht="19.5" customHeight="1">
      <c r="A704" s="221"/>
      <c r="C704" s="12"/>
      <c r="D704" s="87"/>
      <c r="F704" s="14"/>
      <c r="G704" s="14"/>
      <c r="H704" s="14"/>
      <c r="I704" s="14"/>
      <c r="J704" s="14"/>
      <c r="K704" s="12"/>
    </row>
    <row r="705" ht="19.5" customHeight="1">
      <c r="A705" s="221"/>
      <c r="C705" s="12"/>
      <c r="D705" s="87"/>
      <c r="F705" s="14"/>
      <c r="G705" s="14"/>
      <c r="H705" s="14"/>
      <c r="I705" s="14"/>
      <c r="J705" s="14"/>
      <c r="K705" s="12"/>
    </row>
    <row r="706" ht="19.5" customHeight="1">
      <c r="A706" s="221"/>
      <c r="C706" s="12"/>
      <c r="D706" s="87"/>
      <c r="F706" s="14"/>
      <c r="G706" s="14"/>
      <c r="H706" s="14"/>
      <c r="I706" s="14"/>
      <c r="J706" s="14"/>
      <c r="K706" s="12"/>
    </row>
    <row r="707" ht="19.5" customHeight="1">
      <c r="A707" s="221"/>
      <c r="C707" s="12"/>
      <c r="D707" s="87"/>
      <c r="F707" s="14"/>
      <c r="G707" s="14"/>
      <c r="H707" s="14"/>
      <c r="I707" s="14"/>
      <c r="J707" s="14"/>
      <c r="K707" s="12"/>
    </row>
    <row r="708" ht="19.5" customHeight="1">
      <c r="A708" s="221"/>
      <c r="C708" s="12"/>
      <c r="D708" s="87"/>
      <c r="F708" s="14"/>
      <c r="G708" s="14"/>
      <c r="H708" s="14"/>
      <c r="I708" s="14"/>
      <c r="J708" s="14"/>
      <c r="K708" s="12"/>
    </row>
    <row r="709" ht="19.5" customHeight="1">
      <c r="A709" s="221"/>
      <c r="C709" s="12"/>
      <c r="D709" s="87"/>
      <c r="F709" s="14"/>
      <c r="G709" s="14"/>
      <c r="H709" s="14"/>
      <c r="I709" s="14"/>
      <c r="J709" s="14"/>
      <c r="K709" s="12"/>
    </row>
    <row r="710" ht="19.5" customHeight="1">
      <c r="A710" s="221"/>
      <c r="C710" s="12"/>
      <c r="D710" s="87"/>
      <c r="F710" s="14"/>
      <c r="G710" s="14"/>
      <c r="H710" s="14"/>
      <c r="I710" s="14"/>
      <c r="J710" s="14"/>
      <c r="K710" s="12"/>
    </row>
    <row r="711" ht="19.5" customHeight="1">
      <c r="A711" s="221"/>
      <c r="C711" s="12"/>
      <c r="D711" s="87"/>
      <c r="F711" s="14"/>
      <c r="G711" s="14"/>
      <c r="H711" s="14"/>
      <c r="I711" s="14"/>
      <c r="J711" s="14"/>
      <c r="K711" s="12"/>
    </row>
    <row r="712" ht="19.5" customHeight="1">
      <c r="A712" s="221"/>
      <c r="C712" s="12"/>
      <c r="D712" s="87"/>
      <c r="F712" s="14"/>
      <c r="G712" s="14"/>
      <c r="H712" s="14"/>
      <c r="I712" s="14"/>
      <c r="J712" s="14"/>
      <c r="K712" s="12"/>
    </row>
    <row r="713" ht="19.5" customHeight="1">
      <c r="A713" s="221"/>
      <c r="C713" s="12"/>
      <c r="D713" s="87"/>
      <c r="F713" s="14"/>
      <c r="G713" s="14"/>
      <c r="H713" s="14"/>
      <c r="I713" s="14"/>
      <c r="J713" s="14"/>
      <c r="K713" s="12"/>
    </row>
    <row r="714" ht="19.5" customHeight="1">
      <c r="A714" s="221"/>
      <c r="C714" s="12"/>
      <c r="D714" s="87"/>
      <c r="F714" s="14"/>
      <c r="G714" s="14"/>
      <c r="H714" s="14"/>
      <c r="I714" s="14"/>
      <c r="J714" s="14"/>
      <c r="K714" s="12"/>
    </row>
    <row r="715" ht="19.5" customHeight="1">
      <c r="A715" s="221"/>
      <c r="C715" s="12"/>
      <c r="D715" s="87"/>
      <c r="F715" s="14"/>
      <c r="G715" s="14"/>
      <c r="H715" s="14"/>
      <c r="I715" s="14"/>
      <c r="J715" s="14"/>
      <c r="K715" s="12"/>
    </row>
    <row r="716" ht="19.5" customHeight="1">
      <c r="A716" s="221"/>
      <c r="C716" s="12"/>
      <c r="D716" s="87"/>
      <c r="F716" s="14"/>
      <c r="G716" s="14"/>
      <c r="H716" s="14"/>
      <c r="I716" s="14"/>
      <c r="J716" s="14"/>
      <c r="K716" s="12"/>
    </row>
    <row r="717" ht="19.5" customHeight="1">
      <c r="A717" s="221"/>
      <c r="C717" s="12"/>
      <c r="D717" s="87"/>
      <c r="F717" s="14"/>
      <c r="G717" s="14"/>
      <c r="H717" s="14"/>
      <c r="I717" s="14"/>
      <c r="J717" s="14"/>
      <c r="K717" s="12"/>
    </row>
    <row r="718" ht="19.5" customHeight="1">
      <c r="A718" s="221"/>
      <c r="C718" s="12"/>
      <c r="D718" s="87"/>
      <c r="F718" s="14"/>
      <c r="G718" s="14"/>
      <c r="H718" s="14"/>
      <c r="I718" s="14"/>
      <c r="J718" s="14"/>
      <c r="K718" s="12"/>
    </row>
    <row r="719" ht="19.5" customHeight="1">
      <c r="A719" s="221"/>
      <c r="C719" s="12"/>
      <c r="D719" s="87"/>
      <c r="F719" s="14"/>
      <c r="G719" s="14"/>
      <c r="H719" s="14"/>
      <c r="I719" s="14"/>
      <c r="J719" s="14"/>
      <c r="K719" s="12"/>
    </row>
    <row r="720" ht="19.5" customHeight="1">
      <c r="A720" s="221"/>
      <c r="C720" s="12"/>
      <c r="D720" s="87"/>
      <c r="F720" s="14"/>
      <c r="G720" s="14"/>
      <c r="H720" s="14"/>
      <c r="I720" s="14"/>
      <c r="J720" s="14"/>
      <c r="K720" s="12"/>
    </row>
    <row r="721" ht="19.5" customHeight="1">
      <c r="A721" s="221"/>
      <c r="C721" s="12"/>
      <c r="D721" s="87"/>
      <c r="F721" s="14"/>
      <c r="G721" s="14"/>
      <c r="H721" s="14"/>
      <c r="I721" s="14"/>
      <c r="J721" s="14"/>
      <c r="K721" s="12"/>
    </row>
    <row r="722" ht="19.5" customHeight="1">
      <c r="A722" s="221"/>
      <c r="C722" s="12"/>
      <c r="D722" s="87"/>
      <c r="F722" s="14"/>
      <c r="G722" s="14"/>
      <c r="H722" s="14"/>
      <c r="I722" s="14"/>
      <c r="J722" s="14"/>
      <c r="K722" s="12"/>
    </row>
    <row r="723" ht="19.5" customHeight="1">
      <c r="A723" s="221"/>
      <c r="C723" s="12"/>
      <c r="D723" s="87"/>
      <c r="F723" s="14"/>
      <c r="G723" s="14"/>
      <c r="H723" s="14"/>
      <c r="I723" s="14"/>
      <c r="J723" s="14"/>
      <c r="K723" s="12"/>
    </row>
    <row r="724" ht="19.5" customHeight="1">
      <c r="A724" s="221"/>
      <c r="C724" s="12"/>
      <c r="D724" s="87"/>
      <c r="F724" s="14"/>
      <c r="G724" s="14"/>
      <c r="H724" s="14"/>
      <c r="I724" s="14"/>
      <c r="J724" s="14"/>
      <c r="K724" s="12"/>
    </row>
    <row r="725" ht="19.5" customHeight="1">
      <c r="A725" s="221"/>
      <c r="C725" s="12"/>
      <c r="D725" s="87"/>
      <c r="F725" s="14"/>
      <c r="G725" s="14"/>
      <c r="H725" s="14"/>
      <c r="I725" s="14"/>
      <c r="J725" s="14"/>
      <c r="K725" s="12"/>
    </row>
    <row r="726" ht="19.5" customHeight="1">
      <c r="A726" s="221"/>
      <c r="C726" s="12"/>
      <c r="D726" s="87"/>
      <c r="F726" s="14"/>
      <c r="G726" s="14"/>
      <c r="H726" s="14"/>
      <c r="I726" s="14"/>
      <c r="J726" s="14"/>
      <c r="K726" s="12"/>
    </row>
    <row r="727" ht="19.5" customHeight="1">
      <c r="A727" s="221"/>
      <c r="C727" s="12"/>
      <c r="D727" s="87"/>
      <c r="F727" s="14"/>
      <c r="G727" s="14"/>
      <c r="H727" s="14"/>
      <c r="I727" s="14"/>
      <c r="J727" s="14"/>
      <c r="K727" s="12"/>
    </row>
    <row r="728" ht="19.5" customHeight="1">
      <c r="A728" s="221"/>
      <c r="C728" s="12"/>
      <c r="D728" s="87"/>
      <c r="F728" s="14"/>
      <c r="G728" s="14"/>
      <c r="H728" s="14"/>
      <c r="I728" s="14"/>
      <c r="J728" s="14"/>
      <c r="K728" s="12"/>
    </row>
    <row r="729" ht="19.5" customHeight="1">
      <c r="A729" s="221"/>
      <c r="C729" s="12"/>
      <c r="D729" s="87"/>
      <c r="F729" s="14"/>
      <c r="G729" s="14"/>
      <c r="H729" s="14"/>
      <c r="I729" s="14"/>
      <c r="J729" s="14"/>
      <c r="K729" s="12"/>
    </row>
    <row r="730" ht="19.5" customHeight="1">
      <c r="A730" s="221"/>
      <c r="C730" s="12"/>
      <c r="D730" s="87"/>
      <c r="F730" s="14"/>
      <c r="G730" s="14"/>
      <c r="H730" s="14"/>
      <c r="I730" s="14"/>
      <c r="J730" s="14"/>
      <c r="K730" s="12"/>
    </row>
    <row r="731" ht="19.5" customHeight="1">
      <c r="A731" s="221"/>
      <c r="C731" s="12"/>
      <c r="D731" s="87"/>
      <c r="F731" s="14"/>
      <c r="G731" s="14"/>
      <c r="H731" s="14"/>
      <c r="I731" s="14"/>
      <c r="J731" s="14"/>
      <c r="K731" s="12"/>
    </row>
    <row r="732" ht="19.5" customHeight="1">
      <c r="A732" s="221"/>
      <c r="C732" s="12"/>
      <c r="D732" s="87"/>
      <c r="F732" s="14"/>
      <c r="G732" s="14"/>
      <c r="H732" s="14"/>
      <c r="I732" s="14"/>
      <c r="J732" s="14"/>
      <c r="K732" s="12"/>
    </row>
    <row r="733" ht="19.5" customHeight="1">
      <c r="A733" s="221"/>
      <c r="C733" s="12"/>
      <c r="D733" s="87"/>
      <c r="F733" s="14"/>
      <c r="G733" s="14"/>
      <c r="H733" s="14"/>
      <c r="I733" s="14"/>
      <c r="J733" s="14"/>
      <c r="K733" s="12"/>
    </row>
    <row r="734" ht="19.5" customHeight="1">
      <c r="A734" s="221"/>
      <c r="C734" s="12"/>
      <c r="D734" s="87"/>
      <c r="F734" s="14"/>
      <c r="G734" s="14"/>
      <c r="H734" s="14"/>
      <c r="I734" s="14"/>
      <c r="J734" s="14"/>
      <c r="K734" s="12"/>
    </row>
    <row r="735" ht="19.5" customHeight="1">
      <c r="A735" s="221"/>
      <c r="C735" s="12"/>
      <c r="D735" s="87"/>
      <c r="F735" s="14"/>
      <c r="G735" s="14"/>
      <c r="H735" s="14"/>
      <c r="I735" s="14"/>
      <c r="J735" s="14"/>
      <c r="K735" s="12"/>
    </row>
    <row r="736" ht="19.5" customHeight="1">
      <c r="A736" s="221"/>
      <c r="C736" s="12"/>
      <c r="D736" s="87"/>
      <c r="F736" s="14"/>
      <c r="G736" s="14"/>
      <c r="H736" s="14"/>
      <c r="I736" s="14"/>
      <c r="J736" s="14"/>
      <c r="K736" s="12"/>
    </row>
    <row r="737" ht="19.5" customHeight="1">
      <c r="A737" s="221"/>
      <c r="C737" s="12"/>
      <c r="D737" s="87"/>
      <c r="F737" s="14"/>
      <c r="G737" s="14"/>
      <c r="H737" s="14"/>
      <c r="I737" s="14"/>
      <c r="J737" s="14"/>
      <c r="K737" s="12"/>
    </row>
    <row r="738" ht="19.5" customHeight="1">
      <c r="A738" s="221"/>
      <c r="C738" s="12"/>
      <c r="D738" s="87"/>
      <c r="F738" s="14"/>
      <c r="G738" s="14"/>
      <c r="H738" s="14"/>
      <c r="I738" s="14"/>
      <c r="J738" s="14"/>
      <c r="K738" s="12"/>
    </row>
    <row r="739" ht="19.5" customHeight="1">
      <c r="A739" s="221"/>
      <c r="C739" s="12"/>
      <c r="D739" s="87"/>
      <c r="F739" s="14"/>
      <c r="G739" s="14"/>
      <c r="H739" s="14"/>
      <c r="I739" s="14"/>
      <c r="J739" s="14"/>
      <c r="K739" s="12"/>
    </row>
    <row r="740" ht="19.5" customHeight="1">
      <c r="A740" s="221"/>
      <c r="C740" s="12"/>
      <c r="D740" s="87"/>
      <c r="F740" s="14"/>
      <c r="G740" s="14"/>
      <c r="H740" s="14"/>
      <c r="I740" s="14"/>
      <c r="J740" s="14"/>
      <c r="K740" s="12"/>
    </row>
    <row r="741" ht="19.5" customHeight="1">
      <c r="A741" s="221"/>
      <c r="C741" s="12"/>
      <c r="D741" s="87"/>
      <c r="F741" s="14"/>
      <c r="G741" s="14"/>
      <c r="H741" s="14"/>
      <c r="I741" s="14"/>
      <c r="J741" s="14"/>
      <c r="K741" s="12"/>
    </row>
    <row r="742" ht="19.5" customHeight="1">
      <c r="A742" s="221"/>
      <c r="C742" s="12"/>
      <c r="D742" s="87"/>
      <c r="F742" s="14"/>
      <c r="G742" s="14"/>
      <c r="H742" s="14"/>
      <c r="I742" s="14"/>
      <c r="J742" s="14"/>
      <c r="K742" s="12"/>
    </row>
    <row r="743" ht="19.5" customHeight="1">
      <c r="A743" s="221"/>
      <c r="C743" s="12"/>
      <c r="D743" s="87"/>
      <c r="F743" s="14"/>
      <c r="G743" s="14"/>
      <c r="H743" s="14"/>
      <c r="I743" s="14"/>
      <c r="J743" s="14"/>
      <c r="K743" s="12"/>
    </row>
    <row r="744" ht="19.5" customHeight="1">
      <c r="A744" s="221"/>
      <c r="C744" s="12"/>
      <c r="D744" s="87"/>
      <c r="F744" s="14"/>
      <c r="G744" s="14"/>
      <c r="H744" s="14"/>
      <c r="I744" s="14"/>
      <c r="J744" s="14"/>
      <c r="K744" s="12"/>
    </row>
    <row r="745" ht="19.5" customHeight="1">
      <c r="A745" s="221"/>
      <c r="C745" s="12"/>
      <c r="D745" s="87"/>
      <c r="F745" s="14"/>
      <c r="G745" s="14"/>
      <c r="H745" s="14"/>
      <c r="I745" s="14"/>
      <c r="J745" s="14"/>
      <c r="K745" s="12"/>
    </row>
    <row r="746" ht="19.5" customHeight="1">
      <c r="A746" s="221"/>
      <c r="C746" s="12"/>
      <c r="D746" s="87"/>
      <c r="F746" s="14"/>
      <c r="G746" s="14"/>
      <c r="H746" s="14"/>
      <c r="I746" s="14"/>
      <c r="J746" s="14"/>
      <c r="K746" s="12"/>
    </row>
    <row r="747" ht="19.5" customHeight="1">
      <c r="A747" s="221"/>
      <c r="C747" s="12"/>
      <c r="D747" s="87"/>
      <c r="F747" s="14"/>
      <c r="G747" s="14"/>
      <c r="H747" s="14"/>
      <c r="I747" s="14"/>
      <c r="J747" s="14"/>
      <c r="K747" s="12"/>
    </row>
    <row r="748" ht="19.5" customHeight="1">
      <c r="A748" s="221"/>
      <c r="C748" s="12"/>
      <c r="D748" s="87"/>
      <c r="F748" s="14"/>
      <c r="G748" s="14"/>
      <c r="H748" s="14"/>
      <c r="I748" s="14"/>
      <c r="J748" s="14"/>
      <c r="K748" s="12"/>
    </row>
    <row r="749" ht="19.5" customHeight="1">
      <c r="A749" s="221"/>
      <c r="C749" s="12"/>
      <c r="D749" s="87"/>
      <c r="F749" s="14"/>
      <c r="G749" s="14"/>
      <c r="H749" s="14"/>
      <c r="I749" s="14"/>
      <c r="J749" s="14"/>
      <c r="K749" s="12"/>
    </row>
    <row r="750" ht="19.5" customHeight="1">
      <c r="A750" s="221"/>
      <c r="C750" s="12"/>
      <c r="D750" s="87"/>
      <c r="F750" s="14"/>
      <c r="G750" s="14"/>
      <c r="H750" s="14"/>
      <c r="I750" s="14"/>
      <c r="J750" s="14"/>
      <c r="K750" s="12"/>
    </row>
    <row r="751" ht="19.5" customHeight="1">
      <c r="A751" s="221"/>
      <c r="C751" s="12"/>
      <c r="D751" s="87"/>
      <c r="F751" s="14"/>
      <c r="G751" s="14"/>
      <c r="H751" s="14"/>
      <c r="I751" s="14"/>
      <c r="J751" s="14"/>
      <c r="K751" s="12"/>
    </row>
    <row r="752" ht="19.5" customHeight="1">
      <c r="A752" s="221"/>
      <c r="C752" s="12"/>
      <c r="D752" s="87"/>
      <c r="F752" s="14"/>
      <c r="G752" s="14"/>
      <c r="H752" s="14"/>
      <c r="I752" s="14"/>
      <c r="J752" s="14"/>
      <c r="K752" s="12"/>
    </row>
    <row r="753" ht="19.5" customHeight="1">
      <c r="A753" s="221"/>
      <c r="C753" s="12"/>
      <c r="D753" s="87"/>
      <c r="F753" s="14"/>
      <c r="G753" s="14"/>
      <c r="H753" s="14"/>
      <c r="I753" s="14"/>
      <c r="J753" s="14"/>
      <c r="K753" s="12"/>
    </row>
    <row r="754" ht="19.5" customHeight="1">
      <c r="A754" s="221"/>
      <c r="C754" s="12"/>
      <c r="D754" s="87"/>
      <c r="F754" s="14"/>
      <c r="G754" s="14"/>
      <c r="H754" s="14"/>
      <c r="I754" s="14"/>
      <c r="J754" s="14"/>
      <c r="K754" s="12"/>
    </row>
    <row r="755" ht="19.5" customHeight="1">
      <c r="A755" s="221"/>
      <c r="C755" s="12"/>
      <c r="D755" s="87"/>
      <c r="F755" s="14"/>
      <c r="G755" s="14"/>
      <c r="H755" s="14"/>
      <c r="I755" s="14"/>
      <c r="J755" s="14"/>
      <c r="K755" s="12"/>
    </row>
    <row r="756" ht="19.5" customHeight="1">
      <c r="A756" s="221"/>
      <c r="C756" s="12"/>
      <c r="D756" s="87"/>
      <c r="F756" s="14"/>
      <c r="G756" s="14"/>
      <c r="H756" s="14"/>
      <c r="I756" s="14"/>
      <c r="J756" s="14"/>
      <c r="K756" s="12"/>
    </row>
    <row r="757" ht="19.5" customHeight="1">
      <c r="A757" s="221"/>
      <c r="C757" s="12"/>
      <c r="D757" s="87"/>
      <c r="F757" s="14"/>
      <c r="G757" s="14"/>
      <c r="H757" s="14"/>
      <c r="I757" s="14"/>
      <c r="J757" s="14"/>
      <c r="K757" s="12"/>
    </row>
    <row r="758" ht="19.5" customHeight="1">
      <c r="A758" s="221"/>
      <c r="C758" s="12"/>
      <c r="D758" s="87"/>
      <c r="F758" s="14"/>
      <c r="G758" s="14"/>
      <c r="H758" s="14"/>
      <c r="I758" s="14"/>
      <c r="J758" s="14"/>
      <c r="K758" s="12"/>
    </row>
    <row r="759" ht="19.5" customHeight="1">
      <c r="A759" s="221"/>
      <c r="C759" s="12"/>
      <c r="D759" s="87"/>
      <c r="F759" s="14"/>
      <c r="G759" s="14"/>
      <c r="H759" s="14"/>
      <c r="I759" s="14"/>
      <c r="J759" s="14"/>
      <c r="K759" s="12"/>
    </row>
    <row r="760" ht="19.5" customHeight="1">
      <c r="A760" s="221"/>
      <c r="C760" s="12"/>
      <c r="D760" s="87"/>
      <c r="F760" s="14"/>
      <c r="G760" s="14"/>
      <c r="H760" s="14"/>
      <c r="I760" s="14"/>
      <c r="J760" s="14"/>
      <c r="K760" s="12"/>
    </row>
    <row r="761" ht="19.5" customHeight="1">
      <c r="A761" s="221"/>
      <c r="C761" s="12"/>
      <c r="D761" s="87"/>
      <c r="F761" s="14"/>
      <c r="G761" s="14"/>
      <c r="H761" s="14"/>
      <c r="I761" s="14"/>
      <c r="J761" s="14"/>
      <c r="K761" s="12"/>
    </row>
    <row r="762" ht="19.5" customHeight="1">
      <c r="A762" s="221"/>
      <c r="C762" s="12"/>
      <c r="D762" s="87"/>
      <c r="F762" s="14"/>
      <c r="G762" s="14"/>
      <c r="H762" s="14"/>
      <c r="I762" s="14"/>
      <c r="J762" s="14"/>
      <c r="K762" s="12"/>
    </row>
    <row r="763" ht="19.5" customHeight="1">
      <c r="A763" s="221"/>
      <c r="C763" s="12"/>
      <c r="D763" s="87"/>
      <c r="F763" s="14"/>
      <c r="G763" s="14"/>
      <c r="H763" s="14"/>
      <c r="I763" s="14"/>
      <c r="J763" s="14"/>
      <c r="K763" s="12"/>
    </row>
    <row r="764" ht="19.5" customHeight="1">
      <c r="A764" s="221"/>
      <c r="C764" s="12"/>
      <c r="D764" s="87"/>
      <c r="F764" s="14"/>
      <c r="G764" s="14"/>
      <c r="H764" s="14"/>
      <c r="I764" s="14"/>
      <c r="J764" s="14"/>
      <c r="K764" s="12"/>
    </row>
    <row r="765" ht="19.5" customHeight="1">
      <c r="A765" s="221"/>
      <c r="C765" s="12"/>
      <c r="D765" s="87"/>
      <c r="F765" s="14"/>
      <c r="G765" s="14"/>
      <c r="H765" s="14"/>
      <c r="I765" s="14"/>
      <c r="J765" s="14"/>
      <c r="K765" s="12"/>
    </row>
    <row r="766" ht="19.5" customHeight="1">
      <c r="A766" s="221"/>
      <c r="C766" s="12"/>
      <c r="D766" s="87"/>
      <c r="F766" s="14"/>
      <c r="G766" s="14"/>
      <c r="H766" s="14"/>
      <c r="I766" s="14"/>
      <c r="J766" s="14"/>
      <c r="K766" s="12"/>
    </row>
    <row r="767" ht="19.5" customHeight="1">
      <c r="A767" s="221"/>
      <c r="C767" s="12"/>
      <c r="D767" s="87"/>
      <c r="F767" s="14"/>
      <c r="G767" s="14"/>
      <c r="H767" s="14"/>
      <c r="I767" s="14"/>
      <c r="J767" s="14"/>
      <c r="K767" s="12"/>
    </row>
    <row r="768" ht="19.5" customHeight="1">
      <c r="A768" s="221"/>
      <c r="C768" s="12"/>
      <c r="D768" s="87"/>
      <c r="F768" s="14"/>
      <c r="G768" s="14"/>
      <c r="H768" s="14"/>
      <c r="I768" s="14"/>
      <c r="J768" s="14"/>
      <c r="K768" s="12"/>
    </row>
    <row r="769" ht="19.5" customHeight="1">
      <c r="A769" s="221"/>
      <c r="C769" s="12"/>
      <c r="D769" s="87"/>
      <c r="F769" s="14"/>
      <c r="G769" s="14"/>
      <c r="H769" s="14"/>
      <c r="I769" s="14"/>
      <c r="J769" s="14"/>
      <c r="K769" s="12"/>
    </row>
    <row r="770" ht="19.5" customHeight="1">
      <c r="A770" s="221"/>
      <c r="C770" s="12"/>
      <c r="D770" s="87"/>
      <c r="F770" s="14"/>
      <c r="G770" s="14"/>
      <c r="H770" s="14"/>
      <c r="I770" s="14"/>
      <c r="J770" s="14"/>
      <c r="K770" s="12"/>
    </row>
    <row r="771" ht="19.5" customHeight="1">
      <c r="A771" s="221"/>
      <c r="C771" s="12"/>
      <c r="D771" s="87"/>
      <c r="F771" s="14"/>
      <c r="G771" s="14"/>
      <c r="H771" s="14"/>
      <c r="I771" s="14"/>
      <c r="J771" s="14"/>
      <c r="K771" s="12"/>
    </row>
    <row r="772" ht="19.5" customHeight="1">
      <c r="A772" s="221"/>
      <c r="C772" s="12"/>
      <c r="D772" s="87"/>
      <c r="F772" s="14"/>
      <c r="G772" s="14"/>
      <c r="H772" s="14"/>
      <c r="I772" s="14"/>
      <c r="J772" s="14"/>
      <c r="K772" s="12"/>
    </row>
    <row r="773" ht="19.5" customHeight="1">
      <c r="A773" s="221"/>
      <c r="C773" s="12"/>
      <c r="D773" s="87"/>
      <c r="F773" s="14"/>
      <c r="G773" s="14"/>
      <c r="H773" s="14"/>
      <c r="I773" s="14"/>
      <c r="J773" s="14"/>
      <c r="K773" s="12"/>
    </row>
    <row r="774" ht="19.5" customHeight="1">
      <c r="A774" s="221"/>
      <c r="C774" s="12"/>
      <c r="D774" s="87"/>
      <c r="F774" s="14"/>
      <c r="G774" s="14"/>
      <c r="H774" s="14"/>
      <c r="I774" s="14"/>
      <c r="J774" s="14"/>
      <c r="K774" s="12"/>
    </row>
    <row r="775" ht="19.5" customHeight="1">
      <c r="A775" s="221"/>
      <c r="C775" s="12"/>
      <c r="D775" s="87"/>
      <c r="F775" s="14"/>
      <c r="G775" s="14"/>
      <c r="H775" s="14"/>
      <c r="I775" s="14"/>
      <c r="J775" s="14"/>
      <c r="K775" s="12"/>
    </row>
    <row r="776" ht="19.5" customHeight="1">
      <c r="A776" s="221"/>
      <c r="C776" s="12"/>
      <c r="D776" s="87"/>
      <c r="F776" s="14"/>
      <c r="G776" s="14"/>
      <c r="H776" s="14"/>
      <c r="I776" s="14"/>
      <c r="J776" s="14"/>
      <c r="K776" s="12"/>
    </row>
    <row r="777" ht="19.5" customHeight="1">
      <c r="A777" s="221"/>
      <c r="C777" s="12"/>
      <c r="D777" s="87"/>
      <c r="F777" s="14"/>
      <c r="G777" s="14"/>
      <c r="H777" s="14"/>
      <c r="I777" s="14"/>
      <c r="J777" s="14"/>
      <c r="K777" s="12"/>
    </row>
    <row r="778" ht="19.5" customHeight="1">
      <c r="A778" s="221"/>
      <c r="C778" s="12"/>
      <c r="D778" s="87"/>
      <c r="F778" s="14"/>
      <c r="G778" s="14"/>
      <c r="H778" s="14"/>
      <c r="I778" s="14"/>
      <c r="J778" s="14"/>
      <c r="K778" s="12"/>
    </row>
    <row r="779" ht="19.5" customHeight="1">
      <c r="A779" s="221"/>
      <c r="C779" s="12"/>
      <c r="D779" s="87"/>
      <c r="F779" s="14"/>
      <c r="G779" s="14"/>
      <c r="H779" s="14"/>
      <c r="I779" s="14"/>
      <c r="J779" s="14"/>
      <c r="K779" s="12"/>
    </row>
    <row r="780" ht="19.5" customHeight="1">
      <c r="A780" s="221"/>
      <c r="C780" s="12"/>
      <c r="D780" s="87"/>
      <c r="F780" s="14"/>
      <c r="G780" s="14"/>
      <c r="H780" s="14"/>
      <c r="I780" s="14"/>
      <c r="J780" s="14"/>
      <c r="K780" s="12"/>
    </row>
    <row r="781" ht="19.5" customHeight="1">
      <c r="A781" s="221"/>
      <c r="C781" s="12"/>
      <c r="D781" s="87"/>
      <c r="F781" s="14"/>
      <c r="G781" s="14"/>
      <c r="H781" s="14"/>
      <c r="I781" s="14"/>
      <c r="J781" s="14"/>
      <c r="K781" s="12"/>
    </row>
    <row r="782" ht="19.5" customHeight="1">
      <c r="A782" s="221"/>
      <c r="C782" s="12"/>
      <c r="D782" s="87"/>
      <c r="F782" s="14"/>
      <c r="G782" s="14"/>
      <c r="H782" s="14"/>
      <c r="I782" s="14"/>
      <c r="J782" s="14"/>
      <c r="K782" s="12"/>
    </row>
    <row r="783" ht="19.5" customHeight="1">
      <c r="A783" s="221"/>
      <c r="C783" s="12"/>
      <c r="D783" s="87"/>
      <c r="F783" s="14"/>
      <c r="G783" s="14"/>
      <c r="H783" s="14"/>
      <c r="I783" s="14"/>
      <c r="J783" s="14"/>
      <c r="K783" s="12"/>
    </row>
    <row r="784" ht="19.5" customHeight="1">
      <c r="A784" s="221"/>
      <c r="C784" s="12"/>
      <c r="D784" s="87"/>
      <c r="F784" s="14"/>
      <c r="G784" s="14"/>
      <c r="H784" s="14"/>
      <c r="I784" s="14"/>
      <c r="J784" s="14"/>
      <c r="K784" s="12"/>
    </row>
    <row r="785" ht="19.5" customHeight="1">
      <c r="A785" s="221"/>
      <c r="C785" s="12"/>
      <c r="D785" s="87"/>
      <c r="F785" s="14"/>
      <c r="G785" s="14"/>
      <c r="H785" s="14"/>
      <c r="I785" s="14"/>
      <c r="J785" s="14"/>
      <c r="K785" s="12"/>
    </row>
    <row r="786" ht="19.5" customHeight="1">
      <c r="A786" s="221"/>
      <c r="C786" s="12"/>
      <c r="D786" s="87"/>
      <c r="F786" s="14"/>
      <c r="G786" s="14"/>
      <c r="H786" s="14"/>
      <c r="I786" s="14"/>
      <c r="J786" s="14"/>
      <c r="K786" s="12"/>
    </row>
    <row r="787" ht="19.5" customHeight="1">
      <c r="A787" s="221"/>
      <c r="C787" s="12"/>
      <c r="D787" s="87"/>
      <c r="F787" s="14"/>
      <c r="G787" s="14"/>
      <c r="H787" s="14"/>
      <c r="I787" s="14"/>
      <c r="J787" s="14"/>
      <c r="K787" s="12"/>
    </row>
    <row r="788" ht="19.5" customHeight="1">
      <c r="A788" s="221"/>
      <c r="C788" s="12"/>
      <c r="D788" s="87"/>
      <c r="F788" s="14"/>
      <c r="G788" s="14"/>
      <c r="H788" s="14"/>
      <c r="I788" s="14"/>
      <c r="J788" s="14"/>
      <c r="K788" s="12"/>
    </row>
    <row r="789" ht="19.5" customHeight="1">
      <c r="A789" s="221"/>
      <c r="C789" s="12"/>
      <c r="D789" s="87"/>
      <c r="F789" s="14"/>
      <c r="G789" s="14"/>
      <c r="H789" s="14"/>
      <c r="I789" s="14"/>
      <c r="J789" s="14"/>
      <c r="K789" s="12"/>
    </row>
    <row r="790" ht="19.5" customHeight="1">
      <c r="A790" s="221"/>
      <c r="C790" s="12"/>
      <c r="D790" s="87"/>
      <c r="F790" s="14"/>
      <c r="G790" s="14"/>
      <c r="H790" s="14"/>
      <c r="I790" s="14"/>
      <c r="J790" s="14"/>
      <c r="K790" s="12"/>
    </row>
    <row r="791" ht="19.5" customHeight="1">
      <c r="A791" s="221"/>
      <c r="C791" s="12"/>
      <c r="D791" s="87"/>
      <c r="F791" s="14"/>
      <c r="G791" s="14"/>
      <c r="H791" s="14"/>
      <c r="I791" s="14"/>
      <c r="J791" s="14"/>
      <c r="K791" s="12"/>
    </row>
    <row r="792" ht="19.5" customHeight="1">
      <c r="A792" s="221"/>
      <c r="C792" s="12"/>
      <c r="D792" s="87"/>
      <c r="F792" s="14"/>
      <c r="G792" s="14"/>
      <c r="H792" s="14"/>
      <c r="I792" s="14"/>
      <c r="J792" s="14"/>
      <c r="K792" s="12"/>
    </row>
    <row r="793" ht="19.5" customHeight="1">
      <c r="A793" s="221"/>
      <c r="C793" s="12"/>
      <c r="D793" s="87"/>
      <c r="F793" s="14"/>
      <c r="G793" s="14"/>
      <c r="H793" s="14"/>
      <c r="I793" s="14"/>
      <c r="J793" s="14"/>
      <c r="K793" s="12"/>
    </row>
    <row r="794" ht="19.5" customHeight="1">
      <c r="A794" s="221"/>
      <c r="C794" s="12"/>
      <c r="D794" s="87"/>
      <c r="F794" s="14"/>
      <c r="G794" s="14"/>
      <c r="H794" s="14"/>
      <c r="I794" s="14"/>
      <c r="J794" s="14"/>
      <c r="K794" s="12"/>
    </row>
    <row r="795" ht="19.5" customHeight="1">
      <c r="A795" s="221"/>
      <c r="C795" s="12"/>
      <c r="D795" s="87"/>
      <c r="F795" s="14"/>
      <c r="G795" s="14"/>
      <c r="H795" s="14"/>
      <c r="I795" s="14"/>
      <c r="J795" s="14"/>
      <c r="K795" s="12"/>
    </row>
    <row r="796" ht="19.5" customHeight="1">
      <c r="A796" s="221"/>
      <c r="C796" s="12"/>
      <c r="D796" s="87"/>
      <c r="F796" s="14"/>
      <c r="G796" s="14"/>
      <c r="H796" s="14"/>
      <c r="I796" s="14"/>
      <c r="J796" s="14"/>
      <c r="K796" s="12"/>
    </row>
    <row r="797" ht="19.5" customHeight="1">
      <c r="A797" s="221"/>
      <c r="C797" s="12"/>
      <c r="D797" s="87"/>
      <c r="F797" s="14"/>
      <c r="G797" s="14"/>
      <c r="H797" s="14"/>
      <c r="I797" s="14"/>
      <c r="J797" s="14"/>
      <c r="K797" s="12"/>
    </row>
    <row r="798" ht="19.5" customHeight="1">
      <c r="A798" s="221"/>
      <c r="C798" s="12"/>
      <c r="D798" s="87"/>
      <c r="F798" s="14"/>
      <c r="G798" s="14"/>
      <c r="H798" s="14"/>
      <c r="I798" s="14"/>
      <c r="J798" s="14"/>
      <c r="K798" s="12"/>
    </row>
    <row r="799" ht="19.5" customHeight="1">
      <c r="A799" s="221"/>
      <c r="C799" s="12"/>
      <c r="D799" s="87"/>
      <c r="F799" s="14"/>
      <c r="G799" s="14"/>
      <c r="H799" s="14"/>
      <c r="I799" s="14"/>
      <c r="J799" s="14"/>
      <c r="K799" s="12"/>
    </row>
    <row r="800" ht="19.5" customHeight="1">
      <c r="A800" s="221"/>
      <c r="C800" s="12"/>
      <c r="D800" s="87"/>
      <c r="F800" s="14"/>
      <c r="G800" s="14"/>
      <c r="H800" s="14"/>
      <c r="I800" s="14"/>
      <c r="J800" s="14"/>
      <c r="K800" s="12"/>
    </row>
    <row r="801" ht="19.5" customHeight="1">
      <c r="A801" s="221"/>
      <c r="C801" s="12"/>
      <c r="D801" s="87"/>
      <c r="F801" s="14"/>
      <c r="G801" s="14"/>
      <c r="H801" s="14"/>
      <c r="I801" s="14"/>
      <c r="J801" s="14"/>
      <c r="K801" s="12"/>
    </row>
    <row r="802" ht="19.5" customHeight="1">
      <c r="A802" s="221"/>
      <c r="C802" s="12"/>
      <c r="D802" s="87"/>
      <c r="F802" s="14"/>
      <c r="G802" s="14"/>
      <c r="H802" s="14"/>
      <c r="I802" s="14"/>
      <c r="J802" s="14"/>
      <c r="K802" s="12"/>
    </row>
    <row r="803" ht="19.5" customHeight="1">
      <c r="A803" s="221"/>
      <c r="C803" s="12"/>
      <c r="D803" s="87"/>
      <c r="F803" s="14"/>
      <c r="G803" s="14"/>
      <c r="H803" s="14"/>
      <c r="I803" s="14"/>
      <c r="J803" s="14"/>
      <c r="K803" s="12"/>
    </row>
    <row r="804" ht="19.5" customHeight="1">
      <c r="A804" s="221"/>
      <c r="C804" s="12"/>
      <c r="D804" s="87"/>
      <c r="F804" s="14"/>
      <c r="G804" s="14"/>
      <c r="H804" s="14"/>
      <c r="I804" s="14"/>
      <c r="J804" s="14"/>
      <c r="K804" s="12"/>
    </row>
    <row r="805" ht="19.5" customHeight="1">
      <c r="A805" s="221"/>
      <c r="C805" s="12"/>
      <c r="D805" s="87"/>
      <c r="F805" s="14"/>
      <c r="G805" s="14"/>
      <c r="H805" s="14"/>
      <c r="I805" s="14"/>
      <c r="J805" s="14"/>
      <c r="K805" s="12"/>
    </row>
    <row r="806" ht="19.5" customHeight="1">
      <c r="A806" s="221"/>
      <c r="C806" s="12"/>
      <c r="D806" s="87"/>
      <c r="F806" s="14"/>
      <c r="G806" s="14"/>
      <c r="H806" s="14"/>
      <c r="I806" s="14"/>
      <c r="J806" s="14"/>
      <c r="K806" s="12"/>
    </row>
    <row r="807" ht="19.5" customHeight="1">
      <c r="A807" s="221"/>
      <c r="C807" s="12"/>
      <c r="D807" s="87"/>
      <c r="F807" s="14"/>
      <c r="G807" s="14"/>
      <c r="H807" s="14"/>
      <c r="I807" s="14"/>
      <c r="J807" s="14"/>
      <c r="K807" s="12"/>
    </row>
    <row r="808" ht="19.5" customHeight="1">
      <c r="A808" s="221"/>
      <c r="C808" s="12"/>
      <c r="D808" s="87"/>
      <c r="F808" s="14"/>
      <c r="G808" s="14"/>
      <c r="H808" s="14"/>
      <c r="I808" s="14"/>
      <c r="J808" s="14"/>
      <c r="K808" s="12"/>
    </row>
    <row r="809" ht="19.5" customHeight="1">
      <c r="A809" s="221"/>
      <c r="C809" s="12"/>
      <c r="D809" s="87"/>
      <c r="F809" s="14"/>
      <c r="G809" s="14"/>
      <c r="H809" s="14"/>
      <c r="I809" s="14"/>
      <c r="J809" s="14"/>
      <c r="K809" s="12"/>
    </row>
    <row r="810" ht="19.5" customHeight="1">
      <c r="A810" s="221"/>
      <c r="C810" s="12"/>
      <c r="D810" s="87"/>
      <c r="F810" s="14"/>
      <c r="G810" s="14"/>
      <c r="H810" s="14"/>
      <c r="I810" s="14"/>
      <c r="J810" s="14"/>
      <c r="K810" s="12"/>
    </row>
    <row r="811" ht="19.5" customHeight="1">
      <c r="A811" s="221"/>
      <c r="C811" s="12"/>
      <c r="D811" s="87"/>
      <c r="F811" s="14"/>
      <c r="G811" s="14"/>
      <c r="H811" s="14"/>
      <c r="I811" s="14"/>
      <c r="J811" s="14"/>
      <c r="K811" s="12"/>
    </row>
    <row r="812" ht="19.5" customHeight="1">
      <c r="A812" s="221"/>
      <c r="C812" s="12"/>
      <c r="D812" s="87"/>
      <c r="F812" s="14"/>
      <c r="G812" s="14"/>
      <c r="H812" s="14"/>
      <c r="I812" s="14"/>
      <c r="J812" s="14"/>
      <c r="K812" s="12"/>
    </row>
    <row r="813" ht="19.5" customHeight="1">
      <c r="A813" s="221"/>
      <c r="C813" s="12"/>
      <c r="D813" s="87"/>
      <c r="F813" s="14"/>
      <c r="G813" s="14"/>
      <c r="H813" s="14"/>
      <c r="I813" s="14"/>
      <c r="J813" s="14"/>
      <c r="K813" s="12"/>
    </row>
    <row r="814" ht="19.5" customHeight="1">
      <c r="A814" s="221"/>
      <c r="C814" s="12"/>
      <c r="D814" s="87"/>
      <c r="F814" s="14"/>
      <c r="G814" s="14"/>
      <c r="H814" s="14"/>
      <c r="I814" s="14"/>
      <c r="J814" s="14"/>
      <c r="K814" s="12"/>
    </row>
    <row r="815" ht="19.5" customHeight="1">
      <c r="A815" s="221"/>
      <c r="C815" s="12"/>
      <c r="D815" s="87"/>
      <c r="F815" s="14"/>
      <c r="G815" s="14"/>
      <c r="H815" s="14"/>
      <c r="I815" s="14"/>
      <c r="J815" s="14"/>
      <c r="K815" s="12"/>
    </row>
    <row r="816" ht="19.5" customHeight="1">
      <c r="A816" s="221"/>
      <c r="C816" s="12"/>
      <c r="D816" s="87"/>
      <c r="F816" s="14"/>
      <c r="G816" s="14"/>
      <c r="H816" s="14"/>
      <c r="I816" s="14"/>
      <c r="J816" s="14"/>
      <c r="K816" s="12"/>
    </row>
    <row r="817" ht="19.5" customHeight="1">
      <c r="A817" s="221"/>
      <c r="C817" s="12"/>
      <c r="D817" s="87"/>
      <c r="F817" s="14"/>
      <c r="G817" s="14"/>
      <c r="H817" s="14"/>
      <c r="I817" s="14"/>
      <c r="J817" s="14"/>
      <c r="K817" s="12"/>
    </row>
    <row r="818" ht="19.5" customHeight="1">
      <c r="A818" s="221"/>
      <c r="C818" s="12"/>
      <c r="D818" s="87"/>
      <c r="F818" s="14"/>
      <c r="G818" s="14"/>
      <c r="H818" s="14"/>
      <c r="I818" s="14"/>
      <c r="J818" s="14"/>
      <c r="K818" s="12"/>
    </row>
    <row r="819" ht="19.5" customHeight="1">
      <c r="A819" s="221"/>
      <c r="C819" s="12"/>
      <c r="D819" s="87"/>
      <c r="F819" s="14"/>
      <c r="G819" s="14"/>
      <c r="H819" s="14"/>
      <c r="I819" s="14"/>
      <c r="J819" s="14"/>
      <c r="K819" s="12"/>
    </row>
    <row r="820" ht="19.5" customHeight="1">
      <c r="A820" s="221"/>
      <c r="C820" s="12"/>
      <c r="D820" s="87"/>
      <c r="F820" s="14"/>
      <c r="G820" s="14"/>
      <c r="H820" s="14"/>
      <c r="I820" s="14"/>
      <c r="J820" s="14"/>
      <c r="K820" s="12"/>
    </row>
    <row r="821" ht="19.5" customHeight="1">
      <c r="A821" s="221"/>
      <c r="C821" s="12"/>
      <c r="D821" s="87"/>
      <c r="F821" s="14"/>
      <c r="G821" s="14"/>
      <c r="H821" s="14"/>
      <c r="I821" s="14"/>
      <c r="J821" s="14"/>
      <c r="K821" s="12"/>
    </row>
    <row r="822" ht="19.5" customHeight="1">
      <c r="A822" s="221"/>
      <c r="C822" s="12"/>
      <c r="D822" s="87"/>
      <c r="F822" s="14"/>
      <c r="G822" s="14"/>
      <c r="H822" s="14"/>
      <c r="I822" s="14"/>
      <c r="J822" s="14"/>
      <c r="K822" s="12"/>
    </row>
    <row r="823" ht="19.5" customHeight="1">
      <c r="A823" s="221"/>
      <c r="C823" s="12"/>
      <c r="D823" s="87"/>
      <c r="F823" s="14"/>
      <c r="G823" s="14"/>
      <c r="H823" s="14"/>
      <c r="I823" s="14"/>
      <c r="J823" s="14"/>
      <c r="K823" s="12"/>
    </row>
    <row r="824" ht="19.5" customHeight="1">
      <c r="A824" s="221"/>
      <c r="C824" s="12"/>
      <c r="D824" s="87"/>
      <c r="F824" s="14"/>
      <c r="G824" s="14"/>
      <c r="H824" s="14"/>
      <c r="I824" s="14"/>
      <c r="J824" s="14"/>
      <c r="K824" s="12"/>
    </row>
    <row r="825" ht="19.5" customHeight="1">
      <c r="A825" s="221"/>
      <c r="C825" s="12"/>
      <c r="D825" s="87"/>
      <c r="F825" s="14"/>
      <c r="G825" s="14"/>
      <c r="H825" s="14"/>
      <c r="I825" s="14"/>
      <c r="J825" s="14"/>
      <c r="K825" s="12"/>
    </row>
    <row r="826" ht="19.5" customHeight="1">
      <c r="A826" s="221"/>
      <c r="C826" s="12"/>
      <c r="D826" s="87"/>
      <c r="F826" s="14"/>
      <c r="G826" s="14"/>
      <c r="H826" s="14"/>
      <c r="I826" s="14"/>
      <c r="J826" s="14"/>
      <c r="K826" s="12"/>
    </row>
    <row r="827" ht="19.5" customHeight="1">
      <c r="A827" s="221"/>
      <c r="C827" s="12"/>
      <c r="D827" s="87"/>
      <c r="F827" s="14"/>
      <c r="G827" s="14"/>
      <c r="H827" s="14"/>
      <c r="I827" s="14"/>
      <c r="J827" s="14"/>
      <c r="K827" s="12"/>
    </row>
    <row r="828" ht="19.5" customHeight="1">
      <c r="A828" s="221"/>
      <c r="C828" s="12"/>
      <c r="D828" s="87"/>
      <c r="F828" s="14"/>
      <c r="G828" s="14"/>
      <c r="H828" s="14"/>
      <c r="I828" s="14"/>
      <c r="J828" s="14"/>
      <c r="K828" s="12"/>
    </row>
    <row r="829" ht="19.5" customHeight="1">
      <c r="A829" s="221"/>
      <c r="C829" s="12"/>
      <c r="D829" s="87"/>
      <c r="F829" s="14"/>
      <c r="G829" s="14"/>
      <c r="H829" s="14"/>
      <c r="I829" s="14"/>
      <c r="J829" s="14"/>
      <c r="K829" s="12"/>
    </row>
    <row r="830" ht="19.5" customHeight="1">
      <c r="A830" s="221"/>
      <c r="C830" s="12"/>
      <c r="D830" s="87"/>
      <c r="F830" s="14"/>
      <c r="G830" s="14"/>
      <c r="H830" s="14"/>
      <c r="I830" s="14"/>
      <c r="J830" s="14"/>
      <c r="K830" s="12"/>
    </row>
    <row r="831" ht="19.5" customHeight="1">
      <c r="A831" s="221"/>
      <c r="C831" s="12"/>
      <c r="D831" s="87"/>
      <c r="F831" s="14"/>
      <c r="G831" s="14"/>
      <c r="H831" s="14"/>
      <c r="I831" s="14"/>
      <c r="J831" s="14"/>
      <c r="K831" s="12"/>
    </row>
    <row r="832" ht="19.5" customHeight="1">
      <c r="A832" s="221"/>
      <c r="C832" s="12"/>
      <c r="D832" s="87"/>
      <c r="F832" s="14"/>
      <c r="G832" s="14"/>
      <c r="H832" s="14"/>
      <c r="I832" s="14"/>
      <c r="J832" s="14"/>
      <c r="K832" s="12"/>
    </row>
    <row r="833" ht="19.5" customHeight="1">
      <c r="A833" s="221"/>
      <c r="C833" s="12"/>
      <c r="D833" s="87"/>
      <c r="F833" s="14"/>
      <c r="G833" s="14"/>
      <c r="H833" s="14"/>
      <c r="I833" s="14"/>
      <c r="J833" s="14"/>
      <c r="K833" s="12"/>
    </row>
    <row r="834" ht="19.5" customHeight="1">
      <c r="A834" s="221"/>
      <c r="C834" s="12"/>
      <c r="D834" s="87"/>
      <c r="F834" s="14"/>
      <c r="G834" s="14"/>
      <c r="H834" s="14"/>
      <c r="I834" s="14"/>
      <c r="J834" s="14"/>
      <c r="K834" s="12"/>
    </row>
    <row r="835" ht="19.5" customHeight="1">
      <c r="A835" s="221"/>
      <c r="C835" s="12"/>
      <c r="D835" s="87"/>
      <c r="F835" s="14"/>
      <c r="G835" s="14"/>
      <c r="H835" s="14"/>
      <c r="I835" s="14"/>
      <c r="J835" s="14"/>
      <c r="K835" s="12"/>
    </row>
    <row r="836" ht="19.5" customHeight="1">
      <c r="A836" s="221"/>
      <c r="C836" s="12"/>
      <c r="D836" s="87"/>
      <c r="F836" s="14"/>
      <c r="G836" s="14"/>
      <c r="H836" s="14"/>
      <c r="I836" s="14"/>
      <c r="J836" s="14"/>
      <c r="K836" s="12"/>
    </row>
    <row r="837" ht="19.5" customHeight="1">
      <c r="A837" s="221"/>
      <c r="C837" s="12"/>
      <c r="D837" s="87"/>
      <c r="F837" s="14"/>
      <c r="G837" s="14"/>
      <c r="H837" s="14"/>
      <c r="I837" s="14"/>
      <c r="J837" s="14"/>
      <c r="K837" s="12"/>
    </row>
    <row r="838" ht="19.5" customHeight="1">
      <c r="A838" s="221"/>
      <c r="C838" s="12"/>
      <c r="D838" s="87"/>
      <c r="F838" s="14"/>
      <c r="G838" s="14"/>
      <c r="H838" s="14"/>
      <c r="I838" s="14"/>
      <c r="J838" s="14"/>
      <c r="K838" s="12"/>
    </row>
    <row r="839" ht="19.5" customHeight="1">
      <c r="A839" s="221"/>
      <c r="C839" s="12"/>
      <c r="D839" s="87"/>
      <c r="F839" s="14"/>
      <c r="G839" s="14"/>
      <c r="H839" s="14"/>
      <c r="I839" s="14"/>
      <c r="J839" s="14"/>
      <c r="K839" s="12"/>
    </row>
    <row r="840" ht="19.5" customHeight="1">
      <c r="A840" s="221"/>
      <c r="C840" s="12"/>
      <c r="D840" s="87"/>
      <c r="F840" s="14"/>
      <c r="G840" s="14"/>
      <c r="H840" s="14"/>
      <c r="I840" s="14"/>
      <c r="J840" s="14"/>
      <c r="K840" s="12"/>
    </row>
    <row r="841" ht="19.5" customHeight="1">
      <c r="A841" s="221"/>
      <c r="C841" s="12"/>
      <c r="D841" s="87"/>
      <c r="F841" s="14"/>
      <c r="G841" s="14"/>
      <c r="H841" s="14"/>
      <c r="I841" s="14"/>
      <c r="J841" s="14"/>
      <c r="K841" s="12"/>
    </row>
    <row r="842" ht="19.5" customHeight="1">
      <c r="A842" s="221"/>
      <c r="C842" s="12"/>
      <c r="D842" s="87"/>
      <c r="F842" s="14"/>
      <c r="G842" s="14"/>
      <c r="H842" s="14"/>
      <c r="I842" s="14"/>
      <c r="J842" s="14"/>
      <c r="K842" s="12"/>
    </row>
    <row r="843" ht="19.5" customHeight="1">
      <c r="A843" s="221"/>
      <c r="C843" s="12"/>
      <c r="D843" s="87"/>
      <c r="F843" s="14"/>
      <c r="G843" s="14"/>
      <c r="H843" s="14"/>
      <c r="I843" s="14"/>
      <c r="J843" s="14"/>
      <c r="K843" s="12"/>
    </row>
    <row r="844" ht="19.5" customHeight="1">
      <c r="A844" s="221"/>
      <c r="C844" s="12"/>
      <c r="D844" s="87"/>
      <c r="F844" s="14"/>
      <c r="G844" s="14"/>
      <c r="H844" s="14"/>
      <c r="I844" s="14"/>
      <c r="J844" s="14"/>
      <c r="K844" s="12"/>
    </row>
    <row r="845" ht="19.5" customHeight="1">
      <c r="A845" s="221"/>
      <c r="C845" s="12"/>
      <c r="D845" s="87"/>
      <c r="F845" s="14"/>
      <c r="G845" s="14"/>
      <c r="H845" s="14"/>
      <c r="I845" s="14"/>
      <c r="J845" s="14"/>
      <c r="K845" s="12"/>
    </row>
    <row r="846" ht="19.5" customHeight="1">
      <c r="A846" s="221"/>
      <c r="C846" s="12"/>
      <c r="D846" s="87"/>
      <c r="F846" s="14"/>
      <c r="G846" s="14"/>
      <c r="H846" s="14"/>
      <c r="I846" s="14"/>
      <c r="J846" s="14"/>
      <c r="K846" s="12"/>
    </row>
    <row r="847" ht="19.5" customHeight="1">
      <c r="A847" s="221"/>
      <c r="C847" s="12"/>
      <c r="D847" s="87"/>
      <c r="F847" s="14"/>
      <c r="G847" s="14"/>
      <c r="H847" s="14"/>
      <c r="I847" s="14"/>
      <c r="J847" s="14"/>
      <c r="K847" s="12"/>
    </row>
    <row r="848" ht="19.5" customHeight="1">
      <c r="A848" s="221"/>
      <c r="C848" s="12"/>
      <c r="D848" s="87"/>
      <c r="F848" s="14"/>
      <c r="G848" s="14"/>
      <c r="H848" s="14"/>
      <c r="I848" s="14"/>
      <c r="J848" s="14"/>
      <c r="K848" s="12"/>
    </row>
    <row r="849" ht="19.5" customHeight="1">
      <c r="A849" s="221"/>
      <c r="C849" s="12"/>
      <c r="D849" s="87"/>
      <c r="F849" s="14"/>
      <c r="G849" s="14"/>
      <c r="H849" s="14"/>
      <c r="I849" s="14"/>
      <c r="J849" s="14"/>
      <c r="K849" s="12"/>
    </row>
    <row r="850" ht="19.5" customHeight="1">
      <c r="A850" s="221"/>
      <c r="C850" s="12"/>
      <c r="D850" s="87"/>
      <c r="F850" s="14"/>
      <c r="G850" s="14"/>
      <c r="H850" s="14"/>
      <c r="I850" s="14"/>
      <c r="J850" s="14"/>
      <c r="K850" s="12"/>
    </row>
    <row r="851" ht="19.5" customHeight="1">
      <c r="A851" s="221"/>
      <c r="C851" s="12"/>
      <c r="D851" s="87"/>
      <c r="F851" s="14"/>
      <c r="G851" s="14"/>
      <c r="H851" s="14"/>
      <c r="I851" s="14"/>
      <c r="J851" s="14"/>
      <c r="K851" s="12"/>
    </row>
    <row r="852" ht="19.5" customHeight="1">
      <c r="A852" s="221"/>
      <c r="C852" s="12"/>
      <c r="D852" s="87"/>
      <c r="F852" s="14"/>
      <c r="G852" s="14"/>
      <c r="H852" s="14"/>
      <c r="I852" s="14"/>
      <c r="J852" s="14"/>
      <c r="K852" s="12"/>
    </row>
    <row r="853" ht="19.5" customHeight="1">
      <c r="A853" s="221"/>
      <c r="C853" s="12"/>
      <c r="D853" s="87"/>
      <c r="F853" s="14"/>
      <c r="G853" s="14"/>
      <c r="H853" s="14"/>
      <c r="I853" s="14"/>
      <c r="J853" s="14"/>
      <c r="K853" s="12"/>
    </row>
    <row r="854" ht="19.5" customHeight="1">
      <c r="A854" s="221"/>
      <c r="C854" s="12"/>
      <c r="D854" s="87"/>
      <c r="F854" s="14"/>
      <c r="G854" s="14"/>
      <c r="H854" s="14"/>
      <c r="I854" s="14"/>
      <c r="J854" s="14"/>
      <c r="K854" s="12"/>
    </row>
    <row r="855" ht="19.5" customHeight="1">
      <c r="A855" s="221"/>
      <c r="C855" s="12"/>
      <c r="D855" s="87"/>
      <c r="F855" s="14"/>
      <c r="G855" s="14"/>
      <c r="H855" s="14"/>
      <c r="I855" s="14"/>
      <c r="J855" s="14"/>
      <c r="K855" s="12"/>
    </row>
    <row r="856" ht="19.5" customHeight="1">
      <c r="A856" s="221"/>
      <c r="C856" s="12"/>
      <c r="D856" s="87"/>
      <c r="F856" s="14"/>
      <c r="G856" s="14"/>
      <c r="H856" s="14"/>
      <c r="I856" s="14"/>
      <c r="J856" s="14"/>
      <c r="K856" s="12"/>
    </row>
    <row r="857" ht="19.5" customHeight="1">
      <c r="A857" s="221"/>
      <c r="C857" s="12"/>
      <c r="D857" s="87"/>
      <c r="F857" s="14"/>
      <c r="G857" s="14"/>
      <c r="H857" s="14"/>
      <c r="I857" s="14"/>
      <c r="J857" s="14"/>
      <c r="K857" s="12"/>
    </row>
    <row r="858" ht="19.5" customHeight="1">
      <c r="A858" s="221"/>
      <c r="C858" s="12"/>
      <c r="D858" s="87"/>
      <c r="F858" s="14"/>
      <c r="G858" s="14"/>
      <c r="H858" s="14"/>
      <c r="I858" s="14"/>
      <c r="J858" s="14"/>
      <c r="K858" s="12"/>
    </row>
    <row r="859" ht="19.5" customHeight="1">
      <c r="A859" s="221"/>
      <c r="C859" s="12"/>
      <c r="D859" s="87"/>
      <c r="F859" s="14"/>
      <c r="G859" s="14"/>
      <c r="H859" s="14"/>
      <c r="I859" s="14"/>
      <c r="J859" s="14"/>
      <c r="K859" s="12"/>
    </row>
    <row r="860" ht="19.5" customHeight="1">
      <c r="A860" s="221"/>
      <c r="C860" s="12"/>
      <c r="D860" s="87"/>
      <c r="F860" s="14"/>
      <c r="G860" s="14"/>
      <c r="H860" s="14"/>
      <c r="I860" s="14"/>
      <c r="J860" s="14"/>
      <c r="K860" s="12"/>
    </row>
    <row r="861" ht="19.5" customHeight="1">
      <c r="A861" s="221"/>
      <c r="C861" s="12"/>
      <c r="D861" s="87"/>
      <c r="F861" s="14"/>
      <c r="G861" s="14"/>
      <c r="H861" s="14"/>
      <c r="I861" s="14"/>
      <c r="J861" s="14"/>
      <c r="K861" s="12"/>
    </row>
    <row r="862" ht="19.5" customHeight="1">
      <c r="A862" s="221"/>
      <c r="C862" s="12"/>
      <c r="D862" s="87"/>
      <c r="F862" s="14"/>
      <c r="G862" s="14"/>
      <c r="H862" s="14"/>
      <c r="I862" s="14"/>
      <c r="J862" s="14"/>
      <c r="K862" s="12"/>
    </row>
    <row r="863" ht="19.5" customHeight="1">
      <c r="A863" s="221"/>
      <c r="C863" s="12"/>
      <c r="D863" s="87"/>
      <c r="F863" s="14"/>
      <c r="G863" s="14"/>
      <c r="H863" s="14"/>
      <c r="I863" s="14"/>
      <c r="J863" s="14"/>
      <c r="K863" s="12"/>
    </row>
    <row r="864" ht="19.5" customHeight="1">
      <c r="A864" s="221"/>
      <c r="C864" s="12"/>
      <c r="D864" s="87"/>
      <c r="F864" s="14"/>
      <c r="G864" s="14"/>
      <c r="H864" s="14"/>
      <c r="I864" s="14"/>
      <c r="J864" s="14"/>
      <c r="K864" s="12"/>
    </row>
    <row r="865" ht="19.5" customHeight="1">
      <c r="A865" s="221"/>
      <c r="C865" s="12"/>
      <c r="D865" s="87"/>
      <c r="F865" s="14"/>
      <c r="G865" s="14"/>
      <c r="H865" s="14"/>
      <c r="I865" s="14"/>
      <c r="J865" s="14"/>
      <c r="K865" s="12"/>
    </row>
    <row r="866" ht="19.5" customHeight="1">
      <c r="A866" s="221"/>
      <c r="C866" s="12"/>
      <c r="D866" s="87"/>
      <c r="F866" s="14"/>
      <c r="G866" s="14"/>
      <c r="H866" s="14"/>
      <c r="I866" s="14"/>
      <c r="J866" s="14"/>
      <c r="K866" s="12"/>
    </row>
    <row r="867" ht="19.5" customHeight="1">
      <c r="A867" s="221"/>
      <c r="C867" s="12"/>
      <c r="D867" s="87"/>
      <c r="F867" s="14"/>
      <c r="G867" s="14"/>
      <c r="H867" s="14"/>
      <c r="I867" s="14"/>
      <c r="J867" s="14"/>
      <c r="K867" s="12"/>
    </row>
    <row r="868" ht="19.5" customHeight="1">
      <c r="A868" s="221"/>
      <c r="C868" s="12"/>
      <c r="D868" s="87"/>
      <c r="F868" s="14"/>
      <c r="G868" s="14"/>
      <c r="H868" s="14"/>
      <c r="I868" s="14"/>
      <c r="J868" s="14"/>
      <c r="K868" s="12"/>
    </row>
    <row r="869" ht="19.5" customHeight="1">
      <c r="A869" s="221"/>
      <c r="C869" s="12"/>
      <c r="D869" s="87"/>
      <c r="F869" s="14"/>
      <c r="G869" s="14"/>
      <c r="H869" s="14"/>
      <c r="I869" s="14"/>
      <c r="J869" s="14"/>
      <c r="K869" s="12"/>
    </row>
    <row r="870" ht="19.5" customHeight="1">
      <c r="A870" s="221"/>
      <c r="C870" s="12"/>
      <c r="D870" s="87"/>
      <c r="F870" s="14"/>
      <c r="G870" s="14"/>
      <c r="H870" s="14"/>
      <c r="I870" s="14"/>
      <c r="J870" s="14"/>
      <c r="K870" s="12"/>
    </row>
    <row r="871" ht="19.5" customHeight="1">
      <c r="A871" s="221"/>
      <c r="C871" s="12"/>
      <c r="D871" s="87"/>
      <c r="F871" s="14"/>
      <c r="G871" s="14"/>
      <c r="H871" s="14"/>
      <c r="I871" s="14"/>
      <c r="J871" s="14"/>
      <c r="K871" s="12"/>
    </row>
    <row r="872" ht="19.5" customHeight="1">
      <c r="A872" s="221"/>
      <c r="C872" s="12"/>
      <c r="D872" s="87"/>
      <c r="F872" s="14"/>
      <c r="G872" s="14"/>
      <c r="H872" s="14"/>
      <c r="I872" s="14"/>
      <c r="J872" s="14"/>
      <c r="K872" s="12"/>
    </row>
    <row r="873" ht="19.5" customHeight="1">
      <c r="A873" s="221"/>
      <c r="C873" s="12"/>
      <c r="D873" s="87"/>
      <c r="F873" s="14"/>
      <c r="G873" s="14"/>
      <c r="H873" s="14"/>
      <c r="I873" s="14"/>
      <c r="J873" s="14"/>
      <c r="K873" s="12"/>
    </row>
    <row r="874" ht="19.5" customHeight="1">
      <c r="A874" s="221"/>
      <c r="C874" s="12"/>
      <c r="D874" s="87"/>
      <c r="F874" s="14"/>
      <c r="G874" s="14"/>
      <c r="H874" s="14"/>
      <c r="I874" s="14"/>
      <c r="J874" s="14"/>
      <c r="K874" s="12"/>
    </row>
    <row r="875" ht="19.5" customHeight="1">
      <c r="A875" s="221"/>
      <c r="C875" s="12"/>
      <c r="D875" s="87"/>
      <c r="F875" s="14"/>
      <c r="G875" s="14"/>
      <c r="H875" s="14"/>
      <c r="I875" s="14"/>
      <c r="J875" s="14"/>
      <c r="K875" s="12"/>
    </row>
    <row r="876" ht="19.5" customHeight="1">
      <c r="A876" s="221"/>
      <c r="C876" s="12"/>
      <c r="D876" s="87"/>
      <c r="F876" s="14"/>
      <c r="G876" s="14"/>
      <c r="H876" s="14"/>
      <c r="I876" s="14"/>
      <c r="J876" s="14"/>
      <c r="K876" s="12"/>
    </row>
    <row r="877" ht="19.5" customHeight="1">
      <c r="A877" s="221"/>
      <c r="C877" s="12"/>
      <c r="D877" s="87"/>
      <c r="F877" s="14"/>
      <c r="G877" s="14"/>
      <c r="H877" s="14"/>
      <c r="I877" s="14"/>
      <c r="J877" s="14"/>
      <c r="K877" s="12"/>
    </row>
    <row r="878" ht="19.5" customHeight="1">
      <c r="A878" s="221"/>
      <c r="C878" s="12"/>
      <c r="D878" s="87"/>
      <c r="F878" s="14"/>
      <c r="G878" s="14"/>
      <c r="H878" s="14"/>
      <c r="I878" s="14"/>
      <c r="J878" s="14"/>
      <c r="K878" s="12"/>
    </row>
    <row r="879" ht="19.5" customHeight="1">
      <c r="A879" s="221"/>
      <c r="C879" s="12"/>
      <c r="D879" s="87"/>
      <c r="F879" s="14"/>
      <c r="G879" s="14"/>
      <c r="H879" s="14"/>
      <c r="I879" s="14"/>
      <c r="J879" s="14"/>
      <c r="K879" s="12"/>
    </row>
    <row r="880" ht="19.5" customHeight="1">
      <c r="A880" s="221"/>
      <c r="C880" s="12"/>
      <c r="D880" s="87"/>
      <c r="F880" s="14"/>
      <c r="G880" s="14"/>
      <c r="H880" s="14"/>
      <c r="I880" s="14"/>
      <c r="J880" s="14"/>
      <c r="K880" s="12"/>
    </row>
    <row r="881" ht="19.5" customHeight="1">
      <c r="A881" s="221"/>
      <c r="C881" s="12"/>
      <c r="D881" s="87"/>
      <c r="F881" s="14"/>
      <c r="G881" s="14"/>
      <c r="H881" s="14"/>
      <c r="I881" s="14"/>
      <c r="J881" s="14"/>
      <c r="K881" s="12"/>
    </row>
    <row r="882" ht="19.5" customHeight="1">
      <c r="A882" s="221"/>
      <c r="C882" s="12"/>
      <c r="D882" s="87"/>
      <c r="F882" s="14"/>
      <c r="G882" s="14"/>
      <c r="H882" s="14"/>
      <c r="I882" s="14"/>
      <c r="J882" s="14"/>
      <c r="K882" s="12"/>
    </row>
    <row r="883" ht="19.5" customHeight="1">
      <c r="A883" s="221"/>
      <c r="C883" s="12"/>
      <c r="D883" s="87"/>
      <c r="F883" s="14"/>
      <c r="G883" s="14"/>
      <c r="H883" s="14"/>
      <c r="I883" s="14"/>
      <c r="J883" s="14"/>
      <c r="K883" s="12"/>
    </row>
    <row r="884" ht="19.5" customHeight="1">
      <c r="A884" s="221"/>
      <c r="C884" s="12"/>
      <c r="D884" s="87"/>
      <c r="F884" s="14"/>
      <c r="G884" s="14"/>
      <c r="H884" s="14"/>
      <c r="I884" s="14"/>
      <c r="J884" s="14"/>
      <c r="K884" s="12"/>
    </row>
    <row r="885" ht="19.5" customHeight="1">
      <c r="A885" s="221"/>
      <c r="C885" s="12"/>
      <c r="D885" s="87"/>
      <c r="F885" s="14"/>
      <c r="G885" s="14"/>
      <c r="H885" s="14"/>
      <c r="I885" s="14"/>
      <c r="J885" s="14"/>
      <c r="K885" s="12"/>
    </row>
    <row r="886" ht="19.5" customHeight="1">
      <c r="A886" s="221"/>
      <c r="C886" s="12"/>
      <c r="D886" s="87"/>
      <c r="F886" s="14"/>
      <c r="G886" s="14"/>
      <c r="H886" s="14"/>
      <c r="I886" s="14"/>
      <c r="J886" s="14"/>
      <c r="K886" s="12"/>
    </row>
    <row r="887" ht="19.5" customHeight="1">
      <c r="A887" s="221"/>
      <c r="C887" s="12"/>
      <c r="D887" s="87"/>
      <c r="F887" s="14"/>
      <c r="G887" s="14"/>
      <c r="H887" s="14"/>
      <c r="I887" s="14"/>
      <c r="J887" s="14"/>
      <c r="K887" s="12"/>
    </row>
    <row r="888" ht="19.5" customHeight="1">
      <c r="A888" s="221"/>
      <c r="C888" s="12"/>
      <c r="D888" s="87"/>
      <c r="F888" s="14"/>
      <c r="G888" s="14"/>
      <c r="H888" s="14"/>
      <c r="I888" s="14"/>
      <c r="J888" s="14"/>
      <c r="K888" s="12"/>
    </row>
    <row r="889" ht="19.5" customHeight="1">
      <c r="A889" s="221"/>
      <c r="C889" s="12"/>
      <c r="D889" s="87"/>
      <c r="F889" s="14"/>
      <c r="G889" s="14"/>
      <c r="H889" s="14"/>
      <c r="I889" s="14"/>
      <c r="J889" s="14"/>
      <c r="K889" s="12"/>
    </row>
    <row r="890" ht="19.5" customHeight="1">
      <c r="A890" s="221"/>
      <c r="C890" s="12"/>
      <c r="D890" s="87"/>
      <c r="F890" s="14"/>
      <c r="G890" s="14"/>
      <c r="H890" s="14"/>
      <c r="I890" s="14"/>
      <c r="J890" s="14"/>
      <c r="K890" s="12"/>
    </row>
    <row r="891" ht="19.5" customHeight="1">
      <c r="A891" s="221"/>
      <c r="C891" s="12"/>
      <c r="D891" s="87"/>
      <c r="F891" s="14"/>
      <c r="G891" s="14"/>
      <c r="H891" s="14"/>
      <c r="I891" s="14"/>
      <c r="J891" s="14"/>
      <c r="K891" s="12"/>
    </row>
    <row r="892" ht="19.5" customHeight="1">
      <c r="A892" s="221"/>
      <c r="C892" s="12"/>
      <c r="D892" s="87"/>
      <c r="F892" s="14"/>
      <c r="G892" s="14"/>
      <c r="H892" s="14"/>
      <c r="I892" s="14"/>
      <c r="J892" s="14"/>
      <c r="K892" s="12"/>
    </row>
    <row r="893" ht="19.5" customHeight="1">
      <c r="A893" s="221"/>
      <c r="C893" s="12"/>
      <c r="D893" s="87"/>
      <c r="F893" s="14"/>
      <c r="G893" s="14"/>
      <c r="H893" s="14"/>
      <c r="I893" s="14"/>
      <c r="J893" s="14"/>
      <c r="K893" s="12"/>
    </row>
    <row r="894" ht="19.5" customHeight="1">
      <c r="A894" s="221"/>
      <c r="C894" s="12"/>
      <c r="D894" s="87"/>
      <c r="F894" s="14"/>
      <c r="G894" s="14"/>
      <c r="H894" s="14"/>
      <c r="I894" s="14"/>
      <c r="J894" s="14"/>
      <c r="K894" s="12"/>
    </row>
    <row r="895" ht="19.5" customHeight="1">
      <c r="A895" s="221"/>
      <c r="C895" s="12"/>
      <c r="D895" s="87"/>
      <c r="F895" s="14"/>
      <c r="G895" s="14"/>
      <c r="H895" s="14"/>
      <c r="I895" s="14"/>
      <c r="J895" s="14"/>
      <c r="K895" s="12"/>
    </row>
    <row r="896" ht="19.5" customHeight="1">
      <c r="A896" s="221"/>
      <c r="C896" s="12"/>
      <c r="D896" s="87"/>
      <c r="F896" s="14"/>
      <c r="G896" s="14"/>
      <c r="H896" s="14"/>
      <c r="I896" s="14"/>
      <c r="J896" s="14"/>
      <c r="K896" s="12"/>
    </row>
    <row r="897" ht="19.5" customHeight="1">
      <c r="A897" s="221"/>
      <c r="C897" s="12"/>
      <c r="D897" s="87"/>
      <c r="F897" s="14"/>
      <c r="G897" s="14"/>
      <c r="H897" s="14"/>
      <c r="I897" s="14"/>
      <c r="J897" s="14"/>
      <c r="K897" s="12"/>
    </row>
    <row r="898" ht="19.5" customHeight="1">
      <c r="A898" s="221"/>
      <c r="C898" s="12"/>
      <c r="D898" s="87"/>
      <c r="F898" s="14"/>
      <c r="G898" s="14"/>
      <c r="H898" s="14"/>
      <c r="I898" s="14"/>
      <c r="J898" s="14"/>
      <c r="K898" s="12"/>
    </row>
    <row r="899" ht="19.5" customHeight="1">
      <c r="A899" s="221"/>
      <c r="C899" s="12"/>
      <c r="D899" s="87"/>
      <c r="F899" s="14"/>
      <c r="G899" s="14"/>
      <c r="H899" s="14"/>
      <c r="I899" s="14"/>
      <c r="J899" s="14"/>
      <c r="K899" s="12"/>
    </row>
    <row r="900" ht="19.5" customHeight="1">
      <c r="A900" s="221"/>
      <c r="C900" s="12"/>
      <c r="D900" s="87"/>
      <c r="F900" s="14"/>
      <c r="G900" s="14"/>
      <c r="H900" s="14"/>
      <c r="I900" s="14"/>
      <c r="J900" s="14"/>
      <c r="K900" s="12"/>
    </row>
    <row r="901" ht="19.5" customHeight="1">
      <c r="A901" s="221"/>
      <c r="C901" s="12"/>
      <c r="D901" s="87"/>
      <c r="F901" s="14"/>
      <c r="G901" s="14"/>
      <c r="H901" s="14"/>
      <c r="I901" s="14"/>
      <c r="J901" s="14"/>
      <c r="K901" s="12"/>
    </row>
    <row r="902" ht="19.5" customHeight="1">
      <c r="A902" s="221"/>
      <c r="C902" s="12"/>
      <c r="D902" s="87"/>
      <c r="F902" s="14"/>
      <c r="G902" s="14"/>
      <c r="H902" s="14"/>
      <c r="I902" s="14"/>
      <c r="J902" s="14"/>
      <c r="K902" s="12"/>
    </row>
    <row r="903" ht="19.5" customHeight="1">
      <c r="A903" s="221"/>
      <c r="C903" s="12"/>
      <c r="D903" s="87"/>
      <c r="F903" s="14"/>
      <c r="G903" s="14"/>
      <c r="H903" s="14"/>
      <c r="I903" s="14"/>
      <c r="J903" s="14"/>
      <c r="K903" s="12"/>
    </row>
    <row r="904" ht="19.5" customHeight="1">
      <c r="A904" s="221"/>
      <c r="C904" s="12"/>
      <c r="D904" s="87"/>
      <c r="F904" s="14"/>
      <c r="G904" s="14"/>
      <c r="H904" s="14"/>
      <c r="I904" s="14"/>
      <c r="J904" s="14"/>
      <c r="K904" s="12"/>
    </row>
    <row r="905" ht="19.5" customHeight="1">
      <c r="A905" s="221"/>
      <c r="C905" s="12"/>
      <c r="D905" s="87"/>
      <c r="F905" s="14"/>
      <c r="G905" s="14"/>
      <c r="H905" s="14"/>
      <c r="I905" s="14"/>
      <c r="J905" s="14"/>
      <c r="K905" s="12"/>
    </row>
    <row r="906" ht="19.5" customHeight="1">
      <c r="A906" s="221"/>
      <c r="C906" s="12"/>
      <c r="D906" s="87"/>
      <c r="F906" s="14"/>
      <c r="G906" s="14"/>
      <c r="H906" s="14"/>
      <c r="I906" s="14"/>
      <c r="J906" s="14"/>
      <c r="K906" s="12"/>
    </row>
    <row r="907" ht="19.5" customHeight="1">
      <c r="A907" s="221"/>
      <c r="C907" s="12"/>
      <c r="D907" s="87"/>
      <c r="F907" s="14"/>
      <c r="G907" s="14"/>
      <c r="H907" s="14"/>
      <c r="I907" s="14"/>
      <c r="J907" s="14"/>
      <c r="K907" s="12"/>
    </row>
    <row r="908" ht="19.5" customHeight="1">
      <c r="A908" s="221"/>
      <c r="C908" s="12"/>
      <c r="D908" s="87"/>
      <c r="F908" s="14"/>
      <c r="G908" s="14"/>
      <c r="H908" s="14"/>
      <c r="I908" s="14"/>
      <c r="J908" s="14"/>
      <c r="K908" s="12"/>
    </row>
    <row r="909" ht="19.5" customHeight="1">
      <c r="A909" s="221"/>
      <c r="C909" s="12"/>
      <c r="D909" s="87"/>
      <c r="F909" s="14"/>
      <c r="G909" s="14"/>
      <c r="H909" s="14"/>
      <c r="I909" s="14"/>
      <c r="J909" s="14"/>
      <c r="K909" s="12"/>
    </row>
    <row r="910" ht="19.5" customHeight="1">
      <c r="A910" s="221"/>
      <c r="C910" s="12"/>
      <c r="D910" s="87"/>
      <c r="F910" s="14"/>
      <c r="G910" s="14"/>
      <c r="H910" s="14"/>
      <c r="I910" s="14"/>
      <c r="J910" s="14"/>
      <c r="K910" s="12"/>
    </row>
    <row r="911" ht="19.5" customHeight="1">
      <c r="A911" s="221"/>
      <c r="C911" s="12"/>
      <c r="D911" s="87"/>
      <c r="F911" s="14"/>
      <c r="G911" s="14"/>
      <c r="H911" s="14"/>
      <c r="I911" s="14"/>
      <c r="J911" s="14"/>
      <c r="K911" s="12"/>
    </row>
    <row r="912" ht="19.5" customHeight="1">
      <c r="A912" s="221"/>
      <c r="C912" s="12"/>
      <c r="D912" s="87"/>
      <c r="F912" s="14"/>
      <c r="G912" s="14"/>
      <c r="H912" s="14"/>
      <c r="I912" s="14"/>
      <c r="J912" s="14"/>
      <c r="K912" s="12"/>
    </row>
    <row r="913" ht="19.5" customHeight="1">
      <c r="A913" s="221"/>
      <c r="C913" s="12"/>
      <c r="D913" s="87"/>
      <c r="F913" s="14"/>
      <c r="G913" s="14"/>
      <c r="H913" s="14"/>
      <c r="I913" s="14"/>
      <c r="J913" s="14"/>
      <c r="K913" s="12"/>
    </row>
    <row r="914" ht="19.5" customHeight="1">
      <c r="A914" s="221"/>
      <c r="C914" s="12"/>
      <c r="D914" s="87"/>
      <c r="F914" s="14"/>
      <c r="G914" s="14"/>
      <c r="H914" s="14"/>
      <c r="I914" s="14"/>
      <c r="J914" s="14"/>
      <c r="K914" s="12"/>
    </row>
    <row r="915" ht="19.5" customHeight="1">
      <c r="A915" s="221"/>
      <c r="C915" s="12"/>
      <c r="D915" s="87"/>
      <c r="F915" s="14"/>
      <c r="G915" s="14"/>
      <c r="H915" s="14"/>
      <c r="I915" s="14"/>
      <c r="J915" s="14"/>
      <c r="K915" s="12"/>
    </row>
    <row r="916" ht="19.5" customHeight="1">
      <c r="A916" s="221"/>
      <c r="C916" s="12"/>
      <c r="D916" s="87"/>
      <c r="F916" s="14"/>
      <c r="G916" s="14"/>
      <c r="H916" s="14"/>
      <c r="I916" s="14"/>
      <c r="J916" s="14"/>
      <c r="K916" s="12"/>
    </row>
    <row r="917" ht="19.5" customHeight="1">
      <c r="A917" s="221"/>
      <c r="C917" s="12"/>
      <c r="D917" s="87"/>
      <c r="F917" s="14"/>
      <c r="G917" s="14"/>
      <c r="H917" s="14"/>
      <c r="I917" s="14"/>
      <c r="J917" s="14"/>
      <c r="K917" s="12"/>
    </row>
    <row r="918" ht="19.5" customHeight="1">
      <c r="A918" s="221"/>
      <c r="C918" s="12"/>
      <c r="D918" s="87"/>
      <c r="F918" s="14"/>
      <c r="G918" s="14"/>
      <c r="H918" s="14"/>
      <c r="I918" s="14"/>
      <c r="J918" s="14"/>
      <c r="K918" s="12"/>
    </row>
    <row r="919" ht="19.5" customHeight="1">
      <c r="A919" s="221"/>
      <c r="C919" s="12"/>
      <c r="D919" s="87"/>
      <c r="F919" s="14"/>
      <c r="G919" s="14"/>
      <c r="H919" s="14"/>
      <c r="I919" s="14"/>
      <c r="J919" s="14"/>
      <c r="K919" s="12"/>
    </row>
    <row r="920" ht="19.5" customHeight="1">
      <c r="A920" s="221"/>
      <c r="C920" s="12"/>
      <c r="D920" s="87"/>
      <c r="F920" s="14"/>
      <c r="G920" s="14"/>
      <c r="H920" s="14"/>
      <c r="I920" s="14"/>
      <c r="J920" s="14"/>
      <c r="K920" s="12"/>
    </row>
    <row r="921" ht="19.5" customHeight="1">
      <c r="A921" s="221"/>
      <c r="C921" s="12"/>
      <c r="D921" s="87"/>
      <c r="F921" s="14"/>
      <c r="G921" s="14"/>
      <c r="H921" s="14"/>
      <c r="I921" s="14"/>
      <c r="J921" s="14"/>
      <c r="K921" s="12"/>
    </row>
    <row r="922" ht="19.5" customHeight="1">
      <c r="A922" s="221"/>
      <c r="C922" s="12"/>
      <c r="D922" s="87"/>
      <c r="F922" s="14"/>
      <c r="G922" s="14"/>
      <c r="H922" s="14"/>
      <c r="I922" s="14"/>
      <c r="J922" s="14"/>
      <c r="K922" s="12"/>
    </row>
    <row r="923" ht="19.5" customHeight="1">
      <c r="A923" s="221"/>
      <c r="C923" s="12"/>
      <c r="D923" s="87"/>
      <c r="F923" s="14"/>
      <c r="G923" s="14"/>
      <c r="H923" s="14"/>
      <c r="I923" s="14"/>
      <c r="J923" s="14"/>
      <c r="K923" s="12"/>
    </row>
    <row r="924" ht="19.5" customHeight="1">
      <c r="A924" s="221"/>
      <c r="C924" s="12"/>
      <c r="D924" s="87"/>
      <c r="F924" s="14"/>
      <c r="G924" s="14"/>
      <c r="H924" s="14"/>
      <c r="I924" s="14"/>
      <c r="J924" s="14"/>
      <c r="K924" s="12"/>
    </row>
    <row r="925" ht="19.5" customHeight="1">
      <c r="A925" s="221"/>
      <c r="C925" s="12"/>
      <c r="D925" s="87"/>
      <c r="F925" s="14"/>
      <c r="G925" s="14"/>
      <c r="H925" s="14"/>
      <c r="I925" s="14"/>
      <c r="J925" s="14"/>
      <c r="K925" s="12"/>
    </row>
    <row r="926" ht="19.5" customHeight="1">
      <c r="A926" s="221"/>
      <c r="C926" s="12"/>
      <c r="D926" s="87"/>
      <c r="F926" s="14"/>
      <c r="G926" s="14"/>
      <c r="H926" s="14"/>
      <c r="I926" s="14"/>
      <c r="J926" s="14"/>
      <c r="K926" s="12"/>
    </row>
    <row r="927" ht="19.5" customHeight="1">
      <c r="A927" s="221"/>
      <c r="C927" s="12"/>
      <c r="D927" s="87"/>
      <c r="F927" s="14"/>
      <c r="G927" s="14"/>
      <c r="H927" s="14"/>
      <c r="I927" s="14"/>
      <c r="J927" s="14"/>
      <c r="K927" s="12"/>
    </row>
    <row r="928" ht="19.5" customHeight="1">
      <c r="A928" s="221"/>
      <c r="C928" s="12"/>
      <c r="D928" s="87"/>
      <c r="F928" s="14"/>
      <c r="G928" s="14"/>
      <c r="H928" s="14"/>
      <c r="I928" s="14"/>
      <c r="J928" s="14"/>
      <c r="K928" s="12"/>
    </row>
    <row r="929" ht="19.5" customHeight="1">
      <c r="A929" s="221"/>
      <c r="C929" s="12"/>
      <c r="D929" s="87"/>
      <c r="F929" s="14"/>
      <c r="G929" s="14"/>
      <c r="H929" s="14"/>
      <c r="I929" s="14"/>
      <c r="J929" s="14"/>
      <c r="K929" s="12"/>
    </row>
    <row r="930" ht="19.5" customHeight="1">
      <c r="A930" s="221"/>
      <c r="C930" s="12"/>
      <c r="D930" s="87"/>
      <c r="F930" s="14"/>
      <c r="G930" s="14"/>
      <c r="H930" s="14"/>
      <c r="I930" s="14"/>
      <c r="J930" s="14"/>
      <c r="K930" s="12"/>
    </row>
    <row r="931" ht="19.5" customHeight="1">
      <c r="A931" s="221"/>
      <c r="C931" s="12"/>
      <c r="D931" s="87"/>
      <c r="F931" s="14"/>
      <c r="G931" s="14"/>
      <c r="H931" s="14"/>
      <c r="I931" s="14"/>
      <c r="J931" s="14"/>
      <c r="K931" s="12"/>
    </row>
    <row r="932" ht="19.5" customHeight="1">
      <c r="A932" s="221"/>
      <c r="C932" s="12"/>
      <c r="D932" s="87"/>
      <c r="F932" s="14"/>
      <c r="G932" s="14"/>
      <c r="H932" s="14"/>
      <c r="I932" s="14"/>
      <c r="J932" s="14"/>
      <c r="K932" s="12"/>
    </row>
    <row r="933" ht="19.5" customHeight="1">
      <c r="A933" s="221"/>
      <c r="C933" s="12"/>
      <c r="D933" s="87"/>
      <c r="F933" s="14"/>
      <c r="G933" s="14"/>
      <c r="H933" s="14"/>
      <c r="I933" s="14"/>
      <c r="J933" s="14"/>
      <c r="K933" s="12"/>
    </row>
    <row r="934" ht="19.5" customHeight="1">
      <c r="A934" s="221"/>
      <c r="C934" s="12"/>
      <c r="D934" s="87"/>
      <c r="F934" s="14"/>
      <c r="G934" s="14"/>
      <c r="H934" s="14"/>
      <c r="I934" s="14"/>
      <c r="J934" s="14"/>
      <c r="K934" s="12"/>
    </row>
    <row r="935" ht="19.5" customHeight="1">
      <c r="A935" s="221"/>
      <c r="C935" s="12"/>
      <c r="D935" s="87"/>
      <c r="F935" s="14"/>
      <c r="G935" s="14"/>
      <c r="H935" s="14"/>
      <c r="I935" s="14"/>
      <c r="J935" s="14"/>
      <c r="K935" s="12"/>
    </row>
    <row r="936" ht="19.5" customHeight="1">
      <c r="A936" s="221"/>
      <c r="C936" s="12"/>
      <c r="D936" s="87"/>
      <c r="F936" s="14"/>
      <c r="G936" s="14"/>
      <c r="H936" s="14"/>
      <c r="I936" s="14"/>
      <c r="J936" s="14"/>
      <c r="K936" s="12"/>
    </row>
    <row r="937" ht="19.5" customHeight="1">
      <c r="A937" s="221"/>
      <c r="C937" s="12"/>
      <c r="D937" s="87"/>
      <c r="F937" s="14"/>
      <c r="G937" s="14"/>
      <c r="H937" s="14"/>
      <c r="I937" s="14"/>
      <c r="J937" s="14"/>
      <c r="K937" s="12"/>
    </row>
    <row r="938" ht="19.5" customHeight="1">
      <c r="A938" s="221"/>
      <c r="C938" s="12"/>
      <c r="D938" s="87"/>
      <c r="F938" s="14"/>
      <c r="G938" s="14"/>
      <c r="H938" s="14"/>
      <c r="I938" s="14"/>
      <c r="J938" s="14"/>
      <c r="K938" s="12"/>
    </row>
    <row r="939" ht="19.5" customHeight="1">
      <c r="A939" s="221"/>
      <c r="C939" s="12"/>
      <c r="D939" s="87"/>
      <c r="F939" s="14"/>
      <c r="G939" s="14"/>
      <c r="H939" s="14"/>
      <c r="I939" s="14"/>
      <c r="J939" s="14"/>
      <c r="K939" s="12"/>
    </row>
    <row r="940" ht="19.5" customHeight="1">
      <c r="A940" s="221"/>
      <c r="C940" s="12"/>
      <c r="D940" s="87"/>
      <c r="F940" s="14"/>
      <c r="G940" s="14"/>
      <c r="H940" s="14"/>
      <c r="I940" s="14"/>
      <c r="J940" s="14"/>
      <c r="K940" s="12"/>
    </row>
    <row r="941" ht="19.5" customHeight="1">
      <c r="A941" s="221"/>
      <c r="C941" s="12"/>
      <c r="D941" s="87"/>
      <c r="F941" s="14"/>
      <c r="G941" s="14"/>
      <c r="H941" s="14"/>
      <c r="I941" s="14"/>
      <c r="J941" s="14"/>
      <c r="K941" s="12"/>
    </row>
    <row r="942" ht="19.5" customHeight="1">
      <c r="A942" s="221"/>
      <c r="C942" s="12"/>
      <c r="D942" s="87"/>
      <c r="F942" s="14"/>
      <c r="G942" s="14"/>
      <c r="H942" s="14"/>
      <c r="I942" s="14"/>
      <c r="J942" s="14"/>
      <c r="K942" s="12"/>
    </row>
    <row r="943" ht="19.5" customHeight="1">
      <c r="A943" s="221"/>
      <c r="C943" s="12"/>
      <c r="D943" s="87"/>
      <c r="F943" s="14"/>
      <c r="G943" s="14"/>
      <c r="H943" s="14"/>
      <c r="I943" s="14"/>
      <c r="J943" s="14"/>
      <c r="K943" s="12"/>
    </row>
    <row r="944" ht="19.5" customHeight="1">
      <c r="A944" s="221"/>
      <c r="C944" s="12"/>
      <c r="D944" s="87"/>
      <c r="F944" s="14"/>
      <c r="G944" s="14"/>
      <c r="H944" s="14"/>
      <c r="I944" s="14"/>
      <c r="J944" s="14"/>
      <c r="K944" s="12"/>
    </row>
    <row r="945" ht="19.5" customHeight="1">
      <c r="A945" s="221"/>
      <c r="C945" s="12"/>
      <c r="D945" s="87"/>
      <c r="F945" s="14"/>
      <c r="G945" s="14"/>
      <c r="H945" s="14"/>
      <c r="I945" s="14"/>
      <c r="J945" s="14"/>
      <c r="K945" s="12"/>
    </row>
    <row r="946" ht="19.5" customHeight="1">
      <c r="A946" s="221"/>
      <c r="C946" s="12"/>
      <c r="D946" s="87"/>
      <c r="F946" s="14"/>
      <c r="G946" s="14"/>
      <c r="H946" s="14"/>
      <c r="I946" s="14"/>
      <c r="J946" s="14"/>
      <c r="K946" s="12"/>
    </row>
    <row r="947" ht="19.5" customHeight="1">
      <c r="A947" s="221"/>
      <c r="C947" s="12"/>
      <c r="D947" s="87"/>
      <c r="F947" s="14"/>
      <c r="G947" s="14"/>
      <c r="H947" s="14"/>
      <c r="I947" s="14"/>
      <c r="J947" s="14"/>
      <c r="K947" s="12"/>
    </row>
    <row r="948" ht="19.5" customHeight="1">
      <c r="A948" s="221"/>
      <c r="C948" s="12"/>
      <c r="D948" s="87"/>
      <c r="F948" s="14"/>
      <c r="G948" s="14"/>
      <c r="H948" s="14"/>
      <c r="I948" s="14"/>
      <c r="J948" s="14"/>
      <c r="K948" s="12"/>
    </row>
    <row r="949" ht="19.5" customHeight="1">
      <c r="A949" s="221"/>
      <c r="C949" s="12"/>
      <c r="D949" s="87"/>
      <c r="F949" s="14"/>
      <c r="G949" s="14"/>
      <c r="H949" s="14"/>
      <c r="I949" s="14"/>
      <c r="J949" s="14"/>
      <c r="K949" s="12"/>
    </row>
    <row r="950" ht="19.5" customHeight="1">
      <c r="A950" s="221"/>
      <c r="C950" s="12"/>
      <c r="D950" s="87"/>
      <c r="F950" s="14"/>
      <c r="G950" s="14"/>
      <c r="H950" s="14"/>
      <c r="I950" s="14"/>
      <c r="J950" s="14"/>
      <c r="K950" s="12"/>
    </row>
    <row r="951" ht="19.5" customHeight="1">
      <c r="A951" s="221"/>
      <c r="C951" s="12"/>
      <c r="D951" s="87"/>
      <c r="F951" s="14"/>
      <c r="G951" s="14"/>
      <c r="H951" s="14"/>
      <c r="I951" s="14"/>
      <c r="J951" s="14"/>
      <c r="K951" s="12"/>
    </row>
    <row r="952" ht="19.5" customHeight="1">
      <c r="A952" s="221"/>
      <c r="C952" s="12"/>
      <c r="D952" s="87"/>
      <c r="F952" s="14"/>
      <c r="G952" s="14"/>
      <c r="H952" s="14"/>
      <c r="I952" s="14"/>
      <c r="J952" s="14"/>
      <c r="K952" s="12"/>
    </row>
    <row r="953" ht="19.5" customHeight="1">
      <c r="A953" s="221"/>
      <c r="C953" s="12"/>
      <c r="D953" s="87"/>
      <c r="F953" s="14"/>
      <c r="G953" s="14"/>
      <c r="H953" s="14"/>
      <c r="I953" s="14"/>
      <c r="J953" s="14"/>
      <c r="K953" s="12"/>
    </row>
    <row r="954" ht="19.5" customHeight="1">
      <c r="A954" s="221"/>
      <c r="C954" s="12"/>
      <c r="D954" s="87"/>
      <c r="F954" s="14"/>
      <c r="G954" s="14"/>
      <c r="H954" s="14"/>
      <c r="I954" s="14"/>
      <c r="J954" s="14"/>
      <c r="K954" s="12"/>
    </row>
    <row r="955" ht="19.5" customHeight="1">
      <c r="A955" s="221"/>
      <c r="C955" s="12"/>
      <c r="D955" s="87"/>
      <c r="F955" s="14"/>
      <c r="G955" s="14"/>
      <c r="H955" s="14"/>
      <c r="I955" s="14"/>
      <c r="J955" s="14"/>
      <c r="K955" s="12"/>
    </row>
    <row r="956" ht="19.5" customHeight="1">
      <c r="A956" s="221"/>
      <c r="C956" s="12"/>
      <c r="D956" s="87"/>
      <c r="F956" s="14"/>
      <c r="G956" s="14"/>
      <c r="H956" s="14"/>
      <c r="I956" s="14"/>
      <c r="J956" s="14"/>
      <c r="K956" s="12"/>
    </row>
    <row r="957" ht="19.5" customHeight="1">
      <c r="A957" s="221"/>
      <c r="C957" s="12"/>
      <c r="D957" s="87"/>
      <c r="F957" s="14"/>
      <c r="G957" s="14"/>
      <c r="H957" s="14"/>
      <c r="I957" s="14"/>
      <c r="J957" s="14"/>
      <c r="K957" s="12"/>
    </row>
    <row r="958" ht="19.5" customHeight="1">
      <c r="A958" s="221"/>
      <c r="C958" s="12"/>
      <c r="D958" s="87"/>
      <c r="F958" s="14"/>
      <c r="G958" s="14"/>
      <c r="H958" s="14"/>
      <c r="I958" s="14"/>
      <c r="J958" s="14"/>
      <c r="K958" s="12"/>
    </row>
    <row r="959" ht="19.5" customHeight="1">
      <c r="A959" s="221"/>
      <c r="C959" s="12"/>
      <c r="D959" s="87"/>
      <c r="F959" s="14"/>
      <c r="G959" s="14"/>
      <c r="H959" s="14"/>
      <c r="I959" s="14"/>
      <c r="J959" s="14"/>
      <c r="K959" s="12"/>
    </row>
    <row r="960" ht="19.5" customHeight="1">
      <c r="A960" s="221"/>
      <c r="C960" s="12"/>
      <c r="D960" s="87"/>
      <c r="F960" s="14"/>
      <c r="G960" s="14"/>
      <c r="H960" s="14"/>
      <c r="I960" s="14"/>
      <c r="J960" s="14"/>
      <c r="K960" s="12"/>
    </row>
    <row r="961" ht="19.5" customHeight="1">
      <c r="A961" s="221"/>
      <c r="C961" s="12"/>
      <c r="D961" s="87"/>
      <c r="F961" s="14"/>
      <c r="G961" s="14"/>
      <c r="H961" s="14"/>
      <c r="I961" s="14"/>
      <c r="J961" s="14"/>
      <c r="K961" s="12"/>
    </row>
    <row r="962" ht="19.5" customHeight="1">
      <c r="A962" s="221"/>
      <c r="C962" s="12"/>
      <c r="D962" s="87"/>
      <c r="F962" s="14"/>
      <c r="G962" s="14"/>
      <c r="H962" s="14"/>
      <c r="I962" s="14"/>
      <c r="J962" s="14"/>
      <c r="K962" s="12"/>
    </row>
    <row r="963" ht="19.5" customHeight="1">
      <c r="A963" s="221"/>
      <c r="C963" s="12"/>
      <c r="D963" s="87"/>
      <c r="F963" s="14"/>
      <c r="G963" s="14"/>
      <c r="H963" s="14"/>
      <c r="I963" s="14"/>
      <c r="J963" s="14"/>
      <c r="K963" s="12"/>
    </row>
    <row r="964" ht="19.5" customHeight="1">
      <c r="A964" s="221"/>
      <c r="C964" s="12"/>
      <c r="D964" s="87"/>
      <c r="F964" s="14"/>
      <c r="G964" s="14"/>
      <c r="H964" s="14"/>
      <c r="I964" s="14"/>
      <c r="J964" s="14"/>
      <c r="K964" s="12"/>
    </row>
    <row r="965" ht="19.5" customHeight="1">
      <c r="A965" s="221"/>
      <c r="C965" s="12"/>
      <c r="D965" s="87"/>
      <c r="F965" s="14"/>
      <c r="G965" s="14"/>
      <c r="H965" s="14"/>
      <c r="I965" s="14"/>
      <c r="J965" s="14"/>
      <c r="K965" s="12"/>
    </row>
    <row r="966" ht="19.5" customHeight="1">
      <c r="A966" s="221"/>
      <c r="C966" s="12"/>
      <c r="D966" s="87"/>
      <c r="F966" s="14"/>
      <c r="G966" s="14"/>
      <c r="H966" s="14"/>
      <c r="I966" s="14"/>
      <c r="J966" s="14"/>
      <c r="K966" s="12"/>
    </row>
    <row r="967" ht="19.5" customHeight="1">
      <c r="A967" s="221"/>
      <c r="C967" s="12"/>
      <c r="D967" s="87"/>
      <c r="F967" s="14"/>
      <c r="G967" s="14"/>
      <c r="H967" s="14"/>
      <c r="I967" s="14"/>
      <c r="J967" s="14"/>
      <c r="K967" s="12"/>
    </row>
    <row r="968" ht="19.5" customHeight="1">
      <c r="A968" s="221"/>
      <c r="C968" s="12"/>
      <c r="D968" s="87"/>
      <c r="F968" s="14"/>
      <c r="G968" s="14"/>
      <c r="H968" s="14"/>
      <c r="I968" s="14"/>
      <c r="J968" s="14"/>
      <c r="K968" s="12"/>
    </row>
    <row r="969" ht="19.5" customHeight="1">
      <c r="A969" s="221"/>
      <c r="C969" s="12"/>
      <c r="D969" s="87"/>
      <c r="F969" s="14"/>
      <c r="G969" s="14"/>
      <c r="H969" s="14"/>
      <c r="I969" s="14"/>
      <c r="J969" s="14"/>
      <c r="K969" s="12"/>
    </row>
    <row r="970" ht="19.5" customHeight="1">
      <c r="A970" s="221"/>
      <c r="C970" s="12"/>
      <c r="D970" s="87"/>
      <c r="F970" s="14"/>
      <c r="G970" s="14"/>
      <c r="H970" s="14"/>
      <c r="I970" s="14"/>
      <c r="J970" s="14"/>
      <c r="K970" s="12"/>
    </row>
    <row r="971" ht="19.5" customHeight="1">
      <c r="A971" s="221"/>
      <c r="C971" s="12"/>
      <c r="D971" s="87"/>
      <c r="F971" s="14"/>
      <c r="G971" s="14"/>
      <c r="H971" s="14"/>
      <c r="I971" s="14"/>
      <c r="J971" s="14"/>
      <c r="K971" s="12"/>
    </row>
    <row r="972" ht="19.5" customHeight="1">
      <c r="A972" s="221"/>
      <c r="C972" s="12"/>
      <c r="D972" s="87"/>
      <c r="F972" s="14"/>
      <c r="G972" s="14"/>
      <c r="H972" s="14"/>
      <c r="I972" s="14"/>
      <c r="J972" s="14"/>
      <c r="K972" s="12"/>
    </row>
    <row r="973" ht="19.5" customHeight="1">
      <c r="A973" s="221"/>
      <c r="C973" s="12"/>
      <c r="D973" s="87"/>
      <c r="F973" s="14"/>
      <c r="G973" s="14"/>
      <c r="H973" s="14"/>
      <c r="I973" s="14"/>
      <c r="J973" s="14"/>
      <c r="K973" s="12"/>
    </row>
    <row r="974" ht="19.5" customHeight="1">
      <c r="A974" s="221"/>
      <c r="C974" s="12"/>
      <c r="D974" s="87"/>
      <c r="F974" s="14"/>
      <c r="G974" s="14"/>
      <c r="H974" s="14"/>
      <c r="I974" s="14"/>
      <c r="J974" s="14"/>
      <c r="K974" s="12"/>
    </row>
    <row r="975" ht="19.5" customHeight="1">
      <c r="A975" s="221"/>
      <c r="C975" s="12"/>
      <c r="D975" s="87"/>
      <c r="F975" s="14"/>
      <c r="G975" s="14"/>
      <c r="H975" s="14"/>
      <c r="I975" s="14"/>
      <c r="J975" s="14"/>
      <c r="K975" s="12"/>
    </row>
    <row r="976" ht="19.5" customHeight="1">
      <c r="A976" s="221"/>
      <c r="C976" s="12"/>
      <c r="D976" s="87"/>
      <c r="F976" s="14"/>
      <c r="G976" s="14"/>
      <c r="H976" s="14"/>
      <c r="I976" s="14"/>
      <c r="J976" s="14"/>
      <c r="K976" s="12"/>
    </row>
    <row r="977" ht="19.5" customHeight="1">
      <c r="A977" s="221"/>
      <c r="C977" s="12"/>
      <c r="D977" s="87"/>
      <c r="F977" s="14"/>
      <c r="G977" s="14"/>
      <c r="H977" s="14"/>
      <c r="I977" s="14"/>
      <c r="J977" s="14"/>
      <c r="K977" s="12"/>
    </row>
    <row r="978" ht="19.5" customHeight="1">
      <c r="A978" s="221"/>
      <c r="C978" s="12"/>
      <c r="D978" s="87"/>
      <c r="F978" s="14"/>
      <c r="G978" s="14"/>
      <c r="H978" s="14"/>
      <c r="I978" s="14"/>
      <c r="J978" s="14"/>
      <c r="K978" s="12"/>
    </row>
    <row r="979" ht="19.5" customHeight="1">
      <c r="A979" s="221"/>
      <c r="C979" s="12"/>
      <c r="D979" s="87"/>
      <c r="F979" s="14"/>
      <c r="G979" s="14"/>
      <c r="H979" s="14"/>
      <c r="I979" s="14"/>
      <c r="J979" s="14"/>
      <c r="K979" s="12"/>
    </row>
    <row r="980" ht="19.5" customHeight="1">
      <c r="A980" s="221"/>
      <c r="C980" s="12"/>
      <c r="D980" s="87"/>
      <c r="F980" s="14"/>
      <c r="G980" s="14"/>
      <c r="H980" s="14"/>
      <c r="I980" s="14"/>
      <c r="J980" s="14"/>
      <c r="K980" s="12"/>
    </row>
    <row r="981" ht="19.5" customHeight="1">
      <c r="A981" s="221"/>
      <c r="C981" s="12"/>
      <c r="D981" s="87"/>
      <c r="F981" s="14"/>
      <c r="G981" s="14"/>
      <c r="H981" s="14"/>
      <c r="I981" s="14"/>
      <c r="J981" s="14"/>
      <c r="K981" s="12"/>
    </row>
    <row r="982" ht="19.5" customHeight="1">
      <c r="A982" s="221"/>
      <c r="C982" s="12"/>
      <c r="D982" s="87"/>
      <c r="F982" s="14"/>
      <c r="G982" s="14"/>
      <c r="H982" s="14"/>
      <c r="I982" s="14"/>
      <c r="J982" s="14"/>
      <c r="K982" s="12"/>
    </row>
    <row r="983" ht="19.5" customHeight="1">
      <c r="A983" s="221"/>
      <c r="C983" s="12"/>
      <c r="D983" s="87"/>
      <c r="F983" s="14"/>
      <c r="G983" s="14"/>
      <c r="H983" s="14"/>
      <c r="I983" s="14"/>
      <c r="J983" s="14"/>
      <c r="K983" s="12"/>
    </row>
    <row r="984" ht="19.5" customHeight="1">
      <c r="A984" s="221"/>
      <c r="C984" s="12"/>
      <c r="D984" s="87"/>
      <c r="F984" s="14"/>
      <c r="G984" s="14"/>
      <c r="H984" s="14"/>
      <c r="I984" s="14"/>
      <c r="J984" s="14"/>
      <c r="K984" s="12"/>
    </row>
    <row r="985" ht="19.5" customHeight="1">
      <c r="A985" s="221"/>
      <c r="C985" s="12"/>
      <c r="D985" s="87"/>
      <c r="F985" s="14"/>
      <c r="G985" s="14"/>
      <c r="H985" s="14"/>
      <c r="I985" s="14"/>
      <c r="J985" s="14"/>
      <c r="K985" s="12"/>
    </row>
    <row r="986" ht="19.5" customHeight="1">
      <c r="A986" s="221"/>
      <c r="C986" s="12"/>
      <c r="D986" s="87"/>
      <c r="F986" s="14"/>
      <c r="G986" s="14"/>
      <c r="H986" s="14"/>
      <c r="I986" s="14"/>
      <c r="J986" s="14"/>
      <c r="K986" s="12"/>
    </row>
    <row r="987" ht="19.5" customHeight="1">
      <c r="A987" s="221"/>
      <c r="C987" s="12"/>
      <c r="D987" s="87"/>
      <c r="F987" s="14"/>
      <c r="G987" s="14"/>
      <c r="H987" s="14"/>
      <c r="I987" s="14"/>
      <c r="J987" s="14"/>
      <c r="K987" s="12"/>
    </row>
    <row r="988" ht="19.5" customHeight="1">
      <c r="A988" s="221"/>
      <c r="C988" s="12"/>
      <c r="D988" s="87"/>
      <c r="F988" s="14"/>
      <c r="G988" s="14"/>
      <c r="H988" s="14"/>
      <c r="I988" s="14"/>
      <c r="J988" s="14"/>
      <c r="K988" s="12"/>
    </row>
    <row r="989" ht="19.5" customHeight="1">
      <c r="A989" s="221"/>
      <c r="C989" s="12"/>
      <c r="D989" s="87"/>
      <c r="F989" s="14"/>
      <c r="G989" s="14"/>
      <c r="H989" s="14"/>
      <c r="I989" s="14"/>
      <c r="J989" s="14"/>
      <c r="K989" s="12"/>
    </row>
    <row r="990" ht="19.5" customHeight="1">
      <c r="A990" s="221"/>
      <c r="C990" s="12"/>
      <c r="D990" s="87"/>
      <c r="F990" s="14"/>
      <c r="G990" s="14"/>
      <c r="H990" s="14"/>
      <c r="I990" s="14"/>
      <c r="J990" s="14"/>
      <c r="K990" s="12"/>
    </row>
    <row r="991" ht="19.5" customHeight="1">
      <c r="A991" s="221"/>
      <c r="C991" s="12"/>
      <c r="D991" s="87"/>
      <c r="F991" s="14"/>
      <c r="G991" s="14"/>
      <c r="H991" s="14"/>
      <c r="I991" s="14"/>
      <c r="J991" s="14"/>
      <c r="K991" s="12"/>
    </row>
    <row r="992" ht="19.5" customHeight="1">
      <c r="A992" s="221"/>
      <c r="C992" s="12"/>
      <c r="D992" s="87"/>
      <c r="F992" s="14"/>
      <c r="G992" s="14"/>
      <c r="H992" s="14"/>
      <c r="I992" s="14"/>
      <c r="J992" s="14"/>
      <c r="K992" s="12"/>
    </row>
    <row r="993" ht="19.5" customHeight="1">
      <c r="A993" s="221"/>
      <c r="C993" s="12"/>
      <c r="D993" s="87"/>
      <c r="F993" s="14"/>
      <c r="G993" s="14"/>
      <c r="H993" s="14"/>
      <c r="I993" s="14"/>
      <c r="J993" s="14"/>
      <c r="K993" s="12"/>
    </row>
    <row r="994" ht="19.5" customHeight="1">
      <c r="A994" s="221"/>
      <c r="C994" s="12"/>
      <c r="D994" s="87"/>
      <c r="F994" s="14"/>
      <c r="G994" s="14"/>
      <c r="H994" s="14"/>
      <c r="I994" s="14"/>
      <c r="J994" s="14"/>
      <c r="K994" s="12"/>
    </row>
    <row r="995" ht="19.5" customHeight="1">
      <c r="A995" s="221"/>
      <c r="C995" s="12"/>
      <c r="D995" s="87"/>
      <c r="F995" s="14"/>
      <c r="G995" s="14"/>
      <c r="H995" s="14"/>
      <c r="I995" s="14"/>
      <c r="J995" s="14"/>
      <c r="K995" s="12"/>
    </row>
    <row r="996" ht="19.5" customHeight="1">
      <c r="A996" s="221"/>
      <c r="C996" s="12"/>
      <c r="D996" s="87"/>
      <c r="F996" s="14"/>
      <c r="G996" s="14"/>
      <c r="H996" s="14"/>
      <c r="I996" s="14"/>
      <c r="J996" s="14"/>
      <c r="K996" s="12"/>
    </row>
    <row r="997" ht="19.5" customHeight="1">
      <c r="A997" s="221"/>
      <c r="C997" s="12"/>
      <c r="D997" s="87"/>
      <c r="F997" s="14"/>
      <c r="G997" s="14"/>
      <c r="H997" s="14"/>
      <c r="I997" s="14"/>
      <c r="J997" s="14"/>
      <c r="K997" s="12"/>
    </row>
    <row r="998" ht="19.5" customHeight="1">
      <c r="A998" s="221"/>
      <c r="C998" s="12"/>
      <c r="D998" s="87"/>
      <c r="F998" s="14"/>
      <c r="G998" s="14"/>
      <c r="H998" s="14"/>
      <c r="I998" s="14"/>
      <c r="J998" s="14"/>
      <c r="K998" s="12"/>
    </row>
    <row r="999" ht="19.5" customHeight="1">
      <c r="A999" s="221"/>
      <c r="C999" s="12"/>
      <c r="D999" s="87"/>
      <c r="F999" s="14"/>
      <c r="G999" s="14"/>
      <c r="H999" s="14"/>
      <c r="I999" s="14"/>
      <c r="J999" s="14"/>
      <c r="K999" s="12"/>
    </row>
    <row r="1000" ht="19.5" customHeight="1">
      <c r="A1000" s="221"/>
      <c r="C1000" s="12"/>
      <c r="D1000" s="87"/>
      <c r="F1000" s="14"/>
      <c r="G1000" s="14"/>
      <c r="H1000" s="14"/>
      <c r="I1000" s="14"/>
      <c r="J1000" s="14"/>
      <c r="K1000" s="12"/>
    </row>
    <row r="1001" ht="19.5" customHeight="1">
      <c r="A1001" s="221"/>
      <c r="C1001" s="12"/>
      <c r="D1001" s="87"/>
      <c r="F1001" s="14"/>
      <c r="G1001" s="14"/>
      <c r="H1001" s="14"/>
      <c r="I1001" s="14"/>
      <c r="J1001" s="14"/>
      <c r="K1001" s="12"/>
    </row>
    <row r="1002" ht="19.5" customHeight="1">
      <c r="A1002" s="221"/>
      <c r="C1002" s="12"/>
      <c r="D1002" s="87"/>
      <c r="F1002" s="14"/>
      <c r="G1002" s="14"/>
      <c r="H1002" s="14"/>
      <c r="I1002" s="14"/>
      <c r="J1002" s="14"/>
      <c r="K1002" s="12"/>
    </row>
    <row r="1003" ht="19.5" customHeight="1">
      <c r="A1003" s="221"/>
      <c r="C1003" s="12"/>
      <c r="D1003" s="87"/>
      <c r="F1003" s="14"/>
      <c r="G1003" s="14"/>
      <c r="H1003" s="14"/>
      <c r="I1003" s="14"/>
      <c r="J1003" s="14"/>
      <c r="K1003" s="12"/>
    </row>
    <row r="1004" ht="19.5" customHeight="1">
      <c r="A1004" s="221"/>
      <c r="C1004" s="12"/>
      <c r="D1004" s="87"/>
      <c r="F1004" s="14"/>
      <c r="G1004" s="14"/>
      <c r="H1004" s="14"/>
      <c r="I1004" s="14"/>
      <c r="J1004" s="14"/>
      <c r="K1004" s="12"/>
    </row>
    <row r="1005" ht="19.5" customHeight="1">
      <c r="A1005" s="221"/>
      <c r="C1005" s="12"/>
      <c r="D1005" s="87"/>
      <c r="F1005" s="14"/>
      <c r="G1005" s="14"/>
      <c r="H1005" s="14"/>
      <c r="I1005" s="14"/>
      <c r="J1005" s="14"/>
      <c r="K1005" s="12"/>
    </row>
    <row r="1006" ht="19.5" customHeight="1">
      <c r="A1006" s="221"/>
      <c r="C1006" s="12"/>
      <c r="D1006" s="87"/>
      <c r="F1006" s="14"/>
      <c r="G1006" s="14"/>
      <c r="H1006" s="14"/>
      <c r="I1006" s="14"/>
      <c r="J1006" s="14"/>
      <c r="K1006" s="12"/>
    </row>
    <row r="1007" ht="19.5" customHeight="1">
      <c r="A1007" s="221"/>
      <c r="C1007" s="12"/>
      <c r="D1007" s="87"/>
      <c r="F1007" s="14"/>
      <c r="G1007" s="14"/>
      <c r="H1007" s="14"/>
      <c r="I1007" s="14"/>
      <c r="J1007" s="14"/>
      <c r="K1007" s="12"/>
    </row>
    <row r="1008" ht="19.5" customHeight="1">
      <c r="A1008" s="221"/>
      <c r="C1008" s="12"/>
      <c r="D1008" s="87"/>
      <c r="F1008" s="14"/>
      <c r="G1008" s="14"/>
      <c r="H1008" s="14"/>
      <c r="I1008" s="14"/>
      <c r="J1008" s="14"/>
      <c r="K1008" s="12"/>
    </row>
    <row r="1009" ht="19.5" customHeight="1">
      <c r="A1009" s="221"/>
      <c r="C1009" s="12"/>
      <c r="D1009" s="87"/>
      <c r="F1009" s="14"/>
      <c r="G1009" s="14"/>
      <c r="H1009" s="14"/>
      <c r="I1009" s="14"/>
      <c r="J1009" s="14"/>
      <c r="K1009" s="12"/>
    </row>
    <row r="1010" ht="19.5" customHeight="1">
      <c r="A1010" s="221"/>
      <c r="C1010" s="12"/>
      <c r="D1010" s="87"/>
      <c r="F1010" s="14"/>
      <c r="G1010" s="14"/>
      <c r="H1010" s="14"/>
      <c r="I1010" s="14"/>
      <c r="J1010" s="14"/>
      <c r="K1010" s="12"/>
    </row>
    <row r="1011" ht="19.5" customHeight="1">
      <c r="A1011" s="221"/>
      <c r="C1011" s="12"/>
      <c r="D1011" s="87"/>
      <c r="F1011" s="14"/>
      <c r="G1011" s="14"/>
      <c r="H1011" s="14"/>
      <c r="I1011" s="14"/>
      <c r="J1011" s="14"/>
      <c r="K1011" s="12"/>
    </row>
    <row r="1012" ht="19.5" customHeight="1">
      <c r="A1012" s="221"/>
      <c r="C1012" s="12"/>
      <c r="D1012" s="87"/>
      <c r="F1012" s="14"/>
      <c r="G1012" s="14"/>
      <c r="H1012" s="14"/>
      <c r="I1012" s="14"/>
      <c r="J1012" s="14"/>
      <c r="K1012" s="12"/>
    </row>
    <row r="1013" ht="19.5" customHeight="1">
      <c r="A1013" s="221"/>
      <c r="C1013" s="12"/>
      <c r="D1013" s="87"/>
      <c r="F1013" s="14"/>
      <c r="G1013" s="14"/>
      <c r="H1013" s="14"/>
      <c r="I1013" s="14"/>
      <c r="J1013" s="14"/>
      <c r="K1013" s="12"/>
    </row>
    <row r="1014" ht="19.5" customHeight="1">
      <c r="A1014" s="221"/>
      <c r="C1014" s="12"/>
      <c r="D1014" s="87"/>
      <c r="F1014" s="14"/>
      <c r="G1014" s="14"/>
      <c r="H1014" s="14"/>
      <c r="I1014" s="14"/>
      <c r="J1014" s="14"/>
      <c r="K1014" s="12"/>
    </row>
    <row r="1015" ht="19.5" customHeight="1">
      <c r="A1015" s="221"/>
      <c r="C1015" s="12"/>
      <c r="D1015" s="87"/>
      <c r="F1015" s="14"/>
      <c r="G1015" s="14"/>
      <c r="H1015" s="14"/>
      <c r="I1015" s="14"/>
      <c r="J1015" s="14"/>
      <c r="K1015" s="12"/>
    </row>
    <row r="1016" ht="19.5" customHeight="1">
      <c r="A1016" s="221"/>
      <c r="C1016" s="12"/>
      <c r="D1016" s="87"/>
      <c r="F1016" s="14"/>
      <c r="G1016" s="14"/>
      <c r="H1016" s="14"/>
      <c r="I1016" s="14"/>
      <c r="J1016" s="14"/>
      <c r="K1016" s="12"/>
    </row>
    <row r="1017" ht="19.5" customHeight="1">
      <c r="A1017" s="221"/>
      <c r="C1017" s="12"/>
      <c r="D1017" s="87"/>
      <c r="F1017" s="14"/>
      <c r="G1017" s="14"/>
      <c r="H1017" s="14"/>
      <c r="I1017" s="14"/>
      <c r="J1017" s="14"/>
      <c r="K1017" s="12"/>
    </row>
    <row r="1018" ht="19.5" customHeight="1">
      <c r="A1018" s="221"/>
      <c r="C1018" s="12"/>
      <c r="D1018" s="87"/>
      <c r="F1018" s="14"/>
      <c r="G1018" s="14"/>
      <c r="H1018" s="14"/>
      <c r="I1018" s="14"/>
      <c r="J1018" s="14"/>
      <c r="K1018" s="12"/>
    </row>
    <row r="1019" ht="19.5" customHeight="1">
      <c r="A1019" s="221"/>
      <c r="C1019" s="12"/>
      <c r="D1019" s="87"/>
      <c r="F1019" s="14"/>
      <c r="G1019" s="14"/>
      <c r="H1019" s="14"/>
      <c r="I1019" s="14"/>
      <c r="J1019" s="14"/>
      <c r="K1019" s="12"/>
    </row>
    <row r="1020" ht="19.5" customHeight="1">
      <c r="A1020" s="221"/>
      <c r="C1020" s="12"/>
      <c r="D1020" s="87"/>
      <c r="F1020" s="14"/>
      <c r="G1020" s="14"/>
      <c r="H1020" s="14"/>
      <c r="I1020" s="14"/>
      <c r="J1020" s="14"/>
      <c r="K1020" s="12"/>
    </row>
    <row r="1021" ht="19.5" customHeight="1">
      <c r="A1021" s="221"/>
      <c r="C1021" s="12"/>
      <c r="D1021" s="87"/>
      <c r="F1021" s="14"/>
      <c r="G1021" s="14"/>
      <c r="H1021" s="14"/>
      <c r="I1021" s="14"/>
      <c r="J1021" s="14"/>
      <c r="K1021" s="12"/>
    </row>
    <row r="1022" ht="19.5" customHeight="1">
      <c r="A1022" s="221"/>
      <c r="C1022" s="12"/>
      <c r="D1022" s="87"/>
      <c r="F1022" s="14"/>
      <c r="G1022" s="14"/>
      <c r="H1022" s="14"/>
      <c r="I1022" s="14"/>
      <c r="J1022" s="14"/>
      <c r="K1022" s="12"/>
    </row>
    <row r="1023" ht="19.5" customHeight="1">
      <c r="A1023" s="221"/>
      <c r="C1023" s="12"/>
      <c r="D1023" s="87"/>
      <c r="F1023" s="14"/>
      <c r="G1023" s="14"/>
      <c r="H1023" s="14"/>
      <c r="I1023" s="14"/>
      <c r="J1023" s="14"/>
      <c r="K1023" s="12"/>
    </row>
    <row r="1024" ht="19.5" customHeight="1">
      <c r="A1024" s="221"/>
      <c r="C1024" s="12"/>
      <c r="D1024" s="87"/>
      <c r="F1024" s="14"/>
      <c r="G1024" s="14"/>
      <c r="H1024" s="14"/>
      <c r="I1024" s="14"/>
      <c r="J1024" s="14"/>
      <c r="K1024" s="12"/>
    </row>
    <row r="1025" ht="19.5" customHeight="1">
      <c r="A1025" s="221"/>
      <c r="C1025" s="12"/>
      <c r="D1025" s="87"/>
      <c r="F1025" s="14"/>
      <c r="G1025" s="14"/>
      <c r="H1025" s="14"/>
      <c r="I1025" s="14"/>
      <c r="J1025" s="14"/>
      <c r="K1025" s="12"/>
    </row>
    <row r="1026" ht="19.5" customHeight="1">
      <c r="A1026" s="221"/>
      <c r="C1026" s="12"/>
      <c r="D1026" s="87"/>
      <c r="F1026" s="14"/>
      <c r="G1026" s="14"/>
      <c r="H1026" s="14"/>
      <c r="I1026" s="14"/>
      <c r="J1026" s="14"/>
      <c r="K1026" s="12"/>
    </row>
    <row r="1027" ht="19.5" customHeight="1">
      <c r="A1027" s="221"/>
      <c r="C1027" s="12"/>
      <c r="D1027" s="87"/>
      <c r="F1027" s="14"/>
      <c r="G1027" s="14"/>
      <c r="H1027" s="14"/>
      <c r="I1027" s="14"/>
      <c r="J1027" s="14"/>
      <c r="K1027" s="12"/>
    </row>
    <row r="1028" ht="19.5" customHeight="1">
      <c r="A1028" s="221"/>
      <c r="C1028" s="12"/>
      <c r="D1028" s="87"/>
      <c r="F1028" s="14"/>
      <c r="G1028" s="14"/>
      <c r="H1028" s="14"/>
      <c r="I1028" s="14"/>
      <c r="J1028" s="14"/>
      <c r="K1028" s="12"/>
    </row>
    <row r="1029" ht="19.5" customHeight="1">
      <c r="A1029" s="221"/>
      <c r="C1029" s="12"/>
      <c r="D1029" s="87"/>
      <c r="F1029" s="14"/>
      <c r="G1029" s="14"/>
      <c r="H1029" s="14"/>
      <c r="I1029" s="14"/>
      <c r="J1029" s="14"/>
      <c r="K1029" s="12"/>
    </row>
    <row r="1030" ht="19.5" customHeight="1">
      <c r="A1030" s="221"/>
      <c r="C1030" s="12"/>
      <c r="D1030" s="87"/>
      <c r="F1030" s="14"/>
      <c r="G1030" s="14"/>
      <c r="H1030" s="14"/>
      <c r="I1030" s="14"/>
      <c r="J1030" s="14"/>
      <c r="K1030" s="12"/>
    </row>
    <row r="1031" ht="19.5" customHeight="1">
      <c r="A1031" s="221"/>
      <c r="C1031" s="12"/>
      <c r="D1031" s="87"/>
      <c r="F1031" s="14"/>
      <c r="G1031" s="14"/>
      <c r="H1031" s="14"/>
      <c r="I1031" s="14"/>
      <c r="J1031" s="14"/>
      <c r="K1031" s="12"/>
    </row>
    <row r="1032" ht="19.5" customHeight="1">
      <c r="A1032" s="221"/>
      <c r="C1032" s="12"/>
      <c r="D1032" s="87"/>
      <c r="F1032" s="14"/>
      <c r="G1032" s="14"/>
      <c r="H1032" s="14"/>
      <c r="I1032" s="14"/>
      <c r="J1032" s="14"/>
      <c r="K1032" s="12"/>
    </row>
    <row r="1033" ht="19.5" customHeight="1">
      <c r="A1033" s="221"/>
      <c r="C1033" s="12"/>
      <c r="D1033" s="87"/>
      <c r="F1033" s="14"/>
      <c r="G1033" s="14"/>
      <c r="H1033" s="14"/>
      <c r="I1033" s="14"/>
      <c r="J1033" s="14"/>
      <c r="K1033" s="12"/>
    </row>
    <row r="1034" ht="19.5" customHeight="1">
      <c r="A1034" s="221"/>
      <c r="C1034" s="12"/>
      <c r="D1034" s="87"/>
      <c r="F1034" s="14"/>
      <c r="G1034" s="14"/>
      <c r="H1034" s="14"/>
      <c r="I1034" s="14"/>
      <c r="J1034" s="14"/>
      <c r="K1034" s="12"/>
    </row>
    <row r="1035" ht="19.5" customHeight="1">
      <c r="A1035" s="221"/>
      <c r="C1035" s="12"/>
      <c r="D1035" s="87"/>
      <c r="F1035" s="14"/>
      <c r="G1035" s="14"/>
      <c r="H1035" s="14"/>
      <c r="I1035" s="14"/>
      <c r="J1035" s="14"/>
      <c r="K1035" s="12"/>
    </row>
    <row r="1036" ht="19.5" customHeight="1">
      <c r="A1036" s="221"/>
      <c r="C1036" s="12"/>
      <c r="D1036" s="87"/>
      <c r="F1036" s="14"/>
      <c r="G1036" s="14"/>
      <c r="H1036" s="14"/>
      <c r="I1036" s="14"/>
      <c r="J1036" s="14"/>
      <c r="K1036" s="12"/>
    </row>
    <row r="1037" ht="19.5" customHeight="1">
      <c r="A1037" s="221"/>
      <c r="C1037" s="12"/>
      <c r="D1037" s="87"/>
      <c r="F1037" s="14"/>
      <c r="G1037" s="14"/>
      <c r="H1037" s="14"/>
      <c r="I1037" s="14"/>
      <c r="J1037" s="14"/>
      <c r="K1037" s="12"/>
    </row>
    <row r="1038" ht="19.5" customHeight="1">
      <c r="A1038" s="221"/>
      <c r="C1038" s="12"/>
      <c r="D1038" s="87"/>
      <c r="F1038" s="14"/>
      <c r="G1038" s="14"/>
      <c r="H1038" s="14"/>
      <c r="I1038" s="14"/>
      <c r="J1038" s="14"/>
      <c r="K1038" s="12"/>
    </row>
    <row r="1039" ht="19.5" customHeight="1">
      <c r="A1039" s="221"/>
      <c r="C1039" s="12"/>
      <c r="D1039" s="87"/>
      <c r="F1039" s="14"/>
      <c r="G1039" s="14"/>
      <c r="H1039" s="14"/>
      <c r="I1039" s="14"/>
      <c r="J1039" s="14"/>
      <c r="K1039" s="12"/>
    </row>
    <row r="1040" ht="19.5" customHeight="1">
      <c r="A1040" s="221"/>
      <c r="C1040" s="12"/>
      <c r="D1040" s="87"/>
      <c r="F1040" s="14"/>
      <c r="G1040" s="14"/>
      <c r="H1040" s="14"/>
      <c r="I1040" s="14"/>
      <c r="J1040" s="14"/>
      <c r="K1040" s="12"/>
    </row>
    <row r="1041" ht="19.5" customHeight="1">
      <c r="A1041" s="221"/>
      <c r="C1041" s="12"/>
      <c r="D1041" s="87"/>
      <c r="F1041" s="14"/>
      <c r="G1041" s="14"/>
      <c r="H1041" s="14"/>
      <c r="I1041" s="14"/>
      <c r="J1041" s="14"/>
      <c r="K1041" s="12"/>
    </row>
    <row r="1042" ht="19.5" customHeight="1">
      <c r="A1042" s="221"/>
      <c r="C1042" s="12"/>
      <c r="D1042" s="87"/>
      <c r="F1042" s="14"/>
      <c r="G1042" s="14"/>
      <c r="H1042" s="14"/>
      <c r="I1042" s="14"/>
      <c r="J1042" s="14"/>
      <c r="K1042" s="12"/>
    </row>
    <row r="1043" ht="19.5" customHeight="1">
      <c r="A1043" s="221"/>
      <c r="C1043" s="12"/>
      <c r="D1043" s="87"/>
      <c r="F1043" s="14"/>
      <c r="G1043" s="14"/>
      <c r="H1043" s="14"/>
      <c r="I1043" s="14"/>
      <c r="J1043" s="14"/>
      <c r="K1043" s="12"/>
    </row>
    <row r="1044" ht="19.5" customHeight="1">
      <c r="A1044" s="221"/>
      <c r="C1044" s="12"/>
      <c r="D1044" s="87"/>
      <c r="F1044" s="14"/>
      <c r="G1044" s="14"/>
      <c r="H1044" s="14"/>
      <c r="I1044" s="14"/>
      <c r="J1044" s="14"/>
      <c r="K1044" s="12"/>
    </row>
    <row r="1045" ht="19.5" customHeight="1">
      <c r="A1045" s="221"/>
      <c r="C1045" s="12"/>
      <c r="D1045" s="87"/>
      <c r="F1045" s="14"/>
      <c r="G1045" s="14"/>
      <c r="H1045" s="14"/>
      <c r="I1045" s="14"/>
      <c r="J1045" s="14"/>
      <c r="K1045" s="12"/>
    </row>
    <row r="1046" ht="19.5" customHeight="1">
      <c r="A1046" s="221"/>
      <c r="C1046" s="12"/>
      <c r="D1046" s="87"/>
      <c r="F1046" s="14"/>
      <c r="G1046" s="14"/>
      <c r="H1046" s="14"/>
      <c r="I1046" s="14"/>
      <c r="J1046" s="14"/>
      <c r="K1046" s="12"/>
    </row>
    <row r="1047" ht="19.5" customHeight="1">
      <c r="A1047" s="221"/>
      <c r="C1047" s="12"/>
      <c r="D1047" s="87"/>
      <c r="F1047" s="14"/>
      <c r="G1047" s="14"/>
      <c r="H1047" s="14"/>
      <c r="I1047" s="14"/>
      <c r="J1047" s="14"/>
      <c r="K1047" s="12"/>
    </row>
    <row r="1048" ht="19.5" customHeight="1">
      <c r="A1048" s="221"/>
      <c r="C1048" s="12"/>
      <c r="D1048" s="87"/>
      <c r="F1048" s="14"/>
      <c r="G1048" s="14"/>
      <c r="H1048" s="14"/>
      <c r="I1048" s="14"/>
      <c r="J1048" s="14"/>
      <c r="K1048" s="12"/>
    </row>
    <row r="1049" ht="19.5" customHeight="1">
      <c r="A1049" s="221"/>
      <c r="C1049" s="12"/>
      <c r="D1049" s="87"/>
      <c r="F1049" s="14"/>
      <c r="G1049" s="14"/>
      <c r="H1049" s="14"/>
      <c r="I1049" s="14"/>
      <c r="J1049" s="14"/>
      <c r="K1049" s="12"/>
    </row>
    <row r="1050" ht="19.5" customHeight="1">
      <c r="A1050" s="221"/>
      <c r="C1050" s="12"/>
      <c r="D1050" s="87"/>
      <c r="F1050" s="14"/>
      <c r="G1050" s="14"/>
      <c r="H1050" s="14"/>
      <c r="I1050" s="14"/>
      <c r="J1050" s="14"/>
      <c r="K1050" s="12"/>
    </row>
    <row r="1051" ht="19.5" customHeight="1">
      <c r="A1051" s="221"/>
      <c r="C1051" s="12"/>
      <c r="D1051" s="87"/>
      <c r="F1051" s="14"/>
      <c r="G1051" s="14"/>
      <c r="H1051" s="14"/>
      <c r="I1051" s="14"/>
      <c r="J1051" s="14"/>
      <c r="K1051" s="12"/>
    </row>
    <row r="1052" ht="19.5" customHeight="1">
      <c r="A1052" s="221"/>
      <c r="C1052" s="12"/>
      <c r="D1052" s="87"/>
      <c r="F1052" s="14"/>
      <c r="G1052" s="14"/>
      <c r="H1052" s="14"/>
      <c r="I1052" s="14"/>
      <c r="J1052" s="14"/>
      <c r="K1052" s="12"/>
    </row>
    <row r="1053" ht="19.5" customHeight="1">
      <c r="A1053" s="221"/>
      <c r="C1053" s="12"/>
      <c r="D1053" s="87"/>
      <c r="F1053" s="14"/>
      <c r="G1053" s="14"/>
      <c r="H1053" s="14"/>
      <c r="I1053" s="14"/>
      <c r="J1053" s="14"/>
      <c r="K1053" s="12"/>
    </row>
    <row r="1054" ht="19.5" customHeight="1">
      <c r="A1054" s="221"/>
      <c r="C1054" s="12"/>
      <c r="D1054" s="87"/>
      <c r="F1054" s="14"/>
      <c r="G1054" s="14"/>
      <c r="H1054" s="14"/>
      <c r="I1054" s="14"/>
      <c r="J1054" s="14"/>
      <c r="K1054" s="12"/>
    </row>
    <row r="1055" ht="19.5" customHeight="1">
      <c r="A1055" s="221"/>
      <c r="C1055" s="12"/>
      <c r="D1055" s="87"/>
      <c r="F1055" s="14"/>
      <c r="G1055" s="14"/>
      <c r="H1055" s="14"/>
      <c r="I1055" s="14"/>
      <c r="J1055" s="14"/>
      <c r="K1055" s="12"/>
    </row>
    <row r="1056" ht="19.5" customHeight="1">
      <c r="A1056" s="221"/>
      <c r="C1056" s="12"/>
      <c r="D1056" s="87"/>
      <c r="F1056" s="14"/>
      <c r="G1056" s="14"/>
      <c r="H1056" s="14"/>
      <c r="I1056" s="14"/>
      <c r="J1056" s="14"/>
      <c r="K1056" s="12"/>
    </row>
    <row r="1057" ht="19.5" customHeight="1">
      <c r="A1057" s="221"/>
      <c r="C1057" s="12"/>
      <c r="D1057" s="87"/>
      <c r="F1057" s="14"/>
      <c r="G1057" s="14"/>
      <c r="H1057" s="14"/>
      <c r="I1057" s="14"/>
      <c r="J1057" s="14"/>
      <c r="K1057" s="12"/>
    </row>
    <row r="1058" ht="19.5" customHeight="1">
      <c r="A1058" s="221"/>
      <c r="C1058" s="12"/>
      <c r="D1058" s="87"/>
      <c r="F1058" s="14"/>
      <c r="G1058" s="14"/>
      <c r="H1058" s="14"/>
      <c r="I1058" s="14"/>
      <c r="J1058" s="14"/>
      <c r="K1058" s="12"/>
    </row>
    <row r="1059" ht="19.5" customHeight="1">
      <c r="A1059" s="221"/>
      <c r="C1059" s="12"/>
      <c r="D1059" s="87"/>
      <c r="F1059" s="14"/>
      <c r="G1059" s="14"/>
      <c r="H1059" s="14"/>
      <c r="I1059" s="14"/>
      <c r="J1059" s="14"/>
      <c r="K1059" s="12"/>
    </row>
    <row r="1060" ht="19.5" customHeight="1">
      <c r="A1060" s="221"/>
      <c r="C1060" s="12"/>
      <c r="D1060" s="87"/>
      <c r="F1060" s="14"/>
      <c r="G1060" s="14"/>
      <c r="H1060" s="14"/>
      <c r="I1060" s="14"/>
      <c r="J1060" s="14"/>
      <c r="K1060" s="12"/>
    </row>
    <row r="1061" ht="19.5" customHeight="1">
      <c r="A1061" s="221"/>
      <c r="C1061" s="12"/>
      <c r="D1061" s="87"/>
      <c r="F1061" s="14"/>
      <c r="G1061" s="14"/>
      <c r="H1061" s="14"/>
      <c r="I1061" s="14"/>
      <c r="J1061" s="14"/>
      <c r="K1061" s="12"/>
    </row>
    <row r="1062" ht="19.5" customHeight="1">
      <c r="A1062" s="221"/>
      <c r="C1062" s="12"/>
      <c r="D1062" s="87"/>
      <c r="F1062" s="14"/>
      <c r="G1062" s="14"/>
      <c r="H1062" s="14"/>
      <c r="I1062" s="14"/>
      <c r="J1062" s="14"/>
      <c r="K1062" s="12"/>
    </row>
    <row r="1063" ht="19.5" customHeight="1">
      <c r="A1063" s="221"/>
      <c r="C1063" s="12"/>
      <c r="D1063" s="87"/>
      <c r="F1063" s="14"/>
      <c r="G1063" s="14"/>
      <c r="H1063" s="14"/>
      <c r="I1063" s="14"/>
      <c r="J1063" s="14"/>
      <c r="K1063" s="12"/>
    </row>
    <row r="1064" ht="19.5" customHeight="1">
      <c r="A1064" s="221"/>
      <c r="C1064" s="12"/>
      <c r="D1064" s="87"/>
      <c r="F1064" s="14"/>
      <c r="G1064" s="14"/>
      <c r="H1064" s="14"/>
      <c r="I1064" s="14"/>
      <c r="J1064" s="14"/>
      <c r="K1064" s="12"/>
    </row>
    <row r="1065" ht="19.5" customHeight="1">
      <c r="A1065" s="221"/>
      <c r="C1065" s="12"/>
      <c r="D1065" s="87"/>
      <c r="F1065" s="14"/>
      <c r="G1065" s="14"/>
      <c r="H1065" s="14"/>
      <c r="I1065" s="14"/>
      <c r="J1065" s="14"/>
      <c r="K1065" s="12"/>
    </row>
    <row r="1066" ht="19.5" customHeight="1">
      <c r="A1066" s="221"/>
      <c r="C1066" s="12"/>
      <c r="D1066" s="87"/>
      <c r="F1066" s="14"/>
      <c r="G1066" s="14"/>
      <c r="H1066" s="14"/>
      <c r="I1066" s="14"/>
      <c r="J1066" s="14"/>
      <c r="K1066" s="12"/>
    </row>
    <row r="1067" ht="19.5" customHeight="1">
      <c r="A1067" s="221"/>
      <c r="C1067" s="12"/>
      <c r="D1067" s="87"/>
      <c r="F1067" s="14"/>
      <c r="G1067" s="14"/>
      <c r="H1067" s="14"/>
      <c r="I1067" s="14"/>
      <c r="J1067" s="14"/>
      <c r="K1067" s="12"/>
    </row>
    <row r="1068" ht="19.5" customHeight="1">
      <c r="A1068" s="221"/>
      <c r="C1068" s="12"/>
      <c r="D1068" s="87"/>
      <c r="F1068" s="14"/>
      <c r="G1068" s="14"/>
      <c r="H1068" s="14"/>
      <c r="I1068" s="14"/>
      <c r="J1068" s="14"/>
      <c r="K1068" s="12"/>
    </row>
    <row r="1069" ht="19.5" customHeight="1">
      <c r="A1069" s="221"/>
      <c r="C1069" s="12"/>
      <c r="D1069" s="87"/>
      <c r="F1069" s="14"/>
      <c r="G1069" s="14"/>
      <c r="H1069" s="14"/>
      <c r="I1069" s="14"/>
      <c r="J1069" s="14"/>
      <c r="K1069" s="12"/>
    </row>
    <row r="1070" ht="19.5" customHeight="1">
      <c r="A1070" s="221"/>
      <c r="C1070" s="12"/>
      <c r="D1070" s="87"/>
      <c r="F1070" s="14"/>
      <c r="G1070" s="14"/>
      <c r="H1070" s="14"/>
      <c r="I1070" s="14"/>
      <c r="J1070" s="14"/>
      <c r="K1070" s="12"/>
    </row>
    <row r="1071" ht="19.5" customHeight="1">
      <c r="A1071" s="221"/>
      <c r="C1071" s="12"/>
      <c r="D1071" s="87"/>
      <c r="F1071" s="14"/>
      <c r="G1071" s="14"/>
      <c r="H1071" s="14"/>
      <c r="I1071" s="14"/>
      <c r="J1071" s="14"/>
      <c r="K1071" s="12"/>
    </row>
    <row r="1072" ht="19.5" customHeight="1">
      <c r="A1072" s="221"/>
      <c r="C1072" s="12"/>
      <c r="D1072" s="87"/>
      <c r="F1072" s="14"/>
      <c r="G1072" s="14"/>
      <c r="H1072" s="14"/>
      <c r="I1072" s="14"/>
      <c r="J1072" s="14"/>
      <c r="K1072" s="12"/>
    </row>
    <row r="1073" ht="19.5" customHeight="1">
      <c r="A1073" s="221"/>
      <c r="C1073" s="12"/>
      <c r="D1073" s="87"/>
      <c r="F1073" s="14"/>
      <c r="G1073" s="14"/>
      <c r="H1073" s="14"/>
      <c r="I1073" s="14"/>
      <c r="J1073" s="14"/>
      <c r="K1073" s="12"/>
    </row>
    <row r="1074" ht="19.5" customHeight="1">
      <c r="A1074" s="221"/>
      <c r="C1074" s="12"/>
      <c r="D1074" s="87"/>
      <c r="F1074" s="14"/>
      <c r="G1074" s="14"/>
      <c r="H1074" s="14"/>
      <c r="I1074" s="14"/>
      <c r="J1074" s="14"/>
      <c r="K1074" s="12"/>
    </row>
    <row r="1075" ht="19.5" customHeight="1">
      <c r="A1075" s="221"/>
      <c r="C1075" s="12"/>
      <c r="D1075" s="87"/>
      <c r="F1075" s="14"/>
      <c r="G1075" s="14"/>
      <c r="H1075" s="14"/>
      <c r="I1075" s="14"/>
      <c r="J1075" s="14"/>
      <c r="K1075" s="12"/>
    </row>
    <row r="1076" ht="19.5" customHeight="1">
      <c r="A1076" s="221"/>
      <c r="C1076" s="12"/>
      <c r="D1076" s="87"/>
      <c r="F1076" s="14"/>
      <c r="G1076" s="14"/>
      <c r="H1076" s="14"/>
      <c r="I1076" s="14"/>
      <c r="J1076" s="14"/>
      <c r="K1076" s="12"/>
    </row>
    <row r="1077" ht="19.5" customHeight="1">
      <c r="A1077" s="221"/>
      <c r="C1077" s="12"/>
      <c r="D1077" s="87"/>
      <c r="F1077" s="14"/>
      <c r="G1077" s="14"/>
      <c r="H1077" s="14"/>
      <c r="I1077" s="14"/>
      <c r="J1077" s="14"/>
      <c r="K1077" s="12"/>
    </row>
    <row r="1078" ht="19.5" customHeight="1">
      <c r="A1078" s="221"/>
      <c r="C1078" s="12"/>
      <c r="D1078" s="87"/>
      <c r="F1078" s="14"/>
      <c r="G1078" s="14"/>
      <c r="H1078" s="14"/>
      <c r="I1078" s="14"/>
      <c r="J1078" s="14"/>
      <c r="K1078" s="12"/>
    </row>
    <row r="1079" ht="19.5" customHeight="1">
      <c r="A1079" s="221"/>
      <c r="C1079" s="12"/>
      <c r="D1079" s="87"/>
      <c r="F1079" s="14"/>
      <c r="G1079" s="14"/>
      <c r="H1079" s="14"/>
      <c r="I1079" s="14"/>
      <c r="J1079" s="14"/>
      <c r="K1079" s="12"/>
    </row>
    <row r="1080" ht="19.5" customHeight="1">
      <c r="A1080" s="221"/>
      <c r="C1080" s="12"/>
      <c r="D1080" s="87"/>
      <c r="F1080" s="14"/>
      <c r="G1080" s="14"/>
      <c r="H1080" s="14"/>
      <c r="I1080" s="14"/>
      <c r="J1080" s="14"/>
      <c r="K1080" s="12"/>
    </row>
    <row r="1081" ht="19.5" customHeight="1">
      <c r="A1081" s="221"/>
      <c r="C1081" s="12"/>
      <c r="D1081" s="87"/>
      <c r="F1081" s="14"/>
      <c r="G1081" s="14"/>
      <c r="H1081" s="14"/>
      <c r="I1081" s="14"/>
      <c r="J1081" s="14"/>
      <c r="K1081" s="12"/>
    </row>
    <row r="1082" ht="19.5" customHeight="1">
      <c r="A1082" s="221"/>
      <c r="C1082" s="12"/>
      <c r="D1082" s="87"/>
      <c r="F1082" s="14"/>
      <c r="G1082" s="14"/>
      <c r="H1082" s="14"/>
      <c r="I1082" s="14"/>
      <c r="J1082" s="14"/>
      <c r="K1082" s="12"/>
    </row>
    <row r="1083" ht="19.5" customHeight="1">
      <c r="A1083" s="221"/>
      <c r="C1083" s="12"/>
      <c r="D1083" s="87"/>
      <c r="F1083" s="14"/>
      <c r="G1083" s="14"/>
      <c r="H1083" s="14"/>
      <c r="I1083" s="14"/>
      <c r="J1083" s="14"/>
      <c r="K1083" s="12"/>
    </row>
    <row r="1084" ht="19.5" customHeight="1">
      <c r="A1084" s="221"/>
      <c r="C1084" s="12"/>
      <c r="D1084" s="87"/>
      <c r="F1084" s="14"/>
      <c r="G1084" s="14"/>
      <c r="H1084" s="14"/>
      <c r="I1084" s="14"/>
      <c r="J1084" s="14"/>
      <c r="K1084" s="12"/>
    </row>
    <row r="1085" ht="19.5" customHeight="1">
      <c r="A1085" s="221"/>
      <c r="C1085" s="12"/>
      <c r="D1085" s="87"/>
      <c r="F1085" s="14"/>
      <c r="G1085" s="14"/>
      <c r="H1085" s="14"/>
      <c r="I1085" s="14"/>
      <c r="J1085" s="14"/>
      <c r="K1085" s="12"/>
    </row>
    <row r="1086" ht="19.5" customHeight="1">
      <c r="A1086" s="221"/>
      <c r="C1086" s="12"/>
      <c r="D1086" s="87"/>
      <c r="F1086" s="14"/>
      <c r="G1086" s="14"/>
      <c r="H1086" s="14"/>
      <c r="I1086" s="14"/>
      <c r="J1086" s="14"/>
      <c r="K1086" s="12"/>
    </row>
    <row r="1087" ht="19.5" customHeight="1">
      <c r="A1087" s="221"/>
      <c r="C1087" s="12"/>
      <c r="D1087" s="87"/>
      <c r="F1087" s="14"/>
      <c r="G1087" s="14"/>
      <c r="H1087" s="14"/>
      <c r="I1087" s="14"/>
      <c r="J1087" s="14"/>
      <c r="K1087" s="12"/>
    </row>
    <row r="1088" ht="19.5" customHeight="1">
      <c r="A1088" s="221"/>
      <c r="C1088" s="12"/>
      <c r="D1088" s="87"/>
      <c r="F1088" s="14"/>
      <c r="G1088" s="14"/>
      <c r="H1088" s="14"/>
      <c r="I1088" s="14"/>
      <c r="J1088" s="14"/>
      <c r="K1088" s="12"/>
    </row>
    <row r="1089" ht="19.5" customHeight="1">
      <c r="A1089" s="221"/>
      <c r="C1089" s="12"/>
      <c r="D1089" s="87"/>
      <c r="F1089" s="14"/>
      <c r="G1089" s="14"/>
      <c r="H1089" s="14"/>
      <c r="I1089" s="14"/>
      <c r="J1089" s="14"/>
      <c r="K1089" s="12"/>
    </row>
    <row r="1090" ht="19.5" customHeight="1">
      <c r="A1090" s="221"/>
      <c r="C1090" s="12"/>
      <c r="D1090" s="87"/>
      <c r="F1090" s="14"/>
      <c r="G1090" s="14"/>
      <c r="H1090" s="14"/>
      <c r="I1090" s="14"/>
      <c r="J1090" s="14"/>
      <c r="K1090" s="12"/>
    </row>
    <row r="1091" ht="19.5" customHeight="1">
      <c r="A1091" s="221"/>
      <c r="C1091" s="12"/>
      <c r="D1091" s="87"/>
      <c r="F1091" s="14"/>
      <c r="G1091" s="14"/>
      <c r="H1091" s="14"/>
      <c r="I1091" s="14"/>
      <c r="J1091" s="14"/>
      <c r="K1091" s="12"/>
    </row>
    <row r="1092" ht="19.5" customHeight="1">
      <c r="A1092" s="221"/>
      <c r="C1092" s="12"/>
      <c r="D1092" s="87"/>
      <c r="F1092" s="14"/>
      <c r="G1092" s="14"/>
      <c r="H1092" s="14"/>
      <c r="I1092" s="14"/>
      <c r="J1092" s="14"/>
      <c r="K1092" s="12"/>
    </row>
    <row r="1093" ht="19.5" customHeight="1">
      <c r="A1093" s="221"/>
      <c r="C1093" s="12"/>
      <c r="D1093" s="87"/>
      <c r="F1093" s="14"/>
      <c r="G1093" s="14"/>
      <c r="H1093" s="14"/>
      <c r="I1093" s="14"/>
      <c r="J1093" s="14"/>
      <c r="K1093" s="12"/>
    </row>
    <row r="1094" ht="19.5" customHeight="1">
      <c r="A1094" s="221"/>
      <c r="C1094" s="12"/>
      <c r="D1094" s="87"/>
      <c r="F1094" s="14"/>
      <c r="G1094" s="14"/>
      <c r="H1094" s="14"/>
      <c r="I1094" s="14"/>
      <c r="J1094" s="14"/>
      <c r="K1094" s="12"/>
    </row>
    <row r="1095" ht="19.5" customHeight="1">
      <c r="A1095" s="221"/>
      <c r="C1095" s="12"/>
      <c r="D1095" s="87"/>
      <c r="F1095" s="14"/>
      <c r="G1095" s="14"/>
      <c r="H1095" s="14"/>
      <c r="I1095" s="14"/>
      <c r="J1095" s="14"/>
      <c r="K1095" s="12"/>
    </row>
    <row r="1096" ht="19.5" customHeight="1">
      <c r="A1096" s="221"/>
      <c r="C1096" s="12"/>
      <c r="D1096" s="87"/>
      <c r="F1096" s="14"/>
      <c r="G1096" s="14"/>
      <c r="H1096" s="14"/>
      <c r="I1096" s="14"/>
      <c r="J1096" s="14"/>
      <c r="K1096" s="12"/>
    </row>
    <row r="1097" ht="19.5" customHeight="1">
      <c r="A1097" s="221"/>
      <c r="C1097" s="12"/>
      <c r="D1097" s="87"/>
      <c r="F1097" s="14"/>
      <c r="G1097" s="14"/>
      <c r="H1097" s="14"/>
      <c r="I1097" s="14"/>
      <c r="J1097" s="14"/>
      <c r="K1097" s="12"/>
    </row>
    <row r="1098" ht="19.5" customHeight="1">
      <c r="A1098" s="221"/>
      <c r="C1098" s="12"/>
      <c r="D1098" s="87"/>
      <c r="F1098" s="14"/>
      <c r="G1098" s="14"/>
      <c r="H1098" s="14"/>
      <c r="I1098" s="14"/>
      <c r="J1098" s="14"/>
      <c r="K1098" s="12"/>
    </row>
    <row r="1099" ht="19.5" customHeight="1">
      <c r="A1099" s="221"/>
      <c r="C1099" s="12"/>
      <c r="D1099" s="87"/>
      <c r="F1099" s="14"/>
      <c r="G1099" s="14"/>
      <c r="H1099" s="14"/>
      <c r="I1099" s="14"/>
      <c r="J1099" s="14"/>
      <c r="K1099" s="12"/>
    </row>
    <row r="1100" ht="19.5" customHeight="1">
      <c r="A1100" s="221"/>
      <c r="C1100" s="12"/>
      <c r="D1100" s="87"/>
      <c r="F1100" s="14"/>
      <c r="G1100" s="14"/>
      <c r="H1100" s="14"/>
      <c r="I1100" s="14"/>
      <c r="J1100" s="14"/>
      <c r="K1100" s="12"/>
    </row>
    <row r="1101" ht="19.5" customHeight="1">
      <c r="A1101" s="221"/>
      <c r="C1101" s="12"/>
      <c r="D1101" s="87"/>
      <c r="F1101" s="14"/>
      <c r="G1101" s="14"/>
      <c r="H1101" s="14"/>
      <c r="I1101" s="14"/>
      <c r="J1101" s="14"/>
      <c r="K1101" s="12"/>
    </row>
    <row r="1102" ht="19.5" customHeight="1">
      <c r="A1102" s="221"/>
      <c r="C1102" s="12"/>
      <c r="D1102" s="87"/>
      <c r="F1102" s="14"/>
      <c r="G1102" s="14"/>
      <c r="H1102" s="14"/>
      <c r="I1102" s="14"/>
      <c r="J1102" s="14"/>
      <c r="K1102" s="12"/>
    </row>
    <row r="1103" ht="19.5" customHeight="1">
      <c r="A1103" s="221"/>
      <c r="C1103" s="12"/>
      <c r="D1103" s="87"/>
      <c r="F1103" s="14"/>
      <c r="G1103" s="14"/>
      <c r="H1103" s="14"/>
      <c r="I1103" s="14"/>
      <c r="J1103" s="14"/>
      <c r="K1103" s="12"/>
    </row>
    <row r="1104" ht="19.5" customHeight="1">
      <c r="A1104" s="221"/>
      <c r="C1104" s="12"/>
      <c r="D1104" s="87"/>
      <c r="F1104" s="14"/>
      <c r="G1104" s="14"/>
      <c r="H1104" s="14"/>
      <c r="I1104" s="14"/>
      <c r="J1104" s="14"/>
      <c r="K1104" s="12"/>
    </row>
    <row r="1105" ht="19.5" customHeight="1">
      <c r="A1105" s="221"/>
      <c r="C1105" s="12"/>
      <c r="D1105" s="87"/>
      <c r="F1105" s="14"/>
      <c r="G1105" s="14"/>
      <c r="H1105" s="14"/>
      <c r="I1105" s="14"/>
      <c r="J1105" s="14"/>
      <c r="K1105" s="12"/>
    </row>
    <row r="1106" ht="19.5" customHeight="1">
      <c r="A1106" s="221"/>
      <c r="C1106" s="12"/>
      <c r="D1106" s="87"/>
      <c r="F1106" s="14"/>
      <c r="G1106" s="14"/>
      <c r="H1106" s="14"/>
      <c r="I1106" s="14"/>
      <c r="J1106" s="14"/>
      <c r="K1106" s="12"/>
    </row>
    <row r="1107" ht="19.5" customHeight="1">
      <c r="A1107" s="221"/>
      <c r="C1107" s="12"/>
      <c r="D1107" s="87"/>
      <c r="F1107" s="14"/>
      <c r="G1107" s="14"/>
      <c r="H1107" s="14"/>
      <c r="I1107" s="14"/>
      <c r="J1107" s="14"/>
      <c r="K1107" s="12"/>
    </row>
    <row r="1108" ht="19.5" customHeight="1">
      <c r="A1108" s="221"/>
      <c r="C1108" s="12"/>
      <c r="D1108" s="87"/>
      <c r="F1108" s="14"/>
      <c r="G1108" s="14"/>
      <c r="H1108" s="14"/>
      <c r="I1108" s="14"/>
      <c r="J1108" s="14"/>
      <c r="K1108" s="12"/>
    </row>
    <row r="1109" ht="19.5" customHeight="1">
      <c r="A1109" s="221"/>
      <c r="C1109" s="12"/>
      <c r="D1109" s="87"/>
      <c r="F1109" s="14"/>
      <c r="G1109" s="14"/>
      <c r="H1109" s="14"/>
      <c r="I1109" s="14"/>
      <c r="J1109" s="14"/>
      <c r="K1109" s="12"/>
    </row>
    <row r="1110" ht="19.5" customHeight="1">
      <c r="A1110" s="221"/>
      <c r="C1110" s="12"/>
      <c r="D1110" s="87"/>
      <c r="F1110" s="14"/>
      <c r="G1110" s="14"/>
      <c r="H1110" s="14"/>
      <c r="I1110" s="14"/>
      <c r="J1110" s="14"/>
      <c r="K1110" s="12"/>
    </row>
    <row r="1111" ht="19.5" customHeight="1">
      <c r="A1111" s="221"/>
      <c r="C1111" s="12"/>
      <c r="D1111" s="87"/>
      <c r="F1111" s="14"/>
      <c r="G1111" s="14"/>
      <c r="H1111" s="14"/>
      <c r="I1111" s="14"/>
      <c r="J1111" s="14"/>
      <c r="K1111" s="12"/>
    </row>
    <row r="1112" ht="19.5" customHeight="1">
      <c r="A1112" s="221"/>
      <c r="C1112" s="12"/>
      <c r="D1112" s="87"/>
      <c r="F1112" s="14"/>
      <c r="G1112" s="14"/>
      <c r="H1112" s="14"/>
      <c r="I1112" s="14"/>
      <c r="J1112" s="14"/>
      <c r="K1112" s="12"/>
    </row>
    <row r="1113" ht="19.5" customHeight="1">
      <c r="A1113" s="221"/>
      <c r="C1113" s="12"/>
      <c r="D1113" s="87"/>
      <c r="F1113" s="14"/>
      <c r="G1113" s="14"/>
      <c r="H1113" s="14"/>
      <c r="I1113" s="14"/>
      <c r="J1113" s="14"/>
      <c r="K1113" s="12"/>
    </row>
    <row r="1114" ht="19.5" customHeight="1">
      <c r="A1114" s="221"/>
      <c r="C1114" s="12"/>
      <c r="D1114" s="87"/>
      <c r="F1114" s="14"/>
      <c r="G1114" s="14"/>
      <c r="H1114" s="14"/>
      <c r="I1114" s="14"/>
      <c r="J1114" s="14"/>
      <c r="K1114" s="12"/>
    </row>
    <row r="1115" ht="19.5" customHeight="1">
      <c r="A1115" s="221"/>
      <c r="C1115" s="12"/>
      <c r="D1115" s="87"/>
      <c r="F1115" s="14"/>
      <c r="G1115" s="14"/>
      <c r="H1115" s="14"/>
      <c r="I1115" s="14"/>
      <c r="J1115" s="14"/>
      <c r="K1115" s="12"/>
    </row>
    <row r="1116" ht="19.5" customHeight="1">
      <c r="A1116" s="221"/>
      <c r="C1116" s="12"/>
      <c r="D1116" s="87"/>
      <c r="F1116" s="14"/>
      <c r="G1116" s="14"/>
      <c r="H1116" s="14"/>
      <c r="I1116" s="14"/>
      <c r="J1116" s="14"/>
      <c r="K1116" s="12"/>
    </row>
    <row r="1117" ht="19.5" customHeight="1">
      <c r="A1117" s="221"/>
      <c r="C1117" s="12"/>
      <c r="D1117" s="87"/>
      <c r="F1117" s="14"/>
      <c r="G1117" s="14"/>
      <c r="H1117" s="14"/>
      <c r="I1117" s="14"/>
      <c r="J1117" s="14"/>
      <c r="K1117" s="12"/>
    </row>
    <row r="1118" ht="19.5" customHeight="1">
      <c r="A1118" s="221"/>
      <c r="C1118" s="12"/>
      <c r="D1118" s="87"/>
      <c r="F1118" s="14"/>
      <c r="G1118" s="14"/>
      <c r="H1118" s="14"/>
      <c r="I1118" s="14"/>
      <c r="J1118" s="14"/>
      <c r="K1118" s="12"/>
    </row>
    <row r="1119" ht="19.5" customHeight="1">
      <c r="A1119" s="221"/>
      <c r="C1119" s="12"/>
      <c r="D1119" s="87"/>
      <c r="F1119" s="14"/>
      <c r="G1119" s="14"/>
      <c r="H1119" s="14"/>
      <c r="I1119" s="14"/>
      <c r="J1119" s="14"/>
      <c r="K1119" s="12"/>
    </row>
    <row r="1120" ht="19.5" customHeight="1">
      <c r="A1120" s="221"/>
      <c r="C1120" s="12"/>
      <c r="D1120" s="87"/>
      <c r="F1120" s="14"/>
      <c r="G1120" s="14"/>
      <c r="H1120" s="14"/>
      <c r="I1120" s="14"/>
      <c r="J1120" s="14"/>
      <c r="K1120" s="12"/>
    </row>
    <row r="1121" ht="19.5" customHeight="1">
      <c r="A1121" s="221"/>
      <c r="C1121" s="12"/>
      <c r="D1121" s="87"/>
      <c r="F1121" s="14"/>
      <c r="G1121" s="14"/>
      <c r="H1121" s="14"/>
      <c r="I1121" s="14"/>
      <c r="J1121" s="14"/>
      <c r="K1121" s="12"/>
    </row>
    <row r="1122" ht="19.5" customHeight="1">
      <c r="A1122" s="221"/>
      <c r="C1122" s="12"/>
      <c r="D1122" s="87"/>
      <c r="F1122" s="14"/>
      <c r="G1122" s="14"/>
      <c r="H1122" s="14"/>
      <c r="I1122" s="14"/>
      <c r="J1122" s="14"/>
      <c r="K1122" s="12"/>
    </row>
    <row r="1123" ht="19.5" customHeight="1">
      <c r="A1123" s="221"/>
      <c r="C1123" s="12"/>
      <c r="D1123" s="87"/>
      <c r="F1123" s="14"/>
      <c r="G1123" s="14"/>
      <c r="H1123" s="14"/>
      <c r="I1123" s="14"/>
      <c r="J1123" s="14"/>
      <c r="K1123" s="12"/>
    </row>
    <row r="1124" ht="19.5" customHeight="1">
      <c r="A1124" s="221"/>
      <c r="C1124" s="12"/>
      <c r="D1124" s="87"/>
      <c r="F1124" s="14"/>
      <c r="G1124" s="14"/>
      <c r="H1124" s="14"/>
      <c r="I1124" s="14"/>
      <c r="J1124" s="14"/>
      <c r="K1124" s="12"/>
    </row>
    <row r="1125" ht="19.5" customHeight="1">
      <c r="A1125" s="221"/>
      <c r="C1125" s="12"/>
      <c r="D1125" s="87"/>
      <c r="F1125" s="14"/>
      <c r="G1125" s="14"/>
      <c r="H1125" s="14"/>
      <c r="I1125" s="14"/>
      <c r="J1125" s="14"/>
      <c r="K1125" s="12"/>
    </row>
    <row r="1126" ht="19.5" customHeight="1">
      <c r="A1126" s="221"/>
      <c r="C1126" s="12"/>
      <c r="D1126" s="87"/>
      <c r="F1126" s="14"/>
      <c r="G1126" s="14"/>
      <c r="H1126" s="14"/>
      <c r="I1126" s="14"/>
      <c r="J1126" s="14"/>
      <c r="K1126" s="12"/>
    </row>
    <row r="1127" ht="19.5" customHeight="1">
      <c r="A1127" s="221"/>
      <c r="C1127" s="12"/>
      <c r="D1127" s="87"/>
      <c r="F1127" s="14"/>
      <c r="G1127" s="14"/>
      <c r="H1127" s="14"/>
      <c r="I1127" s="14"/>
      <c r="J1127" s="14"/>
      <c r="K1127" s="12"/>
    </row>
    <row r="1128" ht="19.5" customHeight="1">
      <c r="A1128" s="221"/>
      <c r="C1128" s="12"/>
      <c r="D1128" s="87"/>
      <c r="F1128" s="14"/>
      <c r="G1128" s="14"/>
      <c r="H1128" s="14"/>
      <c r="I1128" s="14"/>
      <c r="J1128" s="14"/>
      <c r="K1128" s="12"/>
    </row>
    <row r="1129" ht="19.5" customHeight="1">
      <c r="A1129" s="221"/>
      <c r="C1129" s="12"/>
      <c r="D1129" s="87"/>
      <c r="F1129" s="14"/>
      <c r="G1129" s="14"/>
      <c r="H1129" s="14"/>
      <c r="I1129" s="14"/>
      <c r="J1129" s="14"/>
      <c r="K1129" s="12"/>
    </row>
    <row r="1130" ht="19.5" customHeight="1">
      <c r="A1130" s="221"/>
      <c r="C1130" s="12"/>
      <c r="D1130" s="87"/>
      <c r="F1130" s="14"/>
      <c r="G1130" s="14"/>
      <c r="H1130" s="14"/>
      <c r="I1130" s="14"/>
      <c r="J1130" s="14"/>
      <c r="K1130" s="12"/>
    </row>
    <row r="1131" ht="19.5" customHeight="1">
      <c r="A1131" s="221"/>
      <c r="C1131" s="12"/>
      <c r="D1131" s="87"/>
      <c r="F1131" s="14"/>
      <c r="G1131" s="14"/>
      <c r="H1131" s="14"/>
      <c r="I1131" s="14"/>
      <c r="J1131" s="14"/>
      <c r="K1131" s="12"/>
    </row>
    <row r="1132" ht="19.5" customHeight="1">
      <c r="A1132" s="221"/>
      <c r="C1132" s="12"/>
      <c r="D1132" s="87"/>
      <c r="F1132" s="14"/>
      <c r="G1132" s="14"/>
      <c r="H1132" s="14"/>
      <c r="I1132" s="14"/>
      <c r="J1132" s="14"/>
      <c r="K1132" s="12"/>
    </row>
    <row r="1133" ht="19.5" customHeight="1">
      <c r="A1133" s="221"/>
      <c r="C1133" s="12"/>
      <c r="D1133" s="87"/>
      <c r="F1133" s="14"/>
      <c r="G1133" s="14"/>
      <c r="H1133" s="14"/>
      <c r="I1133" s="14"/>
      <c r="J1133" s="14"/>
      <c r="K1133" s="12"/>
    </row>
    <row r="1134" ht="19.5" customHeight="1">
      <c r="A1134" s="221"/>
      <c r="C1134" s="12"/>
      <c r="D1134" s="87"/>
      <c r="F1134" s="14"/>
      <c r="G1134" s="14"/>
      <c r="H1134" s="14"/>
      <c r="I1134" s="14"/>
      <c r="J1134" s="14"/>
      <c r="K1134" s="12"/>
    </row>
    <row r="1135" ht="19.5" customHeight="1">
      <c r="A1135" s="221"/>
      <c r="C1135" s="12"/>
      <c r="D1135" s="87"/>
      <c r="F1135" s="14"/>
      <c r="G1135" s="14"/>
      <c r="H1135" s="14"/>
      <c r="I1135" s="14"/>
      <c r="J1135" s="14"/>
      <c r="K1135" s="12"/>
    </row>
    <row r="1136" ht="19.5" customHeight="1">
      <c r="A1136" s="221"/>
      <c r="C1136" s="12"/>
      <c r="D1136" s="87"/>
      <c r="F1136" s="14"/>
      <c r="G1136" s="14"/>
      <c r="H1136" s="14"/>
      <c r="I1136" s="14"/>
      <c r="J1136" s="14"/>
      <c r="K1136" s="12"/>
    </row>
    <row r="1137" ht="19.5" customHeight="1">
      <c r="A1137" s="221"/>
      <c r="C1137" s="12"/>
      <c r="D1137" s="87"/>
      <c r="F1137" s="14"/>
      <c r="G1137" s="14"/>
      <c r="H1137" s="14"/>
      <c r="I1137" s="14"/>
      <c r="J1137" s="14"/>
      <c r="K1137" s="12"/>
    </row>
  </sheetData>
  <mergeCells count="5">
    <mergeCell ref="A6:K6"/>
    <mergeCell ref="A7:K7"/>
    <mergeCell ref="A8:K8"/>
    <mergeCell ref="A9:K9"/>
    <mergeCell ref="K164:K166"/>
  </mergeCells>
  <printOptions/>
  <pageMargins bottom="0.787401575" footer="0.0" header="0.0" left="0.511811024" right="0.511811024" top="0.787401575"/>
  <pageSetup paperSize="9" scale="60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/>
  </sheetPr>
  <sheetViews>
    <sheetView workbookViewId="0"/>
  </sheetViews>
  <sheetFormatPr customHeight="1" defaultColWidth="12.63" defaultRowHeight="15.0"/>
  <cols>
    <col customWidth="1" min="1" max="1" width="14.88"/>
    <col customWidth="1" min="2" max="2" width="71.63"/>
    <col customWidth="1" min="3" max="3" width="9.13"/>
    <col customWidth="1" min="4" max="4" width="12.0"/>
    <col customWidth="1" min="5" max="5" width="12.88"/>
    <col customWidth="1" min="6" max="6" width="17.75"/>
    <col customWidth="1" min="7" max="7" width="20.25"/>
    <col customWidth="1" min="8" max="8" width="19.0"/>
    <col customWidth="1" min="9" max="10" width="15.13"/>
    <col customWidth="1" min="11" max="11" width="24.38"/>
    <col customWidth="1" min="12" max="26" width="8.63"/>
  </cols>
  <sheetData>
    <row r="1" ht="19.5" customHeight="1">
      <c r="A1" s="169"/>
      <c r="B1" s="5"/>
      <c r="C1" s="6"/>
      <c r="D1" s="86"/>
      <c r="E1" s="5"/>
      <c r="F1" s="8"/>
      <c r="G1" s="8"/>
      <c r="H1" s="8"/>
      <c r="I1" s="8"/>
      <c r="J1" s="8"/>
      <c r="K1" s="9"/>
    </row>
    <row r="2" ht="19.5" customHeight="1">
      <c r="A2" s="170" t="s">
        <v>83</v>
      </c>
      <c r="B2" s="11" t="s">
        <v>84</v>
      </c>
      <c r="C2" s="12"/>
      <c r="D2" s="87"/>
      <c r="F2" s="14"/>
      <c r="G2" s="14"/>
      <c r="H2" s="14"/>
      <c r="I2" s="14"/>
      <c r="J2" s="17" t="s">
        <v>144</v>
      </c>
      <c r="K2" s="18"/>
    </row>
    <row r="3" ht="19.5" customHeight="1">
      <c r="A3" s="170" t="s">
        <v>86</v>
      </c>
      <c r="B3" s="11" t="s">
        <v>87</v>
      </c>
      <c r="C3" s="12"/>
      <c r="D3" s="87"/>
      <c r="F3" s="14"/>
      <c r="G3" s="14"/>
      <c r="H3" s="14"/>
      <c r="I3" s="14"/>
      <c r="J3" s="14"/>
      <c r="K3" s="18"/>
    </row>
    <row r="4" ht="19.5" customHeight="1">
      <c r="A4" s="171"/>
      <c r="C4" s="12"/>
      <c r="D4" s="87"/>
      <c r="F4" s="14"/>
      <c r="G4" s="14"/>
      <c r="H4" s="14"/>
      <c r="I4" s="14"/>
      <c r="J4" s="14"/>
      <c r="K4" s="18"/>
    </row>
    <row r="5" ht="19.5" customHeight="1">
      <c r="A5" s="171"/>
      <c r="C5" s="12"/>
      <c r="D5" s="87"/>
      <c r="F5" s="14"/>
      <c r="G5" s="14"/>
      <c r="H5" s="14"/>
      <c r="I5" s="14"/>
      <c r="J5" s="14"/>
      <c r="K5" s="18"/>
    </row>
    <row r="6" ht="200.25" customHeight="1">
      <c r="A6" s="172" t="s">
        <v>380</v>
      </c>
      <c r="K6" s="21"/>
    </row>
    <row r="7" ht="64.5" customHeight="1">
      <c r="A7" s="173" t="s">
        <v>700</v>
      </c>
      <c r="K7" s="21"/>
    </row>
    <row r="8" ht="37.5" customHeight="1">
      <c r="A8" s="174" t="s">
        <v>90</v>
      </c>
      <c r="B8" s="24"/>
      <c r="C8" s="24"/>
      <c r="D8" s="24"/>
      <c r="E8" s="24"/>
      <c r="F8" s="24"/>
      <c r="G8" s="24"/>
      <c r="H8" s="24"/>
      <c r="I8" s="24"/>
      <c r="J8" s="24"/>
      <c r="K8" s="25"/>
    </row>
    <row r="9" ht="19.5" customHeight="1">
      <c r="A9" s="175" t="s">
        <v>643</v>
      </c>
      <c r="B9" s="28"/>
      <c r="C9" s="28"/>
      <c r="D9" s="28"/>
      <c r="E9" s="28"/>
      <c r="F9" s="28"/>
      <c r="G9" s="28"/>
      <c r="H9" s="28"/>
      <c r="I9" s="28"/>
      <c r="J9" s="28"/>
      <c r="K9" s="29"/>
    </row>
    <row r="10" ht="19.5" customHeight="1">
      <c r="A10" s="176" t="s">
        <v>1</v>
      </c>
      <c r="B10" s="99" t="s">
        <v>644</v>
      </c>
      <c r="C10" s="99" t="s">
        <v>645</v>
      </c>
      <c r="D10" s="177" t="s">
        <v>646</v>
      </c>
      <c r="E10" s="51" t="s">
        <v>647</v>
      </c>
      <c r="F10" s="52" t="s">
        <v>648</v>
      </c>
      <c r="G10" s="52" t="s">
        <v>649</v>
      </c>
      <c r="H10" s="178" t="s">
        <v>650</v>
      </c>
      <c r="I10" s="178" t="s">
        <v>651</v>
      </c>
      <c r="J10" s="177" t="s">
        <v>652</v>
      </c>
      <c r="K10" s="179" t="s">
        <v>653</v>
      </c>
      <c r="O10" s="2"/>
      <c r="P10" s="2"/>
      <c r="R10" s="2"/>
    </row>
    <row r="11" ht="19.5" customHeight="1">
      <c r="A11" s="180"/>
      <c r="B11" s="83" t="s">
        <v>500</v>
      </c>
      <c r="C11" s="38">
        <v>1.0</v>
      </c>
      <c r="D11" s="47">
        <v>34.2</v>
      </c>
      <c r="E11" s="38">
        <v>0.14</v>
      </c>
      <c r="F11" s="181">
        <v>0.55</v>
      </c>
      <c r="G11" s="181">
        <f t="shared" ref="G11:G65" si="1">F11+0.05</f>
        <v>0.6</v>
      </c>
      <c r="H11" s="182">
        <f t="shared" ref="H11:H65" si="2">D11*(E11+0.4)*G11</f>
        <v>11.0808</v>
      </c>
      <c r="I11" s="182">
        <f t="shared" ref="I11:I65" si="3">C11*D11*E11</f>
        <v>4.788</v>
      </c>
      <c r="J11" s="182">
        <f t="shared" ref="J11:J65" si="4">2*(C11*D11*F11)</f>
        <v>37.62</v>
      </c>
      <c r="K11" s="182">
        <f t="shared" ref="K11:K65" si="5">D11*(E11+F11*2)</f>
        <v>42.408</v>
      </c>
      <c r="M11" s="183"/>
    </row>
    <row r="12" ht="19.5" customHeight="1">
      <c r="A12" s="180"/>
      <c r="B12" s="83" t="s">
        <v>501</v>
      </c>
      <c r="C12" s="38">
        <v>1.0</v>
      </c>
      <c r="D12" s="47">
        <v>18.08</v>
      </c>
      <c r="E12" s="38">
        <v>0.14</v>
      </c>
      <c r="F12" s="181">
        <v>0.55</v>
      </c>
      <c r="G12" s="181">
        <f t="shared" si="1"/>
        <v>0.6</v>
      </c>
      <c r="H12" s="182">
        <f t="shared" si="2"/>
        <v>5.85792</v>
      </c>
      <c r="I12" s="182">
        <f t="shared" si="3"/>
        <v>2.5312</v>
      </c>
      <c r="J12" s="182">
        <f t="shared" si="4"/>
        <v>19.888</v>
      </c>
      <c r="K12" s="182">
        <f t="shared" si="5"/>
        <v>22.4192</v>
      </c>
      <c r="M12" s="183"/>
    </row>
    <row r="13" ht="19.5" customHeight="1">
      <c r="A13" s="180"/>
      <c r="B13" s="83" t="s">
        <v>502</v>
      </c>
      <c r="C13" s="38">
        <v>1.0</v>
      </c>
      <c r="D13" s="47">
        <v>2.52</v>
      </c>
      <c r="E13" s="38">
        <v>0.14</v>
      </c>
      <c r="F13" s="181">
        <v>0.55</v>
      </c>
      <c r="G13" s="181">
        <f t="shared" si="1"/>
        <v>0.6</v>
      </c>
      <c r="H13" s="182">
        <f t="shared" si="2"/>
        <v>0.81648</v>
      </c>
      <c r="I13" s="182">
        <f t="shared" si="3"/>
        <v>0.3528</v>
      </c>
      <c r="J13" s="182">
        <f t="shared" si="4"/>
        <v>2.772</v>
      </c>
      <c r="K13" s="182">
        <f t="shared" si="5"/>
        <v>3.1248</v>
      </c>
      <c r="M13" s="183"/>
    </row>
    <row r="14" ht="19.5" customHeight="1">
      <c r="A14" s="180"/>
      <c r="B14" s="83" t="s">
        <v>503</v>
      </c>
      <c r="C14" s="38">
        <v>1.0</v>
      </c>
      <c r="D14" s="47">
        <v>5.38</v>
      </c>
      <c r="E14" s="38">
        <v>0.14</v>
      </c>
      <c r="F14" s="181">
        <v>0.55</v>
      </c>
      <c r="G14" s="181">
        <f t="shared" si="1"/>
        <v>0.6</v>
      </c>
      <c r="H14" s="182">
        <f t="shared" si="2"/>
        <v>1.74312</v>
      </c>
      <c r="I14" s="182">
        <f t="shared" si="3"/>
        <v>0.7532</v>
      </c>
      <c r="J14" s="182">
        <f t="shared" si="4"/>
        <v>5.918</v>
      </c>
      <c r="K14" s="182">
        <f t="shared" si="5"/>
        <v>6.6712</v>
      </c>
      <c r="M14" s="183"/>
    </row>
    <row r="15" ht="19.5" customHeight="1">
      <c r="A15" s="180"/>
      <c r="B15" s="83" t="s">
        <v>504</v>
      </c>
      <c r="C15" s="38">
        <v>1.0</v>
      </c>
      <c r="D15" s="47">
        <v>2.52</v>
      </c>
      <c r="E15" s="38">
        <v>0.14</v>
      </c>
      <c r="F15" s="181">
        <v>0.55</v>
      </c>
      <c r="G15" s="181">
        <f t="shared" si="1"/>
        <v>0.6</v>
      </c>
      <c r="H15" s="182">
        <f t="shared" si="2"/>
        <v>0.81648</v>
      </c>
      <c r="I15" s="182">
        <f t="shared" si="3"/>
        <v>0.3528</v>
      </c>
      <c r="J15" s="182">
        <f t="shared" si="4"/>
        <v>2.772</v>
      </c>
      <c r="K15" s="182">
        <f t="shared" si="5"/>
        <v>3.1248</v>
      </c>
      <c r="M15" s="183"/>
    </row>
    <row r="16" ht="19.5" customHeight="1">
      <c r="A16" s="180"/>
      <c r="B16" s="83" t="s">
        <v>505</v>
      </c>
      <c r="C16" s="38">
        <v>1.0</v>
      </c>
      <c r="D16" s="47">
        <v>34.4</v>
      </c>
      <c r="E16" s="38">
        <v>0.14</v>
      </c>
      <c r="F16" s="181">
        <v>0.55</v>
      </c>
      <c r="G16" s="181">
        <f t="shared" si="1"/>
        <v>0.6</v>
      </c>
      <c r="H16" s="182">
        <f t="shared" si="2"/>
        <v>11.1456</v>
      </c>
      <c r="I16" s="182">
        <f t="shared" si="3"/>
        <v>4.816</v>
      </c>
      <c r="J16" s="182">
        <f t="shared" si="4"/>
        <v>37.84</v>
      </c>
      <c r="K16" s="182">
        <f t="shared" si="5"/>
        <v>42.656</v>
      </c>
      <c r="M16" s="183"/>
    </row>
    <row r="17" ht="19.5" customHeight="1">
      <c r="A17" s="180"/>
      <c r="B17" s="83" t="s">
        <v>506</v>
      </c>
      <c r="C17" s="38">
        <v>1.0</v>
      </c>
      <c r="D17" s="47">
        <v>16.025</v>
      </c>
      <c r="E17" s="38">
        <v>0.14</v>
      </c>
      <c r="F17" s="181">
        <v>0.55</v>
      </c>
      <c r="G17" s="181">
        <f t="shared" si="1"/>
        <v>0.6</v>
      </c>
      <c r="H17" s="182">
        <f t="shared" si="2"/>
        <v>5.1921</v>
      </c>
      <c r="I17" s="182">
        <f t="shared" si="3"/>
        <v>2.2435</v>
      </c>
      <c r="J17" s="182">
        <f t="shared" si="4"/>
        <v>17.6275</v>
      </c>
      <c r="K17" s="182">
        <f t="shared" si="5"/>
        <v>19.871</v>
      </c>
      <c r="M17" s="183"/>
    </row>
    <row r="18" ht="19.5" customHeight="1">
      <c r="A18" s="180"/>
      <c r="B18" s="83" t="s">
        <v>507</v>
      </c>
      <c r="C18" s="38">
        <v>1.0</v>
      </c>
      <c r="D18" s="47">
        <v>34.4</v>
      </c>
      <c r="E18" s="38">
        <v>0.14</v>
      </c>
      <c r="F18" s="181">
        <v>0.55</v>
      </c>
      <c r="G18" s="181">
        <f t="shared" si="1"/>
        <v>0.6</v>
      </c>
      <c r="H18" s="182">
        <f t="shared" si="2"/>
        <v>11.1456</v>
      </c>
      <c r="I18" s="182">
        <f t="shared" si="3"/>
        <v>4.816</v>
      </c>
      <c r="J18" s="182">
        <f t="shared" si="4"/>
        <v>37.84</v>
      </c>
      <c r="K18" s="182">
        <f t="shared" si="5"/>
        <v>42.656</v>
      </c>
      <c r="M18" s="183"/>
    </row>
    <row r="19" ht="19.5" customHeight="1">
      <c r="A19" s="180"/>
      <c r="B19" s="83" t="s">
        <v>508</v>
      </c>
      <c r="C19" s="38">
        <v>1.0</v>
      </c>
      <c r="D19" s="47">
        <v>16.025</v>
      </c>
      <c r="E19" s="38">
        <v>0.14</v>
      </c>
      <c r="F19" s="181">
        <v>0.55</v>
      </c>
      <c r="G19" s="181">
        <f t="shared" si="1"/>
        <v>0.6</v>
      </c>
      <c r="H19" s="182">
        <f t="shared" si="2"/>
        <v>5.1921</v>
      </c>
      <c r="I19" s="182">
        <f t="shared" si="3"/>
        <v>2.2435</v>
      </c>
      <c r="J19" s="182">
        <f t="shared" si="4"/>
        <v>17.6275</v>
      </c>
      <c r="K19" s="182">
        <f t="shared" si="5"/>
        <v>19.871</v>
      </c>
      <c r="M19" s="183"/>
    </row>
    <row r="20" ht="19.5" customHeight="1">
      <c r="A20" s="180"/>
      <c r="B20" s="83" t="s">
        <v>509</v>
      </c>
      <c r="C20" s="38">
        <v>1.0</v>
      </c>
      <c r="D20" s="47">
        <v>34.2</v>
      </c>
      <c r="E20" s="38">
        <v>0.14</v>
      </c>
      <c r="F20" s="181">
        <v>0.55</v>
      </c>
      <c r="G20" s="181">
        <f t="shared" si="1"/>
        <v>0.6</v>
      </c>
      <c r="H20" s="182">
        <f t="shared" si="2"/>
        <v>11.0808</v>
      </c>
      <c r="I20" s="182">
        <f t="shared" si="3"/>
        <v>4.788</v>
      </c>
      <c r="J20" s="182">
        <f t="shared" si="4"/>
        <v>37.62</v>
      </c>
      <c r="K20" s="182">
        <f t="shared" si="5"/>
        <v>42.408</v>
      </c>
      <c r="M20" s="183"/>
    </row>
    <row r="21" ht="19.5" customHeight="1">
      <c r="A21" s="180"/>
      <c r="B21" s="83" t="s">
        <v>510</v>
      </c>
      <c r="C21" s="38">
        <v>1.0</v>
      </c>
      <c r="D21" s="47">
        <v>18.08</v>
      </c>
      <c r="E21" s="38">
        <v>0.14</v>
      </c>
      <c r="F21" s="181">
        <v>0.55</v>
      </c>
      <c r="G21" s="181">
        <f t="shared" si="1"/>
        <v>0.6</v>
      </c>
      <c r="H21" s="182">
        <f t="shared" si="2"/>
        <v>5.85792</v>
      </c>
      <c r="I21" s="182">
        <f t="shared" si="3"/>
        <v>2.5312</v>
      </c>
      <c r="J21" s="182">
        <f t="shared" si="4"/>
        <v>19.888</v>
      </c>
      <c r="K21" s="182">
        <f t="shared" si="5"/>
        <v>22.4192</v>
      </c>
      <c r="M21" s="183"/>
    </row>
    <row r="22" ht="19.5" customHeight="1">
      <c r="A22" s="180"/>
      <c r="B22" s="83" t="s">
        <v>511</v>
      </c>
      <c r="C22" s="38">
        <v>1.0</v>
      </c>
      <c r="D22" s="47">
        <v>2.02</v>
      </c>
      <c r="E22" s="38">
        <v>0.14</v>
      </c>
      <c r="F22" s="181">
        <v>0.3</v>
      </c>
      <c r="G22" s="181">
        <f t="shared" si="1"/>
        <v>0.35</v>
      </c>
      <c r="H22" s="182">
        <f t="shared" si="2"/>
        <v>0.38178</v>
      </c>
      <c r="I22" s="182">
        <f t="shared" si="3"/>
        <v>0.2828</v>
      </c>
      <c r="J22" s="182">
        <f t="shared" si="4"/>
        <v>1.212</v>
      </c>
      <c r="K22" s="182">
        <f t="shared" si="5"/>
        <v>1.4948</v>
      </c>
      <c r="M22" s="183"/>
    </row>
    <row r="23" ht="19.5" customHeight="1">
      <c r="A23" s="180"/>
      <c r="B23" s="83" t="s">
        <v>512</v>
      </c>
      <c r="C23" s="38">
        <v>1.0</v>
      </c>
      <c r="D23" s="47">
        <v>13.72</v>
      </c>
      <c r="E23" s="38">
        <v>0.14</v>
      </c>
      <c r="F23" s="181">
        <v>0.35</v>
      </c>
      <c r="G23" s="181">
        <f t="shared" si="1"/>
        <v>0.4</v>
      </c>
      <c r="H23" s="182">
        <f t="shared" si="2"/>
        <v>2.96352</v>
      </c>
      <c r="I23" s="182">
        <f t="shared" si="3"/>
        <v>1.9208</v>
      </c>
      <c r="J23" s="182">
        <f t="shared" si="4"/>
        <v>9.604</v>
      </c>
      <c r="K23" s="182">
        <f t="shared" si="5"/>
        <v>11.5248</v>
      </c>
      <c r="M23" s="183"/>
    </row>
    <row r="24" ht="19.5" customHeight="1">
      <c r="A24" s="180"/>
      <c r="B24" s="83" t="s">
        <v>513</v>
      </c>
      <c r="C24" s="38">
        <v>1.0</v>
      </c>
      <c r="D24" s="47">
        <v>4.17</v>
      </c>
      <c r="E24" s="38">
        <v>0.14</v>
      </c>
      <c r="F24" s="181">
        <v>0.5</v>
      </c>
      <c r="G24" s="181">
        <f t="shared" si="1"/>
        <v>0.55</v>
      </c>
      <c r="H24" s="182">
        <f t="shared" si="2"/>
        <v>1.23849</v>
      </c>
      <c r="I24" s="182">
        <f t="shared" si="3"/>
        <v>0.5838</v>
      </c>
      <c r="J24" s="182">
        <f t="shared" si="4"/>
        <v>4.17</v>
      </c>
      <c r="K24" s="182">
        <f t="shared" si="5"/>
        <v>4.7538</v>
      </c>
      <c r="M24" s="183"/>
    </row>
    <row r="25" ht="19.5" customHeight="1">
      <c r="A25" s="180"/>
      <c r="B25" s="83" t="s">
        <v>514</v>
      </c>
      <c r="C25" s="38">
        <v>1.0</v>
      </c>
      <c r="D25" s="47">
        <v>4.17</v>
      </c>
      <c r="E25" s="38">
        <v>0.14</v>
      </c>
      <c r="F25" s="181">
        <v>0.5</v>
      </c>
      <c r="G25" s="181">
        <f t="shared" si="1"/>
        <v>0.55</v>
      </c>
      <c r="H25" s="182">
        <f t="shared" si="2"/>
        <v>1.23849</v>
      </c>
      <c r="I25" s="182">
        <f t="shared" si="3"/>
        <v>0.5838</v>
      </c>
      <c r="J25" s="182">
        <f t="shared" si="4"/>
        <v>4.17</v>
      </c>
      <c r="K25" s="182">
        <f t="shared" si="5"/>
        <v>4.7538</v>
      </c>
      <c r="M25" s="183"/>
    </row>
    <row r="26" ht="19.5" customHeight="1">
      <c r="A26" s="180"/>
      <c r="B26" s="83" t="s">
        <v>515</v>
      </c>
      <c r="C26" s="38">
        <v>1.0</v>
      </c>
      <c r="D26" s="47">
        <v>6.71</v>
      </c>
      <c r="E26" s="38">
        <v>0.14</v>
      </c>
      <c r="F26" s="181">
        <v>0.35</v>
      </c>
      <c r="G26" s="181">
        <f t="shared" si="1"/>
        <v>0.4</v>
      </c>
      <c r="H26" s="182">
        <f t="shared" si="2"/>
        <v>1.44936</v>
      </c>
      <c r="I26" s="182">
        <f t="shared" si="3"/>
        <v>0.9394</v>
      </c>
      <c r="J26" s="182">
        <f t="shared" si="4"/>
        <v>4.697</v>
      </c>
      <c r="K26" s="182">
        <f t="shared" si="5"/>
        <v>5.6364</v>
      </c>
      <c r="M26" s="183"/>
    </row>
    <row r="27" ht="19.5" customHeight="1">
      <c r="A27" s="180"/>
      <c r="B27" s="83" t="s">
        <v>516</v>
      </c>
      <c r="C27" s="38">
        <v>1.0</v>
      </c>
      <c r="D27" s="47">
        <v>1.95</v>
      </c>
      <c r="E27" s="38">
        <v>0.14</v>
      </c>
      <c r="F27" s="181">
        <v>0.3</v>
      </c>
      <c r="G27" s="181">
        <f t="shared" si="1"/>
        <v>0.35</v>
      </c>
      <c r="H27" s="182">
        <f t="shared" si="2"/>
        <v>0.36855</v>
      </c>
      <c r="I27" s="182">
        <f t="shared" si="3"/>
        <v>0.273</v>
      </c>
      <c r="J27" s="182">
        <f t="shared" si="4"/>
        <v>1.17</v>
      </c>
      <c r="K27" s="182">
        <f t="shared" si="5"/>
        <v>1.443</v>
      </c>
      <c r="M27" s="183"/>
    </row>
    <row r="28" ht="19.5" customHeight="1">
      <c r="A28" s="180"/>
      <c r="B28" s="83" t="s">
        <v>517</v>
      </c>
      <c r="C28" s="38">
        <v>1.0</v>
      </c>
      <c r="D28" s="47">
        <v>16.45</v>
      </c>
      <c r="E28" s="38">
        <v>0.14</v>
      </c>
      <c r="F28" s="181">
        <v>0.55</v>
      </c>
      <c r="G28" s="181">
        <f t="shared" si="1"/>
        <v>0.6</v>
      </c>
      <c r="H28" s="182">
        <f t="shared" si="2"/>
        <v>5.3298</v>
      </c>
      <c r="I28" s="182">
        <f t="shared" si="3"/>
        <v>2.303</v>
      </c>
      <c r="J28" s="182">
        <f t="shared" si="4"/>
        <v>18.095</v>
      </c>
      <c r="K28" s="182">
        <f t="shared" si="5"/>
        <v>20.398</v>
      </c>
      <c r="M28" s="183"/>
    </row>
    <row r="29" ht="19.5" customHeight="1">
      <c r="A29" s="180"/>
      <c r="B29" s="83" t="s">
        <v>518</v>
      </c>
      <c r="C29" s="38">
        <v>1.0</v>
      </c>
      <c r="D29" s="47">
        <v>3.9</v>
      </c>
      <c r="E29" s="38">
        <v>0.14</v>
      </c>
      <c r="F29" s="181">
        <v>0.5</v>
      </c>
      <c r="G29" s="181">
        <f t="shared" si="1"/>
        <v>0.55</v>
      </c>
      <c r="H29" s="182">
        <f t="shared" si="2"/>
        <v>1.1583</v>
      </c>
      <c r="I29" s="182">
        <f t="shared" si="3"/>
        <v>0.546</v>
      </c>
      <c r="J29" s="182">
        <f t="shared" si="4"/>
        <v>3.9</v>
      </c>
      <c r="K29" s="182">
        <f t="shared" si="5"/>
        <v>4.446</v>
      </c>
      <c r="M29" s="183"/>
    </row>
    <row r="30" ht="19.5" customHeight="1">
      <c r="A30" s="180"/>
      <c r="B30" s="83" t="s">
        <v>519</v>
      </c>
      <c r="C30" s="38">
        <v>1.0</v>
      </c>
      <c r="D30" s="47">
        <v>2.1</v>
      </c>
      <c r="E30" s="38">
        <v>0.14</v>
      </c>
      <c r="F30" s="181">
        <v>0.3</v>
      </c>
      <c r="G30" s="181">
        <f t="shared" si="1"/>
        <v>0.35</v>
      </c>
      <c r="H30" s="182">
        <f t="shared" si="2"/>
        <v>0.3969</v>
      </c>
      <c r="I30" s="182">
        <f t="shared" si="3"/>
        <v>0.294</v>
      </c>
      <c r="J30" s="182">
        <f t="shared" si="4"/>
        <v>1.26</v>
      </c>
      <c r="K30" s="182">
        <f t="shared" si="5"/>
        <v>1.554</v>
      </c>
      <c r="M30" s="183"/>
    </row>
    <row r="31" ht="19.5" customHeight="1">
      <c r="A31" s="180"/>
      <c r="B31" s="83" t="s">
        <v>520</v>
      </c>
      <c r="C31" s="38">
        <v>1.0</v>
      </c>
      <c r="D31" s="47">
        <v>3.9</v>
      </c>
      <c r="E31" s="38">
        <v>0.14</v>
      </c>
      <c r="F31" s="181">
        <v>0.3</v>
      </c>
      <c r="G31" s="181">
        <f t="shared" si="1"/>
        <v>0.35</v>
      </c>
      <c r="H31" s="182">
        <f t="shared" si="2"/>
        <v>0.7371</v>
      </c>
      <c r="I31" s="182">
        <f t="shared" si="3"/>
        <v>0.546</v>
      </c>
      <c r="J31" s="182">
        <f t="shared" si="4"/>
        <v>2.34</v>
      </c>
      <c r="K31" s="182">
        <f t="shared" si="5"/>
        <v>2.886</v>
      </c>
      <c r="M31" s="183"/>
    </row>
    <row r="32" ht="19.5" customHeight="1">
      <c r="A32" s="180"/>
      <c r="B32" s="83" t="s">
        <v>521</v>
      </c>
      <c r="C32" s="38">
        <v>1.0</v>
      </c>
      <c r="D32" s="47">
        <v>2.19</v>
      </c>
      <c r="E32" s="38">
        <v>0.2</v>
      </c>
      <c r="F32" s="181">
        <v>0.5</v>
      </c>
      <c r="G32" s="181">
        <f t="shared" si="1"/>
        <v>0.55</v>
      </c>
      <c r="H32" s="182">
        <f t="shared" si="2"/>
        <v>0.7227</v>
      </c>
      <c r="I32" s="182">
        <f t="shared" si="3"/>
        <v>0.438</v>
      </c>
      <c r="J32" s="182">
        <f t="shared" si="4"/>
        <v>2.19</v>
      </c>
      <c r="K32" s="182">
        <f t="shared" si="5"/>
        <v>2.628</v>
      </c>
      <c r="M32" s="183"/>
    </row>
    <row r="33" ht="19.5" customHeight="1">
      <c r="A33" s="180"/>
      <c r="B33" s="83" t="s">
        <v>522</v>
      </c>
      <c r="C33" s="38">
        <v>1.0</v>
      </c>
      <c r="D33" s="47">
        <v>2.33</v>
      </c>
      <c r="E33" s="38">
        <v>0.14</v>
      </c>
      <c r="F33" s="181">
        <v>0.5</v>
      </c>
      <c r="G33" s="181">
        <f t="shared" si="1"/>
        <v>0.55</v>
      </c>
      <c r="H33" s="182">
        <f t="shared" si="2"/>
        <v>0.69201</v>
      </c>
      <c r="I33" s="182">
        <f t="shared" si="3"/>
        <v>0.3262</v>
      </c>
      <c r="J33" s="182">
        <f t="shared" si="4"/>
        <v>2.33</v>
      </c>
      <c r="K33" s="182">
        <f t="shared" si="5"/>
        <v>2.6562</v>
      </c>
      <c r="M33" s="183"/>
    </row>
    <row r="34" ht="19.5" customHeight="1">
      <c r="A34" s="180"/>
      <c r="B34" s="83" t="s">
        <v>523</v>
      </c>
      <c r="C34" s="38">
        <v>1.0</v>
      </c>
      <c r="D34" s="47">
        <v>3.9</v>
      </c>
      <c r="E34" s="38">
        <v>0.2</v>
      </c>
      <c r="F34" s="181">
        <v>0.5</v>
      </c>
      <c r="G34" s="181">
        <f t="shared" si="1"/>
        <v>0.55</v>
      </c>
      <c r="H34" s="182">
        <f t="shared" si="2"/>
        <v>1.287</v>
      </c>
      <c r="I34" s="182">
        <f t="shared" si="3"/>
        <v>0.78</v>
      </c>
      <c r="J34" s="182">
        <f t="shared" si="4"/>
        <v>3.9</v>
      </c>
      <c r="K34" s="182">
        <f t="shared" si="5"/>
        <v>4.68</v>
      </c>
      <c r="M34" s="183"/>
    </row>
    <row r="35" ht="19.5" customHeight="1">
      <c r="A35" s="180"/>
      <c r="B35" s="83" t="s">
        <v>524</v>
      </c>
      <c r="C35" s="38">
        <v>1.0</v>
      </c>
      <c r="D35" s="47">
        <v>2.35</v>
      </c>
      <c r="E35" s="38">
        <v>0.14</v>
      </c>
      <c r="F35" s="181">
        <v>0.5</v>
      </c>
      <c r="G35" s="181">
        <f t="shared" si="1"/>
        <v>0.55</v>
      </c>
      <c r="H35" s="182">
        <f t="shared" si="2"/>
        <v>0.69795</v>
      </c>
      <c r="I35" s="182">
        <f t="shared" si="3"/>
        <v>0.329</v>
      </c>
      <c r="J35" s="182">
        <f t="shared" si="4"/>
        <v>2.35</v>
      </c>
      <c r="K35" s="182">
        <f t="shared" si="5"/>
        <v>2.679</v>
      </c>
      <c r="M35" s="183"/>
    </row>
    <row r="36" ht="19.5" customHeight="1">
      <c r="A36" s="180"/>
      <c r="B36" s="83" t="s">
        <v>525</v>
      </c>
      <c r="C36" s="38">
        <v>1.0</v>
      </c>
      <c r="D36" s="47">
        <v>2.2</v>
      </c>
      <c r="E36" s="38">
        <v>0.2</v>
      </c>
      <c r="F36" s="181">
        <v>0.5</v>
      </c>
      <c r="G36" s="181">
        <f t="shared" si="1"/>
        <v>0.55</v>
      </c>
      <c r="H36" s="182">
        <f t="shared" si="2"/>
        <v>0.726</v>
      </c>
      <c r="I36" s="182">
        <f t="shared" si="3"/>
        <v>0.44</v>
      </c>
      <c r="J36" s="182">
        <f t="shared" si="4"/>
        <v>2.2</v>
      </c>
      <c r="K36" s="182">
        <f t="shared" si="5"/>
        <v>2.64</v>
      </c>
      <c r="M36" s="183"/>
    </row>
    <row r="37" ht="19.5" customHeight="1">
      <c r="A37" s="180"/>
      <c r="B37" s="83" t="s">
        <v>526</v>
      </c>
      <c r="C37" s="38">
        <v>1.0</v>
      </c>
      <c r="D37" s="47">
        <v>16.45</v>
      </c>
      <c r="E37" s="38">
        <v>0.14</v>
      </c>
      <c r="F37" s="181">
        <v>0.55</v>
      </c>
      <c r="G37" s="181">
        <f t="shared" si="1"/>
        <v>0.6</v>
      </c>
      <c r="H37" s="182">
        <f t="shared" si="2"/>
        <v>5.3298</v>
      </c>
      <c r="I37" s="182">
        <f t="shared" si="3"/>
        <v>2.303</v>
      </c>
      <c r="J37" s="182">
        <f t="shared" si="4"/>
        <v>18.095</v>
      </c>
      <c r="K37" s="182">
        <f t="shared" si="5"/>
        <v>20.398</v>
      </c>
      <c r="M37" s="183"/>
    </row>
    <row r="38" ht="19.5" customHeight="1">
      <c r="A38" s="180"/>
      <c r="B38" s="83" t="s">
        <v>527</v>
      </c>
      <c r="C38" s="38">
        <v>1.0</v>
      </c>
      <c r="D38" s="47">
        <v>2.19</v>
      </c>
      <c r="E38" s="38">
        <v>0.2</v>
      </c>
      <c r="F38" s="181">
        <v>0.5</v>
      </c>
      <c r="G38" s="181">
        <f t="shared" si="1"/>
        <v>0.55</v>
      </c>
      <c r="H38" s="182">
        <f t="shared" si="2"/>
        <v>0.7227</v>
      </c>
      <c r="I38" s="182">
        <f t="shared" si="3"/>
        <v>0.438</v>
      </c>
      <c r="J38" s="182">
        <f t="shared" si="4"/>
        <v>2.19</v>
      </c>
      <c r="K38" s="182">
        <f t="shared" si="5"/>
        <v>2.628</v>
      </c>
      <c r="M38" s="183"/>
    </row>
    <row r="39" ht="19.5" customHeight="1">
      <c r="A39" s="180"/>
      <c r="B39" s="83" t="s">
        <v>528</v>
      </c>
      <c r="C39" s="38">
        <v>1.0</v>
      </c>
      <c r="D39" s="47">
        <v>8.96</v>
      </c>
      <c r="E39" s="38">
        <v>0.14</v>
      </c>
      <c r="F39" s="181">
        <v>0.5</v>
      </c>
      <c r="G39" s="181">
        <f t="shared" si="1"/>
        <v>0.55</v>
      </c>
      <c r="H39" s="182">
        <f t="shared" si="2"/>
        <v>2.66112</v>
      </c>
      <c r="I39" s="182">
        <f t="shared" si="3"/>
        <v>1.2544</v>
      </c>
      <c r="J39" s="182">
        <f t="shared" si="4"/>
        <v>8.96</v>
      </c>
      <c r="K39" s="182">
        <f t="shared" si="5"/>
        <v>10.2144</v>
      </c>
      <c r="M39" s="183"/>
    </row>
    <row r="40" ht="19.5" customHeight="1">
      <c r="A40" s="180"/>
      <c r="B40" s="83" t="s">
        <v>529</v>
      </c>
      <c r="C40" s="38">
        <v>1.0</v>
      </c>
      <c r="D40" s="47">
        <v>2.22</v>
      </c>
      <c r="E40" s="38">
        <v>0.2</v>
      </c>
      <c r="F40" s="181">
        <v>0.5</v>
      </c>
      <c r="G40" s="181">
        <f t="shared" si="1"/>
        <v>0.55</v>
      </c>
      <c r="H40" s="182">
        <f t="shared" si="2"/>
        <v>0.7326</v>
      </c>
      <c r="I40" s="182">
        <f t="shared" si="3"/>
        <v>0.444</v>
      </c>
      <c r="J40" s="182">
        <f t="shared" si="4"/>
        <v>2.22</v>
      </c>
      <c r="K40" s="182">
        <f t="shared" si="5"/>
        <v>2.664</v>
      </c>
      <c r="M40" s="183"/>
    </row>
    <row r="41" ht="19.5" customHeight="1">
      <c r="A41" s="180"/>
      <c r="B41" s="83" t="s">
        <v>530</v>
      </c>
      <c r="C41" s="38">
        <v>1.0</v>
      </c>
      <c r="D41" s="47">
        <v>16.45</v>
      </c>
      <c r="E41" s="38">
        <v>0.14</v>
      </c>
      <c r="F41" s="181">
        <v>0.55</v>
      </c>
      <c r="G41" s="181">
        <f t="shared" si="1"/>
        <v>0.6</v>
      </c>
      <c r="H41" s="182">
        <f t="shared" si="2"/>
        <v>5.3298</v>
      </c>
      <c r="I41" s="182">
        <f t="shared" si="3"/>
        <v>2.303</v>
      </c>
      <c r="J41" s="182">
        <f t="shared" si="4"/>
        <v>18.095</v>
      </c>
      <c r="K41" s="182">
        <f t="shared" si="5"/>
        <v>20.398</v>
      </c>
      <c r="M41" s="183"/>
    </row>
    <row r="42" ht="19.5" customHeight="1">
      <c r="A42" s="180"/>
      <c r="B42" s="83" t="s">
        <v>531</v>
      </c>
      <c r="C42" s="38">
        <v>1.0</v>
      </c>
      <c r="D42" s="47">
        <v>2.1</v>
      </c>
      <c r="E42" s="38">
        <v>0.14</v>
      </c>
      <c r="F42" s="181">
        <v>0.3</v>
      </c>
      <c r="G42" s="181">
        <f t="shared" si="1"/>
        <v>0.35</v>
      </c>
      <c r="H42" s="182">
        <f t="shared" si="2"/>
        <v>0.3969</v>
      </c>
      <c r="I42" s="182">
        <f t="shared" si="3"/>
        <v>0.294</v>
      </c>
      <c r="J42" s="182">
        <f t="shared" si="4"/>
        <v>1.26</v>
      </c>
      <c r="K42" s="182">
        <f t="shared" si="5"/>
        <v>1.554</v>
      </c>
      <c r="M42" s="183"/>
    </row>
    <row r="43" ht="19.5" customHeight="1">
      <c r="A43" s="180"/>
      <c r="B43" s="83" t="s">
        <v>532</v>
      </c>
      <c r="C43" s="38">
        <v>1.0</v>
      </c>
      <c r="D43" s="47">
        <v>16.45</v>
      </c>
      <c r="E43" s="38">
        <v>0.14</v>
      </c>
      <c r="F43" s="181">
        <v>0.55</v>
      </c>
      <c r="G43" s="181">
        <f t="shared" si="1"/>
        <v>0.6</v>
      </c>
      <c r="H43" s="182">
        <f t="shared" si="2"/>
        <v>5.3298</v>
      </c>
      <c r="I43" s="182">
        <f t="shared" si="3"/>
        <v>2.303</v>
      </c>
      <c r="J43" s="182">
        <f t="shared" si="4"/>
        <v>18.095</v>
      </c>
      <c r="K43" s="182">
        <f t="shared" si="5"/>
        <v>20.398</v>
      </c>
      <c r="M43" s="183"/>
    </row>
    <row r="44" ht="19.5" customHeight="1">
      <c r="A44" s="180"/>
      <c r="B44" s="83" t="s">
        <v>533</v>
      </c>
      <c r="C44" s="38">
        <v>1.0</v>
      </c>
      <c r="D44" s="47">
        <v>2.1</v>
      </c>
      <c r="E44" s="38">
        <v>0.14</v>
      </c>
      <c r="F44" s="181">
        <v>0.3</v>
      </c>
      <c r="G44" s="181">
        <f t="shared" si="1"/>
        <v>0.35</v>
      </c>
      <c r="H44" s="182">
        <f t="shared" si="2"/>
        <v>0.3969</v>
      </c>
      <c r="I44" s="182">
        <f t="shared" si="3"/>
        <v>0.294</v>
      </c>
      <c r="J44" s="182">
        <f t="shared" si="4"/>
        <v>1.26</v>
      </c>
      <c r="K44" s="182">
        <f t="shared" si="5"/>
        <v>1.554</v>
      </c>
      <c r="M44" s="183"/>
    </row>
    <row r="45" ht="19.5" customHeight="1">
      <c r="A45" s="180"/>
      <c r="B45" s="83" t="s">
        <v>534</v>
      </c>
      <c r="C45" s="38">
        <v>1.0</v>
      </c>
      <c r="D45" s="47">
        <v>8.96</v>
      </c>
      <c r="E45" s="38">
        <v>0.14</v>
      </c>
      <c r="F45" s="181">
        <v>0.35</v>
      </c>
      <c r="G45" s="181">
        <f t="shared" si="1"/>
        <v>0.4</v>
      </c>
      <c r="H45" s="182">
        <f t="shared" si="2"/>
        <v>1.93536</v>
      </c>
      <c r="I45" s="182">
        <f t="shared" si="3"/>
        <v>1.2544</v>
      </c>
      <c r="J45" s="182">
        <f t="shared" si="4"/>
        <v>6.272</v>
      </c>
      <c r="K45" s="182">
        <f t="shared" si="5"/>
        <v>7.5264</v>
      </c>
      <c r="M45" s="183"/>
    </row>
    <row r="46" ht="19.5" customHeight="1">
      <c r="A46" s="180"/>
      <c r="B46" s="83" t="s">
        <v>535</v>
      </c>
      <c r="C46" s="38">
        <v>1.0</v>
      </c>
      <c r="D46" s="47">
        <v>16.45</v>
      </c>
      <c r="E46" s="38">
        <v>0.14</v>
      </c>
      <c r="F46" s="181">
        <v>0.55</v>
      </c>
      <c r="G46" s="181">
        <f t="shared" si="1"/>
        <v>0.6</v>
      </c>
      <c r="H46" s="182">
        <f t="shared" si="2"/>
        <v>5.3298</v>
      </c>
      <c r="I46" s="182">
        <f t="shared" si="3"/>
        <v>2.303</v>
      </c>
      <c r="J46" s="182">
        <f t="shared" si="4"/>
        <v>18.095</v>
      </c>
      <c r="K46" s="182">
        <f t="shared" si="5"/>
        <v>20.398</v>
      </c>
      <c r="M46" s="183"/>
    </row>
    <row r="47" ht="19.5" customHeight="1">
      <c r="A47" s="180"/>
      <c r="B47" s="83" t="s">
        <v>536</v>
      </c>
      <c r="C47" s="38">
        <v>1.0</v>
      </c>
      <c r="D47" s="47">
        <v>2.1</v>
      </c>
      <c r="E47" s="38">
        <v>0.14</v>
      </c>
      <c r="F47" s="181">
        <v>0.3</v>
      </c>
      <c r="G47" s="181">
        <f t="shared" si="1"/>
        <v>0.35</v>
      </c>
      <c r="H47" s="182">
        <f t="shared" si="2"/>
        <v>0.3969</v>
      </c>
      <c r="I47" s="182">
        <f t="shared" si="3"/>
        <v>0.294</v>
      </c>
      <c r="J47" s="182">
        <f t="shared" si="4"/>
        <v>1.26</v>
      </c>
      <c r="K47" s="182">
        <f t="shared" si="5"/>
        <v>1.554</v>
      </c>
      <c r="M47" s="183"/>
    </row>
    <row r="48" ht="19.5" customHeight="1">
      <c r="A48" s="180"/>
      <c r="B48" s="83" t="s">
        <v>537</v>
      </c>
      <c r="C48" s="38">
        <v>1.0</v>
      </c>
      <c r="D48" s="47">
        <v>7.16</v>
      </c>
      <c r="E48" s="38">
        <v>0.14</v>
      </c>
      <c r="F48" s="181">
        <v>0.55</v>
      </c>
      <c r="G48" s="181">
        <f t="shared" si="1"/>
        <v>0.6</v>
      </c>
      <c r="H48" s="182">
        <f t="shared" si="2"/>
        <v>2.31984</v>
      </c>
      <c r="I48" s="182">
        <f t="shared" si="3"/>
        <v>1.0024</v>
      </c>
      <c r="J48" s="182">
        <f t="shared" si="4"/>
        <v>7.876</v>
      </c>
      <c r="K48" s="182">
        <f t="shared" si="5"/>
        <v>8.8784</v>
      </c>
      <c r="M48" s="183"/>
    </row>
    <row r="49" ht="19.5" customHeight="1">
      <c r="A49" s="180"/>
      <c r="B49" s="83" t="s">
        <v>538</v>
      </c>
      <c r="C49" s="38">
        <v>1.0</v>
      </c>
      <c r="D49" s="47">
        <v>4.5</v>
      </c>
      <c r="E49" s="38">
        <v>0.2</v>
      </c>
      <c r="F49" s="181">
        <v>0.4</v>
      </c>
      <c r="G49" s="181">
        <f t="shared" si="1"/>
        <v>0.45</v>
      </c>
      <c r="H49" s="182">
        <f t="shared" si="2"/>
        <v>1.215</v>
      </c>
      <c r="I49" s="182">
        <f t="shared" si="3"/>
        <v>0.9</v>
      </c>
      <c r="J49" s="182">
        <f t="shared" si="4"/>
        <v>3.6</v>
      </c>
      <c r="K49" s="182">
        <f t="shared" si="5"/>
        <v>4.5</v>
      </c>
      <c r="M49" s="183"/>
    </row>
    <row r="50" ht="19.5" customHeight="1">
      <c r="A50" s="180"/>
      <c r="B50" s="83" t="s">
        <v>539</v>
      </c>
      <c r="C50" s="38">
        <v>1.0</v>
      </c>
      <c r="D50" s="47">
        <v>4.5</v>
      </c>
      <c r="E50" s="38">
        <v>0.14</v>
      </c>
      <c r="F50" s="181">
        <v>0.35</v>
      </c>
      <c r="G50" s="181">
        <f t="shared" si="1"/>
        <v>0.4</v>
      </c>
      <c r="H50" s="182">
        <f t="shared" si="2"/>
        <v>0.972</v>
      </c>
      <c r="I50" s="182">
        <f t="shared" si="3"/>
        <v>0.63</v>
      </c>
      <c r="J50" s="182">
        <f t="shared" si="4"/>
        <v>3.15</v>
      </c>
      <c r="K50" s="182">
        <f t="shared" si="5"/>
        <v>3.78</v>
      </c>
      <c r="M50" s="183"/>
    </row>
    <row r="51" ht="19.5" customHeight="1">
      <c r="A51" s="180"/>
      <c r="B51" s="83" t="s">
        <v>540</v>
      </c>
      <c r="C51" s="38">
        <v>1.0</v>
      </c>
      <c r="D51" s="47">
        <v>4.5</v>
      </c>
      <c r="E51" s="38">
        <v>0.2</v>
      </c>
      <c r="F51" s="181">
        <v>0.4</v>
      </c>
      <c r="G51" s="181">
        <f t="shared" si="1"/>
        <v>0.45</v>
      </c>
      <c r="H51" s="182">
        <f t="shared" si="2"/>
        <v>1.215</v>
      </c>
      <c r="I51" s="182">
        <f t="shared" si="3"/>
        <v>0.9</v>
      </c>
      <c r="J51" s="182">
        <f t="shared" si="4"/>
        <v>3.6</v>
      </c>
      <c r="K51" s="182">
        <f t="shared" si="5"/>
        <v>4.5</v>
      </c>
      <c r="M51" s="183"/>
    </row>
    <row r="52" ht="19.5" customHeight="1">
      <c r="A52" s="180"/>
      <c r="B52" s="83" t="s">
        <v>541</v>
      </c>
      <c r="C52" s="38">
        <v>1.0</v>
      </c>
      <c r="D52" s="47">
        <v>6.65</v>
      </c>
      <c r="E52" s="38">
        <v>0.14</v>
      </c>
      <c r="F52" s="181">
        <v>0.55</v>
      </c>
      <c r="G52" s="181">
        <f t="shared" si="1"/>
        <v>0.6</v>
      </c>
      <c r="H52" s="182">
        <f t="shared" si="2"/>
        <v>2.1546</v>
      </c>
      <c r="I52" s="182">
        <f t="shared" si="3"/>
        <v>0.931</v>
      </c>
      <c r="J52" s="182">
        <f t="shared" si="4"/>
        <v>7.315</v>
      </c>
      <c r="K52" s="182">
        <f t="shared" si="5"/>
        <v>8.246</v>
      </c>
      <c r="M52" s="183"/>
    </row>
    <row r="53" ht="19.5" customHeight="1">
      <c r="A53" s="180"/>
      <c r="B53" s="83" t="s">
        <v>542</v>
      </c>
      <c r="C53" s="38">
        <v>1.0</v>
      </c>
      <c r="D53" s="47">
        <v>9.3</v>
      </c>
      <c r="E53" s="38">
        <v>0.14</v>
      </c>
      <c r="F53" s="181">
        <v>0.6</v>
      </c>
      <c r="G53" s="181">
        <f t="shared" si="1"/>
        <v>0.65</v>
      </c>
      <c r="H53" s="182">
        <f t="shared" si="2"/>
        <v>3.2643</v>
      </c>
      <c r="I53" s="182">
        <f t="shared" si="3"/>
        <v>1.302</v>
      </c>
      <c r="J53" s="182">
        <f t="shared" si="4"/>
        <v>11.16</v>
      </c>
      <c r="K53" s="182">
        <f t="shared" si="5"/>
        <v>12.462</v>
      </c>
      <c r="M53" s="183"/>
    </row>
    <row r="54" ht="19.5" customHeight="1">
      <c r="A54" s="180"/>
      <c r="B54" s="83" t="s">
        <v>543</v>
      </c>
      <c r="C54" s="38">
        <v>1.0</v>
      </c>
      <c r="D54" s="47">
        <v>4.5</v>
      </c>
      <c r="E54" s="38">
        <v>0.2</v>
      </c>
      <c r="F54" s="181">
        <v>0.4</v>
      </c>
      <c r="G54" s="181">
        <f t="shared" si="1"/>
        <v>0.45</v>
      </c>
      <c r="H54" s="182">
        <f t="shared" si="2"/>
        <v>1.215</v>
      </c>
      <c r="I54" s="182">
        <f t="shared" si="3"/>
        <v>0.9</v>
      </c>
      <c r="J54" s="182">
        <f t="shared" si="4"/>
        <v>3.6</v>
      </c>
      <c r="K54" s="182">
        <f t="shared" si="5"/>
        <v>4.5</v>
      </c>
      <c r="M54" s="183"/>
    </row>
    <row r="55" ht="19.5" customHeight="1">
      <c r="A55" s="180"/>
      <c r="B55" s="83" t="s">
        <v>544</v>
      </c>
      <c r="C55" s="38">
        <v>1.0</v>
      </c>
      <c r="D55" s="47">
        <v>4.5</v>
      </c>
      <c r="E55" s="38">
        <v>0.14</v>
      </c>
      <c r="F55" s="181">
        <v>0.35</v>
      </c>
      <c r="G55" s="181">
        <f t="shared" si="1"/>
        <v>0.4</v>
      </c>
      <c r="H55" s="182">
        <f t="shared" si="2"/>
        <v>0.972</v>
      </c>
      <c r="I55" s="182">
        <f t="shared" si="3"/>
        <v>0.63</v>
      </c>
      <c r="J55" s="182">
        <f t="shared" si="4"/>
        <v>3.15</v>
      </c>
      <c r="K55" s="182">
        <f t="shared" si="5"/>
        <v>3.78</v>
      </c>
      <c r="M55" s="183"/>
    </row>
    <row r="56" ht="19.5" customHeight="1">
      <c r="A56" s="180"/>
      <c r="B56" s="83" t="s">
        <v>545</v>
      </c>
      <c r="C56" s="38">
        <v>1.0</v>
      </c>
      <c r="D56" s="47">
        <v>4.5</v>
      </c>
      <c r="E56" s="38">
        <v>0.2</v>
      </c>
      <c r="F56" s="181">
        <v>0.4</v>
      </c>
      <c r="G56" s="181">
        <f t="shared" si="1"/>
        <v>0.45</v>
      </c>
      <c r="H56" s="182">
        <f t="shared" si="2"/>
        <v>1.215</v>
      </c>
      <c r="I56" s="182">
        <f t="shared" si="3"/>
        <v>0.9</v>
      </c>
      <c r="J56" s="182">
        <f t="shared" si="4"/>
        <v>3.6</v>
      </c>
      <c r="K56" s="182">
        <f t="shared" si="5"/>
        <v>4.5</v>
      </c>
      <c r="M56" s="183"/>
    </row>
    <row r="57" ht="19.5" customHeight="1">
      <c r="A57" s="180"/>
      <c r="B57" s="83" t="s">
        <v>546</v>
      </c>
      <c r="C57" s="38">
        <v>1.0</v>
      </c>
      <c r="D57" s="47">
        <v>16.45</v>
      </c>
      <c r="E57" s="38">
        <v>0.14</v>
      </c>
      <c r="F57" s="181">
        <v>0.55</v>
      </c>
      <c r="G57" s="181">
        <f t="shared" si="1"/>
        <v>0.6</v>
      </c>
      <c r="H57" s="182">
        <f t="shared" si="2"/>
        <v>5.3298</v>
      </c>
      <c r="I57" s="182">
        <f t="shared" si="3"/>
        <v>2.303</v>
      </c>
      <c r="J57" s="182">
        <f t="shared" si="4"/>
        <v>18.095</v>
      </c>
      <c r="K57" s="182">
        <f t="shared" si="5"/>
        <v>20.398</v>
      </c>
      <c r="M57" s="183"/>
    </row>
    <row r="58" ht="19.5" customHeight="1">
      <c r="A58" s="180"/>
      <c r="B58" s="83" t="s">
        <v>547</v>
      </c>
      <c r="C58" s="38">
        <v>1.0</v>
      </c>
      <c r="D58" s="47">
        <v>2.1</v>
      </c>
      <c r="E58" s="38">
        <v>0.14</v>
      </c>
      <c r="F58" s="181">
        <v>0.3</v>
      </c>
      <c r="G58" s="181">
        <f t="shared" si="1"/>
        <v>0.35</v>
      </c>
      <c r="H58" s="182">
        <f t="shared" si="2"/>
        <v>0.3969</v>
      </c>
      <c r="I58" s="182">
        <f t="shared" si="3"/>
        <v>0.294</v>
      </c>
      <c r="J58" s="182">
        <f t="shared" si="4"/>
        <v>1.26</v>
      </c>
      <c r="K58" s="182">
        <f t="shared" si="5"/>
        <v>1.554</v>
      </c>
      <c r="M58" s="183"/>
    </row>
    <row r="59" ht="19.5" customHeight="1">
      <c r="A59" s="180"/>
      <c r="B59" s="83" t="s">
        <v>548</v>
      </c>
      <c r="C59" s="38">
        <v>1.0</v>
      </c>
      <c r="D59" s="47">
        <v>16.45</v>
      </c>
      <c r="E59" s="38">
        <v>0.14</v>
      </c>
      <c r="F59" s="181">
        <v>0.55</v>
      </c>
      <c r="G59" s="181">
        <f t="shared" si="1"/>
        <v>0.6</v>
      </c>
      <c r="H59" s="182">
        <f t="shared" si="2"/>
        <v>5.3298</v>
      </c>
      <c r="I59" s="182">
        <f t="shared" si="3"/>
        <v>2.303</v>
      </c>
      <c r="J59" s="182">
        <f t="shared" si="4"/>
        <v>18.095</v>
      </c>
      <c r="K59" s="182">
        <f t="shared" si="5"/>
        <v>20.398</v>
      </c>
      <c r="M59" s="183"/>
    </row>
    <row r="60" ht="19.5" customHeight="1">
      <c r="A60" s="180"/>
      <c r="B60" s="83" t="s">
        <v>549</v>
      </c>
      <c r="C60" s="38">
        <v>1.0</v>
      </c>
      <c r="D60" s="47">
        <v>2.1</v>
      </c>
      <c r="E60" s="38">
        <v>0.14</v>
      </c>
      <c r="F60" s="181">
        <v>0.3</v>
      </c>
      <c r="G60" s="181">
        <f t="shared" si="1"/>
        <v>0.35</v>
      </c>
      <c r="H60" s="182">
        <f t="shared" si="2"/>
        <v>0.3969</v>
      </c>
      <c r="I60" s="182">
        <f t="shared" si="3"/>
        <v>0.294</v>
      </c>
      <c r="J60" s="182">
        <f t="shared" si="4"/>
        <v>1.26</v>
      </c>
      <c r="K60" s="182">
        <f t="shared" si="5"/>
        <v>1.554</v>
      </c>
      <c r="M60" s="183"/>
    </row>
    <row r="61" ht="19.5" customHeight="1">
      <c r="A61" s="180"/>
      <c r="B61" s="83" t="s">
        <v>550</v>
      </c>
      <c r="C61" s="38">
        <v>1.0</v>
      </c>
      <c r="D61" s="47">
        <v>16.45</v>
      </c>
      <c r="E61" s="38">
        <v>0.14</v>
      </c>
      <c r="F61" s="181">
        <v>0.55</v>
      </c>
      <c r="G61" s="181">
        <f t="shared" si="1"/>
        <v>0.6</v>
      </c>
      <c r="H61" s="182">
        <f t="shared" si="2"/>
        <v>5.3298</v>
      </c>
      <c r="I61" s="182">
        <f t="shared" si="3"/>
        <v>2.303</v>
      </c>
      <c r="J61" s="182">
        <f t="shared" si="4"/>
        <v>18.095</v>
      </c>
      <c r="K61" s="182">
        <f t="shared" si="5"/>
        <v>20.398</v>
      </c>
      <c r="M61" s="183"/>
    </row>
    <row r="62" ht="19.5" customHeight="1">
      <c r="A62" s="180"/>
      <c r="B62" s="83" t="s">
        <v>551</v>
      </c>
      <c r="C62" s="38">
        <v>1.0</v>
      </c>
      <c r="D62" s="47">
        <v>2.15</v>
      </c>
      <c r="E62" s="38">
        <v>0.14</v>
      </c>
      <c r="F62" s="181">
        <v>0.3</v>
      </c>
      <c r="G62" s="181">
        <f t="shared" si="1"/>
        <v>0.35</v>
      </c>
      <c r="H62" s="182">
        <f t="shared" si="2"/>
        <v>0.40635</v>
      </c>
      <c r="I62" s="182">
        <f t="shared" si="3"/>
        <v>0.301</v>
      </c>
      <c r="J62" s="182">
        <f t="shared" si="4"/>
        <v>1.29</v>
      </c>
      <c r="K62" s="182">
        <f t="shared" si="5"/>
        <v>1.591</v>
      </c>
      <c r="M62" s="183"/>
    </row>
    <row r="63" ht="19.5" customHeight="1">
      <c r="A63" s="180"/>
      <c r="B63" s="83" t="s">
        <v>552</v>
      </c>
      <c r="C63" s="38">
        <v>1.0</v>
      </c>
      <c r="D63" s="47">
        <v>2.13</v>
      </c>
      <c r="E63" s="38">
        <v>0.14</v>
      </c>
      <c r="F63" s="181">
        <v>0.3</v>
      </c>
      <c r="G63" s="181">
        <f t="shared" si="1"/>
        <v>0.35</v>
      </c>
      <c r="H63" s="182">
        <f t="shared" si="2"/>
        <v>0.40257</v>
      </c>
      <c r="I63" s="182">
        <f t="shared" si="3"/>
        <v>0.2982</v>
      </c>
      <c r="J63" s="182">
        <f t="shared" si="4"/>
        <v>1.278</v>
      </c>
      <c r="K63" s="182">
        <f t="shared" si="5"/>
        <v>1.5762</v>
      </c>
      <c r="M63" s="183"/>
    </row>
    <row r="64" ht="19.5" customHeight="1">
      <c r="A64" s="180"/>
      <c r="B64" s="83" t="s">
        <v>553</v>
      </c>
      <c r="C64" s="38">
        <v>1.0</v>
      </c>
      <c r="D64" s="47">
        <v>2.13</v>
      </c>
      <c r="E64" s="38">
        <v>0.14</v>
      </c>
      <c r="F64" s="181">
        <v>0.3</v>
      </c>
      <c r="G64" s="181">
        <f t="shared" si="1"/>
        <v>0.35</v>
      </c>
      <c r="H64" s="182">
        <f t="shared" si="2"/>
        <v>0.40257</v>
      </c>
      <c r="I64" s="182">
        <f t="shared" si="3"/>
        <v>0.2982</v>
      </c>
      <c r="J64" s="182">
        <f t="shared" si="4"/>
        <v>1.278</v>
      </c>
      <c r="K64" s="182">
        <f t="shared" si="5"/>
        <v>1.5762</v>
      </c>
      <c r="M64" s="183"/>
    </row>
    <row r="65" ht="19.5" customHeight="1">
      <c r="A65" s="180"/>
      <c r="B65" s="83" t="s">
        <v>554</v>
      </c>
      <c r="C65" s="38">
        <v>1.0</v>
      </c>
      <c r="D65" s="47">
        <v>2.13</v>
      </c>
      <c r="E65" s="38">
        <v>0.14</v>
      </c>
      <c r="F65" s="181">
        <v>0.3</v>
      </c>
      <c r="G65" s="181">
        <f t="shared" si="1"/>
        <v>0.35</v>
      </c>
      <c r="H65" s="182">
        <f t="shared" si="2"/>
        <v>0.40257</v>
      </c>
      <c r="I65" s="182">
        <f t="shared" si="3"/>
        <v>0.2982</v>
      </c>
      <c r="J65" s="182">
        <f t="shared" si="4"/>
        <v>1.278</v>
      </c>
      <c r="K65" s="182">
        <f t="shared" si="5"/>
        <v>1.5762</v>
      </c>
      <c r="L65" s="184">
        <f>SUM(K11:K65)</f>
        <v>576.8578</v>
      </c>
      <c r="M65" s="183"/>
    </row>
    <row r="66" ht="19.5" customHeight="1">
      <c r="A66" s="176" t="s">
        <v>1</v>
      </c>
      <c r="B66" s="99" t="s">
        <v>644</v>
      </c>
      <c r="C66" s="99" t="s">
        <v>645</v>
      </c>
      <c r="D66" s="177" t="s">
        <v>646</v>
      </c>
      <c r="E66" s="51" t="s">
        <v>647</v>
      </c>
      <c r="F66" s="52" t="s">
        <v>648</v>
      </c>
      <c r="G66" s="52" t="s">
        <v>649</v>
      </c>
      <c r="H66" s="178" t="s">
        <v>650</v>
      </c>
      <c r="I66" s="178" t="s">
        <v>651</v>
      </c>
      <c r="J66" s="177" t="s">
        <v>654</v>
      </c>
      <c r="K66" s="179" t="s">
        <v>653</v>
      </c>
      <c r="L66" s="185"/>
      <c r="M66" s="185"/>
      <c r="N66" s="185"/>
      <c r="O66" s="185"/>
      <c r="P66" s="185"/>
      <c r="Q66" s="185"/>
      <c r="R66" s="185"/>
      <c r="S66" s="185"/>
      <c r="T66" s="185"/>
      <c r="U66" s="185"/>
      <c r="V66" s="185"/>
      <c r="W66" s="185"/>
      <c r="X66" s="185"/>
      <c r="Y66" s="185"/>
      <c r="Z66" s="185"/>
    </row>
    <row r="67" ht="19.5" customHeight="1">
      <c r="A67" s="186"/>
      <c r="B67" s="187" t="s">
        <v>655</v>
      </c>
      <c r="C67" s="67">
        <v>11.0</v>
      </c>
      <c r="D67" s="67"/>
      <c r="E67" s="67"/>
      <c r="F67" s="67"/>
      <c r="G67" s="67">
        <f t="shared" ref="G67:G75" si="6">0.05+1.5</f>
        <v>1.55</v>
      </c>
      <c r="H67" s="182">
        <f t="shared" ref="H67:H75" si="7">J67*G67*C67</f>
        <v>47.399</v>
      </c>
      <c r="I67" s="182">
        <f>1.6272*C67</f>
        <v>17.8992</v>
      </c>
      <c r="J67" s="182">
        <f>2.78</f>
        <v>2.78</v>
      </c>
      <c r="K67" s="188"/>
      <c r="L67" s="185"/>
      <c r="M67" s="185"/>
      <c r="N67" s="185"/>
      <c r="O67" s="185"/>
      <c r="P67" s="185"/>
      <c r="Q67" s="185"/>
      <c r="R67" s="185"/>
      <c r="S67" s="185"/>
      <c r="T67" s="185"/>
      <c r="U67" s="185"/>
      <c r="V67" s="185"/>
      <c r="W67" s="185"/>
      <c r="X67" s="185"/>
      <c r="Y67" s="185"/>
      <c r="Z67" s="185"/>
    </row>
    <row r="68" ht="19.5" customHeight="1">
      <c r="A68" s="186"/>
      <c r="B68" s="187" t="s">
        <v>656</v>
      </c>
      <c r="C68" s="67">
        <v>11.0</v>
      </c>
      <c r="D68" s="67"/>
      <c r="E68" s="67"/>
      <c r="F68" s="67"/>
      <c r="G68" s="67">
        <f t="shared" si="6"/>
        <v>1.55</v>
      </c>
      <c r="H68" s="182">
        <f t="shared" si="7"/>
        <v>61.5505</v>
      </c>
      <c r="I68" s="189">
        <f>C68*2.25</f>
        <v>24.75</v>
      </c>
      <c r="J68" s="189">
        <v>3.61</v>
      </c>
      <c r="K68" s="188"/>
      <c r="L68" s="185"/>
      <c r="M68" s="185"/>
      <c r="N68" s="185"/>
      <c r="O68" s="185"/>
      <c r="P68" s="185"/>
      <c r="Q68" s="185"/>
      <c r="R68" s="185"/>
      <c r="S68" s="185"/>
      <c r="T68" s="185"/>
      <c r="U68" s="185"/>
      <c r="V68" s="185"/>
      <c r="W68" s="185"/>
      <c r="X68" s="185"/>
      <c r="Y68" s="185"/>
      <c r="Z68" s="185"/>
    </row>
    <row r="69" ht="19.5" customHeight="1">
      <c r="A69" s="186"/>
      <c r="B69" s="187" t="s">
        <v>657</v>
      </c>
      <c r="C69" s="67">
        <v>1.0</v>
      </c>
      <c r="D69" s="67"/>
      <c r="E69" s="67"/>
      <c r="F69" s="67"/>
      <c r="G69" s="67">
        <f t="shared" si="6"/>
        <v>1.55</v>
      </c>
      <c r="H69" s="182">
        <f t="shared" si="7"/>
        <v>3.906</v>
      </c>
      <c r="I69" s="189">
        <f>C69*1.36</f>
        <v>1.36</v>
      </c>
      <c r="J69" s="189">
        <v>2.52</v>
      </c>
      <c r="K69" s="188"/>
      <c r="L69" s="185"/>
      <c r="M69" s="185"/>
      <c r="N69" s="185"/>
      <c r="O69" s="185"/>
      <c r="P69" s="185"/>
      <c r="Q69" s="185"/>
      <c r="R69" s="185"/>
      <c r="S69" s="185"/>
      <c r="T69" s="185"/>
      <c r="U69" s="185"/>
      <c r="V69" s="185"/>
      <c r="W69" s="185"/>
      <c r="X69" s="185"/>
      <c r="Y69" s="185"/>
      <c r="Z69" s="185"/>
    </row>
    <row r="70">
      <c r="A70" s="186"/>
      <c r="B70" s="190" t="s">
        <v>658</v>
      </c>
      <c r="C70" s="67">
        <v>18.0</v>
      </c>
      <c r="D70" s="67"/>
      <c r="E70" s="67"/>
      <c r="F70" s="67"/>
      <c r="G70" s="67">
        <f t="shared" si="6"/>
        <v>1.55</v>
      </c>
      <c r="H70" s="182">
        <f t="shared" si="7"/>
        <v>53.01</v>
      </c>
      <c r="I70" s="189">
        <f>C70* 0.9</f>
        <v>16.2</v>
      </c>
      <c r="J70" s="189">
        <v>1.9</v>
      </c>
      <c r="K70" s="188"/>
      <c r="L70" s="185"/>
      <c r="M70" s="185"/>
      <c r="N70" s="185"/>
      <c r="O70" s="185"/>
      <c r="P70" s="185"/>
      <c r="Q70" s="185"/>
      <c r="R70" s="185"/>
      <c r="S70" s="185"/>
      <c r="T70" s="185"/>
      <c r="U70" s="185"/>
      <c r="V70" s="185"/>
      <c r="W70" s="185"/>
      <c r="X70" s="185"/>
      <c r="Y70" s="185"/>
      <c r="Z70" s="185"/>
    </row>
    <row r="71" ht="48.0" customHeight="1">
      <c r="A71" s="186"/>
      <c r="B71" s="190" t="s">
        <v>659</v>
      </c>
      <c r="C71" s="67">
        <v>36.0</v>
      </c>
      <c r="D71" s="67"/>
      <c r="E71" s="67"/>
      <c r="F71" s="67"/>
      <c r="G71" s="67">
        <f t="shared" si="6"/>
        <v>1.55</v>
      </c>
      <c r="H71" s="182">
        <f t="shared" si="7"/>
        <v>55.8</v>
      </c>
      <c r="I71" s="189">
        <f>C71* 0.36</f>
        <v>12.96</v>
      </c>
      <c r="J71" s="189">
        <v>1.0</v>
      </c>
      <c r="K71" s="188"/>
      <c r="L71" s="185"/>
      <c r="M71" s="185"/>
      <c r="N71" s="185"/>
      <c r="O71" s="185"/>
      <c r="P71" s="185"/>
      <c r="Q71" s="185"/>
      <c r="R71" s="185"/>
      <c r="S71" s="185"/>
      <c r="T71" s="185"/>
      <c r="U71" s="185"/>
      <c r="V71" s="185"/>
      <c r="W71" s="185"/>
      <c r="X71" s="185"/>
      <c r="Y71" s="185"/>
      <c r="Z71" s="185"/>
    </row>
    <row r="72" ht="33.0" customHeight="1">
      <c r="A72" s="186"/>
      <c r="B72" s="190" t="s">
        <v>660</v>
      </c>
      <c r="C72" s="67">
        <v>29.0</v>
      </c>
      <c r="D72" s="67"/>
      <c r="E72" s="67"/>
      <c r="F72" s="67"/>
      <c r="G72" s="67">
        <f t="shared" si="6"/>
        <v>1.55</v>
      </c>
      <c r="H72" s="182">
        <f t="shared" si="7"/>
        <v>115.5215</v>
      </c>
      <c r="I72" s="189">
        <f>C72* 1.4725</f>
        <v>42.7025</v>
      </c>
      <c r="J72" s="189">
        <v>2.57</v>
      </c>
      <c r="K72" s="188"/>
      <c r="L72" s="185"/>
      <c r="M72" s="185"/>
      <c r="N72" s="185"/>
      <c r="O72" s="185"/>
      <c r="P72" s="185"/>
      <c r="Q72" s="185"/>
      <c r="R72" s="185"/>
      <c r="S72" s="185"/>
      <c r="T72" s="185"/>
      <c r="U72" s="185"/>
      <c r="V72" s="185"/>
      <c r="W72" s="185"/>
      <c r="X72" s="185"/>
      <c r="Y72" s="185"/>
      <c r="Z72" s="185"/>
    </row>
    <row r="73" ht="19.5" customHeight="1">
      <c r="A73" s="186"/>
      <c r="B73" s="187" t="s">
        <v>661</v>
      </c>
      <c r="C73" s="67">
        <v>1.0</v>
      </c>
      <c r="D73" s="67"/>
      <c r="E73" s="67"/>
      <c r="F73" s="67"/>
      <c r="G73" s="67">
        <f t="shared" si="6"/>
        <v>1.55</v>
      </c>
      <c r="H73" s="182">
        <f t="shared" si="7"/>
        <v>5.5955</v>
      </c>
      <c r="I73" s="2">
        <f>2.25</f>
        <v>2.25</v>
      </c>
      <c r="J73" s="189">
        <v>3.61</v>
      </c>
      <c r="K73" s="188"/>
      <c r="L73" s="185"/>
      <c r="M73" s="185"/>
      <c r="N73" s="185"/>
      <c r="O73" s="185"/>
      <c r="P73" s="185"/>
      <c r="Q73" s="185"/>
      <c r="R73" s="185"/>
      <c r="S73" s="185"/>
      <c r="T73" s="185"/>
      <c r="U73" s="185"/>
      <c r="V73" s="185"/>
      <c r="W73" s="185"/>
      <c r="X73" s="185"/>
      <c r="Y73" s="185"/>
      <c r="Z73" s="185"/>
    </row>
    <row r="74" ht="19.5" customHeight="1">
      <c r="A74" s="186"/>
      <c r="B74" s="187" t="s">
        <v>662</v>
      </c>
      <c r="C74" s="67">
        <v>2.0</v>
      </c>
      <c r="D74" s="67"/>
      <c r="E74" s="67"/>
      <c r="F74" s="67"/>
      <c r="G74" s="67">
        <f t="shared" si="6"/>
        <v>1.55</v>
      </c>
      <c r="H74" s="182">
        <f t="shared" si="7"/>
        <v>7.967</v>
      </c>
      <c r="I74" s="189">
        <f>C74* 1.4725</f>
        <v>2.945</v>
      </c>
      <c r="J74" s="189">
        <v>2.57</v>
      </c>
      <c r="K74" s="188"/>
      <c r="L74" s="185"/>
      <c r="M74" s="185"/>
      <c r="N74" s="185"/>
      <c r="O74" s="185"/>
      <c r="P74" s="185"/>
      <c r="Q74" s="185"/>
      <c r="R74" s="185"/>
      <c r="S74" s="185"/>
      <c r="T74" s="185"/>
      <c r="U74" s="185"/>
      <c r="V74" s="185"/>
      <c r="W74" s="185"/>
      <c r="X74" s="185"/>
      <c r="Y74" s="185"/>
      <c r="Z74" s="185"/>
    </row>
    <row r="75" ht="19.5" customHeight="1">
      <c r="A75" s="186"/>
      <c r="B75" s="187" t="s">
        <v>663</v>
      </c>
      <c r="C75" s="67">
        <v>4.0</v>
      </c>
      <c r="D75" s="67"/>
      <c r="E75" s="67"/>
      <c r="F75" s="67"/>
      <c r="G75" s="67">
        <f t="shared" si="6"/>
        <v>1.55</v>
      </c>
      <c r="H75" s="182">
        <f t="shared" si="7"/>
        <v>11.78</v>
      </c>
      <c r="I75" s="189">
        <f>C75* 0.9</f>
        <v>3.6</v>
      </c>
      <c r="J75" s="189">
        <v>1.9</v>
      </c>
      <c r="K75" s="188"/>
      <c r="L75" s="185"/>
      <c r="M75" s="185"/>
      <c r="N75" s="185"/>
      <c r="O75" s="185"/>
      <c r="P75" s="185"/>
      <c r="Q75" s="185"/>
      <c r="R75" s="185"/>
      <c r="S75" s="185"/>
      <c r="T75" s="185"/>
      <c r="U75" s="185"/>
      <c r="V75" s="185"/>
      <c r="W75" s="185"/>
      <c r="X75" s="185"/>
      <c r="Y75" s="185"/>
      <c r="Z75" s="185"/>
    </row>
    <row r="76" ht="19.5" customHeight="1">
      <c r="A76" s="176" t="s">
        <v>1</v>
      </c>
      <c r="B76" s="99" t="s">
        <v>644</v>
      </c>
      <c r="C76" s="99" t="s">
        <v>645</v>
      </c>
      <c r="D76" s="177" t="s">
        <v>646</v>
      </c>
      <c r="E76" s="51" t="s">
        <v>647</v>
      </c>
      <c r="F76" s="52" t="s">
        <v>648</v>
      </c>
      <c r="G76" s="52" t="s">
        <v>649</v>
      </c>
      <c r="H76" s="178" t="s">
        <v>650</v>
      </c>
      <c r="I76" s="178" t="s">
        <v>651</v>
      </c>
      <c r="J76" s="177" t="s">
        <v>652</v>
      </c>
      <c r="K76" s="179" t="s">
        <v>653</v>
      </c>
      <c r="L76" s="185"/>
      <c r="M76" s="185"/>
      <c r="N76" s="185"/>
      <c r="O76" s="185"/>
      <c r="P76" s="185"/>
      <c r="Q76" s="185"/>
      <c r="R76" s="185"/>
      <c r="S76" s="185"/>
      <c r="T76" s="185"/>
      <c r="U76" s="185"/>
      <c r="V76" s="185"/>
      <c r="W76" s="185"/>
      <c r="X76" s="185"/>
      <c r="Y76" s="185"/>
      <c r="Z76" s="185"/>
    </row>
    <row r="77" ht="19.5" customHeight="1">
      <c r="A77" s="186"/>
      <c r="B77" s="191" t="s">
        <v>664</v>
      </c>
      <c r="C77" s="67">
        <v>18.0</v>
      </c>
      <c r="D77" s="67">
        <v>0.8</v>
      </c>
      <c r="E77" s="67">
        <v>0.35</v>
      </c>
      <c r="F77" s="67">
        <v>1.5</v>
      </c>
      <c r="G77" s="67">
        <f t="shared" ref="G77:G84" si="8">C77*D77*E77*F77</f>
        <v>7.56</v>
      </c>
      <c r="H77" s="182"/>
      <c r="I77" s="182"/>
      <c r="J77" s="182">
        <f t="shared" ref="J77:J84" si="9">C77*((D77+E77)*2)*F77</f>
        <v>62.1</v>
      </c>
      <c r="K77" s="182">
        <f t="shared" ref="K77:K84" si="10">C77*((D77+E77)*2)*F77</f>
        <v>62.1</v>
      </c>
      <c r="L77" s="185"/>
      <c r="M77" s="185"/>
      <c r="N77" s="185"/>
      <c r="O77" s="185"/>
      <c r="P77" s="185"/>
      <c r="Q77" s="185"/>
      <c r="R77" s="185"/>
      <c r="S77" s="185"/>
      <c r="T77" s="185"/>
      <c r="U77" s="185"/>
      <c r="V77" s="185"/>
      <c r="W77" s="185"/>
      <c r="X77" s="185"/>
      <c r="Y77" s="185"/>
      <c r="Z77" s="185"/>
    </row>
    <row r="78" ht="19.5" customHeight="1">
      <c r="A78" s="186"/>
      <c r="B78" s="191" t="s">
        <v>665</v>
      </c>
      <c r="C78" s="67">
        <v>4.0</v>
      </c>
      <c r="D78" s="189">
        <v>0.3</v>
      </c>
      <c r="E78" s="67">
        <v>0.18</v>
      </c>
      <c r="F78" s="67">
        <v>1.5</v>
      </c>
      <c r="G78" s="67">
        <f t="shared" si="8"/>
        <v>0.324</v>
      </c>
      <c r="H78" s="182"/>
      <c r="I78" s="182"/>
      <c r="J78" s="182">
        <f t="shared" si="9"/>
        <v>5.76</v>
      </c>
      <c r="K78" s="182">
        <f t="shared" si="10"/>
        <v>5.76</v>
      </c>
      <c r="L78" s="185"/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5"/>
    </row>
    <row r="79" ht="19.5" customHeight="1">
      <c r="A79" s="186"/>
      <c r="B79" s="191" t="s">
        <v>666</v>
      </c>
      <c r="C79" s="67">
        <v>22.0</v>
      </c>
      <c r="D79" s="189">
        <v>0.2</v>
      </c>
      <c r="E79" s="67">
        <v>0.2</v>
      </c>
      <c r="F79" s="67">
        <v>1.5</v>
      </c>
      <c r="G79" s="67">
        <f t="shared" si="8"/>
        <v>1.32</v>
      </c>
      <c r="H79" s="182"/>
      <c r="I79" s="182"/>
      <c r="J79" s="182">
        <f t="shared" si="9"/>
        <v>26.4</v>
      </c>
      <c r="K79" s="182">
        <f t="shared" si="10"/>
        <v>26.4</v>
      </c>
      <c r="L79" s="185"/>
      <c r="M79" s="185"/>
      <c r="N79" s="185"/>
      <c r="O79" s="185"/>
      <c r="P79" s="185"/>
      <c r="Q79" s="185"/>
      <c r="R79" s="185"/>
      <c r="S79" s="185"/>
      <c r="T79" s="185"/>
      <c r="U79" s="185"/>
      <c r="V79" s="185"/>
      <c r="W79" s="185"/>
      <c r="X79" s="185"/>
      <c r="Y79" s="185"/>
      <c r="Z79" s="185"/>
    </row>
    <row r="80" ht="19.5" customHeight="1">
      <c r="A80" s="186"/>
      <c r="B80" s="191" t="s">
        <v>667</v>
      </c>
      <c r="C80" s="67">
        <v>4.0</v>
      </c>
      <c r="D80" s="189">
        <v>0.2</v>
      </c>
      <c r="E80" s="67">
        <v>0.3</v>
      </c>
      <c r="F80" s="67">
        <v>1.5</v>
      </c>
      <c r="G80" s="67">
        <f t="shared" si="8"/>
        <v>0.36</v>
      </c>
      <c r="H80" s="182"/>
      <c r="I80" s="182"/>
      <c r="J80" s="182">
        <f t="shared" si="9"/>
        <v>6</v>
      </c>
      <c r="K80" s="182">
        <f t="shared" si="10"/>
        <v>6</v>
      </c>
      <c r="L80" s="185"/>
      <c r="M80" s="185"/>
      <c r="N80" s="185"/>
      <c r="O80" s="185"/>
      <c r="P80" s="185"/>
      <c r="Q80" s="185"/>
      <c r="R80" s="185"/>
      <c r="S80" s="185"/>
      <c r="T80" s="185"/>
      <c r="U80" s="185"/>
      <c r="V80" s="185"/>
      <c r="W80" s="185"/>
      <c r="X80" s="185"/>
      <c r="Y80" s="185"/>
      <c r="Z80" s="185"/>
    </row>
    <row r="81" ht="19.5" customHeight="1">
      <c r="A81" s="186"/>
      <c r="B81" s="191" t="s">
        <v>668</v>
      </c>
      <c r="C81" s="67">
        <v>24.0</v>
      </c>
      <c r="D81" s="189">
        <v>0.2</v>
      </c>
      <c r="E81" s="67">
        <v>0.4</v>
      </c>
      <c r="F81" s="67">
        <v>1.5</v>
      </c>
      <c r="G81" s="67">
        <f t="shared" si="8"/>
        <v>2.88</v>
      </c>
      <c r="H81" s="182"/>
      <c r="I81" s="182"/>
      <c r="J81" s="182">
        <f t="shared" si="9"/>
        <v>43.2</v>
      </c>
      <c r="K81" s="182">
        <f t="shared" si="10"/>
        <v>43.2</v>
      </c>
      <c r="L81" s="185"/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  <c r="X81" s="185"/>
      <c r="Y81" s="185"/>
      <c r="Z81" s="185"/>
    </row>
    <row r="82" ht="19.5" customHeight="1">
      <c r="A82" s="186"/>
      <c r="B82" s="191" t="s">
        <v>669</v>
      </c>
      <c r="C82" s="67">
        <v>16.0</v>
      </c>
      <c r="D82" s="189">
        <v>0.25</v>
      </c>
      <c r="E82" s="67">
        <v>0.5</v>
      </c>
      <c r="F82" s="67">
        <v>1.5</v>
      </c>
      <c r="G82" s="67">
        <f t="shared" si="8"/>
        <v>3</v>
      </c>
      <c r="H82" s="182"/>
      <c r="I82" s="182"/>
      <c r="J82" s="182">
        <f t="shared" si="9"/>
        <v>36</v>
      </c>
      <c r="K82" s="182">
        <f t="shared" si="10"/>
        <v>36</v>
      </c>
      <c r="L82" s="185"/>
      <c r="M82" s="185"/>
      <c r="N82" s="185"/>
      <c r="O82" s="185"/>
      <c r="P82" s="185"/>
      <c r="Q82" s="185"/>
      <c r="R82" s="185"/>
      <c r="S82" s="185"/>
      <c r="T82" s="185"/>
      <c r="U82" s="185"/>
      <c r="V82" s="185"/>
      <c r="W82" s="185"/>
      <c r="X82" s="185"/>
      <c r="Y82" s="185"/>
      <c r="Z82" s="185"/>
    </row>
    <row r="83" ht="19.5" customHeight="1">
      <c r="A83" s="186"/>
      <c r="B83" s="191" t="s">
        <v>670</v>
      </c>
      <c r="C83" s="67">
        <v>3.0</v>
      </c>
      <c r="D83" s="189">
        <v>0.25</v>
      </c>
      <c r="E83" s="67">
        <v>0.35</v>
      </c>
      <c r="F83" s="67">
        <v>1.5</v>
      </c>
      <c r="G83" s="67">
        <f t="shared" si="8"/>
        <v>0.39375</v>
      </c>
      <c r="H83" s="182"/>
      <c r="I83" s="182"/>
      <c r="J83" s="182">
        <f t="shared" si="9"/>
        <v>5.4</v>
      </c>
      <c r="K83" s="182">
        <f t="shared" si="10"/>
        <v>5.4</v>
      </c>
      <c r="L83" s="185"/>
      <c r="M83" s="185"/>
      <c r="N83" s="185"/>
      <c r="O83" s="185"/>
      <c r="P83" s="185"/>
      <c r="Q83" s="185"/>
      <c r="R83" s="185"/>
      <c r="S83" s="185"/>
      <c r="T83" s="185"/>
      <c r="U83" s="185"/>
      <c r="V83" s="185"/>
      <c r="W83" s="185"/>
      <c r="X83" s="185"/>
      <c r="Y83" s="185"/>
      <c r="Z83" s="185"/>
    </row>
    <row r="84" ht="19.5" customHeight="1">
      <c r="A84" s="186"/>
      <c r="B84" s="191" t="s">
        <v>671</v>
      </c>
      <c r="C84" s="67">
        <v>22.0</v>
      </c>
      <c r="D84" s="189">
        <v>0.25</v>
      </c>
      <c r="E84" s="67">
        <v>0.25</v>
      </c>
      <c r="F84" s="67">
        <v>1.5</v>
      </c>
      <c r="G84" s="67">
        <f t="shared" si="8"/>
        <v>2.0625</v>
      </c>
      <c r="H84" s="182"/>
      <c r="I84" s="182"/>
      <c r="J84" s="182">
        <f t="shared" si="9"/>
        <v>33</v>
      </c>
      <c r="K84" s="182">
        <f t="shared" si="10"/>
        <v>33</v>
      </c>
      <c r="L84" s="185"/>
      <c r="M84" s="185"/>
      <c r="N84" s="185"/>
      <c r="O84" s="185"/>
      <c r="P84" s="185"/>
      <c r="Q84" s="185"/>
      <c r="R84" s="185"/>
      <c r="S84" s="185"/>
      <c r="T84" s="185"/>
      <c r="U84" s="185"/>
      <c r="V84" s="185"/>
      <c r="W84" s="185"/>
      <c r="X84" s="185"/>
      <c r="Y84" s="185"/>
      <c r="Z84" s="185"/>
    </row>
    <row r="85" ht="19.5" customHeight="1">
      <c r="A85" s="186"/>
      <c r="B85" s="67"/>
      <c r="C85" s="187"/>
      <c r="D85" s="192"/>
      <c r="E85" s="67"/>
      <c r="F85" s="67"/>
      <c r="G85" s="67"/>
      <c r="H85" s="193"/>
      <c r="I85" s="193"/>
      <c r="J85" s="188"/>
      <c r="K85" s="188"/>
      <c r="L85" s="185"/>
      <c r="M85" s="185"/>
      <c r="N85" s="185"/>
      <c r="O85" s="185"/>
      <c r="P85" s="185"/>
      <c r="Q85" s="185"/>
      <c r="R85" s="185"/>
      <c r="S85" s="185"/>
      <c r="T85" s="185"/>
      <c r="U85" s="185"/>
      <c r="V85" s="185"/>
      <c r="W85" s="185"/>
      <c r="X85" s="185"/>
      <c r="Y85" s="185"/>
      <c r="Z85" s="185"/>
    </row>
    <row r="86" ht="19.5" customHeight="1">
      <c r="A86" s="144">
        <v>39848.0</v>
      </c>
      <c r="B86" s="67" t="s">
        <v>672</v>
      </c>
      <c r="C86" s="83" t="s">
        <v>103</v>
      </c>
      <c r="D86" s="132">
        <f>SUM(K11:K84)</f>
        <v>794.7178</v>
      </c>
      <c r="E86" s="102"/>
      <c r="F86" s="103"/>
      <c r="G86" s="103"/>
      <c r="H86" s="108"/>
      <c r="I86" s="108"/>
      <c r="J86" s="140"/>
      <c r="K86" s="106"/>
    </row>
    <row r="87" ht="19.5" customHeight="1">
      <c r="A87" s="144">
        <v>39451.0</v>
      </c>
      <c r="B87" s="194" t="s">
        <v>673</v>
      </c>
      <c r="C87" s="83" t="s">
        <v>103</v>
      </c>
      <c r="D87" s="132">
        <f>SUM(I11:I75)</f>
        <v>195.7415</v>
      </c>
      <c r="E87" s="102"/>
      <c r="F87" s="103"/>
      <c r="G87" s="103"/>
      <c r="H87" s="108"/>
      <c r="I87" s="108"/>
      <c r="J87" s="140"/>
      <c r="K87" s="106"/>
    </row>
    <row r="88" ht="19.5" customHeight="1">
      <c r="A88" s="144">
        <v>36895.0</v>
      </c>
      <c r="B88" s="194" t="s">
        <v>674</v>
      </c>
      <c r="C88" s="83" t="s">
        <v>148</v>
      </c>
      <c r="D88" s="132">
        <f>SUM(H11:H65)</f>
        <v>150.81855</v>
      </c>
      <c r="E88" s="102"/>
      <c r="F88" s="103"/>
      <c r="G88" s="103"/>
      <c r="H88" s="108"/>
      <c r="I88" s="108"/>
      <c r="J88" s="140"/>
      <c r="K88" s="106"/>
    </row>
    <row r="89" ht="19.5" customHeight="1">
      <c r="A89" s="144">
        <v>37260.0</v>
      </c>
      <c r="B89" s="194" t="s">
        <v>675</v>
      </c>
      <c r="C89" s="83" t="s">
        <v>148</v>
      </c>
      <c r="D89" s="132">
        <f>SUM(H67:H76)</f>
        <v>362.5295</v>
      </c>
      <c r="E89" s="102"/>
      <c r="F89" s="103"/>
      <c r="G89" s="103"/>
      <c r="H89" s="108"/>
      <c r="I89" s="108"/>
      <c r="J89" s="140"/>
      <c r="K89" s="106"/>
    </row>
    <row r="90" ht="19.5" customHeight="1">
      <c r="A90" s="144">
        <v>37625.0</v>
      </c>
      <c r="B90" s="194" t="s">
        <v>676</v>
      </c>
      <c r="C90" s="83" t="s">
        <v>148</v>
      </c>
      <c r="D90" s="132">
        <f>D87*0.05</f>
        <v>9.787075</v>
      </c>
      <c r="E90" s="102"/>
      <c r="F90" s="103"/>
      <c r="G90" s="103"/>
      <c r="H90" s="108"/>
      <c r="I90" s="108"/>
      <c r="J90" s="140"/>
      <c r="K90" s="106"/>
    </row>
    <row r="91" ht="19.5" customHeight="1">
      <c r="A91" s="144">
        <v>36926.0</v>
      </c>
      <c r="B91" s="194" t="s">
        <v>677</v>
      </c>
      <c r="C91" s="83" t="s">
        <v>103</v>
      </c>
      <c r="D91" s="132">
        <f>188.34+233.69+122.02</f>
        <v>544.05</v>
      </c>
      <c r="E91" s="102"/>
      <c r="F91" s="103"/>
      <c r="G91" s="103"/>
      <c r="H91" s="108"/>
      <c r="I91" s="108"/>
      <c r="J91" s="140"/>
      <c r="K91" s="106"/>
    </row>
    <row r="92" ht="19.5" customHeight="1">
      <c r="A92" s="144">
        <v>38387.0</v>
      </c>
      <c r="B92" s="195" t="s">
        <v>678</v>
      </c>
      <c r="C92" s="83" t="s">
        <v>148</v>
      </c>
      <c r="D92" s="132">
        <f>11.68+14.68+7.83</f>
        <v>34.19</v>
      </c>
      <c r="E92" s="102"/>
      <c r="F92" s="103"/>
      <c r="G92" s="103"/>
      <c r="H92" s="108"/>
      <c r="I92" s="108"/>
      <c r="J92" s="140"/>
      <c r="K92" s="106"/>
    </row>
    <row r="93" ht="19.5" customHeight="1">
      <c r="A93" s="144">
        <v>40578.0</v>
      </c>
      <c r="B93" s="195" t="s">
        <v>679</v>
      </c>
      <c r="C93" s="83" t="s">
        <v>103</v>
      </c>
      <c r="D93" s="132">
        <f>J77</f>
        <v>62.1</v>
      </c>
      <c r="E93" s="102"/>
      <c r="F93" s="103"/>
      <c r="G93" s="103"/>
      <c r="H93" s="108"/>
      <c r="I93" s="108"/>
      <c r="J93" s="140"/>
      <c r="K93" s="106"/>
    </row>
    <row r="94" ht="19.5" customHeight="1">
      <c r="A94" s="144">
        <v>38387.0</v>
      </c>
      <c r="B94" s="195" t="s">
        <v>680</v>
      </c>
      <c r="C94" s="83" t="s">
        <v>148</v>
      </c>
      <c r="D94" s="196">
        <f>SUM(G77:G84)</f>
        <v>17.90025</v>
      </c>
      <c r="E94" s="197"/>
      <c r="F94" s="198"/>
      <c r="G94" s="198"/>
      <c r="H94" s="199"/>
      <c r="I94" s="199"/>
      <c r="J94" s="200"/>
      <c r="K94" s="201"/>
      <c r="L94" s="185"/>
      <c r="M94" s="185"/>
      <c r="N94" s="185"/>
      <c r="O94" s="185"/>
      <c r="P94" s="185"/>
      <c r="Q94" s="185"/>
      <c r="R94" s="185"/>
      <c r="S94" s="185"/>
      <c r="T94" s="185"/>
      <c r="U94" s="185"/>
      <c r="V94" s="185"/>
      <c r="W94" s="185"/>
      <c r="X94" s="185"/>
      <c r="Y94" s="185"/>
      <c r="Z94" s="185"/>
    </row>
    <row r="95" ht="19.5" customHeight="1">
      <c r="A95" s="144">
        <v>37291.0</v>
      </c>
      <c r="B95" s="195" t="s">
        <v>681</v>
      </c>
      <c r="C95" s="83" t="s">
        <v>103</v>
      </c>
      <c r="D95" s="196">
        <f>56.39+79.2+57.6+38.9+4.2</f>
        <v>236.29</v>
      </c>
      <c r="E95" s="197"/>
      <c r="F95" s="198"/>
      <c r="G95" s="198"/>
      <c r="H95" s="199"/>
      <c r="I95" s="199"/>
      <c r="J95" s="200"/>
      <c r="K95" s="201"/>
      <c r="L95" s="185"/>
      <c r="M95" s="185"/>
      <c r="N95" s="185"/>
      <c r="O95" s="185"/>
      <c r="P95" s="185"/>
      <c r="Q95" s="185"/>
      <c r="R95" s="185"/>
      <c r="S95" s="185"/>
      <c r="T95" s="185"/>
      <c r="U95" s="185"/>
      <c r="V95" s="185"/>
      <c r="W95" s="185"/>
      <c r="X95" s="185"/>
      <c r="Y95" s="185"/>
      <c r="Z95" s="185"/>
    </row>
    <row r="96" ht="19.5" customHeight="1">
      <c r="A96" s="144">
        <v>38387.0</v>
      </c>
      <c r="B96" s="195" t="s">
        <v>682</v>
      </c>
      <c r="C96" s="83" t="s">
        <v>148</v>
      </c>
      <c r="D96" s="196">
        <f>18.81+16.16+18.35+8.9+0.87</f>
        <v>63.09</v>
      </c>
      <c r="E96" s="197"/>
      <c r="F96" s="198"/>
      <c r="G96" s="198"/>
      <c r="H96" s="199"/>
      <c r="I96" s="199"/>
      <c r="J96" s="200"/>
      <c r="K96" s="201"/>
      <c r="L96" s="185"/>
      <c r="M96" s="185"/>
      <c r="N96" s="185"/>
      <c r="O96" s="185"/>
      <c r="P96" s="185"/>
      <c r="Q96" s="185"/>
      <c r="R96" s="185"/>
      <c r="S96" s="185"/>
      <c r="T96" s="185"/>
      <c r="U96" s="185"/>
      <c r="V96" s="185"/>
      <c r="W96" s="185"/>
      <c r="X96" s="185"/>
      <c r="Y96" s="185"/>
      <c r="Z96" s="185"/>
    </row>
    <row r="97" ht="19.5" customHeight="1">
      <c r="A97" s="202"/>
      <c r="B97" s="195"/>
      <c r="C97" s="203"/>
      <c r="D97" s="196"/>
      <c r="E97" s="204"/>
      <c r="F97" s="205"/>
      <c r="G97" s="205"/>
      <c r="H97" s="206"/>
      <c r="I97" s="206"/>
      <c r="J97" s="196"/>
      <c r="K97" s="203"/>
      <c r="L97" s="185"/>
      <c r="M97" s="185"/>
      <c r="N97" s="185"/>
      <c r="O97" s="185"/>
      <c r="P97" s="185"/>
      <c r="Q97" s="185"/>
      <c r="R97" s="185"/>
      <c r="S97" s="185"/>
      <c r="T97" s="185"/>
      <c r="U97" s="185"/>
      <c r="V97" s="185"/>
      <c r="W97" s="185"/>
      <c r="X97" s="185"/>
      <c r="Y97" s="185"/>
      <c r="Z97" s="185"/>
    </row>
    <row r="98" ht="19.5" customHeight="1">
      <c r="A98" s="186"/>
      <c r="B98" s="194"/>
      <c r="C98" s="67" t="s">
        <v>683</v>
      </c>
      <c r="D98" s="189" t="s">
        <v>108</v>
      </c>
      <c r="E98" s="67" t="s">
        <v>684</v>
      </c>
      <c r="F98" s="207" t="s">
        <v>158</v>
      </c>
      <c r="G98" s="205"/>
      <c r="H98" s="206"/>
      <c r="I98" s="206"/>
      <c r="J98" s="196"/>
      <c r="K98" s="203"/>
      <c r="L98" s="185"/>
      <c r="M98" s="185"/>
      <c r="N98" s="185"/>
      <c r="O98" s="185"/>
      <c r="P98" s="185"/>
      <c r="Q98" s="185"/>
      <c r="R98" s="185"/>
      <c r="S98" s="185"/>
      <c r="T98" s="185"/>
      <c r="U98" s="185"/>
      <c r="V98" s="185"/>
      <c r="W98" s="185"/>
      <c r="X98" s="185"/>
      <c r="Y98" s="185"/>
      <c r="Z98" s="185"/>
    </row>
    <row r="99" ht="19.5" customHeight="1">
      <c r="A99" s="144"/>
      <c r="B99" s="194" t="s">
        <v>685</v>
      </c>
      <c r="C99" s="67" t="s">
        <v>686</v>
      </c>
      <c r="D99" s="189">
        <f>710+1006+559</f>
        <v>2275</v>
      </c>
      <c r="E99" s="67">
        <v>0.154</v>
      </c>
      <c r="F99" s="205">
        <f t="shared" ref="F99:F117" si="11">D99*E99</f>
        <v>350.35</v>
      </c>
      <c r="G99" s="205"/>
      <c r="H99" s="206"/>
      <c r="I99" s="206"/>
      <c r="J99" s="196"/>
      <c r="K99" s="203"/>
      <c r="L99" s="185"/>
      <c r="M99" s="185"/>
      <c r="N99" s="185"/>
      <c r="O99" s="185"/>
      <c r="P99" s="185"/>
      <c r="Q99" s="185"/>
      <c r="R99" s="185"/>
      <c r="S99" s="185"/>
      <c r="T99" s="185"/>
      <c r="U99" s="185"/>
      <c r="V99" s="185"/>
      <c r="W99" s="185"/>
      <c r="X99" s="185"/>
      <c r="Y99" s="185"/>
      <c r="Z99" s="185"/>
    </row>
    <row r="100" ht="19.5" customHeight="1">
      <c r="A100" s="186"/>
      <c r="B100" s="194"/>
      <c r="C100" s="208">
        <v>45357.0</v>
      </c>
      <c r="D100" s="189">
        <v>63.2</v>
      </c>
      <c r="E100" s="67">
        <v>0.245</v>
      </c>
      <c r="F100" s="205">
        <f t="shared" si="11"/>
        <v>15.484</v>
      </c>
      <c r="G100" s="205"/>
      <c r="H100" s="206"/>
      <c r="I100" s="206"/>
      <c r="J100" s="196"/>
      <c r="K100" s="203"/>
      <c r="L100" s="185"/>
      <c r="M100" s="185"/>
      <c r="N100" s="185"/>
      <c r="O100" s="185"/>
      <c r="P100" s="185"/>
      <c r="Q100" s="185"/>
      <c r="R100" s="185"/>
      <c r="S100" s="185"/>
      <c r="T100" s="185"/>
      <c r="U100" s="185"/>
      <c r="V100" s="185"/>
      <c r="W100" s="185"/>
      <c r="X100" s="185"/>
      <c r="Y100" s="185"/>
      <c r="Z100" s="185"/>
    </row>
    <row r="101" ht="19.5" customHeight="1">
      <c r="A101" s="186"/>
      <c r="B101" s="194"/>
      <c r="C101" s="209">
        <v>8.0</v>
      </c>
      <c r="D101" s="189">
        <f>883.8+907.1+501.1</f>
        <v>2292</v>
      </c>
      <c r="E101" s="67">
        <v>0.395</v>
      </c>
      <c r="F101" s="205">
        <f t="shared" si="11"/>
        <v>905.34</v>
      </c>
      <c r="G101" s="205"/>
      <c r="H101" s="206"/>
      <c r="I101" s="206"/>
      <c r="J101" s="196"/>
      <c r="K101" s="203"/>
      <c r="L101" s="185"/>
      <c r="M101" s="185"/>
      <c r="N101" s="185"/>
      <c r="O101" s="185"/>
      <c r="P101" s="185"/>
      <c r="Q101" s="185"/>
      <c r="R101" s="185"/>
      <c r="S101" s="185"/>
      <c r="T101" s="185"/>
      <c r="U101" s="185"/>
      <c r="V101" s="185"/>
      <c r="W101" s="185"/>
      <c r="X101" s="185"/>
      <c r="Y101" s="185"/>
      <c r="Z101" s="185"/>
    </row>
    <row r="102" ht="19.5" customHeight="1">
      <c r="A102" s="186"/>
      <c r="B102" s="194">
        <v>92427.0</v>
      </c>
      <c r="C102" s="209">
        <v>10.0</v>
      </c>
      <c r="D102" s="189">
        <f>236+107</f>
        <v>343</v>
      </c>
      <c r="E102" s="67">
        <v>0.617</v>
      </c>
      <c r="F102" s="205">
        <f t="shared" si="11"/>
        <v>211.631</v>
      </c>
      <c r="G102" s="205"/>
      <c r="H102" s="206"/>
      <c r="I102" s="206"/>
      <c r="J102" s="196"/>
      <c r="K102" s="203"/>
      <c r="L102" s="185"/>
      <c r="M102" s="185"/>
      <c r="N102" s="185"/>
      <c r="O102" s="185"/>
      <c r="P102" s="185"/>
      <c r="Q102" s="185"/>
      <c r="R102" s="185"/>
      <c r="S102" s="185"/>
      <c r="T102" s="185"/>
      <c r="U102" s="185"/>
      <c r="V102" s="185"/>
      <c r="W102" s="185"/>
      <c r="X102" s="185"/>
      <c r="Y102" s="185"/>
      <c r="Z102" s="185"/>
    </row>
    <row r="103" ht="19.5" customHeight="1">
      <c r="A103" s="186"/>
      <c r="B103" s="194"/>
      <c r="C103" s="208">
        <v>45424.0</v>
      </c>
      <c r="D103" s="189">
        <f>16+22.2</f>
        <v>38.2</v>
      </c>
      <c r="E103" s="67">
        <v>0.963</v>
      </c>
      <c r="F103" s="205">
        <f t="shared" si="11"/>
        <v>36.7866</v>
      </c>
      <c r="G103" s="205"/>
      <c r="H103" s="206"/>
      <c r="I103" s="206"/>
      <c r="J103" s="196"/>
      <c r="K103" s="203"/>
      <c r="L103" s="185"/>
      <c r="M103" s="185"/>
      <c r="N103" s="185"/>
      <c r="O103" s="185"/>
      <c r="P103" s="185"/>
      <c r="Q103" s="185"/>
      <c r="R103" s="185"/>
      <c r="S103" s="185"/>
      <c r="T103" s="185"/>
      <c r="U103" s="185"/>
      <c r="V103" s="185"/>
      <c r="W103" s="185"/>
      <c r="X103" s="185"/>
      <c r="Y103" s="185"/>
      <c r="Z103" s="185"/>
    </row>
    <row r="104" ht="19.5" customHeight="1">
      <c r="A104" s="202"/>
      <c r="B104" s="195"/>
      <c r="C104" s="203"/>
      <c r="D104" s="196"/>
      <c r="E104" s="204"/>
      <c r="F104" s="205">
        <f t="shared" si="11"/>
        <v>0</v>
      </c>
      <c r="G104" s="205"/>
      <c r="H104" s="206"/>
      <c r="I104" s="206"/>
      <c r="J104" s="196"/>
      <c r="K104" s="203"/>
      <c r="L104" s="185"/>
      <c r="M104" s="185"/>
      <c r="N104" s="185"/>
      <c r="O104" s="185"/>
      <c r="P104" s="185"/>
      <c r="Q104" s="185"/>
      <c r="R104" s="185"/>
      <c r="S104" s="185"/>
      <c r="T104" s="185"/>
      <c r="U104" s="185"/>
      <c r="V104" s="185"/>
      <c r="W104" s="185"/>
      <c r="X104" s="185"/>
      <c r="Y104" s="185"/>
      <c r="Z104" s="185"/>
    </row>
    <row r="105" ht="19.5" customHeight="1">
      <c r="A105" s="144"/>
      <c r="B105" s="194" t="s">
        <v>687</v>
      </c>
      <c r="C105" s="67" t="s">
        <v>686</v>
      </c>
      <c r="D105" s="189">
        <f>1203.5+561.7</f>
        <v>1765.2</v>
      </c>
      <c r="E105" s="67">
        <v>0.154</v>
      </c>
      <c r="F105" s="205">
        <f t="shared" si="11"/>
        <v>271.8408</v>
      </c>
      <c r="G105" s="205"/>
      <c r="H105" s="206"/>
      <c r="I105" s="206"/>
      <c r="J105" s="196"/>
      <c r="K105" s="203"/>
      <c r="L105" s="185"/>
      <c r="M105" s="185"/>
      <c r="N105" s="185"/>
      <c r="O105" s="185"/>
      <c r="P105" s="185"/>
      <c r="Q105" s="185"/>
      <c r="R105" s="185"/>
      <c r="S105" s="185"/>
      <c r="T105" s="185"/>
      <c r="U105" s="185"/>
      <c r="V105" s="185"/>
      <c r="W105" s="185"/>
      <c r="X105" s="185"/>
      <c r="Y105" s="185"/>
      <c r="Z105" s="185"/>
    </row>
    <row r="106" ht="19.5" customHeight="1">
      <c r="A106" s="186"/>
      <c r="B106" s="194"/>
      <c r="C106" s="209">
        <v>8.0</v>
      </c>
      <c r="D106" s="189">
        <f>1962.4+680.7</f>
        <v>2643.1</v>
      </c>
      <c r="E106" s="67">
        <v>0.395</v>
      </c>
      <c r="F106" s="205">
        <f t="shared" si="11"/>
        <v>1044.0245</v>
      </c>
      <c r="G106" s="205"/>
      <c r="H106" s="206"/>
      <c r="I106" s="206"/>
      <c r="J106" s="196"/>
      <c r="K106" s="203"/>
      <c r="L106" s="185"/>
      <c r="M106" s="185"/>
      <c r="N106" s="185"/>
      <c r="O106" s="185"/>
      <c r="P106" s="185"/>
      <c r="Q106" s="185"/>
      <c r="R106" s="185"/>
      <c r="S106" s="185"/>
      <c r="T106" s="185"/>
      <c r="U106" s="185"/>
      <c r="V106" s="185"/>
      <c r="W106" s="185"/>
      <c r="X106" s="185"/>
      <c r="Y106" s="185"/>
      <c r="Z106" s="185"/>
    </row>
    <row r="107" ht="19.5" customHeight="1">
      <c r="A107" s="186"/>
      <c r="B107" s="194"/>
      <c r="C107" s="209">
        <v>10.0</v>
      </c>
      <c r="D107" s="189">
        <f>664.1+374.5</f>
        <v>1038.6</v>
      </c>
      <c r="E107" s="67">
        <v>0.617</v>
      </c>
      <c r="F107" s="205">
        <f t="shared" si="11"/>
        <v>640.8162</v>
      </c>
      <c r="G107" s="205"/>
      <c r="H107" s="206"/>
      <c r="I107" s="206"/>
      <c r="J107" s="196"/>
      <c r="K107" s="203"/>
      <c r="L107" s="185"/>
      <c r="M107" s="185"/>
      <c r="N107" s="185"/>
      <c r="O107" s="185"/>
      <c r="P107" s="185"/>
      <c r="Q107" s="185"/>
      <c r="R107" s="185"/>
      <c r="S107" s="185"/>
      <c r="T107" s="185"/>
      <c r="U107" s="185"/>
      <c r="V107" s="185"/>
      <c r="W107" s="185"/>
      <c r="X107" s="185"/>
      <c r="Y107" s="185"/>
      <c r="Z107" s="185"/>
    </row>
    <row r="108" ht="19.5" customHeight="1">
      <c r="A108" s="186"/>
      <c r="B108" s="194"/>
      <c r="C108" s="208">
        <v>45424.0</v>
      </c>
      <c r="D108" s="189">
        <v>43.1</v>
      </c>
      <c r="E108" s="67">
        <v>0.963</v>
      </c>
      <c r="F108" s="205">
        <f t="shared" si="11"/>
        <v>41.5053</v>
      </c>
      <c r="G108" s="205"/>
      <c r="H108" s="206"/>
      <c r="I108" s="206"/>
      <c r="J108" s="196"/>
      <c r="K108" s="203"/>
      <c r="L108" s="185"/>
      <c r="M108" s="185"/>
      <c r="N108" s="185"/>
      <c r="O108" s="185"/>
      <c r="P108" s="185"/>
      <c r="Q108" s="185"/>
      <c r="R108" s="185"/>
      <c r="S108" s="185"/>
      <c r="T108" s="185"/>
      <c r="U108" s="185"/>
      <c r="V108" s="185"/>
      <c r="W108" s="185"/>
      <c r="X108" s="185"/>
      <c r="Y108" s="185"/>
      <c r="Z108" s="185"/>
    </row>
    <row r="109" ht="19.5" customHeight="1">
      <c r="A109" s="186"/>
      <c r="B109" s="190"/>
      <c r="C109" s="210" t="s">
        <v>688</v>
      </c>
      <c r="D109" s="192">
        <f>236.1+13.3</f>
        <v>249.4</v>
      </c>
      <c r="E109" s="67">
        <v>1.578</v>
      </c>
      <c r="F109" s="205">
        <f t="shared" si="11"/>
        <v>393.5532</v>
      </c>
      <c r="G109" s="205"/>
      <c r="H109" s="206"/>
      <c r="I109" s="206"/>
      <c r="J109" s="196"/>
      <c r="K109" s="203"/>
      <c r="L109" s="185"/>
      <c r="M109" s="185"/>
      <c r="N109" s="185"/>
      <c r="O109" s="185"/>
      <c r="P109" s="185"/>
      <c r="Q109" s="185"/>
      <c r="R109" s="185"/>
      <c r="S109" s="185"/>
      <c r="T109" s="185"/>
      <c r="U109" s="185"/>
      <c r="V109" s="185"/>
      <c r="W109" s="185"/>
      <c r="X109" s="185"/>
      <c r="Y109" s="185"/>
      <c r="Z109" s="185"/>
    </row>
    <row r="110" ht="19.5" customHeight="1">
      <c r="A110" s="202"/>
      <c r="B110" s="195"/>
      <c r="C110" s="203"/>
      <c r="D110" s="196"/>
      <c r="E110" s="204"/>
      <c r="F110" s="205">
        <f t="shared" si="11"/>
        <v>0</v>
      </c>
      <c r="G110" s="205"/>
      <c r="H110" s="206"/>
      <c r="I110" s="206"/>
      <c r="J110" s="196"/>
      <c r="K110" s="203"/>
      <c r="L110" s="185"/>
      <c r="M110" s="185"/>
      <c r="N110" s="185"/>
      <c r="O110" s="185"/>
      <c r="P110" s="185"/>
      <c r="Q110" s="185"/>
      <c r="R110" s="185"/>
      <c r="S110" s="185"/>
      <c r="T110" s="185"/>
      <c r="U110" s="185"/>
      <c r="V110" s="185"/>
      <c r="W110" s="185"/>
      <c r="X110" s="185"/>
      <c r="Y110" s="185"/>
      <c r="Z110" s="185"/>
    </row>
    <row r="111" ht="19.5" customHeight="1">
      <c r="A111" s="144"/>
      <c r="B111" s="194" t="s">
        <v>689</v>
      </c>
      <c r="C111" s="67" t="s">
        <v>686</v>
      </c>
      <c r="D111" s="189">
        <f>223.7+259.9+298+123.1+13.5</f>
        <v>918.2</v>
      </c>
      <c r="E111" s="67">
        <v>0.154</v>
      </c>
      <c r="F111" s="205">
        <f t="shared" si="11"/>
        <v>141.4028</v>
      </c>
      <c r="G111" s="211" t="s">
        <v>690</v>
      </c>
      <c r="H111" s="206"/>
      <c r="I111" s="206"/>
      <c r="J111" s="196"/>
      <c r="K111" s="203"/>
      <c r="L111" s="185"/>
      <c r="M111" s="185"/>
      <c r="N111" s="185"/>
      <c r="O111" s="185"/>
      <c r="P111" s="185"/>
      <c r="Q111" s="185"/>
      <c r="R111" s="185"/>
      <c r="S111" s="185"/>
      <c r="T111" s="185"/>
      <c r="U111" s="185"/>
      <c r="V111" s="185"/>
      <c r="W111" s="185"/>
      <c r="X111" s="185"/>
      <c r="Y111" s="185"/>
      <c r="Z111" s="185"/>
    </row>
    <row r="112" ht="19.5" customHeight="1">
      <c r="A112" s="186"/>
      <c r="B112" s="194"/>
      <c r="C112" s="208">
        <v>45357.0</v>
      </c>
      <c r="D112" s="189">
        <f>1.8+4.9+24.2</f>
        <v>30.9</v>
      </c>
      <c r="E112" s="67">
        <v>0.245</v>
      </c>
      <c r="F112" s="205">
        <f t="shared" si="11"/>
        <v>7.5705</v>
      </c>
      <c r="G112" s="205"/>
      <c r="H112" s="206"/>
      <c r="I112" s="206"/>
      <c r="J112" s="196"/>
      <c r="K112" s="203"/>
      <c r="L112" s="185"/>
      <c r="M112" s="185"/>
      <c r="N112" s="185"/>
      <c r="O112" s="185"/>
      <c r="P112" s="185"/>
      <c r="Q112" s="185"/>
      <c r="R112" s="185"/>
      <c r="S112" s="185"/>
      <c r="T112" s="185"/>
      <c r="U112" s="185"/>
      <c r="V112" s="185"/>
      <c r="W112" s="185"/>
      <c r="X112" s="185"/>
      <c r="Y112" s="185"/>
      <c r="Z112" s="185"/>
    </row>
    <row r="113" ht="19.5" customHeight="1">
      <c r="A113" s="186"/>
      <c r="B113" s="194"/>
      <c r="C113" s="209">
        <v>8.0</v>
      </c>
      <c r="D113" s="189">
        <f>21.4+8</f>
        <v>29.4</v>
      </c>
      <c r="E113" s="67">
        <v>0.395</v>
      </c>
      <c r="F113" s="205">
        <f t="shared" si="11"/>
        <v>11.613</v>
      </c>
      <c r="G113" s="205"/>
      <c r="H113" s="206"/>
      <c r="I113" s="206"/>
      <c r="J113" s="196"/>
      <c r="K113" s="203"/>
      <c r="L113" s="185"/>
      <c r="M113" s="185"/>
      <c r="N113" s="185"/>
      <c r="O113" s="185"/>
      <c r="P113" s="185"/>
      <c r="Q113" s="185"/>
      <c r="R113" s="185"/>
      <c r="S113" s="185"/>
      <c r="T113" s="185"/>
      <c r="U113" s="185"/>
      <c r="V113" s="185"/>
      <c r="W113" s="185"/>
      <c r="X113" s="185"/>
      <c r="Y113" s="185"/>
      <c r="Z113" s="185"/>
    </row>
    <row r="114" ht="19.5" customHeight="1">
      <c r="A114" s="186"/>
      <c r="B114" s="194"/>
      <c r="C114" s="209">
        <v>10.0</v>
      </c>
      <c r="D114" s="189">
        <f>28.1+37.6+50.4</f>
        <v>116.1</v>
      </c>
      <c r="E114" s="67">
        <v>0.617</v>
      </c>
      <c r="F114" s="205">
        <f t="shared" si="11"/>
        <v>71.6337</v>
      </c>
      <c r="G114" s="205"/>
      <c r="H114" s="206"/>
      <c r="I114" s="206"/>
      <c r="J114" s="196"/>
      <c r="K114" s="203"/>
      <c r="L114" s="185"/>
      <c r="M114" s="185"/>
      <c r="N114" s="185"/>
      <c r="O114" s="185"/>
      <c r="P114" s="185"/>
      <c r="Q114" s="185"/>
      <c r="R114" s="185"/>
      <c r="S114" s="185"/>
      <c r="T114" s="185"/>
      <c r="U114" s="185"/>
      <c r="V114" s="185"/>
      <c r="W114" s="185"/>
      <c r="X114" s="185"/>
      <c r="Y114" s="185"/>
      <c r="Z114" s="185"/>
    </row>
    <row r="115" ht="19.5" customHeight="1">
      <c r="A115" s="186"/>
      <c r="B115" s="194"/>
      <c r="C115" s="208">
        <v>45424.0</v>
      </c>
      <c r="D115" s="189">
        <f>385.9+269.1+538.7+99.8+16.6</f>
        <v>1310.1</v>
      </c>
      <c r="E115" s="67">
        <v>0.963</v>
      </c>
      <c r="F115" s="205">
        <f t="shared" si="11"/>
        <v>1261.6263</v>
      </c>
      <c r="G115" s="205"/>
      <c r="H115" s="206"/>
      <c r="I115" s="206"/>
      <c r="J115" s="196"/>
      <c r="K115" s="203"/>
      <c r="L115" s="185"/>
      <c r="M115" s="185"/>
      <c r="N115" s="185"/>
      <c r="O115" s="185"/>
      <c r="P115" s="185"/>
      <c r="Q115" s="185"/>
      <c r="R115" s="185"/>
      <c r="S115" s="185"/>
      <c r="T115" s="185"/>
      <c r="U115" s="185"/>
      <c r="V115" s="185"/>
      <c r="W115" s="185"/>
      <c r="X115" s="185"/>
      <c r="Y115" s="185"/>
      <c r="Z115" s="185"/>
    </row>
    <row r="116" ht="19.5" customHeight="1">
      <c r="A116" s="186"/>
      <c r="B116" s="190"/>
      <c r="C116" s="210" t="s">
        <v>688</v>
      </c>
      <c r="D116" s="192">
        <f>102.9+39.5</f>
        <v>142.4</v>
      </c>
      <c r="E116" s="67">
        <v>1.578</v>
      </c>
      <c r="F116" s="205">
        <f t="shared" si="11"/>
        <v>224.7072</v>
      </c>
      <c r="G116" s="205"/>
      <c r="H116" s="206"/>
      <c r="I116" s="206"/>
      <c r="J116" s="196"/>
      <c r="K116" s="203"/>
      <c r="L116" s="185"/>
      <c r="M116" s="185"/>
      <c r="N116" s="185"/>
      <c r="O116" s="185"/>
      <c r="P116" s="185"/>
      <c r="Q116" s="185"/>
      <c r="R116" s="185"/>
      <c r="S116" s="185"/>
      <c r="T116" s="185"/>
      <c r="U116" s="185"/>
      <c r="V116" s="185"/>
      <c r="W116" s="185"/>
      <c r="X116" s="185"/>
      <c r="Y116" s="185"/>
      <c r="Z116" s="185"/>
    </row>
    <row r="117" ht="19.5" customHeight="1">
      <c r="A117" s="186"/>
      <c r="B117" s="190"/>
      <c r="C117" s="212"/>
      <c r="D117" s="192"/>
      <c r="E117" s="67"/>
      <c r="F117" s="205">
        <f t="shared" si="11"/>
        <v>0</v>
      </c>
      <c r="G117" s="205"/>
      <c r="H117" s="206"/>
      <c r="I117" s="206"/>
      <c r="J117" s="196"/>
      <c r="K117" s="203"/>
      <c r="L117" s="185"/>
      <c r="M117" s="185"/>
      <c r="N117" s="185"/>
      <c r="O117" s="185"/>
      <c r="P117" s="185"/>
      <c r="Q117" s="185"/>
      <c r="R117" s="185"/>
      <c r="S117" s="185"/>
      <c r="T117" s="185"/>
      <c r="U117" s="185"/>
      <c r="V117" s="185"/>
      <c r="W117" s="185"/>
      <c r="X117" s="185"/>
      <c r="Y117" s="185"/>
      <c r="Z117" s="185"/>
    </row>
    <row r="118" ht="19.5" customHeight="1">
      <c r="A118" s="186"/>
      <c r="B118" s="190"/>
      <c r="C118" s="210" t="s">
        <v>106</v>
      </c>
      <c r="D118" s="192" t="s">
        <v>691</v>
      </c>
      <c r="E118" s="67" t="s">
        <v>692</v>
      </c>
      <c r="F118" s="207" t="s">
        <v>693</v>
      </c>
      <c r="G118" s="205"/>
      <c r="H118" s="206"/>
      <c r="I118" s="206"/>
      <c r="J118" s="196"/>
      <c r="K118" s="203"/>
      <c r="L118" s="185"/>
      <c r="M118" s="185"/>
      <c r="N118" s="185"/>
      <c r="O118" s="185"/>
      <c r="P118" s="185"/>
      <c r="Q118" s="185"/>
      <c r="R118" s="185"/>
      <c r="S118" s="185"/>
      <c r="T118" s="185"/>
      <c r="U118" s="185"/>
      <c r="V118" s="185"/>
      <c r="W118" s="185"/>
      <c r="X118" s="185"/>
      <c r="Y118" s="185"/>
      <c r="Z118" s="185"/>
    </row>
    <row r="119" ht="19.5" customHeight="1">
      <c r="A119" s="213"/>
      <c r="B119" s="190" t="s">
        <v>694</v>
      </c>
      <c r="C119" s="210">
        <v>256.0</v>
      </c>
      <c r="D119" s="192">
        <v>0.3</v>
      </c>
      <c r="E119" s="67">
        <v>10.0</v>
      </c>
      <c r="F119" s="205">
        <f>C119*E119</f>
        <v>2560</v>
      </c>
      <c r="G119" s="205"/>
      <c r="H119" s="206"/>
      <c r="I119" s="206"/>
      <c r="J119" s="196"/>
      <c r="K119" s="203"/>
      <c r="L119" s="185"/>
      <c r="M119" s="185"/>
      <c r="N119" s="185"/>
      <c r="O119" s="185"/>
      <c r="P119" s="185"/>
      <c r="Q119" s="185"/>
      <c r="R119" s="185"/>
      <c r="S119" s="185"/>
      <c r="T119" s="185"/>
      <c r="U119" s="185"/>
      <c r="V119" s="185"/>
      <c r="W119" s="185"/>
      <c r="X119" s="185"/>
      <c r="Y119" s="185"/>
      <c r="Z119" s="185"/>
    </row>
    <row r="120" ht="19.5" customHeight="1">
      <c r="A120" s="186"/>
      <c r="B120" s="190"/>
      <c r="C120" s="210" t="s">
        <v>106</v>
      </c>
      <c r="D120" s="192" t="s">
        <v>695</v>
      </c>
      <c r="E120" s="67" t="s">
        <v>683</v>
      </c>
      <c r="F120" s="207" t="s">
        <v>696</v>
      </c>
      <c r="G120" s="67" t="s">
        <v>684</v>
      </c>
      <c r="H120" s="214" t="s">
        <v>697</v>
      </c>
      <c r="I120" s="206"/>
      <c r="J120" s="196"/>
      <c r="K120" s="203"/>
      <c r="L120" s="185"/>
      <c r="M120" s="185"/>
      <c r="N120" s="185"/>
      <c r="O120" s="185"/>
      <c r="P120" s="185"/>
      <c r="Q120" s="185"/>
      <c r="R120" s="185"/>
      <c r="S120" s="185"/>
      <c r="T120" s="185"/>
      <c r="U120" s="185"/>
      <c r="V120" s="185"/>
      <c r="W120" s="185"/>
      <c r="X120" s="185"/>
      <c r="Y120" s="185"/>
      <c r="Z120" s="185"/>
    </row>
    <row r="121" ht="19.5" customHeight="1">
      <c r="A121" s="213"/>
      <c r="B121" s="190" t="s">
        <v>698</v>
      </c>
      <c r="C121" s="210">
        <v>256.0</v>
      </c>
      <c r="D121" s="192">
        <v>35.0</v>
      </c>
      <c r="E121" s="67" t="s">
        <v>686</v>
      </c>
      <c r="F121" s="207">
        <v>0.75</v>
      </c>
      <c r="G121" s="67">
        <v>0.154</v>
      </c>
      <c r="H121" s="206">
        <f t="shared" ref="H121:H122" si="12">C121*D121*F121*G121</f>
        <v>1034.88</v>
      </c>
      <c r="I121" s="206"/>
      <c r="J121" s="196"/>
      <c r="K121" s="203"/>
      <c r="L121" s="185"/>
      <c r="M121" s="185"/>
      <c r="N121" s="185"/>
      <c r="O121" s="185"/>
      <c r="P121" s="185"/>
      <c r="Q121" s="185"/>
      <c r="R121" s="185"/>
      <c r="S121" s="185"/>
      <c r="T121" s="185"/>
      <c r="U121" s="185"/>
      <c r="V121" s="185"/>
      <c r="W121" s="185"/>
      <c r="X121" s="185"/>
      <c r="Y121" s="185"/>
      <c r="Z121" s="185"/>
    </row>
    <row r="122" ht="19.5" customHeight="1">
      <c r="A122" s="186"/>
      <c r="B122" s="190"/>
      <c r="C122" s="210">
        <v>256.0</v>
      </c>
      <c r="D122" s="192">
        <v>6.0</v>
      </c>
      <c r="E122" s="215">
        <v>45424.0</v>
      </c>
      <c r="F122" s="207">
        <v>7.42</v>
      </c>
      <c r="G122" s="67">
        <v>0.963</v>
      </c>
      <c r="H122" s="206">
        <f t="shared" si="12"/>
        <v>10975.42656</v>
      </c>
      <c r="I122" s="206"/>
      <c r="J122" s="196"/>
      <c r="K122" s="203"/>
      <c r="L122" s="185"/>
      <c r="M122" s="185"/>
      <c r="N122" s="185"/>
      <c r="O122" s="185"/>
      <c r="P122" s="185"/>
      <c r="Q122" s="185"/>
      <c r="R122" s="185"/>
      <c r="S122" s="185"/>
      <c r="T122" s="185"/>
      <c r="U122" s="185"/>
      <c r="V122" s="185"/>
      <c r="W122" s="185"/>
      <c r="X122" s="185"/>
      <c r="Y122" s="185"/>
      <c r="Z122" s="185"/>
    </row>
    <row r="123" ht="19.5" customHeight="1">
      <c r="A123" s="186"/>
      <c r="B123" s="190"/>
      <c r="C123" s="212"/>
      <c r="D123" s="192"/>
      <c r="E123" s="67"/>
      <c r="F123" s="205"/>
      <c r="G123" s="205"/>
      <c r="H123" s="206"/>
      <c r="I123" s="206"/>
      <c r="J123" s="196"/>
      <c r="K123" s="203"/>
      <c r="L123" s="185"/>
      <c r="M123" s="185"/>
      <c r="N123" s="185"/>
      <c r="O123" s="185"/>
      <c r="P123" s="185"/>
      <c r="Q123" s="185"/>
      <c r="R123" s="185"/>
      <c r="S123" s="185"/>
      <c r="T123" s="185"/>
      <c r="U123" s="185"/>
      <c r="V123" s="185"/>
      <c r="W123" s="185"/>
      <c r="X123" s="185"/>
      <c r="Y123" s="185"/>
      <c r="Z123" s="185"/>
    </row>
    <row r="124" ht="19.5" customHeight="1">
      <c r="A124" s="216" t="s">
        <v>1</v>
      </c>
      <c r="B124" s="74" t="s">
        <v>91</v>
      </c>
      <c r="C124" s="74" t="s">
        <v>92</v>
      </c>
      <c r="D124" s="76" t="s">
        <v>93</v>
      </c>
      <c r="E124" s="50" t="s">
        <v>97</v>
      </c>
      <c r="F124" s="53" t="s">
        <v>121</v>
      </c>
      <c r="G124" s="53" t="s">
        <v>99</v>
      </c>
      <c r="H124" s="75" t="s">
        <v>100</v>
      </c>
      <c r="I124" s="75" t="s">
        <v>101</v>
      </c>
      <c r="J124" s="76" t="s">
        <v>95</v>
      </c>
      <c r="K124" s="74" t="s">
        <v>96</v>
      </c>
    </row>
    <row r="125" ht="19.5" customHeight="1">
      <c r="A125" s="217">
        <v>1.0</v>
      </c>
      <c r="B125" s="37" t="s">
        <v>150</v>
      </c>
      <c r="C125" s="46" t="s">
        <v>148</v>
      </c>
      <c r="D125" s="78">
        <v>2.0</v>
      </c>
      <c r="E125" s="37"/>
      <c r="F125" s="40">
        <v>57.0</v>
      </c>
      <c r="G125" s="40">
        <v>21.0</v>
      </c>
      <c r="H125" s="40">
        <f>(G125+F125)*D125</f>
        <v>156</v>
      </c>
      <c r="I125" s="42"/>
      <c r="J125" s="64">
        <f>H125</f>
        <v>156</v>
      </c>
      <c r="K125" s="46"/>
    </row>
    <row r="126" ht="19.5" customHeight="1">
      <c r="A126" s="216" t="s">
        <v>1</v>
      </c>
      <c r="B126" s="74" t="s">
        <v>91</v>
      </c>
      <c r="C126" s="74" t="s">
        <v>92</v>
      </c>
      <c r="D126" s="177" t="s">
        <v>93</v>
      </c>
      <c r="E126" s="50" t="s">
        <v>97</v>
      </c>
      <c r="F126" s="53" t="s">
        <v>121</v>
      </c>
      <c r="G126" s="53" t="s">
        <v>99</v>
      </c>
      <c r="H126" s="75" t="s">
        <v>100</v>
      </c>
      <c r="I126" s="75" t="s">
        <v>101</v>
      </c>
      <c r="J126" s="76" t="s">
        <v>95</v>
      </c>
      <c r="K126" s="74" t="s">
        <v>96</v>
      </c>
    </row>
    <row r="127" ht="19.5" customHeight="1">
      <c r="A127" s="216" t="s">
        <v>1</v>
      </c>
      <c r="B127" s="74" t="s">
        <v>91</v>
      </c>
      <c r="C127" s="74" t="s">
        <v>92</v>
      </c>
      <c r="D127" s="76" t="s">
        <v>93</v>
      </c>
      <c r="E127" s="50" t="s">
        <v>97</v>
      </c>
      <c r="F127" s="53" t="s">
        <v>121</v>
      </c>
      <c r="G127" s="53" t="s">
        <v>99</v>
      </c>
      <c r="H127" s="75" t="s">
        <v>100</v>
      </c>
      <c r="I127" s="75" t="s">
        <v>101</v>
      </c>
      <c r="J127" s="76" t="s">
        <v>95</v>
      </c>
      <c r="K127" s="74" t="s">
        <v>96</v>
      </c>
    </row>
    <row r="128" ht="19.5" customHeight="1">
      <c r="A128" s="217">
        <v>1.0</v>
      </c>
      <c r="B128" s="37" t="s">
        <v>339</v>
      </c>
      <c r="C128" s="46" t="s">
        <v>148</v>
      </c>
      <c r="D128" s="78" t="str">
        <f>H10</f>
        <v>VOLUME (escav)</v>
      </c>
      <c r="E128" s="37"/>
      <c r="F128" s="78"/>
      <c r="G128" s="40"/>
      <c r="H128" s="40" t="str">
        <f>D128</f>
        <v>VOLUME (escav)</v>
      </c>
      <c r="I128" s="42"/>
      <c r="J128" s="43" t="str">
        <f>H128</f>
        <v>VOLUME (escav)</v>
      </c>
      <c r="K128" s="46"/>
    </row>
    <row r="129" ht="19.5" customHeight="1">
      <c r="A129" s="217">
        <v>2.0</v>
      </c>
      <c r="B129" s="37" t="s">
        <v>340</v>
      </c>
      <c r="C129" s="46" t="s">
        <v>148</v>
      </c>
      <c r="D129" s="78">
        <v>1.0</v>
      </c>
      <c r="E129" s="37">
        <v>0.4</v>
      </c>
      <c r="F129" s="78">
        <v>55.0</v>
      </c>
      <c r="G129" s="40">
        <v>18.0</v>
      </c>
      <c r="H129" s="40">
        <f>G129*F129*E129</f>
        <v>396</v>
      </c>
      <c r="I129" s="42"/>
      <c r="J129" s="43" t="str">
        <f>H129-J128</f>
        <v>#VALUE!</v>
      </c>
      <c r="K129" s="46" t="s">
        <v>341</v>
      </c>
    </row>
    <row r="130" ht="19.5" customHeight="1">
      <c r="A130" s="216" t="s">
        <v>1</v>
      </c>
      <c r="B130" s="74" t="s">
        <v>91</v>
      </c>
      <c r="C130" s="74" t="s">
        <v>92</v>
      </c>
      <c r="D130" s="76" t="s">
        <v>93</v>
      </c>
      <c r="E130" s="50" t="s">
        <v>97</v>
      </c>
      <c r="F130" s="53" t="s">
        <v>121</v>
      </c>
      <c r="G130" s="53" t="s">
        <v>99</v>
      </c>
      <c r="H130" s="75" t="s">
        <v>100</v>
      </c>
      <c r="I130" s="75" t="s">
        <v>101</v>
      </c>
      <c r="J130" s="76" t="s">
        <v>95</v>
      </c>
      <c r="K130" s="74" t="s">
        <v>96</v>
      </c>
      <c r="L130" s="14" t="str">
        <f>#REF!+J160</f>
        <v>#REF!</v>
      </c>
    </row>
    <row r="131" ht="19.5" customHeight="1">
      <c r="A131" s="141">
        <v>37076.0</v>
      </c>
      <c r="B131" s="37" t="s">
        <v>172</v>
      </c>
      <c r="C131" s="46" t="s">
        <v>148</v>
      </c>
      <c r="D131" s="78">
        <v>1.0</v>
      </c>
      <c r="E131" s="37">
        <v>0.05</v>
      </c>
      <c r="F131" s="39">
        <v>53.05</v>
      </c>
      <c r="G131" s="41">
        <v>17.9</v>
      </c>
      <c r="H131" s="40">
        <f>G131*F131*E131*D131</f>
        <v>47.47975</v>
      </c>
      <c r="I131" s="42"/>
      <c r="J131" s="43">
        <f>H131</f>
        <v>47.47975</v>
      </c>
      <c r="K131" s="46"/>
    </row>
    <row r="132" ht="19.5" customHeight="1">
      <c r="A132" s="141">
        <v>38537.0</v>
      </c>
      <c r="B132" s="49" t="s">
        <v>342</v>
      </c>
      <c r="C132" s="46" t="s">
        <v>103</v>
      </c>
      <c r="D132" s="39">
        <v>2.0</v>
      </c>
      <c r="E132" s="37"/>
      <c r="F132" s="39">
        <v>53.05</v>
      </c>
      <c r="G132" s="41">
        <v>17.9</v>
      </c>
      <c r="H132" s="40">
        <f>G132*F132*D132</f>
        <v>1899.19</v>
      </c>
      <c r="I132" s="42">
        <f>H133</f>
        <v>95.4</v>
      </c>
      <c r="J132" s="43">
        <f>H132-I132</f>
        <v>1803.79</v>
      </c>
      <c r="K132" s="46"/>
    </row>
    <row r="133" ht="19.5" customHeight="1">
      <c r="A133" s="141">
        <v>37441.0</v>
      </c>
      <c r="B133" s="49" t="s">
        <v>556</v>
      </c>
      <c r="C133" s="46" t="s">
        <v>103</v>
      </c>
      <c r="D133" s="39">
        <v>2.0</v>
      </c>
      <c r="E133" s="37"/>
      <c r="F133" s="39"/>
      <c r="G133" s="41"/>
      <c r="H133" s="40">
        <f>2*47.7</f>
        <v>95.4</v>
      </c>
      <c r="I133" s="42"/>
      <c r="J133" s="43">
        <f>H133</f>
        <v>95.4</v>
      </c>
      <c r="K133" s="46"/>
    </row>
    <row r="134" ht="19.5" customHeight="1">
      <c r="A134" s="141">
        <v>37806.0</v>
      </c>
      <c r="B134" s="49" t="s">
        <v>557</v>
      </c>
      <c r="C134" s="46" t="s">
        <v>103</v>
      </c>
      <c r="D134" s="39">
        <v>11.0</v>
      </c>
      <c r="E134" s="37"/>
      <c r="F134" s="39">
        <v>7.0</v>
      </c>
      <c r="G134" s="41">
        <v>8.0</v>
      </c>
      <c r="H134" s="40">
        <f>D134*F134*G134</f>
        <v>616</v>
      </c>
      <c r="I134" s="42"/>
      <c r="J134" s="142">
        <f t="shared" ref="J134:J139" si="13">H134-I134</f>
        <v>616</v>
      </c>
      <c r="K134" s="46"/>
    </row>
    <row r="135" ht="19.5" customHeight="1">
      <c r="A135" s="141">
        <v>37806.0</v>
      </c>
      <c r="B135" s="49" t="s">
        <v>558</v>
      </c>
      <c r="C135" s="46" t="s">
        <v>103</v>
      </c>
      <c r="D135" s="39">
        <v>1.0</v>
      </c>
      <c r="E135" s="37"/>
      <c r="F135" s="39"/>
      <c r="G135" s="41"/>
      <c r="H135" s="41">
        <v>47.7</v>
      </c>
      <c r="I135" s="42"/>
      <c r="J135" s="142">
        <f t="shared" si="13"/>
        <v>47.7</v>
      </c>
      <c r="K135" s="46"/>
    </row>
    <row r="136" ht="19.5" customHeight="1">
      <c r="A136" s="141">
        <v>37806.0</v>
      </c>
      <c r="B136" s="49" t="s">
        <v>559</v>
      </c>
      <c r="C136" s="46" t="s">
        <v>103</v>
      </c>
      <c r="D136" s="115">
        <v>1.0</v>
      </c>
      <c r="E136" s="37"/>
      <c r="F136" s="39"/>
      <c r="G136" s="40"/>
      <c r="H136" s="58">
        <v>182.3</v>
      </c>
      <c r="I136" s="82"/>
      <c r="J136" s="142">
        <f t="shared" si="13"/>
        <v>182.3</v>
      </c>
      <c r="K136" s="79"/>
    </row>
    <row r="137" ht="19.5" customHeight="1">
      <c r="A137" s="141">
        <v>37806.0</v>
      </c>
      <c r="B137" s="49" t="s">
        <v>560</v>
      </c>
      <c r="C137" s="46" t="s">
        <v>103</v>
      </c>
      <c r="D137" s="39">
        <v>11.0</v>
      </c>
      <c r="E137" s="37"/>
      <c r="F137" s="39">
        <v>7.0</v>
      </c>
      <c r="G137" s="41">
        <v>8.0</v>
      </c>
      <c r="H137" s="40">
        <f>D137*F137*G137</f>
        <v>616</v>
      </c>
      <c r="I137" s="42"/>
      <c r="J137" s="142">
        <f t="shared" si="13"/>
        <v>616</v>
      </c>
      <c r="K137" s="46"/>
    </row>
    <row r="138" ht="19.5" customHeight="1">
      <c r="A138" s="141">
        <v>37806.0</v>
      </c>
      <c r="B138" s="49" t="s">
        <v>561</v>
      </c>
      <c r="C138" s="46" t="s">
        <v>103</v>
      </c>
      <c r="D138" s="39">
        <v>1.0</v>
      </c>
      <c r="E138" s="37"/>
      <c r="F138" s="39"/>
      <c r="G138" s="41"/>
      <c r="H138" s="41">
        <v>47.7</v>
      </c>
      <c r="I138" s="42"/>
      <c r="J138" s="142">
        <f t="shared" si="13"/>
        <v>47.7</v>
      </c>
      <c r="K138" s="46"/>
    </row>
    <row r="139" ht="19.5" customHeight="1">
      <c r="A139" s="141">
        <v>37806.0</v>
      </c>
      <c r="B139" s="49" t="s">
        <v>562</v>
      </c>
      <c r="C139" s="46" t="s">
        <v>103</v>
      </c>
      <c r="D139" s="115">
        <v>1.0</v>
      </c>
      <c r="E139" s="37"/>
      <c r="F139" s="39"/>
      <c r="G139" s="40"/>
      <c r="H139" s="58">
        <v>182.3</v>
      </c>
      <c r="I139" s="82"/>
      <c r="J139" s="142">
        <f t="shared" si="13"/>
        <v>182.3</v>
      </c>
      <c r="K139" s="79"/>
    </row>
    <row r="140" ht="19.5" customHeight="1">
      <c r="A140" s="141">
        <v>37806.0</v>
      </c>
      <c r="B140" s="114"/>
      <c r="C140" s="83"/>
      <c r="D140" s="115"/>
      <c r="E140" s="37"/>
      <c r="F140" s="39"/>
      <c r="G140" s="40"/>
      <c r="H140" s="59"/>
      <c r="I140" s="82"/>
      <c r="J140" s="143">
        <f>SUM(J134:J139)</f>
        <v>1692</v>
      </c>
      <c r="K140" s="79"/>
    </row>
    <row r="141" ht="19.5" customHeight="1">
      <c r="A141" s="144">
        <v>38902.0</v>
      </c>
      <c r="B141" s="114" t="s">
        <v>563</v>
      </c>
      <c r="C141" s="83" t="s">
        <v>108</v>
      </c>
      <c r="D141" s="115">
        <v>1.0</v>
      </c>
      <c r="E141" s="37"/>
      <c r="F141" s="39"/>
      <c r="G141" s="40"/>
      <c r="H141" s="58">
        <v>178.05</v>
      </c>
      <c r="I141" s="82"/>
      <c r="J141" s="143">
        <f>H141-I141</f>
        <v>178.05</v>
      </c>
      <c r="K141" s="79"/>
    </row>
    <row r="142" ht="19.5" customHeight="1">
      <c r="A142" s="144">
        <v>39267.0</v>
      </c>
      <c r="B142" s="114" t="s">
        <v>564</v>
      </c>
      <c r="C142" s="83" t="s">
        <v>108</v>
      </c>
      <c r="D142" s="115">
        <v>8.0</v>
      </c>
      <c r="E142" s="37"/>
      <c r="F142" s="39">
        <v>0.9</v>
      </c>
      <c r="G142" s="40"/>
      <c r="H142" s="59">
        <f>D142*F142</f>
        <v>7.2</v>
      </c>
      <c r="I142" s="82"/>
      <c r="J142" s="143">
        <f>H142</f>
        <v>7.2</v>
      </c>
      <c r="K142" s="79"/>
    </row>
    <row r="143" ht="19.5" customHeight="1">
      <c r="A143" s="216" t="s">
        <v>1</v>
      </c>
      <c r="B143" s="74" t="s">
        <v>91</v>
      </c>
      <c r="C143" s="74" t="s">
        <v>92</v>
      </c>
      <c r="D143" s="76" t="s">
        <v>93</v>
      </c>
      <c r="E143" s="50" t="s">
        <v>97</v>
      </c>
      <c r="F143" s="53" t="s">
        <v>121</v>
      </c>
      <c r="G143" s="53" t="s">
        <v>99</v>
      </c>
      <c r="H143" s="75" t="s">
        <v>100</v>
      </c>
      <c r="I143" s="75" t="s">
        <v>101</v>
      </c>
      <c r="J143" s="76" t="s">
        <v>95</v>
      </c>
      <c r="K143" s="74" t="s">
        <v>96</v>
      </c>
    </row>
    <row r="144" ht="19.5" customHeight="1">
      <c r="A144" s="217">
        <v>1.0</v>
      </c>
      <c r="B144" s="37" t="s">
        <v>345</v>
      </c>
      <c r="C144" s="46" t="s">
        <v>148</v>
      </c>
      <c r="D144" s="78">
        <v>4.0</v>
      </c>
      <c r="E144" s="37">
        <v>0.3</v>
      </c>
      <c r="F144" s="78">
        <v>55.0</v>
      </c>
      <c r="G144" s="40">
        <v>0.14</v>
      </c>
      <c r="H144" s="40">
        <f t="shared" ref="H144:H148" si="14">G144*F144*E144*D144</f>
        <v>9.24</v>
      </c>
      <c r="I144" s="42"/>
      <c r="J144" s="40"/>
      <c r="K144" s="46"/>
    </row>
    <row r="145" ht="19.5" customHeight="1">
      <c r="A145" s="217">
        <v>2.0</v>
      </c>
      <c r="B145" s="37" t="s">
        <v>345</v>
      </c>
      <c r="C145" s="46" t="s">
        <v>148</v>
      </c>
      <c r="D145" s="78">
        <v>9.0</v>
      </c>
      <c r="E145" s="37">
        <v>0.3</v>
      </c>
      <c r="F145" s="78">
        <v>18.0</v>
      </c>
      <c r="G145" s="40">
        <v>0.14</v>
      </c>
      <c r="H145" s="40">
        <f t="shared" si="14"/>
        <v>6.804</v>
      </c>
      <c r="I145" s="42"/>
      <c r="J145" s="107"/>
      <c r="K145" s="46"/>
    </row>
    <row r="146" ht="19.5" customHeight="1">
      <c r="A146" s="217">
        <v>3.0</v>
      </c>
      <c r="B146" s="37" t="s">
        <v>345</v>
      </c>
      <c r="C146" s="46" t="s">
        <v>148</v>
      </c>
      <c r="D146" s="78">
        <v>1.0</v>
      </c>
      <c r="E146" s="37">
        <v>0.3</v>
      </c>
      <c r="F146" s="78">
        <v>5.5</v>
      </c>
      <c r="G146" s="40">
        <v>0.14</v>
      </c>
      <c r="H146" s="40">
        <f t="shared" si="14"/>
        <v>0.231</v>
      </c>
      <c r="I146" s="42"/>
      <c r="J146" s="107"/>
      <c r="K146" s="79"/>
    </row>
    <row r="147" ht="19.5" customHeight="1">
      <c r="A147" s="217">
        <v>4.0</v>
      </c>
      <c r="B147" s="37" t="s">
        <v>345</v>
      </c>
      <c r="C147" s="46" t="s">
        <v>148</v>
      </c>
      <c r="D147" s="78">
        <v>1.0</v>
      </c>
      <c r="E147" s="37">
        <v>0.3</v>
      </c>
      <c r="F147" s="78">
        <v>7.0</v>
      </c>
      <c r="G147" s="40">
        <v>0.14</v>
      </c>
      <c r="H147" s="40">
        <f t="shared" si="14"/>
        <v>0.294</v>
      </c>
      <c r="I147" s="42"/>
      <c r="J147" s="107"/>
      <c r="K147" s="79"/>
    </row>
    <row r="148" ht="19.5" customHeight="1">
      <c r="A148" s="217">
        <v>5.0</v>
      </c>
      <c r="B148" s="37" t="s">
        <v>345</v>
      </c>
      <c r="C148" s="46" t="s">
        <v>148</v>
      </c>
      <c r="D148" s="78">
        <v>2.0</v>
      </c>
      <c r="E148" s="37">
        <v>0.3</v>
      </c>
      <c r="F148" s="78">
        <v>2.5</v>
      </c>
      <c r="G148" s="40">
        <v>0.14</v>
      </c>
      <c r="H148" s="40">
        <f t="shared" si="14"/>
        <v>0.21</v>
      </c>
      <c r="I148" s="42"/>
      <c r="J148" s="43">
        <f>SUM(H144:H148)</f>
        <v>16.779</v>
      </c>
      <c r="K148" s="79"/>
    </row>
    <row r="149" ht="19.5" customHeight="1">
      <c r="A149" s="216" t="s">
        <v>1</v>
      </c>
      <c r="B149" s="74" t="s">
        <v>91</v>
      </c>
      <c r="C149" s="74" t="s">
        <v>92</v>
      </c>
      <c r="D149" s="76" t="s">
        <v>93</v>
      </c>
      <c r="E149" s="50" t="s">
        <v>97</v>
      </c>
      <c r="F149" s="53" t="s">
        <v>121</v>
      </c>
      <c r="G149" s="53" t="s">
        <v>99</v>
      </c>
      <c r="H149" s="75" t="s">
        <v>100</v>
      </c>
      <c r="I149" s="75" t="s">
        <v>101</v>
      </c>
      <c r="J149" s="76" t="s">
        <v>95</v>
      </c>
      <c r="K149" s="74" t="s">
        <v>96</v>
      </c>
    </row>
    <row r="150" ht="19.5" customHeight="1">
      <c r="A150" s="218">
        <v>1.0</v>
      </c>
      <c r="B150" s="37" t="s">
        <v>565</v>
      </c>
      <c r="C150" s="46" t="s">
        <v>148</v>
      </c>
      <c r="D150" s="78">
        <v>4.0</v>
      </c>
      <c r="E150" s="37">
        <v>0.45</v>
      </c>
      <c r="F150" s="40">
        <v>55.0</v>
      </c>
      <c r="G150" s="40">
        <v>0.14</v>
      </c>
      <c r="H150" s="40">
        <f t="shared" ref="H150:H160" si="15">G150*F150*E150*D150</f>
        <v>13.86</v>
      </c>
      <c r="I150" s="42"/>
      <c r="J150" s="40"/>
      <c r="K150" s="46"/>
    </row>
    <row r="151" ht="19.5" customHeight="1">
      <c r="A151" s="217">
        <v>2.0</v>
      </c>
      <c r="B151" s="37" t="s">
        <v>565</v>
      </c>
      <c r="C151" s="46" t="s">
        <v>148</v>
      </c>
      <c r="D151" s="78">
        <v>9.0</v>
      </c>
      <c r="E151" s="37">
        <v>0.45</v>
      </c>
      <c r="F151" s="40">
        <v>18.0</v>
      </c>
      <c r="G151" s="40">
        <v>0.14</v>
      </c>
      <c r="H151" s="40">
        <f t="shared" si="15"/>
        <v>10.206</v>
      </c>
      <c r="I151" s="42"/>
      <c r="J151" s="107"/>
      <c r="K151" s="46"/>
      <c r="L151" s="14" t="str">
        <f>J151+#REF!+#REF!</f>
        <v>#REF!</v>
      </c>
    </row>
    <row r="152" ht="19.5" customHeight="1">
      <c r="A152" s="217">
        <v>3.0</v>
      </c>
      <c r="B152" s="37" t="s">
        <v>565</v>
      </c>
      <c r="C152" s="46" t="s">
        <v>148</v>
      </c>
      <c r="D152" s="78">
        <v>1.0</v>
      </c>
      <c r="E152" s="37">
        <v>0.45</v>
      </c>
      <c r="F152" s="40">
        <v>5.5</v>
      </c>
      <c r="G152" s="40">
        <v>0.14</v>
      </c>
      <c r="H152" s="40">
        <f t="shared" si="15"/>
        <v>0.3465</v>
      </c>
      <c r="I152" s="42"/>
      <c r="J152" s="107"/>
      <c r="K152" s="79"/>
      <c r="L152" s="14"/>
    </row>
    <row r="153" ht="19.5" customHeight="1">
      <c r="A153" s="217">
        <v>4.0</v>
      </c>
      <c r="B153" s="37" t="s">
        <v>565</v>
      </c>
      <c r="C153" s="46" t="s">
        <v>148</v>
      </c>
      <c r="D153" s="78">
        <v>1.0</v>
      </c>
      <c r="E153" s="37">
        <v>0.45</v>
      </c>
      <c r="F153" s="40">
        <v>7.0</v>
      </c>
      <c r="G153" s="40">
        <v>0.14</v>
      </c>
      <c r="H153" s="40">
        <f t="shared" si="15"/>
        <v>0.441</v>
      </c>
      <c r="I153" s="42"/>
      <c r="J153" s="107"/>
      <c r="K153" s="79"/>
      <c r="L153" s="14"/>
    </row>
    <row r="154" ht="19.5" customHeight="1">
      <c r="A154" s="217">
        <v>5.0</v>
      </c>
      <c r="B154" s="37" t="s">
        <v>565</v>
      </c>
      <c r="C154" s="46" t="s">
        <v>148</v>
      </c>
      <c r="D154" s="78">
        <v>2.0</v>
      </c>
      <c r="E154" s="37">
        <v>0.45</v>
      </c>
      <c r="F154" s="40">
        <v>2.5</v>
      </c>
      <c r="G154" s="40">
        <v>0.14</v>
      </c>
      <c r="H154" s="40">
        <f t="shared" si="15"/>
        <v>0.315</v>
      </c>
      <c r="I154" s="42"/>
      <c r="J154" s="107"/>
      <c r="K154" s="79"/>
      <c r="L154" s="14"/>
    </row>
    <row r="155" ht="19.5" customHeight="1">
      <c r="A155" s="217">
        <v>5.0</v>
      </c>
      <c r="B155" s="37" t="s">
        <v>346</v>
      </c>
      <c r="C155" s="46" t="s">
        <v>148</v>
      </c>
      <c r="D155" s="78">
        <v>4.0</v>
      </c>
      <c r="E155" s="37">
        <v>0.25</v>
      </c>
      <c r="F155" s="40">
        <v>55.0</v>
      </c>
      <c r="G155" s="40">
        <v>0.14</v>
      </c>
      <c r="H155" s="40">
        <f t="shared" si="15"/>
        <v>7.7</v>
      </c>
      <c r="I155" s="42"/>
      <c r="J155" s="40"/>
      <c r="K155" s="79"/>
      <c r="L155" s="14"/>
    </row>
    <row r="156" ht="19.5" customHeight="1">
      <c r="A156" s="217">
        <v>6.0</v>
      </c>
      <c r="B156" s="37" t="s">
        <v>346</v>
      </c>
      <c r="C156" s="46" t="s">
        <v>148</v>
      </c>
      <c r="D156" s="78">
        <v>9.0</v>
      </c>
      <c r="E156" s="37">
        <v>0.25</v>
      </c>
      <c r="F156" s="40">
        <v>18.0</v>
      </c>
      <c r="G156" s="40">
        <v>0.14</v>
      </c>
      <c r="H156" s="40">
        <f t="shared" si="15"/>
        <v>5.67</v>
      </c>
      <c r="I156" s="42"/>
      <c r="J156" s="107"/>
      <c r="K156" s="79"/>
      <c r="L156" s="14"/>
    </row>
    <row r="157" ht="19.5" customHeight="1">
      <c r="A157" s="217">
        <v>7.0</v>
      </c>
      <c r="B157" s="37" t="s">
        <v>346</v>
      </c>
      <c r="C157" s="46" t="s">
        <v>148</v>
      </c>
      <c r="D157" s="78">
        <v>1.0</v>
      </c>
      <c r="E157" s="37">
        <v>0.25</v>
      </c>
      <c r="F157" s="40">
        <v>5.5</v>
      </c>
      <c r="G157" s="40">
        <v>0.14</v>
      </c>
      <c r="H157" s="40">
        <f t="shared" si="15"/>
        <v>0.1925</v>
      </c>
      <c r="I157" s="42"/>
      <c r="J157" s="107"/>
      <c r="K157" s="79"/>
      <c r="L157" s="14"/>
    </row>
    <row r="158" ht="19.5" customHeight="1">
      <c r="A158" s="217">
        <v>8.0</v>
      </c>
      <c r="B158" s="37" t="s">
        <v>346</v>
      </c>
      <c r="C158" s="46" t="s">
        <v>148</v>
      </c>
      <c r="D158" s="78">
        <v>1.0</v>
      </c>
      <c r="E158" s="37">
        <v>0.25</v>
      </c>
      <c r="F158" s="40">
        <v>7.0</v>
      </c>
      <c r="G158" s="40">
        <v>0.14</v>
      </c>
      <c r="H158" s="40">
        <f t="shared" si="15"/>
        <v>0.245</v>
      </c>
      <c r="I158" s="42"/>
      <c r="J158" s="107"/>
      <c r="K158" s="79"/>
      <c r="L158" s="14"/>
    </row>
    <row r="159" ht="19.5" customHeight="1">
      <c r="A159" s="217">
        <v>9.0</v>
      </c>
      <c r="B159" s="37" t="s">
        <v>346</v>
      </c>
      <c r="C159" s="46" t="s">
        <v>148</v>
      </c>
      <c r="D159" s="78">
        <v>2.0</v>
      </c>
      <c r="E159" s="37">
        <v>0.25</v>
      </c>
      <c r="F159" s="40">
        <v>2.5</v>
      </c>
      <c r="G159" s="40">
        <v>0.14</v>
      </c>
      <c r="H159" s="40">
        <f t="shared" si="15"/>
        <v>0.175</v>
      </c>
      <c r="I159" s="42"/>
      <c r="J159" s="107"/>
      <c r="K159" s="79"/>
      <c r="L159" s="14"/>
    </row>
    <row r="160" ht="19.5" customHeight="1">
      <c r="A160" s="217">
        <v>10.0</v>
      </c>
      <c r="B160" s="37" t="s">
        <v>566</v>
      </c>
      <c r="C160" s="46" t="s">
        <v>148</v>
      </c>
      <c r="D160" s="78">
        <v>2.0</v>
      </c>
      <c r="E160" s="37">
        <v>0.4</v>
      </c>
      <c r="F160" s="40">
        <v>55.0</v>
      </c>
      <c r="G160" s="40">
        <v>0.14</v>
      </c>
      <c r="H160" s="40">
        <f t="shared" si="15"/>
        <v>6.16</v>
      </c>
      <c r="I160" s="42"/>
      <c r="J160" s="96">
        <f>SUM(H150:H160)</f>
        <v>45.311</v>
      </c>
      <c r="K160" s="79"/>
      <c r="L160" s="14"/>
    </row>
    <row r="161" ht="19.5" customHeight="1">
      <c r="A161" s="216" t="s">
        <v>1</v>
      </c>
      <c r="B161" s="74" t="s">
        <v>91</v>
      </c>
      <c r="C161" s="74" t="s">
        <v>92</v>
      </c>
      <c r="D161" s="76" t="s">
        <v>93</v>
      </c>
      <c r="E161" s="50" t="s">
        <v>97</v>
      </c>
      <c r="F161" s="53" t="s">
        <v>121</v>
      </c>
      <c r="G161" s="53" t="s">
        <v>99</v>
      </c>
      <c r="H161" s="75" t="s">
        <v>100</v>
      </c>
      <c r="I161" s="75" t="s">
        <v>101</v>
      </c>
      <c r="J161" s="76" t="s">
        <v>95</v>
      </c>
      <c r="K161" s="74" t="s">
        <v>96</v>
      </c>
    </row>
    <row r="162" ht="19.5" customHeight="1">
      <c r="A162" s="217">
        <v>1.0</v>
      </c>
      <c r="B162" s="37" t="s">
        <v>176</v>
      </c>
      <c r="C162" s="46" t="s">
        <v>103</v>
      </c>
      <c r="D162" s="78">
        <v>1.0</v>
      </c>
      <c r="E162" s="37">
        <v>0.3</v>
      </c>
      <c r="F162" s="40">
        <v>55.0</v>
      </c>
      <c r="G162" s="40">
        <v>18.0</v>
      </c>
      <c r="H162" s="40">
        <f>G162*F162</f>
        <v>990</v>
      </c>
      <c r="I162" s="42"/>
      <c r="J162" s="43">
        <f>H162-I162</f>
        <v>990</v>
      </c>
      <c r="K162" s="47"/>
    </row>
    <row r="163" ht="19.5" customHeight="1">
      <c r="A163" s="216" t="s">
        <v>1</v>
      </c>
      <c r="B163" s="74" t="s">
        <v>91</v>
      </c>
      <c r="C163" s="74" t="s">
        <v>92</v>
      </c>
      <c r="D163" s="76" t="s">
        <v>93</v>
      </c>
      <c r="E163" s="50" t="s">
        <v>148</v>
      </c>
      <c r="F163" s="53" t="s">
        <v>347</v>
      </c>
      <c r="G163" s="53" t="s">
        <v>348</v>
      </c>
      <c r="H163" s="75" t="s">
        <v>100</v>
      </c>
      <c r="I163" s="75" t="s">
        <v>101</v>
      </c>
      <c r="J163" s="76" t="s">
        <v>95</v>
      </c>
      <c r="K163" s="50" t="s">
        <v>96</v>
      </c>
    </row>
    <row r="164" ht="20.25" customHeight="1">
      <c r="A164" s="217">
        <v>1.0</v>
      </c>
      <c r="B164" s="37" t="s">
        <v>349</v>
      </c>
      <c r="C164" s="46" t="s">
        <v>103</v>
      </c>
      <c r="D164" s="123">
        <v>1.0</v>
      </c>
      <c r="E164" s="40" t="str">
        <f>#REF!</f>
        <v>#REF!</v>
      </c>
      <c r="F164" s="40">
        <v>10.0</v>
      </c>
      <c r="G164" s="40" t="str">
        <f t="shared" ref="G164:G166" si="16">E164/4</f>
        <v>#REF!</v>
      </c>
      <c r="H164" s="40" t="str">
        <f t="shared" ref="H164:H166" si="17">G164*F164</f>
        <v>#REF!</v>
      </c>
      <c r="I164" s="42"/>
      <c r="J164" s="107"/>
      <c r="K164" s="146" t="s">
        <v>701</v>
      </c>
    </row>
    <row r="165" ht="18.75" customHeight="1">
      <c r="A165" s="217">
        <v>2.0</v>
      </c>
      <c r="B165" s="37" t="s">
        <v>351</v>
      </c>
      <c r="C165" s="46" t="s">
        <v>103</v>
      </c>
      <c r="D165" s="128">
        <v>1.0</v>
      </c>
      <c r="E165" s="40" t="str">
        <f>#REF!+#REF!</f>
        <v>#REF!</v>
      </c>
      <c r="F165" s="40">
        <v>12.0</v>
      </c>
      <c r="G165" s="40" t="str">
        <f t="shared" si="16"/>
        <v>#REF!</v>
      </c>
      <c r="H165" s="59" t="str">
        <f t="shared" si="17"/>
        <v>#REF!</v>
      </c>
      <c r="I165" s="93"/>
      <c r="J165" s="107"/>
      <c r="K165" s="147"/>
    </row>
    <row r="166" ht="18.0" customHeight="1">
      <c r="A166" s="217">
        <v>3.0</v>
      </c>
      <c r="B166" s="37" t="s">
        <v>352</v>
      </c>
      <c r="C166" s="46" t="s">
        <v>103</v>
      </c>
      <c r="D166" s="128">
        <v>1.0</v>
      </c>
      <c r="E166" s="40" t="str">
        <f>J160+#REF!</f>
        <v>#REF!</v>
      </c>
      <c r="F166" s="40">
        <v>12.0</v>
      </c>
      <c r="G166" s="40" t="str">
        <f t="shared" si="16"/>
        <v>#REF!</v>
      </c>
      <c r="H166" s="59" t="str">
        <f t="shared" si="17"/>
        <v>#REF!</v>
      </c>
      <c r="I166" s="93"/>
      <c r="J166" s="107" t="str">
        <f>SUM(H164:H166)</f>
        <v>#REF!</v>
      </c>
      <c r="K166" s="32"/>
    </row>
    <row r="167" ht="19.5" customHeight="1">
      <c r="A167" s="216" t="s">
        <v>1</v>
      </c>
      <c r="B167" s="74" t="s">
        <v>91</v>
      </c>
      <c r="C167" s="74" t="s">
        <v>92</v>
      </c>
      <c r="D167" s="76" t="s">
        <v>93</v>
      </c>
      <c r="E167" s="50" t="s">
        <v>97</v>
      </c>
      <c r="F167" s="53" t="s">
        <v>121</v>
      </c>
      <c r="G167" s="53" t="s">
        <v>99</v>
      </c>
      <c r="H167" s="75" t="s">
        <v>100</v>
      </c>
      <c r="I167" s="75" t="s">
        <v>101</v>
      </c>
      <c r="J167" s="76" t="s">
        <v>95</v>
      </c>
      <c r="K167" s="74" t="s">
        <v>96</v>
      </c>
    </row>
    <row r="168" ht="19.5" customHeight="1">
      <c r="A168" s="141">
        <v>37319.0</v>
      </c>
      <c r="B168" s="49" t="s">
        <v>577</v>
      </c>
      <c r="C168" s="46" t="s">
        <v>103</v>
      </c>
      <c r="D168" s="39">
        <v>4.0</v>
      </c>
      <c r="E168" s="49">
        <v>3.0</v>
      </c>
      <c r="F168" s="39">
        <v>53.05</v>
      </c>
      <c r="G168" s="40"/>
      <c r="H168" s="40">
        <f t="shared" ref="H168:H173" si="18">F168*E168*D168</f>
        <v>636.6</v>
      </c>
      <c r="I168" s="42">
        <f>22*1.5*1+14*1.5*0.45</f>
        <v>42.45</v>
      </c>
      <c r="J168" s="40">
        <f t="shared" ref="J168:J173" si="19">H168-I168</f>
        <v>594.15</v>
      </c>
      <c r="K168" s="46"/>
    </row>
    <row r="169" ht="19.5" customHeight="1">
      <c r="A169" s="141">
        <v>37319.0</v>
      </c>
      <c r="B169" s="49" t="s">
        <v>577</v>
      </c>
      <c r="C169" s="46" t="s">
        <v>103</v>
      </c>
      <c r="D169" s="39">
        <v>9.0</v>
      </c>
      <c r="E169" s="49">
        <v>3.0</v>
      </c>
      <c r="F169" s="39">
        <v>18.05</v>
      </c>
      <c r="G169" s="40"/>
      <c r="H169" s="40">
        <f t="shared" si="18"/>
        <v>487.35</v>
      </c>
      <c r="I169" s="42">
        <f>15*0.9*2.1</f>
        <v>28.35</v>
      </c>
      <c r="J169" s="40">
        <f t="shared" si="19"/>
        <v>459</v>
      </c>
      <c r="K169" s="46"/>
    </row>
    <row r="170" ht="19.5" customHeight="1">
      <c r="A170" s="141">
        <v>37319.0</v>
      </c>
      <c r="B170" s="49" t="s">
        <v>578</v>
      </c>
      <c r="C170" s="46" t="s">
        <v>103</v>
      </c>
      <c r="D170" s="39">
        <v>4.0</v>
      </c>
      <c r="E170" s="49">
        <v>3.3</v>
      </c>
      <c r="F170" s="39">
        <v>53.05</v>
      </c>
      <c r="G170" s="40"/>
      <c r="H170" s="40">
        <f t="shared" si="18"/>
        <v>700.26</v>
      </c>
      <c r="I170" s="42">
        <f>22*1.5*1+14*1.5*0.45</f>
        <v>42.45</v>
      </c>
      <c r="J170" s="40">
        <f t="shared" si="19"/>
        <v>657.81</v>
      </c>
      <c r="K170" s="46"/>
    </row>
    <row r="171" ht="19.5" customHeight="1">
      <c r="A171" s="141">
        <v>37319.0</v>
      </c>
      <c r="B171" s="49" t="s">
        <v>578</v>
      </c>
      <c r="C171" s="46" t="s">
        <v>103</v>
      </c>
      <c r="D171" s="39">
        <v>9.0</v>
      </c>
      <c r="E171" s="49">
        <v>3.3</v>
      </c>
      <c r="F171" s="39">
        <v>18.05</v>
      </c>
      <c r="G171" s="40"/>
      <c r="H171" s="40">
        <f t="shared" si="18"/>
        <v>536.085</v>
      </c>
      <c r="I171" s="42">
        <f>15*0.9*2.1</f>
        <v>28.35</v>
      </c>
      <c r="J171" s="40">
        <f t="shared" si="19"/>
        <v>507.735</v>
      </c>
      <c r="K171" s="46"/>
    </row>
    <row r="172" ht="19.5" customHeight="1">
      <c r="A172" s="141">
        <v>37319.0</v>
      </c>
      <c r="B172" s="49" t="s">
        <v>579</v>
      </c>
      <c r="C172" s="46" t="s">
        <v>103</v>
      </c>
      <c r="D172" s="39">
        <v>2.0</v>
      </c>
      <c r="E172" s="49">
        <v>1.55</v>
      </c>
      <c r="F172" s="39">
        <v>53.05</v>
      </c>
      <c r="G172" s="40"/>
      <c r="H172" s="40">
        <f t="shared" si="18"/>
        <v>164.455</v>
      </c>
      <c r="I172" s="42"/>
      <c r="J172" s="40">
        <f t="shared" si="19"/>
        <v>164.455</v>
      </c>
      <c r="K172" s="46"/>
    </row>
    <row r="173" ht="19.5" customHeight="1">
      <c r="A173" s="141">
        <v>37319.0</v>
      </c>
      <c r="B173" s="49" t="s">
        <v>579</v>
      </c>
      <c r="C173" s="46" t="s">
        <v>103</v>
      </c>
      <c r="D173" s="39">
        <v>2.0</v>
      </c>
      <c r="E173" s="49">
        <v>1.55</v>
      </c>
      <c r="F173" s="39">
        <v>18.05</v>
      </c>
      <c r="G173" s="40"/>
      <c r="H173" s="40">
        <f t="shared" si="18"/>
        <v>55.955</v>
      </c>
      <c r="I173" s="42"/>
      <c r="J173" s="40">
        <f t="shared" si="19"/>
        <v>55.955</v>
      </c>
      <c r="K173" s="46"/>
    </row>
    <row r="174" ht="19.5" customHeight="1">
      <c r="A174" s="141">
        <v>37319.0</v>
      </c>
      <c r="B174" s="95"/>
      <c r="C174" s="79"/>
      <c r="D174" s="92"/>
      <c r="E174" s="37"/>
      <c r="F174" s="78"/>
      <c r="G174" s="40"/>
      <c r="H174" s="59"/>
      <c r="I174" s="93"/>
      <c r="J174" s="96">
        <f>SUM(J168:J173)</f>
        <v>2439.105</v>
      </c>
      <c r="K174" s="79"/>
    </row>
    <row r="175" ht="19.5" customHeight="1">
      <c r="A175" s="144"/>
      <c r="B175" s="95"/>
      <c r="C175" s="79"/>
      <c r="D175" s="92"/>
      <c r="E175" s="37"/>
      <c r="F175" s="78"/>
      <c r="G175" s="40"/>
      <c r="H175" s="59"/>
      <c r="I175" s="93"/>
      <c r="J175" s="96"/>
      <c r="K175" s="79"/>
    </row>
    <row r="176" ht="19.5" customHeight="1">
      <c r="A176" s="216" t="s">
        <v>1</v>
      </c>
      <c r="B176" s="74" t="s">
        <v>91</v>
      </c>
      <c r="C176" s="74" t="s">
        <v>92</v>
      </c>
      <c r="D176" s="76" t="s">
        <v>93</v>
      </c>
      <c r="E176" s="50" t="s">
        <v>97</v>
      </c>
      <c r="F176" s="53" t="s">
        <v>121</v>
      </c>
      <c r="G176" s="53" t="s">
        <v>99</v>
      </c>
      <c r="H176" s="75" t="s">
        <v>100</v>
      </c>
      <c r="I176" s="75" t="s">
        <v>101</v>
      </c>
      <c r="J176" s="76" t="s">
        <v>95</v>
      </c>
      <c r="K176" s="74" t="s">
        <v>96</v>
      </c>
    </row>
    <row r="177" ht="19.5" customHeight="1">
      <c r="A177" s="217">
        <v>1.0</v>
      </c>
      <c r="B177" s="37" t="s">
        <v>182</v>
      </c>
      <c r="C177" s="46" t="s">
        <v>103</v>
      </c>
      <c r="D177" s="78">
        <f>J162</f>
        <v>990</v>
      </c>
      <c r="E177" s="37"/>
      <c r="F177" s="40"/>
      <c r="G177" s="40"/>
      <c r="H177" s="40">
        <f>D177</f>
        <v>990</v>
      </c>
      <c r="I177" s="42"/>
      <c r="J177" s="43">
        <f>H177-I177</f>
        <v>990</v>
      </c>
      <c r="K177" s="46" t="s">
        <v>183</v>
      </c>
    </row>
    <row r="178" ht="19.5" customHeight="1">
      <c r="A178" s="216" t="s">
        <v>1</v>
      </c>
      <c r="B178" s="74" t="s">
        <v>91</v>
      </c>
      <c r="C178" s="74" t="s">
        <v>92</v>
      </c>
      <c r="D178" s="76" t="s">
        <v>93</v>
      </c>
      <c r="E178" s="50" t="s">
        <v>187</v>
      </c>
      <c r="F178" s="53"/>
      <c r="G178" s="53" t="s">
        <v>353</v>
      </c>
      <c r="H178" s="75" t="s">
        <v>100</v>
      </c>
      <c r="I178" s="75" t="s">
        <v>101</v>
      </c>
      <c r="J178" s="76" t="s">
        <v>95</v>
      </c>
      <c r="K178" s="74" t="s">
        <v>96</v>
      </c>
    </row>
    <row r="179" ht="19.5" customHeight="1">
      <c r="A179" s="219">
        <v>1.0</v>
      </c>
      <c r="B179" s="37" t="s">
        <v>354</v>
      </c>
      <c r="C179" s="46" t="s">
        <v>158</v>
      </c>
      <c r="D179" s="78" t="str">
        <f>#REF!</f>
        <v>#REF!</v>
      </c>
      <c r="E179" s="37">
        <v>80.0</v>
      </c>
      <c r="F179" s="40"/>
      <c r="G179" s="40" t="str">
        <f t="shared" ref="G179:G182" si="20">E179*D179</f>
        <v>#REF!</v>
      </c>
      <c r="H179" s="40" t="str">
        <f t="shared" ref="H179:H182" si="21">E179*D179</f>
        <v>#REF!</v>
      </c>
      <c r="I179" s="42"/>
      <c r="J179" s="107"/>
      <c r="K179" s="46" t="s">
        <v>355</v>
      </c>
    </row>
    <row r="180" ht="19.5" customHeight="1">
      <c r="A180" s="219">
        <v>2.0</v>
      </c>
      <c r="B180" s="37" t="s">
        <v>356</v>
      </c>
      <c r="C180" s="46" t="s">
        <v>158</v>
      </c>
      <c r="D180" s="78" t="str">
        <f>#REF!+#REF!</f>
        <v>#REF!</v>
      </c>
      <c r="E180" s="37">
        <v>90.0</v>
      </c>
      <c r="F180" s="40"/>
      <c r="G180" s="40" t="str">
        <f t="shared" si="20"/>
        <v>#REF!</v>
      </c>
      <c r="H180" s="40" t="str">
        <f t="shared" si="21"/>
        <v>#REF!</v>
      </c>
      <c r="I180" s="42"/>
      <c r="J180" s="121"/>
      <c r="K180" s="79"/>
    </row>
    <row r="181" ht="19.5" customHeight="1">
      <c r="A181" s="219">
        <v>3.0</v>
      </c>
      <c r="B181" s="37" t="s">
        <v>357</v>
      </c>
      <c r="C181" s="46" t="s">
        <v>158</v>
      </c>
      <c r="D181" s="78" t="str">
        <f>J160+#REF!</f>
        <v>#REF!</v>
      </c>
      <c r="E181" s="37">
        <v>100.0</v>
      </c>
      <c r="F181" s="40"/>
      <c r="G181" s="40" t="str">
        <f t="shared" si="20"/>
        <v>#REF!</v>
      </c>
      <c r="H181" s="40" t="str">
        <f t="shared" si="21"/>
        <v>#REF!</v>
      </c>
      <c r="I181" s="42"/>
      <c r="J181" s="121"/>
      <c r="K181" s="79"/>
    </row>
    <row r="182" ht="19.5" customHeight="1">
      <c r="A182" s="219">
        <v>4.0</v>
      </c>
      <c r="B182" s="37" t="s">
        <v>358</v>
      </c>
      <c r="C182" s="46" t="s">
        <v>158</v>
      </c>
      <c r="D182" s="78">
        <f>J177*0.15</f>
        <v>148.5</v>
      </c>
      <c r="E182" s="37">
        <v>80.0</v>
      </c>
      <c r="F182" s="40"/>
      <c r="G182" s="40">
        <f t="shared" si="20"/>
        <v>11880</v>
      </c>
      <c r="H182" s="40">
        <f t="shared" si="21"/>
        <v>11880</v>
      </c>
      <c r="I182" s="42"/>
      <c r="J182" s="96" t="str">
        <f>SUM(H179:H182)</f>
        <v>#REF!</v>
      </c>
      <c r="K182" s="79"/>
    </row>
    <row r="183" ht="19.5" customHeight="1">
      <c r="A183" s="216" t="s">
        <v>1</v>
      </c>
      <c r="B183" s="74" t="s">
        <v>91</v>
      </c>
      <c r="C183" s="74" t="s">
        <v>92</v>
      </c>
      <c r="D183" s="76" t="s">
        <v>93</v>
      </c>
      <c r="E183" s="50" t="s">
        <v>97</v>
      </c>
      <c r="F183" s="53" t="s">
        <v>121</v>
      </c>
      <c r="G183" s="53" t="s">
        <v>99</v>
      </c>
      <c r="H183" s="75" t="s">
        <v>100</v>
      </c>
      <c r="I183" s="75" t="s">
        <v>101</v>
      </c>
      <c r="J183" s="76" t="s">
        <v>95</v>
      </c>
      <c r="K183" s="74" t="s">
        <v>96</v>
      </c>
    </row>
    <row r="184" ht="19.5" customHeight="1">
      <c r="A184" s="141">
        <v>38507.0</v>
      </c>
      <c r="B184" s="37" t="s">
        <v>184</v>
      </c>
      <c r="C184" s="46" t="s">
        <v>108</v>
      </c>
      <c r="D184" s="39">
        <v>2.0</v>
      </c>
      <c r="E184" s="37"/>
      <c r="F184" s="41">
        <v>18.05</v>
      </c>
      <c r="G184" s="41">
        <v>53.05</v>
      </c>
      <c r="H184" s="40">
        <f>D184*(F184+G184)</f>
        <v>142.2</v>
      </c>
      <c r="I184" s="42"/>
      <c r="J184" s="77"/>
      <c r="K184" s="46"/>
    </row>
    <row r="185" ht="19.5" customHeight="1">
      <c r="A185" s="141">
        <v>38507.0</v>
      </c>
      <c r="B185" s="37" t="s">
        <v>185</v>
      </c>
      <c r="C185" s="46" t="s">
        <v>108</v>
      </c>
      <c r="D185" s="39">
        <v>2.0</v>
      </c>
      <c r="E185" s="37"/>
      <c r="F185" s="41">
        <v>18.05</v>
      </c>
      <c r="G185" s="40"/>
      <c r="H185" s="40">
        <f>D185*F185</f>
        <v>36.1</v>
      </c>
      <c r="I185" s="42"/>
      <c r="J185" s="43">
        <f>H185+H184</f>
        <v>178.3</v>
      </c>
      <c r="K185" s="46"/>
    </row>
    <row r="186" ht="19.5" customHeight="1">
      <c r="A186" s="216" t="s">
        <v>1</v>
      </c>
      <c r="B186" s="74" t="s">
        <v>91</v>
      </c>
      <c r="C186" s="74" t="s">
        <v>92</v>
      </c>
      <c r="D186" s="76" t="s">
        <v>93</v>
      </c>
      <c r="E186" s="50" t="s">
        <v>99</v>
      </c>
      <c r="F186" s="53" t="s">
        <v>121</v>
      </c>
      <c r="G186" s="53"/>
      <c r="H186" s="75" t="s">
        <v>100</v>
      </c>
      <c r="I186" s="75" t="s">
        <v>101</v>
      </c>
      <c r="J186" s="76" t="s">
        <v>95</v>
      </c>
      <c r="K186" s="74" t="s">
        <v>96</v>
      </c>
    </row>
    <row r="187" ht="19.5" customHeight="1">
      <c r="A187" s="141">
        <v>37046.0</v>
      </c>
      <c r="B187" s="49" t="s">
        <v>580</v>
      </c>
      <c r="C187" s="38" t="s">
        <v>158</v>
      </c>
      <c r="D187" s="39">
        <f>'39 ESTRUTURAL ADM, LAB E BIBLIO'!Y11</f>
        <v>10368.5725</v>
      </c>
      <c r="E187" s="37"/>
      <c r="F187" s="40"/>
      <c r="G187" s="40"/>
      <c r="H187" s="40"/>
      <c r="I187" s="42"/>
      <c r="J187" s="43">
        <f t="shared" ref="J187:J188" si="22">D187</f>
        <v>10368.5725</v>
      </c>
      <c r="K187" s="46"/>
    </row>
    <row r="188" ht="19.5" customHeight="1">
      <c r="A188" s="144" t="s">
        <v>581</v>
      </c>
      <c r="B188" s="49" t="s">
        <v>582</v>
      </c>
      <c r="C188" s="83" t="s">
        <v>103</v>
      </c>
      <c r="D188" s="115">
        <f>'39 ESTRUTURAL ADM, LAB E BIBLIO'!AA11</f>
        <v>909.5239035</v>
      </c>
      <c r="E188" s="37"/>
      <c r="F188" s="40"/>
      <c r="G188" s="40"/>
      <c r="H188" s="59"/>
      <c r="I188" s="82"/>
      <c r="J188" s="43">
        <f t="shared" si="22"/>
        <v>909.5239035</v>
      </c>
      <c r="K188" s="79"/>
    </row>
    <row r="189" ht="19.5" customHeight="1">
      <c r="A189" s="216" t="s">
        <v>1</v>
      </c>
      <c r="B189" s="74" t="s">
        <v>91</v>
      </c>
      <c r="C189" s="74" t="s">
        <v>92</v>
      </c>
      <c r="D189" s="76" t="s">
        <v>93</v>
      </c>
      <c r="E189" s="50" t="s">
        <v>99</v>
      </c>
      <c r="F189" s="53" t="s">
        <v>121</v>
      </c>
      <c r="G189" s="53"/>
      <c r="H189" s="75" t="s">
        <v>100</v>
      </c>
      <c r="I189" s="75" t="s">
        <v>101</v>
      </c>
      <c r="J189" s="76" t="s">
        <v>95</v>
      </c>
      <c r="K189" s="74" t="s">
        <v>96</v>
      </c>
    </row>
    <row r="190" ht="19.5" customHeight="1">
      <c r="A190" s="141">
        <v>37411.0</v>
      </c>
      <c r="B190" s="37" t="s">
        <v>189</v>
      </c>
      <c r="C190" s="46" t="s">
        <v>103</v>
      </c>
      <c r="D190" s="78">
        <v>1.0</v>
      </c>
      <c r="E190" s="49">
        <v>17.75</v>
      </c>
      <c r="F190" s="41">
        <v>53.05</v>
      </c>
      <c r="G190" s="40"/>
      <c r="H190" s="40">
        <f>F190*E190</f>
        <v>941.6375</v>
      </c>
      <c r="I190" s="42"/>
      <c r="J190" s="43">
        <f t="shared" ref="J190:J191" si="23">H190-I190</f>
        <v>941.6375</v>
      </c>
      <c r="K190" s="46"/>
    </row>
    <row r="191" ht="19.5" customHeight="1">
      <c r="A191" s="141">
        <v>37776.0</v>
      </c>
      <c r="B191" s="114" t="s">
        <v>583</v>
      </c>
      <c r="C191" s="83" t="s">
        <v>108</v>
      </c>
      <c r="D191" s="115">
        <v>1.0</v>
      </c>
      <c r="E191" s="49"/>
      <c r="F191" s="41">
        <v>53.05</v>
      </c>
      <c r="G191" s="40"/>
      <c r="H191" s="59">
        <f>D191*F191</f>
        <v>53.05</v>
      </c>
      <c r="I191" s="82"/>
      <c r="J191" s="43">
        <f t="shared" si="23"/>
        <v>53.05</v>
      </c>
      <c r="K191" s="79"/>
    </row>
    <row r="192" ht="19.5" customHeight="1">
      <c r="A192" s="216" t="s">
        <v>1</v>
      </c>
      <c r="B192" s="74" t="s">
        <v>91</v>
      </c>
      <c r="C192" s="74" t="s">
        <v>92</v>
      </c>
      <c r="D192" s="76" t="s">
        <v>93</v>
      </c>
      <c r="E192" s="50" t="s">
        <v>99</v>
      </c>
      <c r="F192" s="53" t="s">
        <v>121</v>
      </c>
      <c r="G192" s="53" t="s">
        <v>97</v>
      </c>
      <c r="H192" s="75" t="s">
        <v>100</v>
      </c>
      <c r="I192" s="75" t="s">
        <v>101</v>
      </c>
      <c r="J192" s="76" t="s">
        <v>95</v>
      </c>
      <c r="K192" s="74" t="s">
        <v>96</v>
      </c>
    </row>
    <row r="193" ht="19.5" customHeight="1">
      <c r="A193" s="141">
        <v>38142.0</v>
      </c>
      <c r="B193" s="49" t="s">
        <v>584</v>
      </c>
      <c r="C193" s="38" t="s">
        <v>108</v>
      </c>
      <c r="D193" s="78">
        <v>2.0</v>
      </c>
      <c r="E193" s="37"/>
      <c r="F193" s="41">
        <v>53.05</v>
      </c>
      <c r="G193" s="40"/>
      <c r="H193" s="40"/>
      <c r="I193" s="42"/>
      <c r="J193" s="43">
        <f>D193*F193</f>
        <v>106.1</v>
      </c>
      <c r="K193" s="46"/>
    </row>
    <row r="194" ht="19.5" customHeight="1">
      <c r="A194" s="216" t="s">
        <v>1</v>
      </c>
      <c r="B194" s="74" t="s">
        <v>91</v>
      </c>
      <c r="C194" s="74" t="s">
        <v>92</v>
      </c>
      <c r="D194" s="76" t="s">
        <v>93</v>
      </c>
      <c r="E194" s="50" t="s">
        <v>193</v>
      </c>
      <c r="F194" s="53" t="s">
        <v>121</v>
      </c>
      <c r="G194" s="53" t="s">
        <v>194</v>
      </c>
      <c r="H194" s="75" t="s">
        <v>100</v>
      </c>
      <c r="I194" s="75" t="s">
        <v>101</v>
      </c>
      <c r="J194" s="76" t="s">
        <v>95</v>
      </c>
      <c r="K194" s="74" t="s">
        <v>96</v>
      </c>
    </row>
    <row r="195" ht="19.5" customHeight="1">
      <c r="A195" s="220">
        <v>1.0</v>
      </c>
      <c r="B195" s="37" t="s">
        <v>361</v>
      </c>
      <c r="C195" s="46" t="s">
        <v>103</v>
      </c>
      <c r="D195" s="78">
        <v>2.0</v>
      </c>
      <c r="E195" s="37">
        <v>1.1</v>
      </c>
      <c r="F195" s="40">
        <v>55.0</v>
      </c>
      <c r="G195" s="40"/>
      <c r="H195" s="40">
        <f>F195*E195*D195</f>
        <v>121</v>
      </c>
      <c r="I195" s="42"/>
      <c r="J195" s="43">
        <f t="shared" ref="J195:J198" si="24">H195-I195</f>
        <v>121</v>
      </c>
      <c r="K195" s="46"/>
    </row>
    <row r="196" ht="19.5" customHeight="1">
      <c r="A196" s="220">
        <v>2.0</v>
      </c>
      <c r="B196" s="37"/>
      <c r="C196" s="46" t="s">
        <v>103</v>
      </c>
      <c r="D196" s="78">
        <v>1.0</v>
      </c>
      <c r="E196" s="37">
        <v>60.0</v>
      </c>
      <c r="F196" s="40"/>
      <c r="G196" s="40"/>
      <c r="H196" s="40">
        <f>E196*D196</f>
        <v>60</v>
      </c>
      <c r="I196" s="42"/>
      <c r="J196" s="43">
        <f t="shared" si="24"/>
        <v>60</v>
      </c>
      <c r="K196" s="79"/>
    </row>
    <row r="197" ht="19.5" customHeight="1">
      <c r="A197" s="220">
        <v>3.0</v>
      </c>
      <c r="B197" s="49" t="s">
        <v>585</v>
      </c>
      <c r="C197" s="46" t="s">
        <v>103</v>
      </c>
      <c r="D197" s="39">
        <v>4.0</v>
      </c>
      <c r="E197" s="37"/>
      <c r="F197" s="39">
        <v>17.81</v>
      </c>
      <c r="G197" s="41">
        <v>3.0</v>
      </c>
      <c r="H197" s="40">
        <f t="shared" ref="H197:H198" si="25">D197*F197*G197</f>
        <v>213.72</v>
      </c>
      <c r="I197" s="42">
        <f>4*(0.9*2.1+0.45*1.5)</f>
        <v>10.26</v>
      </c>
      <c r="J197" s="40">
        <f t="shared" si="24"/>
        <v>203.46</v>
      </c>
      <c r="K197" s="79"/>
    </row>
    <row r="198" ht="19.5" customHeight="1">
      <c r="A198" s="220">
        <v>4.0</v>
      </c>
      <c r="B198" s="49" t="s">
        <v>586</v>
      </c>
      <c r="C198" s="46" t="s">
        <v>103</v>
      </c>
      <c r="D198" s="39">
        <v>4.0</v>
      </c>
      <c r="E198" s="37"/>
      <c r="F198" s="39">
        <v>8.44</v>
      </c>
      <c r="G198" s="41">
        <v>3.0</v>
      </c>
      <c r="H198" s="40">
        <f t="shared" si="25"/>
        <v>101.28</v>
      </c>
      <c r="I198" s="152">
        <f>4*0.9*2.1</f>
        <v>7.56</v>
      </c>
      <c r="J198" s="40">
        <f t="shared" si="24"/>
        <v>93.72</v>
      </c>
      <c r="K198" s="79"/>
    </row>
    <row r="199" ht="19.5" customHeight="1">
      <c r="A199" s="220"/>
      <c r="B199" s="37"/>
      <c r="C199" s="46" t="s">
        <v>103</v>
      </c>
      <c r="D199" s="78">
        <v>2.0</v>
      </c>
      <c r="E199" s="37">
        <v>0.94</v>
      </c>
      <c r="F199" s="40">
        <v>2.5</v>
      </c>
      <c r="G199" s="40"/>
      <c r="H199" s="40">
        <f>F199*E199*D199</f>
        <v>4.7</v>
      </c>
      <c r="I199" s="42"/>
      <c r="J199" s="96">
        <f>SUM(J197:J198)</f>
        <v>297.18</v>
      </c>
      <c r="K199" s="79"/>
    </row>
    <row r="200" ht="19.5" customHeight="1">
      <c r="A200" s="216" t="s">
        <v>1</v>
      </c>
      <c r="B200" s="74" t="s">
        <v>91</v>
      </c>
      <c r="C200" s="74" t="s">
        <v>92</v>
      </c>
      <c r="D200" s="76" t="s">
        <v>93</v>
      </c>
      <c r="E200" s="50" t="s">
        <v>161</v>
      </c>
      <c r="F200" s="53"/>
      <c r="G200" s="53"/>
      <c r="H200" s="75" t="s">
        <v>100</v>
      </c>
      <c r="I200" s="75" t="s">
        <v>101</v>
      </c>
      <c r="J200" s="76" t="s">
        <v>95</v>
      </c>
      <c r="K200" s="74" t="s">
        <v>96</v>
      </c>
    </row>
    <row r="201" ht="19.5" customHeight="1">
      <c r="A201" s="141">
        <v>37107.0</v>
      </c>
      <c r="B201" s="49" t="s">
        <v>587</v>
      </c>
      <c r="C201" s="46" t="s">
        <v>103</v>
      </c>
      <c r="D201" s="39">
        <v>11.0</v>
      </c>
      <c r="E201" s="37"/>
      <c r="F201" s="39">
        <v>7.0</v>
      </c>
      <c r="G201" s="41">
        <v>8.0</v>
      </c>
      <c r="H201" s="40">
        <f>D201*F201*G201</f>
        <v>616</v>
      </c>
      <c r="I201" s="42"/>
      <c r="J201" s="142">
        <f t="shared" ref="J201:J206" si="26">H201-I201</f>
        <v>616</v>
      </c>
      <c r="K201" s="46"/>
    </row>
    <row r="202" ht="19.5" customHeight="1">
      <c r="A202" s="141">
        <v>37107.0</v>
      </c>
      <c r="B202" s="49" t="s">
        <v>588</v>
      </c>
      <c r="C202" s="46" t="s">
        <v>103</v>
      </c>
      <c r="D202" s="39">
        <v>1.0</v>
      </c>
      <c r="E202" s="37"/>
      <c r="F202" s="39"/>
      <c r="G202" s="41"/>
      <c r="H202" s="41">
        <v>47.7</v>
      </c>
      <c r="I202" s="82"/>
      <c r="J202" s="142">
        <f t="shared" si="26"/>
        <v>47.7</v>
      </c>
      <c r="K202" s="79"/>
    </row>
    <row r="203" ht="19.5" customHeight="1">
      <c r="A203" s="141">
        <v>37107.0</v>
      </c>
      <c r="B203" s="49" t="s">
        <v>589</v>
      </c>
      <c r="C203" s="46" t="s">
        <v>103</v>
      </c>
      <c r="D203" s="115">
        <v>1.0</v>
      </c>
      <c r="E203" s="37"/>
      <c r="F203" s="39"/>
      <c r="G203" s="40"/>
      <c r="H203" s="58">
        <v>182.3</v>
      </c>
      <c r="I203" s="82"/>
      <c r="J203" s="142">
        <f t="shared" si="26"/>
        <v>182.3</v>
      </c>
      <c r="K203" s="79"/>
    </row>
    <row r="204" ht="19.5" customHeight="1">
      <c r="A204" s="141">
        <v>37107.0</v>
      </c>
      <c r="B204" s="49" t="s">
        <v>590</v>
      </c>
      <c r="C204" s="46" t="s">
        <v>103</v>
      </c>
      <c r="D204" s="39">
        <v>11.0</v>
      </c>
      <c r="E204" s="37"/>
      <c r="F204" s="39">
        <v>7.0</v>
      </c>
      <c r="G204" s="41">
        <v>8.0</v>
      </c>
      <c r="H204" s="40">
        <f>D204*F204*G204</f>
        <v>616</v>
      </c>
      <c r="I204" s="82"/>
      <c r="J204" s="142">
        <f t="shared" si="26"/>
        <v>616</v>
      </c>
      <c r="K204" s="79"/>
    </row>
    <row r="205" ht="19.5" customHeight="1">
      <c r="A205" s="141">
        <v>37107.0</v>
      </c>
      <c r="B205" s="49" t="s">
        <v>591</v>
      </c>
      <c r="C205" s="46" t="s">
        <v>103</v>
      </c>
      <c r="D205" s="39">
        <v>1.0</v>
      </c>
      <c r="E205" s="37"/>
      <c r="F205" s="39"/>
      <c r="G205" s="41"/>
      <c r="H205" s="41">
        <v>47.7</v>
      </c>
      <c r="I205" s="82"/>
      <c r="J205" s="142">
        <f t="shared" si="26"/>
        <v>47.7</v>
      </c>
      <c r="K205" s="79"/>
    </row>
    <row r="206" ht="19.5" customHeight="1">
      <c r="A206" s="141">
        <v>37107.0</v>
      </c>
      <c r="B206" s="49" t="s">
        <v>592</v>
      </c>
      <c r="C206" s="46" t="s">
        <v>103</v>
      </c>
      <c r="D206" s="115">
        <v>1.0</v>
      </c>
      <c r="E206" s="37"/>
      <c r="F206" s="39"/>
      <c r="G206" s="40"/>
      <c r="H206" s="58">
        <v>182.3</v>
      </c>
      <c r="I206" s="82"/>
      <c r="J206" s="142">
        <f t="shared" si="26"/>
        <v>182.3</v>
      </c>
      <c r="K206" s="79"/>
    </row>
    <row r="207" ht="19.5" customHeight="1">
      <c r="A207" s="141">
        <v>37107.0</v>
      </c>
      <c r="B207" s="114"/>
      <c r="C207" s="79"/>
      <c r="D207" s="115"/>
      <c r="E207" s="37"/>
      <c r="F207" s="39"/>
      <c r="G207" s="40"/>
      <c r="H207" s="58"/>
      <c r="I207" s="82"/>
      <c r="J207" s="143">
        <f>SUM(J201:J206)</f>
        <v>1692</v>
      </c>
      <c r="K207" s="79"/>
    </row>
    <row r="208" ht="19.5" customHeight="1">
      <c r="A208" s="216" t="s">
        <v>1</v>
      </c>
      <c r="B208" s="74" t="s">
        <v>91</v>
      </c>
      <c r="C208" s="74" t="s">
        <v>92</v>
      </c>
      <c r="D208" s="76" t="s">
        <v>93</v>
      </c>
      <c r="E208" s="50" t="s">
        <v>99</v>
      </c>
      <c r="F208" s="53" t="s">
        <v>121</v>
      </c>
      <c r="G208" s="53" t="s">
        <v>97</v>
      </c>
      <c r="H208" s="75" t="s">
        <v>100</v>
      </c>
      <c r="I208" s="75" t="s">
        <v>101</v>
      </c>
      <c r="J208" s="76" t="s">
        <v>95</v>
      </c>
      <c r="K208" s="74" t="s">
        <v>96</v>
      </c>
    </row>
    <row r="209" ht="19.5" customHeight="1">
      <c r="A209" s="141">
        <v>37015.0</v>
      </c>
      <c r="B209" s="49" t="s">
        <v>593</v>
      </c>
      <c r="C209" s="46" t="s">
        <v>103</v>
      </c>
      <c r="D209" s="39">
        <v>11.0</v>
      </c>
      <c r="E209" s="49"/>
      <c r="F209" s="39">
        <f>(8+7)*2</f>
        <v>30</v>
      </c>
      <c r="G209" s="41">
        <v>3.0</v>
      </c>
      <c r="H209" s="40">
        <f t="shared" ref="H209:H212" si="27">D209*F209*G209</f>
        <v>990</v>
      </c>
      <c r="I209" s="42">
        <f>11*(0.45*1.5+1*2.1*0.9+2*1*1.5)</f>
        <v>61.215</v>
      </c>
      <c r="J209" s="40">
        <f t="shared" ref="J209:J212" si="28">H209-I209</f>
        <v>928.785</v>
      </c>
      <c r="K209" s="46"/>
    </row>
    <row r="210" ht="19.5" customHeight="1">
      <c r="A210" s="141">
        <v>37015.0</v>
      </c>
      <c r="B210" s="49" t="s">
        <v>594</v>
      </c>
      <c r="C210" s="46" t="s">
        <v>103</v>
      </c>
      <c r="D210" s="39">
        <v>1.0</v>
      </c>
      <c r="E210" s="37"/>
      <c r="F210" s="39">
        <v>178.05</v>
      </c>
      <c r="G210" s="41">
        <v>3.0</v>
      </c>
      <c r="H210" s="40">
        <f t="shared" si="27"/>
        <v>534.15</v>
      </c>
      <c r="I210" s="42">
        <f>15*2.1*0.9+12*0.45*1.5</f>
        <v>36.45</v>
      </c>
      <c r="J210" s="40">
        <f t="shared" si="28"/>
        <v>497.7</v>
      </c>
      <c r="K210" s="46"/>
    </row>
    <row r="211" ht="19.5" customHeight="1">
      <c r="A211" s="141">
        <v>37015.0</v>
      </c>
      <c r="B211" s="49" t="s">
        <v>595</v>
      </c>
      <c r="C211" s="46" t="s">
        <v>103</v>
      </c>
      <c r="D211" s="39">
        <v>2.0</v>
      </c>
      <c r="E211" s="37"/>
      <c r="F211" s="39">
        <v>17.81</v>
      </c>
      <c r="G211" s="41">
        <v>3.0</v>
      </c>
      <c r="H211" s="40">
        <f t="shared" si="27"/>
        <v>106.86</v>
      </c>
      <c r="I211" s="42">
        <f>2*(0.9*2.1+0.45*1.5)</f>
        <v>5.13</v>
      </c>
      <c r="J211" s="40">
        <f t="shared" si="28"/>
        <v>101.73</v>
      </c>
      <c r="K211" s="46"/>
    </row>
    <row r="212" ht="19.5" customHeight="1">
      <c r="A212" s="141">
        <v>37015.0</v>
      </c>
      <c r="B212" s="49" t="s">
        <v>596</v>
      </c>
      <c r="C212" s="46" t="s">
        <v>103</v>
      </c>
      <c r="D212" s="39">
        <v>2.0</v>
      </c>
      <c r="E212" s="37"/>
      <c r="F212" s="39">
        <v>8.44</v>
      </c>
      <c r="G212" s="41">
        <v>3.0</v>
      </c>
      <c r="H212" s="40">
        <f t="shared" si="27"/>
        <v>50.64</v>
      </c>
      <c r="I212" s="152">
        <f>2*0.9*2.1</f>
        <v>3.78</v>
      </c>
      <c r="J212" s="40">
        <f t="shared" si="28"/>
        <v>46.86</v>
      </c>
      <c r="K212" s="79"/>
    </row>
    <row r="213" ht="19.5" customHeight="1">
      <c r="A213" s="141">
        <v>37015.0</v>
      </c>
      <c r="B213" s="49"/>
      <c r="C213" s="46"/>
      <c r="D213" s="78"/>
      <c r="E213" s="37"/>
      <c r="F213" s="78"/>
      <c r="G213" s="40"/>
      <c r="H213" s="40"/>
      <c r="I213" s="42"/>
      <c r="J213" s="40"/>
      <c r="K213" s="79"/>
    </row>
    <row r="214" ht="19.5" customHeight="1">
      <c r="A214" s="141">
        <v>37015.0</v>
      </c>
      <c r="B214" s="49" t="s">
        <v>597</v>
      </c>
      <c r="C214" s="46" t="s">
        <v>103</v>
      </c>
      <c r="D214" s="39">
        <v>11.0</v>
      </c>
      <c r="E214" s="49"/>
      <c r="F214" s="39">
        <f>(8+7)*2</f>
        <v>30</v>
      </c>
      <c r="G214" s="41">
        <v>3.3</v>
      </c>
      <c r="H214" s="40">
        <f t="shared" ref="H214:H217" si="29">D214*F214*G214</f>
        <v>1089</v>
      </c>
      <c r="I214" s="42">
        <f>11*(0.45*1.5+1*2.1*0.9+2*1*1.5)</f>
        <v>61.215</v>
      </c>
      <c r="J214" s="40">
        <f t="shared" ref="J214:J217" si="30">H214-I214</f>
        <v>1027.785</v>
      </c>
      <c r="K214" s="79"/>
    </row>
    <row r="215" ht="19.5" customHeight="1">
      <c r="A215" s="141">
        <v>37015.0</v>
      </c>
      <c r="B215" s="49" t="s">
        <v>598</v>
      </c>
      <c r="C215" s="46" t="s">
        <v>103</v>
      </c>
      <c r="D215" s="39">
        <v>1.0</v>
      </c>
      <c r="E215" s="37"/>
      <c r="F215" s="39">
        <v>178.05</v>
      </c>
      <c r="G215" s="41">
        <v>3.3</v>
      </c>
      <c r="H215" s="40">
        <f t="shared" si="29"/>
        <v>587.565</v>
      </c>
      <c r="I215" s="42">
        <f>15*2.1*0.9+12*0.45*1.5</f>
        <v>36.45</v>
      </c>
      <c r="J215" s="40">
        <f t="shared" si="30"/>
        <v>551.115</v>
      </c>
      <c r="K215" s="79"/>
    </row>
    <row r="216" ht="19.5" customHeight="1">
      <c r="A216" s="141">
        <v>37015.0</v>
      </c>
      <c r="B216" s="49" t="s">
        <v>599</v>
      </c>
      <c r="C216" s="46" t="s">
        <v>103</v>
      </c>
      <c r="D216" s="39">
        <v>2.0</v>
      </c>
      <c r="E216" s="37"/>
      <c r="F216" s="39">
        <v>17.81</v>
      </c>
      <c r="G216" s="41">
        <v>3.3</v>
      </c>
      <c r="H216" s="40">
        <f t="shared" si="29"/>
        <v>117.546</v>
      </c>
      <c r="I216" s="42">
        <f>2*(0.9*2.1+0.45*1.5)</f>
        <v>5.13</v>
      </c>
      <c r="J216" s="40">
        <f t="shared" si="30"/>
        <v>112.416</v>
      </c>
      <c r="K216" s="79"/>
    </row>
    <row r="217" ht="19.5" customHeight="1">
      <c r="A217" s="141">
        <v>37015.0</v>
      </c>
      <c r="B217" s="49" t="s">
        <v>600</v>
      </c>
      <c r="C217" s="46" t="s">
        <v>103</v>
      </c>
      <c r="D217" s="39">
        <v>2.0</v>
      </c>
      <c r="E217" s="37"/>
      <c r="F217" s="39">
        <v>8.44</v>
      </c>
      <c r="G217" s="41">
        <v>3.3</v>
      </c>
      <c r="H217" s="40">
        <f t="shared" si="29"/>
        <v>55.704</v>
      </c>
      <c r="I217" s="152">
        <f>2*0.9*2.1</f>
        <v>3.78</v>
      </c>
      <c r="J217" s="40">
        <f t="shared" si="30"/>
        <v>51.924</v>
      </c>
      <c r="K217" s="79"/>
    </row>
    <row r="218" ht="19.5" customHeight="1">
      <c r="A218" s="141">
        <v>37015.0</v>
      </c>
      <c r="B218" s="95"/>
      <c r="C218" s="79"/>
      <c r="D218" s="92"/>
      <c r="E218" s="37"/>
      <c r="F218" s="78"/>
      <c r="G218" s="40"/>
      <c r="H218" s="59"/>
      <c r="I218" s="93"/>
      <c r="J218" s="96">
        <f>SUM(J209:J217)</f>
        <v>3318.315</v>
      </c>
      <c r="K218" s="79"/>
    </row>
    <row r="219" ht="19.5" customHeight="1">
      <c r="A219" s="141">
        <v>37380.0</v>
      </c>
      <c r="B219" s="114" t="s">
        <v>601</v>
      </c>
      <c r="C219" s="46" t="s">
        <v>103</v>
      </c>
      <c r="D219" s="94">
        <v>2.0</v>
      </c>
      <c r="E219" s="49">
        <v>17.75</v>
      </c>
      <c r="F219" s="39">
        <v>53.05</v>
      </c>
      <c r="G219" s="41">
        <v>1.55</v>
      </c>
      <c r="H219" s="59">
        <f t="shared" ref="H219:H220" si="31">(E219+F219)*D219*G219</f>
        <v>219.48</v>
      </c>
      <c r="I219" s="93"/>
      <c r="J219" s="153">
        <f>H219</f>
        <v>219.48</v>
      </c>
      <c r="K219" s="79"/>
    </row>
    <row r="220" ht="19.5" customHeight="1">
      <c r="A220" s="141">
        <v>37380.0</v>
      </c>
      <c r="B220" s="114" t="s">
        <v>602</v>
      </c>
      <c r="C220" s="46" t="s">
        <v>103</v>
      </c>
      <c r="D220" s="94">
        <v>2.0</v>
      </c>
      <c r="E220" s="49">
        <v>18.05</v>
      </c>
      <c r="F220" s="39">
        <v>53.35</v>
      </c>
      <c r="G220" s="41">
        <v>8.3</v>
      </c>
      <c r="H220" s="59">
        <f t="shared" si="31"/>
        <v>1185.24</v>
      </c>
      <c r="I220" s="93">
        <f>44*1.5*1+4*0.45*1.5</f>
        <v>68.7</v>
      </c>
      <c r="J220" s="153">
        <f t="shared" ref="J220:J221" si="32">H220-I220</f>
        <v>1116.54</v>
      </c>
      <c r="K220" s="79"/>
    </row>
    <row r="221" ht="19.5" customHeight="1">
      <c r="A221" s="141"/>
      <c r="B221" s="114" t="s">
        <v>603</v>
      </c>
      <c r="C221" s="46" t="s">
        <v>103</v>
      </c>
      <c r="D221" s="115">
        <f>7*2</f>
        <v>14</v>
      </c>
      <c r="E221" s="37"/>
      <c r="F221" s="39">
        <v>1.65</v>
      </c>
      <c r="G221" s="41">
        <v>6.4</v>
      </c>
      <c r="H221" s="59">
        <f>D221*F221*G221</f>
        <v>147.84</v>
      </c>
      <c r="I221" s="93"/>
      <c r="J221" s="153">
        <f t="shared" si="32"/>
        <v>147.84</v>
      </c>
      <c r="K221" s="79"/>
    </row>
    <row r="222" ht="19.5" customHeight="1">
      <c r="A222" s="141">
        <v>37380.0</v>
      </c>
      <c r="B222" s="114"/>
      <c r="C222" s="79"/>
      <c r="D222" s="94"/>
      <c r="E222" s="49"/>
      <c r="F222" s="39"/>
      <c r="G222" s="41"/>
      <c r="H222" s="59"/>
      <c r="I222" s="93"/>
      <c r="J222" s="96">
        <f>SUM(J219:J221)</f>
        <v>1483.86</v>
      </c>
      <c r="K222" s="79"/>
    </row>
    <row r="223" ht="19.5" customHeight="1">
      <c r="A223" s="144">
        <v>38111.0</v>
      </c>
      <c r="B223" s="114" t="s">
        <v>604</v>
      </c>
      <c r="C223" s="46" t="s">
        <v>103</v>
      </c>
      <c r="D223" s="94">
        <v>2.0</v>
      </c>
      <c r="E223" s="49">
        <v>0.65</v>
      </c>
      <c r="F223" s="39">
        <v>52.0</v>
      </c>
      <c r="G223" s="41"/>
      <c r="H223" s="59">
        <f>D223*E223*F223</f>
        <v>67.6</v>
      </c>
      <c r="I223" s="93"/>
      <c r="J223" s="96">
        <f>H223</f>
        <v>67.6</v>
      </c>
      <c r="K223" s="79"/>
    </row>
    <row r="224" ht="19.5" customHeight="1">
      <c r="A224" s="216" t="s">
        <v>1</v>
      </c>
      <c r="B224" s="74" t="s">
        <v>91</v>
      </c>
      <c r="C224" s="74" t="s">
        <v>92</v>
      </c>
      <c r="D224" s="76" t="s">
        <v>93</v>
      </c>
      <c r="E224" s="50" t="s">
        <v>99</v>
      </c>
      <c r="F224" s="53" t="s">
        <v>121</v>
      </c>
      <c r="G224" s="53" t="s">
        <v>97</v>
      </c>
      <c r="H224" s="75" t="s">
        <v>100</v>
      </c>
      <c r="I224" s="75" t="s">
        <v>101</v>
      </c>
      <c r="J224" s="76" t="s">
        <v>95</v>
      </c>
      <c r="K224" s="74" t="s">
        <v>96</v>
      </c>
    </row>
    <row r="225" ht="19.5" customHeight="1">
      <c r="A225" s="141">
        <v>37745.0</v>
      </c>
      <c r="B225" s="49" t="s">
        <v>605</v>
      </c>
      <c r="C225" s="46" t="s">
        <v>103</v>
      </c>
      <c r="D225" s="39">
        <v>11.0</v>
      </c>
      <c r="E225" s="49"/>
      <c r="F225" s="39">
        <f>(8+7)*2</f>
        <v>30</v>
      </c>
      <c r="G225" s="41">
        <v>3.0</v>
      </c>
      <c r="H225" s="40">
        <f t="shared" ref="H225:H228" si="33">D225*F225*G225</f>
        <v>990</v>
      </c>
      <c r="I225" s="42">
        <f>11*(0.45*1.5+1*2.1*0.9+2*1*1.5)</f>
        <v>61.215</v>
      </c>
      <c r="J225" s="40">
        <f t="shared" ref="J225:J228" si="34">H225-I225</f>
        <v>928.785</v>
      </c>
      <c r="K225" s="79"/>
    </row>
    <row r="226" ht="19.5" customHeight="1">
      <c r="A226" s="141">
        <v>37745.0</v>
      </c>
      <c r="B226" s="49" t="s">
        <v>606</v>
      </c>
      <c r="C226" s="46" t="s">
        <v>103</v>
      </c>
      <c r="D226" s="39">
        <v>1.0</v>
      </c>
      <c r="E226" s="37"/>
      <c r="F226" s="39">
        <v>178.05</v>
      </c>
      <c r="G226" s="41">
        <v>3.0</v>
      </c>
      <c r="H226" s="40">
        <f t="shared" si="33"/>
        <v>534.15</v>
      </c>
      <c r="I226" s="42">
        <f>15*2.1*0.9+12*0.45*1.5</f>
        <v>36.45</v>
      </c>
      <c r="J226" s="40">
        <f t="shared" si="34"/>
        <v>497.7</v>
      </c>
      <c r="K226" s="79"/>
    </row>
    <row r="227" ht="19.5" customHeight="1">
      <c r="A227" s="141">
        <v>37745.0</v>
      </c>
      <c r="B227" s="49" t="s">
        <v>607</v>
      </c>
      <c r="C227" s="46" t="s">
        <v>103</v>
      </c>
      <c r="D227" s="39">
        <v>2.0</v>
      </c>
      <c r="E227" s="37"/>
      <c r="F227" s="39">
        <v>17.81</v>
      </c>
      <c r="G227" s="41">
        <v>3.0</v>
      </c>
      <c r="H227" s="40">
        <f t="shared" si="33"/>
        <v>106.86</v>
      </c>
      <c r="I227" s="42">
        <f>2*(0.9*2.1+0.45*1.5)</f>
        <v>5.13</v>
      </c>
      <c r="J227" s="40">
        <f t="shared" si="34"/>
        <v>101.73</v>
      </c>
      <c r="K227" s="79"/>
    </row>
    <row r="228" ht="19.5" customHeight="1">
      <c r="A228" s="141">
        <v>37745.0</v>
      </c>
      <c r="B228" s="49" t="s">
        <v>608</v>
      </c>
      <c r="C228" s="46" t="s">
        <v>103</v>
      </c>
      <c r="D228" s="39">
        <v>2.0</v>
      </c>
      <c r="E228" s="37"/>
      <c r="F228" s="39">
        <v>8.44</v>
      </c>
      <c r="G228" s="41">
        <v>3.0</v>
      </c>
      <c r="H228" s="40">
        <f t="shared" si="33"/>
        <v>50.64</v>
      </c>
      <c r="I228" s="152">
        <f>2*0.9*2.1</f>
        <v>3.78</v>
      </c>
      <c r="J228" s="40">
        <f t="shared" si="34"/>
        <v>46.86</v>
      </c>
      <c r="K228" s="79"/>
    </row>
    <row r="229" ht="19.5" customHeight="1">
      <c r="A229" s="141">
        <v>37745.0</v>
      </c>
      <c r="B229" s="49"/>
      <c r="C229" s="46"/>
      <c r="D229" s="78"/>
      <c r="E229" s="37"/>
      <c r="F229" s="78"/>
      <c r="G229" s="40"/>
      <c r="H229" s="40"/>
      <c r="I229" s="42"/>
      <c r="J229" s="40"/>
      <c r="K229" s="79"/>
    </row>
    <row r="230" ht="19.5" customHeight="1">
      <c r="A230" s="141">
        <v>37745.0</v>
      </c>
      <c r="B230" s="49" t="s">
        <v>609</v>
      </c>
      <c r="C230" s="46" t="s">
        <v>103</v>
      </c>
      <c r="D230" s="39">
        <v>11.0</v>
      </c>
      <c r="E230" s="49"/>
      <c r="F230" s="39">
        <f>(8+7)*2</f>
        <v>30</v>
      </c>
      <c r="G230" s="41">
        <v>3.3</v>
      </c>
      <c r="H230" s="40">
        <f t="shared" ref="H230:H233" si="35">D230*F230*G230</f>
        <v>1089</v>
      </c>
      <c r="I230" s="42">
        <f>11*(0.45*1.5+1*2.1*0.9+2*1*1.5)</f>
        <v>61.215</v>
      </c>
      <c r="J230" s="40">
        <f t="shared" ref="J230:J233" si="36">H230-I230</f>
        <v>1027.785</v>
      </c>
      <c r="K230" s="79"/>
    </row>
    <row r="231" ht="19.5" customHeight="1">
      <c r="A231" s="141">
        <v>37745.0</v>
      </c>
      <c r="B231" s="49" t="s">
        <v>610</v>
      </c>
      <c r="C231" s="46" t="s">
        <v>103</v>
      </c>
      <c r="D231" s="39">
        <v>1.0</v>
      </c>
      <c r="E231" s="37"/>
      <c r="F231" s="39">
        <v>178.05</v>
      </c>
      <c r="G231" s="41">
        <v>3.3</v>
      </c>
      <c r="H231" s="40">
        <f t="shared" si="35"/>
        <v>587.565</v>
      </c>
      <c r="I231" s="42">
        <f>15*2.1*0.9+12*0.45*1.5</f>
        <v>36.45</v>
      </c>
      <c r="J231" s="40">
        <f t="shared" si="36"/>
        <v>551.115</v>
      </c>
      <c r="K231" s="46"/>
    </row>
    <row r="232" ht="19.5" customHeight="1">
      <c r="A232" s="141">
        <v>37745.0</v>
      </c>
      <c r="B232" s="49" t="s">
        <v>611</v>
      </c>
      <c r="C232" s="46" t="s">
        <v>103</v>
      </c>
      <c r="D232" s="39">
        <v>2.0</v>
      </c>
      <c r="E232" s="37"/>
      <c r="F232" s="39">
        <v>17.81</v>
      </c>
      <c r="G232" s="41">
        <v>3.3</v>
      </c>
      <c r="H232" s="40">
        <f t="shared" si="35"/>
        <v>117.546</v>
      </c>
      <c r="I232" s="42">
        <f>2*(0.9*2.1+0.45*1.5)</f>
        <v>5.13</v>
      </c>
      <c r="J232" s="40">
        <f t="shared" si="36"/>
        <v>112.416</v>
      </c>
      <c r="K232" s="46"/>
    </row>
    <row r="233" ht="19.5" customHeight="1">
      <c r="A233" s="141">
        <v>37745.0</v>
      </c>
      <c r="B233" s="49" t="s">
        <v>612</v>
      </c>
      <c r="C233" s="46" t="s">
        <v>103</v>
      </c>
      <c r="D233" s="39">
        <v>2.0</v>
      </c>
      <c r="E233" s="37"/>
      <c r="F233" s="39">
        <v>8.44</v>
      </c>
      <c r="G233" s="41">
        <v>3.3</v>
      </c>
      <c r="H233" s="40">
        <f t="shared" si="35"/>
        <v>55.704</v>
      </c>
      <c r="I233" s="152">
        <f>2*0.9*2.1</f>
        <v>3.78</v>
      </c>
      <c r="J233" s="40">
        <f t="shared" si="36"/>
        <v>51.924</v>
      </c>
      <c r="K233" s="46"/>
    </row>
    <row r="234" ht="19.5" customHeight="1">
      <c r="A234" s="141">
        <v>37745.0</v>
      </c>
      <c r="B234" s="95"/>
      <c r="C234" s="79"/>
      <c r="D234" s="92"/>
      <c r="E234" s="37"/>
      <c r="F234" s="78"/>
      <c r="G234" s="40"/>
      <c r="H234" s="59"/>
      <c r="I234" s="93"/>
      <c r="J234" s="96">
        <f>SUM(J225:J233)</f>
        <v>3318.315</v>
      </c>
      <c r="K234" s="46"/>
    </row>
    <row r="235" ht="19.5" customHeight="1">
      <c r="A235" s="141">
        <v>38111.0</v>
      </c>
      <c r="B235" s="114" t="s">
        <v>613</v>
      </c>
      <c r="C235" s="46" t="s">
        <v>103</v>
      </c>
      <c r="D235" s="94">
        <v>2.0</v>
      </c>
      <c r="E235" s="49">
        <v>17.75</v>
      </c>
      <c r="F235" s="39">
        <v>53.05</v>
      </c>
      <c r="G235" s="41">
        <v>1.55</v>
      </c>
      <c r="H235" s="59">
        <f t="shared" ref="H235:H236" si="37">(E235+F235)*D235*G235</f>
        <v>219.48</v>
      </c>
      <c r="I235" s="93"/>
      <c r="J235" s="153">
        <f>H235</f>
        <v>219.48</v>
      </c>
      <c r="K235" s="46"/>
    </row>
    <row r="236" ht="19.5" customHeight="1">
      <c r="A236" s="141">
        <v>38111.0</v>
      </c>
      <c r="B236" s="114" t="s">
        <v>614</v>
      </c>
      <c r="C236" s="46" t="s">
        <v>103</v>
      </c>
      <c r="D236" s="94">
        <v>2.0</v>
      </c>
      <c r="E236" s="49">
        <v>18.05</v>
      </c>
      <c r="F236" s="39">
        <v>53.35</v>
      </c>
      <c r="G236" s="41">
        <v>8.3</v>
      </c>
      <c r="H236" s="59">
        <f t="shared" si="37"/>
        <v>1185.24</v>
      </c>
      <c r="I236" s="93">
        <f>44*1.5*1+4*0.45*1.5</f>
        <v>68.7</v>
      </c>
      <c r="J236" s="153">
        <f t="shared" ref="J236:J237" si="38">H236-I236</f>
        <v>1116.54</v>
      </c>
      <c r="K236" s="46"/>
    </row>
    <row r="237" ht="19.5" customHeight="1">
      <c r="A237" s="141">
        <v>38111.0</v>
      </c>
      <c r="B237" s="114" t="s">
        <v>615</v>
      </c>
      <c r="C237" s="46" t="s">
        <v>103</v>
      </c>
      <c r="D237" s="115">
        <f>7*2</f>
        <v>14</v>
      </c>
      <c r="E237" s="37"/>
      <c r="F237" s="39">
        <v>1.65</v>
      </c>
      <c r="G237" s="41">
        <v>6.4</v>
      </c>
      <c r="H237" s="59">
        <f>D237*F237*G237</f>
        <v>147.84</v>
      </c>
      <c r="I237" s="93"/>
      <c r="J237" s="153">
        <f t="shared" si="38"/>
        <v>147.84</v>
      </c>
      <c r="K237" s="46"/>
    </row>
    <row r="238" ht="19.5" customHeight="1">
      <c r="A238" s="141">
        <v>38111.0</v>
      </c>
      <c r="B238" s="114"/>
      <c r="C238" s="79"/>
      <c r="D238" s="94"/>
      <c r="E238" s="49"/>
      <c r="F238" s="39"/>
      <c r="G238" s="41"/>
      <c r="H238" s="59"/>
      <c r="I238" s="93"/>
      <c r="J238" s="96">
        <f>SUM(J235:J237)</f>
        <v>1483.86</v>
      </c>
      <c r="K238" s="46"/>
    </row>
    <row r="239" ht="19.5" customHeight="1">
      <c r="A239" s="144">
        <v>38841.0</v>
      </c>
      <c r="B239" s="114" t="s">
        <v>616</v>
      </c>
      <c r="C239" s="46" t="s">
        <v>103</v>
      </c>
      <c r="D239" s="94">
        <v>2.0</v>
      </c>
      <c r="E239" s="49">
        <v>0.65</v>
      </c>
      <c r="F239" s="39">
        <v>52.0</v>
      </c>
      <c r="G239" s="41"/>
      <c r="H239" s="59">
        <f>D239*E239*F239</f>
        <v>67.6</v>
      </c>
      <c r="I239" s="93"/>
      <c r="J239" s="96">
        <f>H239</f>
        <v>67.6</v>
      </c>
      <c r="K239" s="79"/>
    </row>
    <row r="240" ht="19.5" customHeight="1">
      <c r="A240" s="216" t="s">
        <v>1</v>
      </c>
      <c r="B240" s="74" t="s">
        <v>91</v>
      </c>
      <c r="C240" s="74" t="s">
        <v>92</v>
      </c>
      <c r="D240" s="76" t="s">
        <v>93</v>
      </c>
      <c r="E240" s="50" t="s">
        <v>99</v>
      </c>
      <c r="F240" s="53" t="s">
        <v>121</v>
      </c>
      <c r="G240" s="53" t="s">
        <v>97</v>
      </c>
      <c r="H240" s="75" t="s">
        <v>100</v>
      </c>
      <c r="I240" s="75" t="s">
        <v>101</v>
      </c>
      <c r="J240" s="76" t="s">
        <v>95</v>
      </c>
      <c r="K240" s="74" t="s">
        <v>96</v>
      </c>
    </row>
    <row r="241" ht="19.5" customHeight="1">
      <c r="A241" s="141" t="s">
        <v>617</v>
      </c>
      <c r="B241" s="49" t="s">
        <v>618</v>
      </c>
      <c r="C241" s="46" t="s">
        <v>103</v>
      </c>
      <c r="D241" s="39">
        <v>1.0</v>
      </c>
      <c r="E241" s="37"/>
      <c r="F241" s="39">
        <v>178.05</v>
      </c>
      <c r="G241" s="41">
        <v>2.75</v>
      </c>
      <c r="H241" s="40">
        <f t="shared" ref="H241:H244" si="39">D241*F241*G241</f>
        <v>489.6375</v>
      </c>
      <c r="I241" s="42">
        <f>15*2.1*0.9+12*0.45*1.5</f>
        <v>36.45</v>
      </c>
      <c r="J241" s="40">
        <f t="shared" ref="J241:J244" si="40">H241-I241</f>
        <v>453.1875</v>
      </c>
      <c r="K241" s="46"/>
    </row>
    <row r="242" ht="19.5" customHeight="1">
      <c r="A242" s="141" t="s">
        <v>617</v>
      </c>
      <c r="B242" s="155" t="s">
        <v>619</v>
      </c>
      <c r="C242" s="46" t="s">
        <v>103</v>
      </c>
      <c r="D242" s="39">
        <v>11.0</v>
      </c>
      <c r="E242" s="49"/>
      <c r="F242" s="39">
        <f>(8+7)*2</f>
        <v>30</v>
      </c>
      <c r="G242" s="41">
        <f>2.75-1.6</f>
        <v>1.15</v>
      </c>
      <c r="H242" s="40">
        <f t="shared" si="39"/>
        <v>379.5</v>
      </c>
      <c r="I242" s="42">
        <f>11*0.45*1.5</f>
        <v>7.425</v>
      </c>
      <c r="J242" s="40">
        <f t="shared" si="40"/>
        <v>372.075</v>
      </c>
      <c r="K242" s="46"/>
    </row>
    <row r="243" ht="19.5" customHeight="1">
      <c r="A243" s="141" t="s">
        <v>617</v>
      </c>
      <c r="B243" s="49" t="s">
        <v>620</v>
      </c>
      <c r="C243" s="46" t="s">
        <v>103</v>
      </c>
      <c r="D243" s="39">
        <v>1.0</v>
      </c>
      <c r="E243" s="37"/>
      <c r="F243" s="39">
        <v>178.05</v>
      </c>
      <c r="G243" s="41">
        <v>2.75</v>
      </c>
      <c r="H243" s="40">
        <f t="shared" si="39"/>
        <v>489.6375</v>
      </c>
      <c r="I243" s="42">
        <f>15*2.1*0.9+12*0.45*1.5</f>
        <v>36.45</v>
      </c>
      <c r="J243" s="40">
        <f t="shared" si="40"/>
        <v>453.1875</v>
      </c>
      <c r="K243" s="46"/>
    </row>
    <row r="244" ht="19.5" customHeight="1">
      <c r="A244" s="141" t="s">
        <v>617</v>
      </c>
      <c r="B244" s="155" t="s">
        <v>621</v>
      </c>
      <c r="C244" s="46" t="s">
        <v>103</v>
      </c>
      <c r="D244" s="39">
        <v>11.0</v>
      </c>
      <c r="E244" s="49"/>
      <c r="F244" s="39">
        <f>(8+7)*2</f>
        <v>30</v>
      </c>
      <c r="G244" s="41">
        <f>2.75-1.6</f>
        <v>1.15</v>
      </c>
      <c r="H244" s="40">
        <f t="shared" si="39"/>
        <v>379.5</v>
      </c>
      <c r="I244" s="42">
        <f>11*0.45*1.5</f>
        <v>7.425</v>
      </c>
      <c r="J244" s="40">
        <f t="shared" si="40"/>
        <v>372.075</v>
      </c>
      <c r="K244" s="46"/>
    </row>
    <row r="245" ht="19.5" customHeight="1">
      <c r="A245" s="141" t="s">
        <v>617</v>
      </c>
      <c r="B245" s="37"/>
      <c r="C245" s="46" t="s">
        <v>103</v>
      </c>
      <c r="D245" s="78"/>
      <c r="E245" s="37"/>
      <c r="F245" s="78"/>
      <c r="G245" s="40"/>
      <c r="H245" s="40"/>
      <c r="I245" s="93"/>
      <c r="J245" s="64">
        <f>SUM(J241:J244)</f>
        <v>1650.525</v>
      </c>
      <c r="K245" s="132"/>
    </row>
    <row r="246" ht="19.5" customHeight="1">
      <c r="A246" s="216" t="s">
        <v>1</v>
      </c>
      <c r="B246" s="99" t="s">
        <v>91</v>
      </c>
      <c r="C246" s="74" t="s">
        <v>92</v>
      </c>
      <c r="D246" s="76" t="s">
        <v>93</v>
      </c>
      <c r="E246" s="50" t="s">
        <v>99</v>
      </c>
      <c r="F246" s="53" t="s">
        <v>121</v>
      </c>
      <c r="G246" s="53" t="s">
        <v>97</v>
      </c>
      <c r="H246" s="75" t="s">
        <v>100</v>
      </c>
      <c r="I246" s="75" t="s">
        <v>101</v>
      </c>
      <c r="J246" s="76" t="s">
        <v>95</v>
      </c>
      <c r="K246" s="74" t="s">
        <v>96</v>
      </c>
    </row>
    <row r="247" ht="19.5" customHeight="1">
      <c r="A247" s="141">
        <v>39206.0</v>
      </c>
      <c r="B247" s="155" t="s">
        <v>622</v>
      </c>
      <c r="C247" s="46" t="s">
        <v>103</v>
      </c>
      <c r="D247" s="39">
        <v>11.0</v>
      </c>
      <c r="E247" s="49"/>
      <c r="F247" s="39">
        <f t="shared" ref="F247:F248" si="41">(8+7)*2</f>
        <v>30</v>
      </c>
      <c r="G247" s="41">
        <v>1.6</v>
      </c>
      <c r="H247" s="40">
        <f t="shared" ref="H247:H248" si="42">D247*F247*G247</f>
        <v>528</v>
      </c>
      <c r="I247" s="42"/>
      <c r="J247" s="40">
        <f t="shared" ref="J247:J248" si="43">H247</f>
        <v>528</v>
      </c>
      <c r="K247" s="46"/>
    </row>
    <row r="248" ht="19.5" customHeight="1">
      <c r="A248" s="156">
        <v>39206.0</v>
      </c>
      <c r="B248" s="157" t="s">
        <v>623</v>
      </c>
      <c r="C248" s="158" t="s">
        <v>103</v>
      </c>
      <c r="D248" s="159">
        <v>11.0</v>
      </c>
      <c r="E248" s="160"/>
      <c r="F248" s="159">
        <f t="shared" si="41"/>
        <v>30</v>
      </c>
      <c r="G248" s="161">
        <v>1.6</v>
      </c>
      <c r="H248" s="162">
        <f t="shared" si="42"/>
        <v>528</v>
      </c>
      <c r="I248" s="163"/>
      <c r="J248" s="162">
        <f t="shared" si="43"/>
        <v>528</v>
      </c>
      <c r="K248" s="164"/>
      <c r="L248" s="165"/>
      <c r="M248" s="165"/>
      <c r="N248" s="165"/>
      <c r="O248" s="165"/>
      <c r="P248" s="165"/>
      <c r="Q248" s="165"/>
      <c r="R248" s="165"/>
      <c r="S248" s="165"/>
      <c r="T248" s="165"/>
      <c r="U248" s="165"/>
      <c r="V248" s="165"/>
      <c r="W248" s="165"/>
      <c r="X248" s="165"/>
      <c r="Y248" s="165"/>
      <c r="Z248" s="165"/>
    </row>
    <row r="249" ht="19.5" customHeight="1">
      <c r="A249" s="141">
        <v>39206.0</v>
      </c>
      <c r="B249" s="155"/>
      <c r="C249" s="46"/>
      <c r="D249" s="39"/>
      <c r="E249" s="37"/>
      <c r="F249" s="39"/>
      <c r="G249" s="41"/>
      <c r="H249" s="40"/>
      <c r="I249" s="42"/>
      <c r="J249" s="133">
        <f>SUM(J247:J248)</f>
        <v>1056</v>
      </c>
      <c r="K249" s="79"/>
    </row>
    <row r="250" ht="19.5" customHeight="1">
      <c r="A250" s="141">
        <v>39572.0</v>
      </c>
      <c r="B250" s="155" t="s">
        <v>624</v>
      </c>
      <c r="C250" s="46" t="s">
        <v>103</v>
      </c>
      <c r="D250" s="39">
        <v>2.0</v>
      </c>
      <c r="E250" s="37"/>
      <c r="F250" s="39">
        <v>17.81</v>
      </c>
      <c r="G250" s="41">
        <v>2.75</v>
      </c>
      <c r="H250" s="40">
        <f t="shared" ref="H250:H253" si="44">D250*F250*G250</f>
        <v>97.955</v>
      </c>
      <c r="I250" s="42"/>
      <c r="J250" s="40">
        <f t="shared" ref="J250:J253" si="45">H250</f>
        <v>97.955</v>
      </c>
      <c r="K250" s="79"/>
    </row>
    <row r="251" ht="19.5" customHeight="1">
      <c r="A251" s="141">
        <v>39572.0</v>
      </c>
      <c r="B251" s="155" t="s">
        <v>625</v>
      </c>
      <c r="C251" s="46" t="s">
        <v>103</v>
      </c>
      <c r="D251" s="39">
        <v>2.0</v>
      </c>
      <c r="E251" s="37"/>
      <c r="F251" s="39">
        <v>8.44</v>
      </c>
      <c r="G251" s="41">
        <v>2.75</v>
      </c>
      <c r="H251" s="40">
        <f t="shared" si="44"/>
        <v>46.42</v>
      </c>
      <c r="I251" s="42"/>
      <c r="J251" s="40">
        <f t="shared" si="45"/>
        <v>46.42</v>
      </c>
      <c r="K251" s="79"/>
    </row>
    <row r="252" ht="19.5" customHeight="1">
      <c r="A252" s="141">
        <v>39572.0</v>
      </c>
      <c r="B252" s="155" t="s">
        <v>626</v>
      </c>
      <c r="C252" s="46" t="s">
        <v>103</v>
      </c>
      <c r="D252" s="39">
        <v>2.0</v>
      </c>
      <c r="E252" s="37"/>
      <c r="F252" s="39">
        <v>17.81</v>
      </c>
      <c r="G252" s="41">
        <v>2.75</v>
      </c>
      <c r="H252" s="40">
        <f t="shared" si="44"/>
        <v>97.955</v>
      </c>
      <c r="I252" s="93"/>
      <c r="J252" s="40">
        <f t="shared" si="45"/>
        <v>97.955</v>
      </c>
      <c r="K252" s="79"/>
    </row>
    <row r="253" ht="19.5" customHeight="1">
      <c r="A253" s="141">
        <v>39572.0</v>
      </c>
      <c r="B253" s="155" t="s">
        <v>627</v>
      </c>
      <c r="C253" s="46" t="s">
        <v>103</v>
      </c>
      <c r="D253" s="39">
        <v>2.0</v>
      </c>
      <c r="E253" s="37"/>
      <c r="F253" s="39">
        <v>8.44</v>
      </c>
      <c r="G253" s="41">
        <v>2.75</v>
      </c>
      <c r="H253" s="40">
        <f t="shared" si="44"/>
        <v>46.42</v>
      </c>
      <c r="I253" s="93"/>
      <c r="J253" s="40">
        <f t="shared" si="45"/>
        <v>46.42</v>
      </c>
      <c r="K253" s="79"/>
    </row>
    <row r="254" ht="19.5" customHeight="1">
      <c r="A254" s="141">
        <v>39572.0</v>
      </c>
      <c r="B254" s="166"/>
      <c r="C254" s="79"/>
      <c r="D254" s="115"/>
      <c r="E254" s="37"/>
      <c r="F254" s="39"/>
      <c r="G254" s="41"/>
      <c r="H254" s="59"/>
      <c r="I254" s="93"/>
      <c r="J254" s="133">
        <f>SUM(J250:J253)</f>
        <v>288.75</v>
      </c>
      <c r="K254" s="79"/>
    </row>
    <row r="255" ht="19.5" customHeight="1">
      <c r="A255" s="144">
        <v>39937.0</v>
      </c>
      <c r="B255" s="114" t="s">
        <v>628</v>
      </c>
      <c r="C255" s="46" t="s">
        <v>103</v>
      </c>
      <c r="D255" s="94">
        <v>2.0</v>
      </c>
      <c r="E255" s="49">
        <v>17.75</v>
      </c>
      <c r="F255" s="39">
        <v>53.05</v>
      </c>
      <c r="G255" s="41">
        <v>1.55</v>
      </c>
      <c r="H255" s="59">
        <f t="shared" ref="H255:H256" si="46">(E255+F255)*D255*G255</f>
        <v>219.48</v>
      </c>
      <c r="I255" s="93"/>
      <c r="J255" s="153">
        <f>H255</f>
        <v>219.48</v>
      </c>
      <c r="K255" s="79"/>
    </row>
    <row r="256" ht="19.5" customHeight="1">
      <c r="A256" s="144">
        <v>39937.0</v>
      </c>
      <c r="B256" s="114" t="s">
        <v>629</v>
      </c>
      <c r="C256" s="46" t="s">
        <v>103</v>
      </c>
      <c r="D256" s="94">
        <v>2.0</v>
      </c>
      <c r="E256" s="49">
        <v>18.05</v>
      </c>
      <c r="F256" s="39">
        <v>53.35</v>
      </c>
      <c r="G256" s="41">
        <v>8.3</v>
      </c>
      <c r="H256" s="59">
        <f t="shared" si="46"/>
        <v>1185.24</v>
      </c>
      <c r="I256" s="93">
        <f>44*1.5*1+4*0.45*1.5</f>
        <v>68.7</v>
      </c>
      <c r="J256" s="153">
        <f t="shared" ref="J256:J257" si="47">H256-I256</f>
        <v>1116.54</v>
      </c>
      <c r="K256" s="79"/>
    </row>
    <row r="257" ht="19.5" customHeight="1">
      <c r="A257" s="144">
        <v>39937.0</v>
      </c>
      <c r="B257" s="114" t="s">
        <v>630</v>
      </c>
      <c r="C257" s="46" t="s">
        <v>103</v>
      </c>
      <c r="D257" s="94">
        <v>2.0</v>
      </c>
      <c r="E257" s="49">
        <v>0.65</v>
      </c>
      <c r="F257" s="39">
        <v>52.0</v>
      </c>
      <c r="G257" s="41"/>
      <c r="H257" s="59">
        <f>D257*E257*F257</f>
        <v>67.6</v>
      </c>
      <c r="I257" s="93"/>
      <c r="J257" s="153">
        <f t="shared" si="47"/>
        <v>67.6</v>
      </c>
      <c r="K257" s="79"/>
    </row>
    <row r="258" ht="19.5" customHeight="1">
      <c r="A258" s="144">
        <v>39937.0</v>
      </c>
      <c r="B258" s="114"/>
      <c r="C258" s="79"/>
      <c r="D258" s="94"/>
      <c r="E258" s="49"/>
      <c r="F258" s="39"/>
      <c r="G258" s="41"/>
      <c r="H258" s="59"/>
      <c r="I258" s="93"/>
      <c r="J258" s="133">
        <f>SUM(J255:J257)</f>
        <v>1403.62</v>
      </c>
      <c r="K258" s="79"/>
    </row>
    <row r="259" ht="19.5" customHeight="1">
      <c r="A259" s="144">
        <v>40302.0</v>
      </c>
      <c r="B259" s="166" t="s">
        <v>631</v>
      </c>
      <c r="C259" s="46" t="s">
        <v>103</v>
      </c>
      <c r="D259" s="115">
        <f>7*2</f>
        <v>14</v>
      </c>
      <c r="E259" s="37"/>
      <c r="F259" s="39">
        <v>1.65</v>
      </c>
      <c r="G259" s="41">
        <v>6.4</v>
      </c>
      <c r="H259" s="59">
        <f>D259*F259*G259</f>
        <v>147.84</v>
      </c>
      <c r="I259" s="93"/>
      <c r="J259" s="133">
        <f>H259</f>
        <v>147.84</v>
      </c>
      <c r="K259" s="79"/>
    </row>
    <row r="260" ht="19.5" customHeight="1">
      <c r="A260" s="216" t="s">
        <v>1</v>
      </c>
      <c r="B260" s="74" t="s">
        <v>91</v>
      </c>
      <c r="C260" s="74" t="s">
        <v>92</v>
      </c>
      <c r="D260" s="76" t="s">
        <v>93</v>
      </c>
      <c r="E260" s="50" t="s">
        <v>97</v>
      </c>
      <c r="F260" s="52" t="s">
        <v>632</v>
      </c>
      <c r="G260" s="53" t="s">
        <v>99</v>
      </c>
      <c r="H260" s="75" t="s">
        <v>100</v>
      </c>
      <c r="I260" s="75" t="s">
        <v>101</v>
      </c>
      <c r="J260" s="76" t="s">
        <v>95</v>
      </c>
      <c r="K260" s="74" t="s">
        <v>96</v>
      </c>
    </row>
    <row r="261" ht="19.5" customHeight="1">
      <c r="A261" s="141">
        <v>37503.0</v>
      </c>
      <c r="B261" s="49" t="s">
        <v>633</v>
      </c>
      <c r="C261" s="46" t="s">
        <v>103</v>
      </c>
      <c r="D261" s="39">
        <v>26.0</v>
      </c>
      <c r="E261" s="49">
        <v>2.1</v>
      </c>
      <c r="F261" s="78"/>
      <c r="G261" s="40">
        <v>0.9</v>
      </c>
      <c r="H261" s="40">
        <f t="shared" ref="H261:H263" si="48">G261*E261*D261</f>
        <v>49.14</v>
      </c>
      <c r="I261" s="42"/>
      <c r="J261" s="40"/>
      <c r="K261" s="46"/>
      <c r="L261" s="45">
        <f t="shared" ref="L261:L268" si="49">G261*D261</f>
        <v>23.4</v>
      </c>
    </row>
    <row r="262" ht="19.5" customHeight="1">
      <c r="A262" s="141">
        <v>37503.0</v>
      </c>
      <c r="B262" s="49" t="s">
        <v>634</v>
      </c>
      <c r="C262" s="46" t="s">
        <v>103</v>
      </c>
      <c r="D262" s="39">
        <v>4.0</v>
      </c>
      <c r="E262" s="49">
        <v>2.1</v>
      </c>
      <c r="F262" s="78"/>
      <c r="G262" s="40">
        <v>0.9</v>
      </c>
      <c r="H262" s="40">
        <f t="shared" si="48"/>
        <v>7.56</v>
      </c>
      <c r="I262" s="42"/>
      <c r="J262" s="142"/>
      <c r="K262" s="46"/>
      <c r="L262" s="45">
        <f t="shared" si="49"/>
        <v>3.6</v>
      </c>
    </row>
    <row r="263" ht="19.5" customHeight="1">
      <c r="A263" s="141">
        <v>37503.0</v>
      </c>
      <c r="B263" s="49" t="s">
        <v>635</v>
      </c>
      <c r="C263" s="46" t="s">
        <v>103</v>
      </c>
      <c r="D263" s="39">
        <v>12.0</v>
      </c>
      <c r="E263" s="49">
        <v>1.65</v>
      </c>
      <c r="F263" s="78"/>
      <c r="G263" s="41">
        <v>0.84</v>
      </c>
      <c r="H263" s="40">
        <f t="shared" si="48"/>
        <v>16.632</v>
      </c>
      <c r="I263" s="42"/>
      <c r="J263" s="142"/>
      <c r="K263" s="46"/>
      <c r="L263" s="45">
        <f t="shared" si="49"/>
        <v>10.08</v>
      </c>
    </row>
    <row r="264" ht="19.5" customHeight="1">
      <c r="A264" s="141">
        <v>37503.0</v>
      </c>
      <c r="B264" s="49"/>
      <c r="C264" s="46"/>
      <c r="D264" s="39"/>
      <c r="E264" s="49"/>
      <c r="F264" s="78"/>
      <c r="G264" s="41"/>
      <c r="H264" s="40"/>
      <c r="I264" s="42"/>
      <c r="J264" s="64">
        <f>SUM(H261:H263)</f>
        <v>73.332</v>
      </c>
      <c r="K264" s="46"/>
      <c r="L264" s="45">
        <f t="shared" si="49"/>
        <v>0</v>
      </c>
    </row>
    <row r="265" ht="19.5" customHeight="1">
      <c r="A265" s="167"/>
      <c r="B265" s="49"/>
      <c r="C265" s="46"/>
      <c r="D265" s="39"/>
      <c r="E265" s="49"/>
      <c r="F265" s="78"/>
      <c r="G265" s="41"/>
      <c r="H265" s="40"/>
      <c r="I265" s="42"/>
      <c r="J265" s="142"/>
      <c r="K265" s="46"/>
      <c r="L265" s="45">
        <f t="shared" si="49"/>
        <v>0</v>
      </c>
    </row>
    <row r="266" ht="19.5" customHeight="1">
      <c r="A266" s="141">
        <v>37138.0</v>
      </c>
      <c r="B266" s="49" t="s">
        <v>219</v>
      </c>
      <c r="C266" s="46" t="s">
        <v>103</v>
      </c>
      <c r="D266" s="39">
        <v>44.0</v>
      </c>
      <c r="E266" s="49">
        <v>1.0</v>
      </c>
      <c r="F266" s="78">
        <f t="shared" ref="F266:F267" si="50">(G266+E266)*2</f>
        <v>5</v>
      </c>
      <c r="G266" s="41">
        <v>1.5</v>
      </c>
      <c r="H266" s="40">
        <f t="shared" ref="H266:H267" si="51">G266*E266*D266</f>
        <v>66</v>
      </c>
      <c r="I266" s="42"/>
      <c r="J266" s="142">
        <f t="shared" ref="J266:J267" si="52">H266</f>
        <v>66</v>
      </c>
      <c r="K266" s="46"/>
      <c r="L266" s="45">
        <f t="shared" si="49"/>
        <v>66</v>
      </c>
    </row>
    <row r="267" ht="19.5" customHeight="1">
      <c r="A267" s="141">
        <v>37138.0</v>
      </c>
      <c r="B267" s="49" t="s">
        <v>220</v>
      </c>
      <c r="C267" s="46" t="s">
        <v>103</v>
      </c>
      <c r="D267" s="39">
        <v>28.0</v>
      </c>
      <c r="E267" s="49">
        <v>0.45</v>
      </c>
      <c r="F267" s="78">
        <f t="shared" si="50"/>
        <v>3.9</v>
      </c>
      <c r="G267" s="41">
        <v>1.5</v>
      </c>
      <c r="H267" s="40">
        <f t="shared" si="51"/>
        <v>18.9</v>
      </c>
      <c r="I267" s="42"/>
      <c r="J267" s="142">
        <f t="shared" si="52"/>
        <v>18.9</v>
      </c>
      <c r="K267" s="46"/>
      <c r="L267" s="45">
        <f t="shared" si="49"/>
        <v>42</v>
      </c>
    </row>
    <row r="268" ht="19.5" customHeight="1">
      <c r="A268" s="141">
        <v>37138.0</v>
      </c>
      <c r="B268" s="49"/>
      <c r="C268" s="38"/>
      <c r="D268" s="39"/>
      <c r="E268" s="49"/>
      <c r="F268" s="78"/>
      <c r="G268" s="40"/>
      <c r="H268" s="40"/>
      <c r="I268" s="42"/>
      <c r="J268" s="64">
        <f>SUM(J266:J267)</f>
        <v>84.9</v>
      </c>
      <c r="K268" s="46"/>
      <c r="L268" s="45">
        <f t="shared" si="49"/>
        <v>0</v>
      </c>
    </row>
    <row r="269" ht="19.5" customHeight="1">
      <c r="A269" s="141"/>
      <c r="B269" s="49"/>
      <c r="C269" s="38"/>
      <c r="D269" s="39"/>
      <c r="E269" s="49"/>
      <c r="F269" s="78"/>
      <c r="G269" s="40"/>
      <c r="H269" s="40"/>
      <c r="I269" s="42"/>
      <c r="J269" s="168"/>
      <c r="K269" s="46"/>
    </row>
    <row r="270" ht="19.5" customHeight="1">
      <c r="A270" s="141">
        <v>38234.0</v>
      </c>
      <c r="B270" s="49" t="s">
        <v>636</v>
      </c>
      <c r="C270" s="38" t="s">
        <v>108</v>
      </c>
      <c r="D270" s="39">
        <v>1.0</v>
      </c>
      <c r="E270" s="49"/>
      <c r="F270" s="78">
        <f>D266*F266+D267*F267</f>
        <v>329.2</v>
      </c>
      <c r="G270" s="40"/>
      <c r="H270" s="40">
        <f>D270*F270</f>
        <v>329.2</v>
      </c>
      <c r="I270" s="42"/>
      <c r="J270" s="64">
        <f t="shared" ref="J270:J272" si="53">H270</f>
        <v>329.2</v>
      </c>
      <c r="K270" s="46"/>
    </row>
    <row r="271" ht="19.5" customHeight="1">
      <c r="A271" s="141">
        <v>37868.0</v>
      </c>
      <c r="B271" s="49" t="s">
        <v>637</v>
      </c>
      <c r="C271" s="46" t="s">
        <v>103</v>
      </c>
      <c r="D271" s="39">
        <v>2.0</v>
      </c>
      <c r="E271" s="49">
        <v>2.15</v>
      </c>
      <c r="F271" s="78"/>
      <c r="G271" s="41">
        <v>5.7</v>
      </c>
      <c r="H271" s="40">
        <f t="shared" ref="H271:H272" si="54">D271*E271*G271</f>
        <v>24.51</v>
      </c>
      <c r="I271" s="42"/>
      <c r="J271" s="142">
        <f t="shared" si="53"/>
        <v>24.51</v>
      </c>
      <c r="K271" s="46"/>
    </row>
    <row r="272" ht="19.5" customHeight="1">
      <c r="A272" s="144">
        <v>37868.0</v>
      </c>
      <c r="B272" s="49" t="s">
        <v>637</v>
      </c>
      <c r="C272" s="46" t="s">
        <v>103</v>
      </c>
      <c r="D272" s="115">
        <v>4.0</v>
      </c>
      <c r="E272" s="49">
        <v>2.0</v>
      </c>
      <c r="F272" s="78"/>
      <c r="G272" s="41">
        <v>1.8</v>
      </c>
      <c r="H272" s="40">
        <f t="shared" si="54"/>
        <v>14.4</v>
      </c>
      <c r="I272" s="82"/>
      <c r="J272" s="142">
        <f t="shared" si="53"/>
        <v>14.4</v>
      </c>
      <c r="K272" s="79"/>
    </row>
    <row r="273" ht="19.5" customHeight="1">
      <c r="A273" s="144">
        <v>37868.0</v>
      </c>
      <c r="B273" s="95"/>
      <c r="C273" s="79"/>
      <c r="D273" s="122"/>
      <c r="E273" s="37"/>
      <c r="F273" s="78"/>
      <c r="G273" s="40"/>
      <c r="H273" s="59"/>
      <c r="I273" s="82"/>
      <c r="J273" s="109">
        <f>SUM(J271:J272)</f>
        <v>38.91</v>
      </c>
      <c r="K273" s="79"/>
    </row>
    <row r="274" ht="19.5" customHeight="1">
      <c r="A274" s="216" t="s">
        <v>1</v>
      </c>
      <c r="B274" s="74" t="s">
        <v>91</v>
      </c>
      <c r="C274" s="74" t="s">
        <v>92</v>
      </c>
      <c r="D274" s="76" t="s">
        <v>93</v>
      </c>
      <c r="E274" s="50" t="s">
        <v>161</v>
      </c>
      <c r="F274" s="53" t="s">
        <v>121</v>
      </c>
      <c r="G274" s="53" t="s">
        <v>99</v>
      </c>
      <c r="H274" s="75" t="s">
        <v>100</v>
      </c>
      <c r="I274" s="75" t="s">
        <v>101</v>
      </c>
      <c r="J274" s="76" t="s">
        <v>95</v>
      </c>
      <c r="K274" s="74" t="s">
        <v>96</v>
      </c>
    </row>
    <row r="275" ht="19.5" customHeight="1">
      <c r="A275" s="141">
        <v>38172.0</v>
      </c>
      <c r="B275" s="37" t="s">
        <v>162</v>
      </c>
      <c r="C275" s="46" t="s">
        <v>103</v>
      </c>
      <c r="D275" s="39">
        <v>55.0</v>
      </c>
      <c r="E275" s="37">
        <v>2.0</v>
      </c>
      <c r="F275" s="78"/>
      <c r="G275" s="41">
        <v>2.0</v>
      </c>
      <c r="H275" s="40">
        <f t="shared" ref="H275:H276" si="55">G275*E275*D275</f>
        <v>220</v>
      </c>
      <c r="I275" s="42"/>
      <c r="J275" s="40"/>
      <c r="K275" s="46"/>
    </row>
    <row r="276" ht="19.5" customHeight="1">
      <c r="A276" s="141">
        <v>38172.0</v>
      </c>
      <c r="B276" s="37" t="s">
        <v>162</v>
      </c>
      <c r="C276" s="46" t="s">
        <v>103</v>
      </c>
      <c r="D276" s="78">
        <v>18.0</v>
      </c>
      <c r="E276" s="37">
        <v>2.0</v>
      </c>
      <c r="F276" s="78"/>
      <c r="G276" s="41">
        <v>2.0</v>
      </c>
      <c r="H276" s="40">
        <f t="shared" si="55"/>
        <v>72</v>
      </c>
      <c r="I276" s="42"/>
      <c r="J276" s="64">
        <f>SUM(H275:H276)</f>
        <v>292</v>
      </c>
      <c r="K276" s="46"/>
    </row>
    <row r="277" ht="19.5" customHeight="1">
      <c r="A277" s="216" t="s">
        <v>1</v>
      </c>
      <c r="B277" s="74" t="s">
        <v>91</v>
      </c>
      <c r="C277" s="74" t="s">
        <v>92</v>
      </c>
      <c r="D277" s="76" t="s">
        <v>93</v>
      </c>
      <c r="E277" s="50" t="s">
        <v>161</v>
      </c>
      <c r="F277" s="53" t="s">
        <v>121</v>
      </c>
      <c r="G277" s="53" t="s">
        <v>99</v>
      </c>
      <c r="H277" s="75" t="s">
        <v>100</v>
      </c>
      <c r="I277" s="75" t="s">
        <v>101</v>
      </c>
      <c r="J277" s="76" t="s">
        <v>95</v>
      </c>
      <c r="K277" s="74" t="s">
        <v>96</v>
      </c>
    </row>
    <row r="278" ht="19.5" customHeight="1">
      <c r="A278" s="217">
        <v>1.0</v>
      </c>
      <c r="B278" s="37" t="s">
        <v>374</v>
      </c>
      <c r="C278" s="46" t="s">
        <v>106</v>
      </c>
      <c r="D278" s="78">
        <v>20.0</v>
      </c>
      <c r="E278" s="37">
        <v>2.0</v>
      </c>
      <c r="F278" s="78"/>
      <c r="G278" s="40">
        <v>1.0</v>
      </c>
      <c r="H278" s="40">
        <f t="shared" ref="H278:H280" si="56">G278*E278*D278</f>
        <v>40</v>
      </c>
      <c r="I278" s="42"/>
      <c r="J278" s="40"/>
      <c r="K278" s="46"/>
    </row>
    <row r="279" ht="19.5" customHeight="1">
      <c r="A279" s="217">
        <v>2.0</v>
      </c>
      <c r="B279" s="37" t="s">
        <v>375</v>
      </c>
      <c r="C279" s="46" t="s">
        <v>106</v>
      </c>
      <c r="D279" s="78">
        <v>1.0</v>
      </c>
      <c r="E279" s="37">
        <v>2.0</v>
      </c>
      <c r="F279" s="78"/>
      <c r="G279" s="40">
        <v>1.0</v>
      </c>
      <c r="H279" s="40">
        <f t="shared" si="56"/>
        <v>2</v>
      </c>
      <c r="I279" s="42"/>
      <c r="J279" s="64">
        <f>SUM(H278:H279)</f>
        <v>42</v>
      </c>
      <c r="K279" s="46"/>
    </row>
    <row r="280" ht="19.5" customHeight="1">
      <c r="A280" s="217">
        <v>3.0</v>
      </c>
      <c r="B280" s="37" t="s">
        <v>376</v>
      </c>
      <c r="C280" s="46" t="s">
        <v>106</v>
      </c>
      <c r="D280" s="78">
        <v>200.0</v>
      </c>
      <c r="E280" s="37">
        <v>2.0</v>
      </c>
      <c r="F280" s="78"/>
      <c r="G280" s="40">
        <v>1.0</v>
      </c>
      <c r="H280" s="40">
        <f t="shared" si="56"/>
        <v>400</v>
      </c>
      <c r="I280" s="42"/>
      <c r="J280" s="64">
        <f>H280</f>
        <v>400</v>
      </c>
      <c r="K280" s="79"/>
    </row>
    <row r="281" ht="19.5" customHeight="1">
      <c r="A281" s="216" t="s">
        <v>1</v>
      </c>
      <c r="B281" s="74" t="s">
        <v>91</v>
      </c>
      <c r="C281" s="74" t="s">
        <v>92</v>
      </c>
      <c r="D281" s="76" t="s">
        <v>93</v>
      </c>
      <c r="E281" s="50" t="s">
        <v>161</v>
      </c>
      <c r="F281" s="53" t="s">
        <v>121</v>
      </c>
      <c r="G281" s="53" t="s">
        <v>99</v>
      </c>
      <c r="H281" s="75" t="s">
        <v>100</v>
      </c>
      <c r="I281" s="75" t="s">
        <v>101</v>
      </c>
      <c r="J281" s="76" t="s">
        <v>95</v>
      </c>
      <c r="K281" s="74" t="s">
        <v>96</v>
      </c>
    </row>
    <row r="282" ht="19.5" customHeight="1">
      <c r="A282" s="141" t="s">
        <v>638</v>
      </c>
      <c r="B282" s="49" t="s">
        <v>639</v>
      </c>
      <c r="C282" s="46" t="s">
        <v>103</v>
      </c>
      <c r="D282" s="39">
        <v>4.0</v>
      </c>
      <c r="E282" s="37"/>
      <c r="F282" s="39">
        <v>2.2</v>
      </c>
      <c r="G282" s="40">
        <v>0.6</v>
      </c>
      <c r="H282" s="40">
        <f t="shared" ref="H282:H283" si="57">D282*F282*G282</f>
        <v>5.28</v>
      </c>
      <c r="I282" s="42"/>
      <c r="J282" s="40"/>
      <c r="K282" s="46"/>
    </row>
    <row r="283" ht="19.5" customHeight="1">
      <c r="A283" s="141" t="s">
        <v>638</v>
      </c>
      <c r="B283" s="49" t="s">
        <v>640</v>
      </c>
      <c r="C283" s="46" t="s">
        <v>103</v>
      </c>
      <c r="D283" s="115">
        <v>4.0</v>
      </c>
      <c r="E283" s="37"/>
      <c r="F283" s="39">
        <v>2.8</v>
      </c>
      <c r="G283" s="41">
        <v>0.2</v>
      </c>
      <c r="H283" s="40">
        <f t="shared" si="57"/>
        <v>2.24</v>
      </c>
      <c r="I283" s="82"/>
      <c r="J283" s="101"/>
      <c r="K283" s="79"/>
    </row>
    <row r="284" ht="19.5" customHeight="1">
      <c r="A284" s="141" t="s">
        <v>638</v>
      </c>
      <c r="B284" s="114"/>
      <c r="C284" s="79"/>
      <c r="D284" s="115"/>
      <c r="E284" s="37"/>
      <c r="F284" s="39"/>
      <c r="G284" s="41"/>
      <c r="H284" s="59"/>
      <c r="I284" s="82"/>
      <c r="J284" s="64">
        <f>SUM(H282:H283)</f>
        <v>7.52</v>
      </c>
      <c r="K284" s="79"/>
    </row>
    <row r="285" ht="19.5" customHeight="1">
      <c r="A285" s="216" t="s">
        <v>1</v>
      </c>
      <c r="B285" s="74" t="s">
        <v>91</v>
      </c>
      <c r="C285" s="74" t="s">
        <v>92</v>
      </c>
      <c r="D285" s="76" t="s">
        <v>93</v>
      </c>
      <c r="E285" s="50" t="s">
        <v>161</v>
      </c>
      <c r="F285" s="53" t="s">
        <v>121</v>
      </c>
      <c r="G285" s="53" t="s">
        <v>97</v>
      </c>
      <c r="H285" s="75" t="s">
        <v>100</v>
      </c>
      <c r="I285" s="75" t="s">
        <v>101</v>
      </c>
      <c r="J285" s="76" t="s">
        <v>95</v>
      </c>
      <c r="K285" s="74" t="s">
        <v>96</v>
      </c>
    </row>
    <row r="286" ht="19.5" customHeight="1">
      <c r="A286" s="220">
        <v>1.0</v>
      </c>
      <c r="B286" s="37" t="s">
        <v>244</v>
      </c>
      <c r="C286" s="46" t="s">
        <v>103</v>
      </c>
      <c r="D286" s="78">
        <v>8.0</v>
      </c>
      <c r="E286" s="37">
        <v>2.0</v>
      </c>
      <c r="F286" s="78">
        <v>1.5</v>
      </c>
      <c r="G286" s="40">
        <v>1.8</v>
      </c>
      <c r="H286" s="40">
        <f>F286*E286*D286</f>
        <v>24</v>
      </c>
      <c r="I286" s="42"/>
      <c r="J286" s="40"/>
      <c r="K286" s="46"/>
    </row>
    <row r="287" ht="19.5" customHeight="1">
      <c r="A287" s="220">
        <v>2.0</v>
      </c>
      <c r="B287" s="37" t="s">
        <v>244</v>
      </c>
      <c r="C287" s="46" t="s">
        <v>103</v>
      </c>
      <c r="D287" s="78">
        <v>8.0</v>
      </c>
      <c r="E287" s="37">
        <v>2.0</v>
      </c>
      <c r="F287" s="78">
        <v>0.5</v>
      </c>
      <c r="G287" s="40">
        <v>1.8</v>
      </c>
      <c r="H287" s="40">
        <f>G287*F287*E287</f>
        <v>1.8</v>
      </c>
      <c r="I287" s="42"/>
      <c r="J287" s="64">
        <f>SUM(H286:H287)</f>
        <v>25.8</v>
      </c>
      <c r="K287" s="46"/>
    </row>
    <row r="288" ht="19.5" customHeight="1">
      <c r="A288" s="216" t="s">
        <v>1</v>
      </c>
      <c r="B288" s="74" t="s">
        <v>91</v>
      </c>
      <c r="C288" s="74" t="s">
        <v>92</v>
      </c>
      <c r="D288" s="76" t="s">
        <v>93</v>
      </c>
      <c r="E288" s="50" t="s">
        <v>161</v>
      </c>
      <c r="F288" s="53"/>
      <c r="G288" s="53"/>
      <c r="H288" s="75" t="s">
        <v>100</v>
      </c>
      <c r="I288" s="75" t="s">
        <v>101</v>
      </c>
      <c r="J288" s="76" t="s">
        <v>95</v>
      </c>
      <c r="K288" s="74" t="s">
        <v>96</v>
      </c>
    </row>
    <row r="289" ht="19.5" customHeight="1">
      <c r="A289" s="220">
        <v>1.0</v>
      </c>
      <c r="B289" s="37" t="s">
        <v>245</v>
      </c>
      <c r="C289" s="46" t="s">
        <v>106</v>
      </c>
      <c r="D289" s="78">
        <v>9.0</v>
      </c>
      <c r="E289" s="37">
        <v>20.0</v>
      </c>
      <c r="F289" s="78"/>
      <c r="G289" s="40"/>
      <c r="H289" s="40">
        <f t="shared" ref="H289:H306" si="58">E289*D289</f>
        <v>180</v>
      </c>
      <c r="I289" s="42"/>
      <c r="J289" s="64">
        <f t="shared" ref="J289:J306" si="59">H289</f>
        <v>180</v>
      </c>
      <c r="K289" s="46"/>
    </row>
    <row r="290" ht="19.5" customHeight="1">
      <c r="A290" s="220">
        <v>2.0</v>
      </c>
      <c r="B290" s="37" t="s">
        <v>245</v>
      </c>
      <c r="C290" s="46" t="s">
        <v>106</v>
      </c>
      <c r="D290" s="78">
        <v>20.0</v>
      </c>
      <c r="E290" s="37">
        <v>2.0</v>
      </c>
      <c r="F290" s="78"/>
      <c r="G290" s="40"/>
      <c r="H290" s="40">
        <f t="shared" si="58"/>
        <v>40</v>
      </c>
      <c r="I290" s="42"/>
      <c r="J290" s="64">
        <f t="shared" si="59"/>
        <v>40</v>
      </c>
      <c r="K290" s="46"/>
    </row>
    <row r="291" ht="19.5" customHeight="1">
      <c r="A291" s="220">
        <f t="shared" ref="A291:A295" si="60">A289+1</f>
        <v>2</v>
      </c>
      <c r="B291" s="37" t="s">
        <v>246</v>
      </c>
      <c r="C291" s="46" t="s">
        <v>106</v>
      </c>
      <c r="D291" s="78">
        <v>20.0</v>
      </c>
      <c r="E291" s="37">
        <v>20.0</v>
      </c>
      <c r="F291" s="78"/>
      <c r="G291" s="40"/>
      <c r="H291" s="40">
        <f t="shared" si="58"/>
        <v>400</v>
      </c>
      <c r="I291" s="42"/>
      <c r="J291" s="64">
        <f t="shared" si="59"/>
        <v>400</v>
      </c>
      <c r="K291" s="46"/>
    </row>
    <row r="292" ht="19.5" customHeight="1">
      <c r="A292" s="220">
        <f t="shared" si="60"/>
        <v>3</v>
      </c>
      <c r="B292" s="37" t="s">
        <v>246</v>
      </c>
      <c r="C292" s="46" t="s">
        <v>106</v>
      </c>
      <c r="D292" s="78">
        <v>8.0</v>
      </c>
      <c r="E292" s="37">
        <v>2.0</v>
      </c>
      <c r="F292" s="78"/>
      <c r="G292" s="40"/>
      <c r="H292" s="40">
        <f t="shared" si="58"/>
        <v>16</v>
      </c>
      <c r="I292" s="42"/>
      <c r="J292" s="64">
        <f t="shared" si="59"/>
        <v>16</v>
      </c>
      <c r="K292" s="46"/>
    </row>
    <row r="293" ht="19.5" customHeight="1">
      <c r="A293" s="220">
        <f t="shared" si="60"/>
        <v>3</v>
      </c>
      <c r="B293" s="37" t="s">
        <v>247</v>
      </c>
      <c r="C293" s="46" t="s">
        <v>106</v>
      </c>
      <c r="D293" s="78">
        <v>2.0</v>
      </c>
      <c r="E293" s="37">
        <v>2.0</v>
      </c>
      <c r="F293" s="78"/>
      <c r="G293" s="40"/>
      <c r="H293" s="40">
        <f t="shared" si="58"/>
        <v>4</v>
      </c>
      <c r="I293" s="42"/>
      <c r="J293" s="64">
        <f t="shared" si="59"/>
        <v>4</v>
      </c>
      <c r="K293" s="46"/>
    </row>
    <row r="294" ht="19.5" customHeight="1">
      <c r="A294" s="220">
        <f t="shared" si="60"/>
        <v>4</v>
      </c>
      <c r="B294" s="37" t="s">
        <v>248</v>
      </c>
      <c r="C294" s="46" t="s">
        <v>106</v>
      </c>
      <c r="D294" s="78">
        <v>4.0</v>
      </c>
      <c r="E294" s="37">
        <v>2.0</v>
      </c>
      <c r="F294" s="78"/>
      <c r="G294" s="40"/>
      <c r="H294" s="40">
        <f t="shared" si="58"/>
        <v>8</v>
      </c>
      <c r="I294" s="42"/>
      <c r="J294" s="64">
        <f t="shared" si="59"/>
        <v>8</v>
      </c>
      <c r="K294" s="46"/>
    </row>
    <row r="295" ht="19.5" customHeight="1">
      <c r="A295" s="220">
        <f t="shared" si="60"/>
        <v>4</v>
      </c>
      <c r="B295" s="37" t="s">
        <v>249</v>
      </c>
      <c r="C295" s="46" t="s">
        <v>106</v>
      </c>
      <c r="D295" s="78">
        <v>11.0</v>
      </c>
      <c r="E295" s="37">
        <v>2.0</v>
      </c>
      <c r="F295" s="78"/>
      <c r="G295" s="40"/>
      <c r="H295" s="40">
        <f t="shared" si="58"/>
        <v>22</v>
      </c>
      <c r="I295" s="42"/>
      <c r="J295" s="64">
        <f t="shared" si="59"/>
        <v>22</v>
      </c>
      <c r="K295" s="46"/>
    </row>
    <row r="296" ht="19.5" customHeight="1">
      <c r="A296" s="220">
        <f t="shared" ref="A296:A297" si="61">A291+1</f>
        <v>3</v>
      </c>
      <c r="B296" s="37" t="s">
        <v>250</v>
      </c>
      <c r="C296" s="46" t="s">
        <v>106</v>
      </c>
      <c r="D296" s="123">
        <f>H295+H294+H293+H292+H291</f>
        <v>450</v>
      </c>
      <c r="E296" s="37">
        <v>1.0</v>
      </c>
      <c r="F296" s="40"/>
      <c r="G296" s="40"/>
      <c r="H296" s="40">
        <f t="shared" si="58"/>
        <v>450</v>
      </c>
      <c r="I296" s="40"/>
      <c r="J296" s="64">
        <f t="shared" si="59"/>
        <v>450</v>
      </c>
      <c r="K296" s="46"/>
    </row>
    <row r="297" ht="19.5" customHeight="1">
      <c r="A297" s="220">
        <f t="shared" si="61"/>
        <v>4</v>
      </c>
      <c r="B297" s="37" t="s">
        <v>251</v>
      </c>
      <c r="C297" s="46" t="s">
        <v>106</v>
      </c>
      <c r="D297" s="123">
        <f>H290+H289</f>
        <v>220</v>
      </c>
      <c r="E297" s="37">
        <v>1.0</v>
      </c>
      <c r="F297" s="40"/>
      <c r="G297" s="40"/>
      <c r="H297" s="40">
        <f t="shared" si="58"/>
        <v>220</v>
      </c>
      <c r="I297" s="40"/>
      <c r="J297" s="64">
        <f t="shared" si="59"/>
        <v>220</v>
      </c>
      <c r="K297" s="46"/>
    </row>
    <row r="298" ht="19.5" customHeight="1">
      <c r="A298" s="220">
        <f>A296+1</f>
        <v>4</v>
      </c>
      <c r="B298" s="37" t="s">
        <v>641</v>
      </c>
      <c r="C298" s="46" t="s">
        <v>108</v>
      </c>
      <c r="D298" s="123">
        <v>1200.0</v>
      </c>
      <c r="E298" s="37">
        <v>1.0</v>
      </c>
      <c r="F298" s="40"/>
      <c r="G298" s="40"/>
      <c r="H298" s="40">
        <f t="shared" si="58"/>
        <v>1200</v>
      </c>
      <c r="I298" s="40"/>
      <c r="J298" s="64">
        <f t="shared" si="59"/>
        <v>1200</v>
      </c>
      <c r="K298" s="46"/>
    </row>
    <row r="299" ht="19.5" customHeight="1">
      <c r="A299" s="220">
        <f t="shared" ref="A299:A306" si="62">A298+1</f>
        <v>5</v>
      </c>
      <c r="B299" s="37" t="s">
        <v>254</v>
      </c>
      <c r="C299" s="46" t="s">
        <v>108</v>
      </c>
      <c r="D299" s="123">
        <v>5000.0</v>
      </c>
      <c r="E299" s="37">
        <v>1.0</v>
      </c>
      <c r="F299" s="40"/>
      <c r="G299" s="40"/>
      <c r="H299" s="40">
        <f t="shared" si="58"/>
        <v>5000</v>
      </c>
      <c r="I299" s="40"/>
      <c r="J299" s="64">
        <f t="shared" si="59"/>
        <v>5000</v>
      </c>
      <c r="K299" s="46"/>
    </row>
    <row r="300" ht="19.5" customHeight="1">
      <c r="A300" s="220">
        <f t="shared" si="62"/>
        <v>6</v>
      </c>
      <c r="B300" s="37" t="s">
        <v>255</v>
      </c>
      <c r="C300" s="46" t="s">
        <v>108</v>
      </c>
      <c r="D300" s="123">
        <v>22.0</v>
      </c>
      <c r="E300" s="37">
        <v>16.0</v>
      </c>
      <c r="F300" s="40"/>
      <c r="G300" s="40"/>
      <c r="H300" s="40">
        <f t="shared" si="58"/>
        <v>352</v>
      </c>
      <c r="I300" s="40"/>
      <c r="J300" s="64">
        <f t="shared" si="59"/>
        <v>352</v>
      </c>
      <c r="K300" s="46"/>
    </row>
    <row r="301" ht="19.5" customHeight="1">
      <c r="A301" s="220">
        <f t="shared" si="62"/>
        <v>7</v>
      </c>
      <c r="B301" s="37" t="s">
        <v>256</v>
      </c>
      <c r="C301" s="46" t="s">
        <v>108</v>
      </c>
      <c r="D301" s="123">
        <v>70.0</v>
      </c>
      <c r="E301" s="37">
        <v>4.0</v>
      </c>
      <c r="F301" s="40"/>
      <c r="G301" s="40"/>
      <c r="H301" s="40">
        <f t="shared" si="58"/>
        <v>280</v>
      </c>
      <c r="I301" s="40"/>
      <c r="J301" s="64">
        <f t="shared" si="59"/>
        <v>280</v>
      </c>
      <c r="K301" s="46"/>
    </row>
    <row r="302" ht="19.5" customHeight="1">
      <c r="A302" s="220">
        <f t="shared" si="62"/>
        <v>8</v>
      </c>
      <c r="B302" s="37" t="s">
        <v>257</v>
      </c>
      <c r="C302" s="46" t="s">
        <v>106</v>
      </c>
      <c r="D302" s="123">
        <v>3.0</v>
      </c>
      <c r="E302" s="37">
        <v>2.0</v>
      </c>
      <c r="F302" s="40"/>
      <c r="G302" s="40"/>
      <c r="H302" s="40">
        <f t="shared" si="58"/>
        <v>6</v>
      </c>
      <c r="I302" s="40"/>
      <c r="J302" s="64">
        <f t="shared" si="59"/>
        <v>6</v>
      </c>
      <c r="K302" s="46"/>
    </row>
    <row r="303" ht="19.5" customHeight="1">
      <c r="A303" s="220">
        <f t="shared" si="62"/>
        <v>9</v>
      </c>
      <c r="B303" s="37" t="s">
        <v>258</v>
      </c>
      <c r="C303" s="46" t="s">
        <v>106</v>
      </c>
      <c r="D303" s="123">
        <v>14.0</v>
      </c>
      <c r="E303" s="37">
        <v>2.0</v>
      </c>
      <c r="F303" s="40"/>
      <c r="G303" s="40"/>
      <c r="H303" s="40">
        <f t="shared" si="58"/>
        <v>28</v>
      </c>
      <c r="I303" s="40"/>
      <c r="J303" s="64">
        <f t="shared" si="59"/>
        <v>28</v>
      </c>
      <c r="K303" s="46"/>
    </row>
    <row r="304" ht="19.5" customHeight="1">
      <c r="A304" s="220">
        <f t="shared" si="62"/>
        <v>10</v>
      </c>
      <c r="B304" s="37" t="s">
        <v>259</v>
      </c>
      <c r="C304" s="46" t="s">
        <v>108</v>
      </c>
      <c r="D304" s="123">
        <v>150.0</v>
      </c>
      <c r="E304" s="37">
        <v>1.0</v>
      </c>
      <c r="F304" s="40"/>
      <c r="G304" s="40"/>
      <c r="H304" s="40">
        <f t="shared" si="58"/>
        <v>150</v>
      </c>
      <c r="I304" s="40"/>
      <c r="J304" s="64">
        <f t="shared" si="59"/>
        <v>150</v>
      </c>
      <c r="K304" s="46"/>
    </row>
    <row r="305" ht="19.5" customHeight="1">
      <c r="A305" s="220">
        <f t="shared" si="62"/>
        <v>11</v>
      </c>
      <c r="B305" s="37" t="s">
        <v>260</v>
      </c>
      <c r="C305" s="46" t="s">
        <v>108</v>
      </c>
      <c r="D305" s="123">
        <v>55.0</v>
      </c>
      <c r="E305" s="37">
        <v>2.0</v>
      </c>
      <c r="F305" s="40"/>
      <c r="G305" s="40"/>
      <c r="H305" s="40">
        <f t="shared" si="58"/>
        <v>110</v>
      </c>
      <c r="I305" s="40"/>
      <c r="J305" s="64">
        <f t="shared" si="59"/>
        <v>110</v>
      </c>
      <c r="K305" s="46"/>
    </row>
    <row r="306" ht="19.5" customHeight="1">
      <c r="A306" s="220">
        <f t="shared" si="62"/>
        <v>12</v>
      </c>
      <c r="B306" s="37" t="s">
        <v>261</v>
      </c>
      <c r="C306" s="46" t="s">
        <v>106</v>
      </c>
      <c r="D306" s="123">
        <v>8.0</v>
      </c>
      <c r="E306" s="37">
        <v>1.0</v>
      </c>
      <c r="F306" s="40"/>
      <c r="G306" s="40"/>
      <c r="H306" s="40">
        <f t="shared" si="58"/>
        <v>8</v>
      </c>
      <c r="I306" s="40"/>
      <c r="J306" s="64">
        <f t="shared" si="59"/>
        <v>8</v>
      </c>
      <c r="K306" s="46"/>
    </row>
    <row r="307" ht="19.5" customHeight="1">
      <c r="A307" s="221"/>
      <c r="C307" s="12"/>
      <c r="D307" s="87"/>
      <c r="F307" s="14"/>
      <c r="G307" s="14"/>
      <c r="H307" s="14"/>
      <c r="I307" s="14"/>
      <c r="J307" s="14"/>
      <c r="K307" s="12"/>
    </row>
    <row r="308" ht="19.5" customHeight="1">
      <c r="A308" s="216" t="s">
        <v>1</v>
      </c>
      <c r="B308" s="74" t="s">
        <v>91</v>
      </c>
      <c r="C308" s="74" t="s">
        <v>92</v>
      </c>
      <c r="D308" s="76" t="s">
        <v>93</v>
      </c>
      <c r="E308" s="50" t="s">
        <v>161</v>
      </c>
      <c r="F308" s="53" t="s">
        <v>121</v>
      </c>
      <c r="G308" s="53" t="s">
        <v>99</v>
      </c>
      <c r="H308" s="53" t="s">
        <v>100</v>
      </c>
      <c r="I308" s="53" t="s">
        <v>101</v>
      </c>
      <c r="J308" s="76" t="s">
        <v>95</v>
      </c>
      <c r="K308" s="74" t="s">
        <v>96</v>
      </c>
    </row>
    <row r="309" ht="19.5" customHeight="1">
      <c r="A309" s="220">
        <v>1.0</v>
      </c>
      <c r="B309" s="37" t="s">
        <v>262</v>
      </c>
      <c r="C309" s="46" t="s">
        <v>108</v>
      </c>
      <c r="D309" s="78">
        <v>400.0</v>
      </c>
      <c r="E309" s="37">
        <v>1.0</v>
      </c>
      <c r="F309" s="78"/>
      <c r="G309" s="40"/>
      <c r="H309" s="40">
        <f t="shared" ref="H309:H332" si="63">E309*D309</f>
        <v>400</v>
      </c>
      <c r="I309" s="42"/>
      <c r="J309" s="64">
        <f t="shared" ref="J309:J332" si="64">H309</f>
        <v>400</v>
      </c>
      <c r="K309" s="46"/>
    </row>
    <row r="310" ht="19.5" customHeight="1">
      <c r="A310" s="220">
        <f t="shared" ref="A310:A332" si="65">A309+1</f>
        <v>2</v>
      </c>
      <c r="B310" s="37" t="s">
        <v>263</v>
      </c>
      <c r="C310" s="46" t="s">
        <v>108</v>
      </c>
      <c r="D310" s="123">
        <v>200.0</v>
      </c>
      <c r="E310" s="37">
        <v>2.0</v>
      </c>
      <c r="F310" s="40"/>
      <c r="G310" s="40"/>
      <c r="H310" s="40">
        <f t="shared" si="63"/>
        <v>400</v>
      </c>
      <c r="I310" s="40"/>
      <c r="J310" s="64">
        <f t="shared" si="64"/>
        <v>400</v>
      </c>
      <c r="K310" s="46"/>
    </row>
    <row r="311" ht="19.5" customHeight="1">
      <c r="A311" s="220">
        <f t="shared" si="65"/>
        <v>3</v>
      </c>
      <c r="B311" s="37" t="s">
        <v>264</v>
      </c>
      <c r="C311" s="46" t="s">
        <v>108</v>
      </c>
      <c r="D311" s="123">
        <v>100.0</v>
      </c>
      <c r="E311" s="37">
        <v>2.0</v>
      </c>
      <c r="F311" s="40"/>
      <c r="G311" s="40"/>
      <c r="H311" s="40">
        <f t="shared" si="63"/>
        <v>200</v>
      </c>
      <c r="I311" s="40"/>
      <c r="J311" s="64">
        <f t="shared" si="64"/>
        <v>200</v>
      </c>
      <c r="K311" s="46"/>
    </row>
    <row r="312" ht="19.5" customHeight="1">
      <c r="A312" s="220">
        <f t="shared" si="65"/>
        <v>4</v>
      </c>
      <c r="B312" s="37" t="s">
        <v>265</v>
      </c>
      <c r="C312" s="46" t="s">
        <v>106</v>
      </c>
      <c r="D312" s="123">
        <v>4.0</v>
      </c>
      <c r="E312" s="37">
        <v>2.0</v>
      </c>
      <c r="F312" s="40"/>
      <c r="G312" s="40"/>
      <c r="H312" s="40">
        <f t="shared" si="63"/>
        <v>8</v>
      </c>
      <c r="I312" s="40"/>
      <c r="J312" s="64">
        <f t="shared" si="64"/>
        <v>8</v>
      </c>
      <c r="K312" s="46"/>
    </row>
    <row r="313" ht="19.5" customHeight="1">
      <c r="A313" s="220">
        <f t="shared" si="65"/>
        <v>5</v>
      </c>
      <c r="B313" s="37" t="s">
        <v>266</v>
      </c>
      <c r="C313" s="46" t="s">
        <v>106</v>
      </c>
      <c r="D313" s="123">
        <v>8.0</v>
      </c>
      <c r="E313" s="37">
        <v>2.0</v>
      </c>
      <c r="F313" s="40"/>
      <c r="G313" s="40"/>
      <c r="H313" s="40">
        <f t="shared" si="63"/>
        <v>16</v>
      </c>
      <c r="I313" s="40"/>
      <c r="J313" s="64">
        <f t="shared" si="64"/>
        <v>16</v>
      </c>
      <c r="K313" s="46"/>
    </row>
    <row r="314" ht="19.5" customHeight="1">
      <c r="A314" s="220">
        <f t="shared" si="65"/>
        <v>6</v>
      </c>
      <c r="B314" s="37" t="s">
        <v>267</v>
      </c>
      <c r="C314" s="46" t="s">
        <v>106</v>
      </c>
      <c r="D314" s="123">
        <v>8.0</v>
      </c>
      <c r="E314" s="37">
        <v>2.0</v>
      </c>
      <c r="F314" s="40"/>
      <c r="G314" s="40"/>
      <c r="H314" s="40">
        <f t="shared" si="63"/>
        <v>16</v>
      </c>
      <c r="I314" s="40"/>
      <c r="J314" s="64">
        <f t="shared" si="64"/>
        <v>16</v>
      </c>
      <c r="K314" s="46"/>
    </row>
    <row r="315" ht="19.5" customHeight="1">
      <c r="A315" s="220">
        <f t="shared" si="65"/>
        <v>7</v>
      </c>
      <c r="B315" s="37" t="s">
        <v>268</v>
      </c>
      <c r="C315" s="46" t="s">
        <v>106</v>
      </c>
      <c r="D315" s="123">
        <v>8.0</v>
      </c>
      <c r="E315" s="37">
        <v>2.0</v>
      </c>
      <c r="F315" s="40"/>
      <c r="G315" s="40"/>
      <c r="H315" s="40">
        <f t="shared" si="63"/>
        <v>16</v>
      </c>
      <c r="I315" s="40"/>
      <c r="J315" s="64">
        <f t="shared" si="64"/>
        <v>16</v>
      </c>
      <c r="K315" s="46"/>
    </row>
    <row r="316" ht="19.5" customHeight="1">
      <c r="A316" s="220">
        <f t="shared" si="65"/>
        <v>8</v>
      </c>
      <c r="B316" s="37" t="s">
        <v>269</v>
      </c>
      <c r="C316" s="46" t="s">
        <v>106</v>
      </c>
      <c r="D316" s="123">
        <v>8.0</v>
      </c>
      <c r="E316" s="37">
        <v>2.0</v>
      </c>
      <c r="F316" s="40"/>
      <c r="G316" s="40"/>
      <c r="H316" s="40">
        <f t="shared" si="63"/>
        <v>16</v>
      </c>
      <c r="I316" s="40"/>
      <c r="J316" s="64">
        <f t="shared" si="64"/>
        <v>16</v>
      </c>
      <c r="K316" s="46"/>
    </row>
    <row r="317" ht="19.5" customHeight="1">
      <c r="A317" s="220">
        <f t="shared" si="65"/>
        <v>9</v>
      </c>
      <c r="B317" s="37" t="s">
        <v>270</v>
      </c>
      <c r="C317" s="46" t="s">
        <v>106</v>
      </c>
      <c r="D317" s="123">
        <v>8.0</v>
      </c>
      <c r="E317" s="37">
        <v>2.0</v>
      </c>
      <c r="F317" s="40"/>
      <c r="G317" s="40"/>
      <c r="H317" s="40">
        <f t="shared" si="63"/>
        <v>16</v>
      </c>
      <c r="I317" s="40"/>
      <c r="J317" s="64">
        <f t="shared" si="64"/>
        <v>16</v>
      </c>
      <c r="K317" s="46"/>
    </row>
    <row r="318" ht="19.5" customHeight="1">
      <c r="A318" s="220">
        <f t="shared" si="65"/>
        <v>10</v>
      </c>
      <c r="B318" s="37" t="s">
        <v>271</v>
      </c>
      <c r="C318" s="46" t="s">
        <v>106</v>
      </c>
      <c r="D318" s="123">
        <v>8.0</v>
      </c>
      <c r="E318" s="37">
        <v>2.0</v>
      </c>
      <c r="F318" s="40"/>
      <c r="G318" s="40"/>
      <c r="H318" s="40">
        <f t="shared" si="63"/>
        <v>16</v>
      </c>
      <c r="I318" s="40"/>
      <c r="J318" s="64">
        <f t="shared" si="64"/>
        <v>16</v>
      </c>
      <c r="K318" s="46"/>
    </row>
    <row r="319" ht="19.5" customHeight="1">
      <c r="A319" s="220">
        <f t="shared" si="65"/>
        <v>11</v>
      </c>
      <c r="B319" s="37" t="s">
        <v>272</v>
      </c>
      <c r="C319" s="46" t="s">
        <v>106</v>
      </c>
      <c r="D319" s="123">
        <v>8.0</v>
      </c>
      <c r="E319" s="37">
        <v>2.0</v>
      </c>
      <c r="F319" s="40"/>
      <c r="G319" s="40"/>
      <c r="H319" s="40">
        <f t="shared" si="63"/>
        <v>16</v>
      </c>
      <c r="I319" s="40"/>
      <c r="J319" s="64">
        <f t="shared" si="64"/>
        <v>16</v>
      </c>
      <c r="K319" s="46"/>
    </row>
    <row r="320" ht="19.5" customHeight="1">
      <c r="A320" s="220">
        <f t="shared" si="65"/>
        <v>12</v>
      </c>
      <c r="B320" s="37" t="s">
        <v>273</v>
      </c>
      <c r="C320" s="46" t="s">
        <v>106</v>
      </c>
      <c r="D320" s="123">
        <v>4.0</v>
      </c>
      <c r="E320" s="37">
        <v>2.0</v>
      </c>
      <c r="F320" s="40"/>
      <c r="G320" s="40"/>
      <c r="H320" s="40">
        <f t="shared" si="63"/>
        <v>8</v>
      </c>
      <c r="I320" s="40"/>
      <c r="J320" s="64">
        <f t="shared" si="64"/>
        <v>8</v>
      </c>
      <c r="K320" s="46"/>
    </row>
    <row r="321" ht="19.5" customHeight="1">
      <c r="A321" s="220">
        <f t="shared" si="65"/>
        <v>13</v>
      </c>
      <c r="B321" s="37" t="s">
        <v>274</v>
      </c>
      <c r="C321" s="46" t="s">
        <v>106</v>
      </c>
      <c r="D321" s="123">
        <v>4.0</v>
      </c>
      <c r="E321" s="37">
        <v>2.0</v>
      </c>
      <c r="F321" s="40"/>
      <c r="G321" s="40"/>
      <c r="H321" s="40">
        <f t="shared" si="63"/>
        <v>8</v>
      </c>
      <c r="I321" s="40"/>
      <c r="J321" s="64">
        <f t="shared" si="64"/>
        <v>8</v>
      </c>
      <c r="K321" s="46"/>
    </row>
    <row r="322" ht="19.5" customHeight="1">
      <c r="A322" s="220">
        <f t="shared" si="65"/>
        <v>14</v>
      </c>
      <c r="B322" s="37" t="s">
        <v>275</v>
      </c>
      <c r="C322" s="46" t="s">
        <v>106</v>
      </c>
      <c r="D322" s="123">
        <v>4.0</v>
      </c>
      <c r="E322" s="37">
        <v>2.0</v>
      </c>
      <c r="F322" s="40"/>
      <c r="G322" s="40"/>
      <c r="H322" s="40">
        <f t="shared" si="63"/>
        <v>8</v>
      </c>
      <c r="I322" s="40"/>
      <c r="J322" s="64">
        <f t="shared" si="64"/>
        <v>8</v>
      </c>
      <c r="K322" s="46"/>
    </row>
    <row r="323" ht="19.5" customHeight="1">
      <c r="A323" s="220">
        <f t="shared" si="65"/>
        <v>15</v>
      </c>
      <c r="B323" s="37" t="s">
        <v>276</v>
      </c>
      <c r="C323" s="46" t="s">
        <v>106</v>
      </c>
      <c r="D323" s="123">
        <v>4.0</v>
      </c>
      <c r="E323" s="37">
        <v>2.0</v>
      </c>
      <c r="F323" s="40"/>
      <c r="G323" s="40"/>
      <c r="H323" s="40">
        <f t="shared" si="63"/>
        <v>8</v>
      </c>
      <c r="I323" s="40"/>
      <c r="J323" s="64">
        <f t="shared" si="64"/>
        <v>8</v>
      </c>
      <c r="K323" s="46"/>
    </row>
    <row r="324" ht="19.5" customHeight="1">
      <c r="A324" s="220">
        <f t="shared" si="65"/>
        <v>16</v>
      </c>
      <c r="B324" s="37" t="s">
        <v>277</v>
      </c>
      <c r="C324" s="46" t="s">
        <v>106</v>
      </c>
      <c r="D324" s="123">
        <v>3.0</v>
      </c>
      <c r="E324" s="37">
        <v>2.0</v>
      </c>
      <c r="F324" s="40"/>
      <c r="G324" s="40"/>
      <c r="H324" s="40">
        <f t="shared" si="63"/>
        <v>6</v>
      </c>
      <c r="I324" s="40"/>
      <c r="J324" s="64">
        <f t="shared" si="64"/>
        <v>6</v>
      </c>
      <c r="K324" s="46"/>
    </row>
    <row r="325" ht="19.5" customHeight="1">
      <c r="A325" s="220">
        <f t="shared" si="65"/>
        <v>17</v>
      </c>
      <c r="B325" s="37" t="s">
        <v>278</v>
      </c>
      <c r="C325" s="46" t="s">
        <v>106</v>
      </c>
      <c r="D325" s="123">
        <v>3.0</v>
      </c>
      <c r="E325" s="37">
        <v>2.0</v>
      </c>
      <c r="F325" s="40"/>
      <c r="G325" s="40"/>
      <c r="H325" s="40">
        <f t="shared" si="63"/>
        <v>6</v>
      </c>
      <c r="I325" s="40"/>
      <c r="J325" s="64">
        <f t="shared" si="64"/>
        <v>6</v>
      </c>
      <c r="K325" s="46"/>
    </row>
    <row r="326" ht="19.5" customHeight="1">
      <c r="A326" s="220">
        <f t="shared" si="65"/>
        <v>18</v>
      </c>
      <c r="B326" s="37" t="s">
        <v>279</v>
      </c>
      <c r="C326" s="46" t="s">
        <v>106</v>
      </c>
      <c r="D326" s="123">
        <v>10.0</v>
      </c>
      <c r="E326" s="37">
        <v>2.0</v>
      </c>
      <c r="F326" s="40"/>
      <c r="G326" s="40"/>
      <c r="H326" s="40">
        <f t="shared" si="63"/>
        <v>20</v>
      </c>
      <c r="I326" s="40"/>
      <c r="J326" s="64">
        <f t="shared" si="64"/>
        <v>20</v>
      </c>
      <c r="K326" s="46"/>
    </row>
    <row r="327" ht="19.5" customHeight="1">
      <c r="A327" s="220">
        <f t="shared" si="65"/>
        <v>19</v>
      </c>
      <c r="B327" s="37" t="s">
        <v>280</v>
      </c>
      <c r="C327" s="46" t="s">
        <v>106</v>
      </c>
      <c r="D327" s="123">
        <v>14.0</v>
      </c>
      <c r="E327" s="37">
        <v>2.0</v>
      </c>
      <c r="F327" s="40"/>
      <c r="G327" s="40"/>
      <c r="H327" s="40">
        <f t="shared" si="63"/>
        <v>28</v>
      </c>
      <c r="I327" s="40"/>
      <c r="J327" s="64">
        <f t="shared" si="64"/>
        <v>28</v>
      </c>
      <c r="K327" s="46"/>
    </row>
    <row r="328" ht="19.5" customHeight="1">
      <c r="A328" s="220">
        <f t="shared" si="65"/>
        <v>20</v>
      </c>
      <c r="B328" s="37" t="s">
        <v>281</v>
      </c>
      <c r="C328" s="46" t="s">
        <v>106</v>
      </c>
      <c r="D328" s="123">
        <v>8.0</v>
      </c>
      <c r="E328" s="37">
        <v>2.0</v>
      </c>
      <c r="F328" s="40"/>
      <c r="G328" s="40"/>
      <c r="H328" s="40">
        <f t="shared" si="63"/>
        <v>16</v>
      </c>
      <c r="I328" s="40"/>
      <c r="J328" s="64">
        <f t="shared" si="64"/>
        <v>16</v>
      </c>
      <c r="K328" s="46"/>
    </row>
    <row r="329" ht="19.5" customHeight="1">
      <c r="A329" s="220">
        <f t="shared" si="65"/>
        <v>21</v>
      </c>
      <c r="B329" s="37" t="s">
        <v>378</v>
      </c>
      <c r="C329" s="46" t="s">
        <v>106</v>
      </c>
      <c r="D329" s="123">
        <v>2.0</v>
      </c>
      <c r="E329" s="37">
        <v>2.0</v>
      </c>
      <c r="F329" s="40"/>
      <c r="G329" s="40"/>
      <c r="H329" s="40">
        <f t="shared" si="63"/>
        <v>4</v>
      </c>
      <c r="I329" s="40"/>
      <c r="J329" s="64">
        <f t="shared" si="64"/>
        <v>4</v>
      </c>
      <c r="K329" s="46"/>
    </row>
    <row r="330" ht="19.5" customHeight="1">
      <c r="A330" s="220">
        <f t="shared" si="65"/>
        <v>22</v>
      </c>
      <c r="B330" s="37" t="s">
        <v>284</v>
      </c>
      <c r="C330" s="46" t="s">
        <v>106</v>
      </c>
      <c r="D330" s="123">
        <v>7.0</v>
      </c>
      <c r="E330" s="37">
        <v>2.0</v>
      </c>
      <c r="F330" s="40"/>
      <c r="G330" s="40"/>
      <c r="H330" s="40">
        <f t="shared" si="63"/>
        <v>14</v>
      </c>
      <c r="I330" s="40"/>
      <c r="J330" s="64">
        <f t="shared" si="64"/>
        <v>14</v>
      </c>
      <c r="K330" s="46"/>
    </row>
    <row r="331" ht="19.5" customHeight="1">
      <c r="A331" s="220">
        <f t="shared" si="65"/>
        <v>23</v>
      </c>
      <c r="B331" s="37" t="s">
        <v>285</v>
      </c>
      <c r="C331" s="46" t="s">
        <v>106</v>
      </c>
      <c r="D331" s="123">
        <v>3.0</v>
      </c>
      <c r="E331" s="37">
        <v>2.0</v>
      </c>
      <c r="F331" s="40"/>
      <c r="G331" s="40"/>
      <c r="H331" s="40">
        <f t="shared" si="63"/>
        <v>6</v>
      </c>
      <c r="I331" s="40"/>
      <c r="J331" s="64">
        <f t="shared" si="64"/>
        <v>6</v>
      </c>
      <c r="K331" s="79"/>
    </row>
    <row r="332" ht="19.5" customHeight="1">
      <c r="A332" s="220">
        <f t="shared" si="65"/>
        <v>24</v>
      </c>
      <c r="B332" s="37" t="s">
        <v>286</v>
      </c>
      <c r="C332" s="46" t="s">
        <v>106</v>
      </c>
      <c r="D332" s="123">
        <v>2.0</v>
      </c>
      <c r="E332" s="37">
        <v>2.0</v>
      </c>
      <c r="F332" s="40"/>
      <c r="G332" s="40"/>
      <c r="H332" s="40">
        <f t="shared" si="63"/>
        <v>4</v>
      </c>
      <c r="I332" s="40"/>
      <c r="J332" s="64">
        <f t="shared" si="64"/>
        <v>4</v>
      </c>
      <c r="K332" s="79"/>
    </row>
    <row r="333" ht="19.5" customHeight="1">
      <c r="A333" s="216" t="s">
        <v>1</v>
      </c>
      <c r="B333" s="74" t="s">
        <v>91</v>
      </c>
      <c r="C333" s="74" t="s">
        <v>92</v>
      </c>
      <c r="D333" s="76" t="s">
        <v>93</v>
      </c>
      <c r="E333" s="50" t="s">
        <v>161</v>
      </c>
      <c r="F333" s="53" t="s">
        <v>121</v>
      </c>
      <c r="G333" s="53" t="s">
        <v>99</v>
      </c>
      <c r="H333" s="53" t="s">
        <v>100</v>
      </c>
      <c r="I333" s="53" t="s">
        <v>101</v>
      </c>
      <c r="J333" s="76" t="s">
        <v>95</v>
      </c>
      <c r="K333" s="74" t="s">
        <v>96</v>
      </c>
    </row>
    <row r="334" ht="19.5" customHeight="1">
      <c r="A334" s="220">
        <v>1.0</v>
      </c>
      <c r="B334" s="37" t="s">
        <v>287</v>
      </c>
      <c r="C334" s="46" t="s">
        <v>108</v>
      </c>
      <c r="D334" s="78">
        <v>0.0</v>
      </c>
      <c r="E334" s="37">
        <v>1.0</v>
      </c>
      <c r="F334" s="78"/>
      <c r="G334" s="40"/>
      <c r="H334" s="40">
        <f t="shared" ref="H334:H374" si="66">E334*D334</f>
        <v>0</v>
      </c>
      <c r="I334" s="42"/>
      <c r="J334" s="64">
        <f t="shared" ref="J334:J374" si="67">H334</f>
        <v>0</v>
      </c>
      <c r="K334" s="46"/>
    </row>
    <row r="335" ht="19.5" customHeight="1">
      <c r="A335" s="220">
        <f t="shared" ref="A335:A374" si="68">A334+1</f>
        <v>2</v>
      </c>
      <c r="B335" s="37" t="s">
        <v>288</v>
      </c>
      <c r="C335" s="46" t="s">
        <v>108</v>
      </c>
      <c r="D335" s="78">
        <v>100.0</v>
      </c>
      <c r="E335" s="37">
        <v>1.0</v>
      </c>
      <c r="F335" s="78"/>
      <c r="G335" s="40"/>
      <c r="H335" s="40">
        <f t="shared" si="66"/>
        <v>100</v>
      </c>
      <c r="I335" s="42"/>
      <c r="J335" s="64">
        <f t="shared" si="67"/>
        <v>100</v>
      </c>
      <c r="K335" s="46"/>
    </row>
    <row r="336" ht="19.5" customHeight="1">
      <c r="A336" s="220">
        <f t="shared" si="68"/>
        <v>3</v>
      </c>
      <c r="B336" s="37" t="s">
        <v>289</v>
      </c>
      <c r="C336" s="46" t="s">
        <v>108</v>
      </c>
      <c r="D336" s="78">
        <v>50.0</v>
      </c>
      <c r="E336" s="37">
        <v>1.0</v>
      </c>
      <c r="F336" s="78"/>
      <c r="G336" s="40"/>
      <c r="H336" s="40">
        <f t="shared" si="66"/>
        <v>50</v>
      </c>
      <c r="I336" s="42"/>
      <c r="J336" s="64">
        <f t="shared" si="67"/>
        <v>50</v>
      </c>
      <c r="K336" s="46"/>
    </row>
    <row r="337" ht="19.5" customHeight="1">
      <c r="A337" s="220">
        <f t="shared" si="68"/>
        <v>4</v>
      </c>
      <c r="B337" s="37" t="s">
        <v>263</v>
      </c>
      <c r="C337" s="46" t="s">
        <v>108</v>
      </c>
      <c r="D337" s="78">
        <v>100.0</v>
      </c>
      <c r="E337" s="37">
        <v>1.0</v>
      </c>
      <c r="F337" s="78"/>
      <c r="G337" s="40"/>
      <c r="H337" s="40">
        <f t="shared" si="66"/>
        <v>100</v>
      </c>
      <c r="I337" s="42"/>
      <c r="J337" s="64">
        <f t="shared" si="67"/>
        <v>100</v>
      </c>
      <c r="K337" s="46"/>
    </row>
    <row r="338" ht="19.5" customHeight="1">
      <c r="A338" s="220">
        <f t="shared" si="68"/>
        <v>5</v>
      </c>
      <c r="B338" s="37" t="s">
        <v>264</v>
      </c>
      <c r="C338" s="46" t="s">
        <v>108</v>
      </c>
      <c r="D338" s="123">
        <v>100.0</v>
      </c>
      <c r="E338" s="37">
        <v>2.0</v>
      </c>
      <c r="F338" s="40"/>
      <c r="G338" s="40"/>
      <c r="H338" s="40">
        <f t="shared" si="66"/>
        <v>200</v>
      </c>
      <c r="I338" s="40"/>
      <c r="J338" s="64">
        <f t="shared" si="67"/>
        <v>200</v>
      </c>
      <c r="K338" s="46"/>
    </row>
    <row r="339" ht="19.5" customHeight="1">
      <c r="A339" s="220">
        <f t="shared" si="68"/>
        <v>6</v>
      </c>
      <c r="B339" s="37" t="s">
        <v>290</v>
      </c>
      <c r="C339" s="46" t="s">
        <v>108</v>
      </c>
      <c r="D339" s="123">
        <v>24.0</v>
      </c>
      <c r="E339" s="37">
        <v>2.0</v>
      </c>
      <c r="F339" s="40"/>
      <c r="G339" s="40"/>
      <c r="H339" s="40">
        <f t="shared" si="66"/>
        <v>48</v>
      </c>
      <c r="I339" s="40"/>
      <c r="J339" s="64">
        <f t="shared" si="67"/>
        <v>48</v>
      </c>
      <c r="K339" s="46"/>
    </row>
    <row r="340" ht="19.5" customHeight="1">
      <c r="A340" s="220">
        <f t="shared" si="68"/>
        <v>7</v>
      </c>
      <c r="B340" s="37" t="s">
        <v>291</v>
      </c>
      <c r="C340" s="46" t="s">
        <v>108</v>
      </c>
      <c r="D340" s="123">
        <v>60.0</v>
      </c>
      <c r="E340" s="37">
        <v>2.0</v>
      </c>
      <c r="F340" s="40"/>
      <c r="G340" s="40"/>
      <c r="H340" s="40">
        <f t="shared" si="66"/>
        <v>120</v>
      </c>
      <c r="I340" s="40"/>
      <c r="J340" s="64">
        <f t="shared" si="67"/>
        <v>120</v>
      </c>
      <c r="K340" s="46"/>
    </row>
    <row r="341" ht="19.5" customHeight="1">
      <c r="A341" s="220">
        <f t="shared" si="68"/>
        <v>8</v>
      </c>
      <c r="B341" s="37" t="s">
        <v>292</v>
      </c>
      <c r="C341" s="46" t="s">
        <v>106</v>
      </c>
      <c r="D341" s="123">
        <v>0.0</v>
      </c>
      <c r="E341" s="37">
        <v>1.0</v>
      </c>
      <c r="F341" s="40"/>
      <c r="G341" s="40"/>
      <c r="H341" s="40">
        <f t="shared" si="66"/>
        <v>0</v>
      </c>
      <c r="I341" s="40"/>
      <c r="J341" s="64">
        <f t="shared" si="67"/>
        <v>0</v>
      </c>
      <c r="K341" s="46"/>
    </row>
    <row r="342" ht="19.5" customHeight="1">
      <c r="A342" s="220">
        <f t="shared" si="68"/>
        <v>9</v>
      </c>
      <c r="B342" s="37" t="s">
        <v>293</v>
      </c>
      <c r="C342" s="46" t="s">
        <v>106</v>
      </c>
      <c r="D342" s="123">
        <v>2.0</v>
      </c>
      <c r="E342" s="37">
        <v>1.0</v>
      </c>
      <c r="F342" s="40"/>
      <c r="G342" s="40"/>
      <c r="H342" s="40">
        <f t="shared" si="66"/>
        <v>2</v>
      </c>
      <c r="I342" s="40"/>
      <c r="J342" s="64">
        <f t="shared" si="67"/>
        <v>2</v>
      </c>
      <c r="K342" s="46"/>
    </row>
    <row r="343" ht="19.5" customHeight="1">
      <c r="A343" s="220">
        <f t="shared" si="68"/>
        <v>10</v>
      </c>
      <c r="B343" s="37" t="s">
        <v>294</v>
      </c>
      <c r="C343" s="46" t="s">
        <v>106</v>
      </c>
      <c r="D343" s="123">
        <v>2.0</v>
      </c>
      <c r="E343" s="37">
        <v>1.0</v>
      </c>
      <c r="F343" s="40"/>
      <c r="G343" s="40"/>
      <c r="H343" s="40">
        <f t="shared" si="66"/>
        <v>2</v>
      </c>
      <c r="I343" s="40"/>
      <c r="J343" s="64">
        <f t="shared" si="67"/>
        <v>2</v>
      </c>
      <c r="K343" s="46"/>
    </row>
    <row r="344" ht="19.5" customHeight="1">
      <c r="A344" s="220">
        <f t="shared" si="68"/>
        <v>11</v>
      </c>
      <c r="B344" s="37" t="s">
        <v>295</v>
      </c>
      <c r="C344" s="46" t="s">
        <v>106</v>
      </c>
      <c r="D344" s="123">
        <v>2.0</v>
      </c>
      <c r="E344" s="37">
        <v>1.0</v>
      </c>
      <c r="F344" s="40"/>
      <c r="G344" s="40"/>
      <c r="H344" s="40">
        <f t="shared" si="66"/>
        <v>2</v>
      </c>
      <c r="I344" s="40"/>
      <c r="J344" s="64">
        <f t="shared" si="67"/>
        <v>2</v>
      </c>
      <c r="K344" s="46"/>
    </row>
    <row r="345" ht="19.5" customHeight="1">
      <c r="A345" s="220">
        <f t="shared" si="68"/>
        <v>12</v>
      </c>
      <c r="B345" s="37" t="s">
        <v>270</v>
      </c>
      <c r="C345" s="46" t="s">
        <v>106</v>
      </c>
      <c r="D345" s="123">
        <v>2.0</v>
      </c>
      <c r="E345" s="37">
        <v>1.0</v>
      </c>
      <c r="F345" s="40"/>
      <c r="G345" s="40"/>
      <c r="H345" s="40">
        <f t="shared" si="66"/>
        <v>2</v>
      </c>
      <c r="I345" s="40"/>
      <c r="J345" s="64">
        <f t="shared" si="67"/>
        <v>2</v>
      </c>
      <c r="K345" s="46"/>
    </row>
    <row r="346" ht="19.5" customHeight="1">
      <c r="A346" s="220">
        <f t="shared" si="68"/>
        <v>13</v>
      </c>
      <c r="B346" s="37" t="s">
        <v>296</v>
      </c>
      <c r="C346" s="46" t="s">
        <v>106</v>
      </c>
      <c r="D346" s="123">
        <v>2.0</v>
      </c>
      <c r="E346" s="37">
        <v>2.0</v>
      </c>
      <c r="F346" s="40"/>
      <c r="G346" s="40"/>
      <c r="H346" s="40">
        <f t="shared" si="66"/>
        <v>4</v>
      </c>
      <c r="I346" s="40"/>
      <c r="J346" s="64">
        <f t="shared" si="67"/>
        <v>4</v>
      </c>
      <c r="K346" s="46"/>
    </row>
    <row r="347" ht="19.5" customHeight="1">
      <c r="A347" s="220">
        <f t="shared" si="68"/>
        <v>14</v>
      </c>
      <c r="B347" s="37" t="s">
        <v>297</v>
      </c>
      <c r="C347" s="46" t="s">
        <v>106</v>
      </c>
      <c r="D347" s="123">
        <v>4.0</v>
      </c>
      <c r="E347" s="37">
        <v>2.0</v>
      </c>
      <c r="F347" s="40"/>
      <c r="G347" s="40"/>
      <c r="H347" s="40">
        <f t="shared" si="66"/>
        <v>8</v>
      </c>
      <c r="I347" s="40"/>
      <c r="J347" s="64">
        <f t="shared" si="67"/>
        <v>8</v>
      </c>
      <c r="K347" s="46"/>
    </row>
    <row r="348" ht="19.5" customHeight="1">
      <c r="A348" s="220">
        <f t="shared" si="68"/>
        <v>15</v>
      </c>
      <c r="B348" s="37" t="s">
        <v>298</v>
      </c>
      <c r="C348" s="46" t="s">
        <v>106</v>
      </c>
      <c r="D348" s="123">
        <v>2.0</v>
      </c>
      <c r="E348" s="37">
        <v>1.0</v>
      </c>
      <c r="F348" s="40"/>
      <c r="G348" s="40"/>
      <c r="H348" s="40">
        <f t="shared" si="66"/>
        <v>2</v>
      </c>
      <c r="I348" s="40"/>
      <c r="J348" s="64">
        <f t="shared" si="67"/>
        <v>2</v>
      </c>
      <c r="K348" s="46"/>
    </row>
    <row r="349" ht="19.5" customHeight="1">
      <c r="A349" s="220">
        <f t="shared" si="68"/>
        <v>16</v>
      </c>
      <c r="B349" s="37" t="s">
        <v>299</v>
      </c>
      <c r="C349" s="46" t="s">
        <v>106</v>
      </c>
      <c r="D349" s="123">
        <v>2.0</v>
      </c>
      <c r="E349" s="37">
        <v>1.0</v>
      </c>
      <c r="F349" s="40"/>
      <c r="G349" s="40"/>
      <c r="H349" s="40">
        <f t="shared" si="66"/>
        <v>2</v>
      </c>
      <c r="I349" s="40"/>
      <c r="J349" s="64">
        <f t="shared" si="67"/>
        <v>2</v>
      </c>
      <c r="K349" s="46"/>
    </row>
    <row r="350" ht="19.5" customHeight="1">
      <c r="A350" s="220">
        <f t="shared" si="68"/>
        <v>17</v>
      </c>
      <c r="B350" s="37" t="s">
        <v>300</v>
      </c>
      <c r="C350" s="46" t="s">
        <v>106</v>
      </c>
      <c r="D350" s="123">
        <v>2.0</v>
      </c>
      <c r="E350" s="37">
        <v>1.0</v>
      </c>
      <c r="F350" s="40"/>
      <c r="G350" s="40"/>
      <c r="H350" s="40">
        <f t="shared" si="66"/>
        <v>2</v>
      </c>
      <c r="I350" s="40"/>
      <c r="J350" s="64">
        <f t="shared" si="67"/>
        <v>2</v>
      </c>
      <c r="K350" s="46"/>
    </row>
    <row r="351" ht="19.5" customHeight="1">
      <c r="A351" s="220">
        <f t="shared" si="68"/>
        <v>18</v>
      </c>
      <c r="B351" s="37" t="s">
        <v>301</v>
      </c>
      <c r="C351" s="46" t="s">
        <v>106</v>
      </c>
      <c r="D351" s="123">
        <v>2.0</v>
      </c>
      <c r="E351" s="37">
        <v>1.0</v>
      </c>
      <c r="F351" s="40"/>
      <c r="G351" s="40"/>
      <c r="H351" s="40">
        <f t="shared" si="66"/>
        <v>2</v>
      </c>
      <c r="I351" s="40"/>
      <c r="J351" s="64">
        <f t="shared" si="67"/>
        <v>2</v>
      </c>
      <c r="K351" s="46"/>
    </row>
    <row r="352" ht="19.5" customHeight="1">
      <c r="A352" s="220">
        <f t="shared" si="68"/>
        <v>19</v>
      </c>
      <c r="B352" s="37" t="s">
        <v>302</v>
      </c>
      <c r="C352" s="46" t="s">
        <v>106</v>
      </c>
      <c r="D352" s="123">
        <v>2.0</v>
      </c>
      <c r="E352" s="37">
        <v>1.0</v>
      </c>
      <c r="F352" s="40"/>
      <c r="G352" s="40"/>
      <c r="H352" s="40">
        <f t="shared" si="66"/>
        <v>2</v>
      </c>
      <c r="I352" s="40"/>
      <c r="J352" s="64">
        <f t="shared" si="67"/>
        <v>2</v>
      </c>
      <c r="K352" s="46"/>
    </row>
    <row r="353" ht="19.5" customHeight="1">
      <c r="A353" s="220">
        <f t="shared" si="68"/>
        <v>20</v>
      </c>
      <c r="B353" s="37" t="s">
        <v>303</v>
      </c>
      <c r="C353" s="46" t="s">
        <v>106</v>
      </c>
      <c r="D353" s="123">
        <v>1.0</v>
      </c>
      <c r="E353" s="37">
        <v>2.0</v>
      </c>
      <c r="F353" s="40"/>
      <c r="G353" s="40"/>
      <c r="H353" s="40">
        <f t="shared" si="66"/>
        <v>2</v>
      </c>
      <c r="I353" s="40"/>
      <c r="J353" s="64">
        <f t="shared" si="67"/>
        <v>2</v>
      </c>
      <c r="K353" s="46"/>
    </row>
    <row r="354" ht="19.5" customHeight="1">
      <c r="A354" s="220">
        <f t="shared" si="68"/>
        <v>21</v>
      </c>
      <c r="B354" s="37" t="s">
        <v>304</v>
      </c>
      <c r="C354" s="46" t="s">
        <v>106</v>
      </c>
      <c r="D354" s="123">
        <v>4.0</v>
      </c>
      <c r="E354" s="37">
        <v>2.0</v>
      </c>
      <c r="F354" s="40"/>
      <c r="G354" s="40"/>
      <c r="H354" s="40">
        <f t="shared" si="66"/>
        <v>8</v>
      </c>
      <c r="I354" s="40"/>
      <c r="J354" s="64">
        <f t="shared" si="67"/>
        <v>8</v>
      </c>
      <c r="K354" s="46"/>
    </row>
    <row r="355" ht="19.5" customHeight="1">
      <c r="A355" s="220">
        <f t="shared" si="68"/>
        <v>22</v>
      </c>
      <c r="B355" s="37" t="s">
        <v>305</v>
      </c>
      <c r="C355" s="46" t="s">
        <v>106</v>
      </c>
      <c r="D355" s="123">
        <v>0.0</v>
      </c>
      <c r="E355" s="37">
        <v>1.0</v>
      </c>
      <c r="F355" s="40"/>
      <c r="G355" s="40"/>
      <c r="H355" s="40">
        <f t="shared" si="66"/>
        <v>0</v>
      </c>
      <c r="I355" s="40"/>
      <c r="J355" s="64">
        <f t="shared" si="67"/>
        <v>0</v>
      </c>
      <c r="K355" s="46"/>
    </row>
    <row r="356" ht="19.5" customHeight="1">
      <c r="A356" s="220">
        <f t="shared" si="68"/>
        <v>23</v>
      </c>
      <c r="B356" s="37" t="s">
        <v>306</v>
      </c>
      <c r="C356" s="46" t="s">
        <v>106</v>
      </c>
      <c r="D356" s="123">
        <v>2.0</v>
      </c>
      <c r="E356" s="37">
        <v>1.0</v>
      </c>
      <c r="F356" s="40"/>
      <c r="G356" s="40"/>
      <c r="H356" s="40">
        <f t="shared" si="66"/>
        <v>2</v>
      </c>
      <c r="I356" s="40"/>
      <c r="J356" s="64">
        <f t="shared" si="67"/>
        <v>2</v>
      </c>
      <c r="K356" s="46"/>
    </row>
    <row r="357" ht="19.5" customHeight="1">
      <c r="A357" s="220">
        <f t="shared" si="68"/>
        <v>24</v>
      </c>
      <c r="B357" s="37" t="s">
        <v>307</v>
      </c>
      <c r="C357" s="46" t="s">
        <v>106</v>
      </c>
      <c r="D357" s="123">
        <v>2.0</v>
      </c>
      <c r="E357" s="37">
        <v>1.0</v>
      </c>
      <c r="F357" s="40"/>
      <c r="G357" s="40"/>
      <c r="H357" s="40">
        <f t="shared" si="66"/>
        <v>2</v>
      </c>
      <c r="I357" s="40"/>
      <c r="J357" s="64">
        <f t="shared" si="67"/>
        <v>2</v>
      </c>
      <c r="K357" s="46"/>
    </row>
    <row r="358" ht="19.5" customHeight="1">
      <c r="A358" s="220">
        <f t="shared" si="68"/>
        <v>25</v>
      </c>
      <c r="B358" s="37" t="s">
        <v>308</v>
      </c>
      <c r="C358" s="46" t="s">
        <v>106</v>
      </c>
      <c r="D358" s="123">
        <v>2.0</v>
      </c>
      <c r="E358" s="37">
        <v>1.0</v>
      </c>
      <c r="F358" s="40"/>
      <c r="G358" s="40"/>
      <c r="H358" s="40">
        <f t="shared" si="66"/>
        <v>2</v>
      </c>
      <c r="I358" s="40"/>
      <c r="J358" s="64">
        <f t="shared" si="67"/>
        <v>2</v>
      </c>
      <c r="K358" s="46"/>
    </row>
    <row r="359" ht="19.5" customHeight="1">
      <c r="A359" s="220">
        <f t="shared" si="68"/>
        <v>26</v>
      </c>
      <c r="B359" s="37" t="s">
        <v>309</v>
      </c>
      <c r="C359" s="46" t="s">
        <v>106</v>
      </c>
      <c r="D359" s="123">
        <v>4.0</v>
      </c>
      <c r="E359" s="37">
        <v>1.0</v>
      </c>
      <c r="F359" s="40"/>
      <c r="G359" s="40"/>
      <c r="H359" s="40">
        <f t="shared" si="66"/>
        <v>4</v>
      </c>
      <c r="I359" s="40"/>
      <c r="J359" s="64">
        <f t="shared" si="67"/>
        <v>4</v>
      </c>
      <c r="K359" s="46"/>
    </row>
    <row r="360" ht="19.5" customHeight="1">
      <c r="A360" s="220">
        <f t="shared" si="68"/>
        <v>27</v>
      </c>
      <c r="B360" s="37" t="s">
        <v>310</v>
      </c>
      <c r="C360" s="46" t="s">
        <v>106</v>
      </c>
      <c r="D360" s="123">
        <v>2.0</v>
      </c>
      <c r="E360" s="37">
        <v>1.0</v>
      </c>
      <c r="F360" s="40"/>
      <c r="G360" s="40"/>
      <c r="H360" s="40">
        <f t="shared" si="66"/>
        <v>2</v>
      </c>
      <c r="I360" s="40"/>
      <c r="J360" s="64">
        <f t="shared" si="67"/>
        <v>2</v>
      </c>
      <c r="K360" s="46"/>
    </row>
    <row r="361" ht="19.5" customHeight="1">
      <c r="A361" s="220">
        <f t="shared" si="68"/>
        <v>28</v>
      </c>
      <c r="B361" s="37" t="s">
        <v>311</v>
      </c>
      <c r="C361" s="46" t="s">
        <v>106</v>
      </c>
      <c r="D361" s="123">
        <v>4.0</v>
      </c>
      <c r="E361" s="37">
        <v>1.0</v>
      </c>
      <c r="F361" s="40"/>
      <c r="G361" s="40"/>
      <c r="H361" s="40">
        <f t="shared" si="66"/>
        <v>4</v>
      </c>
      <c r="I361" s="40"/>
      <c r="J361" s="64">
        <f t="shared" si="67"/>
        <v>4</v>
      </c>
      <c r="K361" s="46"/>
    </row>
    <row r="362" ht="19.5" customHeight="1">
      <c r="A362" s="220">
        <f t="shared" si="68"/>
        <v>29</v>
      </c>
      <c r="B362" s="37" t="s">
        <v>312</v>
      </c>
      <c r="C362" s="46" t="s">
        <v>106</v>
      </c>
      <c r="D362" s="123">
        <v>11.0</v>
      </c>
      <c r="E362" s="37">
        <v>2.0</v>
      </c>
      <c r="F362" s="40"/>
      <c r="G362" s="40"/>
      <c r="H362" s="40">
        <f t="shared" si="66"/>
        <v>22</v>
      </c>
      <c r="I362" s="40"/>
      <c r="J362" s="64">
        <f t="shared" si="67"/>
        <v>22</v>
      </c>
      <c r="K362" s="46"/>
    </row>
    <row r="363" ht="19.5" customHeight="1">
      <c r="A363" s="220">
        <f t="shared" si="68"/>
        <v>30</v>
      </c>
      <c r="B363" s="37" t="s">
        <v>313</v>
      </c>
      <c r="C363" s="46" t="s">
        <v>106</v>
      </c>
      <c r="D363" s="123">
        <v>20.0</v>
      </c>
      <c r="E363" s="37">
        <v>2.0</v>
      </c>
      <c r="F363" s="40"/>
      <c r="G363" s="40"/>
      <c r="H363" s="40">
        <f t="shared" si="66"/>
        <v>40</v>
      </c>
      <c r="I363" s="40"/>
      <c r="J363" s="64">
        <f t="shared" si="67"/>
        <v>40</v>
      </c>
      <c r="K363" s="46"/>
    </row>
    <row r="364" ht="19.5" customHeight="1">
      <c r="A364" s="220">
        <f t="shared" si="68"/>
        <v>31</v>
      </c>
      <c r="B364" s="37" t="s">
        <v>314</v>
      </c>
      <c r="C364" s="46" t="s">
        <v>106</v>
      </c>
      <c r="D364" s="123">
        <v>2.0</v>
      </c>
      <c r="E364" s="37">
        <v>2.0</v>
      </c>
      <c r="F364" s="40"/>
      <c r="G364" s="40"/>
      <c r="H364" s="40">
        <f t="shared" si="66"/>
        <v>4</v>
      </c>
      <c r="I364" s="40"/>
      <c r="J364" s="64">
        <f t="shared" si="67"/>
        <v>4</v>
      </c>
      <c r="K364" s="46"/>
    </row>
    <row r="365" ht="19.5" customHeight="1">
      <c r="A365" s="220">
        <f t="shared" si="68"/>
        <v>32</v>
      </c>
      <c r="B365" s="37" t="s">
        <v>315</v>
      </c>
      <c r="C365" s="46" t="s">
        <v>106</v>
      </c>
      <c r="D365" s="123">
        <v>4.0</v>
      </c>
      <c r="E365" s="37">
        <v>2.0</v>
      </c>
      <c r="F365" s="40"/>
      <c r="G365" s="40"/>
      <c r="H365" s="40">
        <f t="shared" si="66"/>
        <v>8</v>
      </c>
      <c r="I365" s="40"/>
      <c r="J365" s="64">
        <f t="shared" si="67"/>
        <v>8</v>
      </c>
      <c r="K365" s="46"/>
    </row>
    <row r="366" ht="19.5" customHeight="1">
      <c r="A366" s="220">
        <f t="shared" si="68"/>
        <v>33</v>
      </c>
      <c r="B366" s="37" t="s">
        <v>316</v>
      </c>
      <c r="C366" s="46" t="s">
        <v>106</v>
      </c>
      <c r="D366" s="123"/>
      <c r="E366" s="37">
        <v>1.0</v>
      </c>
      <c r="F366" s="40"/>
      <c r="G366" s="40"/>
      <c r="H366" s="40">
        <f t="shared" si="66"/>
        <v>0</v>
      </c>
      <c r="I366" s="40"/>
      <c r="J366" s="64">
        <f t="shared" si="67"/>
        <v>0</v>
      </c>
      <c r="K366" s="46"/>
    </row>
    <row r="367" ht="19.5" customHeight="1">
      <c r="A367" s="220">
        <f t="shared" si="68"/>
        <v>34</v>
      </c>
      <c r="B367" s="37" t="s">
        <v>317</v>
      </c>
      <c r="C367" s="46" t="s">
        <v>106</v>
      </c>
      <c r="D367" s="123">
        <v>2.0</v>
      </c>
      <c r="E367" s="37">
        <v>2.0</v>
      </c>
      <c r="F367" s="40"/>
      <c r="G367" s="40"/>
      <c r="H367" s="40">
        <f t="shared" si="66"/>
        <v>4</v>
      </c>
      <c r="I367" s="40"/>
      <c r="J367" s="64">
        <f t="shared" si="67"/>
        <v>4</v>
      </c>
      <c r="K367" s="46"/>
    </row>
    <row r="368" ht="19.5" customHeight="1">
      <c r="A368" s="220">
        <f t="shared" si="68"/>
        <v>35</v>
      </c>
      <c r="B368" s="37" t="s">
        <v>318</v>
      </c>
      <c r="C368" s="46" t="s">
        <v>106</v>
      </c>
      <c r="D368" s="123">
        <v>1.0</v>
      </c>
      <c r="E368" s="37">
        <v>1.0</v>
      </c>
      <c r="F368" s="40"/>
      <c r="G368" s="40"/>
      <c r="H368" s="40">
        <f t="shared" si="66"/>
        <v>1</v>
      </c>
      <c r="I368" s="40"/>
      <c r="J368" s="64">
        <f t="shared" si="67"/>
        <v>1</v>
      </c>
      <c r="K368" s="46"/>
    </row>
    <row r="369" ht="19.5" customHeight="1">
      <c r="A369" s="220">
        <f t="shared" si="68"/>
        <v>36</v>
      </c>
      <c r="B369" s="37" t="s">
        <v>319</v>
      </c>
      <c r="C369" s="46" t="s">
        <v>106</v>
      </c>
      <c r="D369" s="123">
        <v>23.0</v>
      </c>
      <c r="E369" s="37">
        <v>2.0</v>
      </c>
      <c r="F369" s="40"/>
      <c r="G369" s="40"/>
      <c r="H369" s="40">
        <f t="shared" si="66"/>
        <v>46</v>
      </c>
      <c r="I369" s="40"/>
      <c r="J369" s="64">
        <f t="shared" si="67"/>
        <v>46</v>
      </c>
      <c r="K369" s="46"/>
    </row>
    <row r="370" ht="19.5" customHeight="1">
      <c r="A370" s="220">
        <f t="shared" si="68"/>
        <v>37</v>
      </c>
      <c r="B370" s="37" t="s">
        <v>320</v>
      </c>
      <c r="C370" s="46" t="s">
        <v>106</v>
      </c>
      <c r="D370" s="123">
        <v>8.0</v>
      </c>
      <c r="E370" s="37">
        <v>2.0</v>
      </c>
      <c r="F370" s="40"/>
      <c r="G370" s="40"/>
      <c r="H370" s="40">
        <f t="shared" si="66"/>
        <v>16</v>
      </c>
      <c r="I370" s="40"/>
      <c r="J370" s="64">
        <f t="shared" si="67"/>
        <v>16</v>
      </c>
      <c r="K370" s="46"/>
    </row>
    <row r="371" ht="19.5" customHeight="1">
      <c r="A371" s="220">
        <f t="shared" si="68"/>
        <v>38</v>
      </c>
      <c r="B371" s="37" t="s">
        <v>321</v>
      </c>
      <c r="C371" s="46" t="s">
        <v>106</v>
      </c>
      <c r="D371" s="123">
        <v>8.0</v>
      </c>
      <c r="E371" s="37">
        <v>2.0</v>
      </c>
      <c r="F371" s="40"/>
      <c r="G371" s="40"/>
      <c r="H371" s="40">
        <f t="shared" si="66"/>
        <v>16</v>
      </c>
      <c r="I371" s="40"/>
      <c r="J371" s="64">
        <f t="shared" si="67"/>
        <v>16</v>
      </c>
      <c r="K371" s="46"/>
    </row>
    <row r="372" ht="19.5" customHeight="1">
      <c r="A372" s="220">
        <f t="shared" si="68"/>
        <v>39</v>
      </c>
      <c r="B372" s="37" t="s">
        <v>322</v>
      </c>
      <c r="C372" s="46" t="s">
        <v>106</v>
      </c>
      <c r="D372" s="123"/>
      <c r="E372" s="37">
        <v>1.0</v>
      </c>
      <c r="F372" s="40"/>
      <c r="G372" s="40"/>
      <c r="H372" s="40">
        <f t="shared" si="66"/>
        <v>0</v>
      </c>
      <c r="I372" s="40"/>
      <c r="J372" s="64">
        <f t="shared" si="67"/>
        <v>0</v>
      </c>
      <c r="K372" s="46"/>
    </row>
    <row r="373" ht="19.5" customHeight="1">
      <c r="A373" s="220">
        <f t="shared" si="68"/>
        <v>40</v>
      </c>
      <c r="B373" s="37" t="s">
        <v>323</v>
      </c>
      <c r="C373" s="46" t="s">
        <v>108</v>
      </c>
      <c r="D373" s="123">
        <v>100.0</v>
      </c>
      <c r="E373" s="37">
        <v>2.0</v>
      </c>
      <c r="F373" s="40"/>
      <c r="G373" s="40"/>
      <c r="H373" s="40">
        <f t="shared" si="66"/>
        <v>200</v>
      </c>
      <c r="I373" s="40"/>
      <c r="J373" s="64">
        <f t="shared" si="67"/>
        <v>200</v>
      </c>
      <c r="K373" s="46"/>
    </row>
    <row r="374" ht="19.5" customHeight="1">
      <c r="A374" s="220">
        <f t="shared" si="68"/>
        <v>41</v>
      </c>
      <c r="B374" s="37" t="s">
        <v>324</v>
      </c>
      <c r="C374" s="46" t="s">
        <v>325</v>
      </c>
      <c r="D374" s="123">
        <v>10.0</v>
      </c>
      <c r="E374" s="37">
        <v>2.0</v>
      </c>
      <c r="F374" s="40"/>
      <c r="G374" s="40"/>
      <c r="H374" s="40">
        <f t="shared" si="66"/>
        <v>20</v>
      </c>
      <c r="I374" s="40"/>
      <c r="J374" s="64">
        <f t="shared" si="67"/>
        <v>20</v>
      </c>
      <c r="K374" s="46"/>
    </row>
    <row r="375" ht="19.5" customHeight="1">
      <c r="A375" s="221"/>
      <c r="C375" s="12"/>
      <c r="D375" s="87"/>
      <c r="F375" s="14"/>
      <c r="G375" s="14"/>
      <c r="H375" s="14"/>
      <c r="I375" s="14"/>
      <c r="J375" s="14"/>
      <c r="K375" s="12"/>
    </row>
    <row r="376" ht="19.5" customHeight="1">
      <c r="A376" s="216" t="s">
        <v>1</v>
      </c>
      <c r="B376" s="74" t="s">
        <v>91</v>
      </c>
      <c r="C376" s="74" t="s">
        <v>92</v>
      </c>
      <c r="D376" s="76" t="s">
        <v>93</v>
      </c>
      <c r="E376" s="50" t="s">
        <v>161</v>
      </c>
      <c r="F376" s="53" t="s">
        <v>121</v>
      </c>
      <c r="G376" s="53" t="s">
        <v>99</v>
      </c>
      <c r="H376" s="53" t="s">
        <v>100</v>
      </c>
      <c r="I376" s="53" t="s">
        <v>101</v>
      </c>
      <c r="J376" s="76" t="s">
        <v>95</v>
      </c>
      <c r="K376" s="74" t="s">
        <v>96</v>
      </c>
    </row>
    <row r="377" ht="19.5" customHeight="1">
      <c r="A377" s="220">
        <v>1.0</v>
      </c>
      <c r="B377" s="37" t="s">
        <v>326</v>
      </c>
      <c r="C377" s="46" t="s">
        <v>108</v>
      </c>
      <c r="D377" s="78">
        <v>8.0</v>
      </c>
      <c r="E377" s="37">
        <v>2.0</v>
      </c>
      <c r="F377" s="78"/>
      <c r="G377" s="40"/>
      <c r="H377" s="40">
        <f t="shared" ref="H377:H380" si="69">E377*D377</f>
        <v>16</v>
      </c>
      <c r="I377" s="42"/>
      <c r="J377" s="43">
        <f t="shared" ref="J377:J380" si="70">H377</f>
        <v>16</v>
      </c>
      <c r="K377" s="46"/>
    </row>
    <row r="378" ht="19.5" customHeight="1">
      <c r="A378" s="220">
        <v>2.0</v>
      </c>
      <c r="B378" s="37" t="s">
        <v>327</v>
      </c>
      <c r="C378" s="46"/>
      <c r="D378" s="123">
        <v>3.0</v>
      </c>
      <c r="E378" s="37">
        <v>2.0</v>
      </c>
      <c r="F378" s="40"/>
      <c r="G378" s="40"/>
      <c r="H378" s="40">
        <f t="shared" si="69"/>
        <v>6</v>
      </c>
      <c r="I378" s="40"/>
      <c r="J378" s="43">
        <f t="shared" si="70"/>
        <v>6</v>
      </c>
      <c r="K378" s="46"/>
    </row>
    <row r="379" ht="19.5" customHeight="1">
      <c r="A379" s="220">
        <v>3.0</v>
      </c>
      <c r="B379" s="37" t="s">
        <v>379</v>
      </c>
      <c r="C379" s="46"/>
      <c r="D379" s="123">
        <v>3.0</v>
      </c>
      <c r="E379" s="37">
        <v>2.0</v>
      </c>
      <c r="F379" s="40"/>
      <c r="G379" s="40"/>
      <c r="H379" s="40">
        <f t="shared" si="69"/>
        <v>6</v>
      </c>
      <c r="I379" s="40"/>
      <c r="J379" s="43">
        <f t="shared" si="70"/>
        <v>6</v>
      </c>
      <c r="K379" s="46"/>
    </row>
    <row r="380" ht="19.5" customHeight="1">
      <c r="A380" s="220">
        <v>4.0</v>
      </c>
      <c r="B380" s="37" t="s">
        <v>330</v>
      </c>
      <c r="C380" s="46" t="s">
        <v>103</v>
      </c>
      <c r="D380" s="123">
        <v>9.0</v>
      </c>
      <c r="E380" s="37">
        <v>2.0</v>
      </c>
      <c r="F380" s="40"/>
      <c r="G380" s="40"/>
      <c r="H380" s="40">
        <f t="shared" si="69"/>
        <v>18</v>
      </c>
      <c r="I380" s="40"/>
      <c r="J380" s="43">
        <f t="shared" si="70"/>
        <v>18</v>
      </c>
      <c r="K380" s="46"/>
    </row>
    <row r="381" ht="19.5" customHeight="1">
      <c r="A381" s="221"/>
      <c r="C381" s="12"/>
      <c r="D381" s="87"/>
      <c r="F381" s="14"/>
      <c r="G381" s="14"/>
      <c r="H381" s="14"/>
      <c r="I381" s="14"/>
      <c r="J381" s="14"/>
      <c r="K381" s="12"/>
    </row>
    <row r="382" ht="19.5" customHeight="1">
      <c r="A382" s="221"/>
      <c r="C382" s="12"/>
      <c r="D382" s="87"/>
      <c r="F382" s="14"/>
      <c r="G382" s="14"/>
      <c r="H382" s="14"/>
      <c r="I382" s="14"/>
      <c r="J382" s="14"/>
      <c r="K382" s="12"/>
    </row>
    <row r="383" ht="19.5" customHeight="1">
      <c r="A383" s="221"/>
      <c r="C383" s="12"/>
      <c r="D383" s="87"/>
      <c r="F383" s="14"/>
      <c r="G383" s="14"/>
      <c r="H383" s="14"/>
      <c r="I383" s="14"/>
      <c r="J383" s="14"/>
      <c r="K383" s="12"/>
    </row>
    <row r="384" ht="19.5" customHeight="1">
      <c r="A384" s="221"/>
      <c r="C384" s="12"/>
      <c r="D384" s="87"/>
      <c r="F384" s="14"/>
      <c r="G384" s="14"/>
      <c r="H384" s="14"/>
      <c r="I384" s="14"/>
      <c r="J384" s="14"/>
      <c r="K384" s="12"/>
    </row>
    <row r="385" ht="19.5" customHeight="1">
      <c r="A385" s="221"/>
      <c r="C385" s="12"/>
      <c r="D385" s="87"/>
      <c r="F385" s="14"/>
      <c r="G385" s="14"/>
      <c r="H385" s="14"/>
      <c r="I385" s="14"/>
      <c r="J385" s="14"/>
      <c r="K385" s="12"/>
    </row>
    <row r="386" ht="19.5" customHeight="1">
      <c r="A386" s="221"/>
      <c r="C386" s="12"/>
      <c r="D386" s="87"/>
      <c r="F386" s="14"/>
      <c r="G386" s="14"/>
      <c r="H386" s="14"/>
      <c r="I386" s="14"/>
      <c r="J386" s="14"/>
      <c r="K386" s="12"/>
    </row>
    <row r="387" ht="19.5" customHeight="1">
      <c r="A387" s="221"/>
      <c r="C387" s="12"/>
      <c r="D387" s="87"/>
      <c r="F387" s="14"/>
      <c r="G387" s="14"/>
      <c r="H387" s="14"/>
      <c r="I387" s="14"/>
      <c r="J387" s="14"/>
      <c r="K387" s="12"/>
    </row>
    <row r="388" ht="19.5" customHeight="1">
      <c r="A388" s="221"/>
      <c r="C388" s="12"/>
      <c r="D388" s="87"/>
      <c r="F388" s="14"/>
      <c r="G388" s="14"/>
      <c r="H388" s="14"/>
      <c r="I388" s="14"/>
      <c r="J388" s="14"/>
      <c r="K388" s="12"/>
    </row>
    <row r="389" ht="19.5" customHeight="1">
      <c r="A389" s="221"/>
      <c r="C389" s="12"/>
      <c r="D389" s="87"/>
      <c r="F389" s="14"/>
      <c r="G389" s="14"/>
      <c r="H389" s="14"/>
      <c r="I389" s="14"/>
      <c r="J389" s="14"/>
      <c r="K389" s="12"/>
    </row>
    <row r="390" ht="19.5" customHeight="1">
      <c r="A390" s="221"/>
      <c r="C390" s="12"/>
      <c r="D390" s="87"/>
      <c r="F390" s="14"/>
      <c r="G390" s="14"/>
      <c r="H390" s="14"/>
      <c r="I390" s="14"/>
      <c r="J390" s="14"/>
      <c r="K390" s="12"/>
    </row>
    <row r="391" ht="19.5" customHeight="1">
      <c r="A391" s="221"/>
      <c r="C391" s="12"/>
      <c r="D391" s="87"/>
      <c r="F391" s="14"/>
      <c r="G391" s="14"/>
      <c r="H391" s="14"/>
      <c r="I391" s="14"/>
      <c r="J391" s="14"/>
      <c r="K391" s="12"/>
    </row>
    <row r="392" ht="19.5" customHeight="1">
      <c r="A392" s="221"/>
      <c r="C392" s="12"/>
      <c r="D392" s="87"/>
      <c r="F392" s="14"/>
      <c r="G392" s="14"/>
      <c r="H392" s="14"/>
      <c r="I392" s="14"/>
      <c r="J392" s="14"/>
      <c r="K392" s="12"/>
    </row>
    <row r="393" ht="19.5" customHeight="1">
      <c r="A393" s="221"/>
      <c r="C393" s="12"/>
      <c r="D393" s="87"/>
      <c r="F393" s="14"/>
      <c r="G393" s="14"/>
      <c r="H393" s="14"/>
      <c r="I393" s="14"/>
      <c r="J393" s="14"/>
      <c r="K393" s="12"/>
    </row>
    <row r="394" ht="19.5" customHeight="1">
      <c r="A394" s="221"/>
      <c r="C394" s="12"/>
      <c r="D394" s="87"/>
      <c r="F394" s="14"/>
      <c r="G394" s="14"/>
      <c r="H394" s="14"/>
      <c r="I394" s="14"/>
      <c r="J394" s="14"/>
      <c r="K394" s="12"/>
    </row>
    <row r="395" ht="19.5" customHeight="1">
      <c r="A395" s="221"/>
      <c r="C395" s="12"/>
      <c r="D395" s="87"/>
      <c r="F395" s="14"/>
      <c r="G395" s="14"/>
      <c r="H395" s="14"/>
      <c r="I395" s="14"/>
      <c r="J395" s="14"/>
      <c r="K395" s="12"/>
    </row>
    <row r="396" ht="19.5" customHeight="1">
      <c r="A396" s="221"/>
      <c r="C396" s="12"/>
      <c r="D396" s="87"/>
      <c r="F396" s="14"/>
      <c r="G396" s="14"/>
      <c r="H396" s="14"/>
      <c r="I396" s="14"/>
      <c r="J396" s="14"/>
      <c r="K396" s="12"/>
    </row>
    <row r="397" ht="19.5" customHeight="1">
      <c r="A397" s="221"/>
      <c r="C397" s="12"/>
      <c r="D397" s="87"/>
      <c r="F397" s="14"/>
      <c r="G397" s="14"/>
      <c r="H397" s="14"/>
      <c r="I397" s="14"/>
      <c r="J397" s="14"/>
      <c r="K397" s="12"/>
    </row>
    <row r="398" ht="19.5" customHeight="1">
      <c r="A398" s="221"/>
      <c r="C398" s="12"/>
      <c r="D398" s="87"/>
      <c r="F398" s="14"/>
      <c r="G398" s="14"/>
      <c r="H398" s="14"/>
      <c r="I398" s="14"/>
      <c r="J398" s="14"/>
      <c r="K398" s="12"/>
    </row>
    <row r="399" ht="19.5" customHeight="1">
      <c r="A399" s="221"/>
      <c r="C399" s="12"/>
      <c r="D399" s="87"/>
      <c r="F399" s="14"/>
      <c r="G399" s="14"/>
      <c r="H399" s="14"/>
      <c r="I399" s="14"/>
      <c r="J399" s="14"/>
      <c r="K399" s="12"/>
    </row>
    <row r="400" ht="19.5" customHeight="1">
      <c r="A400" s="221"/>
      <c r="C400" s="12"/>
      <c r="D400" s="87"/>
      <c r="F400" s="14"/>
      <c r="G400" s="14"/>
      <c r="H400" s="14"/>
      <c r="I400" s="14"/>
      <c r="J400" s="14"/>
      <c r="K400" s="12"/>
    </row>
    <row r="401" ht="19.5" customHeight="1">
      <c r="A401" s="221"/>
      <c r="C401" s="12"/>
      <c r="D401" s="87"/>
      <c r="F401" s="14"/>
      <c r="G401" s="14"/>
      <c r="H401" s="14"/>
      <c r="I401" s="14"/>
      <c r="J401" s="14"/>
      <c r="K401" s="12"/>
    </row>
    <row r="402" ht="19.5" customHeight="1">
      <c r="A402" s="221"/>
      <c r="C402" s="12"/>
      <c r="D402" s="87"/>
      <c r="F402" s="14"/>
      <c r="G402" s="14"/>
      <c r="H402" s="14"/>
      <c r="I402" s="14"/>
      <c r="J402" s="14"/>
      <c r="K402" s="12"/>
    </row>
    <row r="403" ht="19.5" customHeight="1">
      <c r="A403" s="221"/>
      <c r="C403" s="12"/>
      <c r="D403" s="87"/>
      <c r="F403" s="14"/>
      <c r="G403" s="14"/>
      <c r="H403" s="14"/>
      <c r="I403" s="14"/>
      <c r="J403" s="14"/>
      <c r="K403" s="12"/>
    </row>
    <row r="404" ht="19.5" customHeight="1">
      <c r="A404" s="221"/>
      <c r="C404" s="12"/>
      <c r="D404" s="87"/>
      <c r="F404" s="14"/>
      <c r="G404" s="14"/>
      <c r="H404" s="14"/>
      <c r="I404" s="14"/>
      <c r="J404" s="14"/>
      <c r="K404" s="12"/>
    </row>
    <row r="405" ht="19.5" customHeight="1">
      <c r="A405" s="221"/>
      <c r="C405" s="12"/>
      <c r="D405" s="87"/>
      <c r="F405" s="14"/>
      <c r="G405" s="14"/>
      <c r="H405" s="14"/>
      <c r="I405" s="14"/>
      <c r="J405" s="14"/>
      <c r="K405" s="12"/>
    </row>
    <row r="406" ht="19.5" customHeight="1">
      <c r="A406" s="221"/>
      <c r="C406" s="12"/>
      <c r="D406" s="87"/>
      <c r="F406" s="14"/>
      <c r="G406" s="14"/>
      <c r="H406" s="14"/>
      <c r="I406" s="14"/>
      <c r="J406" s="14"/>
      <c r="K406" s="12"/>
    </row>
    <row r="407" ht="19.5" customHeight="1">
      <c r="A407" s="221"/>
      <c r="C407" s="12"/>
      <c r="D407" s="87"/>
      <c r="F407" s="14"/>
      <c r="G407" s="14"/>
      <c r="H407" s="14"/>
      <c r="I407" s="14"/>
      <c r="J407" s="14"/>
      <c r="K407" s="12"/>
    </row>
    <row r="408" ht="19.5" customHeight="1">
      <c r="A408" s="221"/>
      <c r="C408" s="12"/>
      <c r="D408" s="87"/>
      <c r="F408" s="14"/>
      <c r="G408" s="14"/>
      <c r="H408" s="14"/>
      <c r="I408" s="14"/>
      <c r="J408" s="14"/>
      <c r="K408" s="12"/>
    </row>
    <row r="409" ht="19.5" customHeight="1">
      <c r="A409" s="221"/>
      <c r="C409" s="12"/>
      <c r="D409" s="87"/>
      <c r="F409" s="14"/>
      <c r="G409" s="14"/>
      <c r="H409" s="14"/>
      <c r="I409" s="14"/>
      <c r="J409" s="14"/>
      <c r="K409" s="12"/>
    </row>
    <row r="410" ht="19.5" customHeight="1">
      <c r="A410" s="221"/>
      <c r="C410" s="12"/>
      <c r="D410" s="87"/>
      <c r="F410" s="14"/>
      <c r="G410" s="14"/>
      <c r="H410" s="14"/>
      <c r="I410" s="14"/>
      <c r="J410" s="14"/>
      <c r="K410" s="12"/>
    </row>
    <row r="411" ht="19.5" customHeight="1">
      <c r="A411" s="221"/>
      <c r="C411" s="12"/>
      <c r="D411" s="87"/>
      <c r="F411" s="14"/>
      <c r="G411" s="14"/>
      <c r="H411" s="14"/>
      <c r="I411" s="14"/>
      <c r="J411" s="14"/>
      <c r="K411" s="12"/>
    </row>
    <row r="412" ht="19.5" customHeight="1">
      <c r="A412" s="221"/>
      <c r="C412" s="12"/>
      <c r="D412" s="87"/>
      <c r="F412" s="14"/>
      <c r="G412" s="14"/>
      <c r="H412" s="14"/>
      <c r="I412" s="14"/>
      <c r="J412" s="14"/>
      <c r="K412" s="12"/>
    </row>
    <row r="413" ht="19.5" customHeight="1">
      <c r="A413" s="221"/>
      <c r="C413" s="12"/>
      <c r="D413" s="87"/>
      <c r="F413" s="14"/>
      <c r="G413" s="14"/>
      <c r="H413" s="14"/>
      <c r="I413" s="14"/>
      <c r="J413" s="14"/>
      <c r="K413" s="12"/>
    </row>
    <row r="414" ht="19.5" customHeight="1">
      <c r="A414" s="221"/>
      <c r="C414" s="12"/>
      <c r="D414" s="87"/>
      <c r="F414" s="14"/>
      <c r="G414" s="14"/>
      <c r="H414" s="14"/>
      <c r="I414" s="14"/>
      <c r="J414" s="14"/>
      <c r="K414" s="12"/>
    </row>
    <row r="415" ht="19.5" customHeight="1">
      <c r="A415" s="221"/>
      <c r="C415" s="12"/>
      <c r="D415" s="87"/>
      <c r="F415" s="14"/>
      <c r="G415" s="14"/>
      <c r="H415" s="14"/>
      <c r="I415" s="14"/>
      <c r="J415" s="14"/>
      <c r="K415" s="12"/>
    </row>
    <row r="416" ht="19.5" customHeight="1">
      <c r="A416" s="221"/>
      <c r="C416" s="12"/>
      <c r="D416" s="87"/>
      <c r="F416" s="14"/>
      <c r="G416" s="14"/>
      <c r="H416" s="14"/>
      <c r="I416" s="14"/>
      <c r="J416" s="14"/>
      <c r="K416" s="12"/>
    </row>
    <row r="417" ht="19.5" customHeight="1">
      <c r="A417" s="221"/>
      <c r="C417" s="12"/>
      <c r="D417" s="87"/>
      <c r="F417" s="14"/>
      <c r="G417" s="14"/>
      <c r="H417" s="14"/>
      <c r="I417" s="14"/>
      <c r="J417" s="14"/>
      <c r="K417" s="12"/>
    </row>
    <row r="418" ht="19.5" customHeight="1">
      <c r="A418" s="221"/>
      <c r="C418" s="12"/>
      <c r="D418" s="87"/>
      <c r="F418" s="14"/>
      <c r="G418" s="14"/>
      <c r="H418" s="14"/>
      <c r="I418" s="14"/>
      <c r="J418" s="14"/>
      <c r="K418" s="12"/>
    </row>
    <row r="419" ht="19.5" customHeight="1">
      <c r="A419" s="221"/>
      <c r="C419" s="12"/>
      <c r="D419" s="87"/>
      <c r="F419" s="14"/>
      <c r="G419" s="14"/>
      <c r="H419" s="14"/>
      <c r="I419" s="14"/>
      <c r="J419" s="14"/>
      <c r="K419" s="12"/>
    </row>
    <row r="420" ht="19.5" customHeight="1">
      <c r="A420" s="221"/>
      <c r="C420" s="12"/>
      <c r="D420" s="87"/>
      <c r="F420" s="14"/>
      <c r="G420" s="14"/>
      <c r="H420" s="14"/>
      <c r="I420" s="14"/>
      <c r="J420" s="14"/>
      <c r="K420" s="12"/>
    </row>
    <row r="421" ht="19.5" customHeight="1">
      <c r="A421" s="221"/>
      <c r="C421" s="12"/>
      <c r="D421" s="87"/>
      <c r="F421" s="14"/>
      <c r="G421" s="14"/>
      <c r="H421" s="14"/>
      <c r="I421" s="14"/>
      <c r="J421" s="14"/>
      <c r="K421" s="12"/>
    </row>
    <row r="422" ht="19.5" customHeight="1">
      <c r="A422" s="221"/>
      <c r="C422" s="12"/>
      <c r="D422" s="87"/>
      <c r="F422" s="14"/>
      <c r="G422" s="14"/>
      <c r="H422" s="14"/>
      <c r="I422" s="14"/>
      <c r="J422" s="14"/>
      <c r="K422" s="12"/>
    </row>
    <row r="423" ht="19.5" customHeight="1">
      <c r="A423" s="221"/>
      <c r="C423" s="12"/>
      <c r="D423" s="87"/>
      <c r="F423" s="14"/>
      <c r="G423" s="14"/>
      <c r="H423" s="14"/>
      <c r="I423" s="14"/>
      <c r="J423" s="14"/>
      <c r="K423" s="12"/>
    </row>
    <row r="424" ht="19.5" customHeight="1">
      <c r="A424" s="221"/>
      <c r="C424" s="12"/>
      <c r="D424" s="87"/>
      <c r="F424" s="14"/>
      <c r="G424" s="14"/>
      <c r="H424" s="14"/>
      <c r="I424" s="14"/>
      <c r="J424" s="14"/>
      <c r="K424" s="12"/>
    </row>
    <row r="425" ht="19.5" customHeight="1">
      <c r="A425" s="221"/>
      <c r="C425" s="12"/>
      <c r="D425" s="87"/>
      <c r="F425" s="14"/>
      <c r="G425" s="14"/>
      <c r="H425" s="14"/>
      <c r="I425" s="14"/>
      <c r="J425" s="14"/>
      <c r="K425" s="12"/>
    </row>
    <row r="426" ht="19.5" customHeight="1">
      <c r="A426" s="221"/>
      <c r="C426" s="12"/>
      <c r="D426" s="87"/>
      <c r="F426" s="14"/>
      <c r="G426" s="14"/>
      <c r="H426" s="14"/>
      <c r="I426" s="14"/>
      <c r="J426" s="14"/>
      <c r="K426" s="12"/>
    </row>
    <row r="427" ht="19.5" customHeight="1">
      <c r="A427" s="221"/>
      <c r="C427" s="12"/>
      <c r="D427" s="87"/>
      <c r="F427" s="14"/>
      <c r="G427" s="14"/>
      <c r="H427" s="14"/>
      <c r="I427" s="14"/>
      <c r="J427" s="14"/>
      <c r="K427" s="12"/>
    </row>
    <row r="428" ht="19.5" customHeight="1">
      <c r="A428" s="221"/>
      <c r="C428" s="12"/>
      <c r="D428" s="87"/>
      <c r="F428" s="14"/>
      <c r="G428" s="14"/>
      <c r="H428" s="14"/>
      <c r="I428" s="14"/>
      <c r="J428" s="14"/>
      <c r="K428" s="12"/>
    </row>
    <row r="429" ht="19.5" customHeight="1">
      <c r="A429" s="221"/>
      <c r="C429" s="12"/>
      <c r="D429" s="87"/>
      <c r="F429" s="14"/>
      <c r="G429" s="14"/>
      <c r="H429" s="14"/>
      <c r="I429" s="14"/>
      <c r="J429" s="14"/>
      <c r="K429" s="12"/>
    </row>
    <row r="430" ht="19.5" customHeight="1">
      <c r="A430" s="221"/>
      <c r="C430" s="12"/>
      <c r="D430" s="87"/>
      <c r="F430" s="14"/>
      <c r="G430" s="14"/>
      <c r="H430" s="14"/>
      <c r="I430" s="14"/>
      <c r="J430" s="14"/>
      <c r="K430" s="12"/>
    </row>
    <row r="431" ht="19.5" customHeight="1">
      <c r="A431" s="221"/>
      <c r="C431" s="12"/>
      <c r="D431" s="87"/>
      <c r="F431" s="14"/>
      <c r="G431" s="14"/>
      <c r="H431" s="14"/>
      <c r="I431" s="14"/>
      <c r="J431" s="14"/>
      <c r="K431" s="12"/>
    </row>
    <row r="432" ht="19.5" customHeight="1">
      <c r="A432" s="221"/>
      <c r="C432" s="12"/>
      <c r="D432" s="87"/>
      <c r="F432" s="14"/>
      <c r="G432" s="14"/>
      <c r="H432" s="14"/>
      <c r="I432" s="14"/>
      <c r="J432" s="14"/>
      <c r="K432" s="12"/>
    </row>
    <row r="433" ht="19.5" customHeight="1">
      <c r="A433" s="221"/>
      <c r="C433" s="12"/>
      <c r="D433" s="87"/>
      <c r="F433" s="14"/>
      <c r="G433" s="14"/>
      <c r="H433" s="14"/>
      <c r="I433" s="14"/>
      <c r="J433" s="14"/>
      <c r="K433" s="12"/>
    </row>
    <row r="434" ht="19.5" customHeight="1">
      <c r="A434" s="221"/>
      <c r="C434" s="12"/>
      <c r="D434" s="87"/>
      <c r="F434" s="14"/>
      <c r="G434" s="14"/>
      <c r="H434" s="14"/>
      <c r="I434" s="14"/>
      <c r="J434" s="14"/>
      <c r="K434" s="12"/>
    </row>
    <row r="435" ht="19.5" customHeight="1">
      <c r="A435" s="221"/>
      <c r="C435" s="12"/>
      <c r="D435" s="87"/>
      <c r="F435" s="14"/>
      <c r="G435" s="14"/>
      <c r="H435" s="14"/>
      <c r="I435" s="14"/>
      <c r="J435" s="14"/>
      <c r="K435" s="12"/>
    </row>
    <row r="436" ht="19.5" customHeight="1">
      <c r="A436" s="221"/>
      <c r="C436" s="12"/>
      <c r="D436" s="87"/>
      <c r="F436" s="14"/>
      <c r="G436" s="14"/>
      <c r="H436" s="14"/>
      <c r="I436" s="14"/>
      <c r="J436" s="14"/>
      <c r="K436" s="12"/>
    </row>
    <row r="437" ht="19.5" customHeight="1">
      <c r="A437" s="221"/>
      <c r="C437" s="12"/>
      <c r="D437" s="87"/>
      <c r="F437" s="14"/>
      <c r="G437" s="14"/>
      <c r="H437" s="14"/>
      <c r="I437" s="14"/>
      <c r="J437" s="14"/>
      <c r="K437" s="12"/>
    </row>
    <row r="438" ht="19.5" customHeight="1">
      <c r="A438" s="221"/>
      <c r="C438" s="12"/>
      <c r="D438" s="87"/>
      <c r="F438" s="14"/>
      <c r="G438" s="14"/>
      <c r="H438" s="14"/>
      <c r="I438" s="14"/>
      <c r="J438" s="14"/>
      <c r="K438" s="12"/>
    </row>
    <row r="439" ht="19.5" customHeight="1">
      <c r="A439" s="221"/>
      <c r="C439" s="12"/>
      <c r="D439" s="87"/>
      <c r="F439" s="14"/>
      <c r="G439" s="14"/>
      <c r="H439" s="14"/>
      <c r="I439" s="14"/>
      <c r="J439" s="14"/>
      <c r="K439" s="12"/>
    </row>
    <row r="440" ht="19.5" customHeight="1">
      <c r="A440" s="221"/>
      <c r="C440" s="12"/>
      <c r="D440" s="87"/>
      <c r="F440" s="14"/>
      <c r="G440" s="14"/>
      <c r="H440" s="14"/>
      <c r="I440" s="14"/>
      <c r="J440" s="14"/>
      <c r="K440" s="12"/>
    </row>
    <row r="441" ht="19.5" customHeight="1">
      <c r="A441" s="221"/>
      <c r="C441" s="12"/>
      <c r="D441" s="87"/>
      <c r="F441" s="14"/>
      <c r="G441" s="14"/>
      <c r="H441" s="14"/>
      <c r="I441" s="14"/>
      <c r="J441" s="14"/>
      <c r="K441" s="12"/>
    </row>
    <row r="442" ht="19.5" customHeight="1">
      <c r="A442" s="221"/>
      <c r="C442" s="12"/>
      <c r="D442" s="87"/>
      <c r="F442" s="14"/>
      <c r="G442" s="14"/>
      <c r="H442" s="14"/>
      <c r="I442" s="14"/>
      <c r="J442" s="14"/>
      <c r="K442" s="12"/>
    </row>
    <row r="443" ht="19.5" customHeight="1">
      <c r="A443" s="221"/>
      <c r="C443" s="12"/>
      <c r="D443" s="87"/>
      <c r="F443" s="14"/>
      <c r="G443" s="14"/>
      <c r="H443" s="14"/>
      <c r="I443" s="14"/>
      <c r="J443" s="14"/>
      <c r="K443" s="12"/>
    </row>
    <row r="444" ht="19.5" customHeight="1">
      <c r="A444" s="221"/>
      <c r="C444" s="12"/>
      <c r="D444" s="87"/>
      <c r="F444" s="14"/>
      <c r="G444" s="14"/>
      <c r="H444" s="14"/>
      <c r="I444" s="14"/>
      <c r="J444" s="14"/>
      <c r="K444" s="12"/>
    </row>
    <row r="445" ht="19.5" customHeight="1">
      <c r="A445" s="221"/>
      <c r="C445" s="12"/>
      <c r="D445" s="87"/>
      <c r="F445" s="14"/>
      <c r="G445" s="14"/>
      <c r="H445" s="14"/>
      <c r="I445" s="14"/>
      <c r="J445" s="14"/>
      <c r="K445" s="12"/>
    </row>
    <row r="446" ht="19.5" customHeight="1">
      <c r="A446" s="221"/>
      <c r="C446" s="12"/>
      <c r="D446" s="87"/>
      <c r="F446" s="14"/>
      <c r="G446" s="14"/>
      <c r="H446" s="14"/>
      <c r="I446" s="14"/>
      <c r="J446" s="14"/>
      <c r="K446" s="12"/>
    </row>
    <row r="447" ht="19.5" customHeight="1">
      <c r="A447" s="221"/>
      <c r="C447" s="12"/>
      <c r="D447" s="87"/>
      <c r="F447" s="14"/>
      <c r="G447" s="14"/>
      <c r="H447" s="14"/>
      <c r="I447" s="14"/>
      <c r="J447" s="14"/>
      <c r="K447" s="12"/>
    </row>
    <row r="448" ht="19.5" customHeight="1">
      <c r="A448" s="221"/>
      <c r="C448" s="12"/>
      <c r="D448" s="87"/>
      <c r="F448" s="14"/>
      <c r="G448" s="14"/>
      <c r="H448" s="14"/>
      <c r="I448" s="14"/>
      <c r="J448" s="14"/>
      <c r="K448" s="12"/>
    </row>
    <row r="449" ht="19.5" customHeight="1">
      <c r="A449" s="221"/>
      <c r="C449" s="12"/>
      <c r="D449" s="87"/>
      <c r="F449" s="14"/>
      <c r="G449" s="14"/>
      <c r="H449" s="14"/>
      <c r="I449" s="14"/>
      <c r="J449" s="14"/>
      <c r="K449" s="12"/>
    </row>
    <row r="450" ht="19.5" customHeight="1">
      <c r="A450" s="221"/>
      <c r="C450" s="12"/>
      <c r="D450" s="87"/>
      <c r="F450" s="14"/>
      <c r="G450" s="14"/>
      <c r="H450" s="14"/>
      <c r="I450" s="14"/>
      <c r="J450" s="14"/>
      <c r="K450" s="12"/>
    </row>
    <row r="451" ht="19.5" customHeight="1">
      <c r="A451" s="221"/>
      <c r="C451" s="12"/>
      <c r="D451" s="87"/>
      <c r="F451" s="14"/>
      <c r="G451" s="14"/>
      <c r="H451" s="14"/>
      <c r="I451" s="14"/>
      <c r="J451" s="14"/>
      <c r="K451" s="12"/>
    </row>
    <row r="452" ht="19.5" customHeight="1">
      <c r="A452" s="221"/>
      <c r="C452" s="12"/>
      <c r="D452" s="87"/>
      <c r="F452" s="14"/>
      <c r="G452" s="14"/>
      <c r="H452" s="14"/>
      <c r="I452" s="14"/>
      <c r="J452" s="14"/>
      <c r="K452" s="12"/>
    </row>
    <row r="453" ht="19.5" customHeight="1">
      <c r="A453" s="221"/>
      <c r="C453" s="12"/>
      <c r="D453" s="87"/>
      <c r="F453" s="14"/>
      <c r="G453" s="14"/>
      <c r="H453" s="14"/>
      <c r="I453" s="14"/>
      <c r="J453" s="14"/>
      <c r="K453" s="12"/>
    </row>
    <row r="454" ht="19.5" customHeight="1">
      <c r="A454" s="221"/>
      <c r="C454" s="12"/>
      <c r="D454" s="87"/>
      <c r="F454" s="14"/>
      <c r="G454" s="14"/>
      <c r="H454" s="14"/>
      <c r="I454" s="14"/>
      <c r="J454" s="14"/>
      <c r="K454" s="12"/>
    </row>
    <row r="455" ht="19.5" customHeight="1">
      <c r="A455" s="221"/>
      <c r="C455" s="12"/>
      <c r="D455" s="87"/>
      <c r="F455" s="14"/>
      <c r="G455" s="14"/>
      <c r="H455" s="14"/>
      <c r="I455" s="14"/>
      <c r="J455" s="14"/>
      <c r="K455" s="12"/>
    </row>
    <row r="456" ht="19.5" customHeight="1">
      <c r="A456" s="221"/>
      <c r="C456" s="12"/>
      <c r="D456" s="87"/>
      <c r="F456" s="14"/>
      <c r="G456" s="14"/>
      <c r="H456" s="14"/>
      <c r="I456" s="14"/>
      <c r="J456" s="14"/>
      <c r="K456" s="12"/>
    </row>
    <row r="457" ht="19.5" customHeight="1">
      <c r="A457" s="221"/>
      <c r="C457" s="12"/>
      <c r="D457" s="87"/>
      <c r="F457" s="14"/>
      <c r="G457" s="14"/>
      <c r="H457" s="14"/>
      <c r="I457" s="14"/>
      <c r="J457" s="14"/>
      <c r="K457" s="12"/>
    </row>
    <row r="458" ht="19.5" customHeight="1">
      <c r="A458" s="221"/>
      <c r="C458" s="12"/>
      <c r="D458" s="87"/>
      <c r="F458" s="14"/>
      <c r="G458" s="14"/>
      <c r="H458" s="14"/>
      <c r="I458" s="14"/>
      <c r="J458" s="14"/>
      <c r="K458" s="12"/>
    </row>
    <row r="459" ht="19.5" customHeight="1">
      <c r="A459" s="221"/>
      <c r="C459" s="12"/>
      <c r="D459" s="87"/>
      <c r="F459" s="14"/>
      <c r="G459" s="14"/>
      <c r="H459" s="14"/>
      <c r="I459" s="14"/>
      <c r="J459" s="14"/>
      <c r="K459" s="12"/>
    </row>
    <row r="460" ht="19.5" customHeight="1">
      <c r="A460" s="221"/>
      <c r="C460" s="12"/>
      <c r="D460" s="87"/>
      <c r="F460" s="14"/>
      <c r="G460" s="14"/>
      <c r="H460" s="14"/>
      <c r="I460" s="14"/>
      <c r="J460" s="14"/>
      <c r="K460" s="12"/>
    </row>
    <row r="461" ht="19.5" customHeight="1">
      <c r="A461" s="221"/>
      <c r="C461" s="12"/>
      <c r="D461" s="87"/>
      <c r="F461" s="14"/>
      <c r="G461" s="14"/>
      <c r="H461" s="14"/>
      <c r="I461" s="14"/>
      <c r="J461" s="14"/>
      <c r="K461" s="12"/>
    </row>
    <row r="462" ht="19.5" customHeight="1">
      <c r="A462" s="221"/>
      <c r="C462" s="12"/>
      <c r="D462" s="87"/>
      <c r="F462" s="14"/>
      <c r="G462" s="14"/>
      <c r="H462" s="14"/>
      <c r="I462" s="14"/>
      <c r="J462" s="14"/>
      <c r="K462" s="12"/>
    </row>
    <row r="463" ht="19.5" customHeight="1">
      <c r="A463" s="221"/>
      <c r="C463" s="12"/>
      <c r="D463" s="87"/>
      <c r="F463" s="14"/>
      <c r="G463" s="14"/>
      <c r="H463" s="14"/>
      <c r="I463" s="14"/>
      <c r="J463" s="14"/>
      <c r="K463" s="12"/>
    </row>
    <row r="464" ht="19.5" customHeight="1">
      <c r="A464" s="221"/>
      <c r="C464" s="12"/>
      <c r="D464" s="87"/>
      <c r="F464" s="14"/>
      <c r="G464" s="14"/>
      <c r="H464" s="14"/>
      <c r="I464" s="14"/>
      <c r="J464" s="14"/>
      <c r="K464" s="12"/>
    </row>
    <row r="465" ht="19.5" customHeight="1">
      <c r="A465" s="221"/>
      <c r="C465" s="12"/>
      <c r="D465" s="87"/>
      <c r="F465" s="14"/>
      <c r="G465" s="14"/>
      <c r="H465" s="14"/>
      <c r="I465" s="14"/>
      <c r="J465" s="14"/>
      <c r="K465" s="12"/>
    </row>
    <row r="466" ht="19.5" customHeight="1">
      <c r="A466" s="221"/>
      <c r="C466" s="12"/>
      <c r="D466" s="87"/>
      <c r="F466" s="14"/>
      <c r="G466" s="14"/>
      <c r="H466" s="14"/>
      <c r="I466" s="14"/>
      <c r="J466" s="14"/>
      <c r="K466" s="12"/>
    </row>
    <row r="467" ht="19.5" customHeight="1">
      <c r="A467" s="221"/>
      <c r="C467" s="12"/>
      <c r="D467" s="87"/>
      <c r="F467" s="14"/>
      <c r="G467" s="14"/>
      <c r="H467" s="14"/>
      <c r="I467" s="14"/>
      <c r="J467" s="14"/>
      <c r="K467" s="12"/>
    </row>
    <row r="468" ht="19.5" customHeight="1">
      <c r="A468" s="221"/>
      <c r="C468" s="12"/>
      <c r="D468" s="87"/>
      <c r="F468" s="14"/>
      <c r="G468" s="14"/>
      <c r="H468" s="14"/>
      <c r="I468" s="14"/>
      <c r="J468" s="14"/>
      <c r="K468" s="12"/>
    </row>
    <row r="469" ht="19.5" customHeight="1">
      <c r="A469" s="221"/>
      <c r="C469" s="12"/>
      <c r="D469" s="87"/>
      <c r="F469" s="14"/>
      <c r="G469" s="14"/>
      <c r="H469" s="14"/>
      <c r="I469" s="14"/>
      <c r="J469" s="14"/>
      <c r="K469" s="12"/>
    </row>
    <row r="470" ht="19.5" customHeight="1">
      <c r="A470" s="221"/>
      <c r="C470" s="12"/>
      <c r="D470" s="87"/>
      <c r="F470" s="14"/>
      <c r="G470" s="14"/>
      <c r="H470" s="14"/>
      <c r="I470" s="14"/>
      <c r="J470" s="14"/>
      <c r="K470" s="12"/>
    </row>
    <row r="471" ht="19.5" customHeight="1">
      <c r="A471" s="221"/>
      <c r="C471" s="12"/>
      <c r="D471" s="87"/>
      <c r="F471" s="14"/>
      <c r="G471" s="14"/>
      <c r="H471" s="14"/>
      <c r="I471" s="14"/>
      <c r="J471" s="14"/>
      <c r="K471" s="12"/>
    </row>
    <row r="472" ht="19.5" customHeight="1">
      <c r="A472" s="221"/>
      <c r="C472" s="12"/>
      <c r="D472" s="87"/>
      <c r="F472" s="14"/>
      <c r="G472" s="14"/>
      <c r="H472" s="14"/>
      <c r="I472" s="14"/>
      <c r="J472" s="14"/>
      <c r="K472" s="12"/>
    </row>
    <row r="473" ht="19.5" customHeight="1">
      <c r="A473" s="221"/>
      <c r="C473" s="12"/>
      <c r="D473" s="87"/>
      <c r="F473" s="14"/>
      <c r="G473" s="14"/>
      <c r="H473" s="14"/>
      <c r="I473" s="14"/>
      <c r="J473" s="14"/>
      <c r="K473" s="12"/>
    </row>
    <row r="474" ht="19.5" customHeight="1">
      <c r="A474" s="221"/>
      <c r="C474" s="12"/>
      <c r="D474" s="87"/>
      <c r="F474" s="14"/>
      <c r="G474" s="14"/>
      <c r="H474" s="14"/>
      <c r="I474" s="14"/>
      <c r="J474" s="14"/>
      <c r="K474" s="12"/>
    </row>
    <row r="475" ht="19.5" customHeight="1">
      <c r="A475" s="221"/>
      <c r="C475" s="12"/>
      <c r="D475" s="87"/>
      <c r="F475" s="14"/>
      <c r="G475" s="14"/>
      <c r="H475" s="14"/>
      <c r="I475" s="14"/>
      <c r="J475" s="14"/>
      <c r="K475" s="12"/>
    </row>
    <row r="476" ht="19.5" customHeight="1">
      <c r="A476" s="221"/>
      <c r="C476" s="12"/>
      <c r="D476" s="87"/>
      <c r="F476" s="14"/>
      <c r="G476" s="14"/>
      <c r="H476" s="14"/>
      <c r="I476" s="14"/>
      <c r="J476" s="14"/>
      <c r="K476" s="12"/>
    </row>
    <row r="477" ht="19.5" customHeight="1">
      <c r="A477" s="221"/>
      <c r="C477" s="12"/>
      <c r="D477" s="87"/>
      <c r="F477" s="14"/>
      <c r="G477" s="14"/>
      <c r="H477" s="14"/>
      <c r="I477" s="14"/>
      <c r="J477" s="14"/>
      <c r="K477" s="12"/>
    </row>
    <row r="478" ht="19.5" customHeight="1">
      <c r="A478" s="221"/>
      <c r="C478" s="12"/>
      <c r="D478" s="87"/>
      <c r="F478" s="14"/>
      <c r="G478" s="14"/>
      <c r="H478" s="14"/>
      <c r="I478" s="14"/>
      <c r="J478" s="14"/>
      <c r="K478" s="12"/>
    </row>
    <row r="479" ht="19.5" customHeight="1">
      <c r="A479" s="221"/>
      <c r="C479" s="12"/>
      <c r="D479" s="87"/>
      <c r="F479" s="14"/>
      <c r="G479" s="14"/>
      <c r="H479" s="14"/>
      <c r="I479" s="14"/>
      <c r="J479" s="14"/>
      <c r="K479" s="12"/>
    </row>
    <row r="480" ht="19.5" customHeight="1">
      <c r="A480" s="221"/>
      <c r="C480" s="12"/>
      <c r="D480" s="87"/>
      <c r="F480" s="14"/>
      <c r="G480" s="14"/>
      <c r="H480" s="14"/>
      <c r="I480" s="14"/>
      <c r="J480" s="14"/>
      <c r="K480" s="12"/>
    </row>
    <row r="481" ht="19.5" customHeight="1">
      <c r="A481" s="221"/>
      <c r="C481" s="12"/>
      <c r="D481" s="87"/>
      <c r="F481" s="14"/>
      <c r="G481" s="14"/>
      <c r="H481" s="14"/>
      <c r="I481" s="14"/>
      <c r="J481" s="14"/>
      <c r="K481" s="12"/>
    </row>
    <row r="482" ht="19.5" customHeight="1">
      <c r="A482" s="221"/>
      <c r="C482" s="12"/>
      <c r="D482" s="87"/>
      <c r="F482" s="14"/>
      <c r="G482" s="14"/>
      <c r="H482" s="14"/>
      <c r="I482" s="14"/>
      <c r="J482" s="14"/>
      <c r="K482" s="12"/>
    </row>
    <row r="483" ht="19.5" customHeight="1">
      <c r="A483" s="221"/>
      <c r="C483" s="12"/>
      <c r="D483" s="87"/>
      <c r="F483" s="14"/>
      <c r="G483" s="14"/>
      <c r="H483" s="14"/>
      <c r="I483" s="14"/>
      <c r="J483" s="14"/>
      <c r="K483" s="12"/>
    </row>
    <row r="484" ht="19.5" customHeight="1">
      <c r="A484" s="221"/>
      <c r="C484" s="12"/>
      <c r="D484" s="87"/>
      <c r="F484" s="14"/>
      <c r="G484" s="14"/>
      <c r="H484" s="14"/>
      <c r="I484" s="14"/>
      <c r="J484" s="14"/>
      <c r="K484" s="12"/>
    </row>
    <row r="485" ht="19.5" customHeight="1">
      <c r="A485" s="221"/>
      <c r="C485" s="12"/>
      <c r="D485" s="87"/>
      <c r="F485" s="14"/>
      <c r="G485" s="14"/>
      <c r="H485" s="14"/>
      <c r="I485" s="14"/>
      <c r="J485" s="14"/>
      <c r="K485" s="12"/>
    </row>
    <row r="486" ht="19.5" customHeight="1">
      <c r="A486" s="221"/>
      <c r="C486" s="12"/>
      <c r="D486" s="87"/>
      <c r="F486" s="14"/>
      <c r="G486" s="14"/>
      <c r="H486" s="14"/>
      <c r="I486" s="14"/>
      <c r="J486" s="14"/>
      <c r="K486" s="12"/>
    </row>
    <row r="487" ht="19.5" customHeight="1">
      <c r="A487" s="221"/>
      <c r="C487" s="12"/>
      <c r="D487" s="87"/>
      <c r="F487" s="14"/>
      <c r="G487" s="14"/>
      <c r="H487" s="14"/>
      <c r="I487" s="14"/>
      <c r="J487" s="14"/>
      <c r="K487" s="12"/>
    </row>
    <row r="488" ht="19.5" customHeight="1">
      <c r="A488" s="221"/>
      <c r="C488" s="12"/>
      <c r="D488" s="87"/>
      <c r="F488" s="14"/>
      <c r="G488" s="14"/>
      <c r="H488" s="14"/>
      <c r="I488" s="14"/>
      <c r="J488" s="14"/>
      <c r="K488" s="12"/>
    </row>
    <row r="489" ht="19.5" customHeight="1">
      <c r="A489" s="221"/>
      <c r="C489" s="12"/>
      <c r="D489" s="87"/>
      <c r="F489" s="14"/>
      <c r="G489" s="14"/>
      <c r="H489" s="14"/>
      <c r="I489" s="14"/>
      <c r="J489" s="14"/>
      <c r="K489" s="12"/>
    </row>
    <row r="490" ht="19.5" customHeight="1">
      <c r="A490" s="221"/>
      <c r="C490" s="12"/>
      <c r="D490" s="87"/>
      <c r="F490" s="14"/>
      <c r="G490" s="14"/>
      <c r="H490" s="14"/>
      <c r="I490" s="14"/>
      <c r="J490" s="14"/>
      <c r="K490" s="12"/>
    </row>
    <row r="491" ht="19.5" customHeight="1">
      <c r="A491" s="221"/>
      <c r="C491" s="12"/>
      <c r="D491" s="87"/>
      <c r="F491" s="14"/>
      <c r="G491" s="14"/>
      <c r="H491" s="14"/>
      <c r="I491" s="14"/>
      <c r="J491" s="14"/>
      <c r="K491" s="12"/>
    </row>
    <row r="492" ht="19.5" customHeight="1">
      <c r="A492" s="221"/>
      <c r="C492" s="12"/>
      <c r="D492" s="87"/>
      <c r="F492" s="14"/>
      <c r="G492" s="14"/>
      <c r="H492" s="14"/>
      <c r="I492" s="14"/>
      <c r="J492" s="14"/>
      <c r="K492" s="12"/>
    </row>
    <row r="493" ht="19.5" customHeight="1">
      <c r="A493" s="221"/>
      <c r="C493" s="12"/>
      <c r="D493" s="87"/>
      <c r="F493" s="14"/>
      <c r="G493" s="14"/>
      <c r="H493" s="14"/>
      <c r="I493" s="14"/>
      <c r="J493" s="14"/>
      <c r="K493" s="12"/>
    </row>
    <row r="494" ht="19.5" customHeight="1">
      <c r="A494" s="221"/>
      <c r="C494" s="12"/>
      <c r="D494" s="87"/>
      <c r="F494" s="14"/>
      <c r="G494" s="14"/>
      <c r="H494" s="14"/>
      <c r="I494" s="14"/>
      <c r="J494" s="14"/>
      <c r="K494" s="12"/>
    </row>
    <row r="495" ht="19.5" customHeight="1">
      <c r="A495" s="221"/>
      <c r="C495" s="12"/>
      <c r="D495" s="87"/>
      <c r="F495" s="14"/>
      <c r="G495" s="14"/>
      <c r="H495" s="14"/>
      <c r="I495" s="14"/>
      <c r="J495" s="14"/>
      <c r="K495" s="12"/>
    </row>
    <row r="496" ht="19.5" customHeight="1">
      <c r="A496" s="221"/>
      <c r="C496" s="12"/>
      <c r="D496" s="87"/>
      <c r="F496" s="14"/>
      <c r="G496" s="14"/>
      <c r="H496" s="14"/>
      <c r="I496" s="14"/>
      <c r="J496" s="14"/>
      <c r="K496" s="12"/>
    </row>
    <row r="497" ht="19.5" customHeight="1">
      <c r="A497" s="221"/>
      <c r="C497" s="12"/>
      <c r="D497" s="87"/>
      <c r="F497" s="14"/>
      <c r="G497" s="14"/>
      <c r="H497" s="14"/>
      <c r="I497" s="14"/>
      <c r="J497" s="14"/>
      <c r="K497" s="12"/>
    </row>
    <row r="498" ht="19.5" customHeight="1">
      <c r="A498" s="221"/>
      <c r="C498" s="12"/>
      <c r="D498" s="87"/>
      <c r="F498" s="14"/>
      <c r="G498" s="14"/>
      <c r="H498" s="14"/>
      <c r="I498" s="14"/>
      <c r="J498" s="14"/>
      <c r="K498" s="12"/>
    </row>
    <row r="499" ht="19.5" customHeight="1">
      <c r="A499" s="221"/>
      <c r="C499" s="12"/>
      <c r="D499" s="87"/>
      <c r="F499" s="14"/>
      <c r="G499" s="14"/>
      <c r="H499" s="14"/>
      <c r="I499" s="14"/>
      <c r="J499" s="14"/>
      <c r="K499" s="12"/>
    </row>
    <row r="500" ht="19.5" customHeight="1">
      <c r="A500" s="221"/>
      <c r="C500" s="12"/>
      <c r="D500" s="87"/>
      <c r="F500" s="14"/>
      <c r="G500" s="14"/>
      <c r="H500" s="14"/>
      <c r="I500" s="14"/>
      <c r="J500" s="14"/>
      <c r="K500" s="12"/>
    </row>
    <row r="501" ht="19.5" customHeight="1">
      <c r="A501" s="221"/>
      <c r="C501" s="12"/>
      <c r="D501" s="87"/>
      <c r="F501" s="14"/>
      <c r="G501" s="14"/>
      <c r="H501" s="14"/>
      <c r="I501" s="14"/>
      <c r="J501" s="14"/>
      <c r="K501" s="12"/>
    </row>
    <row r="502" ht="19.5" customHeight="1">
      <c r="A502" s="221"/>
      <c r="C502" s="12"/>
      <c r="D502" s="87"/>
      <c r="F502" s="14"/>
      <c r="G502" s="14"/>
      <c r="H502" s="14"/>
      <c r="I502" s="14"/>
      <c r="J502" s="14"/>
      <c r="K502" s="12"/>
    </row>
    <row r="503" ht="19.5" customHeight="1">
      <c r="A503" s="221"/>
      <c r="C503" s="12"/>
      <c r="D503" s="87"/>
      <c r="F503" s="14"/>
      <c r="G503" s="14"/>
      <c r="H503" s="14"/>
      <c r="I503" s="14"/>
      <c r="J503" s="14"/>
      <c r="K503" s="12"/>
    </row>
    <row r="504" ht="19.5" customHeight="1">
      <c r="A504" s="221"/>
      <c r="C504" s="12"/>
      <c r="D504" s="87"/>
      <c r="F504" s="14"/>
      <c r="G504" s="14"/>
      <c r="H504" s="14"/>
      <c r="I504" s="14"/>
      <c r="J504" s="14"/>
      <c r="K504" s="12"/>
    </row>
    <row r="505" ht="19.5" customHeight="1">
      <c r="A505" s="221"/>
      <c r="C505" s="12"/>
      <c r="D505" s="87"/>
      <c r="F505" s="14"/>
      <c r="G505" s="14"/>
      <c r="H505" s="14"/>
      <c r="I505" s="14"/>
      <c r="J505" s="14"/>
      <c r="K505" s="12"/>
    </row>
    <row r="506" ht="19.5" customHeight="1">
      <c r="A506" s="221"/>
      <c r="C506" s="12"/>
      <c r="D506" s="87"/>
      <c r="F506" s="14"/>
      <c r="G506" s="14"/>
      <c r="H506" s="14"/>
      <c r="I506" s="14"/>
      <c r="J506" s="14"/>
      <c r="K506" s="12"/>
    </row>
    <row r="507" ht="19.5" customHeight="1">
      <c r="A507" s="221"/>
      <c r="C507" s="12"/>
      <c r="D507" s="87"/>
      <c r="F507" s="14"/>
      <c r="G507" s="14"/>
      <c r="H507" s="14"/>
      <c r="I507" s="14"/>
      <c r="J507" s="14"/>
      <c r="K507" s="12"/>
    </row>
    <row r="508" ht="19.5" customHeight="1">
      <c r="A508" s="221"/>
      <c r="C508" s="12"/>
      <c r="D508" s="87"/>
      <c r="F508" s="14"/>
      <c r="G508" s="14"/>
      <c r="H508" s="14"/>
      <c r="I508" s="14"/>
      <c r="J508" s="14"/>
      <c r="K508" s="12"/>
    </row>
    <row r="509" ht="19.5" customHeight="1">
      <c r="A509" s="221"/>
      <c r="C509" s="12"/>
      <c r="D509" s="87"/>
      <c r="F509" s="14"/>
      <c r="G509" s="14"/>
      <c r="H509" s="14"/>
      <c r="I509" s="14"/>
      <c r="J509" s="14"/>
      <c r="K509" s="12"/>
    </row>
    <row r="510" ht="19.5" customHeight="1">
      <c r="A510" s="221"/>
      <c r="C510" s="12"/>
      <c r="D510" s="87"/>
      <c r="F510" s="14"/>
      <c r="G510" s="14"/>
      <c r="H510" s="14"/>
      <c r="I510" s="14"/>
      <c r="J510" s="14"/>
      <c r="K510" s="12"/>
    </row>
    <row r="511" ht="19.5" customHeight="1">
      <c r="A511" s="221"/>
      <c r="C511" s="12"/>
      <c r="D511" s="87"/>
      <c r="F511" s="14"/>
      <c r="G511" s="14"/>
      <c r="H511" s="14"/>
      <c r="I511" s="14"/>
      <c r="J511" s="14"/>
      <c r="K511" s="12"/>
    </row>
    <row r="512" ht="19.5" customHeight="1">
      <c r="A512" s="221"/>
      <c r="C512" s="12"/>
      <c r="D512" s="87"/>
      <c r="F512" s="14"/>
      <c r="G512" s="14"/>
      <c r="H512" s="14"/>
      <c r="I512" s="14"/>
      <c r="J512" s="14"/>
      <c r="K512" s="12"/>
    </row>
    <row r="513" ht="19.5" customHeight="1">
      <c r="A513" s="221"/>
      <c r="C513" s="12"/>
      <c r="D513" s="87"/>
      <c r="F513" s="14"/>
      <c r="G513" s="14"/>
      <c r="H513" s="14"/>
      <c r="I513" s="14"/>
      <c r="J513" s="14"/>
      <c r="K513" s="12"/>
    </row>
    <row r="514" ht="19.5" customHeight="1">
      <c r="A514" s="221"/>
      <c r="C514" s="12"/>
      <c r="D514" s="87"/>
      <c r="F514" s="14"/>
      <c r="G514" s="14"/>
      <c r="H514" s="14"/>
      <c r="I514" s="14"/>
      <c r="J514" s="14"/>
      <c r="K514" s="12"/>
    </row>
    <row r="515" ht="19.5" customHeight="1">
      <c r="A515" s="221"/>
      <c r="C515" s="12"/>
      <c r="D515" s="87"/>
      <c r="F515" s="14"/>
      <c r="G515" s="14"/>
      <c r="H515" s="14"/>
      <c r="I515" s="14"/>
      <c r="J515" s="14"/>
      <c r="K515" s="12"/>
    </row>
    <row r="516" ht="19.5" customHeight="1">
      <c r="A516" s="221"/>
      <c r="C516" s="12"/>
      <c r="D516" s="87"/>
      <c r="F516" s="14"/>
      <c r="G516" s="14"/>
      <c r="H516" s="14"/>
      <c r="I516" s="14"/>
      <c r="J516" s="14"/>
      <c r="K516" s="12"/>
    </row>
    <row r="517" ht="19.5" customHeight="1">
      <c r="A517" s="221"/>
      <c r="C517" s="12"/>
      <c r="D517" s="87"/>
      <c r="F517" s="14"/>
      <c r="G517" s="14"/>
      <c r="H517" s="14"/>
      <c r="I517" s="14"/>
      <c r="J517" s="14"/>
      <c r="K517" s="12"/>
    </row>
    <row r="518" ht="19.5" customHeight="1">
      <c r="A518" s="221"/>
      <c r="C518" s="12"/>
      <c r="D518" s="87"/>
      <c r="F518" s="14"/>
      <c r="G518" s="14"/>
      <c r="H518" s="14"/>
      <c r="I518" s="14"/>
      <c r="J518" s="14"/>
      <c r="K518" s="12"/>
    </row>
    <row r="519" ht="19.5" customHeight="1">
      <c r="A519" s="221"/>
      <c r="C519" s="12"/>
      <c r="D519" s="87"/>
      <c r="F519" s="14"/>
      <c r="G519" s="14"/>
      <c r="H519" s="14"/>
      <c r="I519" s="14"/>
      <c r="J519" s="14"/>
      <c r="K519" s="12"/>
    </row>
    <row r="520" ht="19.5" customHeight="1">
      <c r="A520" s="221"/>
      <c r="C520" s="12"/>
      <c r="D520" s="87"/>
      <c r="F520" s="14"/>
      <c r="G520" s="14"/>
      <c r="H520" s="14"/>
      <c r="I520" s="14"/>
      <c r="J520" s="14"/>
      <c r="K520" s="12"/>
    </row>
    <row r="521" ht="19.5" customHeight="1">
      <c r="A521" s="221"/>
      <c r="C521" s="12"/>
      <c r="D521" s="87"/>
      <c r="F521" s="14"/>
      <c r="G521" s="14"/>
      <c r="H521" s="14"/>
      <c r="I521" s="14"/>
      <c r="J521" s="14"/>
      <c r="K521" s="12"/>
    </row>
    <row r="522" ht="19.5" customHeight="1">
      <c r="A522" s="221"/>
      <c r="C522" s="12"/>
      <c r="D522" s="87"/>
      <c r="F522" s="14"/>
      <c r="G522" s="14"/>
      <c r="H522" s="14"/>
      <c r="I522" s="14"/>
      <c r="J522" s="14"/>
      <c r="K522" s="12"/>
    </row>
    <row r="523" ht="19.5" customHeight="1">
      <c r="A523" s="221"/>
      <c r="C523" s="12"/>
      <c r="D523" s="87"/>
      <c r="F523" s="14"/>
      <c r="G523" s="14"/>
      <c r="H523" s="14"/>
      <c r="I523" s="14"/>
      <c r="J523" s="14"/>
      <c r="K523" s="12"/>
    </row>
    <row r="524" ht="19.5" customHeight="1">
      <c r="A524" s="221"/>
      <c r="C524" s="12"/>
      <c r="D524" s="87"/>
      <c r="F524" s="14"/>
      <c r="G524" s="14"/>
      <c r="H524" s="14"/>
      <c r="I524" s="14"/>
      <c r="J524" s="14"/>
      <c r="K524" s="12"/>
    </row>
    <row r="525" ht="19.5" customHeight="1">
      <c r="A525" s="221"/>
      <c r="C525" s="12"/>
      <c r="D525" s="87"/>
      <c r="F525" s="14"/>
      <c r="G525" s="14"/>
      <c r="H525" s="14"/>
      <c r="I525" s="14"/>
      <c r="J525" s="14"/>
      <c r="K525" s="12"/>
    </row>
    <row r="526" ht="19.5" customHeight="1">
      <c r="A526" s="221"/>
      <c r="C526" s="12"/>
      <c r="D526" s="87"/>
      <c r="F526" s="14"/>
      <c r="G526" s="14"/>
      <c r="H526" s="14"/>
      <c r="I526" s="14"/>
      <c r="J526" s="14"/>
      <c r="K526" s="12"/>
    </row>
    <row r="527" ht="19.5" customHeight="1">
      <c r="A527" s="221"/>
      <c r="C527" s="12"/>
      <c r="D527" s="87"/>
      <c r="F527" s="14"/>
      <c r="G527" s="14"/>
      <c r="H527" s="14"/>
      <c r="I527" s="14"/>
      <c r="J527" s="14"/>
      <c r="K527" s="12"/>
    </row>
    <row r="528" ht="19.5" customHeight="1">
      <c r="A528" s="221"/>
      <c r="C528" s="12"/>
      <c r="D528" s="87"/>
      <c r="F528" s="14"/>
      <c r="G528" s="14"/>
      <c r="H528" s="14"/>
      <c r="I528" s="14"/>
      <c r="J528" s="14"/>
      <c r="K528" s="12"/>
    </row>
    <row r="529" ht="19.5" customHeight="1">
      <c r="A529" s="221"/>
      <c r="C529" s="12"/>
      <c r="D529" s="87"/>
      <c r="F529" s="14"/>
      <c r="G529" s="14"/>
      <c r="H529" s="14"/>
      <c r="I529" s="14"/>
      <c r="J529" s="14"/>
      <c r="K529" s="12"/>
    </row>
    <row r="530" ht="19.5" customHeight="1">
      <c r="A530" s="221"/>
      <c r="C530" s="12"/>
      <c r="D530" s="87"/>
      <c r="F530" s="14"/>
      <c r="G530" s="14"/>
      <c r="H530" s="14"/>
      <c r="I530" s="14"/>
      <c r="J530" s="14"/>
      <c r="K530" s="12"/>
    </row>
    <row r="531" ht="19.5" customHeight="1">
      <c r="A531" s="221"/>
      <c r="C531" s="12"/>
      <c r="D531" s="87"/>
      <c r="F531" s="14"/>
      <c r="G531" s="14"/>
      <c r="H531" s="14"/>
      <c r="I531" s="14"/>
      <c r="J531" s="14"/>
      <c r="K531" s="12"/>
    </row>
    <row r="532" ht="19.5" customHeight="1">
      <c r="A532" s="221"/>
      <c r="C532" s="12"/>
      <c r="D532" s="87"/>
      <c r="F532" s="14"/>
      <c r="G532" s="14"/>
      <c r="H532" s="14"/>
      <c r="I532" s="14"/>
      <c r="J532" s="14"/>
      <c r="K532" s="12"/>
    </row>
    <row r="533" ht="19.5" customHeight="1">
      <c r="A533" s="221"/>
      <c r="C533" s="12"/>
      <c r="D533" s="87"/>
      <c r="F533" s="14"/>
      <c r="G533" s="14"/>
      <c r="H533" s="14"/>
      <c r="I533" s="14"/>
      <c r="J533" s="14"/>
      <c r="K533" s="12"/>
    </row>
    <row r="534" ht="19.5" customHeight="1">
      <c r="A534" s="221"/>
      <c r="C534" s="12"/>
      <c r="D534" s="87"/>
      <c r="F534" s="14"/>
      <c r="G534" s="14"/>
      <c r="H534" s="14"/>
      <c r="I534" s="14"/>
      <c r="J534" s="14"/>
      <c r="K534" s="12"/>
    </row>
    <row r="535" ht="19.5" customHeight="1">
      <c r="A535" s="221"/>
      <c r="C535" s="12"/>
      <c r="D535" s="87"/>
      <c r="F535" s="14"/>
      <c r="G535" s="14"/>
      <c r="H535" s="14"/>
      <c r="I535" s="14"/>
      <c r="J535" s="14"/>
      <c r="K535" s="12"/>
    </row>
    <row r="536" ht="19.5" customHeight="1">
      <c r="A536" s="221"/>
      <c r="C536" s="12"/>
      <c r="D536" s="87"/>
      <c r="F536" s="14"/>
      <c r="G536" s="14"/>
      <c r="H536" s="14"/>
      <c r="I536" s="14"/>
      <c r="J536" s="14"/>
      <c r="K536" s="12"/>
    </row>
    <row r="537" ht="19.5" customHeight="1">
      <c r="A537" s="221"/>
      <c r="C537" s="12"/>
      <c r="D537" s="87"/>
      <c r="F537" s="14"/>
      <c r="G537" s="14"/>
      <c r="H537" s="14"/>
      <c r="I537" s="14"/>
      <c r="J537" s="14"/>
      <c r="K537" s="12"/>
    </row>
    <row r="538" ht="19.5" customHeight="1">
      <c r="A538" s="221"/>
      <c r="C538" s="12"/>
      <c r="D538" s="87"/>
      <c r="F538" s="14"/>
      <c r="G538" s="14"/>
      <c r="H538" s="14"/>
      <c r="I538" s="14"/>
      <c r="J538" s="14"/>
      <c r="K538" s="12"/>
    </row>
    <row r="539" ht="19.5" customHeight="1">
      <c r="A539" s="221"/>
      <c r="C539" s="12"/>
      <c r="D539" s="87"/>
      <c r="F539" s="14"/>
      <c r="G539" s="14"/>
      <c r="H539" s="14"/>
      <c r="I539" s="14"/>
      <c r="J539" s="14"/>
      <c r="K539" s="12"/>
    </row>
    <row r="540" ht="19.5" customHeight="1">
      <c r="A540" s="221"/>
      <c r="C540" s="12"/>
      <c r="D540" s="87"/>
      <c r="F540" s="14"/>
      <c r="G540" s="14"/>
      <c r="H540" s="14"/>
      <c r="I540" s="14"/>
      <c r="J540" s="14"/>
      <c r="K540" s="12"/>
    </row>
    <row r="541" ht="19.5" customHeight="1">
      <c r="A541" s="221"/>
      <c r="C541" s="12"/>
      <c r="D541" s="87"/>
      <c r="F541" s="14"/>
      <c r="G541" s="14"/>
      <c r="H541" s="14"/>
      <c r="I541" s="14"/>
      <c r="J541" s="14"/>
      <c r="K541" s="12"/>
    </row>
    <row r="542" ht="19.5" customHeight="1">
      <c r="A542" s="221"/>
      <c r="C542" s="12"/>
      <c r="D542" s="87"/>
      <c r="F542" s="14"/>
      <c r="G542" s="14"/>
      <c r="H542" s="14"/>
      <c r="I542" s="14"/>
      <c r="J542" s="14"/>
      <c r="K542" s="12"/>
    </row>
    <row r="543" ht="19.5" customHeight="1">
      <c r="A543" s="221"/>
      <c r="C543" s="12"/>
      <c r="D543" s="87"/>
      <c r="F543" s="14"/>
      <c r="G543" s="14"/>
      <c r="H543" s="14"/>
      <c r="I543" s="14"/>
      <c r="J543" s="14"/>
      <c r="K543" s="12"/>
    </row>
    <row r="544" ht="19.5" customHeight="1">
      <c r="A544" s="221"/>
      <c r="C544" s="12"/>
      <c r="D544" s="87"/>
      <c r="F544" s="14"/>
      <c r="G544" s="14"/>
      <c r="H544" s="14"/>
      <c r="I544" s="14"/>
      <c r="J544" s="14"/>
      <c r="K544" s="12"/>
    </row>
    <row r="545" ht="19.5" customHeight="1">
      <c r="A545" s="221"/>
      <c r="C545" s="12"/>
      <c r="D545" s="87"/>
      <c r="F545" s="14"/>
      <c r="G545" s="14"/>
      <c r="H545" s="14"/>
      <c r="I545" s="14"/>
      <c r="J545" s="14"/>
      <c r="K545" s="12"/>
    </row>
    <row r="546" ht="19.5" customHeight="1">
      <c r="A546" s="221"/>
      <c r="C546" s="12"/>
      <c r="D546" s="87"/>
      <c r="F546" s="14"/>
      <c r="G546" s="14"/>
      <c r="H546" s="14"/>
      <c r="I546" s="14"/>
      <c r="J546" s="14"/>
      <c r="K546" s="12"/>
    </row>
    <row r="547" ht="19.5" customHeight="1">
      <c r="A547" s="221"/>
      <c r="C547" s="12"/>
      <c r="D547" s="87"/>
      <c r="F547" s="14"/>
      <c r="G547" s="14"/>
      <c r="H547" s="14"/>
      <c r="I547" s="14"/>
      <c r="J547" s="14"/>
      <c r="K547" s="12"/>
    </row>
    <row r="548" ht="19.5" customHeight="1">
      <c r="A548" s="221"/>
      <c r="C548" s="12"/>
      <c r="D548" s="87"/>
      <c r="F548" s="14"/>
      <c r="G548" s="14"/>
      <c r="H548" s="14"/>
      <c r="I548" s="14"/>
      <c r="J548" s="14"/>
      <c r="K548" s="12"/>
    </row>
    <row r="549" ht="19.5" customHeight="1">
      <c r="A549" s="221"/>
      <c r="C549" s="12"/>
      <c r="D549" s="87"/>
      <c r="F549" s="14"/>
      <c r="G549" s="14"/>
      <c r="H549" s="14"/>
      <c r="I549" s="14"/>
      <c r="J549" s="14"/>
      <c r="K549" s="12"/>
    </row>
    <row r="550" ht="19.5" customHeight="1">
      <c r="A550" s="221"/>
      <c r="C550" s="12"/>
      <c r="D550" s="87"/>
      <c r="F550" s="14"/>
      <c r="G550" s="14"/>
      <c r="H550" s="14"/>
      <c r="I550" s="14"/>
      <c r="J550" s="14"/>
      <c r="K550" s="12"/>
    </row>
    <row r="551" ht="19.5" customHeight="1">
      <c r="A551" s="221"/>
      <c r="C551" s="12"/>
      <c r="D551" s="87"/>
      <c r="F551" s="14"/>
      <c r="G551" s="14"/>
      <c r="H551" s="14"/>
      <c r="I551" s="14"/>
      <c r="J551" s="14"/>
      <c r="K551" s="12"/>
    </row>
    <row r="552" ht="19.5" customHeight="1">
      <c r="A552" s="221"/>
      <c r="C552" s="12"/>
      <c r="D552" s="87"/>
      <c r="F552" s="14"/>
      <c r="G552" s="14"/>
      <c r="H552" s="14"/>
      <c r="I552" s="14"/>
      <c r="J552" s="14"/>
      <c r="K552" s="12"/>
    </row>
    <row r="553" ht="19.5" customHeight="1">
      <c r="A553" s="221"/>
      <c r="C553" s="12"/>
      <c r="D553" s="87"/>
      <c r="F553" s="14"/>
      <c r="G553" s="14"/>
      <c r="H553" s="14"/>
      <c r="I553" s="14"/>
      <c r="J553" s="14"/>
      <c r="K553" s="12"/>
    </row>
    <row r="554" ht="19.5" customHeight="1">
      <c r="A554" s="221"/>
      <c r="C554" s="12"/>
      <c r="D554" s="87"/>
      <c r="F554" s="14"/>
      <c r="G554" s="14"/>
      <c r="H554" s="14"/>
      <c r="I554" s="14"/>
      <c r="J554" s="14"/>
      <c r="K554" s="12"/>
    </row>
    <row r="555" ht="19.5" customHeight="1">
      <c r="A555" s="221"/>
      <c r="C555" s="12"/>
      <c r="D555" s="87"/>
      <c r="F555" s="14"/>
      <c r="G555" s="14"/>
      <c r="H555" s="14"/>
      <c r="I555" s="14"/>
      <c r="J555" s="14"/>
      <c r="K555" s="12"/>
    </row>
    <row r="556" ht="19.5" customHeight="1">
      <c r="A556" s="221"/>
      <c r="C556" s="12"/>
      <c r="D556" s="87"/>
      <c r="F556" s="14"/>
      <c r="G556" s="14"/>
      <c r="H556" s="14"/>
      <c r="I556" s="14"/>
      <c r="J556" s="14"/>
      <c r="K556" s="12"/>
    </row>
    <row r="557" ht="19.5" customHeight="1">
      <c r="A557" s="221"/>
      <c r="C557" s="12"/>
      <c r="D557" s="87"/>
      <c r="F557" s="14"/>
      <c r="G557" s="14"/>
      <c r="H557" s="14"/>
      <c r="I557" s="14"/>
      <c r="J557" s="14"/>
      <c r="K557" s="12"/>
    </row>
    <row r="558" ht="19.5" customHeight="1">
      <c r="A558" s="221"/>
      <c r="C558" s="12"/>
      <c r="D558" s="87"/>
      <c r="F558" s="14"/>
      <c r="G558" s="14"/>
      <c r="H558" s="14"/>
      <c r="I558" s="14"/>
      <c r="J558" s="14"/>
      <c r="K558" s="12"/>
    </row>
    <row r="559" ht="19.5" customHeight="1">
      <c r="A559" s="221"/>
      <c r="C559" s="12"/>
      <c r="D559" s="87"/>
      <c r="F559" s="14"/>
      <c r="G559" s="14"/>
      <c r="H559" s="14"/>
      <c r="I559" s="14"/>
      <c r="J559" s="14"/>
      <c r="K559" s="12"/>
    </row>
    <row r="560" ht="19.5" customHeight="1">
      <c r="A560" s="221"/>
      <c r="C560" s="12"/>
      <c r="D560" s="87"/>
      <c r="F560" s="14"/>
      <c r="G560" s="14"/>
      <c r="H560" s="14"/>
      <c r="I560" s="14"/>
      <c r="J560" s="14"/>
      <c r="K560" s="12"/>
    </row>
    <row r="561" ht="19.5" customHeight="1">
      <c r="A561" s="221"/>
      <c r="C561" s="12"/>
      <c r="D561" s="87"/>
      <c r="F561" s="14"/>
      <c r="G561" s="14"/>
      <c r="H561" s="14"/>
      <c r="I561" s="14"/>
      <c r="J561" s="14"/>
      <c r="K561" s="12"/>
    </row>
    <row r="562" ht="19.5" customHeight="1">
      <c r="A562" s="221"/>
      <c r="C562" s="12"/>
      <c r="D562" s="87"/>
      <c r="F562" s="14"/>
      <c r="G562" s="14"/>
      <c r="H562" s="14"/>
      <c r="I562" s="14"/>
      <c r="J562" s="14"/>
      <c r="K562" s="12"/>
    </row>
    <row r="563" ht="19.5" customHeight="1">
      <c r="A563" s="221"/>
      <c r="C563" s="12"/>
      <c r="D563" s="87"/>
      <c r="F563" s="14"/>
      <c r="G563" s="14"/>
      <c r="H563" s="14"/>
      <c r="I563" s="14"/>
      <c r="J563" s="14"/>
      <c r="K563" s="12"/>
    </row>
    <row r="564" ht="19.5" customHeight="1">
      <c r="A564" s="221"/>
      <c r="C564" s="12"/>
      <c r="D564" s="87"/>
      <c r="F564" s="14"/>
      <c r="G564" s="14"/>
      <c r="H564" s="14"/>
      <c r="I564" s="14"/>
      <c r="J564" s="14"/>
      <c r="K564" s="12"/>
    </row>
    <row r="565" ht="19.5" customHeight="1">
      <c r="A565" s="221"/>
      <c r="C565" s="12"/>
      <c r="D565" s="87"/>
      <c r="F565" s="14"/>
      <c r="G565" s="14"/>
      <c r="H565" s="14"/>
      <c r="I565" s="14"/>
      <c r="J565" s="14"/>
      <c r="K565" s="12"/>
    </row>
    <row r="566" ht="19.5" customHeight="1">
      <c r="A566" s="221"/>
      <c r="C566" s="12"/>
      <c r="D566" s="87"/>
      <c r="F566" s="14"/>
      <c r="G566" s="14"/>
      <c r="H566" s="14"/>
      <c r="I566" s="14"/>
      <c r="J566" s="14"/>
      <c r="K566" s="12"/>
    </row>
    <row r="567" ht="19.5" customHeight="1">
      <c r="A567" s="221"/>
      <c r="C567" s="12"/>
      <c r="D567" s="87"/>
      <c r="F567" s="14"/>
      <c r="G567" s="14"/>
      <c r="H567" s="14"/>
      <c r="I567" s="14"/>
      <c r="J567" s="14"/>
      <c r="K567" s="12"/>
    </row>
    <row r="568" ht="19.5" customHeight="1">
      <c r="A568" s="221"/>
      <c r="C568" s="12"/>
      <c r="D568" s="87"/>
      <c r="F568" s="14"/>
      <c r="G568" s="14"/>
      <c r="H568" s="14"/>
      <c r="I568" s="14"/>
      <c r="J568" s="14"/>
      <c r="K568" s="12"/>
    </row>
    <row r="569" ht="19.5" customHeight="1">
      <c r="A569" s="221"/>
      <c r="C569" s="12"/>
      <c r="D569" s="87"/>
      <c r="F569" s="14"/>
      <c r="G569" s="14"/>
      <c r="H569" s="14"/>
      <c r="I569" s="14"/>
      <c r="J569" s="14"/>
      <c r="K569" s="12"/>
    </row>
    <row r="570" ht="19.5" customHeight="1">
      <c r="A570" s="221"/>
      <c r="C570" s="12"/>
      <c r="D570" s="87"/>
      <c r="F570" s="14"/>
      <c r="G570" s="14"/>
      <c r="H570" s="14"/>
      <c r="I570" s="14"/>
      <c r="J570" s="14"/>
      <c r="K570" s="12"/>
    </row>
    <row r="571" ht="19.5" customHeight="1">
      <c r="A571" s="221"/>
      <c r="C571" s="12"/>
      <c r="D571" s="87"/>
      <c r="F571" s="14"/>
      <c r="G571" s="14"/>
      <c r="H571" s="14"/>
      <c r="I571" s="14"/>
      <c r="J571" s="14"/>
      <c r="K571" s="12"/>
    </row>
    <row r="572" ht="19.5" customHeight="1">
      <c r="A572" s="221"/>
      <c r="C572" s="12"/>
      <c r="D572" s="87"/>
      <c r="F572" s="14"/>
      <c r="G572" s="14"/>
      <c r="H572" s="14"/>
      <c r="I572" s="14"/>
      <c r="J572" s="14"/>
      <c r="K572" s="12"/>
    </row>
    <row r="573" ht="19.5" customHeight="1">
      <c r="A573" s="221"/>
      <c r="C573" s="12"/>
      <c r="D573" s="87"/>
      <c r="F573" s="14"/>
      <c r="G573" s="14"/>
      <c r="H573" s="14"/>
      <c r="I573" s="14"/>
      <c r="J573" s="14"/>
      <c r="K573" s="12"/>
    </row>
    <row r="574" ht="19.5" customHeight="1">
      <c r="A574" s="221"/>
      <c r="C574" s="12"/>
      <c r="D574" s="87"/>
      <c r="F574" s="14"/>
      <c r="G574" s="14"/>
      <c r="H574" s="14"/>
      <c r="I574" s="14"/>
      <c r="J574" s="14"/>
      <c r="K574" s="12"/>
    </row>
    <row r="575" ht="19.5" customHeight="1">
      <c r="A575" s="221"/>
      <c r="C575" s="12"/>
      <c r="D575" s="87"/>
      <c r="F575" s="14"/>
      <c r="G575" s="14"/>
      <c r="H575" s="14"/>
      <c r="I575" s="14"/>
      <c r="J575" s="14"/>
      <c r="K575" s="12"/>
    </row>
    <row r="576" ht="19.5" customHeight="1">
      <c r="A576" s="221"/>
      <c r="C576" s="12"/>
      <c r="D576" s="87"/>
      <c r="F576" s="14"/>
      <c r="G576" s="14"/>
      <c r="H576" s="14"/>
      <c r="I576" s="14"/>
      <c r="J576" s="14"/>
      <c r="K576" s="12"/>
    </row>
    <row r="577" ht="19.5" customHeight="1">
      <c r="A577" s="221"/>
      <c r="C577" s="12"/>
      <c r="D577" s="87"/>
      <c r="F577" s="14"/>
      <c r="G577" s="14"/>
      <c r="H577" s="14"/>
      <c r="I577" s="14"/>
      <c r="J577" s="14"/>
      <c r="K577" s="12"/>
    </row>
    <row r="578" ht="19.5" customHeight="1">
      <c r="A578" s="221"/>
      <c r="C578" s="12"/>
      <c r="D578" s="87"/>
      <c r="F578" s="14"/>
      <c r="G578" s="14"/>
      <c r="H578" s="14"/>
      <c r="I578" s="14"/>
      <c r="J578" s="14"/>
      <c r="K578" s="12"/>
    </row>
    <row r="579" ht="19.5" customHeight="1">
      <c r="A579" s="221"/>
      <c r="C579" s="12"/>
      <c r="D579" s="87"/>
      <c r="F579" s="14"/>
      <c r="G579" s="14"/>
      <c r="H579" s="14"/>
      <c r="I579" s="14"/>
      <c r="J579" s="14"/>
      <c r="K579" s="12"/>
    </row>
    <row r="580" ht="19.5" customHeight="1">
      <c r="A580" s="221"/>
      <c r="C580" s="12"/>
      <c r="D580" s="87"/>
      <c r="F580" s="14"/>
      <c r="G580" s="14"/>
      <c r="H580" s="14"/>
      <c r="I580" s="14"/>
      <c r="J580" s="14"/>
      <c r="K580" s="12"/>
    </row>
    <row r="581" ht="19.5" customHeight="1">
      <c r="A581" s="221"/>
      <c r="C581" s="12"/>
      <c r="D581" s="87"/>
      <c r="F581" s="14"/>
      <c r="G581" s="14"/>
      <c r="H581" s="14"/>
      <c r="I581" s="14"/>
      <c r="J581" s="14"/>
      <c r="K581" s="12"/>
    </row>
    <row r="582" ht="19.5" customHeight="1">
      <c r="A582" s="221"/>
      <c r="C582" s="12"/>
      <c r="D582" s="87"/>
      <c r="F582" s="14"/>
      <c r="G582" s="14"/>
      <c r="H582" s="14"/>
      <c r="I582" s="14"/>
      <c r="J582" s="14"/>
      <c r="K582" s="12"/>
    </row>
    <row r="583" ht="19.5" customHeight="1">
      <c r="A583" s="221"/>
      <c r="C583" s="12"/>
      <c r="D583" s="87"/>
      <c r="F583" s="14"/>
      <c r="G583" s="14"/>
      <c r="H583" s="14"/>
      <c r="I583" s="14"/>
      <c r="J583" s="14"/>
      <c r="K583" s="12"/>
    </row>
    <row r="584" ht="19.5" customHeight="1">
      <c r="A584" s="221"/>
      <c r="C584" s="12"/>
      <c r="D584" s="87"/>
      <c r="F584" s="14"/>
      <c r="G584" s="14"/>
      <c r="H584" s="14"/>
      <c r="I584" s="14"/>
      <c r="J584" s="14"/>
      <c r="K584" s="12"/>
    </row>
    <row r="585" ht="19.5" customHeight="1">
      <c r="A585" s="221"/>
      <c r="C585" s="12"/>
      <c r="D585" s="87"/>
      <c r="F585" s="14"/>
      <c r="G585" s="14"/>
      <c r="H585" s="14"/>
      <c r="I585" s="14"/>
      <c r="J585" s="14"/>
      <c r="K585" s="12"/>
    </row>
    <row r="586" ht="19.5" customHeight="1">
      <c r="A586" s="221"/>
      <c r="C586" s="12"/>
      <c r="D586" s="87"/>
      <c r="F586" s="14"/>
      <c r="G586" s="14"/>
      <c r="H586" s="14"/>
      <c r="I586" s="14"/>
      <c r="J586" s="14"/>
      <c r="K586" s="12"/>
    </row>
    <row r="587" ht="19.5" customHeight="1">
      <c r="A587" s="221"/>
      <c r="C587" s="12"/>
      <c r="D587" s="87"/>
      <c r="F587" s="14"/>
      <c r="G587" s="14"/>
      <c r="H587" s="14"/>
      <c r="I587" s="14"/>
      <c r="J587" s="14"/>
      <c r="K587" s="12"/>
    </row>
    <row r="588" ht="19.5" customHeight="1">
      <c r="A588" s="221"/>
      <c r="C588" s="12"/>
      <c r="D588" s="87"/>
      <c r="F588" s="14"/>
      <c r="G588" s="14"/>
      <c r="H588" s="14"/>
      <c r="I588" s="14"/>
      <c r="J588" s="14"/>
      <c r="K588" s="12"/>
    </row>
    <row r="589" ht="19.5" customHeight="1">
      <c r="A589" s="221"/>
      <c r="C589" s="12"/>
      <c r="D589" s="87"/>
      <c r="F589" s="14"/>
      <c r="G589" s="14"/>
      <c r="H589" s="14"/>
      <c r="I589" s="14"/>
      <c r="J589" s="14"/>
      <c r="K589" s="12"/>
    </row>
    <row r="590" ht="19.5" customHeight="1">
      <c r="A590" s="221"/>
      <c r="C590" s="12"/>
      <c r="D590" s="87"/>
      <c r="F590" s="14"/>
      <c r="G590" s="14"/>
      <c r="H590" s="14"/>
      <c r="I590" s="14"/>
      <c r="J590" s="14"/>
      <c r="K590" s="12"/>
    </row>
    <row r="591" ht="19.5" customHeight="1">
      <c r="A591" s="221"/>
      <c r="C591" s="12"/>
      <c r="D591" s="87"/>
      <c r="F591" s="14"/>
      <c r="G591" s="14"/>
      <c r="H591" s="14"/>
      <c r="I591" s="14"/>
      <c r="J591" s="14"/>
      <c r="K591" s="12"/>
    </row>
    <row r="592" ht="19.5" customHeight="1">
      <c r="A592" s="221"/>
      <c r="C592" s="12"/>
      <c r="D592" s="87"/>
      <c r="F592" s="14"/>
      <c r="G592" s="14"/>
      <c r="H592" s="14"/>
      <c r="I592" s="14"/>
      <c r="J592" s="14"/>
      <c r="K592" s="12"/>
    </row>
    <row r="593" ht="19.5" customHeight="1">
      <c r="A593" s="221"/>
      <c r="C593" s="12"/>
      <c r="D593" s="87"/>
      <c r="F593" s="14"/>
      <c r="G593" s="14"/>
      <c r="H593" s="14"/>
      <c r="I593" s="14"/>
      <c r="J593" s="14"/>
      <c r="K593" s="12"/>
    </row>
    <row r="594" ht="19.5" customHeight="1">
      <c r="A594" s="221"/>
      <c r="C594" s="12"/>
      <c r="D594" s="87"/>
      <c r="F594" s="14"/>
      <c r="G594" s="14"/>
      <c r="H594" s="14"/>
      <c r="I594" s="14"/>
      <c r="J594" s="14"/>
      <c r="K594" s="12"/>
    </row>
    <row r="595" ht="19.5" customHeight="1">
      <c r="A595" s="221"/>
      <c r="C595" s="12"/>
      <c r="D595" s="87"/>
      <c r="F595" s="14"/>
      <c r="G595" s="14"/>
      <c r="H595" s="14"/>
      <c r="I595" s="14"/>
      <c r="J595" s="14"/>
      <c r="K595" s="12"/>
    </row>
    <row r="596" ht="19.5" customHeight="1">
      <c r="A596" s="221"/>
      <c r="C596" s="12"/>
      <c r="D596" s="87"/>
      <c r="F596" s="14"/>
      <c r="G596" s="14"/>
      <c r="H596" s="14"/>
      <c r="I596" s="14"/>
      <c r="J596" s="14"/>
      <c r="K596" s="12"/>
    </row>
    <row r="597" ht="19.5" customHeight="1">
      <c r="A597" s="221"/>
      <c r="C597" s="12"/>
      <c r="D597" s="87"/>
      <c r="F597" s="14"/>
      <c r="G597" s="14"/>
      <c r="H597" s="14"/>
      <c r="I597" s="14"/>
      <c r="J597" s="14"/>
      <c r="K597" s="12"/>
    </row>
    <row r="598" ht="19.5" customHeight="1">
      <c r="A598" s="221"/>
      <c r="C598" s="12"/>
      <c r="D598" s="87"/>
      <c r="F598" s="14"/>
      <c r="G598" s="14"/>
      <c r="H598" s="14"/>
      <c r="I598" s="14"/>
      <c r="J598" s="14"/>
      <c r="K598" s="12"/>
    </row>
    <row r="599" ht="19.5" customHeight="1">
      <c r="A599" s="221"/>
      <c r="C599" s="12"/>
      <c r="D599" s="87"/>
      <c r="F599" s="14"/>
      <c r="G599" s="14"/>
      <c r="H599" s="14"/>
      <c r="I599" s="14"/>
      <c r="J599" s="14"/>
      <c r="K599" s="12"/>
    </row>
    <row r="600" ht="19.5" customHeight="1">
      <c r="A600" s="221"/>
      <c r="C600" s="12"/>
      <c r="D600" s="87"/>
      <c r="F600" s="14"/>
      <c r="G600" s="14"/>
      <c r="H600" s="14"/>
      <c r="I600" s="14"/>
      <c r="J600" s="14"/>
      <c r="K600" s="12"/>
    </row>
    <row r="601" ht="19.5" customHeight="1">
      <c r="A601" s="221"/>
      <c r="C601" s="12"/>
      <c r="D601" s="87"/>
      <c r="F601" s="14"/>
      <c r="G601" s="14"/>
      <c r="H601" s="14"/>
      <c r="I601" s="14"/>
      <c r="J601" s="14"/>
      <c r="K601" s="12"/>
    </row>
    <row r="602" ht="19.5" customHeight="1">
      <c r="A602" s="221"/>
      <c r="C602" s="12"/>
      <c r="D602" s="87"/>
      <c r="F602" s="14"/>
      <c r="G602" s="14"/>
      <c r="H602" s="14"/>
      <c r="I602" s="14"/>
      <c r="J602" s="14"/>
      <c r="K602" s="12"/>
    </row>
    <row r="603" ht="19.5" customHeight="1">
      <c r="A603" s="221"/>
      <c r="C603" s="12"/>
      <c r="D603" s="87"/>
      <c r="F603" s="14"/>
      <c r="G603" s="14"/>
      <c r="H603" s="14"/>
      <c r="I603" s="14"/>
      <c r="J603" s="14"/>
      <c r="K603" s="12"/>
    </row>
    <row r="604" ht="19.5" customHeight="1">
      <c r="A604" s="221"/>
      <c r="C604" s="12"/>
      <c r="D604" s="87"/>
      <c r="F604" s="14"/>
      <c r="G604" s="14"/>
      <c r="H604" s="14"/>
      <c r="I604" s="14"/>
      <c r="J604" s="14"/>
      <c r="K604" s="12"/>
    </row>
    <row r="605" ht="19.5" customHeight="1">
      <c r="A605" s="221"/>
      <c r="C605" s="12"/>
      <c r="D605" s="87"/>
      <c r="F605" s="14"/>
      <c r="G605" s="14"/>
      <c r="H605" s="14"/>
      <c r="I605" s="14"/>
      <c r="J605" s="14"/>
      <c r="K605" s="12"/>
    </row>
    <row r="606" ht="19.5" customHeight="1">
      <c r="A606" s="221"/>
      <c r="C606" s="12"/>
      <c r="D606" s="87"/>
      <c r="F606" s="14"/>
      <c r="G606" s="14"/>
      <c r="H606" s="14"/>
      <c r="I606" s="14"/>
      <c r="J606" s="14"/>
      <c r="K606" s="12"/>
    </row>
    <row r="607" ht="19.5" customHeight="1">
      <c r="A607" s="221"/>
      <c r="C607" s="12"/>
      <c r="D607" s="87"/>
      <c r="F607" s="14"/>
      <c r="G607" s="14"/>
      <c r="H607" s="14"/>
      <c r="I607" s="14"/>
      <c r="J607" s="14"/>
      <c r="K607" s="12"/>
    </row>
    <row r="608" ht="19.5" customHeight="1">
      <c r="A608" s="221"/>
      <c r="C608" s="12"/>
      <c r="D608" s="87"/>
      <c r="F608" s="14"/>
      <c r="G608" s="14"/>
      <c r="H608" s="14"/>
      <c r="I608" s="14"/>
      <c r="J608" s="14"/>
      <c r="K608" s="12"/>
    </row>
    <row r="609" ht="19.5" customHeight="1">
      <c r="A609" s="221"/>
      <c r="C609" s="12"/>
      <c r="D609" s="87"/>
      <c r="F609" s="14"/>
      <c r="G609" s="14"/>
      <c r="H609" s="14"/>
      <c r="I609" s="14"/>
      <c r="J609" s="14"/>
      <c r="K609" s="12"/>
    </row>
    <row r="610" ht="19.5" customHeight="1">
      <c r="A610" s="221"/>
      <c r="C610" s="12"/>
      <c r="D610" s="87"/>
      <c r="F610" s="14"/>
      <c r="G610" s="14"/>
      <c r="H610" s="14"/>
      <c r="I610" s="14"/>
      <c r="J610" s="14"/>
      <c r="K610" s="12"/>
    </row>
    <row r="611" ht="19.5" customHeight="1">
      <c r="A611" s="221"/>
      <c r="C611" s="12"/>
      <c r="D611" s="87"/>
      <c r="F611" s="14"/>
      <c r="G611" s="14"/>
      <c r="H611" s="14"/>
      <c r="I611" s="14"/>
      <c r="J611" s="14"/>
      <c r="K611" s="12"/>
    </row>
    <row r="612" ht="19.5" customHeight="1">
      <c r="A612" s="221"/>
      <c r="C612" s="12"/>
      <c r="D612" s="87"/>
      <c r="F612" s="14"/>
      <c r="G612" s="14"/>
      <c r="H612" s="14"/>
      <c r="I612" s="14"/>
      <c r="J612" s="14"/>
      <c r="K612" s="12"/>
    </row>
    <row r="613" ht="19.5" customHeight="1">
      <c r="A613" s="221"/>
      <c r="C613" s="12"/>
      <c r="D613" s="87"/>
      <c r="F613" s="14"/>
      <c r="G613" s="14"/>
      <c r="H613" s="14"/>
      <c r="I613" s="14"/>
      <c r="J613" s="14"/>
      <c r="K613" s="12"/>
    </row>
    <row r="614" ht="19.5" customHeight="1">
      <c r="A614" s="221"/>
      <c r="C614" s="12"/>
      <c r="D614" s="87"/>
      <c r="F614" s="14"/>
      <c r="G614" s="14"/>
      <c r="H614" s="14"/>
      <c r="I614" s="14"/>
      <c r="J614" s="14"/>
      <c r="K614" s="12"/>
    </row>
    <row r="615" ht="19.5" customHeight="1">
      <c r="A615" s="221"/>
      <c r="C615" s="12"/>
      <c r="D615" s="87"/>
      <c r="F615" s="14"/>
      <c r="G615" s="14"/>
      <c r="H615" s="14"/>
      <c r="I615" s="14"/>
      <c r="J615" s="14"/>
      <c r="K615" s="12"/>
    </row>
    <row r="616" ht="19.5" customHeight="1">
      <c r="A616" s="221"/>
      <c r="C616" s="12"/>
      <c r="D616" s="87"/>
      <c r="F616" s="14"/>
      <c r="G616" s="14"/>
      <c r="H616" s="14"/>
      <c r="I616" s="14"/>
      <c r="J616" s="14"/>
      <c r="K616" s="12"/>
    </row>
    <row r="617" ht="19.5" customHeight="1">
      <c r="A617" s="221"/>
      <c r="C617" s="12"/>
      <c r="D617" s="87"/>
      <c r="F617" s="14"/>
      <c r="G617" s="14"/>
      <c r="H617" s="14"/>
      <c r="I617" s="14"/>
      <c r="J617" s="14"/>
      <c r="K617" s="12"/>
    </row>
    <row r="618" ht="19.5" customHeight="1">
      <c r="A618" s="221"/>
      <c r="C618" s="12"/>
      <c r="D618" s="87"/>
      <c r="F618" s="14"/>
      <c r="G618" s="14"/>
      <c r="H618" s="14"/>
      <c r="I618" s="14"/>
      <c r="J618" s="14"/>
      <c r="K618" s="12"/>
    </row>
    <row r="619" ht="19.5" customHeight="1">
      <c r="A619" s="221"/>
      <c r="C619" s="12"/>
      <c r="D619" s="87"/>
      <c r="F619" s="14"/>
      <c r="G619" s="14"/>
      <c r="H619" s="14"/>
      <c r="I619" s="14"/>
      <c r="J619" s="14"/>
      <c r="K619" s="12"/>
    </row>
    <row r="620" ht="19.5" customHeight="1">
      <c r="A620" s="221"/>
      <c r="C620" s="12"/>
      <c r="D620" s="87"/>
      <c r="F620" s="14"/>
      <c r="G620" s="14"/>
      <c r="H620" s="14"/>
      <c r="I620" s="14"/>
      <c r="J620" s="14"/>
      <c r="K620" s="12"/>
    </row>
    <row r="621" ht="19.5" customHeight="1">
      <c r="A621" s="221"/>
      <c r="C621" s="12"/>
      <c r="D621" s="87"/>
      <c r="F621" s="14"/>
      <c r="G621" s="14"/>
      <c r="H621" s="14"/>
      <c r="I621" s="14"/>
      <c r="J621" s="14"/>
      <c r="K621" s="12"/>
    </row>
    <row r="622" ht="19.5" customHeight="1">
      <c r="A622" s="221"/>
      <c r="C622" s="12"/>
      <c r="D622" s="87"/>
      <c r="F622" s="14"/>
      <c r="G622" s="14"/>
      <c r="H622" s="14"/>
      <c r="I622" s="14"/>
      <c r="J622" s="14"/>
      <c r="K622" s="12"/>
    </row>
    <row r="623" ht="19.5" customHeight="1">
      <c r="A623" s="221"/>
      <c r="C623" s="12"/>
      <c r="D623" s="87"/>
      <c r="F623" s="14"/>
      <c r="G623" s="14"/>
      <c r="H623" s="14"/>
      <c r="I623" s="14"/>
      <c r="J623" s="14"/>
      <c r="K623" s="12"/>
    </row>
    <row r="624" ht="19.5" customHeight="1">
      <c r="A624" s="221"/>
      <c r="C624" s="12"/>
      <c r="D624" s="87"/>
      <c r="F624" s="14"/>
      <c r="G624" s="14"/>
      <c r="H624" s="14"/>
      <c r="I624" s="14"/>
      <c r="J624" s="14"/>
      <c r="K624" s="12"/>
    </row>
    <row r="625" ht="19.5" customHeight="1">
      <c r="A625" s="221"/>
      <c r="C625" s="12"/>
      <c r="D625" s="87"/>
      <c r="F625" s="14"/>
      <c r="G625" s="14"/>
      <c r="H625" s="14"/>
      <c r="I625" s="14"/>
      <c r="J625" s="14"/>
      <c r="K625" s="12"/>
    </row>
    <row r="626" ht="19.5" customHeight="1">
      <c r="A626" s="221"/>
      <c r="C626" s="12"/>
      <c r="D626" s="87"/>
      <c r="F626" s="14"/>
      <c r="G626" s="14"/>
      <c r="H626" s="14"/>
      <c r="I626" s="14"/>
      <c r="J626" s="14"/>
      <c r="K626" s="12"/>
    </row>
    <row r="627" ht="19.5" customHeight="1">
      <c r="A627" s="221"/>
      <c r="C627" s="12"/>
      <c r="D627" s="87"/>
      <c r="F627" s="14"/>
      <c r="G627" s="14"/>
      <c r="H627" s="14"/>
      <c r="I627" s="14"/>
      <c r="J627" s="14"/>
      <c r="K627" s="12"/>
    </row>
    <row r="628" ht="19.5" customHeight="1">
      <c r="A628" s="221"/>
      <c r="C628" s="12"/>
      <c r="D628" s="87"/>
      <c r="F628" s="14"/>
      <c r="G628" s="14"/>
      <c r="H628" s="14"/>
      <c r="I628" s="14"/>
      <c r="J628" s="14"/>
      <c r="K628" s="12"/>
    </row>
    <row r="629" ht="19.5" customHeight="1">
      <c r="A629" s="221"/>
      <c r="C629" s="12"/>
      <c r="D629" s="87"/>
      <c r="F629" s="14"/>
      <c r="G629" s="14"/>
      <c r="H629" s="14"/>
      <c r="I629" s="14"/>
      <c r="J629" s="14"/>
      <c r="K629" s="12"/>
    </row>
    <row r="630" ht="19.5" customHeight="1">
      <c r="A630" s="221"/>
      <c r="C630" s="12"/>
      <c r="D630" s="87"/>
      <c r="F630" s="14"/>
      <c r="G630" s="14"/>
      <c r="H630" s="14"/>
      <c r="I630" s="14"/>
      <c r="J630" s="14"/>
      <c r="K630" s="12"/>
    </row>
    <row r="631" ht="19.5" customHeight="1">
      <c r="A631" s="221"/>
      <c r="C631" s="12"/>
      <c r="D631" s="87"/>
      <c r="F631" s="14"/>
      <c r="G631" s="14"/>
      <c r="H631" s="14"/>
      <c r="I631" s="14"/>
      <c r="J631" s="14"/>
      <c r="K631" s="12"/>
    </row>
    <row r="632" ht="19.5" customHeight="1">
      <c r="A632" s="221"/>
      <c r="C632" s="12"/>
      <c r="D632" s="87"/>
      <c r="F632" s="14"/>
      <c r="G632" s="14"/>
      <c r="H632" s="14"/>
      <c r="I632" s="14"/>
      <c r="J632" s="14"/>
      <c r="K632" s="12"/>
    </row>
    <row r="633" ht="19.5" customHeight="1">
      <c r="A633" s="221"/>
      <c r="C633" s="12"/>
      <c r="D633" s="87"/>
      <c r="F633" s="14"/>
      <c r="G633" s="14"/>
      <c r="H633" s="14"/>
      <c r="I633" s="14"/>
      <c r="J633" s="14"/>
      <c r="K633" s="12"/>
    </row>
    <row r="634" ht="19.5" customHeight="1">
      <c r="A634" s="221"/>
      <c r="C634" s="12"/>
      <c r="D634" s="87"/>
      <c r="F634" s="14"/>
      <c r="G634" s="14"/>
      <c r="H634" s="14"/>
      <c r="I634" s="14"/>
      <c r="J634" s="14"/>
      <c r="K634" s="12"/>
    </row>
    <row r="635" ht="19.5" customHeight="1">
      <c r="A635" s="221"/>
      <c r="C635" s="12"/>
      <c r="D635" s="87"/>
      <c r="F635" s="14"/>
      <c r="G635" s="14"/>
      <c r="H635" s="14"/>
      <c r="I635" s="14"/>
      <c r="J635" s="14"/>
      <c r="K635" s="12"/>
    </row>
    <row r="636" ht="19.5" customHeight="1">
      <c r="A636" s="221"/>
      <c r="C636" s="12"/>
      <c r="D636" s="87"/>
      <c r="F636" s="14"/>
      <c r="G636" s="14"/>
      <c r="H636" s="14"/>
      <c r="I636" s="14"/>
      <c r="J636" s="14"/>
      <c r="K636" s="12"/>
    </row>
    <row r="637" ht="19.5" customHeight="1">
      <c r="A637" s="221"/>
      <c r="C637" s="12"/>
      <c r="D637" s="87"/>
      <c r="F637" s="14"/>
      <c r="G637" s="14"/>
      <c r="H637" s="14"/>
      <c r="I637" s="14"/>
      <c r="J637" s="14"/>
      <c r="K637" s="12"/>
    </row>
    <row r="638" ht="19.5" customHeight="1">
      <c r="A638" s="221"/>
      <c r="C638" s="12"/>
      <c r="D638" s="87"/>
      <c r="F638" s="14"/>
      <c r="G638" s="14"/>
      <c r="H638" s="14"/>
      <c r="I638" s="14"/>
      <c r="J638" s="14"/>
      <c r="K638" s="12"/>
    </row>
    <row r="639" ht="19.5" customHeight="1">
      <c r="A639" s="221"/>
      <c r="C639" s="12"/>
      <c r="D639" s="87"/>
      <c r="F639" s="14"/>
      <c r="G639" s="14"/>
      <c r="H639" s="14"/>
      <c r="I639" s="14"/>
      <c r="J639" s="14"/>
      <c r="K639" s="12"/>
    </row>
    <row r="640" ht="19.5" customHeight="1">
      <c r="A640" s="221"/>
      <c r="C640" s="12"/>
      <c r="D640" s="87"/>
      <c r="F640" s="14"/>
      <c r="G640" s="14"/>
      <c r="H640" s="14"/>
      <c r="I640" s="14"/>
      <c r="J640" s="14"/>
      <c r="K640" s="12"/>
    </row>
    <row r="641" ht="19.5" customHeight="1">
      <c r="A641" s="221"/>
      <c r="C641" s="12"/>
      <c r="D641" s="87"/>
      <c r="F641" s="14"/>
      <c r="G641" s="14"/>
      <c r="H641" s="14"/>
      <c r="I641" s="14"/>
      <c r="J641" s="14"/>
      <c r="K641" s="12"/>
    </row>
    <row r="642" ht="19.5" customHeight="1">
      <c r="A642" s="221"/>
      <c r="C642" s="12"/>
      <c r="D642" s="87"/>
      <c r="F642" s="14"/>
      <c r="G642" s="14"/>
      <c r="H642" s="14"/>
      <c r="I642" s="14"/>
      <c r="J642" s="14"/>
      <c r="K642" s="12"/>
    </row>
    <row r="643" ht="19.5" customHeight="1">
      <c r="A643" s="221"/>
      <c r="C643" s="12"/>
      <c r="D643" s="87"/>
      <c r="F643" s="14"/>
      <c r="G643" s="14"/>
      <c r="H643" s="14"/>
      <c r="I643" s="14"/>
      <c r="J643" s="14"/>
      <c r="K643" s="12"/>
    </row>
    <row r="644" ht="19.5" customHeight="1">
      <c r="A644" s="221"/>
      <c r="C644" s="12"/>
      <c r="D644" s="87"/>
      <c r="F644" s="14"/>
      <c r="G644" s="14"/>
      <c r="H644" s="14"/>
      <c r="I644" s="14"/>
      <c r="J644" s="14"/>
      <c r="K644" s="12"/>
    </row>
    <row r="645" ht="19.5" customHeight="1">
      <c r="A645" s="221"/>
      <c r="C645" s="12"/>
      <c r="D645" s="87"/>
      <c r="F645" s="14"/>
      <c r="G645" s="14"/>
      <c r="H645" s="14"/>
      <c r="I645" s="14"/>
      <c r="J645" s="14"/>
      <c r="K645" s="12"/>
    </row>
    <row r="646" ht="19.5" customHeight="1">
      <c r="A646" s="221"/>
      <c r="C646" s="12"/>
      <c r="D646" s="87"/>
      <c r="F646" s="14"/>
      <c r="G646" s="14"/>
      <c r="H646" s="14"/>
      <c r="I646" s="14"/>
      <c r="J646" s="14"/>
      <c r="K646" s="12"/>
    </row>
    <row r="647" ht="19.5" customHeight="1">
      <c r="A647" s="221"/>
      <c r="C647" s="12"/>
      <c r="D647" s="87"/>
      <c r="F647" s="14"/>
      <c r="G647" s="14"/>
      <c r="H647" s="14"/>
      <c r="I647" s="14"/>
      <c r="J647" s="14"/>
      <c r="K647" s="12"/>
    </row>
    <row r="648" ht="19.5" customHeight="1">
      <c r="A648" s="221"/>
      <c r="C648" s="12"/>
      <c r="D648" s="87"/>
      <c r="F648" s="14"/>
      <c r="G648" s="14"/>
      <c r="H648" s="14"/>
      <c r="I648" s="14"/>
      <c r="J648" s="14"/>
      <c r="K648" s="12"/>
    </row>
    <row r="649" ht="19.5" customHeight="1">
      <c r="A649" s="221"/>
      <c r="C649" s="12"/>
      <c r="D649" s="87"/>
      <c r="F649" s="14"/>
      <c r="G649" s="14"/>
      <c r="H649" s="14"/>
      <c r="I649" s="14"/>
      <c r="J649" s="14"/>
      <c r="K649" s="12"/>
    </row>
    <row r="650" ht="19.5" customHeight="1">
      <c r="A650" s="221"/>
      <c r="C650" s="12"/>
      <c r="D650" s="87"/>
      <c r="F650" s="14"/>
      <c r="G650" s="14"/>
      <c r="H650" s="14"/>
      <c r="I650" s="14"/>
      <c r="J650" s="14"/>
      <c r="K650" s="12"/>
    </row>
    <row r="651" ht="19.5" customHeight="1">
      <c r="A651" s="221"/>
      <c r="C651" s="12"/>
      <c r="D651" s="87"/>
      <c r="F651" s="14"/>
      <c r="G651" s="14"/>
      <c r="H651" s="14"/>
      <c r="I651" s="14"/>
      <c r="J651" s="14"/>
      <c r="K651" s="12"/>
    </row>
    <row r="652" ht="19.5" customHeight="1">
      <c r="A652" s="221"/>
      <c r="C652" s="12"/>
      <c r="D652" s="87"/>
      <c r="F652" s="14"/>
      <c r="G652" s="14"/>
      <c r="H652" s="14"/>
      <c r="I652" s="14"/>
      <c r="J652" s="14"/>
      <c r="K652" s="12"/>
    </row>
    <row r="653" ht="19.5" customHeight="1">
      <c r="A653" s="221"/>
      <c r="C653" s="12"/>
      <c r="D653" s="87"/>
      <c r="F653" s="14"/>
      <c r="G653" s="14"/>
      <c r="H653" s="14"/>
      <c r="I653" s="14"/>
      <c r="J653" s="14"/>
      <c r="K653" s="12"/>
    </row>
    <row r="654" ht="19.5" customHeight="1">
      <c r="A654" s="221"/>
      <c r="C654" s="12"/>
      <c r="D654" s="87"/>
      <c r="F654" s="14"/>
      <c r="G654" s="14"/>
      <c r="H654" s="14"/>
      <c r="I654" s="14"/>
      <c r="J654" s="14"/>
      <c r="K654" s="12"/>
    </row>
    <row r="655" ht="19.5" customHeight="1">
      <c r="A655" s="221"/>
      <c r="C655" s="12"/>
      <c r="D655" s="87"/>
      <c r="F655" s="14"/>
      <c r="G655" s="14"/>
      <c r="H655" s="14"/>
      <c r="I655" s="14"/>
      <c r="J655" s="14"/>
      <c r="K655" s="12"/>
    </row>
    <row r="656" ht="19.5" customHeight="1">
      <c r="A656" s="221"/>
      <c r="C656" s="12"/>
      <c r="D656" s="87"/>
      <c r="F656" s="14"/>
      <c r="G656" s="14"/>
      <c r="H656" s="14"/>
      <c r="I656" s="14"/>
      <c r="J656" s="14"/>
      <c r="K656" s="12"/>
    </row>
    <row r="657" ht="19.5" customHeight="1">
      <c r="A657" s="221"/>
      <c r="C657" s="12"/>
      <c r="D657" s="87"/>
      <c r="F657" s="14"/>
      <c r="G657" s="14"/>
      <c r="H657" s="14"/>
      <c r="I657" s="14"/>
      <c r="J657" s="14"/>
      <c r="K657" s="12"/>
    </row>
    <row r="658" ht="19.5" customHeight="1">
      <c r="A658" s="221"/>
      <c r="C658" s="12"/>
      <c r="D658" s="87"/>
      <c r="F658" s="14"/>
      <c r="G658" s="14"/>
      <c r="H658" s="14"/>
      <c r="I658" s="14"/>
      <c r="J658" s="14"/>
      <c r="K658" s="12"/>
    </row>
    <row r="659" ht="19.5" customHeight="1">
      <c r="A659" s="221"/>
      <c r="C659" s="12"/>
      <c r="D659" s="87"/>
      <c r="F659" s="14"/>
      <c r="G659" s="14"/>
      <c r="H659" s="14"/>
      <c r="I659" s="14"/>
      <c r="J659" s="14"/>
      <c r="K659" s="12"/>
    </row>
    <row r="660" ht="19.5" customHeight="1">
      <c r="A660" s="221"/>
      <c r="C660" s="12"/>
      <c r="D660" s="87"/>
      <c r="F660" s="14"/>
      <c r="G660" s="14"/>
      <c r="H660" s="14"/>
      <c r="I660" s="14"/>
      <c r="J660" s="14"/>
      <c r="K660" s="12"/>
    </row>
    <row r="661" ht="19.5" customHeight="1">
      <c r="A661" s="221"/>
      <c r="C661" s="12"/>
      <c r="D661" s="87"/>
      <c r="F661" s="14"/>
      <c r="G661" s="14"/>
      <c r="H661" s="14"/>
      <c r="I661" s="14"/>
      <c r="J661" s="14"/>
      <c r="K661" s="12"/>
    </row>
    <row r="662" ht="19.5" customHeight="1">
      <c r="A662" s="221"/>
      <c r="C662" s="12"/>
      <c r="D662" s="87"/>
      <c r="F662" s="14"/>
      <c r="G662" s="14"/>
      <c r="H662" s="14"/>
      <c r="I662" s="14"/>
      <c r="J662" s="14"/>
      <c r="K662" s="12"/>
    </row>
    <row r="663" ht="19.5" customHeight="1">
      <c r="A663" s="221"/>
      <c r="C663" s="12"/>
      <c r="D663" s="87"/>
      <c r="F663" s="14"/>
      <c r="G663" s="14"/>
      <c r="H663" s="14"/>
      <c r="I663" s="14"/>
      <c r="J663" s="14"/>
      <c r="K663" s="12"/>
    </row>
    <row r="664" ht="19.5" customHeight="1">
      <c r="A664" s="221"/>
      <c r="C664" s="12"/>
      <c r="D664" s="87"/>
      <c r="F664" s="14"/>
      <c r="G664" s="14"/>
      <c r="H664" s="14"/>
      <c r="I664" s="14"/>
      <c r="J664" s="14"/>
      <c r="K664" s="12"/>
    </row>
    <row r="665" ht="19.5" customHeight="1">
      <c r="A665" s="221"/>
      <c r="C665" s="12"/>
      <c r="D665" s="87"/>
      <c r="F665" s="14"/>
      <c r="G665" s="14"/>
      <c r="H665" s="14"/>
      <c r="I665" s="14"/>
      <c r="J665" s="14"/>
      <c r="K665" s="12"/>
    </row>
    <row r="666" ht="19.5" customHeight="1">
      <c r="A666" s="221"/>
      <c r="C666" s="12"/>
      <c r="D666" s="87"/>
      <c r="F666" s="14"/>
      <c r="G666" s="14"/>
      <c r="H666" s="14"/>
      <c r="I666" s="14"/>
      <c r="J666" s="14"/>
      <c r="K666" s="12"/>
    </row>
    <row r="667" ht="19.5" customHeight="1">
      <c r="A667" s="221"/>
      <c r="C667" s="12"/>
      <c r="D667" s="87"/>
      <c r="F667" s="14"/>
      <c r="G667" s="14"/>
      <c r="H667" s="14"/>
      <c r="I667" s="14"/>
      <c r="J667" s="14"/>
      <c r="K667" s="12"/>
    </row>
    <row r="668" ht="19.5" customHeight="1">
      <c r="A668" s="221"/>
      <c r="C668" s="12"/>
      <c r="D668" s="87"/>
      <c r="F668" s="14"/>
      <c r="G668" s="14"/>
      <c r="H668" s="14"/>
      <c r="I668" s="14"/>
      <c r="J668" s="14"/>
      <c r="K668" s="12"/>
    </row>
    <row r="669" ht="19.5" customHeight="1">
      <c r="A669" s="221"/>
      <c r="C669" s="12"/>
      <c r="D669" s="87"/>
      <c r="F669" s="14"/>
      <c r="G669" s="14"/>
      <c r="H669" s="14"/>
      <c r="I669" s="14"/>
      <c r="J669" s="14"/>
      <c r="K669" s="12"/>
    </row>
    <row r="670" ht="19.5" customHeight="1">
      <c r="A670" s="221"/>
      <c r="C670" s="12"/>
      <c r="D670" s="87"/>
      <c r="F670" s="14"/>
      <c r="G670" s="14"/>
      <c r="H670" s="14"/>
      <c r="I670" s="14"/>
      <c r="J670" s="14"/>
      <c r="K670" s="12"/>
    </row>
    <row r="671" ht="19.5" customHeight="1">
      <c r="A671" s="221"/>
      <c r="C671" s="12"/>
      <c r="D671" s="87"/>
      <c r="F671" s="14"/>
      <c r="G671" s="14"/>
      <c r="H671" s="14"/>
      <c r="I671" s="14"/>
      <c r="J671" s="14"/>
      <c r="K671" s="12"/>
    </row>
    <row r="672" ht="19.5" customHeight="1">
      <c r="A672" s="221"/>
      <c r="C672" s="12"/>
      <c r="D672" s="87"/>
      <c r="F672" s="14"/>
      <c r="G672" s="14"/>
      <c r="H672" s="14"/>
      <c r="I672" s="14"/>
      <c r="J672" s="14"/>
      <c r="K672" s="12"/>
    </row>
    <row r="673" ht="19.5" customHeight="1">
      <c r="A673" s="221"/>
      <c r="C673" s="12"/>
      <c r="D673" s="87"/>
      <c r="F673" s="14"/>
      <c r="G673" s="14"/>
      <c r="H673" s="14"/>
      <c r="I673" s="14"/>
      <c r="J673" s="14"/>
      <c r="K673" s="12"/>
    </row>
    <row r="674" ht="19.5" customHeight="1">
      <c r="A674" s="221"/>
      <c r="C674" s="12"/>
      <c r="D674" s="87"/>
      <c r="F674" s="14"/>
      <c r="G674" s="14"/>
      <c r="H674" s="14"/>
      <c r="I674" s="14"/>
      <c r="J674" s="14"/>
      <c r="K674" s="12"/>
    </row>
    <row r="675" ht="19.5" customHeight="1">
      <c r="A675" s="221"/>
      <c r="C675" s="12"/>
      <c r="D675" s="87"/>
      <c r="F675" s="14"/>
      <c r="G675" s="14"/>
      <c r="H675" s="14"/>
      <c r="I675" s="14"/>
      <c r="J675" s="14"/>
      <c r="K675" s="12"/>
    </row>
    <row r="676" ht="19.5" customHeight="1">
      <c r="A676" s="221"/>
      <c r="C676" s="12"/>
      <c r="D676" s="87"/>
      <c r="F676" s="14"/>
      <c r="G676" s="14"/>
      <c r="H676" s="14"/>
      <c r="I676" s="14"/>
      <c r="J676" s="14"/>
      <c r="K676" s="12"/>
    </row>
    <row r="677" ht="19.5" customHeight="1">
      <c r="A677" s="221"/>
      <c r="C677" s="12"/>
      <c r="D677" s="87"/>
      <c r="F677" s="14"/>
      <c r="G677" s="14"/>
      <c r="H677" s="14"/>
      <c r="I677" s="14"/>
      <c r="J677" s="14"/>
      <c r="K677" s="12"/>
    </row>
    <row r="678" ht="19.5" customHeight="1">
      <c r="A678" s="221"/>
      <c r="C678" s="12"/>
      <c r="D678" s="87"/>
      <c r="F678" s="14"/>
      <c r="G678" s="14"/>
      <c r="H678" s="14"/>
      <c r="I678" s="14"/>
      <c r="J678" s="14"/>
      <c r="K678" s="12"/>
    </row>
    <row r="679" ht="19.5" customHeight="1">
      <c r="A679" s="221"/>
      <c r="C679" s="12"/>
      <c r="D679" s="87"/>
      <c r="F679" s="14"/>
      <c r="G679" s="14"/>
      <c r="H679" s="14"/>
      <c r="I679" s="14"/>
      <c r="J679" s="14"/>
      <c r="K679" s="12"/>
    </row>
    <row r="680" ht="19.5" customHeight="1">
      <c r="A680" s="221"/>
      <c r="C680" s="12"/>
      <c r="D680" s="87"/>
      <c r="F680" s="14"/>
      <c r="G680" s="14"/>
      <c r="H680" s="14"/>
      <c r="I680" s="14"/>
      <c r="J680" s="14"/>
      <c r="K680" s="12"/>
    </row>
    <row r="681" ht="19.5" customHeight="1">
      <c r="A681" s="221"/>
      <c r="C681" s="12"/>
      <c r="D681" s="87"/>
      <c r="F681" s="14"/>
      <c r="G681" s="14"/>
      <c r="H681" s="14"/>
      <c r="I681" s="14"/>
      <c r="J681" s="14"/>
      <c r="K681" s="12"/>
    </row>
    <row r="682" ht="19.5" customHeight="1">
      <c r="A682" s="221"/>
      <c r="C682" s="12"/>
      <c r="D682" s="87"/>
      <c r="F682" s="14"/>
      <c r="G682" s="14"/>
      <c r="H682" s="14"/>
      <c r="I682" s="14"/>
      <c r="J682" s="14"/>
      <c r="K682" s="12"/>
    </row>
    <row r="683" ht="19.5" customHeight="1">
      <c r="A683" s="221"/>
      <c r="C683" s="12"/>
      <c r="D683" s="87"/>
      <c r="F683" s="14"/>
      <c r="G683" s="14"/>
      <c r="H683" s="14"/>
      <c r="I683" s="14"/>
      <c r="J683" s="14"/>
      <c r="K683" s="12"/>
    </row>
    <row r="684" ht="19.5" customHeight="1">
      <c r="A684" s="221"/>
      <c r="C684" s="12"/>
      <c r="D684" s="87"/>
      <c r="F684" s="14"/>
      <c r="G684" s="14"/>
      <c r="H684" s="14"/>
      <c r="I684" s="14"/>
      <c r="J684" s="14"/>
      <c r="K684" s="12"/>
    </row>
    <row r="685" ht="19.5" customHeight="1">
      <c r="A685" s="221"/>
      <c r="C685" s="12"/>
      <c r="D685" s="87"/>
      <c r="F685" s="14"/>
      <c r="G685" s="14"/>
      <c r="H685" s="14"/>
      <c r="I685" s="14"/>
      <c r="J685" s="14"/>
      <c r="K685" s="12"/>
    </row>
    <row r="686" ht="19.5" customHeight="1">
      <c r="A686" s="221"/>
      <c r="C686" s="12"/>
      <c r="D686" s="87"/>
      <c r="F686" s="14"/>
      <c r="G686" s="14"/>
      <c r="H686" s="14"/>
      <c r="I686" s="14"/>
      <c r="J686" s="14"/>
      <c r="K686" s="12"/>
    </row>
    <row r="687" ht="19.5" customHeight="1">
      <c r="A687" s="221"/>
      <c r="C687" s="12"/>
      <c r="D687" s="87"/>
      <c r="F687" s="14"/>
      <c r="G687" s="14"/>
      <c r="H687" s="14"/>
      <c r="I687" s="14"/>
      <c r="J687" s="14"/>
      <c r="K687" s="12"/>
    </row>
    <row r="688" ht="19.5" customHeight="1">
      <c r="A688" s="221"/>
      <c r="C688" s="12"/>
      <c r="D688" s="87"/>
      <c r="F688" s="14"/>
      <c r="G688" s="14"/>
      <c r="H688" s="14"/>
      <c r="I688" s="14"/>
      <c r="J688" s="14"/>
      <c r="K688" s="12"/>
    </row>
    <row r="689" ht="19.5" customHeight="1">
      <c r="A689" s="221"/>
      <c r="C689" s="12"/>
      <c r="D689" s="87"/>
      <c r="F689" s="14"/>
      <c r="G689" s="14"/>
      <c r="H689" s="14"/>
      <c r="I689" s="14"/>
      <c r="J689" s="14"/>
      <c r="K689" s="12"/>
    </row>
    <row r="690" ht="19.5" customHeight="1">
      <c r="A690" s="221"/>
      <c r="C690" s="12"/>
      <c r="D690" s="87"/>
      <c r="F690" s="14"/>
      <c r="G690" s="14"/>
      <c r="H690" s="14"/>
      <c r="I690" s="14"/>
      <c r="J690" s="14"/>
      <c r="K690" s="12"/>
    </row>
    <row r="691" ht="19.5" customHeight="1">
      <c r="A691" s="221"/>
      <c r="C691" s="12"/>
      <c r="D691" s="87"/>
      <c r="F691" s="14"/>
      <c r="G691" s="14"/>
      <c r="H691" s="14"/>
      <c r="I691" s="14"/>
      <c r="J691" s="14"/>
      <c r="K691" s="12"/>
    </row>
    <row r="692" ht="19.5" customHeight="1">
      <c r="A692" s="221"/>
      <c r="C692" s="12"/>
      <c r="D692" s="87"/>
      <c r="F692" s="14"/>
      <c r="G692" s="14"/>
      <c r="H692" s="14"/>
      <c r="I692" s="14"/>
      <c r="J692" s="14"/>
      <c r="K692" s="12"/>
    </row>
    <row r="693" ht="19.5" customHeight="1">
      <c r="A693" s="221"/>
      <c r="C693" s="12"/>
      <c r="D693" s="87"/>
      <c r="F693" s="14"/>
      <c r="G693" s="14"/>
      <c r="H693" s="14"/>
      <c r="I693" s="14"/>
      <c r="J693" s="14"/>
      <c r="K693" s="12"/>
    </row>
    <row r="694" ht="19.5" customHeight="1">
      <c r="A694" s="221"/>
      <c r="C694" s="12"/>
      <c r="D694" s="87"/>
      <c r="F694" s="14"/>
      <c r="G694" s="14"/>
      <c r="H694" s="14"/>
      <c r="I694" s="14"/>
      <c r="J694" s="14"/>
      <c r="K694" s="12"/>
    </row>
    <row r="695" ht="19.5" customHeight="1">
      <c r="A695" s="221"/>
      <c r="C695" s="12"/>
      <c r="D695" s="87"/>
      <c r="F695" s="14"/>
      <c r="G695" s="14"/>
      <c r="H695" s="14"/>
      <c r="I695" s="14"/>
      <c r="J695" s="14"/>
      <c r="K695" s="12"/>
    </row>
    <row r="696" ht="19.5" customHeight="1">
      <c r="A696" s="221"/>
      <c r="C696" s="12"/>
      <c r="D696" s="87"/>
      <c r="F696" s="14"/>
      <c r="G696" s="14"/>
      <c r="H696" s="14"/>
      <c r="I696" s="14"/>
      <c r="J696" s="14"/>
      <c r="K696" s="12"/>
    </row>
    <row r="697" ht="19.5" customHeight="1">
      <c r="A697" s="221"/>
      <c r="C697" s="12"/>
      <c r="D697" s="87"/>
      <c r="F697" s="14"/>
      <c r="G697" s="14"/>
      <c r="H697" s="14"/>
      <c r="I697" s="14"/>
      <c r="J697" s="14"/>
      <c r="K697" s="12"/>
    </row>
    <row r="698" ht="19.5" customHeight="1">
      <c r="A698" s="221"/>
      <c r="C698" s="12"/>
      <c r="D698" s="87"/>
      <c r="F698" s="14"/>
      <c r="G698" s="14"/>
      <c r="H698" s="14"/>
      <c r="I698" s="14"/>
      <c r="J698" s="14"/>
      <c r="K698" s="12"/>
    </row>
    <row r="699" ht="19.5" customHeight="1">
      <c r="A699" s="221"/>
      <c r="C699" s="12"/>
      <c r="D699" s="87"/>
      <c r="F699" s="14"/>
      <c r="G699" s="14"/>
      <c r="H699" s="14"/>
      <c r="I699" s="14"/>
      <c r="J699" s="14"/>
      <c r="K699" s="12"/>
    </row>
    <row r="700" ht="19.5" customHeight="1">
      <c r="A700" s="221"/>
      <c r="C700" s="12"/>
      <c r="D700" s="87"/>
      <c r="F700" s="14"/>
      <c r="G700" s="14"/>
      <c r="H700" s="14"/>
      <c r="I700" s="14"/>
      <c r="J700" s="14"/>
      <c r="K700" s="12"/>
    </row>
    <row r="701" ht="19.5" customHeight="1">
      <c r="A701" s="221"/>
      <c r="C701" s="12"/>
      <c r="D701" s="87"/>
      <c r="F701" s="14"/>
      <c r="G701" s="14"/>
      <c r="H701" s="14"/>
      <c r="I701" s="14"/>
      <c r="J701" s="14"/>
      <c r="K701" s="12"/>
    </row>
    <row r="702" ht="19.5" customHeight="1">
      <c r="A702" s="221"/>
      <c r="C702" s="12"/>
      <c r="D702" s="87"/>
      <c r="F702" s="14"/>
      <c r="G702" s="14"/>
      <c r="H702" s="14"/>
      <c r="I702" s="14"/>
      <c r="J702" s="14"/>
      <c r="K702" s="12"/>
    </row>
    <row r="703" ht="19.5" customHeight="1">
      <c r="A703" s="221"/>
      <c r="C703" s="12"/>
      <c r="D703" s="87"/>
      <c r="F703" s="14"/>
      <c r="G703" s="14"/>
      <c r="H703" s="14"/>
      <c r="I703" s="14"/>
      <c r="J703" s="14"/>
      <c r="K703" s="12"/>
    </row>
    <row r="704" ht="19.5" customHeight="1">
      <c r="A704" s="221"/>
      <c r="C704" s="12"/>
      <c r="D704" s="87"/>
      <c r="F704" s="14"/>
      <c r="G704" s="14"/>
      <c r="H704" s="14"/>
      <c r="I704" s="14"/>
      <c r="J704" s="14"/>
      <c r="K704" s="12"/>
    </row>
    <row r="705" ht="19.5" customHeight="1">
      <c r="A705" s="221"/>
      <c r="C705" s="12"/>
      <c r="D705" s="87"/>
      <c r="F705" s="14"/>
      <c r="G705" s="14"/>
      <c r="H705" s="14"/>
      <c r="I705" s="14"/>
      <c r="J705" s="14"/>
      <c r="K705" s="12"/>
    </row>
    <row r="706" ht="19.5" customHeight="1">
      <c r="A706" s="221"/>
      <c r="C706" s="12"/>
      <c r="D706" s="87"/>
      <c r="F706" s="14"/>
      <c r="G706" s="14"/>
      <c r="H706" s="14"/>
      <c r="I706" s="14"/>
      <c r="J706" s="14"/>
      <c r="K706" s="12"/>
    </row>
    <row r="707" ht="19.5" customHeight="1">
      <c r="A707" s="221"/>
      <c r="C707" s="12"/>
      <c r="D707" s="87"/>
      <c r="F707" s="14"/>
      <c r="G707" s="14"/>
      <c r="H707" s="14"/>
      <c r="I707" s="14"/>
      <c r="J707" s="14"/>
      <c r="K707" s="12"/>
    </row>
    <row r="708" ht="19.5" customHeight="1">
      <c r="A708" s="221"/>
      <c r="C708" s="12"/>
      <c r="D708" s="87"/>
      <c r="F708" s="14"/>
      <c r="G708" s="14"/>
      <c r="H708" s="14"/>
      <c r="I708" s="14"/>
      <c r="J708" s="14"/>
      <c r="K708" s="12"/>
    </row>
    <row r="709" ht="19.5" customHeight="1">
      <c r="A709" s="221"/>
      <c r="C709" s="12"/>
      <c r="D709" s="87"/>
      <c r="F709" s="14"/>
      <c r="G709" s="14"/>
      <c r="H709" s="14"/>
      <c r="I709" s="14"/>
      <c r="J709" s="14"/>
      <c r="K709" s="12"/>
    </row>
    <row r="710" ht="19.5" customHeight="1">
      <c r="A710" s="221"/>
      <c r="C710" s="12"/>
      <c r="D710" s="87"/>
      <c r="F710" s="14"/>
      <c r="G710" s="14"/>
      <c r="H710" s="14"/>
      <c r="I710" s="14"/>
      <c r="J710" s="14"/>
      <c r="K710" s="12"/>
    </row>
    <row r="711" ht="19.5" customHeight="1">
      <c r="A711" s="221"/>
      <c r="C711" s="12"/>
      <c r="D711" s="87"/>
      <c r="F711" s="14"/>
      <c r="G711" s="14"/>
      <c r="H711" s="14"/>
      <c r="I711" s="14"/>
      <c r="J711" s="14"/>
      <c r="K711" s="12"/>
    </row>
    <row r="712" ht="19.5" customHeight="1">
      <c r="A712" s="221"/>
      <c r="C712" s="12"/>
      <c r="D712" s="87"/>
      <c r="F712" s="14"/>
      <c r="G712" s="14"/>
      <c r="H712" s="14"/>
      <c r="I712" s="14"/>
      <c r="J712" s="14"/>
      <c r="K712" s="12"/>
    </row>
    <row r="713" ht="19.5" customHeight="1">
      <c r="A713" s="221"/>
      <c r="C713" s="12"/>
      <c r="D713" s="87"/>
      <c r="F713" s="14"/>
      <c r="G713" s="14"/>
      <c r="H713" s="14"/>
      <c r="I713" s="14"/>
      <c r="J713" s="14"/>
      <c r="K713" s="12"/>
    </row>
    <row r="714" ht="19.5" customHeight="1">
      <c r="A714" s="221"/>
      <c r="C714" s="12"/>
      <c r="D714" s="87"/>
      <c r="F714" s="14"/>
      <c r="G714" s="14"/>
      <c r="H714" s="14"/>
      <c r="I714" s="14"/>
      <c r="J714" s="14"/>
      <c r="K714" s="12"/>
    </row>
    <row r="715" ht="19.5" customHeight="1">
      <c r="A715" s="221"/>
      <c r="C715" s="12"/>
      <c r="D715" s="87"/>
      <c r="F715" s="14"/>
      <c r="G715" s="14"/>
      <c r="H715" s="14"/>
      <c r="I715" s="14"/>
      <c r="J715" s="14"/>
      <c r="K715" s="12"/>
    </row>
    <row r="716" ht="19.5" customHeight="1">
      <c r="A716" s="221"/>
      <c r="C716" s="12"/>
      <c r="D716" s="87"/>
      <c r="F716" s="14"/>
      <c r="G716" s="14"/>
      <c r="H716" s="14"/>
      <c r="I716" s="14"/>
      <c r="J716" s="14"/>
      <c r="K716" s="12"/>
    </row>
    <row r="717" ht="19.5" customHeight="1">
      <c r="A717" s="221"/>
      <c r="C717" s="12"/>
      <c r="D717" s="87"/>
      <c r="F717" s="14"/>
      <c r="G717" s="14"/>
      <c r="H717" s="14"/>
      <c r="I717" s="14"/>
      <c r="J717" s="14"/>
      <c r="K717" s="12"/>
    </row>
    <row r="718" ht="19.5" customHeight="1">
      <c r="A718" s="221"/>
      <c r="C718" s="12"/>
      <c r="D718" s="87"/>
      <c r="F718" s="14"/>
      <c r="G718" s="14"/>
      <c r="H718" s="14"/>
      <c r="I718" s="14"/>
      <c r="J718" s="14"/>
      <c r="K718" s="12"/>
    </row>
    <row r="719" ht="19.5" customHeight="1">
      <c r="A719" s="221"/>
      <c r="C719" s="12"/>
      <c r="D719" s="87"/>
      <c r="F719" s="14"/>
      <c r="G719" s="14"/>
      <c r="H719" s="14"/>
      <c r="I719" s="14"/>
      <c r="J719" s="14"/>
      <c r="K719" s="12"/>
    </row>
    <row r="720" ht="19.5" customHeight="1">
      <c r="A720" s="221"/>
      <c r="C720" s="12"/>
      <c r="D720" s="87"/>
      <c r="F720" s="14"/>
      <c r="G720" s="14"/>
      <c r="H720" s="14"/>
      <c r="I720" s="14"/>
      <c r="J720" s="14"/>
      <c r="K720" s="12"/>
    </row>
    <row r="721" ht="19.5" customHeight="1">
      <c r="A721" s="221"/>
      <c r="C721" s="12"/>
      <c r="D721" s="87"/>
      <c r="F721" s="14"/>
      <c r="G721" s="14"/>
      <c r="H721" s="14"/>
      <c r="I721" s="14"/>
      <c r="J721" s="14"/>
      <c r="K721" s="12"/>
    </row>
    <row r="722" ht="19.5" customHeight="1">
      <c r="A722" s="221"/>
      <c r="C722" s="12"/>
      <c r="D722" s="87"/>
      <c r="F722" s="14"/>
      <c r="G722" s="14"/>
      <c r="H722" s="14"/>
      <c r="I722" s="14"/>
      <c r="J722" s="14"/>
      <c r="K722" s="12"/>
    </row>
    <row r="723" ht="19.5" customHeight="1">
      <c r="A723" s="221"/>
      <c r="C723" s="12"/>
      <c r="D723" s="87"/>
      <c r="F723" s="14"/>
      <c r="G723" s="14"/>
      <c r="H723" s="14"/>
      <c r="I723" s="14"/>
      <c r="J723" s="14"/>
      <c r="K723" s="12"/>
    </row>
    <row r="724" ht="19.5" customHeight="1">
      <c r="A724" s="221"/>
      <c r="C724" s="12"/>
      <c r="D724" s="87"/>
      <c r="F724" s="14"/>
      <c r="G724" s="14"/>
      <c r="H724" s="14"/>
      <c r="I724" s="14"/>
      <c r="J724" s="14"/>
      <c r="K724" s="12"/>
    </row>
    <row r="725" ht="19.5" customHeight="1">
      <c r="A725" s="221"/>
      <c r="C725" s="12"/>
      <c r="D725" s="87"/>
      <c r="F725" s="14"/>
      <c r="G725" s="14"/>
      <c r="H725" s="14"/>
      <c r="I725" s="14"/>
      <c r="J725" s="14"/>
      <c r="K725" s="12"/>
    </row>
    <row r="726" ht="19.5" customHeight="1">
      <c r="A726" s="221"/>
      <c r="C726" s="12"/>
      <c r="D726" s="87"/>
      <c r="F726" s="14"/>
      <c r="G726" s="14"/>
      <c r="H726" s="14"/>
      <c r="I726" s="14"/>
      <c r="J726" s="14"/>
      <c r="K726" s="12"/>
    </row>
    <row r="727" ht="19.5" customHeight="1">
      <c r="A727" s="221"/>
      <c r="C727" s="12"/>
      <c r="D727" s="87"/>
      <c r="F727" s="14"/>
      <c r="G727" s="14"/>
      <c r="H727" s="14"/>
      <c r="I727" s="14"/>
      <c r="J727" s="14"/>
      <c r="K727" s="12"/>
    </row>
    <row r="728" ht="19.5" customHeight="1">
      <c r="A728" s="221"/>
      <c r="C728" s="12"/>
      <c r="D728" s="87"/>
      <c r="F728" s="14"/>
      <c r="G728" s="14"/>
      <c r="H728" s="14"/>
      <c r="I728" s="14"/>
      <c r="J728" s="14"/>
      <c r="K728" s="12"/>
    </row>
    <row r="729" ht="19.5" customHeight="1">
      <c r="A729" s="221"/>
      <c r="C729" s="12"/>
      <c r="D729" s="87"/>
      <c r="F729" s="14"/>
      <c r="G729" s="14"/>
      <c r="H729" s="14"/>
      <c r="I729" s="14"/>
      <c r="J729" s="14"/>
      <c r="K729" s="12"/>
    </row>
    <row r="730" ht="19.5" customHeight="1">
      <c r="A730" s="221"/>
      <c r="C730" s="12"/>
      <c r="D730" s="87"/>
      <c r="F730" s="14"/>
      <c r="G730" s="14"/>
      <c r="H730" s="14"/>
      <c r="I730" s="14"/>
      <c r="J730" s="14"/>
      <c r="K730" s="12"/>
    </row>
    <row r="731" ht="19.5" customHeight="1">
      <c r="A731" s="221"/>
      <c r="C731" s="12"/>
      <c r="D731" s="87"/>
      <c r="F731" s="14"/>
      <c r="G731" s="14"/>
      <c r="H731" s="14"/>
      <c r="I731" s="14"/>
      <c r="J731" s="14"/>
      <c r="K731" s="12"/>
    </row>
    <row r="732" ht="19.5" customHeight="1">
      <c r="A732" s="221"/>
      <c r="C732" s="12"/>
      <c r="D732" s="87"/>
      <c r="F732" s="14"/>
      <c r="G732" s="14"/>
      <c r="H732" s="14"/>
      <c r="I732" s="14"/>
      <c r="J732" s="14"/>
      <c r="K732" s="12"/>
    </row>
    <row r="733" ht="19.5" customHeight="1">
      <c r="A733" s="221"/>
      <c r="C733" s="12"/>
      <c r="D733" s="87"/>
      <c r="F733" s="14"/>
      <c r="G733" s="14"/>
      <c r="H733" s="14"/>
      <c r="I733" s="14"/>
      <c r="J733" s="14"/>
      <c r="K733" s="12"/>
    </row>
    <row r="734" ht="19.5" customHeight="1">
      <c r="A734" s="221"/>
      <c r="C734" s="12"/>
      <c r="D734" s="87"/>
      <c r="F734" s="14"/>
      <c r="G734" s="14"/>
      <c r="H734" s="14"/>
      <c r="I734" s="14"/>
      <c r="J734" s="14"/>
      <c r="K734" s="12"/>
    </row>
    <row r="735" ht="19.5" customHeight="1">
      <c r="A735" s="221"/>
      <c r="C735" s="12"/>
      <c r="D735" s="87"/>
      <c r="F735" s="14"/>
      <c r="G735" s="14"/>
      <c r="H735" s="14"/>
      <c r="I735" s="14"/>
      <c r="J735" s="14"/>
      <c r="K735" s="12"/>
    </row>
    <row r="736" ht="19.5" customHeight="1">
      <c r="A736" s="221"/>
      <c r="C736" s="12"/>
      <c r="D736" s="87"/>
      <c r="F736" s="14"/>
      <c r="G736" s="14"/>
      <c r="H736" s="14"/>
      <c r="I736" s="14"/>
      <c r="J736" s="14"/>
      <c r="K736" s="12"/>
    </row>
    <row r="737" ht="19.5" customHeight="1">
      <c r="A737" s="221"/>
      <c r="C737" s="12"/>
      <c r="D737" s="87"/>
      <c r="F737" s="14"/>
      <c r="G737" s="14"/>
      <c r="H737" s="14"/>
      <c r="I737" s="14"/>
      <c r="J737" s="14"/>
      <c r="K737" s="12"/>
    </row>
    <row r="738" ht="19.5" customHeight="1">
      <c r="A738" s="221"/>
      <c r="C738" s="12"/>
      <c r="D738" s="87"/>
      <c r="F738" s="14"/>
      <c r="G738" s="14"/>
      <c r="H738" s="14"/>
      <c r="I738" s="14"/>
      <c r="J738" s="14"/>
      <c r="K738" s="12"/>
    </row>
    <row r="739" ht="19.5" customHeight="1">
      <c r="A739" s="221"/>
      <c r="C739" s="12"/>
      <c r="D739" s="87"/>
      <c r="F739" s="14"/>
      <c r="G739" s="14"/>
      <c r="H739" s="14"/>
      <c r="I739" s="14"/>
      <c r="J739" s="14"/>
      <c r="K739" s="12"/>
    </row>
    <row r="740" ht="19.5" customHeight="1">
      <c r="A740" s="221"/>
      <c r="C740" s="12"/>
      <c r="D740" s="87"/>
      <c r="F740" s="14"/>
      <c r="G740" s="14"/>
      <c r="H740" s="14"/>
      <c r="I740" s="14"/>
      <c r="J740" s="14"/>
      <c r="K740" s="12"/>
    </row>
    <row r="741" ht="19.5" customHeight="1">
      <c r="A741" s="221"/>
      <c r="C741" s="12"/>
      <c r="D741" s="87"/>
      <c r="F741" s="14"/>
      <c r="G741" s="14"/>
      <c r="H741" s="14"/>
      <c r="I741" s="14"/>
      <c r="J741" s="14"/>
      <c r="K741" s="12"/>
    </row>
    <row r="742" ht="19.5" customHeight="1">
      <c r="A742" s="221"/>
      <c r="C742" s="12"/>
      <c r="D742" s="87"/>
      <c r="F742" s="14"/>
      <c r="G742" s="14"/>
      <c r="H742" s="14"/>
      <c r="I742" s="14"/>
      <c r="J742" s="14"/>
      <c r="K742" s="12"/>
    </row>
    <row r="743" ht="19.5" customHeight="1">
      <c r="A743" s="221"/>
      <c r="C743" s="12"/>
      <c r="D743" s="87"/>
      <c r="F743" s="14"/>
      <c r="G743" s="14"/>
      <c r="H743" s="14"/>
      <c r="I743" s="14"/>
      <c r="J743" s="14"/>
      <c r="K743" s="12"/>
    </row>
    <row r="744" ht="19.5" customHeight="1">
      <c r="A744" s="221"/>
      <c r="C744" s="12"/>
      <c r="D744" s="87"/>
      <c r="F744" s="14"/>
      <c r="G744" s="14"/>
      <c r="H744" s="14"/>
      <c r="I744" s="14"/>
      <c r="J744" s="14"/>
      <c r="K744" s="12"/>
    </row>
    <row r="745" ht="19.5" customHeight="1">
      <c r="A745" s="221"/>
      <c r="C745" s="12"/>
      <c r="D745" s="87"/>
      <c r="F745" s="14"/>
      <c r="G745" s="14"/>
      <c r="H745" s="14"/>
      <c r="I745" s="14"/>
      <c r="J745" s="14"/>
      <c r="K745" s="12"/>
    </row>
    <row r="746" ht="19.5" customHeight="1">
      <c r="A746" s="221"/>
      <c r="C746" s="12"/>
      <c r="D746" s="87"/>
      <c r="F746" s="14"/>
      <c r="G746" s="14"/>
      <c r="H746" s="14"/>
      <c r="I746" s="14"/>
      <c r="J746" s="14"/>
      <c r="K746" s="12"/>
    </row>
    <row r="747" ht="19.5" customHeight="1">
      <c r="A747" s="221"/>
      <c r="C747" s="12"/>
      <c r="D747" s="87"/>
      <c r="F747" s="14"/>
      <c r="G747" s="14"/>
      <c r="H747" s="14"/>
      <c r="I747" s="14"/>
      <c r="J747" s="14"/>
      <c r="K747" s="12"/>
    </row>
    <row r="748" ht="19.5" customHeight="1">
      <c r="A748" s="221"/>
      <c r="C748" s="12"/>
      <c r="D748" s="87"/>
      <c r="F748" s="14"/>
      <c r="G748" s="14"/>
      <c r="H748" s="14"/>
      <c r="I748" s="14"/>
      <c r="J748" s="14"/>
      <c r="K748" s="12"/>
    </row>
    <row r="749" ht="19.5" customHeight="1">
      <c r="A749" s="221"/>
      <c r="C749" s="12"/>
      <c r="D749" s="87"/>
      <c r="F749" s="14"/>
      <c r="G749" s="14"/>
      <c r="H749" s="14"/>
      <c r="I749" s="14"/>
      <c r="J749" s="14"/>
      <c r="K749" s="12"/>
    </row>
    <row r="750" ht="19.5" customHeight="1">
      <c r="A750" s="221"/>
      <c r="C750" s="12"/>
      <c r="D750" s="87"/>
      <c r="F750" s="14"/>
      <c r="G750" s="14"/>
      <c r="H750" s="14"/>
      <c r="I750" s="14"/>
      <c r="J750" s="14"/>
      <c r="K750" s="12"/>
    </row>
    <row r="751" ht="19.5" customHeight="1">
      <c r="A751" s="221"/>
      <c r="C751" s="12"/>
      <c r="D751" s="87"/>
      <c r="F751" s="14"/>
      <c r="G751" s="14"/>
      <c r="H751" s="14"/>
      <c r="I751" s="14"/>
      <c r="J751" s="14"/>
      <c r="K751" s="12"/>
    </row>
    <row r="752" ht="19.5" customHeight="1">
      <c r="A752" s="221"/>
      <c r="C752" s="12"/>
      <c r="D752" s="87"/>
      <c r="F752" s="14"/>
      <c r="G752" s="14"/>
      <c r="H752" s="14"/>
      <c r="I752" s="14"/>
      <c r="J752" s="14"/>
      <c r="K752" s="12"/>
    </row>
    <row r="753" ht="19.5" customHeight="1">
      <c r="A753" s="221"/>
      <c r="C753" s="12"/>
      <c r="D753" s="87"/>
      <c r="F753" s="14"/>
      <c r="G753" s="14"/>
      <c r="H753" s="14"/>
      <c r="I753" s="14"/>
      <c r="J753" s="14"/>
      <c r="K753" s="12"/>
    </row>
    <row r="754" ht="19.5" customHeight="1">
      <c r="A754" s="221"/>
      <c r="C754" s="12"/>
      <c r="D754" s="87"/>
      <c r="F754" s="14"/>
      <c r="G754" s="14"/>
      <c r="H754" s="14"/>
      <c r="I754" s="14"/>
      <c r="J754" s="14"/>
      <c r="K754" s="12"/>
    </row>
    <row r="755" ht="19.5" customHeight="1">
      <c r="A755" s="221"/>
      <c r="C755" s="12"/>
      <c r="D755" s="87"/>
      <c r="F755" s="14"/>
      <c r="G755" s="14"/>
      <c r="H755" s="14"/>
      <c r="I755" s="14"/>
      <c r="J755" s="14"/>
      <c r="K755" s="12"/>
    </row>
    <row r="756" ht="19.5" customHeight="1">
      <c r="A756" s="221"/>
      <c r="C756" s="12"/>
      <c r="D756" s="87"/>
      <c r="F756" s="14"/>
      <c r="G756" s="14"/>
      <c r="H756" s="14"/>
      <c r="I756" s="14"/>
      <c r="J756" s="14"/>
      <c r="K756" s="12"/>
    </row>
    <row r="757" ht="19.5" customHeight="1">
      <c r="A757" s="221"/>
      <c r="C757" s="12"/>
      <c r="D757" s="87"/>
      <c r="F757" s="14"/>
      <c r="G757" s="14"/>
      <c r="H757" s="14"/>
      <c r="I757" s="14"/>
      <c r="J757" s="14"/>
      <c r="K757" s="12"/>
    </row>
    <row r="758" ht="19.5" customHeight="1">
      <c r="A758" s="221"/>
      <c r="C758" s="12"/>
      <c r="D758" s="87"/>
      <c r="F758" s="14"/>
      <c r="G758" s="14"/>
      <c r="H758" s="14"/>
      <c r="I758" s="14"/>
      <c r="J758" s="14"/>
      <c r="K758" s="12"/>
    </row>
    <row r="759" ht="19.5" customHeight="1">
      <c r="A759" s="221"/>
      <c r="C759" s="12"/>
      <c r="D759" s="87"/>
      <c r="F759" s="14"/>
      <c r="G759" s="14"/>
      <c r="H759" s="14"/>
      <c r="I759" s="14"/>
      <c r="J759" s="14"/>
      <c r="K759" s="12"/>
    </row>
    <row r="760" ht="19.5" customHeight="1">
      <c r="A760" s="221"/>
      <c r="C760" s="12"/>
      <c r="D760" s="87"/>
      <c r="F760" s="14"/>
      <c r="G760" s="14"/>
      <c r="H760" s="14"/>
      <c r="I760" s="14"/>
      <c r="J760" s="14"/>
      <c r="K760" s="12"/>
    </row>
    <row r="761" ht="19.5" customHeight="1">
      <c r="A761" s="221"/>
      <c r="C761" s="12"/>
      <c r="D761" s="87"/>
      <c r="F761" s="14"/>
      <c r="G761" s="14"/>
      <c r="H761" s="14"/>
      <c r="I761" s="14"/>
      <c r="J761" s="14"/>
      <c r="K761" s="12"/>
    </row>
    <row r="762" ht="19.5" customHeight="1">
      <c r="A762" s="221"/>
      <c r="C762" s="12"/>
      <c r="D762" s="87"/>
      <c r="F762" s="14"/>
      <c r="G762" s="14"/>
      <c r="H762" s="14"/>
      <c r="I762" s="14"/>
      <c r="J762" s="14"/>
      <c r="K762" s="12"/>
    </row>
    <row r="763" ht="19.5" customHeight="1">
      <c r="A763" s="221"/>
      <c r="C763" s="12"/>
      <c r="D763" s="87"/>
      <c r="F763" s="14"/>
      <c r="G763" s="14"/>
      <c r="H763" s="14"/>
      <c r="I763" s="14"/>
      <c r="J763" s="14"/>
      <c r="K763" s="12"/>
    </row>
    <row r="764" ht="19.5" customHeight="1">
      <c r="A764" s="221"/>
      <c r="C764" s="12"/>
      <c r="D764" s="87"/>
      <c r="F764" s="14"/>
      <c r="G764" s="14"/>
      <c r="H764" s="14"/>
      <c r="I764" s="14"/>
      <c r="J764" s="14"/>
      <c r="K764" s="12"/>
    </row>
    <row r="765" ht="19.5" customHeight="1">
      <c r="A765" s="221"/>
      <c r="C765" s="12"/>
      <c r="D765" s="87"/>
      <c r="F765" s="14"/>
      <c r="G765" s="14"/>
      <c r="H765" s="14"/>
      <c r="I765" s="14"/>
      <c r="J765" s="14"/>
      <c r="K765" s="12"/>
    </row>
    <row r="766" ht="19.5" customHeight="1">
      <c r="A766" s="221"/>
      <c r="C766" s="12"/>
      <c r="D766" s="87"/>
      <c r="F766" s="14"/>
      <c r="G766" s="14"/>
      <c r="H766" s="14"/>
      <c r="I766" s="14"/>
      <c r="J766" s="14"/>
      <c r="K766" s="12"/>
    </row>
    <row r="767" ht="19.5" customHeight="1">
      <c r="A767" s="221"/>
      <c r="C767" s="12"/>
      <c r="D767" s="87"/>
      <c r="F767" s="14"/>
      <c r="G767" s="14"/>
      <c r="H767" s="14"/>
      <c r="I767" s="14"/>
      <c r="J767" s="14"/>
      <c r="K767" s="12"/>
    </row>
    <row r="768" ht="19.5" customHeight="1">
      <c r="A768" s="221"/>
      <c r="C768" s="12"/>
      <c r="D768" s="87"/>
      <c r="F768" s="14"/>
      <c r="G768" s="14"/>
      <c r="H768" s="14"/>
      <c r="I768" s="14"/>
      <c r="J768" s="14"/>
      <c r="K768" s="12"/>
    </row>
    <row r="769" ht="19.5" customHeight="1">
      <c r="A769" s="221"/>
      <c r="C769" s="12"/>
      <c r="D769" s="87"/>
      <c r="F769" s="14"/>
      <c r="G769" s="14"/>
      <c r="H769" s="14"/>
      <c r="I769" s="14"/>
      <c r="J769" s="14"/>
      <c r="K769" s="12"/>
    </row>
    <row r="770" ht="19.5" customHeight="1">
      <c r="A770" s="221"/>
      <c r="C770" s="12"/>
      <c r="D770" s="87"/>
      <c r="F770" s="14"/>
      <c r="G770" s="14"/>
      <c r="H770" s="14"/>
      <c r="I770" s="14"/>
      <c r="J770" s="14"/>
      <c r="K770" s="12"/>
    </row>
    <row r="771" ht="19.5" customHeight="1">
      <c r="A771" s="221"/>
      <c r="C771" s="12"/>
      <c r="D771" s="87"/>
      <c r="F771" s="14"/>
      <c r="G771" s="14"/>
      <c r="H771" s="14"/>
      <c r="I771" s="14"/>
      <c r="J771" s="14"/>
      <c r="K771" s="12"/>
    </row>
    <row r="772" ht="19.5" customHeight="1">
      <c r="A772" s="221"/>
      <c r="C772" s="12"/>
      <c r="D772" s="87"/>
      <c r="F772" s="14"/>
      <c r="G772" s="14"/>
      <c r="H772" s="14"/>
      <c r="I772" s="14"/>
      <c r="J772" s="14"/>
      <c r="K772" s="12"/>
    </row>
    <row r="773" ht="19.5" customHeight="1">
      <c r="A773" s="221"/>
      <c r="C773" s="12"/>
      <c r="D773" s="87"/>
      <c r="F773" s="14"/>
      <c r="G773" s="14"/>
      <c r="H773" s="14"/>
      <c r="I773" s="14"/>
      <c r="J773" s="14"/>
      <c r="K773" s="12"/>
    </row>
    <row r="774" ht="19.5" customHeight="1">
      <c r="A774" s="221"/>
      <c r="C774" s="12"/>
      <c r="D774" s="87"/>
      <c r="F774" s="14"/>
      <c r="G774" s="14"/>
      <c r="H774" s="14"/>
      <c r="I774" s="14"/>
      <c r="J774" s="14"/>
      <c r="K774" s="12"/>
    </row>
    <row r="775" ht="19.5" customHeight="1">
      <c r="A775" s="221"/>
      <c r="C775" s="12"/>
      <c r="D775" s="87"/>
      <c r="F775" s="14"/>
      <c r="G775" s="14"/>
      <c r="H775" s="14"/>
      <c r="I775" s="14"/>
      <c r="J775" s="14"/>
      <c r="K775" s="12"/>
    </row>
    <row r="776" ht="19.5" customHeight="1">
      <c r="A776" s="221"/>
      <c r="C776" s="12"/>
      <c r="D776" s="87"/>
      <c r="F776" s="14"/>
      <c r="G776" s="14"/>
      <c r="H776" s="14"/>
      <c r="I776" s="14"/>
      <c r="J776" s="14"/>
      <c r="K776" s="12"/>
    </row>
    <row r="777" ht="19.5" customHeight="1">
      <c r="A777" s="221"/>
      <c r="C777" s="12"/>
      <c r="D777" s="87"/>
      <c r="F777" s="14"/>
      <c r="G777" s="14"/>
      <c r="H777" s="14"/>
      <c r="I777" s="14"/>
      <c r="J777" s="14"/>
      <c r="K777" s="12"/>
    </row>
    <row r="778" ht="19.5" customHeight="1">
      <c r="A778" s="221"/>
      <c r="C778" s="12"/>
      <c r="D778" s="87"/>
      <c r="F778" s="14"/>
      <c r="G778" s="14"/>
      <c r="H778" s="14"/>
      <c r="I778" s="14"/>
      <c r="J778" s="14"/>
      <c r="K778" s="12"/>
    </row>
    <row r="779" ht="19.5" customHeight="1">
      <c r="A779" s="221"/>
      <c r="C779" s="12"/>
      <c r="D779" s="87"/>
      <c r="F779" s="14"/>
      <c r="G779" s="14"/>
      <c r="H779" s="14"/>
      <c r="I779" s="14"/>
      <c r="J779" s="14"/>
      <c r="K779" s="12"/>
    </row>
    <row r="780" ht="19.5" customHeight="1">
      <c r="A780" s="221"/>
      <c r="C780" s="12"/>
      <c r="D780" s="87"/>
      <c r="F780" s="14"/>
      <c r="G780" s="14"/>
      <c r="H780" s="14"/>
      <c r="I780" s="14"/>
      <c r="J780" s="14"/>
      <c r="K780" s="12"/>
    </row>
    <row r="781" ht="19.5" customHeight="1">
      <c r="A781" s="221"/>
      <c r="C781" s="12"/>
      <c r="D781" s="87"/>
      <c r="F781" s="14"/>
      <c r="G781" s="14"/>
      <c r="H781" s="14"/>
      <c r="I781" s="14"/>
      <c r="J781" s="14"/>
      <c r="K781" s="12"/>
    </row>
    <row r="782" ht="19.5" customHeight="1">
      <c r="A782" s="221"/>
      <c r="C782" s="12"/>
      <c r="D782" s="87"/>
      <c r="F782" s="14"/>
      <c r="G782" s="14"/>
      <c r="H782" s="14"/>
      <c r="I782" s="14"/>
      <c r="J782" s="14"/>
      <c r="K782" s="12"/>
    </row>
    <row r="783" ht="19.5" customHeight="1">
      <c r="A783" s="221"/>
      <c r="C783" s="12"/>
      <c r="D783" s="87"/>
      <c r="F783" s="14"/>
      <c r="G783" s="14"/>
      <c r="H783" s="14"/>
      <c r="I783" s="14"/>
      <c r="J783" s="14"/>
      <c r="K783" s="12"/>
    </row>
    <row r="784" ht="19.5" customHeight="1">
      <c r="A784" s="221"/>
      <c r="C784" s="12"/>
      <c r="D784" s="87"/>
      <c r="F784" s="14"/>
      <c r="G784" s="14"/>
      <c r="H784" s="14"/>
      <c r="I784" s="14"/>
      <c r="J784" s="14"/>
      <c r="K784" s="12"/>
    </row>
    <row r="785" ht="19.5" customHeight="1">
      <c r="A785" s="221"/>
      <c r="C785" s="12"/>
      <c r="D785" s="87"/>
      <c r="F785" s="14"/>
      <c r="G785" s="14"/>
      <c r="H785" s="14"/>
      <c r="I785" s="14"/>
      <c r="J785" s="14"/>
      <c r="K785" s="12"/>
    </row>
    <row r="786" ht="19.5" customHeight="1">
      <c r="A786" s="221"/>
      <c r="C786" s="12"/>
      <c r="D786" s="87"/>
      <c r="F786" s="14"/>
      <c r="G786" s="14"/>
      <c r="H786" s="14"/>
      <c r="I786" s="14"/>
      <c r="J786" s="14"/>
      <c r="K786" s="12"/>
    </row>
    <row r="787" ht="19.5" customHeight="1">
      <c r="A787" s="221"/>
      <c r="C787" s="12"/>
      <c r="D787" s="87"/>
      <c r="F787" s="14"/>
      <c r="G787" s="14"/>
      <c r="H787" s="14"/>
      <c r="I787" s="14"/>
      <c r="J787" s="14"/>
      <c r="K787" s="12"/>
    </row>
    <row r="788" ht="19.5" customHeight="1">
      <c r="A788" s="221"/>
      <c r="C788" s="12"/>
      <c r="D788" s="87"/>
      <c r="F788" s="14"/>
      <c r="G788" s="14"/>
      <c r="H788" s="14"/>
      <c r="I788" s="14"/>
      <c r="J788" s="14"/>
      <c r="K788" s="12"/>
    </row>
    <row r="789" ht="19.5" customHeight="1">
      <c r="A789" s="221"/>
      <c r="C789" s="12"/>
      <c r="D789" s="87"/>
      <c r="F789" s="14"/>
      <c r="G789" s="14"/>
      <c r="H789" s="14"/>
      <c r="I789" s="14"/>
      <c r="J789" s="14"/>
      <c r="K789" s="12"/>
    </row>
    <row r="790" ht="19.5" customHeight="1">
      <c r="A790" s="221"/>
      <c r="C790" s="12"/>
      <c r="D790" s="87"/>
      <c r="F790" s="14"/>
      <c r="G790" s="14"/>
      <c r="H790" s="14"/>
      <c r="I790" s="14"/>
      <c r="J790" s="14"/>
      <c r="K790" s="12"/>
    </row>
    <row r="791" ht="19.5" customHeight="1">
      <c r="A791" s="221"/>
      <c r="C791" s="12"/>
      <c r="D791" s="87"/>
      <c r="F791" s="14"/>
      <c r="G791" s="14"/>
      <c r="H791" s="14"/>
      <c r="I791" s="14"/>
      <c r="J791" s="14"/>
      <c r="K791" s="12"/>
    </row>
    <row r="792" ht="19.5" customHeight="1">
      <c r="A792" s="221"/>
      <c r="C792" s="12"/>
      <c r="D792" s="87"/>
      <c r="F792" s="14"/>
      <c r="G792" s="14"/>
      <c r="H792" s="14"/>
      <c r="I792" s="14"/>
      <c r="J792" s="14"/>
      <c r="K792" s="12"/>
    </row>
    <row r="793" ht="19.5" customHeight="1">
      <c r="A793" s="221"/>
      <c r="C793" s="12"/>
      <c r="D793" s="87"/>
      <c r="F793" s="14"/>
      <c r="G793" s="14"/>
      <c r="H793" s="14"/>
      <c r="I793" s="14"/>
      <c r="J793" s="14"/>
      <c r="K793" s="12"/>
    </row>
    <row r="794" ht="19.5" customHeight="1">
      <c r="A794" s="221"/>
      <c r="C794" s="12"/>
      <c r="D794" s="87"/>
      <c r="F794" s="14"/>
      <c r="G794" s="14"/>
      <c r="H794" s="14"/>
      <c r="I794" s="14"/>
      <c r="J794" s="14"/>
      <c r="K794" s="12"/>
    </row>
    <row r="795" ht="19.5" customHeight="1">
      <c r="A795" s="221"/>
      <c r="C795" s="12"/>
      <c r="D795" s="87"/>
      <c r="F795" s="14"/>
      <c r="G795" s="14"/>
      <c r="H795" s="14"/>
      <c r="I795" s="14"/>
      <c r="J795" s="14"/>
      <c r="K795" s="12"/>
    </row>
    <row r="796" ht="19.5" customHeight="1">
      <c r="A796" s="221"/>
      <c r="C796" s="12"/>
      <c r="D796" s="87"/>
      <c r="F796" s="14"/>
      <c r="G796" s="14"/>
      <c r="H796" s="14"/>
      <c r="I796" s="14"/>
      <c r="J796" s="14"/>
      <c r="K796" s="12"/>
    </row>
    <row r="797" ht="19.5" customHeight="1">
      <c r="A797" s="221"/>
      <c r="C797" s="12"/>
      <c r="D797" s="87"/>
      <c r="F797" s="14"/>
      <c r="G797" s="14"/>
      <c r="H797" s="14"/>
      <c r="I797" s="14"/>
      <c r="J797" s="14"/>
      <c r="K797" s="12"/>
    </row>
    <row r="798" ht="19.5" customHeight="1">
      <c r="A798" s="221"/>
      <c r="C798" s="12"/>
      <c r="D798" s="87"/>
      <c r="F798" s="14"/>
      <c r="G798" s="14"/>
      <c r="H798" s="14"/>
      <c r="I798" s="14"/>
      <c r="J798" s="14"/>
      <c r="K798" s="12"/>
    </row>
    <row r="799" ht="19.5" customHeight="1">
      <c r="A799" s="221"/>
      <c r="C799" s="12"/>
      <c r="D799" s="87"/>
      <c r="F799" s="14"/>
      <c r="G799" s="14"/>
      <c r="H799" s="14"/>
      <c r="I799" s="14"/>
      <c r="J799" s="14"/>
      <c r="K799" s="12"/>
    </row>
    <row r="800" ht="19.5" customHeight="1">
      <c r="A800" s="221"/>
      <c r="C800" s="12"/>
      <c r="D800" s="87"/>
      <c r="F800" s="14"/>
      <c r="G800" s="14"/>
      <c r="H800" s="14"/>
      <c r="I800" s="14"/>
      <c r="J800" s="14"/>
      <c r="K800" s="12"/>
    </row>
    <row r="801" ht="19.5" customHeight="1">
      <c r="A801" s="221"/>
      <c r="C801" s="12"/>
      <c r="D801" s="87"/>
      <c r="F801" s="14"/>
      <c r="G801" s="14"/>
      <c r="H801" s="14"/>
      <c r="I801" s="14"/>
      <c r="J801" s="14"/>
      <c r="K801" s="12"/>
    </row>
    <row r="802" ht="19.5" customHeight="1">
      <c r="A802" s="221"/>
      <c r="C802" s="12"/>
      <c r="D802" s="87"/>
      <c r="F802" s="14"/>
      <c r="G802" s="14"/>
      <c r="H802" s="14"/>
      <c r="I802" s="14"/>
      <c r="J802" s="14"/>
      <c r="K802" s="12"/>
    </row>
    <row r="803" ht="19.5" customHeight="1">
      <c r="A803" s="221"/>
      <c r="C803" s="12"/>
      <c r="D803" s="87"/>
      <c r="F803" s="14"/>
      <c r="G803" s="14"/>
      <c r="H803" s="14"/>
      <c r="I803" s="14"/>
      <c r="J803" s="14"/>
      <c r="K803" s="12"/>
    </row>
    <row r="804" ht="19.5" customHeight="1">
      <c r="A804" s="221"/>
      <c r="C804" s="12"/>
      <c r="D804" s="87"/>
      <c r="F804" s="14"/>
      <c r="G804" s="14"/>
      <c r="H804" s="14"/>
      <c r="I804" s="14"/>
      <c r="J804" s="14"/>
      <c r="K804" s="12"/>
    </row>
    <row r="805" ht="19.5" customHeight="1">
      <c r="A805" s="221"/>
      <c r="C805" s="12"/>
      <c r="D805" s="87"/>
      <c r="F805" s="14"/>
      <c r="G805" s="14"/>
      <c r="H805" s="14"/>
      <c r="I805" s="14"/>
      <c r="J805" s="14"/>
      <c r="K805" s="12"/>
    </row>
    <row r="806" ht="19.5" customHeight="1">
      <c r="A806" s="221"/>
      <c r="C806" s="12"/>
      <c r="D806" s="87"/>
      <c r="F806" s="14"/>
      <c r="G806" s="14"/>
      <c r="H806" s="14"/>
      <c r="I806" s="14"/>
      <c r="J806" s="14"/>
      <c r="K806" s="12"/>
    </row>
    <row r="807" ht="19.5" customHeight="1">
      <c r="A807" s="221"/>
      <c r="C807" s="12"/>
      <c r="D807" s="87"/>
      <c r="F807" s="14"/>
      <c r="G807" s="14"/>
      <c r="H807" s="14"/>
      <c r="I807" s="14"/>
      <c r="J807" s="14"/>
      <c r="K807" s="12"/>
    </row>
    <row r="808" ht="19.5" customHeight="1">
      <c r="A808" s="221"/>
      <c r="C808" s="12"/>
      <c r="D808" s="87"/>
      <c r="F808" s="14"/>
      <c r="G808" s="14"/>
      <c r="H808" s="14"/>
      <c r="I808" s="14"/>
      <c r="J808" s="14"/>
      <c r="K808" s="12"/>
    </row>
    <row r="809" ht="19.5" customHeight="1">
      <c r="A809" s="221"/>
      <c r="C809" s="12"/>
      <c r="D809" s="87"/>
      <c r="F809" s="14"/>
      <c r="G809" s="14"/>
      <c r="H809" s="14"/>
      <c r="I809" s="14"/>
      <c r="J809" s="14"/>
      <c r="K809" s="12"/>
    </row>
    <row r="810" ht="19.5" customHeight="1">
      <c r="A810" s="221"/>
      <c r="C810" s="12"/>
      <c r="D810" s="87"/>
      <c r="F810" s="14"/>
      <c r="G810" s="14"/>
      <c r="H810" s="14"/>
      <c r="I810" s="14"/>
      <c r="J810" s="14"/>
      <c r="K810" s="12"/>
    </row>
    <row r="811" ht="19.5" customHeight="1">
      <c r="A811" s="221"/>
      <c r="C811" s="12"/>
      <c r="D811" s="87"/>
      <c r="F811" s="14"/>
      <c r="G811" s="14"/>
      <c r="H811" s="14"/>
      <c r="I811" s="14"/>
      <c r="J811" s="14"/>
      <c r="K811" s="12"/>
    </row>
    <row r="812" ht="19.5" customHeight="1">
      <c r="A812" s="221"/>
      <c r="C812" s="12"/>
      <c r="D812" s="87"/>
      <c r="F812" s="14"/>
      <c r="G812" s="14"/>
      <c r="H812" s="14"/>
      <c r="I812" s="14"/>
      <c r="J812" s="14"/>
      <c r="K812" s="12"/>
    </row>
    <row r="813" ht="19.5" customHeight="1">
      <c r="A813" s="221"/>
      <c r="C813" s="12"/>
      <c r="D813" s="87"/>
      <c r="F813" s="14"/>
      <c r="G813" s="14"/>
      <c r="H813" s="14"/>
      <c r="I813" s="14"/>
      <c r="J813" s="14"/>
      <c r="K813" s="12"/>
    </row>
    <row r="814" ht="19.5" customHeight="1">
      <c r="A814" s="221"/>
      <c r="C814" s="12"/>
      <c r="D814" s="87"/>
      <c r="F814" s="14"/>
      <c r="G814" s="14"/>
      <c r="H814" s="14"/>
      <c r="I814" s="14"/>
      <c r="J814" s="14"/>
      <c r="K814" s="12"/>
    </row>
    <row r="815" ht="19.5" customHeight="1">
      <c r="A815" s="221"/>
      <c r="C815" s="12"/>
      <c r="D815" s="87"/>
      <c r="F815" s="14"/>
      <c r="G815" s="14"/>
      <c r="H815" s="14"/>
      <c r="I815" s="14"/>
      <c r="J815" s="14"/>
      <c r="K815" s="12"/>
    </row>
    <row r="816" ht="19.5" customHeight="1">
      <c r="A816" s="221"/>
      <c r="C816" s="12"/>
      <c r="D816" s="87"/>
      <c r="F816" s="14"/>
      <c r="G816" s="14"/>
      <c r="H816" s="14"/>
      <c r="I816" s="14"/>
      <c r="J816" s="14"/>
      <c r="K816" s="12"/>
    </row>
    <row r="817" ht="19.5" customHeight="1">
      <c r="A817" s="221"/>
      <c r="C817" s="12"/>
      <c r="D817" s="87"/>
      <c r="F817" s="14"/>
      <c r="G817" s="14"/>
      <c r="H817" s="14"/>
      <c r="I817" s="14"/>
      <c r="J817" s="14"/>
      <c r="K817" s="12"/>
    </row>
    <row r="818" ht="19.5" customHeight="1">
      <c r="A818" s="221"/>
      <c r="C818" s="12"/>
      <c r="D818" s="87"/>
      <c r="F818" s="14"/>
      <c r="G818" s="14"/>
      <c r="H818" s="14"/>
      <c r="I818" s="14"/>
      <c r="J818" s="14"/>
      <c r="K818" s="12"/>
    </row>
    <row r="819" ht="19.5" customHeight="1">
      <c r="A819" s="221"/>
      <c r="C819" s="12"/>
      <c r="D819" s="87"/>
      <c r="F819" s="14"/>
      <c r="G819" s="14"/>
      <c r="H819" s="14"/>
      <c r="I819" s="14"/>
      <c r="J819" s="14"/>
      <c r="K819" s="12"/>
    </row>
    <row r="820" ht="19.5" customHeight="1">
      <c r="A820" s="221"/>
      <c r="C820" s="12"/>
      <c r="D820" s="87"/>
      <c r="F820" s="14"/>
      <c r="G820" s="14"/>
      <c r="H820" s="14"/>
      <c r="I820" s="14"/>
      <c r="J820" s="14"/>
      <c r="K820" s="12"/>
    </row>
    <row r="821" ht="19.5" customHeight="1">
      <c r="A821" s="221"/>
      <c r="C821" s="12"/>
      <c r="D821" s="87"/>
      <c r="F821" s="14"/>
      <c r="G821" s="14"/>
      <c r="H821" s="14"/>
      <c r="I821" s="14"/>
      <c r="J821" s="14"/>
      <c r="K821" s="12"/>
    </row>
    <row r="822" ht="19.5" customHeight="1">
      <c r="A822" s="221"/>
      <c r="C822" s="12"/>
      <c r="D822" s="87"/>
      <c r="F822" s="14"/>
      <c r="G822" s="14"/>
      <c r="H822" s="14"/>
      <c r="I822" s="14"/>
      <c r="J822" s="14"/>
      <c r="K822" s="12"/>
    </row>
    <row r="823" ht="19.5" customHeight="1">
      <c r="A823" s="221"/>
      <c r="C823" s="12"/>
      <c r="D823" s="87"/>
      <c r="F823" s="14"/>
      <c r="G823" s="14"/>
      <c r="H823" s="14"/>
      <c r="I823" s="14"/>
      <c r="J823" s="14"/>
      <c r="K823" s="12"/>
    </row>
    <row r="824" ht="19.5" customHeight="1">
      <c r="A824" s="221"/>
      <c r="C824" s="12"/>
      <c r="D824" s="87"/>
      <c r="F824" s="14"/>
      <c r="G824" s="14"/>
      <c r="H824" s="14"/>
      <c r="I824" s="14"/>
      <c r="J824" s="14"/>
      <c r="K824" s="12"/>
    </row>
    <row r="825" ht="19.5" customHeight="1">
      <c r="A825" s="221"/>
      <c r="C825" s="12"/>
      <c r="D825" s="87"/>
      <c r="F825" s="14"/>
      <c r="G825" s="14"/>
      <c r="H825" s="14"/>
      <c r="I825" s="14"/>
      <c r="J825" s="14"/>
      <c r="K825" s="12"/>
    </row>
    <row r="826" ht="19.5" customHeight="1">
      <c r="A826" s="221"/>
      <c r="C826" s="12"/>
      <c r="D826" s="87"/>
      <c r="F826" s="14"/>
      <c r="G826" s="14"/>
      <c r="H826" s="14"/>
      <c r="I826" s="14"/>
      <c r="J826" s="14"/>
      <c r="K826" s="12"/>
    </row>
    <row r="827" ht="19.5" customHeight="1">
      <c r="A827" s="221"/>
      <c r="C827" s="12"/>
      <c r="D827" s="87"/>
      <c r="F827" s="14"/>
      <c r="G827" s="14"/>
      <c r="H827" s="14"/>
      <c r="I827" s="14"/>
      <c r="J827" s="14"/>
      <c r="K827" s="12"/>
    </row>
    <row r="828" ht="19.5" customHeight="1">
      <c r="A828" s="221"/>
      <c r="C828" s="12"/>
      <c r="D828" s="87"/>
      <c r="F828" s="14"/>
      <c r="G828" s="14"/>
      <c r="H828" s="14"/>
      <c r="I828" s="14"/>
      <c r="J828" s="14"/>
      <c r="K828" s="12"/>
    </row>
    <row r="829" ht="19.5" customHeight="1">
      <c r="A829" s="221"/>
      <c r="C829" s="12"/>
      <c r="D829" s="87"/>
      <c r="F829" s="14"/>
      <c r="G829" s="14"/>
      <c r="H829" s="14"/>
      <c r="I829" s="14"/>
      <c r="J829" s="14"/>
      <c r="K829" s="12"/>
    </row>
    <row r="830" ht="19.5" customHeight="1">
      <c r="A830" s="221"/>
      <c r="C830" s="12"/>
      <c r="D830" s="87"/>
      <c r="F830" s="14"/>
      <c r="G830" s="14"/>
      <c r="H830" s="14"/>
      <c r="I830" s="14"/>
      <c r="J830" s="14"/>
      <c r="K830" s="12"/>
    </row>
    <row r="831" ht="19.5" customHeight="1">
      <c r="A831" s="221"/>
      <c r="C831" s="12"/>
      <c r="D831" s="87"/>
      <c r="F831" s="14"/>
      <c r="G831" s="14"/>
      <c r="H831" s="14"/>
      <c r="I831" s="14"/>
      <c r="J831" s="14"/>
      <c r="K831" s="12"/>
    </row>
    <row r="832" ht="19.5" customHeight="1">
      <c r="A832" s="221"/>
      <c r="C832" s="12"/>
      <c r="D832" s="87"/>
      <c r="F832" s="14"/>
      <c r="G832" s="14"/>
      <c r="H832" s="14"/>
      <c r="I832" s="14"/>
      <c r="J832" s="14"/>
      <c r="K832" s="12"/>
    </row>
    <row r="833" ht="19.5" customHeight="1">
      <c r="A833" s="221"/>
      <c r="C833" s="12"/>
      <c r="D833" s="87"/>
      <c r="F833" s="14"/>
      <c r="G833" s="14"/>
      <c r="H833" s="14"/>
      <c r="I833" s="14"/>
      <c r="J833" s="14"/>
      <c r="K833" s="12"/>
    </row>
    <row r="834" ht="19.5" customHeight="1">
      <c r="A834" s="221"/>
      <c r="C834" s="12"/>
      <c r="D834" s="87"/>
      <c r="F834" s="14"/>
      <c r="G834" s="14"/>
      <c r="H834" s="14"/>
      <c r="I834" s="14"/>
      <c r="J834" s="14"/>
      <c r="K834" s="12"/>
    </row>
    <row r="835" ht="19.5" customHeight="1">
      <c r="A835" s="221"/>
      <c r="C835" s="12"/>
      <c r="D835" s="87"/>
      <c r="F835" s="14"/>
      <c r="G835" s="14"/>
      <c r="H835" s="14"/>
      <c r="I835" s="14"/>
      <c r="J835" s="14"/>
      <c r="K835" s="12"/>
    </row>
    <row r="836" ht="19.5" customHeight="1">
      <c r="A836" s="221"/>
      <c r="C836" s="12"/>
      <c r="D836" s="87"/>
      <c r="F836" s="14"/>
      <c r="G836" s="14"/>
      <c r="H836" s="14"/>
      <c r="I836" s="14"/>
      <c r="J836" s="14"/>
      <c r="K836" s="12"/>
    </row>
    <row r="837" ht="19.5" customHeight="1">
      <c r="A837" s="221"/>
      <c r="C837" s="12"/>
      <c r="D837" s="87"/>
      <c r="F837" s="14"/>
      <c r="G837" s="14"/>
      <c r="H837" s="14"/>
      <c r="I837" s="14"/>
      <c r="J837" s="14"/>
      <c r="K837" s="12"/>
    </row>
    <row r="838" ht="19.5" customHeight="1">
      <c r="A838" s="221"/>
      <c r="C838" s="12"/>
      <c r="D838" s="87"/>
      <c r="F838" s="14"/>
      <c r="G838" s="14"/>
      <c r="H838" s="14"/>
      <c r="I838" s="14"/>
      <c r="J838" s="14"/>
      <c r="K838" s="12"/>
    </row>
    <row r="839" ht="19.5" customHeight="1">
      <c r="A839" s="221"/>
      <c r="C839" s="12"/>
      <c r="D839" s="87"/>
      <c r="F839" s="14"/>
      <c r="G839" s="14"/>
      <c r="H839" s="14"/>
      <c r="I839" s="14"/>
      <c r="J839" s="14"/>
      <c r="K839" s="12"/>
    </row>
    <row r="840" ht="19.5" customHeight="1">
      <c r="A840" s="221"/>
      <c r="C840" s="12"/>
      <c r="D840" s="87"/>
      <c r="F840" s="14"/>
      <c r="G840" s="14"/>
      <c r="H840" s="14"/>
      <c r="I840" s="14"/>
      <c r="J840" s="14"/>
      <c r="K840" s="12"/>
    </row>
    <row r="841" ht="19.5" customHeight="1">
      <c r="A841" s="221"/>
      <c r="C841" s="12"/>
      <c r="D841" s="87"/>
      <c r="F841" s="14"/>
      <c r="G841" s="14"/>
      <c r="H841" s="14"/>
      <c r="I841" s="14"/>
      <c r="J841" s="14"/>
      <c r="K841" s="12"/>
    </row>
    <row r="842" ht="19.5" customHeight="1">
      <c r="A842" s="221"/>
      <c r="C842" s="12"/>
      <c r="D842" s="87"/>
      <c r="F842" s="14"/>
      <c r="G842" s="14"/>
      <c r="H842" s="14"/>
      <c r="I842" s="14"/>
      <c r="J842" s="14"/>
      <c r="K842" s="12"/>
    </row>
    <row r="843" ht="19.5" customHeight="1">
      <c r="A843" s="221"/>
      <c r="C843" s="12"/>
      <c r="D843" s="87"/>
      <c r="F843" s="14"/>
      <c r="G843" s="14"/>
      <c r="H843" s="14"/>
      <c r="I843" s="14"/>
      <c r="J843" s="14"/>
      <c r="K843" s="12"/>
    </row>
    <row r="844" ht="19.5" customHeight="1">
      <c r="A844" s="221"/>
      <c r="C844" s="12"/>
      <c r="D844" s="87"/>
      <c r="F844" s="14"/>
      <c r="G844" s="14"/>
      <c r="H844" s="14"/>
      <c r="I844" s="14"/>
      <c r="J844" s="14"/>
      <c r="K844" s="12"/>
    </row>
    <row r="845" ht="19.5" customHeight="1">
      <c r="A845" s="221"/>
      <c r="C845" s="12"/>
      <c r="D845" s="87"/>
      <c r="F845" s="14"/>
      <c r="G845" s="14"/>
      <c r="H845" s="14"/>
      <c r="I845" s="14"/>
      <c r="J845" s="14"/>
      <c r="K845" s="12"/>
    </row>
    <row r="846" ht="19.5" customHeight="1">
      <c r="A846" s="221"/>
      <c r="C846" s="12"/>
      <c r="D846" s="87"/>
      <c r="F846" s="14"/>
      <c r="G846" s="14"/>
      <c r="H846" s="14"/>
      <c r="I846" s="14"/>
      <c r="J846" s="14"/>
      <c r="K846" s="12"/>
    </row>
    <row r="847" ht="19.5" customHeight="1">
      <c r="A847" s="221"/>
      <c r="C847" s="12"/>
      <c r="D847" s="87"/>
      <c r="F847" s="14"/>
      <c r="G847" s="14"/>
      <c r="H847" s="14"/>
      <c r="I847" s="14"/>
      <c r="J847" s="14"/>
      <c r="K847" s="12"/>
    </row>
    <row r="848" ht="19.5" customHeight="1">
      <c r="A848" s="221"/>
      <c r="C848" s="12"/>
      <c r="D848" s="87"/>
      <c r="F848" s="14"/>
      <c r="G848" s="14"/>
      <c r="H848" s="14"/>
      <c r="I848" s="14"/>
      <c r="J848" s="14"/>
      <c r="K848" s="12"/>
    </row>
    <row r="849" ht="19.5" customHeight="1">
      <c r="A849" s="221"/>
      <c r="C849" s="12"/>
      <c r="D849" s="87"/>
      <c r="F849" s="14"/>
      <c r="G849" s="14"/>
      <c r="H849" s="14"/>
      <c r="I849" s="14"/>
      <c r="J849" s="14"/>
      <c r="K849" s="12"/>
    </row>
    <row r="850" ht="19.5" customHeight="1">
      <c r="A850" s="221"/>
      <c r="C850" s="12"/>
      <c r="D850" s="87"/>
      <c r="F850" s="14"/>
      <c r="G850" s="14"/>
      <c r="H850" s="14"/>
      <c r="I850" s="14"/>
      <c r="J850" s="14"/>
      <c r="K850" s="12"/>
    </row>
    <row r="851" ht="19.5" customHeight="1">
      <c r="A851" s="221"/>
      <c r="C851" s="12"/>
      <c r="D851" s="87"/>
      <c r="F851" s="14"/>
      <c r="G851" s="14"/>
      <c r="H851" s="14"/>
      <c r="I851" s="14"/>
      <c r="J851" s="14"/>
      <c r="K851" s="12"/>
    </row>
    <row r="852" ht="19.5" customHeight="1">
      <c r="A852" s="221"/>
      <c r="C852" s="12"/>
      <c r="D852" s="87"/>
      <c r="F852" s="14"/>
      <c r="G852" s="14"/>
      <c r="H852" s="14"/>
      <c r="I852" s="14"/>
      <c r="J852" s="14"/>
      <c r="K852" s="12"/>
    </row>
    <row r="853" ht="19.5" customHeight="1">
      <c r="A853" s="221"/>
      <c r="C853" s="12"/>
      <c r="D853" s="87"/>
      <c r="F853" s="14"/>
      <c r="G853" s="14"/>
      <c r="H853" s="14"/>
      <c r="I853" s="14"/>
      <c r="J853" s="14"/>
      <c r="K853" s="12"/>
    </row>
    <row r="854" ht="19.5" customHeight="1">
      <c r="A854" s="221"/>
      <c r="C854" s="12"/>
      <c r="D854" s="87"/>
      <c r="F854" s="14"/>
      <c r="G854" s="14"/>
      <c r="H854" s="14"/>
      <c r="I854" s="14"/>
      <c r="J854" s="14"/>
      <c r="K854" s="12"/>
    </row>
    <row r="855" ht="19.5" customHeight="1">
      <c r="A855" s="221"/>
      <c r="C855" s="12"/>
      <c r="D855" s="87"/>
      <c r="F855" s="14"/>
      <c r="G855" s="14"/>
      <c r="H855" s="14"/>
      <c r="I855" s="14"/>
      <c r="J855" s="14"/>
      <c r="K855" s="12"/>
    </row>
    <row r="856" ht="19.5" customHeight="1">
      <c r="A856" s="221"/>
      <c r="C856" s="12"/>
      <c r="D856" s="87"/>
      <c r="F856" s="14"/>
      <c r="G856" s="14"/>
      <c r="H856" s="14"/>
      <c r="I856" s="14"/>
      <c r="J856" s="14"/>
      <c r="K856" s="12"/>
    </row>
    <row r="857" ht="19.5" customHeight="1">
      <c r="A857" s="221"/>
      <c r="C857" s="12"/>
      <c r="D857" s="87"/>
      <c r="F857" s="14"/>
      <c r="G857" s="14"/>
      <c r="H857" s="14"/>
      <c r="I857" s="14"/>
      <c r="J857" s="14"/>
      <c r="K857" s="12"/>
    </row>
    <row r="858" ht="19.5" customHeight="1">
      <c r="A858" s="221"/>
      <c r="C858" s="12"/>
      <c r="D858" s="87"/>
      <c r="F858" s="14"/>
      <c r="G858" s="14"/>
      <c r="H858" s="14"/>
      <c r="I858" s="14"/>
      <c r="J858" s="14"/>
      <c r="K858" s="12"/>
    </row>
    <row r="859" ht="19.5" customHeight="1">
      <c r="A859" s="221"/>
      <c r="C859" s="12"/>
      <c r="D859" s="87"/>
      <c r="F859" s="14"/>
      <c r="G859" s="14"/>
      <c r="H859" s="14"/>
      <c r="I859" s="14"/>
      <c r="J859" s="14"/>
      <c r="K859" s="12"/>
    </row>
    <row r="860" ht="19.5" customHeight="1">
      <c r="A860" s="221"/>
      <c r="C860" s="12"/>
      <c r="D860" s="87"/>
      <c r="F860" s="14"/>
      <c r="G860" s="14"/>
      <c r="H860" s="14"/>
      <c r="I860" s="14"/>
      <c r="J860" s="14"/>
      <c r="K860" s="12"/>
    </row>
    <row r="861" ht="19.5" customHeight="1">
      <c r="A861" s="221"/>
      <c r="C861" s="12"/>
      <c r="D861" s="87"/>
      <c r="F861" s="14"/>
      <c r="G861" s="14"/>
      <c r="H861" s="14"/>
      <c r="I861" s="14"/>
      <c r="J861" s="14"/>
      <c r="K861" s="12"/>
    </row>
    <row r="862" ht="19.5" customHeight="1">
      <c r="A862" s="221"/>
      <c r="C862" s="12"/>
      <c r="D862" s="87"/>
      <c r="F862" s="14"/>
      <c r="G862" s="14"/>
      <c r="H862" s="14"/>
      <c r="I862" s="14"/>
      <c r="J862" s="14"/>
      <c r="K862" s="12"/>
    </row>
    <row r="863" ht="19.5" customHeight="1">
      <c r="A863" s="221"/>
      <c r="C863" s="12"/>
      <c r="D863" s="87"/>
      <c r="F863" s="14"/>
      <c r="G863" s="14"/>
      <c r="H863" s="14"/>
      <c r="I863" s="14"/>
      <c r="J863" s="14"/>
      <c r="K863" s="12"/>
    </row>
    <row r="864" ht="19.5" customHeight="1">
      <c r="A864" s="221"/>
      <c r="C864" s="12"/>
      <c r="D864" s="87"/>
      <c r="F864" s="14"/>
      <c r="G864" s="14"/>
      <c r="H864" s="14"/>
      <c r="I864" s="14"/>
      <c r="J864" s="14"/>
      <c r="K864" s="12"/>
    </row>
    <row r="865" ht="19.5" customHeight="1">
      <c r="A865" s="221"/>
      <c r="C865" s="12"/>
      <c r="D865" s="87"/>
      <c r="F865" s="14"/>
      <c r="G865" s="14"/>
      <c r="H865" s="14"/>
      <c r="I865" s="14"/>
      <c r="J865" s="14"/>
      <c r="K865" s="12"/>
    </row>
    <row r="866" ht="19.5" customHeight="1">
      <c r="A866" s="221"/>
      <c r="C866" s="12"/>
      <c r="D866" s="87"/>
      <c r="F866" s="14"/>
      <c r="G866" s="14"/>
      <c r="H866" s="14"/>
      <c r="I866" s="14"/>
      <c r="J866" s="14"/>
      <c r="K866" s="12"/>
    </row>
    <row r="867" ht="19.5" customHeight="1">
      <c r="A867" s="221"/>
      <c r="C867" s="12"/>
      <c r="D867" s="87"/>
      <c r="F867" s="14"/>
      <c r="G867" s="14"/>
      <c r="H867" s="14"/>
      <c r="I867" s="14"/>
      <c r="J867" s="14"/>
      <c r="K867" s="12"/>
    </row>
    <row r="868" ht="19.5" customHeight="1">
      <c r="A868" s="221"/>
      <c r="C868" s="12"/>
      <c r="D868" s="87"/>
      <c r="F868" s="14"/>
      <c r="G868" s="14"/>
      <c r="H868" s="14"/>
      <c r="I868" s="14"/>
      <c r="J868" s="14"/>
      <c r="K868" s="12"/>
    </row>
    <row r="869" ht="19.5" customHeight="1">
      <c r="A869" s="221"/>
      <c r="C869" s="12"/>
      <c r="D869" s="87"/>
      <c r="F869" s="14"/>
      <c r="G869" s="14"/>
      <c r="H869" s="14"/>
      <c r="I869" s="14"/>
      <c r="J869" s="14"/>
      <c r="K869" s="12"/>
    </row>
    <row r="870" ht="19.5" customHeight="1">
      <c r="A870" s="221"/>
      <c r="C870" s="12"/>
      <c r="D870" s="87"/>
      <c r="F870" s="14"/>
      <c r="G870" s="14"/>
      <c r="H870" s="14"/>
      <c r="I870" s="14"/>
      <c r="J870" s="14"/>
      <c r="K870" s="12"/>
    </row>
    <row r="871" ht="19.5" customHeight="1">
      <c r="A871" s="221"/>
      <c r="C871" s="12"/>
      <c r="D871" s="87"/>
      <c r="F871" s="14"/>
      <c r="G871" s="14"/>
      <c r="H871" s="14"/>
      <c r="I871" s="14"/>
      <c r="J871" s="14"/>
      <c r="K871" s="12"/>
    </row>
    <row r="872" ht="19.5" customHeight="1">
      <c r="A872" s="221"/>
      <c r="C872" s="12"/>
      <c r="D872" s="87"/>
      <c r="F872" s="14"/>
      <c r="G872" s="14"/>
      <c r="H872" s="14"/>
      <c r="I872" s="14"/>
      <c r="J872" s="14"/>
      <c r="K872" s="12"/>
    </row>
    <row r="873" ht="19.5" customHeight="1">
      <c r="A873" s="221"/>
      <c r="C873" s="12"/>
      <c r="D873" s="87"/>
      <c r="F873" s="14"/>
      <c r="G873" s="14"/>
      <c r="H873" s="14"/>
      <c r="I873" s="14"/>
      <c r="J873" s="14"/>
      <c r="K873" s="12"/>
    </row>
    <row r="874" ht="19.5" customHeight="1">
      <c r="A874" s="221"/>
      <c r="C874" s="12"/>
      <c r="D874" s="87"/>
      <c r="F874" s="14"/>
      <c r="G874" s="14"/>
      <c r="H874" s="14"/>
      <c r="I874" s="14"/>
      <c r="J874" s="14"/>
      <c r="K874" s="12"/>
    </row>
    <row r="875" ht="19.5" customHeight="1">
      <c r="A875" s="221"/>
      <c r="C875" s="12"/>
      <c r="D875" s="87"/>
      <c r="F875" s="14"/>
      <c r="G875" s="14"/>
      <c r="H875" s="14"/>
      <c r="I875" s="14"/>
      <c r="J875" s="14"/>
      <c r="K875" s="12"/>
    </row>
    <row r="876" ht="19.5" customHeight="1">
      <c r="A876" s="221"/>
      <c r="C876" s="12"/>
      <c r="D876" s="87"/>
      <c r="F876" s="14"/>
      <c r="G876" s="14"/>
      <c r="H876" s="14"/>
      <c r="I876" s="14"/>
      <c r="J876" s="14"/>
      <c r="K876" s="12"/>
    </row>
    <row r="877" ht="19.5" customHeight="1">
      <c r="A877" s="221"/>
      <c r="C877" s="12"/>
      <c r="D877" s="87"/>
      <c r="F877" s="14"/>
      <c r="G877" s="14"/>
      <c r="H877" s="14"/>
      <c r="I877" s="14"/>
      <c r="J877" s="14"/>
      <c r="K877" s="12"/>
    </row>
    <row r="878" ht="19.5" customHeight="1">
      <c r="A878" s="221"/>
      <c r="C878" s="12"/>
      <c r="D878" s="87"/>
      <c r="F878" s="14"/>
      <c r="G878" s="14"/>
      <c r="H878" s="14"/>
      <c r="I878" s="14"/>
      <c r="J878" s="14"/>
      <c r="K878" s="12"/>
    </row>
    <row r="879" ht="19.5" customHeight="1">
      <c r="A879" s="221"/>
      <c r="C879" s="12"/>
      <c r="D879" s="87"/>
      <c r="F879" s="14"/>
      <c r="G879" s="14"/>
      <c r="H879" s="14"/>
      <c r="I879" s="14"/>
      <c r="J879" s="14"/>
      <c r="K879" s="12"/>
    </row>
    <row r="880" ht="19.5" customHeight="1">
      <c r="A880" s="221"/>
      <c r="C880" s="12"/>
      <c r="D880" s="87"/>
      <c r="F880" s="14"/>
      <c r="G880" s="14"/>
      <c r="H880" s="14"/>
      <c r="I880" s="14"/>
      <c r="J880" s="14"/>
      <c r="K880" s="12"/>
    </row>
    <row r="881" ht="19.5" customHeight="1">
      <c r="A881" s="221"/>
      <c r="C881" s="12"/>
      <c r="D881" s="87"/>
      <c r="F881" s="14"/>
      <c r="G881" s="14"/>
      <c r="H881" s="14"/>
      <c r="I881" s="14"/>
      <c r="J881" s="14"/>
      <c r="K881" s="12"/>
    </row>
    <row r="882" ht="19.5" customHeight="1">
      <c r="A882" s="221"/>
      <c r="C882" s="12"/>
      <c r="D882" s="87"/>
      <c r="F882" s="14"/>
      <c r="G882" s="14"/>
      <c r="H882" s="14"/>
      <c r="I882" s="14"/>
      <c r="J882" s="14"/>
      <c r="K882" s="12"/>
    </row>
    <row r="883" ht="19.5" customHeight="1">
      <c r="A883" s="221"/>
      <c r="C883" s="12"/>
      <c r="D883" s="87"/>
      <c r="F883" s="14"/>
      <c r="G883" s="14"/>
      <c r="H883" s="14"/>
      <c r="I883" s="14"/>
      <c r="J883" s="14"/>
      <c r="K883" s="12"/>
    </row>
    <row r="884" ht="19.5" customHeight="1">
      <c r="A884" s="221"/>
      <c r="C884" s="12"/>
      <c r="D884" s="87"/>
      <c r="F884" s="14"/>
      <c r="G884" s="14"/>
      <c r="H884" s="14"/>
      <c r="I884" s="14"/>
      <c r="J884" s="14"/>
      <c r="K884" s="12"/>
    </row>
    <row r="885" ht="19.5" customHeight="1">
      <c r="A885" s="221"/>
      <c r="C885" s="12"/>
      <c r="D885" s="87"/>
      <c r="F885" s="14"/>
      <c r="G885" s="14"/>
      <c r="H885" s="14"/>
      <c r="I885" s="14"/>
      <c r="J885" s="14"/>
      <c r="K885" s="12"/>
    </row>
    <row r="886" ht="19.5" customHeight="1">
      <c r="A886" s="221"/>
      <c r="C886" s="12"/>
      <c r="D886" s="87"/>
      <c r="F886" s="14"/>
      <c r="G886" s="14"/>
      <c r="H886" s="14"/>
      <c r="I886" s="14"/>
      <c r="J886" s="14"/>
      <c r="K886" s="12"/>
    </row>
    <row r="887" ht="19.5" customHeight="1">
      <c r="A887" s="221"/>
      <c r="C887" s="12"/>
      <c r="D887" s="87"/>
      <c r="F887" s="14"/>
      <c r="G887" s="14"/>
      <c r="H887" s="14"/>
      <c r="I887" s="14"/>
      <c r="J887" s="14"/>
      <c r="K887" s="12"/>
    </row>
    <row r="888" ht="19.5" customHeight="1">
      <c r="A888" s="221"/>
      <c r="C888" s="12"/>
      <c r="D888" s="87"/>
      <c r="F888" s="14"/>
      <c r="G888" s="14"/>
      <c r="H888" s="14"/>
      <c r="I888" s="14"/>
      <c r="J888" s="14"/>
      <c r="K888" s="12"/>
    </row>
    <row r="889" ht="19.5" customHeight="1">
      <c r="A889" s="221"/>
      <c r="C889" s="12"/>
      <c r="D889" s="87"/>
      <c r="F889" s="14"/>
      <c r="G889" s="14"/>
      <c r="H889" s="14"/>
      <c r="I889" s="14"/>
      <c r="J889" s="14"/>
      <c r="K889" s="12"/>
    </row>
    <row r="890" ht="19.5" customHeight="1">
      <c r="A890" s="221"/>
      <c r="C890" s="12"/>
      <c r="D890" s="87"/>
      <c r="F890" s="14"/>
      <c r="G890" s="14"/>
      <c r="H890" s="14"/>
      <c r="I890" s="14"/>
      <c r="J890" s="14"/>
      <c r="K890" s="12"/>
    </row>
    <row r="891" ht="19.5" customHeight="1">
      <c r="A891" s="221"/>
      <c r="C891" s="12"/>
      <c r="D891" s="87"/>
      <c r="F891" s="14"/>
      <c r="G891" s="14"/>
      <c r="H891" s="14"/>
      <c r="I891" s="14"/>
      <c r="J891" s="14"/>
      <c r="K891" s="12"/>
    </row>
    <row r="892" ht="19.5" customHeight="1">
      <c r="A892" s="221"/>
      <c r="C892" s="12"/>
      <c r="D892" s="87"/>
      <c r="F892" s="14"/>
      <c r="G892" s="14"/>
      <c r="H892" s="14"/>
      <c r="I892" s="14"/>
      <c r="J892" s="14"/>
      <c r="K892" s="12"/>
    </row>
    <row r="893" ht="19.5" customHeight="1">
      <c r="A893" s="221"/>
      <c r="C893" s="12"/>
      <c r="D893" s="87"/>
      <c r="F893" s="14"/>
      <c r="G893" s="14"/>
      <c r="H893" s="14"/>
      <c r="I893" s="14"/>
      <c r="J893" s="14"/>
      <c r="K893" s="12"/>
    </row>
    <row r="894" ht="19.5" customHeight="1">
      <c r="A894" s="221"/>
      <c r="C894" s="12"/>
      <c r="D894" s="87"/>
      <c r="F894" s="14"/>
      <c r="G894" s="14"/>
      <c r="H894" s="14"/>
      <c r="I894" s="14"/>
      <c r="J894" s="14"/>
      <c r="K894" s="12"/>
    </row>
    <row r="895" ht="19.5" customHeight="1">
      <c r="A895" s="221"/>
      <c r="C895" s="12"/>
      <c r="D895" s="87"/>
      <c r="F895" s="14"/>
      <c r="G895" s="14"/>
      <c r="H895" s="14"/>
      <c r="I895" s="14"/>
      <c r="J895" s="14"/>
      <c r="K895" s="12"/>
    </row>
    <row r="896" ht="19.5" customHeight="1">
      <c r="A896" s="221"/>
      <c r="C896" s="12"/>
      <c r="D896" s="87"/>
      <c r="F896" s="14"/>
      <c r="G896" s="14"/>
      <c r="H896" s="14"/>
      <c r="I896" s="14"/>
      <c r="J896" s="14"/>
      <c r="K896" s="12"/>
    </row>
    <row r="897" ht="19.5" customHeight="1">
      <c r="A897" s="221"/>
      <c r="C897" s="12"/>
      <c r="D897" s="87"/>
      <c r="F897" s="14"/>
      <c r="G897" s="14"/>
      <c r="H897" s="14"/>
      <c r="I897" s="14"/>
      <c r="J897" s="14"/>
      <c r="K897" s="12"/>
    </row>
    <row r="898" ht="19.5" customHeight="1">
      <c r="A898" s="221"/>
      <c r="C898" s="12"/>
      <c r="D898" s="87"/>
      <c r="F898" s="14"/>
      <c r="G898" s="14"/>
      <c r="H898" s="14"/>
      <c r="I898" s="14"/>
      <c r="J898" s="14"/>
      <c r="K898" s="12"/>
    </row>
    <row r="899" ht="19.5" customHeight="1">
      <c r="A899" s="221"/>
      <c r="C899" s="12"/>
      <c r="D899" s="87"/>
      <c r="F899" s="14"/>
      <c r="G899" s="14"/>
      <c r="H899" s="14"/>
      <c r="I899" s="14"/>
      <c r="J899" s="14"/>
      <c r="K899" s="12"/>
    </row>
    <row r="900" ht="19.5" customHeight="1">
      <c r="A900" s="221"/>
      <c r="C900" s="12"/>
      <c r="D900" s="87"/>
      <c r="F900" s="14"/>
      <c r="G900" s="14"/>
      <c r="H900" s="14"/>
      <c r="I900" s="14"/>
      <c r="J900" s="14"/>
      <c r="K900" s="12"/>
    </row>
    <row r="901" ht="19.5" customHeight="1">
      <c r="A901" s="221"/>
      <c r="C901" s="12"/>
      <c r="D901" s="87"/>
      <c r="F901" s="14"/>
      <c r="G901" s="14"/>
      <c r="H901" s="14"/>
      <c r="I901" s="14"/>
      <c r="J901" s="14"/>
      <c r="K901" s="12"/>
    </row>
    <row r="902" ht="19.5" customHeight="1">
      <c r="A902" s="221"/>
      <c r="C902" s="12"/>
      <c r="D902" s="87"/>
      <c r="F902" s="14"/>
      <c r="G902" s="14"/>
      <c r="H902" s="14"/>
      <c r="I902" s="14"/>
      <c r="J902" s="14"/>
      <c r="K902" s="12"/>
    </row>
    <row r="903" ht="19.5" customHeight="1">
      <c r="A903" s="221"/>
      <c r="C903" s="12"/>
      <c r="D903" s="87"/>
      <c r="F903" s="14"/>
      <c r="G903" s="14"/>
      <c r="H903" s="14"/>
      <c r="I903" s="14"/>
      <c r="J903" s="14"/>
      <c r="K903" s="12"/>
    </row>
    <row r="904" ht="19.5" customHeight="1">
      <c r="A904" s="221"/>
      <c r="C904" s="12"/>
      <c r="D904" s="87"/>
      <c r="F904" s="14"/>
      <c r="G904" s="14"/>
      <c r="H904" s="14"/>
      <c r="I904" s="14"/>
      <c r="J904" s="14"/>
      <c r="K904" s="12"/>
    </row>
    <row r="905" ht="19.5" customHeight="1">
      <c r="A905" s="221"/>
      <c r="C905" s="12"/>
      <c r="D905" s="87"/>
      <c r="F905" s="14"/>
      <c r="G905" s="14"/>
      <c r="H905" s="14"/>
      <c r="I905" s="14"/>
      <c r="J905" s="14"/>
      <c r="K905" s="12"/>
    </row>
    <row r="906" ht="19.5" customHeight="1">
      <c r="A906" s="221"/>
      <c r="C906" s="12"/>
      <c r="D906" s="87"/>
      <c r="F906" s="14"/>
      <c r="G906" s="14"/>
      <c r="H906" s="14"/>
      <c r="I906" s="14"/>
      <c r="J906" s="14"/>
      <c r="K906" s="12"/>
    </row>
    <row r="907" ht="19.5" customHeight="1">
      <c r="A907" s="221"/>
      <c r="C907" s="12"/>
      <c r="D907" s="87"/>
      <c r="F907" s="14"/>
      <c r="G907" s="14"/>
      <c r="H907" s="14"/>
      <c r="I907" s="14"/>
      <c r="J907" s="14"/>
      <c r="K907" s="12"/>
    </row>
    <row r="908" ht="19.5" customHeight="1">
      <c r="A908" s="221"/>
      <c r="C908" s="12"/>
      <c r="D908" s="87"/>
      <c r="F908" s="14"/>
      <c r="G908" s="14"/>
      <c r="H908" s="14"/>
      <c r="I908" s="14"/>
      <c r="J908" s="14"/>
      <c r="K908" s="12"/>
    </row>
    <row r="909" ht="19.5" customHeight="1">
      <c r="A909" s="221"/>
      <c r="C909" s="12"/>
      <c r="D909" s="87"/>
      <c r="F909" s="14"/>
      <c r="G909" s="14"/>
      <c r="H909" s="14"/>
      <c r="I909" s="14"/>
      <c r="J909" s="14"/>
      <c r="K909" s="12"/>
    </row>
    <row r="910" ht="19.5" customHeight="1">
      <c r="A910" s="221"/>
      <c r="C910" s="12"/>
      <c r="D910" s="87"/>
      <c r="F910" s="14"/>
      <c r="G910" s="14"/>
      <c r="H910" s="14"/>
      <c r="I910" s="14"/>
      <c r="J910" s="14"/>
      <c r="K910" s="12"/>
    </row>
    <row r="911" ht="19.5" customHeight="1">
      <c r="A911" s="221"/>
      <c r="C911" s="12"/>
      <c r="D911" s="87"/>
      <c r="F911" s="14"/>
      <c r="G911" s="14"/>
      <c r="H911" s="14"/>
      <c r="I911" s="14"/>
      <c r="J911" s="14"/>
      <c r="K911" s="12"/>
    </row>
    <row r="912" ht="19.5" customHeight="1">
      <c r="A912" s="221"/>
      <c r="C912" s="12"/>
      <c r="D912" s="87"/>
      <c r="F912" s="14"/>
      <c r="G912" s="14"/>
      <c r="H912" s="14"/>
      <c r="I912" s="14"/>
      <c r="J912" s="14"/>
      <c r="K912" s="12"/>
    </row>
    <row r="913" ht="19.5" customHeight="1">
      <c r="A913" s="221"/>
      <c r="C913" s="12"/>
      <c r="D913" s="87"/>
      <c r="F913" s="14"/>
      <c r="G913" s="14"/>
      <c r="H913" s="14"/>
      <c r="I913" s="14"/>
      <c r="J913" s="14"/>
      <c r="K913" s="12"/>
    </row>
    <row r="914" ht="19.5" customHeight="1">
      <c r="A914" s="221"/>
      <c r="C914" s="12"/>
      <c r="D914" s="87"/>
      <c r="F914" s="14"/>
      <c r="G914" s="14"/>
      <c r="H914" s="14"/>
      <c r="I914" s="14"/>
      <c r="J914" s="14"/>
      <c r="K914" s="12"/>
    </row>
    <row r="915" ht="19.5" customHeight="1">
      <c r="A915" s="221"/>
      <c r="C915" s="12"/>
      <c r="D915" s="87"/>
      <c r="F915" s="14"/>
      <c r="G915" s="14"/>
      <c r="H915" s="14"/>
      <c r="I915" s="14"/>
      <c r="J915" s="14"/>
      <c r="K915" s="12"/>
    </row>
    <row r="916" ht="19.5" customHeight="1">
      <c r="A916" s="221"/>
      <c r="C916" s="12"/>
      <c r="D916" s="87"/>
      <c r="F916" s="14"/>
      <c r="G916" s="14"/>
      <c r="H916" s="14"/>
      <c r="I916" s="14"/>
      <c r="J916" s="14"/>
      <c r="K916" s="12"/>
    </row>
    <row r="917" ht="19.5" customHeight="1">
      <c r="A917" s="221"/>
      <c r="C917" s="12"/>
      <c r="D917" s="87"/>
      <c r="F917" s="14"/>
      <c r="G917" s="14"/>
      <c r="H917" s="14"/>
      <c r="I917" s="14"/>
      <c r="J917" s="14"/>
      <c r="K917" s="12"/>
    </row>
    <row r="918" ht="19.5" customHeight="1">
      <c r="A918" s="221"/>
      <c r="C918" s="12"/>
      <c r="D918" s="87"/>
      <c r="F918" s="14"/>
      <c r="G918" s="14"/>
      <c r="H918" s="14"/>
      <c r="I918" s="14"/>
      <c r="J918" s="14"/>
      <c r="K918" s="12"/>
    </row>
    <row r="919" ht="19.5" customHeight="1">
      <c r="A919" s="221"/>
      <c r="C919" s="12"/>
      <c r="D919" s="87"/>
      <c r="F919" s="14"/>
      <c r="G919" s="14"/>
      <c r="H919" s="14"/>
      <c r="I919" s="14"/>
      <c r="J919" s="14"/>
      <c r="K919" s="12"/>
    </row>
    <row r="920" ht="19.5" customHeight="1">
      <c r="A920" s="221"/>
      <c r="C920" s="12"/>
      <c r="D920" s="87"/>
      <c r="F920" s="14"/>
      <c r="G920" s="14"/>
      <c r="H920" s="14"/>
      <c r="I920" s="14"/>
      <c r="J920" s="14"/>
      <c r="K920" s="12"/>
    </row>
    <row r="921" ht="19.5" customHeight="1">
      <c r="A921" s="221"/>
      <c r="C921" s="12"/>
      <c r="D921" s="87"/>
      <c r="F921" s="14"/>
      <c r="G921" s="14"/>
      <c r="H921" s="14"/>
      <c r="I921" s="14"/>
      <c r="J921" s="14"/>
      <c r="K921" s="12"/>
    </row>
    <row r="922" ht="19.5" customHeight="1">
      <c r="A922" s="221"/>
      <c r="C922" s="12"/>
      <c r="D922" s="87"/>
      <c r="F922" s="14"/>
      <c r="G922" s="14"/>
      <c r="H922" s="14"/>
      <c r="I922" s="14"/>
      <c r="J922" s="14"/>
      <c r="K922" s="12"/>
    </row>
    <row r="923" ht="19.5" customHeight="1">
      <c r="A923" s="221"/>
      <c r="C923" s="12"/>
      <c r="D923" s="87"/>
      <c r="F923" s="14"/>
      <c r="G923" s="14"/>
      <c r="H923" s="14"/>
      <c r="I923" s="14"/>
      <c r="J923" s="14"/>
      <c r="K923" s="12"/>
    </row>
    <row r="924" ht="19.5" customHeight="1">
      <c r="A924" s="221"/>
      <c r="C924" s="12"/>
      <c r="D924" s="87"/>
      <c r="F924" s="14"/>
      <c r="G924" s="14"/>
      <c r="H924" s="14"/>
      <c r="I924" s="14"/>
      <c r="J924" s="14"/>
      <c r="K924" s="12"/>
    </row>
    <row r="925" ht="19.5" customHeight="1">
      <c r="A925" s="221"/>
      <c r="C925" s="12"/>
      <c r="D925" s="87"/>
      <c r="F925" s="14"/>
      <c r="G925" s="14"/>
      <c r="H925" s="14"/>
      <c r="I925" s="14"/>
      <c r="J925" s="14"/>
      <c r="K925" s="12"/>
    </row>
    <row r="926" ht="19.5" customHeight="1">
      <c r="A926" s="221"/>
      <c r="C926" s="12"/>
      <c r="D926" s="87"/>
      <c r="F926" s="14"/>
      <c r="G926" s="14"/>
      <c r="H926" s="14"/>
      <c r="I926" s="14"/>
      <c r="J926" s="14"/>
      <c r="K926" s="12"/>
    </row>
    <row r="927" ht="19.5" customHeight="1">
      <c r="A927" s="221"/>
      <c r="C927" s="12"/>
      <c r="D927" s="87"/>
      <c r="F927" s="14"/>
      <c r="G927" s="14"/>
      <c r="H927" s="14"/>
      <c r="I927" s="14"/>
      <c r="J927" s="14"/>
      <c r="K927" s="12"/>
    </row>
    <row r="928" ht="19.5" customHeight="1">
      <c r="A928" s="221"/>
      <c r="C928" s="12"/>
      <c r="D928" s="87"/>
      <c r="F928" s="14"/>
      <c r="G928" s="14"/>
      <c r="H928" s="14"/>
      <c r="I928" s="14"/>
      <c r="J928" s="14"/>
      <c r="K928" s="12"/>
    </row>
    <row r="929" ht="19.5" customHeight="1">
      <c r="A929" s="221"/>
      <c r="C929" s="12"/>
      <c r="D929" s="87"/>
      <c r="F929" s="14"/>
      <c r="G929" s="14"/>
      <c r="H929" s="14"/>
      <c r="I929" s="14"/>
      <c r="J929" s="14"/>
      <c r="K929" s="12"/>
    </row>
    <row r="930" ht="19.5" customHeight="1">
      <c r="A930" s="221"/>
      <c r="C930" s="12"/>
      <c r="D930" s="87"/>
      <c r="F930" s="14"/>
      <c r="G930" s="14"/>
      <c r="H930" s="14"/>
      <c r="I930" s="14"/>
      <c r="J930" s="14"/>
      <c r="K930" s="12"/>
    </row>
    <row r="931" ht="19.5" customHeight="1">
      <c r="A931" s="221"/>
      <c r="C931" s="12"/>
      <c r="D931" s="87"/>
      <c r="F931" s="14"/>
      <c r="G931" s="14"/>
      <c r="H931" s="14"/>
      <c r="I931" s="14"/>
      <c r="J931" s="14"/>
      <c r="K931" s="12"/>
    </row>
    <row r="932" ht="19.5" customHeight="1">
      <c r="A932" s="221"/>
      <c r="C932" s="12"/>
      <c r="D932" s="87"/>
      <c r="F932" s="14"/>
      <c r="G932" s="14"/>
      <c r="H932" s="14"/>
      <c r="I932" s="14"/>
      <c r="J932" s="14"/>
      <c r="K932" s="12"/>
    </row>
    <row r="933" ht="19.5" customHeight="1">
      <c r="A933" s="221"/>
      <c r="C933" s="12"/>
      <c r="D933" s="87"/>
      <c r="F933" s="14"/>
      <c r="G933" s="14"/>
      <c r="H933" s="14"/>
      <c r="I933" s="14"/>
      <c r="J933" s="14"/>
      <c r="K933" s="12"/>
    </row>
    <row r="934" ht="19.5" customHeight="1">
      <c r="A934" s="221"/>
      <c r="C934" s="12"/>
      <c r="D934" s="87"/>
      <c r="F934" s="14"/>
      <c r="G934" s="14"/>
      <c r="H934" s="14"/>
      <c r="I934" s="14"/>
      <c r="J934" s="14"/>
      <c r="K934" s="12"/>
    </row>
    <row r="935" ht="19.5" customHeight="1">
      <c r="A935" s="221"/>
      <c r="C935" s="12"/>
      <c r="D935" s="87"/>
      <c r="F935" s="14"/>
      <c r="G935" s="14"/>
      <c r="H935" s="14"/>
      <c r="I935" s="14"/>
      <c r="J935" s="14"/>
      <c r="K935" s="12"/>
    </row>
    <row r="936" ht="19.5" customHeight="1">
      <c r="A936" s="221"/>
      <c r="C936" s="12"/>
      <c r="D936" s="87"/>
      <c r="F936" s="14"/>
      <c r="G936" s="14"/>
      <c r="H936" s="14"/>
      <c r="I936" s="14"/>
      <c r="J936" s="14"/>
      <c r="K936" s="12"/>
    </row>
    <row r="937" ht="19.5" customHeight="1">
      <c r="A937" s="221"/>
      <c r="C937" s="12"/>
      <c r="D937" s="87"/>
      <c r="F937" s="14"/>
      <c r="G937" s="14"/>
      <c r="H937" s="14"/>
      <c r="I937" s="14"/>
      <c r="J937" s="14"/>
      <c r="K937" s="12"/>
    </row>
    <row r="938" ht="19.5" customHeight="1">
      <c r="A938" s="221"/>
      <c r="C938" s="12"/>
      <c r="D938" s="87"/>
      <c r="F938" s="14"/>
      <c r="G938" s="14"/>
      <c r="H938" s="14"/>
      <c r="I938" s="14"/>
      <c r="J938" s="14"/>
      <c r="K938" s="12"/>
    </row>
    <row r="939" ht="19.5" customHeight="1">
      <c r="A939" s="221"/>
      <c r="C939" s="12"/>
      <c r="D939" s="87"/>
      <c r="F939" s="14"/>
      <c r="G939" s="14"/>
      <c r="H939" s="14"/>
      <c r="I939" s="14"/>
      <c r="J939" s="14"/>
      <c r="K939" s="12"/>
    </row>
    <row r="940" ht="19.5" customHeight="1">
      <c r="A940" s="221"/>
      <c r="C940" s="12"/>
      <c r="D940" s="87"/>
      <c r="F940" s="14"/>
      <c r="G940" s="14"/>
      <c r="H940" s="14"/>
      <c r="I940" s="14"/>
      <c r="J940" s="14"/>
      <c r="K940" s="12"/>
    </row>
    <row r="941" ht="19.5" customHeight="1">
      <c r="A941" s="221"/>
      <c r="C941" s="12"/>
      <c r="D941" s="87"/>
      <c r="F941" s="14"/>
      <c r="G941" s="14"/>
      <c r="H941" s="14"/>
      <c r="I941" s="14"/>
      <c r="J941" s="14"/>
      <c r="K941" s="12"/>
    </row>
    <row r="942" ht="19.5" customHeight="1">
      <c r="A942" s="221"/>
      <c r="C942" s="12"/>
      <c r="D942" s="87"/>
      <c r="F942" s="14"/>
      <c r="G942" s="14"/>
      <c r="H942" s="14"/>
      <c r="I942" s="14"/>
      <c r="J942" s="14"/>
      <c r="K942" s="12"/>
    </row>
    <row r="943" ht="19.5" customHeight="1">
      <c r="A943" s="221"/>
      <c r="C943" s="12"/>
      <c r="D943" s="87"/>
      <c r="F943" s="14"/>
      <c r="G943" s="14"/>
      <c r="H943" s="14"/>
      <c r="I943" s="14"/>
      <c r="J943" s="14"/>
      <c r="K943" s="12"/>
    </row>
    <row r="944" ht="19.5" customHeight="1">
      <c r="A944" s="221"/>
      <c r="C944" s="12"/>
      <c r="D944" s="87"/>
      <c r="F944" s="14"/>
      <c r="G944" s="14"/>
      <c r="H944" s="14"/>
      <c r="I944" s="14"/>
      <c r="J944" s="14"/>
      <c r="K944" s="12"/>
    </row>
    <row r="945" ht="19.5" customHeight="1">
      <c r="A945" s="221"/>
      <c r="C945" s="12"/>
      <c r="D945" s="87"/>
      <c r="F945" s="14"/>
      <c r="G945" s="14"/>
      <c r="H945" s="14"/>
      <c r="I945" s="14"/>
      <c r="J945" s="14"/>
      <c r="K945" s="12"/>
    </row>
    <row r="946" ht="19.5" customHeight="1">
      <c r="A946" s="221"/>
      <c r="C946" s="12"/>
      <c r="D946" s="87"/>
      <c r="F946" s="14"/>
      <c r="G946" s="14"/>
      <c r="H946" s="14"/>
      <c r="I946" s="14"/>
      <c r="J946" s="14"/>
      <c r="K946" s="12"/>
    </row>
    <row r="947" ht="19.5" customHeight="1">
      <c r="A947" s="221"/>
      <c r="C947" s="12"/>
      <c r="D947" s="87"/>
      <c r="F947" s="14"/>
      <c r="G947" s="14"/>
      <c r="H947" s="14"/>
      <c r="I947" s="14"/>
      <c r="J947" s="14"/>
      <c r="K947" s="12"/>
    </row>
    <row r="948" ht="19.5" customHeight="1">
      <c r="A948" s="221"/>
      <c r="C948" s="12"/>
      <c r="D948" s="87"/>
      <c r="F948" s="14"/>
      <c r="G948" s="14"/>
      <c r="H948" s="14"/>
      <c r="I948" s="14"/>
      <c r="J948" s="14"/>
      <c r="K948" s="12"/>
    </row>
    <row r="949" ht="19.5" customHeight="1">
      <c r="A949" s="221"/>
      <c r="C949" s="12"/>
      <c r="D949" s="87"/>
      <c r="F949" s="14"/>
      <c r="G949" s="14"/>
      <c r="H949" s="14"/>
      <c r="I949" s="14"/>
      <c r="J949" s="14"/>
      <c r="K949" s="12"/>
    </row>
    <row r="950" ht="19.5" customHeight="1">
      <c r="A950" s="221"/>
      <c r="C950" s="12"/>
      <c r="D950" s="87"/>
      <c r="F950" s="14"/>
      <c r="G950" s="14"/>
      <c r="H950" s="14"/>
      <c r="I950" s="14"/>
      <c r="J950" s="14"/>
      <c r="K950" s="12"/>
    </row>
    <row r="951" ht="19.5" customHeight="1">
      <c r="A951" s="221"/>
      <c r="C951" s="12"/>
      <c r="D951" s="87"/>
      <c r="F951" s="14"/>
      <c r="G951" s="14"/>
      <c r="H951" s="14"/>
      <c r="I951" s="14"/>
      <c r="J951" s="14"/>
      <c r="K951" s="12"/>
    </row>
    <row r="952" ht="19.5" customHeight="1">
      <c r="A952" s="221"/>
      <c r="C952" s="12"/>
      <c r="D952" s="87"/>
      <c r="F952" s="14"/>
      <c r="G952" s="14"/>
      <c r="H952" s="14"/>
      <c r="I952" s="14"/>
      <c r="J952" s="14"/>
      <c r="K952" s="12"/>
    </row>
    <row r="953" ht="19.5" customHeight="1">
      <c r="A953" s="221"/>
      <c r="C953" s="12"/>
      <c r="D953" s="87"/>
      <c r="F953" s="14"/>
      <c r="G953" s="14"/>
      <c r="H953" s="14"/>
      <c r="I953" s="14"/>
      <c r="J953" s="14"/>
      <c r="K953" s="12"/>
    </row>
    <row r="954" ht="19.5" customHeight="1">
      <c r="A954" s="221"/>
      <c r="C954" s="12"/>
      <c r="D954" s="87"/>
      <c r="F954" s="14"/>
      <c r="G954" s="14"/>
      <c r="H954" s="14"/>
      <c r="I954" s="14"/>
      <c r="J954" s="14"/>
      <c r="K954" s="12"/>
    </row>
    <row r="955" ht="19.5" customHeight="1">
      <c r="A955" s="221"/>
      <c r="C955" s="12"/>
      <c r="D955" s="87"/>
      <c r="F955" s="14"/>
      <c r="G955" s="14"/>
      <c r="H955" s="14"/>
      <c r="I955" s="14"/>
      <c r="J955" s="14"/>
      <c r="K955" s="12"/>
    </row>
    <row r="956" ht="19.5" customHeight="1">
      <c r="A956" s="221"/>
      <c r="C956" s="12"/>
      <c r="D956" s="87"/>
      <c r="F956" s="14"/>
      <c r="G956" s="14"/>
      <c r="H956" s="14"/>
      <c r="I956" s="14"/>
      <c r="J956" s="14"/>
      <c r="K956" s="12"/>
    </row>
    <row r="957" ht="19.5" customHeight="1">
      <c r="A957" s="221"/>
      <c r="C957" s="12"/>
      <c r="D957" s="87"/>
      <c r="F957" s="14"/>
      <c r="G957" s="14"/>
      <c r="H957" s="14"/>
      <c r="I957" s="14"/>
      <c r="J957" s="14"/>
      <c r="K957" s="12"/>
    </row>
    <row r="958" ht="19.5" customHeight="1">
      <c r="A958" s="221"/>
      <c r="C958" s="12"/>
      <c r="D958" s="87"/>
      <c r="F958" s="14"/>
      <c r="G958" s="14"/>
      <c r="H958" s="14"/>
      <c r="I958" s="14"/>
      <c r="J958" s="14"/>
      <c r="K958" s="12"/>
    </row>
    <row r="959" ht="19.5" customHeight="1">
      <c r="A959" s="221"/>
      <c r="C959" s="12"/>
      <c r="D959" s="87"/>
      <c r="F959" s="14"/>
      <c r="G959" s="14"/>
      <c r="H959" s="14"/>
      <c r="I959" s="14"/>
      <c r="J959" s="14"/>
      <c r="K959" s="12"/>
    </row>
    <row r="960" ht="19.5" customHeight="1">
      <c r="A960" s="221"/>
      <c r="C960" s="12"/>
      <c r="D960" s="87"/>
      <c r="F960" s="14"/>
      <c r="G960" s="14"/>
      <c r="H960" s="14"/>
      <c r="I960" s="14"/>
      <c r="J960" s="14"/>
      <c r="K960" s="12"/>
    </row>
    <row r="961" ht="19.5" customHeight="1">
      <c r="A961" s="221"/>
      <c r="C961" s="12"/>
      <c r="D961" s="87"/>
      <c r="F961" s="14"/>
      <c r="G961" s="14"/>
      <c r="H961" s="14"/>
      <c r="I961" s="14"/>
      <c r="J961" s="14"/>
      <c r="K961" s="12"/>
    </row>
    <row r="962" ht="19.5" customHeight="1">
      <c r="A962" s="221"/>
      <c r="C962" s="12"/>
      <c r="D962" s="87"/>
      <c r="F962" s="14"/>
      <c r="G962" s="14"/>
      <c r="H962" s="14"/>
      <c r="I962" s="14"/>
      <c r="J962" s="14"/>
      <c r="K962" s="12"/>
    </row>
    <row r="963" ht="19.5" customHeight="1">
      <c r="A963" s="221"/>
      <c r="C963" s="12"/>
      <c r="D963" s="87"/>
      <c r="F963" s="14"/>
      <c r="G963" s="14"/>
      <c r="H963" s="14"/>
      <c r="I963" s="14"/>
      <c r="J963" s="14"/>
      <c r="K963" s="12"/>
    </row>
    <row r="964" ht="19.5" customHeight="1">
      <c r="A964" s="221"/>
      <c r="C964" s="12"/>
      <c r="D964" s="87"/>
      <c r="F964" s="14"/>
      <c r="G964" s="14"/>
      <c r="H964" s="14"/>
      <c r="I964" s="14"/>
      <c r="J964" s="14"/>
      <c r="K964" s="12"/>
    </row>
    <row r="965" ht="19.5" customHeight="1">
      <c r="A965" s="221"/>
      <c r="C965" s="12"/>
      <c r="D965" s="87"/>
      <c r="F965" s="14"/>
      <c r="G965" s="14"/>
      <c r="H965" s="14"/>
      <c r="I965" s="14"/>
      <c r="J965" s="14"/>
      <c r="K965" s="12"/>
    </row>
    <row r="966" ht="19.5" customHeight="1">
      <c r="A966" s="221"/>
      <c r="C966" s="12"/>
      <c r="D966" s="87"/>
      <c r="F966" s="14"/>
      <c r="G966" s="14"/>
      <c r="H966" s="14"/>
      <c r="I966" s="14"/>
      <c r="J966" s="14"/>
      <c r="K966" s="12"/>
    </row>
    <row r="967" ht="19.5" customHeight="1">
      <c r="A967" s="221"/>
      <c r="C967" s="12"/>
      <c r="D967" s="87"/>
      <c r="F967" s="14"/>
      <c r="G967" s="14"/>
      <c r="H967" s="14"/>
      <c r="I967" s="14"/>
      <c r="J967" s="14"/>
      <c r="K967" s="12"/>
    </row>
    <row r="968" ht="19.5" customHeight="1">
      <c r="A968" s="221"/>
      <c r="C968" s="12"/>
      <c r="D968" s="87"/>
      <c r="F968" s="14"/>
      <c r="G968" s="14"/>
      <c r="H968" s="14"/>
      <c r="I968" s="14"/>
      <c r="J968" s="14"/>
      <c r="K968" s="12"/>
    </row>
    <row r="969" ht="19.5" customHeight="1">
      <c r="A969" s="221"/>
      <c r="C969" s="12"/>
      <c r="D969" s="87"/>
      <c r="F969" s="14"/>
      <c r="G969" s="14"/>
      <c r="H969" s="14"/>
      <c r="I969" s="14"/>
      <c r="J969" s="14"/>
      <c r="K969" s="12"/>
    </row>
    <row r="970" ht="19.5" customHeight="1">
      <c r="A970" s="221"/>
      <c r="C970" s="12"/>
      <c r="D970" s="87"/>
      <c r="F970" s="14"/>
      <c r="G970" s="14"/>
      <c r="H970" s="14"/>
      <c r="I970" s="14"/>
      <c r="J970" s="14"/>
      <c r="K970" s="12"/>
    </row>
    <row r="971" ht="19.5" customHeight="1">
      <c r="A971" s="221"/>
      <c r="C971" s="12"/>
      <c r="D971" s="87"/>
      <c r="F971" s="14"/>
      <c r="G971" s="14"/>
      <c r="H971" s="14"/>
      <c r="I971" s="14"/>
      <c r="J971" s="14"/>
      <c r="K971" s="12"/>
    </row>
    <row r="972" ht="19.5" customHeight="1">
      <c r="A972" s="221"/>
      <c r="C972" s="12"/>
      <c r="D972" s="87"/>
      <c r="F972" s="14"/>
      <c r="G972" s="14"/>
      <c r="H972" s="14"/>
      <c r="I972" s="14"/>
      <c r="J972" s="14"/>
      <c r="K972" s="12"/>
    </row>
    <row r="973" ht="19.5" customHeight="1">
      <c r="A973" s="221"/>
      <c r="C973" s="12"/>
      <c r="D973" s="87"/>
      <c r="F973" s="14"/>
      <c r="G973" s="14"/>
      <c r="H973" s="14"/>
      <c r="I973" s="14"/>
      <c r="J973" s="14"/>
      <c r="K973" s="12"/>
    </row>
    <row r="974" ht="19.5" customHeight="1">
      <c r="A974" s="221"/>
      <c r="C974" s="12"/>
      <c r="D974" s="87"/>
      <c r="F974" s="14"/>
      <c r="G974" s="14"/>
      <c r="H974" s="14"/>
      <c r="I974" s="14"/>
      <c r="J974" s="14"/>
      <c r="K974" s="12"/>
    </row>
    <row r="975" ht="19.5" customHeight="1">
      <c r="A975" s="221"/>
      <c r="C975" s="12"/>
      <c r="D975" s="87"/>
      <c r="F975" s="14"/>
      <c r="G975" s="14"/>
      <c r="H975" s="14"/>
      <c r="I975" s="14"/>
      <c r="J975" s="14"/>
      <c r="K975" s="12"/>
    </row>
    <row r="976" ht="19.5" customHeight="1">
      <c r="A976" s="221"/>
      <c r="C976" s="12"/>
      <c r="D976" s="87"/>
      <c r="F976" s="14"/>
      <c r="G976" s="14"/>
      <c r="H976" s="14"/>
      <c r="I976" s="14"/>
      <c r="J976" s="14"/>
      <c r="K976" s="12"/>
    </row>
    <row r="977" ht="19.5" customHeight="1">
      <c r="A977" s="221"/>
      <c r="C977" s="12"/>
      <c r="D977" s="87"/>
      <c r="F977" s="14"/>
      <c r="G977" s="14"/>
      <c r="H977" s="14"/>
      <c r="I977" s="14"/>
      <c r="J977" s="14"/>
      <c r="K977" s="12"/>
    </row>
    <row r="978" ht="19.5" customHeight="1">
      <c r="A978" s="221"/>
      <c r="C978" s="12"/>
      <c r="D978" s="87"/>
      <c r="F978" s="14"/>
      <c r="G978" s="14"/>
      <c r="H978" s="14"/>
      <c r="I978" s="14"/>
      <c r="J978" s="14"/>
      <c r="K978" s="12"/>
    </row>
    <row r="979" ht="19.5" customHeight="1">
      <c r="A979" s="221"/>
      <c r="C979" s="12"/>
      <c r="D979" s="87"/>
      <c r="F979" s="14"/>
      <c r="G979" s="14"/>
      <c r="H979" s="14"/>
      <c r="I979" s="14"/>
      <c r="J979" s="14"/>
      <c r="K979" s="12"/>
    </row>
    <row r="980" ht="19.5" customHeight="1">
      <c r="A980" s="221"/>
      <c r="C980" s="12"/>
      <c r="D980" s="87"/>
      <c r="F980" s="14"/>
      <c r="G980" s="14"/>
      <c r="H980" s="14"/>
      <c r="I980" s="14"/>
      <c r="J980" s="14"/>
      <c r="K980" s="12"/>
    </row>
    <row r="981" ht="19.5" customHeight="1">
      <c r="A981" s="221"/>
      <c r="C981" s="12"/>
      <c r="D981" s="87"/>
      <c r="F981" s="14"/>
      <c r="G981" s="14"/>
      <c r="H981" s="14"/>
      <c r="I981" s="14"/>
      <c r="J981" s="14"/>
      <c r="K981" s="12"/>
    </row>
    <row r="982" ht="19.5" customHeight="1">
      <c r="A982" s="221"/>
      <c r="C982" s="12"/>
      <c r="D982" s="87"/>
      <c r="F982" s="14"/>
      <c r="G982" s="14"/>
      <c r="H982" s="14"/>
      <c r="I982" s="14"/>
      <c r="J982" s="14"/>
      <c r="K982" s="12"/>
    </row>
    <row r="983" ht="19.5" customHeight="1">
      <c r="A983" s="221"/>
      <c r="C983" s="12"/>
      <c r="D983" s="87"/>
      <c r="F983" s="14"/>
      <c r="G983" s="14"/>
      <c r="H983" s="14"/>
      <c r="I983" s="14"/>
      <c r="J983" s="14"/>
      <c r="K983" s="12"/>
    </row>
    <row r="984" ht="19.5" customHeight="1">
      <c r="A984" s="221"/>
      <c r="C984" s="12"/>
      <c r="D984" s="87"/>
      <c r="F984" s="14"/>
      <c r="G984" s="14"/>
      <c r="H984" s="14"/>
      <c r="I984" s="14"/>
      <c r="J984" s="14"/>
      <c r="K984" s="12"/>
    </row>
    <row r="985" ht="19.5" customHeight="1">
      <c r="A985" s="221"/>
      <c r="C985" s="12"/>
      <c r="D985" s="87"/>
      <c r="F985" s="14"/>
      <c r="G985" s="14"/>
      <c r="H985" s="14"/>
      <c r="I985" s="14"/>
      <c r="J985" s="14"/>
      <c r="K985" s="12"/>
    </row>
    <row r="986" ht="19.5" customHeight="1">
      <c r="A986" s="221"/>
      <c r="C986" s="12"/>
      <c r="D986" s="87"/>
      <c r="F986" s="14"/>
      <c r="G986" s="14"/>
      <c r="H986" s="14"/>
      <c r="I986" s="14"/>
      <c r="J986" s="14"/>
      <c r="K986" s="12"/>
    </row>
    <row r="987" ht="19.5" customHeight="1">
      <c r="A987" s="221"/>
      <c r="C987" s="12"/>
      <c r="D987" s="87"/>
      <c r="F987" s="14"/>
      <c r="G987" s="14"/>
      <c r="H987" s="14"/>
      <c r="I987" s="14"/>
      <c r="J987" s="14"/>
      <c r="K987" s="12"/>
    </row>
    <row r="988" ht="19.5" customHeight="1">
      <c r="A988" s="221"/>
      <c r="C988" s="12"/>
      <c r="D988" s="87"/>
      <c r="F988" s="14"/>
      <c r="G988" s="14"/>
      <c r="H988" s="14"/>
      <c r="I988" s="14"/>
      <c r="J988" s="14"/>
      <c r="K988" s="12"/>
    </row>
    <row r="989" ht="19.5" customHeight="1">
      <c r="A989" s="221"/>
      <c r="C989" s="12"/>
      <c r="D989" s="87"/>
      <c r="F989" s="14"/>
      <c r="G989" s="14"/>
      <c r="H989" s="14"/>
      <c r="I989" s="14"/>
      <c r="J989" s="14"/>
      <c r="K989" s="12"/>
    </row>
    <row r="990" ht="19.5" customHeight="1">
      <c r="A990" s="221"/>
      <c r="C990" s="12"/>
      <c r="D990" s="87"/>
      <c r="F990" s="14"/>
      <c r="G990" s="14"/>
      <c r="H990" s="14"/>
      <c r="I990" s="14"/>
      <c r="J990" s="14"/>
      <c r="K990" s="12"/>
    </row>
    <row r="991" ht="19.5" customHeight="1">
      <c r="A991" s="221"/>
      <c r="C991" s="12"/>
      <c r="D991" s="87"/>
      <c r="F991" s="14"/>
      <c r="G991" s="14"/>
      <c r="H991" s="14"/>
      <c r="I991" s="14"/>
      <c r="J991" s="14"/>
      <c r="K991" s="12"/>
    </row>
    <row r="992" ht="19.5" customHeight="1">
      <c r="A992" s="221"/>
      <c r="C992" s="12"/>
      <c r="D992" s="87"/>
      <c r="F992" s="14"/>
      <c r="G992" s="14"/>
      <c r="H992" s="14"/>
      <c r="I992" s="14"/>
      <c r="J992" s="14"/>
      <c r="K992" s="12"/>
    </row>
    <row r="993" ht="19.5" customHeight="1">
      <c r="A993" s="221"/>
      <c r="C993" s="12"/>
      <c r="D993" s="87"/>
      <c r="F993" s="14"/>
      <c r="G993" s="14"/>
      <c r="H993" s="14"/>
      <c r="I993" s="14"/>
      <c r="J993" s="14"/>
      <c r="K993" s="12"/>
    </row>
    <row r="994" ht="19.5" customHeight="1">
      <c r="A994" s="221"/>
      <c r="C994" s="12"/>
      <c r="D994" s="87"/>
      <c r="F994" s="14"/>
      <c r="G994" s="14"/>
      <c r="H994" s="14"/>
      <c r="I994" s="14"/>
      <c r="J994" s="14"/>
      <c r="K994" s="12"/>
    </row>
    <row r="995" ht="19.5" customHeight="1">
      <c r="A995" s="221"/>
      <c r="C995" s="12"/>
      <c r="D995" s="87"/>
      <c r="F995" s="14"/>
      <c r="G995" s="14"/>
      <c r="H995" s="14"/>
      <c r="I995" s="14"/>
      <c r="J995" s="14"/>
      <c r="K995" s="12"/>
    </row>
    <row r="996" ht="19.5" customHeight="1">
      <c r="A996" s="221"/>
      <c r="C996" s="12"/>
      <c r="D996" s="87"/>
      <c r="F996" s="14"/>
      <c r="G996" s="14"/>
      <c r="H996" s="14"/>
      <c r="I996" s="14"/>
      <c r="J996" s="14"/>
      <c r="K996" s="12"/>
    </row>
    <row r="997" ht="19.5" customHeight="1">
      <c r="A997" s="221"/>
      <c r="C997" s="12"/>
      <c r="D997" s="87"/>
      <c r="F997" s="14"/>
      <c r="G997" s="14"/>
      <c r="H997" s="14"/>
      <c r="I997" s="14"/>
      <c r="J997" s="14"/>
      <c r="K997" s="12"/>
    </row>
    <row r="998" ht="19.5" customHeight="1">
      <c r="A998" s="221"/>
      <c r="C998" s="12"/>
      <c r="D998" s="87"/>
      <c r="F998" s="14"/>
      <c r="G998" s="14"/>
      <c r="H998" s="14"/>
      <c r="I998" s="14"/>
      <c r="J998" s="14"/>
      <c r="K998" s="12"/>
    </row>
    <row r="999" ht="19.5" customHeight="1">
      <c r="A999" s="221"/>
      <c r="C999" s="12"/>
      <c r="D999" s="87"/>
      <c r="F999" s="14"/>
      <c r="G999" s="14"/>
      <c r="H999" s="14"/>
      <c r="I999" s="14"/>
      <c r="J999" s="14"/>
      <c r="K999" s="12"/>
    </row>
    <row r="1000" ht="19.5" customHeight="1">
      <c r="A1000" s="221"/>
      <c r="C1000" s="12"/>
      <c r="D1000" s="87"/>
      <c r="F1000" s="14"/>
      <c r="G1000" s="14"/>
      <c r="H1000" s="14"/>
      <c r="I1000" s="14"/>
      <c r="J1000" s="14"/>
      <c r="K1000" s="12"/>
    </row>
    <row r="1001" ht="19.5" customHeight="1">
      <c r="A1001" s="221"/>
      <c r="C1001" s="12"/>
      <c r="D1001" s="87"/>
      <c r="F1001" s="14"/>
      <c r="G1001" s="14"/>
      <c r="H1001" s="14"/>
      <c r="I1001" s="14"/>
      <c r="J1001" s="14"/>
      <c r="K1001" s="12"/>
    </row>
    <row r="1002" ht="19.5" customHeight="1">
      <c r="A1002" s="221"/>
      <c r="C1002" s="12"/>
      <c r="D1002" s="87"/>
      <c r="F1002" s="14"/>
      <c r="G1002" s="14"/>
      <c r="H1002" s="14"/>
      <c r="I1002" s="14"/>
      <c r="J1002" s="14"/>
      <c r="K1002" s="12"/>
    </row>
    <row r="1003" ht="19.5" customHeight="1">
      <c r="A1003" s="221"/>
      <c r="C1003" s="12"/>
      <c r="D1003" s="87"/>
      <c r="F1003" s="14"/>
      <c r="G1003" s="14"/>
      <c r="H1003" s="14"/>
      <c r="I1003" s="14"/>
      <c r="J1003" s="14"/>
      <c r="K1003" s="12"/>
    </row>
    <row r="1004" ht="19.5" customHeight="1">
      <c r="A1004" s="221"/>
      <c r="C1004" s="12"/>
      <c r="D1004" s="87"/>
      <c r="F1004" s="14"/>
      <c r="G1004" s="14"/>
      <c r="H1004" s="14"/>
      <c r="I1004" s="14"/>
      <c r="J1004" s="14"/>
      <c r="K1004" s="12"/>
    </row>
    <row r="1005" ht="19.5" customHeight="1">
      <c r="A1005" s="221"/>
      <c r="C1005" s="12"/>
      <c r="D1005" s="87"/>
      <c r="F1005" s="14"/>
      <c r="G1005" s="14"/>
      <c r="H1005" s="14"/>
      <c r="I1005" s="14"/>
      <c r="J1005" s="14"/>
      <c r="K1005" s="12"/>
    </row>
    <row r="1006" ht="19.5" customHeight="1">
      <c r="A1006" s="221"/>
      <c r="C1006" s="12"/>
      <c r="D1006" s="87"/>
      <c r="F1006" s="14"/>
      <c r="G1006" s="14"/>
      <c r="H1006" s="14"/>
      <c r="I1006" s="14"/>
      <c r="J1006" s="14"/>
      <c r="K1006" s="12"/>
    </row>
    <row r="1007" ht="19.5" customHeight="1">
      <c r="A1007" s="221"/>
      <c r="C1007" s="12"/>
      <c r="D1007" s="87"/>
      <c r="F1007" s="14"/>
      <c r="G1007" s="14"/>
      <c r="H1007" s="14"/>
      <c r="I1007" s="14"/>
      <c r="J1007" s="14"/>
      <c r="K1007" s="12"/>
    </row>
    <row r="1008" ht="19.5" customHeight="1">
      <c r="A1008" s="221"/>
      <c r="C1008" s="12"/>
      <c r="D1008" s="87"/>
      <c r="F1008" s="14"/>
      <c r="G1008" s="14"/>
      <c r="H1008" s="14"/>
      <c r="I1008" s="14"/>
      <c r="J1008" s="14"/>
      <c r="K1008" s="12"/>
    </row>
    <row r="1009" ht="19.5" customHeight="1">
      <c r="A1009" s="221"/>
      <c r="C1009" s="12"/>
      <c r="D1009" s="87"/>
      <c r="F1009" s="14"/>
      <c r="G1009" s="14"/>
      <c r="H1009" s="14"/>
      <c r="I1009" s="14"/>
      <c r="J1009" s="14"/>
      <c r="K1009" s="12"/>
    </row>
    <row r="1010" ht="19.5" customHeight="1">
      <c r="A1010" s="221"/>
      <c r="C1010" s="12"/>
      <c r="D1010" s="87"/>
      <c r="F1010" s="14"/>
      <c r="G1010" s="14"/>
      <c r="H1010" s="14"/>
      <c r="I1010" s="14"/>
      <c r="J1010" s="14"/>
      <c r="K1010" s="12"/>
    </row>
    <row r="1011" ht="19.5" customHeight="1">
      <c r="A1011" s="221"/>
      <c r="C1011" s="12"/>
      <c r="D1011" s="87"/>
      <c r="F1011" s="14"/>
      <c r="G1011" s="14"/>
      <c r="H1011" s="14"/>
      <c r="I1011" s="14"/>
      <c r="J1011" s="14"/>
      <c r="K1011" s="12"/>
    </row>
    <row r="1012" ht="19.5" customHeight="1">
      <c r="A1012" s="221"/>
      <c r="C1012" s="12"/>
      <c r="D1012" s="87"/>
      <c r="F1012" s="14"/>
      <c r="G1012" s="14"/>
      <c r="H1012" s="14"/>
      <c r="I1012" s="14"/>
      <c r="J1012" s="14"/>
      <c r="K1012" s="12"/>
    </row>
    <row r="1013" ht="19.5" customHeight="1">
      <c r="A1013" s="221"/>
      <c r="C1013" s="12"/>
      <c r="D1013" s="87"/>
      <c r="F1013" s="14"/>
      <c r="G1013" s="14"/>
      <c r="H1013" s="14"/>
      <c r="I1013" s="14"/>
      <c r="J1013" s="14"/>
      <c r="K1013" s="12"/>
    </row>
    <row r="1014" ht="19.5" customHeight="1">
      <c r="A1014" s="221"/>
      <c r="C1014" s="12"/>
      <c r="D1014" s="87"/>
      <c r="F1014" s="14"/>
      <c r="G1014" s="14"/>
      <c r="H1014" s="14"/>
      <c r="I1014" s="14"/>
      <c r="J1014" s="14"/>
      <c r="K1014" s="12"/>
    </row>
    <row r="1015" ht="19.5" customHeight="1">
      <c r="A1015" s="221"/>
      <c r="C1015" s="12"/>
      <c r="D1015" s="87"/>
      <c r="F1015" s="14"/>
      <c r="G1015" s="14"/>
      <c r="H1015" s="14"/>
      <c r="I1015" s="14"/>
      <c r="J1015" s="14"/>
      <c r="K1015" s="12"/>
    </row>
    <row r="1016" ht="19.5" customHeight="1">
      <c r="A1016" s="221"/>
      <c r="C1016" s="12"/>
      <c r="D1016" s="87"/>
      <c r="F1016" s="14"/>
      <c r="G1016" s="14"/>
      <c r="H1016" s="14"/>
      <c r="I1016" s="14"/>
      <c r="J1016" s="14"/>
      <c r="K1016" s="12"/>
    </row>
    <row r="1017" ht="19.5" customHeight="1">
      <c r="A1017" s="221"/>
      <c r="C1017" s="12"/>
      <c r="D1017" s="87"/>
      <c r="F1017" s="14"/>
      <c r="G1017" s="14"/>
      <c r="H1017" s="14"/>
      <c r="I1017" s="14"/>
      <c r="J1017" s="14"/>
      <c r="K1017" s="12"/>
    </row>
    <row r="1018" ht="19.5" customHeight="1">
      <c r="A1018" s="221"/>
      <c r="C1018" s="12"/>
      <c r="D1018" s="87"/>
      <c r="F1018" s="14"/>
      <c r="G1018" s="14"/>
      <c r="H1018" s="14"/>
      <c r="I1018" s="14"/>
      <c r="J1018" s="14"/>
      <c r="K1018" s="12"/>
    </row>
    <row r="1019" ht="19.5" customHeight="1">
      <c r="A1019" s="221"/>
      <c r="C1019" s="12"/>
      <c r="D1019" s="87"/>
      <c r="F1019" s="14"/>
      <c r="G1019" s="14"/>
      <c r="H1019" s="14"/>
      <c r="I1019" s="14"/>
      <c r="J1019" s="14"/>
      <c r="K1019" s="12"/>
    </row>
    <row r="1020" ht="19.5" customHeight="1">
      <c r="A1020" s="221"/>
      <c r="C1020" s="12"/>
      <c r="D1020" s="87"/>
      <c r="F1020" s="14"/>
      <c r="G1020" s="14"/>
      <c r="H1020" s="14"/>
      <c r="I1020" s="14"/>
      <c r="J1020" s="14"/>
      <c r="K1020" s="12"/>
    </row>
    <row r="1021" ht="19.5" customHeight="1">
      <c r="A1021" s="221"/>
      <c r="C1021" s="12"/>
      <c r="D1021" s="87"/>
      <c r="F1021" s="14"/>
      <c r="G1021" s="14"/>
      <c r="H1021" s="14"/>
      <c r="I1021" s="14"/>
      <c r="J1021" s="14"/>
      <c r="K1021" s="12"/>
    </row>
    <row r="1022" ht="19.5" customHeight="1">
      <c r="A1022" s="221"/>
      <c r="C1022" s="12"/>
      <c r="D1022" s="87"/>
      <c r="F1022" s="14"/>
      <c r="G1022" s="14"/>
      <c r="H1022" s="14"/>
      <c r="I1022" s="14"/>
      <c r="J1022" s="14"/>
      <c r="K1022" s="12"/>
    </row>
    <row r="1023" ht="19.5" customHeight="1">
      <c r="A1023" s="221"/>
      <c r="C1023" s="12"/>
      <c r="D1023" s="87"/>
      <c r="F1023" s="14"/>
      <c r="G1023" s="14"/>
      <c r="H1023" s="14"/>
      <c r="I1023" s="14"/>
      <c r="J1023" s="14"/>
      <c r="K1023" s="12"/>
    </row>
    <row r="1024" ht="19.5" customHeight="1">
      <c r="A1024" s="221"/>
      <c r="C1024" s="12"/>
      <c r="D1024" s="87"/>
      <c r="F1024" s="14"/>
      <c r="G1024" s="14"/>
      <c r="H1024" s="14"/>
      <c r="I1024" s="14"/>
      <c r="J1024" s="14"/>
      <c r="K1024" s="12"/>
    </row>
    <row r="1025" ht="19.5" customHeight="1">
      <c r="A1025" s="221"/>
      <c r="C1025" s="12"/>
      <c r="D1025" s="87"/>
      <c r="F1025" s="14"/>
      <c r="G1025" s="14"/>
      <c r="H1025" s="14"/>
      <c r="I1025" s="14"/>
      <c r="J1025" s="14"/>
      <c r="K1025" s="12"/>
    </row>
    <row r="1026" ht="19.5" customHeight="1">
      <c r="A1026" s="221"/>
      <c r="C1026" s="12"/>
      <c r="D1026" s="87"/>
      <c r="F1026" s="14"/>
      <c r="G1026" s="14"/>
      <c r="H1026" s="14"/>
      <c r="I1026" s="14"/>
      <c r="J1026" s="14"/>
      <c r="K1026" s="12"/>
    </row>
    <row r="1027" ht="19.5" customHeight="1">
      <c r="A1027" s="221"/>
      <c r="C1027" s="12"/>
      <c r="D1027" s="87"/>
      <c r="F1027" s="14"/>
      <c r="G1027" s="14"/>
      <c r="H1027" s="14"/>
      <c r="I1027" s="14"/>
      <c r="J1027" s="14"/>
      <c r="K1027" s="12"/>
    </row>
    <row r="1028" ht="19.5" customHeight="1">
      <c r="A1028" s="221"/>
      <c r="C1028" s="12"/>
      <c r="D1028" s="87"/>
      <c r="F1028" s="14"/>
      <c r="G1028" s="14"/>
      <c r="H1028" s="14"/>
      <c r="I1028" s="14"/>
      <c r="J1028" s="14"/>
      <c r="K1028" s="12"/>
    </row>
    <row r="1029" ht="19.5" customHeight="1">
      <c r="A1029" s="221"/>
      <c r="C1029" s="12"/>
      <c r="D1029" s="87"/>
      <c r="F1029" s="14"/>
      <c r="G1029" s="14"/>
      <c r="H1029" s="14"/>
      <c r="I1029" s="14"/>
      <c r="J1029" s="14"/>
      <c r="K1029" s="12"/>
    </row>
    <row r="1030" ht="19.5" customHeight="1">
      <c r="A1030" s="221"/>
      <c r="C1030" s="12"/>
      <c r="D1030" s="87"/>
      <c r="F1030" s="14"/>
      <c r="G1030" s="14"/>
      <c r="H1030" s="14"/>
      <c r="I1030" s="14"/>
      <c r="J1030" s="14"/>
      <c r="K1030" s="12"/>
    </row>
    <row r="1031" ht="19.5" customHeight="1">
      <c r="A1031" s="221"/>
      <c r="C1031" s="12"/>
      <c r="D1031" s="87"/>
      <c r="F1031" s="14"/>
      <c r="G1031" s="14"/>
      <c r="H1031" s="14"/>
      <c r="I1031" s="14"/>
      <c r="J1031" s="14"/>
      <c r="K1031" s="12"/>
    </row>
    <row r="1032" ht="19.5" customHeight="1">
      <c r="A1032" s="221"/>
      <c r="C1032" s="12"/>
      <c r="D1032" s="87"/>
      <c r="F1032" s="14"/>
      <c r="G1032" s="14"/>
      <c r="H1032" s="14"/>
      <c r="I1032" s="14"/>
      <c r="J1032" s="14"/>
      <c r="K1032" s="12"/>
    </row>
    <row r="1033" ht="19.5" customHeight="1">
      <c r="A1033" s="221"/>
      <c r="C1033" s="12"/>
      <c r="D1033" s="87"/>
      <c r="F1033" s="14"/>
      <c r="G1033" s="14"/>
      <c r="H1033" s="14"/>
      <c r="I1033" s="14"/>
      <c r="J1033" s="14"/>
      <c r="K1033" s="12"/>
    </row>
    <row r="1034" ht="19.5" customHeight="1">
      <c r="A1034" s="221"/>
      <c r="C1034" s="12"/>
      <c r="D1034" s="87"/>
      <c r="F1034" s="14"/>
      <c r="G1034" s="14"/>
      <c r="H1034" s="14"/>
      <c r="I1034" s="14"/>
      <c r="J1034" s="14"/>
      <c r="K1034" s="12"/>
    </row>
    <row r="1035" ht="19.5" customHeight="1">
      <c r="A1035" s="221"/>
      <c r="C1035" s="12"/>
      <c r="D1035" s="87"/>
      <c r="F1035" s="14"/>
      <c r="G1035" s="14"/>
      <c r="H1035" s="14"/>
      <c r="I1035" s="14"/>
      <c r="J1035" s="14"/>
      <c r="K1035" s="12"/>
    </row>
    <row r="1036" ht="19.5" customHeight="1">
      <c r="A1036" s="221"/>
      <c r="C1036" s="12"/>
      <c r="D1036" s="87"/>
      <c r="F1036" s="14"/>
      <c r="G1036" s="14"/>
      <c r="H1036" s="14"/>
      <c r="I1036" s="14"/>
      <c r="J1036" s="14"/>
      <c r="K1036" s="12"/>
    </row>
    <row r="1037" ht="19.5" customHeight="1">
      <c r="A1037" s="221"/>
      <c r="C1037" s="12"/>
      <c r="D1037" s="87"/>
      <c r="F1037" s="14"/>
      <c r="G1037" s="14"/>
      <c r="H1037" s="14"/>
      <c r="I1037" s="14"/>
      <c r="J1037" s="14"/>
      <c r="K1037" s="12"/>
    </row>
    <row r="1038" ht="19.5" customHeight="1">
      <c r="A1038" s="221"/>
      <c r="C1038" s="12"/>
      <c r="D1038" s="87"/>
      <c r="F1038" s="14"/>
      <c r="G1038" s="14"/>
      <c r="H1038" s="14"/>
      <c r="I1038" s="14"/>
      <c r="J1038" s="14"/>
      <c r="K1038" s="12"/>
    </row>
    <row r="1039" ht="19.5" customHeight="1">
      <c r="A1039" s="221"/>
      <c r="C1039" s="12"/>
      <c r="D1039" s="87"/>
      <c r="F1039" s="14"/>
      <c r="G1039" s="14"/>
      <c r="H1039" s="14"/>
      <c r="I1039" s="14"/>
      <c r="J1039" s="14"/>
      <c r="K1039" s="12"/>
    </row>
    <row r="1040" ht="19.5" customHeight="1">
      <c r="A1040" s="221"/>
      <c r="C1040" s="12"/>
      <c r="D1040" s="87"/>
      <c r="F1040" s="14"/>
      <c r="G1040" s="14"/>
      <c r="H1040" s="14"/>
      <c r="I1040" s="14"/>
      <c r="J1040" s="14"/>
      <c r="K1040" s="12"/>
    </row>
    <row r="1041" ht="19.5" customHeight="1">
      <c r="A1041" s="221"/>
      <c r="C1041" s="12"/>
      <c r="D1041" s="87"/>
      <c r="F1041" s="14"/>
      <c r="G1041" s="14"/>
      <c r="H1041" s="14"/>
      <c r="I1041" s="14"/>
      <c r="J1041" s="14"/>
      <c r="K1041" s="12"/>
    </row>
    <row r="1042" ht="19.5" customHeight="1">
      <c r="A1042" s="221"/>
      <c r="C1042" s="12"/>
      <c r="D1042" s="87"/>
      <c r="F1042" s="14"/>
      <c r="G1042" s="14"/>
      <c r="H1042" s="14"/>
      <c r="I1042" s="14"/>
      <c r="J1042" s="14"/>
      <c r="K1042" s="12"/>
    </row>
    <row r="1043" ht="19.5" customHeight="1">
      <c r="A1043" s="221"/>
      <c r="C1043" s="12"/>
      <c r="D1043" s="87"/>
      <c r="F1043" s="14"/>
      <c r="G1043" s="14"/>
      <c r="H1043" s="14"/>
      <c r="I1043" s="14"/>
      <c r="J1043" s="14"/>
      <c r="K1043" s="12"/>
    </row>
    <row r="1044" ht="19.5" customHeight="1">
      <c r="A1044" s="221"/>
      <c r="C1044" s="12"/>
      <c r="D1044" s="87"/>
      <c r="F1044" s="14"/>
      <c r="G1044" s="14"/>
      <c r="H1044" s="14"/>
      <c r="I1044" s="14"/>
      <c r="J1044" s="14"/>
      <c r="K1044" s="12"/>
    </row>
    <row r="1045" ht="19.5" customHeight="1">
      <c r="A1045" s="221"/>
      <c r="C1045" s="12"/>
      <c r="D1045" s="87"/>
      <c r="F1045" s="14"/>
      <c r="G1045" s="14"/>
      <c r="H1045" s="14"/>
      <c r="I1045" s="14"/>
      <c r="J1045" s="14"/>
      <c r="K1045" s="12"/>
    </row>
    <row r="1046" ht="19.5" customHeight="1">
      <c r="A1046" s="221"/>
      <c r="C1046" s="12"/>
      <c r="D1046" s="87"/>
      <c r="F1046" s="14"/>
      <c r="G1046" s="14"/>
      <c r="H1046" s="14"/>
      <c r="I1046" s="14"/>
      <c r="J1046" s="14"/>
      <c r="K1046" s="12"/>
    </row>
    <row r="1047" ht="19.5" customHeight="1">
      <c r="A1047" s="221"/>
      <c r="C1047" s="12"/>
      <c r="D1047" s="87"/>
      <c r="F1047" s="14"/>
      <c r="G1047" s="14"/>
      <c r="H1047" s="14"/>
      <c r="I1047" s="14"/>
      <c r="J1047" s="14"/>
      <c r="K1047" s="12"/>
    </row>
    <row r="1048" ht="19.5" customHeight="1">
      <c r="A1048" s="221"/>
      <c r="C1048" s="12"/>
      <c r="D1048" s="87"/>
      <c r="F1048" s="14"/>
      <c r="G1048" s="14"/>
      <c r="H1048" s="14"/>
      <c r="I1048" s="14"/>
      <c r="J1048" s="14"/>
      <c r="K1048" s="12"/>
    </row>
    <row r="1049" ht="19.5" customHeight="1">
      <c r="A1049" s="221"/>
      <c r="C1049" s="12"/>
      <c r="D1049" s="87"/>
      <c r="F1049" s="14"/>
      <c r="G1049" s="14"/>
      <c r="H1049" s="14"/>
      <c r="I1049" s="14"/>
      <c r="J1049" s="14"/>
      <c r="K1049" s="12"/>
    </row>
    <row r="1050" ht="19.5" customHeight="1">
      <c r="A1050" s="221"/>
      <c r="C1050" s="12"/>
      <c r="D1050" s="87"/>
      <c r="F1050" s="14"/>
      <c r="G1050" s="14"/>
      <c r="H1050" s="14"/>
      <c r="I1050" s="14"/>
      <c r="J1050" s="14"/>
      <c r="K1050" s="12"/>
    </row>
    <row r="1051" ht="19.5" customHeight="1">
      <c r="A1051" s="221"/>
      <c r="C1051" s="12"/>
      <c r="D1051" s="87"/>
      <c r="F1051" s="14"/>
      <c r="G1051" s="14"/>
      <c r="H1051" s="14"/>
      <c r="I1051" s="14"/>
      <c r="J1051" s="14"/>
      <c r="K1051" s="12"/>
    </row>
    <row r="1052" ht="19.5" customHeight="1">
      <c r="A1052" s="221"/>
      <c r="C1052" s="12"/>
      <c r="D1052" s="87"/>
      <c r="F1052" s="14"/>
      <c r="G1052" s="14"/>
      <c r="H1052" s="14"/>
      <c r="I1052" s="14"/>
      <c r="J1052" s="14"/>
      <c r="K1052" s="12"/>
    </row>
    <row r="1053" ht="19.5" customHeight="1">
      <c r="A1053" s="221"/>
      <c r="C1053" s="12"/>
      <c r="D1053" s="87"/>
      <c r="F1053" s="14"/>
      <c r="G1053" s="14"/>
      <c r="H1053" s="14"/>
      <c r="I1053" s="14"/>
      <c r="J1053" s="14"/>
      <c r="K1053" s="12"/>
    </row>
    <row r="1054" ht="19.5" customHeight="1">
      <c r="A1054" s="221"/>
      <c r="C1054" s="12"/>
      <c r="D1054" s="87"/>
      <c r="F1054" s="14"/>
      <c r="G1054" s="14"/>
      <c r="H1054" s="14"/>
      <c r="I1054" s="14"/>
      <c r="J1054" s="14"/>
      <c r="K1054" s="12"/>
    </row>
    <row r="1055" ht="19.5" customHeight="1">
      <c r="A1055" s="221"/>
      <c r="C1055" s="12"/>
      <c r="D1055" s="87"/>
      <c r="F1055" s="14"/>
      <c r="G1055" s="14"/>
      <c r="H1055" s="14"/>
      <c r="I1055" s="14"/>
      <c r="J1055" s="14"/>
      <c r="K1055" s="12"/>
    </row>
    <row r="1056" ht="19.5" customHeight="1">
      <c r="A1056" s="221"/>
      <c r="C1056" s="12"/>
      <c r="D1056" s="87"/>
      <c r="F1056" s="14"/>
      <c r="G1056" s="14"/>
      <c r="H1056" s="14"/>
      <c r="I1056" s="14"/>
      <c r="J1056" s="14"/>
      <c r="K1056" s="12"/>
    </row>
    <row r="1057" ht="19.5" customHeight="1">
      <c r="A1057" s="221"/>
      <c r="C1057" s="12"/>
      <c r="D1057" s="87"/>
      <c r="F1057" s="14"/>
      <c r="G1057" s="14"/>
      <c r="H1057" s="14"/>
      <c r="I1057" s="14"/>
      <c r="J1057" s="14"/>
      <c r="K1057" s="12"/>
    </row>
    <row r="1058" ht="19.5" customHeight="1">
      <c r="A1058" s="221"/>
      <c r="C1058" s="12"/>
      <c r="D1058" s="87"/>
      <c r="F1058" s="14"/>
      <c r="G1058" s="14"/>
      <c r="H1058" s="14"/>
      <c r="I1058" s="14"/>
      <c r="J1058" s="14"/>
      <c r="K1058" s="12"/>
    </row>
    <row r="1059" ht="19.5" customHeight="1">
      <c r="A1059" s="221"/>
      <c r="C1059" s="12"/>
      <c r="D1059" s="87"/>
      <c r="F1059" s="14"/>
      <c r="G1059" s="14"/>
      <c r="H1059" s="14"/>
      <c r="I1059" s="14"/>
      <c r="J1059" s="14"/>
      <c r="K1059" s="12"/>
    </row>
    <row r="1060" ht="19.5" customHeight="1">
      <c r="A1060" s="221"/>
      <c r="C1060" s="12"/>
      <c r="D1060" s="87"/>
      <c r="F1060" s="14"/>
      <c r="G1060" s="14"/>
      <c r="H1060" s="14"/>
      <c r="I1060" s="14"/>
      <c r="J1060" s="14"/>
      <c r="K1060" s="12"/>
    </row>
    <row r="1061" ht="19.5" customHeight="1">
      <c r="A1061" s="221"/>
      <c r="C1061" s="12"/>
      <c r="D1061" s="87"/>
      <c r="F1061" s="14"/>
      <c r="G1061" s="14"/>
      <c r="H1061" s="14"/>
      <c r="I1061" s="14"/>
      <c r="J1061" s="14"/>
      <c r="K1061" s="12"/>
    </row>
    <row r="1062" ht="19.5" customHeight="1">
      <c r="A1062" s="221"/>
      <c r="C1062" s="12"/>
      <c r="D1062" s="87"/>
      <c r="F1062" s="14"/>
      <c r="G1062" s="14"/>
      <c r="H1062" s="14"/>
      <c r="I1062" s="14"/>
      <c r="J1062" s="14"/>
      <c r="K1062" s="12"/>
    </row>
    <row r="1063" ht="19.5" customHeight="1">
      <c r="A1063" s="221"/>
      <c r="C1063" s="12"/>
      <c r="D1063" s="87"/>
      <c r="F1063" s="14"/>
      <c r="G1063" s="14"/>
      <c r="H1063" s="14"/>
      <c r="I1063" s="14"/>
      <c r="J1063" s="14"/>
      <c r="K1063" s="12"/>
    </row>
    <row r="1064" ht="19.5" customHeight="1">
      <c r="A1064" s="221"/>
      <c r="C1064" s="12"/>
      <c r="D1064" s="87"/>
      <c r="F1064" s="14"/>
      <c r="G1064" s="14"/>
      <c r="H1064" s="14"/>
      <c r="I1064" s="14"/>
      <c r="J1064" s="14"/>
      <c r="K1064" s="12"/>
    </row>
    <row r="1065" ht="19.5" customHeight="1">
      <c r="A1065" s="221"/>
      <c r="C1065" s="12"/>
      <c r="D1065" s="87"/>
      <c r="F1065" s="14"/>
      <c r="G1065" s="14"/>
      <c r="H1065" s="14"/>
      <c r="I1065" s="14"/>
      <c r="J1065" s="14"/>
      <c r="K1065" s="12"/>
    </row>
    <row r="1066" ht="19.5" customHeight="1">
      <c r="A1066" s="221"/>
      <c r="C1066" s="12"/>
      <c r="D1066" s="87"/>
      <c r="F1066" s="14"/>
      <c r="G1066" s="14"/>
      <c r="H1066" s="14"/>
      <c r="I1066" s="14"/>
      <c r="J1066" s="14"/>
      <c r="K1066" s="12"/>
    </row>
    <row r="1067" ht="19.5" customHeight="1">
      <c r="A1067" s="221"/>
      <c r="C1067" s="12"/>
      <c r="D1067" s="87"/>
      <c r="F1067" s="14"/>
      <c r="G1067" s="14"/>
      <c r="H1067" s="14"/>
      <c r="I1067" s="14"/>
      <c r="J1067" s="14"/>
      <c r="K1067" s="12"/>
    </row>
    <row r="1068" ht="19.5" customHeight="1">
      <c r="A1068" s="221"/>
      <c r="C1068" s="12"/>
      <c r="D1068" s="87"/>
      <c r="F1068" s="14"/>
      <c r="G1068" s="14"/>
      <c r="H1068" s="14"/>
      <c r="I1068" s="14"/>
      <c r="J1068" s="14"/>
      <c r="K1068" s="12"/>
    </row>
    <row r="1069" ht="19.5" customHeight="1">
      <c r="A1069" s="221"/>
      <c r="C1069" s="12"/>
      <c r="D1069" s="87"/>
      <c r="F1069" s="14"/>
      <c r="G1069" s="14"/>
      <c r="H1069" s="14"/>
      <c r="I1069" s="14"/>
      <c r="J1069" s="14"/>
      <c r="K1069" s="12"/>
    </row>
    <row r="1070" ht="19.5" customHeight="1">
      <c r="A1070" s="221"/>
      <c r="C1070" s="12"/>
      <c r="D1070" s="87"/>
      <c r="F1070" s="14"/>
      <c r="G1070" s="14"/>
      <c r="H1070" s="14"/>
      <c r="I1070" s="14"/>
      <c r="J1070" s="14"/>
      <c r="K1070" s="12"/>
    </row>
    <row r="1071" ht="19.5" customHeight="1">
      <c r="A1071" s="221"/>
      <c r="C1071" s="12"/>
      <c r="D1071" s="87"/>
      <c r="F1071" s="14"/>
      <c r="G1071" s="14"/>
      <c r="H1071" s="14"/>
      <c r="I1071" s="14"/>
      <c r="J1071" s="14"/>
      <c r="K1071" s="12"/>
    </row>
    <row r="1072" ht="19.5" customHeight="1">
      <c r="A1072" s="221"/>
      <c r="C1072" s="12"/>
      <c r="D1072" s="87"/>
      <c r="F1072" s="14"/>
      <c r="G1072" s="14"/>
      <c r="H1072" s="14"/>
      <c r="I1072" s="14"/>
      <c r="J1072" s="14"/>
      <c r="K1072" s="12"/>
    </row>
    <row r="1073" ht="19.5" customHeight="1">
      <c r="A1073" s="221"/>
      <c r="C1073" s="12"/>
      <c r="D1073" s="87"/>
      <c r="F1073" s="14"/>
      <c r="G1073" s="14"/>
      <c r="H1073" s="14"/>
      <c r="I1073" s="14"/>
      <c r="J1073" s="14"/>
      <c r="K1073" s="12"/>
    </row>
    <row r="1074" ht="19.5" customHeight="1">
      <c r="A1074" s="221"/>
      <c r="C1074" s="12"/>
      <c r="D1074" s="87"/>
      <c r="F1074" s="14"/>
      <c r="G1074" s="14"/>
      <c r="H1074" s="14"/>
      <c r="I1074" s="14"/>
      <c r="J1074" s="14"/>
      <c r="K1074" s="12"/>
    </row>
    <row r="1075" ht="19.5" customHeight="1">
      <c r="A1075" s="221"/>
      <c r="C1075" s="12"/>
      <c r="D1075" s="87"/>
      <c r="F1075" s="14"/>
      <c r="G1075" s="14"/>
      <c r="H1075" s="14"/>
      <c r="I1075" s="14"/>
      <c r="J1075" s="14"/>
      <c r="K1075" s="12"/>
    </row>
    <row r="1076" ht="19.5" customHeight="1">
      <c r="A1076" s="221"/>
      <c r="C1076" s="12"/>
      <c r="D1076" s="87"/>
      <c r="F1076" s="14"/>
      <c r="G1076" s="14"/>
      <c r="H1076" s="14"/>
      <c r="I1076" s="14"/>
      <c r="J1076" s="14"/>
      <c r="K1076" s="12"/>
    </row>
    <row r="1077" ht="19.5" customHeight="1">
      <c r="A1077" s="221"/>
      <c r="C1077" s="12"/>
      <c r="D1077" s="87"/>
      <c r="F1077" s="14"/>
      <c r="G1077" s="14"/>
      <c r="H1077" s="14"/>
      <c r="I1077" s="14"/>
      <c r="J1077" s="14"/>
      <c r="K1077" s="12"/>
    </row>
    <row r="1078" ht="19.5" customHeight="1">
      <c r="A1078" s="221"/>
      <c r="C1078" s="12"/>
      <c r="D1078" s="87"/>
      <c r="F1078" s="14"/>
      <c r="G1078" s="14"/>
      <c r="H1078" s="14"/>
      <c r="I1078" s="14"/>
      <c r="J1078" s="14"/>
      <c r="K1078" s="12"/>
    </row>
    <row r="1079" ht="19.5" customHeight="1">
      <c r="A1079" s="221"/>
      <c r="C1079" s="12"/>
      <c r="D1079" s="87"/>
      <c r="F1079" s="14"/>
      <c r="G1079" s="14"/>
      <c r="H1079" s="14"/>
      <c r="I1079" s="14"/>
      <c r="J1079" s="14"/>
      <c r="K1079" s="12"/>
    </row>
    <row r="1080" ht="19.5" customHeight="1">
      <c r="A1080" s="221"/>
      <c r="C1080" s="12"/>
      <c r="D1080" s="87"/>
      <c r="F1080" s="14"/>
      <c r="G1080" s="14"/>
      <c r="H1080" s="14"/>
      <c r="I1080" s="14"/>
      <c r="J1080" s="14"/>
      <c r="K1080" s="12"/>
    </row>
    <row r="1081" ht="19.5" customHeight="1">
      <c r="A1081" s="221"/>
      <c r="C1081" s="12"/>
      <c r="D1081" s="87"/>
      <c r="F1081" s="14"/>
      <c r="G1081" s="14"/>
      <c r="H1081" s="14"/>
      <c r="I1081" s="14"/>
      <c r="J1081" s="14"/>
      <c r="K1081" s="12"/>
    </row>
    <row r="1082" ht="19.5" customHeight="1">
      <c r="A1082" s="221"/>
      <c r="C1082" s="12"/>
      <c r="D1082" s="87"/>
      <c r="F1082" s="14"/>
      <c r="G1082" s="14"/>
      <c r="H1082" s="14"/>
      <c r="I1082" s="14"/>
      <c r="J1082" s="14"/>
      <c r="K1082" s="12"/>
    </row>
    <row r="1083" ht="19.5" customHeight="1">
      <c r="A1083" s="221"/>
      <c r="C1083" s="12"/>
      <c r="D1083" s="87"/>
      <c r="F1083" s="14"/>
      <c r="G1083" s="14"/>
      <c r="H1083" s="14"/>
      <c r="I1083" s="14"/>
      <c r="J1083" s="14"/>
      <c r="K1083" s="12"/>
    </row>
    <row r="1084" ht="19.5" customHeight="1">
      <c r="A1084" s="221"/>
      <c r="C1084" s="12"/>
      <c r="D1084" s="87"/>
      <c r="F1084" s="14"/>
      <c r="G1084" s="14"/>
      <c r="H1084" s="14"/>
      <c r="I1084" s="14"/>
      <c r="J1084" s="14"/>
      <c r="K1084" s="12"/>
    </row>
    <row r="1085" ht="19.5" customHeight="1">
      <c r="A1085" s="221"/>
      <c r="C1085" s="12"/>
      <c r="D1085" s="87"/>
      <c r="F1085" s="14"/>
      <c r="G1085" s="14"/>
      <c r="H1085" s="14"/>
      <c r="I1085" s="14"/>
      <c r="J1085" s="14"/>
      <c r="K1085" s="12"/>
    </row>
    <row r="1086" ht="19.5" customHeight="1">
      <c r="A1086" s="221"/>
      <c r="C1086" s="12"/>
      <c r="D1086" s="87"/>
      <c r="F1086" s="14"/>
      <c r="G1086" s="14"/>
      <c r="H1086" s="14"/>
      <c r="I1086" s="14"/>
      <c r="J1086" s="14"/>
      <c r="K1086" s="12"/>
    </row>
    <row r="1087" ht="19.5" customHeight="1">
      <c r="A1087" s="221"/>
      <c r="C1087" s="12"/>
      <c r="D1087" s="87"/>
      <c r="F1087" s="14"/>
      <c r="G1087" s="14"/>
      <c r="H1087" s="14"/>
      <c r="I1087" s="14"/>
      <c r="J1087" s="14"/>
      <c r="K1087" s="12"/>
    </row>
    <row r="1088" ht="19.5" customHeight="1">
      <c r="A1088" s="221"/>
      <c r="C1088" s="12"/>
      <c r="D1088" s="87"/>
      <c r="F1088" s="14"/>
      <c r="G1088" s="14"/>
      <c r="H1088" s="14"/>
      <c r="I1088" s="14"/>
      <c r="J1088" s="14"/>
      <c r="K1088" s="12"/>
    </row>
    <row r="1089" ht="19.5" customHeight="1">
      <c r="A1089" s="221"/>
      <c r="C1089" s="12"/>
      <c r="D1089" s="87"/>
      <c r="F1089" s="14"/>
      <c r="G1089" s="14"/>
      <c r="H1089" s="14"/>
      <c r="I1089" s="14"/>
      <c r="J1089" s="14"/>
      <c r="K1089" s="12"/>
    </row>
    <row r="1090" ht="19.5" customHeight="1">
      <c r="A1090" s="221"/>
      <c r="C1090" s="12"/>
      <c r="D1090" s="87"/>
      <c r="F1090" s="14"/>
      <c r="G1090" s="14"/>
      <c r="H1090" s="14"/>
      <c r="I1090" s="14"/>
      <c r="J1090" s="14"/>
      <c r="K1090" s="12"/>
    </row>
    <row r="1091" ht="19.5" customHeight="1">
      <c r="A1091" s="221"/>
      <c r="C1091" s="12"/>
      <c r="D1091" s="87"/>
      <c r="F1091" s="14"/>
      <c r="G1091" s="14"/>
      <c r="H1091" s="14"/>
      <c r="I1091" s="14"/>
      <c r="J1091" s="14"/>
      <c r="K1091" s="12"/>
    </row>
    <row r="1092" ht="19.5" customHeight="1">
      <c r="A1092" s="221"/>
      <c r="C1092" s="12"/>
      <c r="D1092" s="87"/>
      <c r="F1092" s="14"/>
      <c r="G1092" s="14"/>
      <c r="H1092" s="14"/>
      <c r="I1092" s="14"/>
      <c r="J1092" s="14"/>
      <c r="K1092" s="12"/>
    </row>
    <row r="1093" ht="19.5" customHeight="1">
      <c r="A1093" s="221"/>
      <c r="C1093" s="12"/>
      <c r="D1093" s="87"/>
      <c r="F1093" s="14"/>
      <c r="G1093" s="14"/>
      <c r="H1093" s="14"/>
      <c r="I1093" s="14"/>
      <c r="J1093" s="14"/>
      <c r="K1093" s="12"/>
    </row>
    <row r="1094" ht="19.5" customHeight="1">
      <c r="A1094" s="221"/>
      <c r="C1094" s="12"/>
      <c r="D1094" s="87"/>
      <c r="F1094" s="14"/>
      <c r="G1094" s="14"/>
      <c r="H1094" s="14"/>
      <c r="I1094" s="14"/>
      <c r="J1094" s="14"/>
      <c r="K1094" s="12"/>
    </row>
    <row r="1095" ht="19.5" customHeight="1">
      <c r="A1095" s="221"/>
      <c r="C1095" s="12"/>
      <c r="D1095" s="87"/>
      <c r="F1095" s="14"/>
      <c r="G1095" s="14"/>
      <c r="H1095" s="14"/>
      <c r="I1095" s="14"/>
      <c r="J1095" s="14"/>
      <c r="K1095" s="12"/>
    </row>
    <row r="1096" ht="19.5" customHeight="1">
      <c r="A1096" s="221"/>
      <c r="C1096" s="12"/>
      <c r="D1096" s="87"/>
      <c r="F1096" s="14"/>
      <c r="G1096" s="14"/>
      <c r="H1096" s="14"/>
      <c r="I1096" s="14"/>
      <c r="J1096" s="14"/>
      <c r="K1096" s="12"/>
    </row>
    <row r="1097" ht="19.5" customHeight="1">
      <c r="A1097" s="221"/>
      <c r="C1097" s="12"/>
      <c r="D1097" s="87"/>
      <c r="F1097" s="14"/>
      <c r="G1097" s="14"/>
      <c r="H1097" s="14"/>
      <c r="I1097" s="14"/>
      <c r="J1097" s="14"/>
      <c r="K1097" s="12"/>
    </row>
    <row r="1098" ht="19.5" customHeight="1">
      <c r="A1098" s="221"/>
      <c r="C1098" s="12"/>
      <c r="D1098" s="87"/>
      <c r="F1098" s="14"/>
      <c r="G1098" s="14"/>
      <c r="H1098" s="14"/>
      <c r="I1098" s="14"/>
      <c r="J1098" s="14"/>
      <c r="K1098" s="12"/>
    </row>
    <row r="1099" ht="19.5" customHeight="1">
      <c r="A1099" s="221"/>
      <c r="C1099" s="12"/>
      <c r="D1099" s="87"/>
      <c r="F1099" s="14"/>
      <c r="G1099" s="14"/>
      <c r="H1099" s="14"/>
      <c r="I1099" s="14"/>
      <c r="J1099" s="14"/>
      <c r="K1099" s="12"/>
    </row>
    <row r="1100" ht="19.5" customHeight="1">
      <c r="A1100" s="221"/>
      <c r="C1100" s="12"/>
      <c r="D1100" s="87"/>
      <c r="F1100" s="14"/>
      <c r="G1100" s="14"/>
      <c r="H1100" s="14"/>
      <c r="I1100" s="14"/>
      <c r="J1100" s="14"/>
      <c r="K1100" s="12"/>
    </row>
    <row r="1101" ht="19.5" customHeight="1">
      <c r="A1101" s="221"/>
      <c r="C1101" s="12"/>
      <c r="D1101" s="87"/>
      <c r="F1101" s="14"/>
      <c r="G1101" s="14"/>
      <c r="H1101" s="14"/>
      <c r="I1101" s="14"/>
      <c r="J1101" s="14"/>
      <c r="K1101" s="12"/>
    </row>
    <row r="1102" ht="19.5" customHeight="1">
      <c r="A1102" s="221"/>
      <c r="C1102" s="12"/>
      <c r="D1102" s="87"/>
      <c r="F1102" s="14"/>
      <c r="G1102" s="14"/>
      <c r="H1102" s="14"/>
      <c r="I1102" s="14"/>
      <c r="J1102" s="14"/>
      <c r="K1102" s="12"/>
    </row>
    <row r="1103" ht="19.5" customHeight="1">
      <c r="A1103" s="221"/>
      <c r="C1103" s="12"/>
      <c r="D1103" s="87"/>
      <c r="F1103" s="14"/>
      <c r="G1103" s="14"/>
      <c r="H1103" s="14"/>
      <c r="I1103" s="14"/>
      <c r="J1103" s="14"/>
      <c r="K1103" s="12"/>
    </row>
    <row r="1104" ht="19.5" customHeight="1">
      <c r="A1104" s="221"/>
      <c r="C1104" s="12"/>
      <c r="D1104" s="87"/>
      <c r="F1104" s="14"/>
      <c r="G1104" s="14"/>
      <c r="H1104" s="14"/>
      <c r="I1104" s="14"/>
      <c r="J1104" s="14"/>
      <c r="K1104" s="12"/>
    </row>
    <row r="1105" ht="19.5" customHeight="1">
      <c r="A1105" s="221"/>
      <c r="C1105" s="12"/>
      <c r="D1105" s="87"/>
      <c r="F1105" s="14"/>
      <c r="G1105" s="14"/>
      <c r="H1105" s="14"/>
      <c r="I1105" s="14"/>
      <c r="J1105" s="14"/>
      <c r="K1105" s="12"/>
    </row>
    <row r="1106" ht="19.5" customHeight="1">
      <c r="A1106" s="221"/>
      <c r="C1106" s="12"/>
      <c r="D1106" s="87"/>
      <c r="F1106" s="14"/>
      <c r="G1106" s="14"/>
      <c r="H1106" s="14"/>
      <c r="I1106" s="14"/>
      <c r="J1106" s="14"/>
      <c r="K1106" s="12"/>
    </row>
    <row r="1107" ht="19.5" customHeight="1">
      <c r="A1107" s="221"/>
      <c r="C1107" s="12"/>
      <c r="D1107" s="87"/>
      <c r="F1107" s="14"/>
      <c r="G1107" s="14"/>
      <c r="H1107" s="14"/>
      <c r="I1107" s="14"/>
      <c r="J1107" s="14"/>
      <c r="K1107" s="12"/>
    </row>
    <row r="1108" ht="19.5" customHeight="1">
      <c r="A1108" s="221"/>
      <c r="C1108" s="12"/>
      <c r="D1108" s="87"/>
      <c r="F1108" s="14"/>
      <c r="G1108" s="14"/>
      <c r="H1108" s="14"/>
      <c r="I1108" s="14"/>
      <c r="J1108" s="14"/>
      <c r="K1108" s="12"/>
    </row>
    <row r="1109" ht="19.5" customHeight="1">
      <c r="A1109" s="221"/>
      <c r="C1109" s="12"/>
      <c r="D1109" s="87"/>
      <c r="F1109" s="14"/>
      <c r="G1109" s="14"/>
      <c r="H1109" s="14"/>
      <c r="I1109" s="14"/>
      <c r="J1109" s="14"/>
      <c r="K1109" s="12"/>
    </row>
    <row r="1110" ht="19.5" customHeight="1">
      <c r="A1110" s="221"/>
      <c r="C1110" s="12"/>
      <c r="D1110" s="87"/>
      <c r="F1110" s="14"/>
      <c r="G1110" s="14"/>
      <c r="H1110" s="14"/>
      <c r="I1110" s="14"/>
      <c r="J1110" s="14"/>
      <c r="K1110" s="12"/>
    </row>
    <row r="1111" ht="19.5" customHeight="1">
      <c r="A1111" s="221"/>
      <c r="C1111" s="12"/>
      <c r="D1111" s="87"/>
      <c r="F1111" s="14"/>
      <c r="G1111" s="14"/>
      <c r="H1111" s="14"/>
      <c r="I1111" s="14"/>
      <c r="J1111" s="14"/>
      <c r="K1111" s="12"/>
    </row>
    <row r="1112" ht="19.5" customHeight="1">
      <c r="A1112" s="221"/>
      <c r="C1112" s="12"/>
      <c r="D1112" s="87"/>
      <c r="F1112" s="14"/>
      <c r="G1112" s="14"/>
      <c r="H1112" s="14"/>
      <c r="I1112" s="14"/>
      <c r="J1112" s="14"/>
      <c r="K1112" s="12"/>
    </row>
    <row r="1113" ht="19.5" customHeight="1">
      <c r="A1113" s="221"/>
      <c r="C1113" s="12"/>
      <c r="D1113" s="87"/>
      <c r="F1113" s="14"/>
      <c r="G1113" s="14"/>
      <c r="H1113" s="14"/>
      <c r="I1113" s="14"/>
      <c r="J1113" s="14"/>
      <c r="K1113" s="12"/>
    </row>
    <row r="1114" ht="19.5" customHeight="1">
      <c r="A1114" s="221"/>
      <c r="C1114" s="12"/>
      <c r="D1114" s="87"/>
      <c r="F1114" s="14"/>
      <c r="G1114" s="14"/>
      <c r="H1114" s="14"/>
      <c r="I1114" s="14"/>
      <c r="J1114" s="14"/>
      <c r="K1114" s="12"/>
    </row>
    <row r="1115" ht="19.5" customHeight="1">
      <c r="A1115" s="221"/>
      <c r="C1115" s="12"/>
      <c r="D1115" s="87"/>
      <c r="F1115" s="14"/>
      <c r="G1115" s="14"/>
      <c r="H1115" s="14"/>
      <c r="I1115" s="14"/>
      <c r="J1115" s="14"/>
      <c r="K1115" s="12"/>
    </row>
    <row r="1116" ht="19.5" customHeight="1">
      <c r="A1116" s="221"/>
      <c r="C1116" s="12"/>
      <c r="D1116" s="87"/>
      <c r="F1116" s="14"/>
      <c r="G1116" s="14"/>
      <c r="H1116" s="14"/>
      <c r="I1116" s="14"/>
      <c r="J1116" s="14"/>
      <c r="K1116" s="12"/>
    </row>
    <row r="1117" ht="19.5" customHeight="1">
      <c r="A1117" s="221"/>
      <c r="C1117" s="12"/>
      <c r="D1117" s="87"/>
      <c r="F1117" s="14"/>
      <c r="G1117" s="14"/>
      <c r="H1117" s="14"/>
      <c r="I1117" s="14"/>
      <c r="J1117" s="14"/>
      <c r="K1117" s="12"/>
    </row>
    <row r="1118" ht="19.5" customHeight="1">
      <c r="A1118" s="221"/>
      <c r="C1118" s="12"/>
      <c r="D1118" s="87"/>
      <c r="F1118" s="14"/>
      <c r="G1118" s="14"/>
      <c r="H1118" s="14"/>
      <c r="I1118" s="14"/>
      <c r="J1118" s="14"/>
      <c r="K1118" s="12"/>
    </row>
    <row r="1119" ht="19.5" customHeight="1">
      <c r="A1119" s="221"/>
      <c r="C1119" s="12"/>
      <c r="D1119" s="87"/>
      <c r="F1119" s="14"/>
      <c r="G1119" s="14"/>
      <c r="H1119" s="14"/>
      <c r="I1119" s="14"/>
      <c r="J1119" s="14"/>
      <c r="K1119" s="12"/>
    </row>
    <row r="1120" ht="19.5" customHeight="1">
      <c r="A1120" s="221"/>
      <c r="C1120" s="12"/>
      <c r="D1120" s="87"/>
      <c r="F1120" s="14"/>
      <c r="G1120" s="14"/>
      <c r="H1120" s="14"/>
      <c r="I1120" s="14"/>
      <c r="J1120" s="14"/>
      <c r="K1120" s="12"/>
    </row>
    <row r="1121" ht="19.5" customHeight="1">
      <c r="A1121" s="221"/>
      <c r="C1121" s="12"/>
      <c r="D1121" s="87"/>
      <c r="F1121" s="14"/>
      <c r="G1121" s="14"/>
      <c r="H1121" s="14"/>
      <c r="I1121" s="14"/>
      <c r="J1121" s="14"/>
      <c r="K1121" s="12"/>
    </row>
    <row r="1122" ht="19.5" customHeight="1">
      <c r="A1122" s="221"/>
      <c r="C1122" s="12"/>
      <c r="D1122" s="87"/>
      <c r="F1122" s="14"/>
      <c r="G1122" s="14"/>
      <c r="H1122" s="14"/>
      <c r="I1122" s="14"/>
      <c r="J1122" s="14"/>
      <c r="K1122" s="12"/>
    </row>
    <row r="1123" ht="19.5" customHeight="1">
      <c r="A1123" s="221"/>
      <c r="C1123" s="12"/>
      <c r="D1123" s="87"/>
      <c r="F1123" s="14"/>
      <c r="G1123" s="14"/>
      <c r="H1123" s="14"/>
      <c r="I1123" s="14"/>
      <c r="J1123" s="14"/>
      <c r="K1123" s="12"/>
    </row>
    <row r="1124" ht="19.5" customHeight="1">
      <c r="A1124" s="221"/>
      <c r="C1124" s="12"/>
      <c r="D1124" s="87"/>
      <c r="F1124" s="14"/>
      <c r="G1124" s="14"/>
      <c r="H1124" s="14"/>
      <c r="I1124" s="14"/>
      <c r="J1124" s="14"/>
      <c r="K1124" s="12"/>
    </row>
    <row r="1125" ht="19.5" customHeight="1">
      <c r="A1125" s="221"/>
      <c r="C1125" s="12"/>
      <c r="D1125" s="87"/>
      <c r="F1125" s="14"/>
      <c r="G1125" s="14"/>
      <c r="H1125" s="14"/>
      <c r="I1125" s="14"/>
      <c r="J1125" s="14"/>
      <c r="K1125" s="12"/>
    </row>
    <row r="1126" ht="19.5" customHeight="1">
      <c r="A1126" s="221"/>
      <c r="C1126" s="12"/>
      <c r="D1126" s="87"/>
      <c r="F1126" s="14"/>
      <c r="G1126" s="14"/>
      <c r="H1126" s="14"/>
      <c r="I1126" s="14"/>
      <c r="J1126" s="14"/>
      <c r="K1126" s="12"/>
    </row>
    <row r="1127" ht="19.5" customHeight="1">
      <c r="A1127" s="221"/>
      <c r="C1127" s="12"/>
      <c r="D1127" s="87"/>
      <c r="F1127" s="14"/>
      <c r="G1127" s="14"/>
      <c r="H1127" s="14"/>
      <c r="I1127" s="14"/>
      <c r="J1127" s="14"/>
      <c r="K1127" s="12"/>
    </row>
    <row r="1128" ht="19.5" customHeight="1">
      <c r="A1128" s="221"/>
      <c r="C1128" s="12"/>
      <c r="D1128" s="87"/>
      <c r="F1128" s="14"/>
      <c r="G1128" s="14"/>
      <c r="H1128" s="14"/>
      <c r="I1128" s="14"/>
      <c r="J1128" s="14"/>
      <c r="K1128" s="12"/>
    </row>
    <row r="1129" ht="19.5" customHeight="1">
      <c r="A1129" s="221"/>
      <c r="C1129" s="12"/>
      <c r="D1129" s="87"/>
      <c r="F1129" s="14"/>
      <c r="G1129" s="14"/>
      <c r="H1129" s="14"/>
      <c r="I1129" s="14"/>
      <c r="J1129" s="14"/>
      <c r="K1129" s="12"/>
    </row>
    <row r="1130" ht="19.5" customHeight="1">
      <c r="A1130" s="221"/>
      <c r="C1130" s="12"/>
      <c r="D1130" s="87"/>
      <c r="F1130" s="14"/>
      <c r="G1130" s="14"/>
      <c r="H1130" s="14"/>
      <c r="I1130" s="14"/>
      <c r="J1130" s="14"/>
      <c r="K1130" s="12"/>
    </row>
    <row r="1131" ht="19.5" customHeight="1">
      <c r="A1131" s="221"/>
      <c r="C1131" s="12"/>
      <c r="D1131" s="87"/>
      <c r="F1131" s="14"/>
      <c r="G1131" s="14"/>
      <c r="H1131" s="14"/>
      <c r="I1131" s="14"/>
      <c r="J1131" s="14"/>
      <c r="K1131" s="12"/>
    </row>
    <row r="1132" ht="19.5" customHeight="1">
      <c r="A1132" s="221"/>
      <c r="C1132" s="12"/>
      <c r="D1132" s="87"/>
      <c r="F1132" s="14"/>
      <c r="G1132" s="14"/>
      <c r="H1132" s="14"/>
      <c r="I1132" s="14"/>
      <c r="J1132" s="14"/>
      <c r="K1132" s="12"/>
    </row>
    <row r="1133" ht="19.5" customHeight="1">
      <c r="A1133" s="221"/>
      <c r="C1133" s="12"/>
      <c r="D1133" s="87"/>
      <c r="F1133" s="14"/>
      <c r="G1133" s="14"/>
      <c r="H1133" s="14"/>
      <c r="I1133" s="14"/>
      <c r="J1133" s="14"/>
      <c r="K1133" s="12"/>
    </row>
    <row r="1134" ht="19.5" customHeight="1">
      <c r="A1134" s="221"/>
      <c r="C1134" s="12"/>
      <c r="D1134" s="87"/>
      <c r="F1134" s="14"/>
      <c r="G1134" s="14"/>
      <c r="H1134" s="14"/>
      <c r="I1134" s="14"/>
      <c r="J1134" s="14"/>
      <c r="K1134" s="12"/>
    </row>
    <row r="1135" ht="19.5" customHeight="1">
      <c r="A1135" s="221"/>
      <c r="C1135" s="12"/>
      <c r="D1135" s="87"/>
      <c r="F1135" s="14"/>
      <c r="G1135" s="14"/>
      <c r="H1135" s="14"/>
      <c r="I1135" s="14"/>
      <c r="J1135" s="14"/>
      <c r="K1135" s="12"/>
    </row>
    <row r="1136" ht="19.5" customHeight="1">
      <c r="A1136" s="221"/>
      <c r="C1136" s="12"/>
      <c r="D1136" s="87"/>
      <c r="F1136" s="14"/>
      <c r="G1136" s="14"/>
      <c r="H1136" s="14"/>
      <c r="I1136" s="14"/>
      <c r="J1136" s="14"/>
      <c r="K1136" s="12"/>
    </row>
    <row r="1137" ht="19.5" customHeight="1">
      <c r="A1137" s="221"/>
      <c r="C1137" s="12"/>
      <c r="D1137" s="87"/>
      <c r="F1137" s="14"/>
      <c r="G1137" s="14"/>
      <c r="H1137" s="14"/>
      <c r="I1137" s="14"/>
      <c r="J1137" s="14"/>
      <c r="K1137" s="12"/>
    </row>
  </sheetData>
  <mergeCells count="5">
    <mergeCell ref="A6:K6"/>
    <mergeCell ref="A7:K7"/>
    <mergeCell ref="A8:K8"/>
    <mergeCell ref="A9:K9"/>
    <mergeCell ref="K164:K166"/>
  </mergeCells>
  <printOptions/>
  <pageMargins bottom="0.787401575" footer="0.0" header="0.0" left="0.511811024" right="0.511811024" top="0.787401575"/>
  <pageSetup paperSize="9" scale="60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/>
  </sheetPr>
  <sheetViews>
    <sheetView workbookViewId="0"/>
  </sheetViews>
  <sheetFormatPr customHeight="1" defaultColWidth="12.63" defaultRowHeight="15.0"/>
  <cols>
    <col customWidth="1" min="1" max="1" width="19.38"/>
    <col customWidth="1" min="2" max="2" width="44.0"/>
    <col customWidth="1" min="3" max="3" width="12.88"/>
    <col customWidth="1" min="4" max="4" width="15.75"/>
    <col customWidth="1" min="5" max="5" width="19.75"/>
    <col customWidth="1" min="6" max="6" width="15.25"/>
    <col customWidth="1" min="7" max="7" width="14.88"/>
    <col customWidth="1" min="8" max="8" width="15.63"/>
    <col customWidth="1" min="9" max="9" width="13.75"/>
    <col customWidth="1" min="10" max="10" width="12.38"/>
    <col customWidth="1" min="11" max="11" width="32.38"/>
    <col customWidth="1" min="12" max="26" width="8.63"/>
  </cols>
  <sheetData>
    <row r="1" ht="19.5" customHeight="1">
      <c r="A1" s="4"/>
      <c r="B1" s="5"/>
      <c r="C1" s="6"/>
      <c r="D1" s="86"/>
      <c r="E1" s="5"/>
      <c r="F1" s="8"/>
      <c r="G1" s="8"/>
      <c r="H1" s="8"/>
      <c r="I1" s="8"/>
      <c r="J1" s="8"/>
      <c r="K1" s="222"/>
    </row>
    <row r="2" ht="19.5" customHeight="1">
      <c r="A2" s="10" t="s">
        <v>83</v>
      </c>
      <c r="B2" s="11" t="s">
        <v>84</v>
      </c>
      <c r="C2" s="12"/>
      <c r="D2" s="87"/>
      <c r="F2" s="14"/>
      <c r="G2" s="14"/>
      <c r="H2" s="14"/>
      <c r="I2" s="14"/>
      <c r="J2" s="17" t="s">
        <v>144</v>
      </c>
      <c r="K2" s="223"/>
    </row>
    <row r="3" ht="19.5" customHeight="1">
      <c r="A3" s="10" t="s">
        <v>86</v>
      </c>
      <c r="B3" s="11" t="s">
        <v>87</v>
      </c>
      <c r="C3" s="12"/>
      <c r="D3" s="87"/>
      <c r="F3" s="14"/>
      <c r="G3" s="14"/>
      <c r="H3" s="14"/>
      <c r="I3" s="14"/>
      <c r="J3" s="14"/>
      <c r="K3" s="223"/>
    </row>
    <row r="4" ht="19.5" customHeight="1">
      <c r="A4" s="19"/>
      <c r="C4" s="12"/>
      <c r="D4" s="87"/>
      <c r="F4" s="14"/>
      <c r="G4" s="14"/>
      <c r="H4" s="14"/>
      <c r="I4" s="14"/>
      <c r="J4" s="14"/>
      <c r="K4" s="223"/>
    </row>
    <row r="5" ht="19.5" customHeight="1">
      <c r="A5" s="19"/>
      <c r="C5" s="12"/>
      <c r="D5" s="87"/>
      <c r="F5" s="14"/>
      <c r="G5" s="14"/>
      <c r="H5" s="14"/>
      <c r="I5" s="14"/>
      <c r="J5" s="14"/>
      <c r="K5" s="223"/>
    </row>
    <row r="6" ht="200.25" customHeight="1">
      <c r="A6" s="20" t="s">
        <v>702</v>
      </c>
      <c r="K6" s="21"/>
    </row>
    <row r="7" ht="64.5" customHeight="1">
      <c r="A7" s="22" t="s">
        <v>703</v>
      </c>
      <c r="K7" s="21"/>
    </row>
    <row r="8" ht="37.5" customHeight="1">
      <c r="A8" s="224" t="s">
        <v>90</v>
      </c>
      <c r="B8" s="225"/>
      <c r="C8" s="225"/>
      <c r="D8" s="225"/>
      <c r="E8" s="225"/>
      <c r="F8" s="225"/>
      <c r="G8" s="225"/>
      <c r="H8" s="225"/>
      <c r="I8" s="225"/>
      <c r="J8" s="225"/>
      <c r="K8" s="226"/>
    </row>
    <row r="9" ht="19.5" customHeight="1">
      <c r="A9" s="227" t="s">
        <v>643</v>
      </c>
      <c r="B9" s="28"/>
      <c r="C9" s="28"/>
      <c r="D9" s="28"/>
      <c r="E9" s="28"/>
      <c r="F9" s="28"/>
      <c r="G9" s="28"/>
      <c r="H9" s="28"/>
      <c r="I9" s="28"/>
      <c r="J9" s="28"/>
      <c r="K9" s="29"/>
    </row>
    <row r="10" ht="19.5" customHeight="1">
      <c r="A10" s="99" t="s">
        <v>1</v>
      </c>
      <c r="B10" s="99" t="s">
        <v>644</v>
      </c>
      <c r="C10" s="99" t="s">
        <v>645</v>
      </c>
      <c r="D10" s="177" t="s">
        <v>646</v>
      </c>
      <c r="E10" s="51" t="s">
        <v>99</v>
      </c>
      <c r="F10" s="52" t="s">
        <v>648</v>
      </c>
      <c r="G10" s="52" t="s">
        <v>649</v>
      </c>
      <c r="H10" s="178" t="s">
        <v>650</v>
      </c>
      <c r="I10" s="178" t="s">
        <v>651</v>
      </c>
      <c r="J10" s="177" t="s">
        <v>652</v>
      </c>
      <c r="K10" s="179" t="s">
        <v>653</v>
      </c>
    </row>
    <row r="11" ht="19.5" customHeight="1">
      <c r="A11" s="203"/>
      <c r="B11" s="194" t="s">
        <v>386</v>
      </c>
      <c r="C11" s="228">
        <v>1.0</v>
      </c>
      <c r="D11" s="229">
        <v>1.05</v>
      </c>
      <c r="E11" s="228">
        <v>0.7</v>
      </c>
      <c r="F11" s="228">
        <v>0.2</v>
      </c>
      <c r="G11" s="228">
        <v>1.5</v>
      </c>
      <c r="H11" s="230">
        <f t="shared" ref="H11:H24" si="1">C11*(D11+0.4)*(E11+0.4)*G11</f>
        <v>2.3925</v>
      </c>
      <c r="I11" s="230">
        <f t="shared" ref="I11:I24" si="2">C11*D11*E11</f>
        <v>0.735</v>
      </c>
      <c r="J11" s="230">
        <f t="shared" ref="J11:J24" si="3">C11*((D11+E11)*2)*F11</f>
        <v>0.7</v>
      </c>
      <c r="K11" s="182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</row>
    <row r="12" ht="19.5" customHeight="1">
      <c r="A12" s="203"/>
      <c r="B12" s="195" t="s">
        <v>704</v>
      </c>
      <c r="C12" s="231">
        <v>3.0</v>
      </c>
      <c r="D12" s="232">
        <v>0.85</v>
      </c>
      <c r="E12" s="233">
        <v>0.85</v>
      </c>
      <c r="F12" s="234">
        <v>0.2</v>
      </c>
      <c r="G12" s="228">
        <v>1.5</v>
      </c>
      <c r="H12" s="230">
        <f t="shared" si="1"/>
        <v>7.03125</v>
      </c>
      <c r="I12" s="230">
        <f t="shared" si="2"/>
        <v>2.1675</v>
      </c>
      <c r="J12" s="230">
        <f t="shared" si="3"/>
        <v>2.04</v>
      </c>
      <c r="K12" s="235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85"/>
      <c r="Z12" s="185"/>
    </row>
    <row r="13" ht="19.5" customHeight="1">
      <c r="A13" s="203"/>
      <c r="B13" s="195" t="s">
        <v>705</v>
      </c>
      <c r="C13" s="231">
        <v>3.0</v>
      </c>
      <c r="D13" s="232">
        <v>0.8</v>
      </c>
      <c r="E13" s="233">
        <v>0.7</v>
      </c>
      <c r="F13" s="234">
        <v>0.2</v>
      </c>
      <c r="G13" s="228">
        <v>1.5</v>
      </c>
      <c r="H13" s="230">
        <f t="shared" si="1"/>
        <v>5.94</v>
      </c>
      <c r="I13" s="230">
        <f t="shared" si="2"/>
        <v>1.68</v>
      </c>
      <c r="J13" s="230">
        <f t="shared" si="3"/>
        <v>1.8</v>
      </c>
      <c r="K13" s="235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Y13" s="185"/>
      <c r="Z13" s="185"/>
    </row>
    <row r="14" ht="19.5" customHeight="1">
      <c r="A14" s="203"/>
      <c r="B14" s="195" t="s">
        <v>389</v>
      </c>
      <c r="C14" s="231">
        <v>1.0</v>
      </c>
      <c r="D14" s="232">
        <v>1.0</v>
      </c>
      <c r="E14" s="233">
        <v>0.65</v>
      </c>
      <c r="F14" s="234">
        <v>0.2</v>
      </c>
      <c r="G14" s="228">
        <v>1.5</v>
      </c>
      <c r="H14" s="230">
        <f t="shared" si="1"/>
        <v>2.205</v>
      </c>
      <c r="I14" s="230">
        <f t="shared" si="2"/>
        <v>0.65</v>
      </c>
      <c r="J14" s="230">
        <f t="shared" si="3"/>
        <v>0.66</v>
      </c>
      <c r="K14" s="23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</row>
    <row r="15" ht="19.5" customHeight="1">
      <c r="A15" s="203"/>
      <c r="B15" s="195" t="s">
        <v>706</v>
      </c>
      <c r="C15" s="231">
        <v>5.0</v>
      </c>
      <c r="D15" s="232">
        <v>0.6</v>
      </c>
      <c r="E15" s="233">
        <v>0.6</v>
      </c>
      <c r="F15" s="234">
        <v>0.2</v>
      </c>
      <c r="G15" s="228">
        <v>1.5</v>
      </c>
      <c r="H15" s="230">
        <f t="shared" si="1"/>
        <v>7.5</v>
      </c>
      <c r="I15" s="230">
        <f t="shared" si="2"/>
        <v>1.8</v>
      </c>
      <c r="J15" s="230">
        <f t="shared" si="3"/>
        <v>2.4</v>
      </c>
      <c r="K15" s="236"/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5"/>
    </row>
    <row r="16" ht="19.5" customHeight="1">
      <c r="A16" s="203"/>
      <c r="B16" s="195" t="s">
        <v>391</v>
      </c>
      <c r="C16" s="231">
        <v>1.0</v>
      </c>
      <c r="D16" s="232">
        <v>0.65</v>
      </c>
      <c r="E16" s="233">
        <v>0.7</v>
      </c>
      <c r="F16" s="234">
        <v>0.2</v>
      </c>
      <c r="G16" s="228">
        <v>1.5</v>
      </c>
      <c r="H16" s="230">
        <f t="shared" si="1"/>
        <v>1.7325</v>
      </c>
      <c r="I16" s="230">
        <f t="shared" si="2"/>
        <v>0.455</v>
      </c>
      <c r="J16" s="230">
        <f t="shared" si="3"/>
        <v>0.54</v>
      </c>
      <c r="K16" s="23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</row>
    <row r="17" ht="19.5" customHeight="1">
      <c r="A17" s="203"/>
      <c r="B17" s="195" t="s">
        <v>392</v>
      </c>
      <c r="C17" s="231">
        <v>1.0</v>
      </c>
      <c r="D17" s="232">
        <v>0.65</v>
      </c>
      <c r="E17" s="233">
        <v>0.65</v>
      </c>
      <c r="F17" s="234">
        <v>0.2</v>
      </c>
      <c r="G17" s="228">
        <v>1.5</v>
      </c>
      <c r="H17" s="230">
        <f t="shared" si="1"/>
        <v>1.65375</v>
      </c>
      <c r="I17" s="230">
        <f t="shared" si="2"/>
        <v>0.4225</v>
      </c>
      <c r="J17" s="230">
        <f t="shared" si="3"/>
        <v>0.52</v>
      </c>
      <c r="K17" s="23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</row>
    <row r="18" ht="19.5" customHeight="1">
      <c r="A18" s="203"/>
      <c r="B18" s="195" t="s">
        <v>707</v>
      </c>
      <c r="C18" s="231">
        <v>2.0</v>
      </c>
      <c r="D18" s="232">
        <v>0.7</v>
      </c>
      <c r="E18" s="233">
        <v>0.75</v>
      </c>
      <c r="F18" s="234">
        <v>0.2</v>
      </c>
      <c r="G18" s="228">
        <v>1.5</v>
      </c>
      <c r="H18" s="230">
        <f t="shared" si="1"/>
        <v>3.795</v>
      </c>
      <c r="I18" s="230">
        <f t="shared" si="2"/>
        <v>1.05</v>
      </c>
      <c r="J18" s="230">
        <f t="shared" si="3"/>
        <v>1.16</v>
      </c>
      <c r="K18" s="23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</row>
    <row r="19" ht="19.5" customHeight="1">
      <c r="A19" s="203"/>
      <c r="B19" s="195" t="s">
        <v>398</v>
      </c>
      <c r="C19" s="231">
        <v>1.0</v>
      </c>
      <c r="D19" s="232">
        <v>0.65</v>
      </c>
      <c r="E19" s="233">
        <v>0.65</v>
      </c>
      <c r="F19" s="234">
        <v>0.3</v>
      </c>
      <c r="G19" s="228">
        <v>1.5</v>
      </c>
      <c r="H19" s="230">
        <f t="shared" si="1"/>
        <v>1.65375</v>
      </c>
      <c r="I19" s="230">
        <f t="shared" si="2"/>
        <v>0.4225</v>
      </c>
      <c r="J19" s="230">
        <f t="shared" si="3"/>
        <v>0.78</v>
      </c>
      <c r="K19" s="235"/>
      <c r="L19" s="185"/>
      <c r="M19" s="185"/>
      <c r="N19" s="185"/>
      <c r="O19" s="185"/>
      <c r="P19" s="185"/>
      <c r="Q19" s="185"/>
      <c r="R19" s="185"/>
      <c r="S19" s="185"/>
      <c r="T19" s="185"/>
      <c r="U19" s="185"/>
      <c r="V19" s="185"/>
      <c r="W19" s="185"/>
      <c r="X19" s="185"/>
      <c r="Y19" s="185"/>
      <c r="Z19" s="185"/>
    </row>
    <row r="20" ht="19.5" customHeight="1">
      <c r="A20" s="203"/>
      <c r="B20" s="195" t="s">
        <v>708</v>
      </c>
      <c r="C20" s="231">
        <v>4.0</v>
      </c>
      <c r="D20" s="232">
        <v>0.8</v>
      </c>
      <c r="E20" s="233">
        <v>0.65</v>
      </c>
      <c r="F20" s="234">
        <v>0.2</v>
      </c>
      <c r="G20" s="228">
        <v>1.5</v>
      </c>
      <c r="H20" s="230">
        <f t="shared" si="1"/>
        <v>7.56</v>
      </c>
      <c r="I20" s="230">
        <f t="shared" si="2"/>
        <v>2.08</v>
      </c>
      <c r="J20" s="230">
        <f t="shared" si="3"/>
        <v>2.32</v>
      </c>
      <c r="K20" s="23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5"/>
      <c r="X20" s="185"/>
      <c r="Y20" s="185"/>
      <c r="Z20" s="185"/>
    </row>
    <row r="21" ht="19.5" customHeight="1">
      <c r="A21" s="203"/>
      <c r="B21" s="195" t="s">
        <v>709</v>
      </c>
      <c r="C21" s="231">
        <v>2.0</v>
      </c>
      <c r="D21" s="232">
        <v>0.85</v>
      </c>
      <c r="E21" s="233">
        <v>0.7</v>
      </c>
      <c r="F21" s="234">
        <v>0.2</v>
      </c>
      <c r="G21" s="228">
        <v>1.5</v>
      </c>
      <c r="H21" s="230">
        <f t="shared" si="1"/>
        <v>4.125</v>
      </c>
      <c r="I21" s="230">
        <f t="shared" si="2"/>
        <v>1.19</v>
      </c>
      <c r="J21" s="230">
        <f t="shared" si="3"/>
        <v>1.24</v>
      </c>
      <c r="K21" s="235"/>
      <c r="L21" s="185"/>
      <c r="M21" s="185"/>
      <c r="N21" s="185"/>
      <c r="O21" s="185"/>
      <c r="P21" s="185"/>
      <c r="Q21" s="185"/>
      <c r="R21" s="185"/>
      <c r="S21" s="185"/>
      <c r="T21" s="185"/>
      <c r="U21" s="185"/>
      <c r="V21" s="185"/>
      <c r="W21" s="185"/>
      <c r="X21" s="185"/>
      <c r="Y21" s="185"/>
      <c r="Z21" s="185"/>
    </row>
    <row r="22" ht="19.5" customHeight="1">
      <c r="A22" s="203"/>
      <c r="B22" s="195" t="s">
        <v>409</v>
      </c>
      <c r="C22" s="231">
        <v>1.0</v>
      </c>
      <c r="D22" s="232">
        <v>0.6</v>
      </c>
      <c r="E22" s="233">
        <v>0.6</v>
      </c>
      <c r="F22" s="234">
        <v>0.3</v>
      </c>
      <c r="G22" s="228">
        <v>1.5</v>
      </c>
      <c r="H22" s="230">
        <f t="shared" si="1"/>
        <v>1.5</v>
      </c>
      <c r="I22" s="230">
        <f t="shared" si="2"/>
        <v>0.36</v>
      </c>
      <c r="J22" s="230">
        <f t="shared" si="3"/>
        <v>0.72</v>
      </c>
      <c r="K22" s="235"/>
      <c r="L22" s="185"/>
      <c r="M22" s="185"/>
      <c r="N22" s="185"/>
      <c r="O22" s="185"/>
      <c r="P22" s="185"/>
      <c r="Q22" s="185"/>
      <c r="R22" s="185"/>
      <c r="S22" s="185"/>
      <c r="T22" s="185"/>
      <c r="U22" s="185"/>
      <c r="V22" s="185"/>
      <c r="W22" s="185"/>
      <c r="X22" s="185"/>
      <c r="Y22" s="185"/>
      <c r="Z22" s="185"/>
    </row>
    <row r="23" ht="19.5" customHeight="1">
      <c r="A23" s="203"/>
      <c r="B23" s="195" t="s">
        <v>410</v>
      </c>
      <c r="C23" s="231">
        <v>1.0</v>
      </c>
      <c r="D23" s="232">
        <v>0.9</v>
      </c>
      <c r="E23" s="233">
        <v>0.8</v>
      </c>
      <c r="F23" s="234">
        <v>0.2</v>
      </c>
      <c r="G23" s="228">
        <v>1.5</v>
      </c>
      <c r="H23" s="230">
        <f t="shared" si="1"/>
        <v>2.34</v>
      </c>
      <c r="I23" s="230">
        <f t="shared" si="2"/>
        <v>0.72</v>
      </c>
      <c r="J23" s="230">
        <f t="shared" si="3"/>
        <v>0.68</v>
      </c>
      <c r="K23" s="235"/>
      <c r="L23" s="185"/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5"/>
    </row>
    <row r="24" ht="19.5" customHeight="1">
      <c r="A24" s="203"/>
      <c r="B24" s="195" t="s">
        <v>412</v>
      </c>
      <c r="C24" s="231">
        <v>1.0</v>
      </c>
      <c r="D24" s="232">
        <v>0.95</v>
      </c>
      <c r="E24" s="233">
        <v>0.8</v>
      </c>
      <c r="F24" s="234">
        <v>0.2</v>
      </c>
      <c r="G24" s="228">
        <v>1.5</v>
      </c>
      <c r="H24" s="230">
        <f t="shared" si="1"/>
        <v>2.43</v>
      </c>
      <c r="I24" s="230">
        <f t="shared" si="2"/>
        <v>0.76</v>
      </c>
      <c r="J24" s="230">
        <f t="shared" si="3"/>
        <v>0.7</v>
      </c>
      <c r="K24" s="23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5"/>
      <c r="Z24" s="185"/>
    </row>
    <row r="25" ht="19.5" customHeight="1">
      <c r="A25" s="203"/>
      <c r="B25" s="190"/>
      <c r="C25" s="237"/>
      <c r="D25" s="238"/>
      <c r="E25" s="239"/>
      <c r="F25" s="240"/>
      <c r="G25" s="228"/>
      <c r="H25" s="230"/>
      <c r="I25" s="230"/>
      <c r="J25" s="230"/>
      <c r="K25" s="235"/>
      <c r="L25" s="185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  <c r="Z25" s="185"/>
    </row>
    <row r="26" ht="19.5" customHeight="1">
      <c r="A26" s="151" t="s">
        <v>710</v>
      </c>
      <c r="B26" s="194" t="s">
        <v>711</v>
      </c>
      <c r="C26" s="237"/>
      <c r="D26" s="238"/>
      <c r="E26" s="239"/>
      <c r="F26" s="240"/>
      <c r="G26" s="228"/>
      <c r="H26" s="230"/>
      <c r="I26" s="230"/>
      <c r="J26" s="230">
        <f>SUM(I11:I24)</f>
        <v>14.4925</v>
      </c>
      <c r="K26" s="235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5"/>
      <c r="Z26" s="185"/>
    </row>
    <row r="27" ht="19.5" customHeight="1">
      <c r="A27" s="151" t="s">
        <v>712</v>
      </c>
      <c r="B27" s="194" t="s">
        <v>713</v>
      </c>
      <c r="C27" s="237"/>
      <c r="D27" s="238"/>
      <c r="E27" s="239"/>
      <c r="F27" s="240"/>
      <c r="G27" s="228"/>
      <c r="H27" s="230"/>
      <c r="I27" s="230"/>
      <c r="J27" s="230">
        <f>SUM(H11:H24)</f>
        <v>51.85875</v>
      </c>
      <c r="K27" s="235"/>
      <c r="L27" s="185"/>
      <c r="M27" s="185"/>
      <c r="N27" s="185"/>
      <c r="O27" s="185"/>
      <c r="P27" s="185"/>
      <c r="Q27" s="185"/>
      <c r="R27" s="185"/>
      <c r="S27" s="185"/>
      <c r="T27" s="185"/>
      <c r="U27" s="185"/>
      <c r="V27" s="185"/>
      <c r="W27" s="185"/>
      <c r="X27" s="185"/>
      <c r="Y27" s="185"/>
      <c r="Z27" s="185"/>
    </row>
    <row r="28" ht="19.5" customHeight="1">
      <c r="A28" s="151" t="s">
        <v>714</v>
      </c>
      <c r="B28" s="194" t="s">
        <v>715</v>
      </c>
      <c r="C28" s="237"/>
      <c r="D28" s="238"/>
      <c r="E28" s="239"/>
      <c r="F28" s="240"/>
      <c r="G28" s="228"/>
      <c r="H28" s="230">
        <f>J26</f>
        <v>14.4925</v>
      </c>
      <c r="I28" s="229">
        <v>0.05</v>
      </c>
      <c r="J28" s="230">
        <f>H28*I28</f>
        <v>0.724625</v>
      </c>
      <c r="K28" s="235"/>
      <c r="L28" s="185"/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185"/>
      <c r="Z28" s="185"/>
    </row>
    <row r="29" ht="19.5" customHeight="1">
      <c r="A29" s="241">
        <v>40579.0</v>
      </c>
      <c r="B29" s="194" t="s">
        <v>716</v>
      </c>
      <c r="C29" s="237"/>
      <c r="D29" s="238"/>
      <c r="E29" s="239"/>
      <c r="F29" s="240"/>
      <c r="G29" s="228"/>
      <c r="H29" s="242"/>
      <c r="I29" s="242"/>
      <c r="J29" s="238">
        <f>SUM(J11:J24)</f>
        <v>16.26</v>
      </c>
      <c r="K29" s="23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5"/>
    </row>
    <row r="30" ht="19.5" customHeight="1">
      <c r="A30" s="241">
        <v>40214.0</v>
      </c>
      <c r="B30" s="194" t="s">
        <v>679</v>
      </c>
      <c r="C30" s="237"/>
      <c r="D30" s="238"/>
      <c r="E30" s="239"/>
      <c r="F30" s="240"/>
      <c r="G30" s="228"/>
      <c r="H30" s="242"/>
      <c r="I30" s="242"/>
      <c r="J30" s="238">
        <f>31.36+19.1-J29</f>
        <v>34.2</v>
      </c>
      <c r="K30" s="235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5"/>
      <c r="W30" s="185"/>
      <c r="X30" s="185"/>
      <c r="Y30" s="185"/>
      <c r="Z30" s="185"/>
    </row>
    <row r="31" ht="19.5" customHeight="1">
      <c r="A31" s="144">
        <v>36927.0</v>
      </c>
      <c r="B31" s="195" t="s">
        <v>717</v>
      </c>
      <c r="C31" s="237"/>
      <c r="D31" s="238"/>
      <c r="E31" s="239"/>
      <c r="F31" s="240"/>
      <c r="G31" s="240"/>
      <c r="H31" s="242"/>
      <c r="I31" s="242"/>
      <c r="J31" s="238">
        <f>3.64+2.32</f>
        <v>5.96</v>
      </c>
      <c r="K31" s="235"/>
      <c r="L31" s="185"/>
      <c r="M31" s="185"/>
      <c r="N31" s="185"/>
      <c r="O31" s="185"/>
      <c r="P31" s="185"/>
      <c r="Q31" s="185"/>
      <c r="R31" s="185"/>
      <c r="S31" s="185"/>
      <c r="T31" s="185"/>
      <c r="U31" s="185"/>
      <c r="V31" s="185"/>
      <c r="W31" s="185"/>
      <c r="X31" s="185"/>
      <c r="Y31" s="185"/>
      <c r="Z31" s="185"/>
    </row>
    <row r="32" ht="19.5" customHeight="1">
      <c r="A32" s="203"/>
      <c r="B32" s="190"/>
      <c r="C32" s="187"/>
      <c r="D32" s="192"/>
      <c r="E32" s="67"/>
      <c r="F32" s="243"/>
      <c r="G32" s="67"/>
      <c r="H32" s="244"/>
      <c r="I32" s="244"/>
      <c r="J32" s="192"/>
      <c r="K32" s="235"/>
      <c r="L32" s="185"/>
      <c r="M32" s="185"/>
      <c r="N32" s="185"/>
      <c r="O32" s="185"/>
      <c r="P32" s="185"/>
      <c r="Q32" s="185"/>
      <c r="R32" s="185"/>
      <c r="S32" s="185"/>
      <c r="T32" s="185"/>
      <c r="U32" s="185"/>
      <c r="V32" s="185"/>
      <c r="W32" s="185"/>
      <c r="X32" s="185"/>
      <c r="Y32" s="185"/>
      <c r="Z32" s="185"/>
    </row>
    <row r="33" ht="19.5" customHeight="1">
      <c r="A33" s="203"/>
      <c r="B33" s="194"/>
      <c r="C33" s="67" t="s">
        <v>683</v>
      </c>
      <c r="D33" s="189" t="s">
        <v>108</v>
      </c>
      <c r="E33" s="67" t="s">
        <v>684</v>
      </c>
      <c r="F33" s="243"/>
      <c r="G33" s="67"/>
      <c r="H33" s="189"/>
      <c r="I33" s="189"/>
      <c r="J33" s="189" t="s">
        <v>718</v>
      </c>
      <c r="K33" s="235"/>
      <c r="L33" s="185"/>
      <c r="M33" s="185"/>
      <c r="N33" s="185"/>
      <c r="O33" s="185"/>
      <c r="P33" s="185"/>
      <c r="Q33" s="185"/>
      <c r="R33" s="185"/>
      <c r="S33" s="185"/>
      <c r="T33" s="185"/>
      <c r="U33" s="185"/>
      <c r="V33" s="185"/>
      <c r="W33" s="185"/>
      <c r="X33" s="185"/>
      <c r="Y33" s="185"/>
      <c r="Z33" s="185"/>
    </row>
    <row r="34" ht="19.5" customHeight="1">
      <c r="A34" s="144">
        <v>39118.0</v>
      </c>
      <c r="B34" s="194" t="s">
        <v>719</v>
      </c>
      <c r="C34" s="67" t="s">
        <v>720</v>
      </c>
      <c r="D34" s="189">
        <f>179.9+96.7</f>
        <v>276.6</v>
      </c>
      <c r="E34" s="243">
        <f>0.395</f>
        <v>0.395</v>
      </c>
      <c r="F34" s="243"/>
      <c r="G34" s="243"/>
      <c r="H34" s="182"/>
      <c r="I34" s="182"/>
      <c r="J34" s="182">
        <f t="shared" ref="J34:J38" si="4">D34*E34</f>
        <v>109.257</v>
      </c>
      <c r="K34" s="235"/>
      <c r="L34" s="185"/>
      <c r="M34" s="185"/>
      <c r="N34" s="185"/>
      <c r="O34" s="185"/>
      <c r="P34" s="185"/>
      <c r="Q34" s="185"/>
      <c r="R34" s="185"/>
      <c r="S34" s="185"/>
      <c r="T34" s="185"/>
      <c r="U34" s="185"/>
      <c r="V34" s="185"/>
      <c r="W34" s="185"/>
      <c r="X34" s="185"/>
      <c r="Y34" s="185"/>
      <c r="Z34" s="185"/>
    </row>
    <row r="35" ht="19.5" customHeight="1">
      <c r="A35" s="151" t="s">
        <v>721</v>
      </c>
      <c r="B35" s="194" t="s">
        <v>722</v>
      </c>
      <c r="C35" s="67" t="s">
        <v>686</v>
      </c>
      <c r="D35" s="182">
        <f>219.6+172.2</f>
        <v>391.8</v>
      </c>
      <c r="E35" s="67">
        <v>0.154</v>
      </c>
      <c r="F35" s="243"/>
      <c r="G35" s="243"/>
      <c r="H35" s="182"/>
      <c r="I35" s="182"/>
      <c r="J35" s="182">
        <f t="shared" si="4"/>
        <v>60.3372</v>
      </c>
      <c r="K35" s="235"/>
      <c r="L35" s="185"/>
      <c r="M35" s="185"/>
      <c r="N35" s="185"/>
      <c r="O35" s="185"/>
      <c r="P35" s="185"/>
      <c r="Q35" s="185"/>
      <c r="R35" s="185"/>
      <c r="S35" s="185"/>
      <c r="T35" s="185"/>
      <c r="U35" s="185"/>
      <c r="V35" s="185"/>
      <c r="W35" s="185"/>
      <c r="X35" s="185"/>
      <c r="Y35" s="185"/>
      <c r="Z35" s="185"/>
    </row>
    <row r="36" ht="19.5" customHeight="1">
      <c r="A36" s="203"/>
      <c r="B36" s="194"/>
      <c r="C36" s="208">
        <v>45357.0</v>
      </c>
      <c r="D36" s="182">
        <f>10.6+9.8</f>
        <v>20.4</v>
      </c>
      <c r="E36" s="67">
        <v>0.245</v>
      </c>
      <c r="F36" s="243"/>
      <c r="G36" s="243"/>
      <c r="H36" s="182"/>
      <c r="I36" s="182"/>
      <c r="J36" s="182">
        <f t="shared" si="4"/>
        <v>4.998</v>
      </c>
      <c r="K36" s="235"/>
      <c r="L36" s="185"/>
      <c r="M36" s="185"/>
      <c r="N36" s="185"/>
      <c r="O36" s="185"/>
      <c r="P36" s="185"/>
      <c r="Q36" s="185"/>
      <c r="R36" s="185"/>
      <c r="S36" s="185"/>
      <c r="T36" s="185"/>
      <c r="U36" s="185"/>
      <c r="V36" s="185"/>
      <c r="W36" s="185"/>
      <c r="X36" s="185"/>
      <c r="Y36" s="185"/>
      <c r="Z36" s="185"/>
    </row>
    <row r="37" ht="19.5" customHeight="1">
      <c r="A37" s="203"/>
      <c r="B37" s="194"/>
      <c r="C37" s="209">
        <v>10.0</v>
      </c>
      <c r="D37" s="182">
        <f>141.1+103.4</f>
        <v>244.5</v>
      </c>
      <c r="E37" s="67">
        <v>0.617</v>
      </c>
      <c r="F37" s="243"/>
      <c r="G37" s="243"/>
      <c r="H37" s="182"/>
      <c r="I37" s="182"/>
      <c r="J37" s="182">
        <f t="shared" si="4"/>
        <v>150.8565</v>
      </c>
      <c r="K37" s="235"/>
      <c r="L37" s="185"/>
      <c r="M37" s="185"/>
      <c r="N37" s="185"/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5"/>
      <c r="Z37" s="185"/>
    </row>
    <row r="38" ht="19.5" customHeight="1">
      <c r="A38" s="203"/>
      <c r="B38" s="194"/>
      <c r="C38" s="208">
        <v>45424.0</v>
      </c>
      <c r="D38" s="182">
        <f>16.8</f>
        <v>16.8</v>
      </c>
      <c r="E38" s="67">
        <v>0.963</v>
      </c>
      <c r="F38" s="243"/>
      <c r="G38" s="243"/>
      <c r="H38" s="182"/>
      <c r="I38" s="182"/>
      <c r="J38" s="182">
        <f t="shared" si="4"/>
        <v>16.1784</v>
      </c>
      <c r="K38" s="23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</row>
    <row r="39" ht="19.5" customHeight="1">
      <c r="A39" s="99" t="s">
        <v>1</v>
      </c>
      <c r="B39" s="99" t="s">
        <v>644</v>
      </c>
      <c r="C39" s="99" t="s">
        <v>645</v>
      </c>
      <c r="D39" s="177" t="s">
        <v>646</v>
      </c>
      <c r="E39" s="51" t="s">
        <v>99</v>
      </c>
      <c r="F39" s="52" t="s">
        <v>648</v>
      </c>
      <c r="G39" s="52" t="s">
        <v>649</v>
      </c>
      <c r="H39" s="178" t="s">
        <v>650</v>
      </c>
      <c r="I39" s="178" t="s">
        <v>651</v>
      </c>
      <c r="J39" s="177" t="s">
        <v>652</v>
      </c>
      <c r="K39" s="179" t="s">
        <v>653</v>
      </c>
    </row>
    <row r="40" ht="19.5" customHeight="1">
      <c r="A40" s="203"/>
      <c r="B40" s="67" t="s">
        <v>723</v>
      </c>
      <c r="C40" s="67">
        <v>1.0</v>
      </c>
      <c r="D40" s="189">
        <f>4.535+4.3+1.985</f>
        <v>10.82</v>
      </c>
      <c r="E40" s="67">
        <v>0.14</v>
      </c>
      <c r="F40" s="67">
        <v>0.5</v>
      </c>
      <c r="G40" s="67">
        <v>0.55</v>
      </c>
      <c r="H40" s="182">
        <f t="shared" ref="H40:H58" si="5">D40*(E40+0.4)*G40</f>
        <v>3.21354</v>
      </c>
      <c r="I40" s="182">
        <f t="shared" ref="I40:I58" si="6">C40*D40*E40</f>
        <v>1.5148</v>
      </c>
      <c r="J40" s="182">
        <f t="shared" ref="J40:J58" si="7">2*(C40*D40*F40)</f>
        <v>10.82</v>
      </c>
      <c r="K40" s="182">
        <f t="shared" ref="K40:K58" si="8">D40*(E40+F40*2)</f>
        <v>12.3348</v>
      </c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</row>
    <row r="41" ht="19.5" customHeight="1">
      <c r="A41" s="203"/>
      <c r="B41" s="67" t="s">
        <v>724</v>
      </c>
      <c r="C41" s="67">
        <v>1.0</v>
      </c>
      <c r="D41" s="189">
        <v>2.0</v>
      </c>
      <c r="E41" s="67">
        <v>0.14</v>
      </c>
      <c r="F41" s="67">
        <v>0.5</v>
      </c>
      <c r="G41" s="67">
        <v>0.55</v>
      </c>
      <c r="H41" s="182">
        <f t="shared" si="5"/>
        <v>0.594</v>
      </c>
      <c r="I41" s="182">
        <f t="shared" si="6"/>
        <v>0.28</v>
      </c>
      <c r="J41" s="182">
        <f t="shared" si="7"/>
        <v>2</v>
      </c>
      <c r="K41" s="182">
        <f t="shared" si="8"/>
        <v>2.28</v>
      </c>
      <c r="L41" s="185"/>
      <c r="M41" s="185"/>
      <c r="N41" s="185"/>
      <c r="O41" s="185"/>
      <c r="P41" s="185"/>
      <c r="Q41" s="185"/>
      <c r="R41" s="185"/>
      <c r="S41" s="185"/>
      <c r="T41" s="185"/>
      <c r="U41" s="185"/>
      <c r="V41" s="185"/>
      <c r="W41" s="185"/>
      <c r="X41" s="185"/>
      <c r="Y41" s="185"/>
      <c r="Z41" s="185"/>
    </row>
    <row r="42" ht="19.5" customHeight="1">
      <c r="A42" s="203"/>
      <c r="B42" s="67" t="s">
        <v>725</v>
      </c>
      <c r="C42" s="67">
        <v>1.0</v>
      </c>
      <c r="D42" s="189">
        <v>2.0</v>
      </c>
      <c r="E42" s="67">
        <v>0.14</v>
      </c>
      <c r="F42" s="67">
        <v>0.5</v>
      </c>
      <c r="G42" s="67">
        <v>0.55</v>
      </c>
      <c r="H42" s="182">
        <f t="shared" si="5"/>
        <v>0.594</v>
      </c>
      <c r="I42" s="182">
        <f t="shared" si="6"/>
        <v>0.28</v>
      </c>
      <c r="J42" s="182">
        <f t="shared" si="7"/>
        <v>2</v>
      </c>
      <c r="K42" s="182">
        <f t="shared" si="8"/>
        <v>2.28</v>
      </c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</row>
    <row r="43" ht="19.5" customHeight="1">
      <c r="A43" s="203"/>
      <c r="B43" s="67" t="s">
        <v>726</v>
      </c>
      <c r="C43" s="67">
        <v>1.0</v>
      </c>
      <c r="D43" s="188">
        <f>2.41+1.86+2.42</f>
        <v>6.69</v>
      </c>
      <c r="E43" s="67">
        <v>0.14</v>
      </c>
      <c r="F43" s="67">
        <v>0.5</v>
      </c>
      <c r="G43" s="67">
        <v>0.55</v>
      </c>
      <c r="H43" s="182">
        <f t="shared" si="5"/>
        <v>1.98693</v>
      </c>
      <c r="I43" s="182">
        <f t="shared" si="6"/>
        <v>0.9366</v>
      </c>
      <c r="J43" s="182">
        <f t="shared" si="7"/>
        <v>6.69</v>
      </c>
      <c r="K43" s="182">
        <f t="shared" si="8"/>
        <v>7.6266</v>
      </c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</row>
    <row r="44" ht="19.5" customHeight="1">
      <c r="A44" s="203"/>
      <c r="B44" s="67" t="s">
        <v>727</v>
      </c>
      <c r="C44" s="67">
        <v>1.0</v>
      </c>
      <c r="D44" s="188">
        <f>5.485*2</f>
        <v>10.97</v>
      </c>
      <c r="E44" s="67">
        <v>0.14</v>
      </c>
      <c r="F44" s="67">
        <v>0.5</v>
      </c>
      <c r="G44" s="67">
        <v>0.55</v>
      </c>
      <c r="H44" s="182">
        <f t="shared" si="5"/>
        <v>3.25809</v>
      </c>
      <c r="I44" s="182">
        <f t="shared" si="6"/>
        <v>1.5358</v>
      </c>
      <c r="J44" s="182">
        <f t="shared" si="7"/>
        <v>10.97</v>
      </c>
      <c r="K44" s="182">
        <f t="shared" si="8"/>
        <v>12.5058</v>
      </c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</row>
    <row r="45" ht="19.5" customHeight="1">
      <c r="A45" s="203"/>
      <c r="B45" s="67" t="s">
        <v>728</v>
      </c>
      <c r="C45" s="67">
        <v>1.0</v>
      </c>
      <c r="D45" s="192">
        <v>5.7</v>
      </c>
      <c r="E45" s="67">
        <v>0.14</v>
      </c>
      <c r="F45" s="67">
        <v>0.5</v>
      </c>
      <c r="G45" s="67">
        <v>0.55</v>
      </c>
      <c r="H45" s="182">
        <f t="shared" si="5"/>
        <v>1.6929</v>
      </c>
      <c r="I45" s="182">
        <f t="shared" si="6"/>
        <v>0.798</v>
      </c>
      <c r="J45" s="182">
        <f t="shared" si="7"/>
        <v>5.7</v>
      </c>
      <c r="K45" s="182">
        <f t="shared" si="8"/>
        <v>6.498</v>
      </c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</row>
    <row r="46" ht="19.5" customHeight="1">
      <c r="A46" s="203"/>
      <c r="B46" s="67" t="s">
        <v>729</v>
      </c>
      <c r="C46" s="67">
        <v>1.0</v>
      </c>
      <c r="D46" s="192">
        <v>1.47</v>
      </c>
      <c r="E46" s="67">
        <v>0.14</v>
      </c>
      <c r="F46" s="67">
        <v>0.35</v>
      </c>
      <c r="G46" s="67">
        <v>0.4</v>
      </c>
      <c r="H46" s="182">
        <f t="shared" si="5"/>
        <v>0.31752</v>
      </c>
      <c r="I46" s="182">
        <f t="shared" si="6"/>
        <v>0.2058</v>
      </c>
      <c r="J46" s="182">
        <f t="shared" si="7"/>
        <v>1.029</v>
      </c>
      <c r="K46" s="182">
        <f t="shared" si="8"/>
        <v>1.2348</v>
      </c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</row>
    <row r="47" ht="19.5" customHeight="1">
      <c r="A47" s="203"/>
      <c r="B47" s="67" t="s">
        <v>730</v>
      </c>
      <c r="C47" s="67">
        <v>1.0</v>
      </c>
      <c r="D47" s="192">
        <f>2*4.53</f>
        <v>9.06</v>
      </c>
      <c r="E47" s="67">
        <v>0.14</v>
      </c>
      <c r="F47" s="67">
        <v>0.35</v>
      </c>
      <c r="G47" s="67">
        <v>0.4</v>
      </c>
      <c r="H47" s="182">
        <f t="shared" si="5"/>
        <v>1.95696</v>
      </c>
      <c r="I47" s="182">
        <f t="shared" si="6"/>
        <v>1.2684</v>
      </c>
      <c r="J47" s="182">
        <f t="shared" si="7"/>
        <v>6.342</v>
      </c>
      <c r="K47" s="182">
        <f t="shared" si="8"/>
        <v>7.6104</v>
      </c>
      <c r="L47" s="185"/>
      <c r="M47" s="185"/>
      <c r="N47" s="185"/>
      <c r="O47" s="185"/>
      <c r="P47" s="185"/>
      <c r="Q47" s="185"/>
      <c r="R47" s="185"/>
      <c r="S47" s="185"/>
      <c r="T47" s="185"/>
      <c r="U47" s="185"/>
      <c r="V47" s="185"/>
      <c r="W47" s="185"/>
      <c r="X47" s="185"/>
      <c r="Y47" s="185"/>
      <c r="Z47" s="185"/>
    </row>
    <row r="48" ht="19.5" customHeight="1">
      <c r="A48" s="203"/>
      <c r="B48" s="67" t="s">
        <v>731</v>
      </c>
      <c r="C48" s="67">
        <v>1.0</v>
      </c>
      <c r="D48" s="192">
        <v>1.465</v>
      </c>
      <c r="E48" s="67">
        <v>0.14</v>
      </c>
      <c r="F48" s="67">
        <v>0.35</v>
      </c>
      <c r="G48" s="67">
        <v>0.4</v>
      </c>
      <c r="H48" s="182">
        <f t="shared" si="5"/>
        <v>0.31644</v>
      </c>
      <c r="I48" s="182">
        <f t="shared" si="6"/>
        <v>0.2051</v>
      </c>
      <c r="J48" s="182">
        <f t="shared" si="7"/>
        <v>1.0255</v>
      </c>
      <c r="K48" s="182">
        <f t="shared" si="8"/>
        <v>1.2306</v>
      </c>
      <c r="L48" s="185"/>
      <c r="M48" s="185"/>
      <c r="N48" s="185"/>
      <c r="O48" s="185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</row>
    <row r="49" ht="19.5" customHeight="1">
      <c r="A49" s="203"/>
      <c r="B49" s="67" t="s">
        <v>732</v>
      </c>
      <c r="C49" s="67">
        <v>1.0</v>
      </c>
      <c r="D49" s="188">
        <f>5.41*2</f>
        <v>10.82</v>
      </c>
      <c r="E49" s="67">
        <v>0.2</v>
      </c>
      <c r="F49" s="67">
        <v>0.5</v>
      </c>
      <c r="G49" s="67">
        <v>0.55</v>
      </c>
      <c r="H49" s="182">
        <f t="shared" si="5"/>
        <v>3.5706</v>
      </c>
      <c r="I49" s="182">
        <f t="shared" si="6"/>
        <v>2.164</v>
      </c>
      <c r="J49" s="182">
        <f t="shared" si="7"/>
        <v>10.82</v>
      </c>
      <c r="K49" s="182">
        <f t="shared" si="8"/>
        <v>12.984</v>
      </c>
      <c r="L49" s="185"/>
      <c r="M49" s="185"/>
      <c r="N49" s="185"/>
      <c r="O49" s="185"/>
      <c r="P49" s="185"/>
      <c r="Q49" s="185"/>
      <c r="R49" s="185"/>
      <c r="S49" s="185"/>
      <c r="T49" s="185"/>
      <c r="U49" s="185"/>
      <c r="V49" s="185"/>
      <c r="W49" s="185"/>
      <c r="X49" s="185"/>
      <c r="Y49" s="185"/>
      <c r="Z49" s="185"/>
    </row>
    <row r="50" ht="19.5" customHeight="1">
      <c r="A50" s="203"/>
      <c r="B50" s="67" t="s">
        <v>733</v>
      </c>
      <c r="C50" s="67">
        <v>1.0</v>
      </c>
      <c r="D50" s="188">
        <f>6.23+6.97</f>
        <v>13.2</v>
      </c>
      <c r="E50" s="67">
        <v>0.14</v>
      </c>
      <c r="F50" s="67">
        <v>0.35</v>
      </c>
      <c r="G50" s="67">
        <v>0.4</v>
      </c>
      <c r="H50" s="182">
        <f t="shared" si="5"/>
        <v>2.8512</v>
      </c>
      <c r="I50" s="182">
        <f t="shared" si="6"/>
        <v>1.848</v>
      </c>
      <c r="J50" s="182">
        <f t="shared" si="7"/>
        <v>9.24</v>
      </c>
      <c r="K50" s="182">
        <f t="shared" si="8"/>
        <v>11.088</v>
      </c>
      <c r="L50" s="185"/>
      <c r="M50" s="185"/>
      <c r="N50" s="185"/>
      <c r="O50" s="185"/>
      <c r="P50" s="185"/>
      <c r="Q50" s="185"/>
      <c r="R50" s="185"/>
      <c r="S50" s="185"/>
      <c r="T50" s="185"/>
      <c r="U50" s="185"/>
      <c r="V50" s="185"/>
      <c r="W50" s="185"/>
      <c r="X50" s="185"/>
      <c r="Y50" s="185"/>
      <c r="Z50" s="185"/>
    </row>
    <row r="51" ht="19.5" customHeight="1">
      <c r="A51" s="203"/>
      <c r="B51" s="67" t="s">
        <v>734</v>
      </c>
      <c r="C51" s="67">
        <v>1.0</v>
      </c>
      <c r="D51" s="188">
        <f>4.645+4.815*2+4.9+3.645</f>
        <v>22.82</v>
      </c>
      <c r="E51" s="67">
        <v>0.2</v>
      </c>
      <c r="F51" s="67">
        <v>0.5</v>
      </c>
      <c r="G51" s="67">
        <v>0.55</v>
      </c>
      <c r="H51" s="182">
        <f t="shared" si="5"/>
        <v>7.5306</v>
      </c>
      <c r="I51" s="182">
        <f t="shared" si="6"/>
        <v>4.564</v>
      </c>
      <c r="J51" s="182">
        <f t="shared" si="7"/>
        <v>22.82</v>
      </c>
      <c r="K51" s="182">
        <f t="shared" si="8"/>
        <v>27.384</v>
      </c>
      <c r="L51" s="185"/>
      <c r="M51" s="185"/>
      <c r="N51" s="185"/>
      <c r="O51" s="185"/>
      <c r="P51" s="185"/>
      <c r="Q51" s="185"/>
      <c r="R51" s="185"/>
      <c r="S51" s="185"/>
      <c r="T51" s="185"/>
      <c r="U51" s="185"/>
      <c r="V51" s="185"/>
      <c r="W51" s="185"/>
      <c r="X51" s="185"/>
      <c r="Y51" s="185"/>
      <c r="Z51" s="185"/>
    </row>
    <row r="52" ht="19.5" customHeight="1">
      <c r="A52" s="203"/>
      <c r="B52" s="67" t="s">
        <v>735</v>
      </c>
      <c r="C52" s="67">
        <v>1.0</v>
      </c>
      <c r="D52" s="192">
        <v>1.46</v>
      </c>
      <c r="E52" s="67">
        <v>0.14</v>
      </c>
      <c r="F52" s="67">
        <v>0.5</v>
      </c>
      <c r="G52" s="67">
        <v>0.55</v>
      </c>
      <c r="H52" s="182">
        <f t="shared" si="5"/>
        <v>0.43362</v>
      </c>
      <c r="I52" s="182">
        <f t="shared" si="6"/>
        <v>0.2044</v>
      </c>
      <c r="J52" s="182">
        <f t="shared" si="7"/>
        <v>1.46</v>
      </c>
      <c r="K52" s="182">
        <f t="shared" si="8"/>
        <v>1.6644</v>
      </c>
      <c r="L52" s="185"/>
      <c r="M52" s="185"/>
      <c r="N52" s="185"/>
      <c r="O52" s="185"/>
      <c r="P52" s="185"/>
      <c r="Q52" s="185"/>
      <c r="R52" s="185"/>
      <c r="S52" s="185"/>
      <c r="T52" s="185"/>
      <c r="U52" s="185"/>
      <c r="V52" s="185"/>
      <c r="W52" s="185"/>
      <c r="X52" s="185"/>
      <c r="Y52" s="185"/>
      <c r="Z52" s="185"/>
    </row>
    <row r="53" ht="19.5" customHeight="1">
      <c r="A53" s="203"/>
      <c r="B53" s="67" t="s">
        <v>736</v>
      </c>
      <c r="C53" s="67">
        <v>1.0</v>
      </c>
      <c r="D53" s="192">
        <v>2.405</v>
      </c>
      <c r="E53" s="67">
        <v>0.14</v>
      </c>
      <c r="F53" s="67">
        <v>0.5</v>
      </c>
      <c r="G53" s="67">
        <v>0.55</v>
      </c>
      <c r="H53" s="182">
        <f t="shared" si="5"/>
        <v>0.714285</v>
      </c>
      <c r="I53" s="182">
        <f t="shared" si="6"/>
        <v>0.3367</v>
      </c>
      <c r="J53" s="182">
        <f t="shared" si="7"/>
        <v>2.405</v>
      </c>
      <c r="K53" s="182">
        <f t="shared" si="8"/>
        <v>2.7417</v>
      </c>
      <c r="L53" s="185"/>
      <c r="M53" s="185"/>
      <c r="N53" s="185"/>
      <c r="O53" s="185"/>
      <c r="P53" s="185"/>
      <c r="Q53" s="185"/>
      <c r="R53" s="185"/>
      <c r="S53" s="185"/>
      <c r="T53" s="185"/>
      <c r="U53" s="185"/>
      <c r="V53" s="185"/>
      <c r="W53" s="185"/>
      <c r="X53" s="185"/>
      <c r="Y53" s="185"/>
      <c r="Z53" s="185"/>
    </row>
    <row r="54" ht="19.5" customHeight="1">
      <c r="A54" s="203"/>
      <c r="B54" s="67" t="s">
        <v>737</v>
      </c>
      <c r="C54" s="67">
        <v>1.0</v>
      </c>
      <c r="D54" s="192">
        <v>2.345</v>
      </c>
      <c r="E54" s="67">
        <v>0.14</v>
      </c>
      <c r="F54" s="67">
        <v>0.5</v>
      </c>
      <c r="G54" s="67">
        <v>0.55</v>
      </c>
      <c r="H54" s="182">
        <f t="shared" si="5"/>
        <v>0.696465</v>
      </c>
      <c r="I54" s="182">
        <f t="shared" si="6"/>
        <v>0.3283</v>
      </c>
      <c r="J54" s="182">
        <f t="shared" si="7"/>
        <v>2.345</v>
      </c>
      <c r="K54" s="182">
        <f t="shared" si="8"/>
        <v>2.6733</v>
      </c>
      <c r="L54" s="185"/>
      <c r="M54" s="185"/>
      <c r="N54" s="185"/>
      <c r="O54" s="185"/>
      <c r="P54" s="185"/>
      <c r="Q54" s="185"/>
      <c r="R54" s="185"/>
      <c r="S54" s="185"/>
      <c r="T54" s="185"/>
      <c r="U54" s="185"/>
      <c r="V54" s="185"/>
      <c r="W54" s="185"/>
      <c r="X54" s="185"/>
      <c r="Y54" s="185"/>
      <c r="Z54" s="185"/>
    </row>
    <row r="55" ht="19.5" customHeight="1">
      <c r="A55" s="203"/>
      <c r="B55" s="67" t="s">
        <v>738</v>
      </c>
      <c r="C55" s="67">
        <v>1.0</v>
      </c>
      <c r="D55" s="192">
        <v>2.465</v>
      </c>
      <c r="E55" s="67">
        <v>0.14</v>
      </c>
      <c r="F55" s="67">
        <v>0.5</v>
      </c>
      <c r="G55" s="67">
        <v>0.55</v>
      </c>
      <c r="H55" s="182">
        <f t="shared" si="5"/>
        <v>0.732105</v>
      </c>
      <c r="I55" s="182">
        <f t="shared" si="6"/>
        <v>0.3451</v>
      </c>
      <c r="J55" s="182">
        <f t="shared" si="7"/>
        <v>2.465</v>
      </c>
      <c r="K55" s="182">
        <f t="shared" si="8"/>
        <v>2.8101</v>
      </c>
      <c r="L55" s="185"/>
      <c r="M55" s="185"/>
      <c r="N55" s="185"/>
      <c r="O55" s="185"/>
      <c r="P55" s="185"/>
      <c r="Q55" s="185"/>
      <c r="R55" s="185"/>
      <c r="S55" s="185"/>
      <c r="T55" s="185"/>
      <c r="U55" s="185"/>
      <c r="V55" s="185"/>
      <c r="W55" s="185"/>
      <c r="X55" s="185"/>
      <c r="Y55" s="185"/>
      <c r="Z55" s="185"/>
    </row>
    <row r="56" ht="19.5" customHeight="1">
      <c r="A56" s="203"/>
      <c r="B56" s="67" t="s">
        <v>739</v>
      </c>
      <c r="C56" s="67">
        <v>1.0</v>
      </c>
      <c r="D56" s="192">
        <v>1.46</v>
      </c>
      <c r="E56" s="67">
        <v>0.14</v>
      </c>
      <c r="F56" s="67">
        <v>0.5</v>
      </c>
      <c r="G56" s="67">
        <v>0.55</v>
      </c>
      <c r="H56" s="182">
        <f t="shared" si="5"/>
        <v>0.43362</v>
      </c>
      <c r="I56" s="182">
        <f t="shared" si="6"/>
        <v>0.2044</v>
      </c>
      <c r="J56" s="182">
        <f t="shared" si="7"/>
        <v>1.46</v>
      </c>
      <c r="K56" s="182">
        <f t="shared" si="8"/>
        <v>1.6644</v>
      </c>
      <c r="L56" s="185"/>
      <c r="M56" s="185"/>
      <c r="N56" s="185"/>
      <c r="O56" s="185"/>
      <c r="P56" s="185"/>
      <c r="Q56" s="185"/>
      <c r="R56" s="185"/>
      <c r="S56" s="185"/>
      <c r="T56" s="185"/>
      <c r="U56" s="185"/>
      <c r="V56" s="185"/>
      <c r="W56" s="185"/>
      <c r="X56" s="185"/>
      <c r="Y56" s="185"/>
      <c r="Z56" s="185"/>
    </row>
    <row r="57" ht="19.5" customHeight="1">
      <c r="A57" s="203"/>
      <c r="B57" s="67" t="s">
        <v>740</v>
      </c>
      <c r="C57" s="67">
        <v>1.0</v>
      </c>
      <c r="D57" s="192">
        <v>2.345</v>
      </c>
      <c r="E57" s="67">
        <v>0.14</v>
      </c>
      <c r="F57" s="67">
        <v>0.5</v>
      </c>
      <c r="G57" s="67">
        <v>0.55</v>
      </c>
      <c r="H57" s="182">
        <f t="shared" si="5"/>
        <v>0.696465</v>
      </c>
      <c r="I57" s="182">
        <f t="shared" si="6"/>
        <v>0.3283</v>
      </c>
      <c r="J57" s="182">
        <f t="shared" si="7"/>
        <v>2.345</v>
      </c>
      <c r="K57" s="182">
        <f t="shared" si="8"/>
        <v>2.6733</v>
      </c>
      <c r="L57" s="185"/>
      <c r="M57" s="185"/>
      <c r="N57" s="185"/>
      <c r="O57" s="185"/>
      <c r="P57" s="185"/>
      <c r="Q57" s="185"/>
      <c r="R57" s="185"/>
      <c r="S57" s="185"/>
      <c r="T57" s="185"/>
      <c r="U57" s="185"/>
      <c r="V57" s="185"/>
      <c r="W57" s="185"/>
      <c r="X57" s="185"/>
      <c r="Y57" s="185"/>
      <c r="Z57" s="185"/>
    </row>
    <row r="58" ht="19.5" customHeight="1">
      <c r="A58" s="203"/>
      <c r="B58" s="67" t="s">
        <v>741</v>
      </c>
      <c r="C58" s="67">
        <v>1.0</v>
      </c>
      <c r="D58" s="188">
        <f>4.645+4.815*2+4.9+3.645</f>
        <v>22.82</v>
      </c>
      <c r="E58" s="67">
        <v>0.2</v>
      </c>
      <c r="F58" s="67">
        <v>0.5</v>
      </c>
      <c r="G58" s="67">
        <v>0.55</v>
      </c>
      <c r="H58" s="182">
        <f t="shared" si="5"/>
        <v>7.5306</v>
      </c>
      <c r="I58" s="182">
        <f t="shared" si="6"/>
        <v>4.564</v>
      </c>
      <c r="J58" s="182">
        <f t="shared" si="7"/>
        <v>22.82</v>
      </c>
      <c r="K58" s="182">
        <f t="shared" si="8"/>
        <v>27.384</v>
      </c>
      <c r="L58" s="185"/>
      <c r="M58" s="185"/>
      <c r="N58" s="185"/>
      <c r="O58" s="185"/>
      <c r="P58" s="185"/>
      <c r="Q58" s="185"/>
      <c r="R58" s="185"/>
      <c r="S58" s="185"/>
      <c r="T58" s="185"/>
      <c r="U58" s="185"/>
      <c r="V58" s="185"/>
      <c r="W58" s="185"/>
      <c r="X58" s="185"/>
      <c r="Y58" s="185"/>
      <c r="Z58" s="185"/>
    </row>
    <row r="59" ht="19.5" customHeight="1">
      <c r="A59" s="203"/>
      <c r="B59" s="190"/>
      <c r="C59" s="212"/>
      <c r="D59" s="188"/>
      <c r="E59" s="67"/>
      <c r="F59" s="243"/>
      <c r="G59" s="243"/>
      <c r="H59" s="193"/>
      <c r="I59" s="193"/>
      <c r="J59" s="188"/>
      <c r="K59" s="235"/>
      <c r="L59" s="185"/>
      <c r="M59" s="185"/>
      <c r="N59" s="185"/>
      <c r="O59" s="185"/>
      <c r="P59" s="185"/>
      <c r="Q59" s="185"/>
      <c r="R59" s="185"/>
      <c r="S59" s="185"/>
      <c r="T59" s="185"/>
      <c r="U59" s="185"/>
      <c r="V59" s="185"/>
      <c r="W59" s="185"/>
      <c r="X59" s="185"/>
      <c r="Y59" s="185"/>
      <c r="Z59" s="185"/>
    </row>
    <row r="60" ht="19.5" customHeight="1">
      <c r="A60" s="203"/>
      <c r="B60" s="67" t="s">
        <v>742</v>
      </c>
      <c r="C60" s="67">
        <v>9.0</v>
      </c>
      <c r="D60" s="67">
        <v>0.25</v>
      </c>
      <c r="E60" s="67">
        <v>0.4</v>
      </c>
      <c r="F60" s="67">
        <v>1.5</v>
      </c>
      <c r="G60" s="67"/>
      <c r="H60" s="182"/>
      <c r="I60" s="182"/>
      <c r="J60" s="182"/>
      <c r="K60" s="182">
        <f t="shared" ref="K60:K63" si="9">C60*((D60+E60)*2)*F60</f>
        <v>17.55</v>
      </c>
      <c r="L60" s="185"/>
      <c r="M60" s="185"/>
      <c r="N60" s="185"/>
      <c r="O60" s="185"/>
      <c r="P60" s="185"/>
      <c r="Q60" s="185"/>
      <c r="R60" s="185"/>
      <c r="S60" s="185"/>
      <c r="T60" s="185"/>
      <c r="U60" s="185"/>
      <c r="V60" s="185"/>
      <c r="W60" s="185"/>
      <c r="X60" s="185"/>
      <c r="Y60" s="185"/>
      <c r="Z60" s="185"/>
    </row>
    <row r="61" ht="19.5" customHeight="1">
      <c r="A61" s="203"/>
      <c r="B61" s="67" t="s">
        <v>666</v>
      </c>
      <c r="C61" s="67">
        <v>13.0</v>
      </c>
      <c r="D61" s="189">
        <v>0.2</v>
      </c>
      <c r="E61" s="67">
        <v>0.2</v>
      </c>
      <c r="F61" s="67">
        <v>1.5</v>
      </c>
      <c r="G61" s="243"/>
      <c r="H61" s="182"/>
      <c r="I61" s="182"/>
      <c r="J61" s="182"/>
      <c r="K61" s="182">
        <f t="shared" si="9"/>
        <v>15.6</v>
      </c>
      <c r="L61" s="185"/>
      <c r="M61" s="185"/>
      <c r="N61" s="185"/>
      <c r="O61" s="185"/>
      <c r="P61" s="185"/>
      <c r="Q61" s="185"/>
      <c r="R61" s="185"/>
      <c r="S61" s="185"/>
      <c r="T61" s="185"/>
      <c r="U61" s="185"/>
      <c r="V61" s="185"/>
      <c r="W61" s="185"/>
      <c r="X61" s="185"/>
      <c r="Y61" s="185"/>
      <c r="Z61" s="185"/>
    </row>
    <row r="62" ht="19.5" customHeight="1">
      <c r="A62" s="203"/>
      <c r="B62" s="67" t="s">
        <v>743</v>
      </c>
      <c r="C62" s="67">
        <v>2.0</v>
      </c>
      <c r="D62" s="189">
        <v>0.25</v>
      </c>
      <c r="E62" s="67">
        <v>0.6</v>
      </c>
      <c r="F62" s="67">
        <v>1.5</v>
      </c>
      <c r="G62" s="243"/>
      <c r="H62" s="182"/>
      <c r="I62" s="182"/>
      <c r="J62" s="182"/>
      <c r="K62" s="182">
        <f t="shared" si="9"/>
        <v>5.1</v>
      </c>
      <c r="L62" s="185"/>
      <c r="M62" s="185"/>
      <c r="N62" s="185"/>
      <c r="O62" s="185"/>
      <c r="P62" s="185"/>
      <c r="Q62" s="185"/>
      <c r="R62" s="185"/>
      <c r="S62" s="185"/>
      <c r="T62" s="185"/>
      <c r="U62" s="185"/>
      <c r="V62" s="185"/>
      <c r="W62" s="185"/>
      <c r="X62" s="185"/>
      <c r="Y62" s="185"/>
      <c r="Z62" s="185"/>
    </row>
    <row r="63" ht="19.5" customHeight="1">
      <c r="A63" s="203"/>
      <c r="B63" s="67" t="s">
        <v>671</v>
      </c>
      <c r="C63" s="67">
        <v>3.0</v>
      </c>
      <c r="D63" s="189">
        <v>0.25</v>
      </c>
      <c r="E63" s="67">
        <v>0.25</v>
      </c>
      <c r="F63" s="67">
        <v>1.5</v>
      </c>
      <c r="G63" s="243"/>
      <c r="H63" s="182"/>
      <c r="I63" s="182"/>
      <c r="J63" s="182"/>
      <c r="K63" s="182">
        <f t="shared" si="9"/>
        <v>4.5</v>
      </c>
      <c r="L63" s="185"/>
      <c r="M63" s="185"/>
      <c r="N63" s="185"/>
      <c r="O63" s="185"/>
      <c r="P63" s="185"/>
      <c r="Q63" s="185"/>
      <c r="R63" s="185"/>
      <c r="S63" s="185"/>
      <c r="T63" s="185"/>
      <c r="U63" s="185"/>
      <c r="V63" s="185"/>
      <c r="W63" s="185"/>
      <c r="X63" s="185"/>
      <c r="Y63" s="185"/>
      <c r="Z63" s="185"/>
    </row>
    <row r="64" ht="19.5" customHeight="1">
      <c r="A64" s="203"/>
      <c r="B64" s="67"/>
      <c r="C64" s="243"/>
      <c r="D64" s="182"/>
      <c r="E64" s="243"/>
      <c r="F64" s="67"/>
      <c r="G64" s="243"/>
      <c r="H64" s="182"/>
      <c r="I64" s="182"/>
      <c r="J64" s="182"/>
      <c r="K64" s="182"/>
      <c r="L64" s="185"/>
      <c r="M64" s="185"/>
      <c r="N64" s="185"/>
      <c r="O64" s="185"/>
      <c r="P64" s="185"/>
      <c r="Q64" s="185"/>
      <c r="R64" s="185"/>
      <c r="S64" s="185"/>
      <c r="T64" s="185"/>
      <c r="U64" s="185"/>
      <c r="V64" s="185"/>
      <c r="W64" s="185"/>
      <c r="X64" s="185"/>
      <c r="Y64" s="185"/>
      <c r="Z64" s="185"/>
    </row>
    <row r="65" ht="19.5" customHeight="1">
      <c r="A65" s="151" t="s">
        <v>744</v>
      </c>
      <c r="B65" s="67" t="s">
        <v>672</v>
      </c>
      <c r="C65" s="243"/>
      <c r="D65" s="182"/>
      <c r="E65" s="243"/>
      <c r="F65" s="243"/>
      <c r="G65" s="243"/>
      <c r="H65" s="182"/>
      <c r="I65" s="182"/>
      <c r="J65" s="182"/>
      <c r="K65" s="182">
        <f>SUM(K40:K63)</f>
        <v>189.4182</v>
      </c>
      <c r="L65" s="185"/>
      <c r="M65" s="185"/>
      <c r="N65" s="185"/>
      <c r="O65" s="185"/>
      <c r="P65" s="185"/>
      <c r="Q65" s="185"/>
      <c r="R65" s="185"/>
      <c r="S65" s="185"/>
      <c r="T65" s="185"/>
      <c r="U65" s="185"/>
      <c r="V65" s="185"/>
      <c r="W65" s="185"/>
      <c r="X65" s="185"/>
      <c r="Y65" s="185"/>
      <c r="Z65" s="185"/>
    </row>
    <row r="66" ht="19.5" customHeight="1">
      <c r="A66" s="151" t="s">
        <v>710</v>
      </c>
      <c r="B66" s="194" t="s">
        <v>745</v>
      </c>
      <c r="C66" s="243"/>
      <c r="D66" s="182"/>
      <c r="E66" s="243"/>
      <c r="F66" s="243"/>
      <c r="G66" s="67"/>
      <c r="H66" s="189"/>
      <c r="I66" s="189"/>
      <c r="J66" s="189"/>
      <c r="K66" s="182">
        <f>SUM(I40:I58)</f>
        <v>21.9117</v>
      </c>
      <c r="L66" s="185"/>
      <c r="M66" s="185"/>
      <c r="N66" s="185"/>
      <c r="O66" s="185"/>
      <c r="P66" s="185"/>
      <c r="Q66" s="185"/>
      <c r="R66" s="185"/>
      <c r="S66" s="185"/>
      <c r="T66" s="185"/>
      <c r="U66" s="185"/>
      <c r="V66" s="185"/>
      <c r="W66" s="185"/>
      <c r="X66" s="185"/>
      <c r="Y66" s="185"/>
      <c r="Z66" s="185"/>
    </row>
    <row r="67" ht="19.5" customHeight="1">
      <c r="A67" s="151" t="s">
        <v>712</v>
      </c>
      <c r="B67" s="194" t="s">
        <v>674</v>
      </c>
      <c r="C67" s="243"/>
      <c r="D67" s="182"/>
      <c r="E67" s="243"/>
      <c r="F67" s="243"/>
      <c r="G67" s="67"/>
      <c r="H67" s="189"/>
      <c r="I67" s="189"/>
      <c r="J67" s="189"/>
      <c r="K67" s="182">
        <f>SUM(H40:H58)</f>
        <v>39.11994</v>
      </c>
      <c r="L67" s="185"/>
      <c r="M67" s="185"/>
      <c r="N67" s="185"/>
      <c r="O67" s="185"/>
      <c r="P67" s="185"/>
      <c r="Q67" s="185"/>
      <c r="R67" s="185"/>
      <c r="S67" s="185"/>
      <c r="T67" s="185"/>
      <c r="U67" s="185"/>
      <c r="V67" s="185"/>
      <c r="W67" s="185"/>
      <c r="X67" s="185"/>
      <c r="Y67" s="185"/>
      <c r="Z67" s="185"/>
    </row>
    <row r="68" ht="19.5" customHeight="1">
      <c r="A68" s="151" t="s">
        <v>714</v>
      </c>
      <c r="B68" s="194" t="s">
        <v>746</v>
      </c>
      <c r="C68" s="243"/>
      <c r="D68" s="182"/>
      <c r="E68" s="243"/>
      <c r="F68" s="243"/>
      <c r="G68" s="243"/>
      <c r="H68" s="182" t="str">
        <f t="shared" ref="H68:I68" si="10">J66</f>
        <v/>
      </c>
      <c r="I68" s="189">
        <f t="shared" si="10"/>
        <v>21.9117</v>
      </c>
      <c r="J68" s="189">
        <v>0.05</v>
      </c>
      <c r="K68" s="182">
        <f>I68*J68</f>
        <v>1.095585</v>
      </c>
      <c r="L68" s="185"/>
      <c r="M68" s="185"/>
      <c r="N68" s="185"/>
      <c r="O68" s="185"/>
      <c r="P68" s="185"/>
      <c r="Q68" s="185"/>
      <c r="R68" s="185"/>
      <c r="S68" s="185"/>
      <c r="T68" s="185"/>
      <c r="U68" s="185"/>
      <c r="V68" s="185"/>
      <c r="W68" s="185"/>
      <c r="X68" s="185"/>
      <c r="Y68" s="185"/>
      <c r="Z68" s="185"/>
    </row>
    <row r="69" ht="19.5" customHeight="1">
      <c r="A69" s="144">
        <v>38388.0</v>
      </c>
      <c r="B69" s="67" t="s">
        <v>747</v>
      </c>
      <c r="C69" s="243"/>
      <c r="D69" s="182"/>
      <c r="E69" s="243"/>
      <c r="F69" s="243"/>
      <c r="G69" s="243"/>
      <c r="H69" s="182"/>
      <c r="I69" s="182"/>
      <c r="J69" s="182"/>
      <c r="K69" s="182">
        <f>121.66+27.38</f>
        <v>149.04</v>
      </c>
      <c r="L69" s="185"/>
      <c r="M69" s="185"/>
      <c r="N69" s="185"/>
      <c r="O69" s="185"/>
      <c r="P69" s="185"/>
      <c r="Q69" s="185"/>
      <c r="R69" s="185"/>
      <c r="S69" s="185"/>
      <c r="T69" s="185"/>
      <c r="U69" s="185"/>
      <c r="V69" s="185"/>
      <c r="W69" s="185"/>
      <c r="X69" s="185"/>
      <c r="Y69" s="185"/>
      <c r="Z69" s="185"/>
    </row>
    <row r="70" ht="19.5" customHeight="1">
      <c r="A70" s="144">
        <v>36927.0</v>
      </c>
      <c r="B70" s="67" t="s">
        <v>748</v>
      </c>
      <c r="C70" s="243"/>
      <c r="D70" s="182"/>
      <c r="E70" s="243"/>
      <c r="F70" s="243"/>
      <c r="G70" s="67"/>
      <c r="H70" s="189"/>
      <c r="I70" s="189"/>
      <c r="J70" s="189"/>
      <c r="K70" s="182">
        <f>2.28+8.32</f>
        <v>10.6</v>
      </c>
      <c r="L70" s="185"/>
      <c r="M70" s="185"/>
      <c r="N70" s="185"/>
      <c r="O70" s="185"/>
      <c r="P70" s="185"/>
      <c r="Q70" s="185"/>
      <c r="R70" s="185"/>
      <c r="S70" s="185"/>
      <c r="T70" s="185"/>
      <c r="U70" s="185"/>
      <c r="V70" s="185"/>
      <c r="W70" s="185"/>
      <c r="X70" s="185"/>
      <c r="Y70" s="185"/>
      <c r="Z70" s="185"/>
    </row>
    <row r="71" ht="19.5" customHeight="1">
      <c r="A71" s="203"/>
      <c r="B71" s="194"/>
      <c r="C71" s="67" t="s">
        <v>683</v>
      </c>
      <c r="D71" s="189" t="s">
        <v>108</v>
      </c>
      <c r="E71" s="67" t="s">
        <v>684</v>
      </c>
      <c r="F71" s="243"/>
      <c r="G71" s="243"/>
      <c r="H71" s="182"/>
      <c r="I71" s="182"/>
      <c r="J71" s="192"/>
      <c r="K71" s="245" t="s">
        <v>749</v>
      </c>
      <c r="L71" s="185"/>
      <c r="M71" s="185"/>
      <c r="N71" s="185"/>
      <c r="O71" s="185"/>
      <c r="P71" s="185"/>
      <c r="Q71" s="185"/>
      <c r="R71" s="185"/>
      <c r="S71" s="185"/>
      <c r="T71" s="185"/>
      <c r="U71" s="185"/>
      <c r="V71" s="185"/>
      <c r="W71" s="185"/>
      <c r="X71" s="185"/>
      <c r="Y71" s="185"/>
      <c r="Z71" s="185"/>
    </row>
    <row r="72" ht="19.5" customHeight="1">
      <c r="A72" s="151" t="s">
        <v>750</v>
      </c>
      <c r="B72" s="194" t="s">
        <v>685</v>
      </c>
      <c r="C72" s="67" t="s">
        <v>686</v>
      </c>
      <c r="D72" s="189">
        <f>163.2+620.6</f>
        <v>783.8</v>
      </c>
      <c r="E72" s="67">
        <v>0.154</v>
      </c>
      <c r="F72" s="243"/>
      <c r="G72" s="243"/>
      <c r="H72" s="182"/>
      <c r="I72" s="182"/>
      <c r="J72" s="192"/>
      <c r="K72" s="188">
        <f t="shared" ref="K72:K77" si="11">D72*E72</f>
        <v>120.7052</v>
      </c>
      <c r="L72" s="185"/>
      <c r="M72" s="185"/>
      <c r="N72" s="185"/>
      <c r="O72" s="185"/>
      <c r="P72" s="185"/>
      <c r="Q72" s="185"/>
      <c r="R72" s="185"/>
      <c r="S72" s="185"/>
      <c r="T72" s="185"/>
      <c r="U72" s="185"/>
      <c r="V72" s="185"/>
      <c r="W72" s="185"/>
      <c r="X72" s="185"/>
      <c r="Y72" s="185"/>
      <c r="Z72" s="185"/>
    </row>
    <row r="73" ht="19.5" customHeight="1">
      <c r="A73" s="203"/>
      <c r="B73" s="194"/>
      <c r="C73" s="208">
        <v>45357.0</v>
      </c>
      <c r="D73" s="189">
        <v>0.0</v>
      </c>
      <c r="E73" s="67">
        <v>0.245</v>
      </c>
      <c r="F73" s="243"/>
      <c r="G73" s="243"/>
      <c r="H73" s="182"/>
      <c r="I73" s="182"/>
      <c r="J73" s="192"/>
      <c r="K73" s="188">
        <f t="shared" si="11"/>
        <v>0</v>
      </c>
      <c r="L73" s="185"/>
      <c r="M73" s="185"/>
      <c r="N73" s="185"/>
      <c r="O73" s="185"/>
      <c r="P73" s="185"/>
      <c r="Q73" s="185"/>
      <c r="R73" s="185"/>
      <c r="S73" s="185"/>
      <c r="T73" s="185"/>
      <c r="U73" s="185"/>
      <c r="V73" s="185"/>
      <c r="W73" s="185"/>
      <c r="X73" s="185"/>
      <c r="Y73" s="185"/>
      <c r="Z73" s="185"/>
    </row>
    <row r="74" ht="19.5" customHeight="1">
      <c r="A74" s="203"/>
      <c r="B74" s="194"/>
      <c r="C74" s="209">
        <v>8.0</v>
      </c>
      <c r="D74" s="189">
        <v>320.5</v>
      </c>
      <c r="E74" s="67">
        <v>0.395</v>
      </c>
      <c r="F74" s="243"/>
      <c r="G74" s="243"/>
      <c r="H74" s="182"/>
      <c r="I74" s="182"/>
      <c r="J74" s="192"/>
      <c r="K74" s="188">
        <f t="shared" si="11"/>
        <v>126.5975</v>
      </c>
      <c r="L74" s="185"/>
      <c r="M74" s="185"/>
      <c r="N74" s="185"/>
      <c r="O74" s="185"/>
      <c r="P74" s="185"/>
      <c r="Q74" s="185"/>
      <c r="R74" s="185"/>
      <c r="S74" s="185"/>
      <c r="T74" s="185"/>
      <c r="U74" s="185"/>
      <c r="V74" s="185"/>
      <c r="W74" s="185"/>
      <c r="X74" s="185"/>
      <c r="Y74" s="185"/>
      <c r="Z74" s="185"/>
    </row>
    <row r="75" ht="19.5" customHeight="1">
      <c r="A75" s="203"/>
      <c r="B75" s="194"/>
      <c r="C75" s="209">
        <v>10.0</v>
      </c>
      <c r="D75" s="189">
        <f>88.2+143.9</f>
        <v>232.1</v>
      </c>
      <c r="E75" s="67">
        <v>0.617</v>
      </c>
      <c r="F75" s="243"/>
      <c r="G75" s="243"/>
      <c r="H75" s="182"/>
      <c r="I75" s="182"/>
      <c r="J75" s="192"/>
      <c r="K75" s="188">
        <f t="shared" si="11"/>
        <v>143.2057</v>
      </c>
      <c r="L75" s="185"/>
      <c r="M75" s="185"/>
      <c r="N75" s="185"/>
      <c r="O75" s="185"/>
      <c r="P75" s="185"/>
      <c r="Q75" s="185"/>
      <c r="R75" s="185"/>
      <c r="S75" s="185"/>
      <c r="T75" s="185"/>
      <c r="U75" s="185"/>
      <c r="V75" s="185"/>
      <c r="W75" s="185"/>
      <c r="X75" s="185"/>
      <c r="Y75" s="185"/>
      <c r="Z75" s="185"/>
    </row>
    <row r="76" ht="19.5" customHeight="1">
      <c r="A76" s="203"/>
      <c r="B76" s="194"/>
      <c r="C76" s="208">
        <v>45424.0</v>
      </c>
      <c r="D76" s="189">
        <v>0.0</v>
      </c>
      <c r="E76" s="67">
        <v>0.963</v>
      </c>
      <c r="F76" s="243"/>
      <c r="G76" s="243"/>
      <c r="H76" s="182"/>
      <c r="I76" s="182"/>
      <c r="J76" s="192"/>
      <c r="K76" s="188">
        <f t="shared" si="11"/>
        <v>0</v>
      </c>
      <c r="L76" s="185"/>
      <c r="M76" s="185"/>
      <c r="N76" s="185"/>
      <c r="O76" s="185"/>
      <c r="P76" s="185"/>
      <c r="Q76" s="185"/>
      <c r="R76" s="185"/>
      <c r="S76" s="185"/>
      <c r="T76" s="185"/>
      <c r="U76" s="185"/>
      <c r="V76" s="185"/>
      <c r="W76" s="185"/>
      <c r="X76" s="185"/>
      <c r="Y76" s="185"/>
      <c r="Z76" s="185"/>
    </row>
    <row r="77" ht="19.5" customHeight="1">
      <c r="A77" s="203"/>
      <c r="B77" s="190"/>
      <c r="C77" s="212"/>
      <c r="D77" s="192"/>
      <c r="E77" s="67"/>
      <c r="F77" s="243"/>
      <c r="G77" s="243"/>
      <c r="H77" s="193"/>
      <c r="I77" s="193"/>
      <c r="J77" s="192"/>
      <c r="K77" s="188">
        <f t="shared" si="11"/>
        <v>0</v>
      </c>
      <c r="L77" s="185"/>
      <c r="M77" s="185"/>
      <c r="N77" s="185"/>
      <c r="O77" s="185"/>
      <c r="P77" s="185"/>
      <c r="Q77" s="185"/>
      <c r="R77" s="185"/>
      <c r="S77" s="185"/>
      <c r="T77" s="185"/>
      <c r="U77" s="185"/>
      <c r="V77" s="185"/>
      <c r="W77" s="185"/>
      <c r="X77" s="185"/>
      <c r="Y77" s="185"/>
      <c r="Z77" s="185"/>
    </row>
    <row r="78" ht="19.5" customHeight="1">
      <c r="A78" s="203"/>
      <c r="B78" s="67"/>
      <c r="C78" s="67" t="s">
        <v>751</v>
      </c>
      <c r="D78" s="189" t="s">
        <v>752</v>
      </c>
      <c r="E78" s="67" t="s">
        <v>212</v>
      </c>
      <c r="F78" s="243"/>
      <c r="G78" s="243"/>
      <c r="H78" s="193"/>
      <c r="I78" s="193"/>
      <c r="J78" s="192"/>
      <c r="K78" s="188"/>
      <c r="L78" s="185"/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5"/>
    </row>
    <row r="79" ht="19.5" customHeight="1">
      <c r="A79" s="151" t="s">
        <v>753</v>
      </c>
      <c r="B79" s="67" t="s">
        <v>339</v>
      </c>
      <c r="C79" s="182">
        <f>J27+K67</f>
        <v>90.97869</v>
      </c>
      <c r="D79" s="182">
        <f>K70+K68+J31+J28</f>
        <v>18.38021</v>
      </c>
      <c r="E79" s="182">
        <f>C79-D79</f>
        <v>72.59848</v>
      </c>
      <c r="F79" s="243"/>
      <c r="G79" s="243"/>
      <c r="H79" s="193"/>
      <c r="I79" s="193"/>
      <c r="J79" s="192"/>
      <c r="K79" s="188"/>
      <c r="L79" s="185"/>
      <c r="M79" s="185"/>
      <c r="N79" s="185"/>
      <c r="O79" s="185"/>
      <c r="P79" s="185"/>
      <c r="Q79" s="185"/>
      <c r="R79" s="185"/>
      <c r="S79" s="185"/>
      <c r="T79" s="185"/>
      <c r="U79" s="185"/>
      <c r="V79" s="185"/>
      <c r="W79" s="185"/>
      <c r="X79" s="185"/>
      <c r="Y79" s="185"/>
      <c r="Z79" s="185"/>
    </row>
    <row r="80" ht="19.5" customHeight="1">
      <c r="A80" s="246">
        <v>39118.0</v>
      </c>
      <c r="B80" s="187" t="s">
        <v>754</v>
      </c>
      <c r="C80" s="188">
        <f>K74+J34</f>
        <v>235.8545</v>
      </c>
      <c r="D80" s="188"/>
      <c r="E80" s="243"/>
      <c r="F80" s="243"/>
      <c r="G80" s="243"/>
      <c r="H80" s="193"/>
      <c r="I80" s="193"/>
      <c r="J80" s="192"/>
      <c r="K80" s="188"/>
      <c r="L80" s="185"/>
      <c r="M80" s="185"/>
      <c r="N80" s="185"/>
      <c r="O80" s="185"/>
      <c r="P80" s="185"/>
      <c r="Q80" s="185"/>
      <c r="R80" s="185"/>
      <c r="S80" s="185"/>
      <c r="T80" s="185"/>
      <c r="U80" s="185"/>
      <c r="V80" s="185"/>
      <c r="W80" s="185"/>
      <c r="X80" s="185"/>
      <c r="Y80" s="185"/>
      <c r="Z80" s="185"/>
    </row>
    <row r="81" ht="19.5" customHeight="1">
      <c r="A81" s="246">
        <v>36927.0</v>
      </c>
      <c r="B81" s="187" t="s">
        <v>755</v>
      </c>
      <c r="C81" s="188">
        <f>K70+J31</f>
        <v>16.56</v>
      </c>
      <c r="D81" s="188"/>
      <c r="E81" s="243"/>
      <c r="F81" s="243"/>
      <c r="G81" s="243"/>
      <c r="H81" s="193"/>
      <c r="I81" s="193"/>
      <c r="J81" s="192"/>
      <c r="K81" s="188"/>
      <c r="L81" s="185"/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  <c r="X81" s="185"/>
      <c r="Y81" s="185"/>
      <c r="Z81" s="185"/>
    </row>
    <row r="82" ht="19.5" customHeight="1">
      <c r="A82" s="227" t="s">
        <v>756</v>
      </c>
      <c r="B82" s="28"/>
      <c r="C82" s="28"/>
      <c r="D82" s="28"/>
      <c r="E82" s="28"/>
      <c r="F82" s="28"/>
      <c r="G82" s="28"/>
      <c r="H82" s="28"/>
      <c r="I82" s="28"/>
      <c r="J82" s="28"/>
      <c r="K82" s="29"/>
    </row>
    <row r="83" ht="19.5" customHeight="1">
      <c r="A83" s="74"/>
      <c r="B83" s="99" t="s">
        <v>757</v>
      </c>
      <c r="C83" s="74"/>
      <c r="D83" s="76"/>
      <c r="E83" s="50"/>
      <c r="F83" s="53"/>
      <c r="G83" s="53"/>
      <c r="H83" s="75"/>
      <c r="I83" s="75"/>
      <c r="J83" s="76"/>
      <c r="K83" s="247"/>
    </row>
    <row r="84" ht="19.5" customHeight="1">
      <c r="A84" s="246">
        <v>37351.0</v>
      </c>
      <c r="B84" s="67" t="s">
        <v>758</v>
      </c>
      <c r="C84" s="243"/>
      <c r="D84" s="243"/>
      <c r="E84" s="243"/>
      <c r="F84" s="243">
        <f>43.01+80.58</f>
        <v>123.59</v>
      </c>
      <c r="G84" s="67" t="s">
        <v>103</v>
      </c>
      <c r="H84" s="193"/>
      <c r="I84" s="193"/>
      <c r="J84" s="192"/>
      <c r="K84" s="188"/>
      <c r="L84" s="185"/>
      <c r="M84" s="185"/>
      <c r="N84" s="185"/>
      <c r="O84" s="185"/>
      <c r="P84" s="185"/>
      <c r="Q84" s="185"/>
      <c r="R84" s="185"/>
      <c r="S84" s="185"/>
      <c r="T84" s="185"/>
      <c r="U84" s="185"/>
      <c r="V84" s="185"/>
      <c r="W84" s="185"/>
      <c r="X84" s="185"/>
      <c r="Y84" s="185"/>
      <c r="Z84" s="185"/>
    </row>
    <row r="85" ht="19.5" customHeight="1">
      <c r="A85" s="246">
        <v>36986.0</v>
      </c>
      <c r="B85" s="67" t="s">
        <v>759</v>
      </c>
      <c r="C85" s="243"/>
      <c r="D85" s="243"/>
      <c r="E85" s="67"/>
      <c r="F85" s="67">
        <f>5.67+3.23</f>
        <v>8.9</v>
      </c>
      <c r="G85" s="67" t="s">
        <v>148</v>
      </c>
      <c r="H85" s="193"/>
      <c r="I85" s="193"/>
      <c r="J85" s="192"/>
      <c r="K85" s="188"/>
      <c r="L85" s="185"/>
      <c r="M85" s="185"/>
      <c r="N85" s="185"/>
      <c r="O85" s="185"/>
      <c r="P85" s="185"/>
      <c r="Q85" s="185"/>
      <c r="R85" s="185"/>
      <c r="S85" s="185"/>
      <c r="T85" s="185"/>
      <c r="U85" s="185"/>
      <c r="V85" s="185"/>
      <c r="W85" s="185"/>
      <c r="X85" s="185"/>
      <c r="Y85" s="185"/>
      <c r="Z85" s="185"/>
    </row>
    <row r="86" ht="19.5" customHeight="1">
      <c r="A86" s="151" t="s">
        <v>760</v>
      </c>
      <c r="B86" s="67" t="s">
        <v>761</v>
      </c>
      <c r="C86" s="67" t="s">
        <v>686</v>
      </c>
      <c r="D86" s="67">
        <f>423.4</f>
        <v>423.4</v>
      </c>
      <c r="E86" s="67">
        <v>0.154</v>
      </c>
      <c r="F86" s="182">
        <f t="shared" ref="F86:F88" si="12">D86*E86</f>
        <v>65.2036</v>
      </c>
      <c r="G86" s="67" t="s">
        <v>158</v>
      </c>
      <c r="H86" s="193"/>
      <c r="I86" s="193"/>
      <c r="J86" s="192"/>
      <c r="K86" s="188"/>
      <c r="L86" s="185"/>
      <c r="M86" s="185"/>
      <c r="N86" s="185"/>
      <c r="O86" s="185"/>
      <c r="P86" s="185"/>
      <c r="Q86" s="185"/>
      <c r="R86" s="185"/>
      <c r="S86" s="185"/>
      <c r="T86" s="185"/>
      <c r="U86" s="185"/>
      <c r="V86" s="185"/>
      <c r="W86" s="185"/>
      <c r="X86" s="185"/>
      <c r="Y86" s="185"/>
      <c r="Z86" s="185"/>
    </row>
    <row r="87" ht="19.5" customHeight="1">
      <c r="A87" s="203"/>
      <c r="B87" s="243"/>
      <c r="C87" s="209" t="s">
        <v>720</v>
      </c>
      <c r="D87" s="67"/>
      <c r="E87" s="67">
        <v>0.395</v>
      </c>
      <c r="F87" s="182">
        <f t="shared" si="12"/>
        <v>0</v>
      </c>
      <c r="G87" s="67" t="s">
        <v>158</v>
      </c>
      <c r="H87" s="193"/>
      <c r="I87" s="193"/>
      <c r="J87" s="192"/>
      <c r="K87" s="188"/>
      <c r="L87" s="185"/>
      <c r="M87" s="185"/>
      <c r="N87" s="185"/>
      <c r="O87" s="185"/>
      <c r="P87" s="185"/>
      <c r="Q87" s="185"/>
      <c r="R87" s="185"/>
      <c r="S87" s="185"/>
      <c r="T87" s="185"/>
      <c r="U87" s="185"/>
      <c r="V87" s="185"/>
      <c r="W87" s="185"/>
      <c r="X87" s="185"/>
      <c r="Y87" s="185"/>
      <c r="Z87" s="185"/>
    </row>
    <row r="88" ht="19.5" customHeight="1">
      <c r="A88" s="203"/>
      <c r="B88" s="243"/>
      <c r="C88" s="209">
        <v>10.0</v>
      </c>
      <c r="D88" s="243">
        <f>195.2</f>
        <v>195.2</v>
      </c>
      <c r="E88" s="67">
        <v>0.617</v>
      </c>
      <c r="F88" s="182">
        <f t="shared" si="12"/>
        <v>120.4384</v>
      </c>
      <c r="G88" s="67" t="s">
        <v>158</v>
      </c>
      <c r="H88" s="193"/>
      <c r="I88" s="193"/>
      <c r="J88" s="192"/>
      <c r="K88" s="188"/>
      <c r="L88" s="185"/>
      <c r="M88" s="185"/>
      <c r="N88" s="185"/>
      <c r="O88" s="185"/>
      <c r="P88" s="185"/>
      <c r="Q88" s="185"/>
      <c r="R88" s="185"/>
      <c r="S88" s="185"/>
      <c r="T88" s="185"/>
      <c r="U88" s="185"/>
      <c r="V88" s="185"/>
      <c r="W88" s="185"/>
      <c r="X88" s="185"/>
      <c r="Y88" s="185"/>
      <c r="Z88" s="185"/>
    </row>
    <row r="89" ht="19.5" customHeight="1">
      <c r="A89" s="74"/>
      <c r="B89" s="99" t="s">
        <v>762</v>
      </c>
      <c r="C89" s="74"/>
      <c r="D89" s="76"/>
      <c r="E89" s="50"/>
      <c r="F89" s="53"/>
      <c r="G89" s="53"/>
      <c r="H89" s="75"/>
      <c r="I89" s="75"/>
      <c r="J89" s="76"/>
      <c r="K89" s="247"/>
    </row>
    <row r="90" ht="19.5" customHeight="1">
      <c r="A90" s="246">
        <v>37716.0</v>
      </c>
      <c r="B90" s="67" t="s">
        <v>758</v>
      </c>
      <c r="C90" s="243"/>
      <c r="D90" s="243"/>
      <c r="E90" s="243"/>
      <c r="F90" s="182">
        <f>29.6+106.81</f>
        <v>136.41</v>
      </c>
      <c r="G90" s="67" t="s">
        <v>103</v>
      </c>
      <c r="H90" s="193"/>
      <c r="I90" s="193"/>
      <c r="J90" s="192"/>
      <c r="K90" s="188"/>
      <c r="L90" s="185"/>
      <c r="M90" s="185"/>
      <c r="N90" s="185"/>
      <c r="O90" s="185"/>
      <c r="P90" s="185"/>
      <c r="Q90" s="185"/>
      <c r="R90" s="185"/>
      <c r="S90" s="185"/>
      <c r="T90" s="185"/>
      <c r="U90" s="185"/>
      <c r="V90" s="185"/>
      <c r="W90" s="185"/>
      <c r="X90" s="185"/>
      <c r="Y90" s="185"/>
      <c r="Z90" s="185"/>
    </row>
    <row r="91" ht="19.5" customHeight="1">
      <c r="A91" s="246">
        <v>36986.0</v>
      </c>
      <c r="B91" s="67" t="s">
        <v>759</v>
      </c>
      <c r="C91" s="243"/>
      <c r="D91" s="243"/>
      <c r="E91" s="67"/>
      <c r="F91" s="189">
        <f>6.46</f>
        <v>6.46</v>
      </c>
      <c r="G91" s="67" t="s">
        <v>148</v>
      </c>
      <c r="H91" s="193"/>
      <c r="I91" s="193"/>
      <c r="J91" s="192"/>
      <c r="K91" s="188"/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  <c r="X91" s="185"/>
      <c r="Y91" s="185"/>
      <c r="Z91" s="185"/>
    </row>
    <row r="92" ht="19.5" customHeight="1">
      <c r="A92" s="151" t="s">
        <v>760</v>
      </c>
      <c r="B92" s="67" t="s">
        <v>761</v>
      </c>
      <c r="C92" s="67" t="s">
        <v>686</v>
      </c>
      <c r="D92" s="67">
        <f>525.2+785.3</f>
        <v>1310.5</v>
      </c>
      <c r="E92" s="67">
        <v>0.154</v>
      </c>
      <c r="F92" s="182">
        <f t="shared" ref="F92:F94" si="13">D92*E92</f>
        <v>201.817</v>
      </c>
      <c r="G92" s="67" t="s">
        <v>158</v>
      </c>
      <c r="H92" s="193"/>
      <c r="I92" s="193"/>
      <c r="J92" s="192"/>
      <c r="K92" s="188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185"/>
      <c r="Y92" s="185"/>
      <c r="Z92" s="185"/>
    </row>
    <row r="93" ht="19.5" customHeight="1">
      <c r="A93" s="203"/>
      <c r="B93" s="243"/>
      <c r="C93" s="209" t="s">
        <v>720</v>
      </c>
      <c r="D93" s="67">
        <f>155.7+415.9</f>
        <v>571.6</v>
      </c>
      <c r="E93" s="67">
        <v>0.395</v>
      </c>
      <c r="F93" s="182">
        <f t="shared" si="13"/>
        <v>225.782</v>
      </c>
      <c r="G93" s="67" t="s">
        <v>158</v>
      </c>
      <c r="H93" s="193"/>
      <c r="I93" s="193"/>
      <c r="J93" s="192"/>
      <c r="K93" s="188"/>
      <c r="L93" s="185"/>
      <c r="M93" s="185"/>
      <c r="N93" s="185"/>
      <c r="O93" s="185"/>
      <c r="P93" s="185"/>
      <c r="Q93" s="185"/>
      <c r="R93" s="185"/>
      <c r="S93" s="185"/>
      <c r="T93" s="185"/>
      <c r="U93" s="185"/>
      <c r="V93" s="185"/>
      <c r="W93" s="185"/>
      <c r="X93" s="185"/>
      <c r="Y93" s="185"/>
      <c r="Z93" s="185"/>
    </row>
    <row r="94" ht="19.5" customHeight="1">
      <c r="A94" s="203"/>
      <c r="B94" s="243"/>
      <c r="C94" s="209">
        <v>10.0</v>
      </c>
      <c r="D94" s="67">
        <v>6.2</v>
      </c>
      <c r="E94" s="67">
        <v>0.617</v>
      </c>
      <c r="F94" s="182">
        <f t="shared" si="13"/>
        <v>3.8254</v>
      </c>
      <c r="G94" s="67" t="s">
        <v>158</v>
      </c>
      <c r="H94" s="193"/>
      <c r="I94" s="193"/>
      <c r="J94" s="192"/>
      <c r="K94" s="188"/>
      <c r="L94" s="185"/>
      <c r="M94" s="185"/>
      <c r="N94" s="185"/>
      <c r="O94" s="185"/>
      <c r="P94" s="185"/>
      <c r="Q94" s="185"/>
      <c r="R94" s="185"/>
      <c r="S94" s="185"/>
      <c r="T94" s="185"/>
      <c r="U94" s="185"/>
      <c r="V94" s="185"/>
      <c r="W94" s="185"/>
      <c r="X94" s="185"/>
      <c r="Y94" s="185"/>
      <c r="Z94" s="185"/>
    </row>
    <row r="95" ht="19.5" customHeight="1">
      <c r="A95" s="201"/>
      <c r="B95" s="201"/>
      <c r="C95" s="201"/>
      <c r="D95" s="200"/>
      <c r="E95" s="197"/>
      <c r="F95" s="198"/>
      <c r="G95" s="198"/>
      <c r="H95" s="199"/>
      <c r="I95" s="199"/>
      <c r="J95" s="200"/>
      <c r="K95" s="248"/>
      <c r="L95" s="185"/>
      <c r="M95" s="185"/>
      <c r="N95" s="185"/>
      <c r="O95" s="185"/>
      <c r="P95" s="185"/>
      <c r="Q95" s="185"/>
      <c r="R95" s="185"/>
      <c r="S95" s="185"/>
      <c r="T95" s="185"/>
      <c r="U95" s="185"/>
      <c r="V95" s="185"/>
      <c r="W95" s="185"/>
      <c r="X95" s="185"/>
      <c r="Y95" s="185"/>
      <c r="Z95" s="185"/>
    </row>
    <row r="96" ht="19.5" customHeight="1">
      <c r="A96" s="246">
        <v>36986.0</v>
      </c>
      <c r="B96" s="195" t="s">
        <v>763</v>
      </c>
      <c r="C96" s="203"/>
      <c r="D96" s="249">
        <f t="shared" ref="D96:D99" si="14">F91+F85</f>
        <v>15.36</v>
      </c>
      <c r="E96" s="250" t="s">
        <v>148</v>
      </c>
      <c r="F96" s="198"/>
      <c r="G96" s="198"/>
      <c r="H96" s="199"/>
      <c r="I96" s="199"/>
      <c r="J96" s="200"/>
      <c r="K96" s="248"/>
      <c r="L96" s="185"/>
      <c r="M96" s="185"/>
      <c r="N96" s="185"/>
      <c r="O96" s="185"/>
      <c r="P96" s="185"/>
      <c r="Q96" s="185"/>
      <c r="R96" s="185"/>
      <c r="S96" s="185"/>
      <c r="T96" s="185"/>
      <c r="U96" s="185"/>
      <c r="V96" s="185"/>
      <c r="W96" s="185"/>
      <c r="X96" s="185"/>
      <c r="Y96" s="185"/>
      <c r="Z96" s="185"/>
    </row>
    <row r="97" ht="19.5" customHeight="1">
      <c r="A97" s="151" t="s">
        <v>760</v>
      </c>
      <c r="B97" s="195" t="s">
        <v>764</v>
      </c>
      <c r="C97" s="67" t="s">
        <v>686</v>
      </c>
      <c r="D97" s="249">
        <f t="shared" si="14"/>
        <v>267.0206</v>
      </c>
      <c r="E97" s="250" t="s">
        <v>158</v>
      </c>
      <c r="F97" s="198"/>
      <c r="G97" s="198"/>
      <c r="H97" s="199"/>
      <c r="I97" s="199"/>
      <c r="J97" s="200"/>
      <c r="K97" s="248"/>
      <c r="L97" s="185"/>
      <c r="M97" s="185"/>
      <c r="N97" s="185"/>
      <c r="O97" s="185"/>
      <c r="P97" s="185"/>
      <c r="Q97" s="185"/>
      <c r="R97" s="185"/>
      <c r="S97" s="185"/>
      <c r="T97" s="185"/>
      <c r="U97" s="185"/>
      <c r="V97" s="185"/>
      <c r="W97" s="185"/>
      <c r="X97" s="185"/>
      <c r="Y97" s="185"/>
      <c r="Z97" s="185"/>
    </row>
    <row r="98" ht="19.5" customHeight="1">
      <c r="A98" s="201"/>
      <c r="B98" s="201"/>
      <c r="C98" s="209" t="s">
        <v>720</v>
      </c>
      <c r="D98" s="196">
        <f t="shared" si="14"/>
        <v>225.782</v>
      </c>
      <c r="E98" s="250" t="s">
        <v>158</v>
      </c>
      <c r="F98" s="198"/>
      <c r="G98" s="198"/>
      <c r="H98" s="199"/>
      <c r="I98" s="199"/>
      <c r="J98" s="200"/>
      <c r="K98" s="248"/>
      <c r="L98" s="185"/>
      <c r="M98" s="185"/>
      <c r="N98" s="185"/>
      <c r="O98" s="185"/>
      <c r="P98" s="185"/>
      <c r="Q98" s="185"/>
      <c r="R98" s="185"/>
      <c r="S98" s="185"/>
      <c r="T98" s="185"/>
      <c r="U98" s="185"/>
      <c r="V98" s="185"/>
      <c r="W98" s="185"/>
      <c r="X98" s="185"/>
      <c r="Y98" s="185"/>
      <c r="Z98" s="185"/>
    </row>
    <row r="99" ht="19.5" customHeight="1">
      <c r="A99" s="201"/>
      <c r="B99" s="201"/>
      <c r="C99" s="209">
        <v>10.0</v>
      </c>
      <c r="D99" s="196">
        <f t="shared" si="14"/>
        <v>124.2638</v>
      </c>
      <c r="E99" s="250" t="s">
        <v>158</v>
      </c>
      <c r="F99" s="198"/>
      <c r="G99" s="198"/>
      <c r="H99" s="199"/>
      <c r="I99" s="199"/>
      <c r="J99" s="200"/>
      <c r="K99" s="248"/>
      <c r="L99" s="185"/>
      <c r="M99" s="185"/>
      <c r="N99" s="185"/>
      <c r="O99" s="185"/>
      <c r="P99" s="185"/>
      <c r="Q99" s="185"/>
      <c r="R99" s="185"/>
      <c r="S99" s="185"/>
      <c r="T99" s="185"/>
      <c r="U99" s="185"/>
      <c r="V99" s="185"/>
      <c r="W99" s="185"/>
      <c r="X99" s="185"/>
      <c r="Y99" s="185"/>
      <c r="Z99" s="185"/>
    </row>
    <row r="100" ht="19.5" customHeight="1">
      <c r="A100" s="201"/>
      <c r="B100" s="201"/>
      <c r="C100" s="208"/>
      <c r="D100" s="200"/>
      <c r="E100" s="197"/>
      <c r="F100" s="198"/>
      <c r="G100" s="198"/>
      <c r="H100" s="199"/>
      <c r="I100" s="199"/>
      <c r="J100" s="200"/>
      <c r="K100" s="248"/>
      <c r="L100" s="185"/>
      <c r="M100" s="185"/>
      <c r="N100" s="185"/>
      <c r="O100" s="185"/>
      <c r="P100" s="185"/>
      <c r="Q100" s="185"/>
      <c r="R100" s="185"/>
      <c r="S100" s="185"/>
      <c r="T100" s="185"/>
      <c r="U100" s="185"/>
      <c r="V100" s="185"/>
      <c r="W100" s="185"/>
      <c r="X100" s="185"/>
      <c r="Y100" s="185"/>
      <c r="Z100" s="185"/>
    </row>
    <row r="101" ht="19.5" customHeight="1">
      <c r="A101" s="74" t="s">
        <v>1</v>
      </c>
      <c r="B101" s="74" t="s">
        <v>91</v>
      </c>
      <c r="C101" s="74" t="s">
        <v>92</v>
      </c>
      <c r="D101" s="76" t="s">
        <v>93</v>
      </c>
      <c r="E101" s="50" t="s">
        <v>97</v>
      </c>
      <c r="F101" s="53" t="s">
        <v>121</v>
      </c>
      <c r="G101" s="53" t="s">
        <v>99</v>
      </c>
      <c r="H101" s="75" t="s">
        <v>100</v>
      </c>
      <c r="I101" s="75" t="s">
        <v>101</v>
      </c>
      <c r="J101" s="76" t="s">
        <v>95</v>
      </c>
      <c r="K101" s="247" t="s">
        <v>96</v>
      </c>
    </row>
    <row r="102" ht="19.5" customHeight="1">
      <c r="A102" s="154" t="s">
        <v>765</v>
      </c>
      <c r="B102" s="37" t="s">
        <v>150</v>
      </c>
      <c r="C102" s="38" t="s">
        <v>766</v>
      </c>
      <c r="D102" s="78">
        <v>2.0</v>
      </c>
      <c r="E102" s="37"/>
      <c r="F102" s="41">
        <v>29.3</v>
      </c>
      <c r="G102" s="41">
        <v>15.75</v>
      </c>
      <c r="H102" s="40">
        <f>(G102+F102)*D102</f>
        <v>90.1</v>
      </c>
      <c r="I102" s="42"/>
      <c r="J102" s="43">
        <f>H102</f>
        <v>90.1</v>
      </c>
      <c r="K102" s="251"/>
    </row>
    <row r="103" ht="19.5" customHeight="1">
      <c r="A103" s="74" t="s">
        <v>1</v>
      </c>
      <c r="B103" s="74" t="s">
        <v>91</v>
      </c>
      <c r="C103" s="74" t="s">
        <v>92</v>
      </c>
      <c r="D103" s="76" t="s">
        <v>93</v>
      </c>
      <c r="E103" s="50" t="s">
        <v>97</v>
      </c>
      <c r="F103" s="53" t="s">
        <v>121</v>
      </c>
      <c r="G103" s="53" t="s">
        <v>99</v>
      </c>
      <c r="H103" s="252" t="s">
        <v>100</v>
      </c>
      <c r="I103" s="75" t="s">
        <v>101</v>
      </c>
      <c r="J103" s="76" t="s">
        <v>95</v>
      </c>
      <c r="K103" s="247" t="s">
        <v>96</v>
      </c>
    </row>
    <row r="104" ht="19.5" customHeight="1">
      <c r="A104" s="154" t="s">
        <v>767</v>
      </c>
      <c r="B104" s="37" t="s">
        <v>340</v>
      </c>
      <c r="C104" s="46" t="s">
        <v>148</v>
      </c>
      <c r="D104" s="78"/>
      <c r="E104" s="49">
        <v>0.4</v>
      </c>
      <c r="F104" s="39">
        <v>302.8</v>
      </c>
      <c r="G104" s="41">
        <v>1.0</v>
      </c>
      <c r="H104" s="40">
        <f>E104*F104*G104</f>
        <v>121.12</v>
      </c>
      <c r="I104" s="42"/>
      <c r="J104" s="43">
        <f>H104</f>
        <v>121.12</v>
      </c>
      <c r="K104" s="251"/>
    </row>
    <row r="105" ht="19.5" customHeight="1">
      <c r="A105" s="74" t="s">
        <v>1</v>
      </c>
      <c r="B105" s="74" t="s">
        <v>91</v>
      </c>
      <c r="C105" s="74" t="s">
        <v>92</v>
      </c>
      <c r="D105" s="76" t="s">
        <v>93</v>
      </c>
      <c r="E105" s="50" t="s">
        <v>97</v>
      </c>
      <c r="F105" s="53" t="s">
        <v>121</v>
      </c>
      <c r="G105" s="53" t="s">
        <v>99</v>
      </c>
      <c r="H105" s="252" t="s">
        <v>100</v>
      </c>
      <c r="I105" s="75" t="s">
        <v>101</v>
      </c>
      <c r="J105" s="76" t="s">
        <v>95</v>
      </c>
      <c r="K105" s="247" t="s">
        <v>96</v>
      </c>
      <c r="L105" s="14" t="str">
        <f>#REF!+#REF!</f>
        <v>#REF!</v>
      </c>
    </row>
    <row r="106" ht="19.5" customHeight="1">
      <c r="A106" s="253"/>
      <c r="B106" s="49" t="s">
        <v>768</v>
      </c>
      <c r="C106" s="46" t="s">
        <v>148</v>
      </c>
      <c r="D106" s="78">
        <v>1.0</v>
      </c>
      <c r="E106" s="37">
        <v>0.05</v>
      </c>
      <c r="F106" s="39">
        <v>302.8</v>
      </c>
      <c r="G106" s="41">
        <v>1.0</v>
      </c>
      <c r="H106" s="40">
        <f t="shared" ref="H106:H107" si="15">G106*F106*E106*D106</f>
        <v>15.14</v>
      </c>
      <c r="I106" s="42"/>
      <c r="J106" s="168">
        <f t="shared" ref="J106:J107" si="16">H106</f>
        <v>15.14</v>
      </c>
      <c r="K106" s="251"/>
    </row>
    <row r="107" ht="19.5" customHeight="1">
      <c r="A107" s="253"/>
      <c r="B107" s="37" t="s">
        <v>769</v>
      </c>
      <c r="C107" s="46" t="s">
        <v>148</v>
      </c>
      <c r="D107" s="78">
        <v>1.0</v>
      </c>
      <c r="E107" s="37">
        <v>0.05</v>
      </c>
      <c r="F107" s="78">
        <v>11.75</v>
      </c>
      <c r="G107" s="40">
        <v>4.02</v>
      </c>
      <c r="H107" s="40">
        <f t="shared" si="15"/>
        <v>2.36175</v>
      </c>
      <c r="I107" s="93"/>
      <c r="J107" s="254">
        <f t="shared" si="16"/>
        <v>2.36175</v>
      </c>
      <c r="K107" s="255"/>
    </row>
    <row r="108" ht="19.5" customHeight="1">
      <c r="A108" s="141">
        <v>37077.0</v>
      </c>
      <c r="B108" s="49"/>
      <c r="C108" s="46"/>
      <c r="D108" s="78"/>
      <c r="E108" s="37"/>
      <c r="F108" s="78"/>
      <c r="G108" s="78"/>
      <c r="H108" s="41"/>
      <c r="I108" s="42"/>
      <c r="J108" s="43">
        <f>SUM(J106:J107)</f>
        <v>17.50175</v>
      </c>
      <c r="K108" s="251"/>
    </row>
    <row r="109" ht="19.5" customHeight="1">
      <c r="A109" s="204"/>
      <c r="B109" s="49" t="s">
        <v>770</v>
      </c>
      <c r="C109" s="46" t="s">
        <v>103</v>
      </c>
      <c r="D109" s="78">
        <v>1.0</v>
      </c>
      <c r="E109" s="37"/>
      <c r="F109" s="39">
        <v>302.8</v>
      </c>
      <c r="G109" s="78">
        <f>G106</f>
        <v>1</v>
      </c>
      <c r="H109" s="41">
        <f>D109*F109</f>
        <v>302.8</v>
      </c>
      <c r="I109" s="42"/>
      <c r="J109" s="168">
        <f t="shared" ref="J109:J110" si="17">H109</f>
        <v>302.8</v>
      </c>
      <c r="K109" s="251"/>
    </row>
    <row r="110" ht="19.5" customHeight="1">
      <c r="A110" s="204"/>
      <c r="B110" s="37" t="s">
        <v>771</v>
      </c>
      <c r="C110" s="46" t="s">
        <v>103</v>
      </c>
      <c r="D110" s="78">
        <v>1.0</v>
      </c>
      <c r="E110" s="37"/>
      <c r="F110" s="78">
        <v>11.75</v>
      </c>
      <c r="G110" s="40">
        <v>4.02</v>
      </c>
      <c r="H110" s="40">
        <f>D110*F110*G110</f>
        <v>47.235</v>
      </c>
      <c r="I110" s="93"/>
      <c r="J110" s="254">
        <f t="shared" si="17"/>
        <v>47.235</v>
      </c>
      <c r="K110" s="255"/>
    </row>
    <row r="111" ht="19.5" customHeight="1">
      <c r="A111" s="141">
        <v>37442.0</v>
      </c>
      <c r="B111" s="256"/>
      <c r="C111" s="46"/>
      <c r="D111" s="78"/>
      <c r="E111" s="37"/>
      <c r="F111" s="78"/>
      <c r="G111" s="78"/>
      <c r="H111" s="40"/>
      <c r="I111" s="42"/>
      <c r="J111" s="43">
        <f>SUM(J109:J110)</f>
        <v>350.035</v>
      </c>
      <c r="K111" s="251"/>
    </row>
    <row r="112" ht="19.5" customHeight="1">
      <c r="A112" s="204"/>
      <c r="B112" s="256" t="s">
        <v>772</v>
      </c>
      <c r="C112" s="46" t="s">
        <v>103</v>
      </c>
      <c r="D112" s="78">
        <v>1.0</v>
      </c>
      <c r="E112" s="37"/>
      <c r="F112" s="39">
        <v>20.64</v>
      </c>
      <c r="G112" s="39">
        <v>11.26</v>
      </c>
      <c r="H112" s="40">
        <f>D112*F112*G112</f>
        <v>232.4064</v>
      </c>
      <c r="I112" s="42"/>
      <c r="J112" s="168">
        <f t="shared" ref="J112:J114" si="18">H112</f>
        <v>232.4064</v>
      </c>
      <c r="K112" s="251"/>
    </row>
    <row r="113" ht="19.5" customHeight="1">
      <c r="A113" s="204"/>
      <c r="B113" s="256" t="s">
        <v>773</v>
      </c>
      <c r="C113" s="46" t="s">
        <v>103</v>
      </c>
      <c r="D113" s="39">
        <v>10.0</v>
      </c>
      <c r="E113" s="49">
        <v>0.2</v>
      </c>
      <c r="F113" s="39">
        <v>11.26</v>
      </c>
      <c r="G113" s="39">
        <v>1.0</v>
      </c>
      <c r="H113" s="40">
        <f>D113*E113*F113*G113</f>
        <v>22.52</v>
      </c>
      <c r="I113" s="82"/>
      <c r="J113" s="168">
        <f t="shared" si="18"/>
        <v>22.52</v>
      </c>
      <c r="K113" s="255"/>
    </row>
    <row r="114" ht="19.5" customHeight="1">
      <c r="A114" s="204"/>
      <c r="B114" s="256" t="s">
        <v>774</v>
      </c>
      <c r="C114" s="46" t="s">
        <v>103</v>
      </c>
      <c r="D114" s="39">
        <v>1.0</v>
      </c>
      <c r="E114" s="37"/>
      <c r="F114" s="39">
        <v>5.8</v>
      </c>
      <c r="G114" s="39">
        <v>1.5</v>
      </c>
      <c r="H114" s="40">
        <f>D114*F114*G114</f>
        <v>8.7</v>
      </c>
      <c r="I114" s="82"/>
      <c r="J114" s="168">
        <f t="shared" si="18"/>
        <v>8.7</v>
      </c>
      <c r="K114" s="255"/>
    </row>
    <row r="115" ht="19.5" customHeight="1">
      <c r="A115" s="141">
        <v>37807.0</v>
      </c>
      <c r="B115" s="256"/>
      <c r="C115" s="46"/>
      <c r="D115" s="39"/>
      <c r="E115" s="37"/>
      <c r="F115" s="39"/>
      <c r="G115" s="78"/>
      <c r="H115" s="40"/>
      <c r="I115" s="82"/>
      <c r="J115" s="43">
        <f>SUM(J112:J114)</f>
        <v>263.6264</v>
      </c>
      <c r="K115" s="255"/>
    </row>
    <row r="116" ht="19.5" customHeight="1">
      <c r="A116" s="204"/>
      <c r="B116" s="256" t="s">
        <v>775</v>
      </c>
      <c r="C116" s="46" t="s">
        <v>103</v>
      </c>
      <c r="D116" s="39">
        <v>1.0</v>
      </c>
      <c r="E116" s="37"/>
      <c r="F116" s="39">
        <v>1.8</v>
      </c>
      <c r="G116" s="39">
        <v>1.0</v>
      </c>
      <c r="H116" s="40">
        <f t="shared" ref="H116:H121" si="19">D116*F116*G116</f>
        <v>1.8</v>
      </c>
      <c r="I116" s="82"/>
      <c r="J116" s="257">
        <f t="shared" ref="J116:J121" si="20">H116</f>
        <v>1.8</v>
      </c>
      <c r="K116" s="255"/>
    </row>
    <row r="117" ht="19.5" customHeight="1">
      <c r="A117" s="204"/>
      <c r="B117" s="256" t="s">
        <v>776</v>
      </c>
      <c r="C117" s="46" t="s">
        <v>103</v>
      </c>
      <c r="D117" s="39">
        <v>1.0</v>
      </c>
      <c r="E117" s="37"/>
      <c r="F117" s="39">
        <v>25.1</v>
      </c>
      <c r="G117" s="39">
        <v>1.0</v>
      </c>
      <c r="H117" s="40">
        <f t="shared" si="19"/>
        <v>25.1</v>
      </c>
      <c r="I117" s="82"/>
      <c r="J117" s="257">
        <f t="shared" si="20"/>
        <v>25.1</v>
      </c>
      <c r="K117" s="255"/>
    </row>
    <row r="118" ht="19.5" customHeight="1">
      <c r="A118" s="204"/>
      <c r="B118" s="256" t="s">
        <v>777</v>
      </c>
      <c r="C118" s="46" t="s">
        <v>103</v>
      </c>
      <c r="D118" s="39">
        <v>1.0</v>
      </c>
      <c r="E118" s="37"/>
      <c r="F118" s="39">
        <v>2.46</v>
      </c>
      <c r="G118" s="39">
        <v>2.4</v>
      </c>
      <c r="H118" s="40">
        <f t="shared" si="19"/>
        <v>5.904</v>
      </c>
      <c r="I118" s="82"/>
      <c r="J118" s="257">
        <f t="shared" si="20"/>
        <v>5.904</v>
      </c>
      <c r="K118" s="255"/>
    </row>
    <row r="119" ht="19.5" customHeight="1">
      <c r="A119" s="204"/>
      <c r="B119" s="256" t="s">
        <v>778</v>
      </c>
      <c r="C119" s="46" t="s">
        <v>103</v>
      </c>
      <c r="D119" s="39">
        <v>1.0</v>
      </c>
      <c r="E119" s="37"/>
      <c r="F119" s="39">
        <v>2.46</v>
      </c>
      <c r="G119" s="39">
        <v>1.85</v>
      </c>
      <c r="H119" s="40">
        <f t="shared" si="19"/>
        <v>4.551</v>
      </c>
      <c r="I119" s="82"/>
      <c r="J119" s="257">
        <f t="shared" si="20"/>
        <v>4.551</v>
      </c>
      <c r="K119" s="255"/>
    </row>
    <row r="120" ht="19.5" customHeight="1">
      <c r="A120" s="204"/>
      <c r="B120" s="256" t="s">
        <v>779</v>
      </c>
      <c r="C120" s="46" t="s">
        <v>103</v>
      </c>
      <c r="D120" s="39">
        <v>1.0</v>
      </c>
      <c r="E120" s="37"/>
      <c r="F120" s="39">
        <v>2.46</v>
      </c>
      <c r="G120" s="39">
        <v>2.4</v>
      </c>
      <c r="H120" s="40">
        <f t="shared" si="19"/>
        <v>5.904</v>
      </c>
      <c r="I120" s="82"/>
      <c r="J120" s="257">
        <f t="shared" si="20"/>
        <v>5.904</v>
      </c>
      <c r="K120" s="255"/>
    </row>
    <row r="121" ht="19.5" customHeight="1">
      <c r="A121" s="204"/>
      <c r="B121" s="256" t="s">
        <v>780</v>
      </c>
      <c r="C121" s="46" t="s">
        <v>103</v>
      </c>
      <c r="D121" s="39">
        <v>1.0</v>
      </c>
      <c r="E121" s="37"/>
      <c r="F121" s="78">
        <v>11.75</v>
      </c>
      <c r="G121" s="40">
        <v>4.02</v>
      </c>
      <c r="H121" s="40">
        <f t="shared" si="19"/>
        <v>47.235</v>
      </c>
      <c r="I121" s="93"/>
      <c r="J121" s="257">
        <f t="shared" si="20"/>
        <v>47.235</v>
      </c>
      <c r="K121" s="255"/>
    </row>
    <row r="122" ht="19.5" customHeight="1">
      <c r="A122" s="141">
        <v>38173.0</v>
      </c>
      <c r="B122" s="258"/>
      <c r="C122" s="79"/>
      <c r="D122" s="122"/>
      <c r="E122" s="37"/>
      <c r="F122" s="78"/>
      <c r="G122" s="78"/>
      <c r="H122" s="59"/>
      <c r="I122" s="93"/>
      <c r="J122" s="43">
        <f>SUM(J116:J121)</f>
        <v>90.494</v>
      </c>
      <c r="K122" s="255"/>
    </row>
    <row r="123" ht="19.5" customHeight="1">
      <c r="A123" s="203"/>
      <c r="B123" s="258" t="s">
        <v>781</v>
      </c>
      <c r="C123" s="83" t="s">
        <v>108</v>
      </c>
      <c r="D123" s="115">
        <v>3.0</v>
      </c>
      <c r="E123" s="37"/>
      <c r="F123" s="39">
        <v>0.8</v>
      </c>
      <c r="G123" s="78"/>
      <c r="H123" s="59">
        <f t="shared" ref="H123:H125" si="21">D123*F123</f>
        <v>2.4</v>
      </c>
      <c r="I123" s="93"/>
      <c r="J123" s="257">
        <f t="shared" ref="J123:J125" si="22">H123</f>
        <v>2.4</v>
      </c>
      <c r="K123" s="255"/>
    </row>
    <row r="124" ht="19.5" customHeight="1">
      <c r="A124" s="203"/>
      <c r="B124" s="258" t="s">
        <v>782</v>
      </c>
      <c r="C124" s="83" t="s">
        <v>108</v>
      </c>
      <c r="D124" s="115">
        <v>6.0</v>
      </c>
      <c r="E124" s="37"/>
      <c r="F124" s="39">
        <v>0.9</v>
      </c>
      <c r="G124" s="78"/>
      <c r="H124" s="59">
        <f t="shared" si="21"/>
        <v>5.4</v>
      </c>
      <c r="I124" s="93"/>
      <c r="J124" s="257">
        <f t="shared" si="22"/>
        <v>5.4</v>
      </c>
      <c r="K124" s="255"/>
    </row>
    <row r="125" ht="19.5" customHeight="1">
      <c r="A125" s="203"/>
      <c r="B125" s="258" t="s">
        <v>783</v>
      </c>
      <c r="C125" s="83" t="s">
        <v>108</v>
      </c>
      <c r="D125" s="115">
        <v>4.0</v>
      </c>
      <c r="E125" s="37"/>
      <c r="F125" s="39">
        <v>2.0</v>
      </c>
      <c r="G125" s="78"/>
      <c r="H125" s="59">
        <f t="shared" si="21"/>
        <v>8</v>
      </c>
      <c r="I125" s="93"/>
      <c r="J125" s="257">
        <f t="shared" si="22"/>
        <v>8</v>
      </c>
      <c r="K125" s="255"/>
    </row>
    <row r="126" ht="19.5" customHeight="1">
      <c r="A126" s="141">
        <v>38538.0</v>
      </c>
      <c r="B126" s="258"/>
      <c r="C126" s="79"/>
      <c r="D126" s="122"/>
      <c r="E126" s="37"/>
      <c r="F126" s="78"/>
      <c r="G126" s="78"/>
      <c r="H126" s="59"/>
      <c r="I126" s="93"/>
      <c r="J126" s="143">
        <f>SUM(J123:J125)</f>
        <v>15.8</v>
      </c>
      <c r="K126" s="255"/>
    </row>
    <row r="127" ht="19.5" customHeight="1">
      <c r="A127" s="74" t="s">
        <v>1</v>
      </c>
      <c r="B127" s="74" t="s">
        <v>91</v>
      </c>
      <c r="C127" s="74" t="s">
        <v>92</v>
      </c>
      <c r="D127" s="76" t="s">
        <v>93</v>
      </c>
      <c r="E127" s="50" t="s">
        <v>97</v>
      </c>
      <c r="F127" s="53" t="s">
        <v>121</v>
      </c>
      <c r="G127" s="53" t="s">
        <v>99</v>
      </c>
      <c r="H127" s="75" t="s">
        <v>100</v>
      </c>
      <c r="I127" s="75" t="s">
        <v>101</v>
      </c>
      <c r="J127" s="76" t="s">
        <v>95</v>
      </c>
      <c r="K127" s="247" t="s">
        <v>96</v>
      </c>
    </row>
    <row r="128" ht="19.5" customHeight="1">
      <c r="A128" s="150"/>
      <c r="B128" s="259" t="s">
        <v>345</v>
      </c>
      <c r="C128" s="260" t="s">
        <v>148</v>
      </c>
      <c r="D128" s="261">
        <v>2.0</v>
      </c>
      <c r="E128" s="262">
        <v>0.5</v>
      </c>
      <c r="F128" s="261">
        <v>25.29</v>
      </c>
      <c r="G128" s="263">
        <v>0.14</v>
      </c>
      <c r="H128" s="263">
        <v>3.54</v>
      </c>
      <c r="I128" s="42"/>
      <c r="J128" s="264">
        <f>SUM(H128:H134)</f>
        <v>20.32</v>
      </c>
      <c r="K128" s="251"/>
    </row>
    <row r="129" ht="19.5" customHeight="1">
      <c r="A129" s="150"/>
      <c r="B129" s="265" t="s">
        <v>345</v>
      </c>
      <c r="C129" s="266" t="s">
        <v>148</v>
      </c>
      <c r="D129" s="267">
        <v>5.0</v>
      </c>
      <c r="E129" s="268">
        <v>0.5</v>
      </c>
      <c r="F129" s="267">
        <v>11.75</v>
      </c>
      <c r="G129" s="269">
        <v>0.14</v>
      </c>
      <c r="H129" s="269">
        <v>4.11</v>
      </c>
      <c r="I129" s="42"/>
      <c r="J129" s="147"/>
      <c r="K129" s="251"/>
    </row>
    <row r="130" ht="19.5" customHeight="1">
      <c r="A130" s="150"/>
      <c r="B130" s="265" t="s">
        <v>345</v>
      </c>
      <c r="C130" s="266" t="s">
        <v>148</v>
      </c>
      <c r="D130" s="267">
        <v>1.0</v>
      </c>
      <c r="E130" s="268">
        <v>0.5</v>
      </c>
      <c r="F130" s="267">
        <v>1.75</v>
      </c>
      <c r="G130" s="269">
        <v>1.14</v>
      </c>
      <c r="H130" s="269">
        <v>1.0</v>
      </c>
      <c r="I130" s="42"/>
      <c r="J130" s="147"/>
      <c r="K130" s="255"/>
    </row>
    <row r="131" ht="19.5" customHeight="1">
      <c r="A131" s="150"/>
      <c r="B131" s="265" t="s">
        <v>345</v>
      </c>
      <c r="C131" s="266" t="s">
        <v>148</v>
      </c>
      <c r="D131" s="267">
        <v>1.0</v>
      </c>
      <c r="E131" s="268">
        <v>0.5</v>
      </c>
      <c r="F131" s="267">
        <v>2.76</v>
      </c>
      <c r="G131" s="269">
        <v>0.14</v>
      </c>
      <c r="H131" s="269">
        <v>0.19</v>
      </c>
      <c r="I131" s="42"/>
      <c r="J131" s="147"/>
      <c r="K131" s="255"/>
    </row>
    <row r="132" ht="19.5" customHeight="1">
      <c r="A132" s="150"/>
      <c r="B132" s="265" t="s">
        <v>345</v>
      </c>
      <c r="C132" s="266" t="s">
        <v>148</v>
      </c>
      <c r="D132" s="267">
        <v>1.0</v>
      </c>
      <c r="E132" s="268">
        <v>0.5</v>
      </c>
      <c r="F132" s="267">
        <v>1.65</v>
      </c>
      <c r="G132" s="269">
        <v>0.14</v>
      </c>
      <c r="H132" s="269">
        <v>0.12</v>
      </c>
      <c r="I132" s="42"/>
      <c r="J132" s="147"/>
      <c r="K132" s="255"/>
    </row>
    <row r="133" ht="19.5" customHeight="1">
      <c r="A133" s="150"/>
      <c r="B133" s="265" t="s">
        <v>345</v>
      </c>
      <c r="C133" s="266" t="s">
        <v>148</v>
      </c>
      <c r="D133" s="267">
        <v>2.0</v>
      </c>
      <c r="E133" s="268">
        <v>0.5</v>
      </c>
      <c r="F133" s="267">
        <v>2.5</v>
      </c>
      <c r="G133" s="269">
        <v>0.14</v>
      </c>
      <c r="H133" s="269">
        <v>0.35</v>
      </c>
      <c r="I133" s="42"/>
      <c r="J133" s="147"/>
      <c r="K133" s="255"/>
    </row>
    <row r="134" ht="19.5" customHeight="1">
      <c r="A134" s="150"/>
      <c r="B134" s="265" t="s">
        <v>345</v>
      </c>
      <c r="C134" s="266" t="s">
        <v>148</v>
      </c>
      <c r="D134" s="267">
        <v>1.0</v>
      </c>
      <c r="E134" s="268">
        <v>0.7</v>
      </c>
      <c r="F134" s="267">
        <v>13.8</v>
      </c>
      <c r="G134" s="269">
        <v>1.14</v>
      </c>
      <c r="H134" s="269">
        <v>11.01</v>
      </c>
      <c r="I134" s="42"/>
      <c r="J134" s="32"/>
      <c r="K134" s="255"/>
    </row>
    <row r="135" ht="19.5" customHeight="1">
      <c r="A135" s="74" t="s">
        <v>1</v>
      </c>
      <c r="B135" s="74" t="s">
        <v>91</v>
      </c>
      <c r="C135" s="74" t="s">
        <v>92</v>
      </c>
      <c r="D135" s="76" t="s">
        <v>93</v>
      </c>
      <c r="E135" s="50" t="s">
        <v>97</v>
      </c>
      <c r="F135" s="53" t="s">
        <v>121</v>
      </c>
      <c r="G135" s="53" t="s">
        <v>99</v>
      </c>
      <c r="H135" s="75" t="s">
        <v>100</v>
      </c>
      <c r="I135" s="75" t="s">
        <v>101</v>
      </c>
      <c r="J135" s="76" t="s">
        <v>95</v>
      </c>
      <c r="K135" s="247" t="s">
        <v>96</v>
      </c>
    </row>
    <row r="136" ht="19.5" customHeight="1">
      <c r="A136" s="246">
        <v>37320.0</v>
      </c>
      <c r="B136" s="37" t="s">
        <v>177</v>
      </c>
      <c r="C136" s="46" t="s">
        <v>103</v>
      </c>
      <c r="D136" s="270">
        <v>2.0</v>
      </c>
      <c r="E136" s="271">
        <v>6.0</v>
      </c>
      <c r="F136" s="272">
        <v>25.3</v>
      </c>
      <c r="G136" s="263"/>
      <c r="H136" s="273">
        <f t="shared" ref="H136:H143" si="23">D136*E136*F136</f>
        <v>303.6</v>
      </c>
      <c r="I136" s="42"/>
      <c r="J136" s="264">
        <f>SUM(H136:H143)</f>
        <v>611.51</v>
      </c>
      <c r="K136" s="251"/>
    </row>
    <row r="137" ht="19.5" customHeight="1">
      <c r="A137" s="246">
        <v>37320.0</v>
      </c>
      <c r="B137" s="37" t="s">
        <v>177</v>
      </c>
      <c r="C137" s="46" t="s">
        <v>103</v>
      </c>
      <c r="D137" s="274">
        <v>2.0</v>
      </c>
      <c r="E137" s="275">
        <v>6.0</v>
      </c>
      <c r="F137" s="267">
        <v>11.75</v>
      </c>
      <c r="G137" s="269"/>
      <c r="H137" s="273">
        <f t="shared" si="23"/>
        <v>141</v>
      </c>
      <c r="I137" s="42"/>
      <c r="J137" s="147"/>
      <c r="K137" s="251"/>
    </row>
    <row r="138" ht="19.5" customHeight="1">
      <c r="A138" s="246">
        <v>37320.0</v>
      </c>
      <c r="B138" s="37" t="s">
        <v>177</v>
      </c>
      <c r="C138" s="46" t="s">
        <v>103</v>
      </c>
      <c r="D138" s="276">
        <v>3.0</v>
      </c>
      <c r="E138" s="275">
        <v>3.0</v>
      </c>
      <c r="F138" s="277">
        <v>11.75</v>
      </c>
      <c r="G138" s="269"/>
      <c r="H138" s="273">
        <f t="shared" si="23"/>
        <v>105.75</v>
      </c>
      <c r="I138" s="82"/>
      <c r="J138" s="147"/>
      <c r="K138" s="255"/>
    </row>
    <row r="139" ht="19.5" customHeight="1">
      <c r="A139" s="246">
        <v>37320.0</v>
      </c>
      <c r="B139" s="37" t="s">
        <v>177</v>
      </c>
      <c r="C139" s="46" t="s">
        <v>103</v>
      </c>
      <c r="D139" s="278">
        <v>4.0</v>
      </c>
      <c r="E139" s="268">
        <v>3.0</v>
      </c>
      <c r="F139" s="267">
        <v>2.76</v>
      </c>
      <c r="G139" s="269"/>
      <c r="H139" s="273">
        <f t="shared" si="23"/>
        <v>33.12</v>
      </c>
      <c r="I139" s="93"/>
      <c r="J139" s="147"/>
      <c r="K139" s="255"/>
    </row>
    <row r="140" ht="19.5" customHeight="1">
      <c r="A140" s="246">
        <v>37320.0</v>
      </c>
      <c r="B140" s="37" t="s">
        <v>177</v>
      </c>
      <c r="C140" s="46" t="s">
        <v>103</v>
      </c>
      <c r="D140" s="279">
        <v>2.0</v>
      </c>
      <c r="E140" s="268">
        <v>3.0</v>
      </c>
      <c r="F140" s="267">
        <v>1.45</v>
      </c>
      <c r="G140" s="269"/>
      <c r="H140" s="273">
        <f t="shared" si="23"/>
        <v>8.7</v>
      </c>
      <c r="I140" s="93"/>
      <c r="J140" s="147"/>
      <c r="K140" s="255"/>
    </row>
    <row r="141" ht="19.5" customHeight="1">
      <c r="A141" s="246">
        <v>37320.0</v>
      </c>
      <c r="B141" s="37" t="s">
        <v>177</v>
      </c>
      <c r="C141" s="46" t="s">
        <v>103</v>
      </c>
      <c r="D141" s="280">
        <v>1.0</v>
      </c>
      <c r="E141" s="268">
        <v>3.0</v>
      </c>
      <c r="F141" s="267">
        <v>1.35</v>
      </c>
      <c r="G141" s="269"/>
      <c r="H141" s="273">
        <f t="shared" si="23"/>
        <v>4.05</v>
      </c>
      <c r="I141" s="93"/>
      <c r="J141" s="147"/>
      <c r="K141" s="255"/>
    </row>
    <row r="142" ht="19.5" customHeight="1">
      <c r="A142" s="246">
        <v>37320.0</v>
      </c>
      <c r="B142" s="37" t="s">
        <v>177</v>
      </c>
      <c r="C142" s="46" t="s">
        <v>103</v>
      </c>
      <c r="D142" s="279">
        <v>1.0</v>
      </c>
      <c r="E142" s="275">
        <v>1.1</v>
      </c>
      <c r="F142" s="277">
        <v>10.6</v>
      </c>
      <c r="G142" s="269"/>
      <c r="H142" s="273">
        <f t="shared" si="23"/>
        <v>11.66</v>
      </c>
      <c r="I142" s="93"/>
      <c r="J142" s="147"/>
      <c r="K142" s="255"/>
    </row>
    <row r="143" ht="19.5" customHeight="1">
      <c r="A143" s="246">
        <v>37320.0</v>
      </c>
      <c r="B143" s="37" t="s">
        <v>177</v>
      </c>
      <c r="C143" s="46" t="s">
        <v>103</v>
      </c>
      <c r="D143" s="279">
        <v>1.0</v>
      </c>
      <c r="E143" s="275">
        <v>1.1</v>
      </c>
      <c r="F143" s="277">
        <v>3.3</v>
      </c>
      <c r="G143" s="269"/>
      <c r="H143" s="273">
        <f t="shared" si="23"/>
        <v>3.63</v>
      </c>
      <c r="I143" s="93"/>
      <c r="J143" s="32"/>
      <c r="K143" s="255"/>
    </row>
    <row r="144" ht="19.5" customHeight="1">
      <c r="A144" s="246">
        <v>37685.0</v>
      </c>
      <c r="B144" s="114" t="s">
        <v>72</v>
      </c>
      <c r="C144" s="83" t="s">
        <v>108</v>
      </c>
      <c r="D144" s="279"/>
      <c r="E144" s="275"/>
      <c r="F144" s="277">
        <f>D136*F136+D137*F137+D138*F138+D139*F139+D140*F140+D141*F141+D142*F142+D143*F143</f>
        <v>138.54</v>
      </c>
      <c r="G144" s="269"/>
      <c r="H144" s="281"/>
      <c r="I144" s="93"/>
      <c r="J144" s="264">
        <f>F144</f>
        <v>138.54</v>
      </c>
      <c r="K144" s="255"/>
    </row>
    <row r="145" ht="19.5" customHeight="1">
      <c r="A145" s="246">
        <v>38051.0</v>
      </c>
      <c r="B145" s="195" t="s">
        <v>784</v>
      </c>
      <c r="C145" s="46" t="s">
        <v>103</v>
      </c>
      <c r="D145" s="279">
        <v>1.0</v>
      </c>
      <c r="E145" s="268">
        <v>3.0</v>
      </c>
      <c r="F145" s="282">
        <v>7.75</v>
      </c>
      <c r="G145" s="283"/>
      <c r="H145" s="283">
        <f>F145*E145*D145</f>
        <v>23.25</v>
      </c>
      <c r="I145" s="284"/>
      <c r="J145" s="264">
        <f>H145</f>
        <v>23.25</v>
      </c>
      <c r="K145" s="235"/>
      <c r="L145" s="185"/>
      <c r="M145" s="185"/>
      <c r="N145" s="185"/>
      <c r="O145" s="185"/>
      <c r="P145" s="185"/>
      <c r="Q145" s="185"/>
      <c r="R145" s="185"/>
      <c r="S145" s="185"/>
      <c r="T145" s="185"/>
      <c r="U145" s="185"/>
      <c r="V145" s="185"/>
      <c r="W145" s="185"/>
      <c r="X145" s="185"/>
      <c r="Y145" s="185"/>
      <c r="Z145" s="185"/>
    </row>
    <row r="146" ht="19.5" customHeight="1">
      <c r="A146" s="74" t="s">
        <v>1</v>
      </c>
      <c r="B146" s="74" t="s">
        <v>91</v>
      </c>
      <c r="C146" s="74" t="s">
        <v>92</v>
      </c>
      <c r="D146" s="76" t="s">
        <v>93</v>
      </c>
      <c r="E146" s="50" t="s">
        <v>97</v>
      </c>
      <c r="F146" s="53" t="s">
        <v>121</v>
      </c>
      <c r="G146" s="53" t="s">
        <v>99</v>
      </c>
      <c r="H146" s="75" t="s">
        <v>100</v>
      </c>
      <c r="I146" s="75" t="s">
        <v>101</v>
      </c>
      <c r="J146" s="76" t="s">
        <v>95</v>
      </c>
      <c r="K146" s="247" t="s">
        <v>96</v>
      </c>
    </row>
    <row r="147" ht="19.5" customHeight="1">
      <c r="A147" s="246">
        <v>37777.0</v>
      </c>
      <c r="B147" s="49" t="s">
        <v>785</v>
      </c>
      <c r="C147" s="46" t="s">
        <v>108</v>
      </c>
      <c r="D147" s="78">
        <v>2.0</v>
      </c>
      <c r="E147" s="37"/>
      <c r="F147" s="40">
        <f>F136</f>
        <v>25.3</v>
      </c>
      <c r="G147" s="41">
        <v>11.75</v>
      </c>
      <c r="H147" s="40">
        <f>D147*(F147+G147)</f>
        <v>74.1</v>
      </c>
      <c r="I147" s="42"/>
      <c r="J147" s="77"/>
      <c r="K147" s="251"/>
    </row>
    <row r="148" ht="19.5" customHeight="1">
      <c r="A148" s="246">
        <v>37777.0</v>
      </c>
      <c r="B148" s="49" t="s">
        <v>786</v>
      </c>
      <c r="C148" s="46" t="s">
        <v>108</v>
      </c>
      <c r="D148" s="78">
        <v>2.0</v>
      </c>
      <c r="E148" s="37"/>
      <c r="F148" s="40"/>
      <c r="G148" s="40">
        <f>G147</f>
        <v>11.75</v>
      </c>
      <c r="H148" s="40">
        <f>G148*D148</f>
        <v>23.5</v>
      </c>
      <c r="I148" s="42"/>
      <c r="J148" s="168"/>
      <c r="K148" s="251"/>
    </row>
    <row r="149" ht="19.5" customHeight="1">
      <c r="A149" s="246">
        <v>37777.0</v>
      </c>
      <c r="B149" s="49" t="s">
        <v>787</v>
      </c>
      <c r="C149" s="46" t="s">
        <v>108</v>
      </c>
      <c r="D149" s="115">
        <v>2.0</v>
      </c>
      <c r="E149" s="37"/>
      <c r="F149" s="41">
        <v>11.45</v>
      </c>
      <c r="G149" s="41">
        <v>4.0</v>
      </c>
      <c r="H149" s="59">
        <f>D149*G149+F149</f>
        <v>19.45</v>
      </c>
      <c r="I149" s="82"/>
      <c r="J149" s="257"/>
      <c r="K149" s="255"/>
    </row>
    <row r="150" ht="19.5" customHeight="1">
      <c r="A150" s="246">
        <v>37777.0</v>
      </c>
      <c r="B150" s="49" t="s">
        <v>788</v>
      </c>
      <c r="C150" s="46" t="s">
        <v>108</v>
      </c>
      <c r="D150" s="115">
        <v>2.0</v>
      </c>
      <c r="E150" s="37"/>
      <c r="F150" s="40"/>
      <c r="G150" s="41">
        <v>4.0</v>
      </c>
      <c r="H150" s="59">
        <f>D150*G150</f>
        <v>8</v>
      </c>
      <c r="I150" s="82"/>
      <c r="J150" s="143">
        <f>SUM(H147:H150)</f>
        <v>125.05</v>
      </c>
      <c r="K150" s="255"/>
    </row>
    <row r="151" ht="19.5" customHeight="1">
      <c r="A151" s="74" t="s">
        <v>1</v>
      </c>
      <c r="B151" s="74" t="s">
        <v>91</v>
      </c>
      <c r="C151" s="74" t="s">
        <v>92</v>
      </c>
      <c r="D151" s="76" t="s">
        <v>93</v>
      </c>
      <c r="E151" s="50" t="s">
        <v>97</v>
      </c>
      <c r="F151" s="53" t="s">
        <v>121</v>
      </c>
      <c r="G151" s="53" t="s">
        <v>99</v>
      </c>
      <c r="H151" s="75" t="s">
        <v>100</v>
      </c>
      <c r="I151" s="75" t="s">
        <v>101</v>
      </c>
      <c r="J151" s="76" t="s">
        <v>95</v>
      </c>
      <c r="K151" s="247" t="s">
        <v>96</v>
      </c>
    </row>
    <row r="152" ht="19.5" customHeight="1">
      <c r="A152" s="246">
        <v>37047.0</v>
      </c>
      <c r="B152" s="49" t="s">
        <v>789</v>
      </c>
      <c r="C152" s="38" t="s">
        <v>158</v>
      </c>
      <c r="D152" s="78">
        <f>'39 ESTRUTURAL ADM, LAB E BIBLIO'!Y13+'39 ESTRUTURAL ADM, LAB E BIBLIO'!Y14</f>
        <v>4445.854</v>
      </c>
      <c r="E152" s="37"/>
      <c r="F152" s="40"/>
      <c r="G152" s="40"/>
      <c r="H152" s="40"/>
      <c r="I152" s="42"/>
      <c r="J152" s="43">
        <f t="shared" ref="J152:J153" si="24">D152</f>
        <v>4445.854</v>
      </c>
      <c r="K152" s="251"/>
    </row>
    <row r="153" ht="19.5" customHeight="1">
      <c r="A153" s="151" t="s">
        <v>790</v>
      </c>
      <c r="B153" s="114" t="s">
        <v>791</v>
      </c>
      <c r="C153" s="46" t="s">
        <v>103</v>
      </c>
      <c r="D153" s="122">
        <f>'39 ESTRUTURAL ADM, LAB E BIBLIO'!AA13+'39 ESTRUTURAL ADM, LAB E BIBLIO'!AA14</f>
        <v>389.987193</v>
      </c>
      <c r="E153" s="37"/>
      <c r="F153" s="40"/>
      <c r="G153" s="40"/>
      <c r="H153" s="59"/>
      <c r="I153" s="82"/>
      <c r="J153" s="43">
        <f t="shared" si="24"/>
        <v>389.987193</v>
      </c>
      <c r="K153" s="255"/>
    </row>
    <row r="154" ht="19.5" customHeight="1">
      <c r="A154" s="74" t="s">
        <v>1</v>
      </c>
      <c r="B154" s="74" t="s">
        <v>91</v>
      </c>
      <c r="C154" s="74" t="s">
        <v>92</v>
      </c>
      <c r="D154" s="76" t="s">
        <v>93</v>
      </c>
      <c r="E154" s="50" t="s">
        <v>97</v>
      </c>
      <c r="F154" s="53" t="s">
        <v>121</v>
      </c>
      <c r="G154" s="53" t="s">
        <v>99</v>
      </c>
      <c r="H154" s="75" t="s">
        <v>100</v>
      </c>
      <c r="I154" s="75" t="s">
        <v>101</v>
      </c>
      <c r="J154" s="76" t="s">
        <v>95</v>
      </c>
      <c r="K154" s="247" t="s">
        <v>96</v>
      </c>
    </row>
    <row r="155" ht="19.5" customHeight="1">
      <c r="A155" s="246">
        <v>37412.0</v>
      </c>
      <c r="B155" s="49" t="s">
        <v>792</v>
      </c>
      <c r="C155" s="46" t="s">
        <v>103</v>
      </c>
      <c r="D155" s="78">
        <v>1.0</v>
      </c>
      <c r="E155" s="37"/>
      <c r="F155" s="41">
        <v>25.0</v>
      </c>
      <c r="G155" s="41">
        <v>11.45</v>
      </c>
      <c r="H155" s="40">
        <f t="shared" ref="H155:H156" si="25">G155*F155</f>
        <v>286.25</v>
      </c>
      <c r="I155" s="42"/>
      <c r="J155" s="143">
        <f>H155-I155</f>
        <v>286.25</v>
      </c>
      <c r="K155" s="251"/>
    </row>
    <row r="156" ht="19.5" customHeight="1">
      <c r="A156" s="246">
        <v>37412.0</v>
      </c>
      <c r="B156" s="49" t="s">
        <v>793</v>
      </c>
      <c r="C156" s="46" t="s">
        <v>103</v>
      </c>
      <c r="D156" s="249">
        <v>1.0</v>
      </c>
      <c r="E156" s="204"/>
      <c r="F156" s="207">
        <v>4.0</v>
      </c>
      <c r="G156" s="207">
        <v>11.45</v>
      </c>
      <c r="H156" s="40">
        <f t="shared" si="25"/>
        <v>45.8</v>
      </c>
      <c r="I156" s="206"/>
      <c r="J156" s="32"/>
      <c r="K156" s="235"/>
      <c r="L156" s="185"/>
      <c r="M156" s="185"/>
      <c r="N156" s="185"/>
      <c r="O156" s="185"/>
      <c r="P156" s="185"/>
      <c r="Q156" s="185"/>
      <c r="R156" s="185"/>
      <c r="S156" s="185"/>
      <c r="T156" s="185"/>
      <c r="U156" s="185"/>
      <c r="V156" s="185"/>
      <c r="W156" s="185"/>
      <c r="X156" s="185"/>
      <c r="Y156" s="185"/>
      <c r="Z156" s="185"/>
    </row>
    <row r="157" ht="19.5" customHeight="1">
      <c r="A157" s="246">
        <v>38508.0</v>
      </c>
      <c r="B157" s="114" t="s">
        <v>583</v>
      </c>
      <c r="C157" s="83" t="s">
        <v>108</v>
      </c>
      <c r="D157" s="249">
        <v>1.0</v>
      </c>
      <c r="E157" s="204"/>
      <c r="F157" s="207">
        <f>25+10.85</f>
        <v>35.85</v>
      </c>
      <c r="G157" s="207"/>
      <c r="H157" s="59">
        <f>F157*D157</f>
        <v>35.85</v>
      </c>
      <c r="I157" s="206"/>
      <c r="J157" s="143">
        <f>H157</f>
        <v>35.85</v>
      </c>
      <c r="K157" s="235"/>
      <c r="L157" s="185"/>
      <c r="M157" s="185"/>
      <c r="N157" s="185"/>
      <c r="O157" s="185"/>
      <c r="P157" s="185"/>
      <c r="Q157" s="185"/>
      <c r="R157" s="185"/>
      <c r="S157" s="185"/>
      <c r="T157" s="185"/>
      <c r="U157" s="185"/>
      <c r="V157" s="185"/>
      <c r="W157" s="185"/>
      <c r="X157" s="185"/>
      <c r="Y157" s="185"/>
      <c r="Z157" s="185"/>
    </row>
    <row r="158" ht="19.5" customHeight="1">
      <c r="A158" s="74" t="s">
        <v>1</v>
      </c>
      <c r="B158" s="74" t="s">
        <v>91</v>
      </c>
      <c r="C158" s="74" t="s">
        <v>92</v>
      </c>
      <c r="D158" s="76" t="s">
        <v>93</v>
      </c>
      <c r="E158" s="50" t="s">
        <v>97</v>
      </c>
      <c r="F158" s="53" t="s">
        <v>121</v>
      </c>
      <c r="G158" s="53" t="s">
        <v>99</v>
      </c>
      <c r="H158" s="75" t="s">
        <v>100</v>
      </c>
      <c r="I158" s="75" t="s">
        <v>101</v>
      </c>
      <c r="J158" s="76" t="s">
        <v>95</v>
      </c>
      <c r="K158" s="247" t="s">
        <v>96</v>
      </c>
    </row>
    <row r="159" ht="19.5" customHeight="1">
      <c r="A159" s="246">
        <v>37777.0</v>
      </c>
      <c r="B159" s="49" t="s">
        <v>794</v>
      </c>
      <c r="C159" s="38" t="s">
        <v>108</v>
      </c>
      <c r="D159" s="39">
        <v>2.0</v>
      </c>
      <c r="E159" s="37"/>
      <c r="F159" s="41">
        <v>25.0</v>
      </c>
      <c r="G159" s="40"/>
      <c r="H159" s="40">
        <f t="shared" ref="H159:H160" si="26">D159*F159</f>
        <v>50</v>
      </c>
      <c r="I159" s="42"/>
      <c r="J159" s="143">
        <f>SUM(H159:H160)</f>
        <v>72.9</v>
      </c>
      <c r="K159" s="251"/>
    </row>
    <row r="160" ht="19.5" customHeight="1">
      <c r="A160" s="246">
        <v>37777.0</v>
      </c>
      <c r="B160" s="49" t="s">
        <v>795</v>
      </c>
      <c r="C160" s="83" t="s">
        <v>108</v>
      </c>
      <c r="D160" s="39">
        <v>2.0</v>
      </c>
      <c r="E160" s="37"/>
      <c r="F160" s="40">
        <f>G156</f>
        <v>11.45</v>
      </c>
      <c r="G160" s="40"/>
      <c r="H160" s="40">
        <f t="shared" si="26"/>
        <v>22.9</v>
      </c>
      <c r="I160" s="82"/>
      <c r="J160" s="32"/>
      <c r="K160" s="255"/>
    </row>
    <row r="161" ht="19.5" customHeight="1">
      <c r="A161" s="74" t="s">
        <v>1</v>
      </c>
      <c r="B161" s="74" t="s">
        <v>91</v>
      </c>
      <c r="C161" s="74" t="s">
        <v>92</v>
      </c>
      <c r="D161" s="76" t="s">
        <v>93</v>
      </c>
      <c r="E161" s="50" t="s">
        <v>97</v>
      </c>
      <c r="F161" s="53" t="s">
        <v>121</v>
      </c>
      <c r="G161" s="53" t="s">
        <v>99</v>
      </c>
      <c r="H161" s="75" t="s">
        <v>100</v>
      </c>
      <c r="I161" s="75" t="s">
        <v>101</v>
      </c>
      <c r="J161" s="285">
        <f>SUM(J159:J160)</f>
        <v>72.9</v>
      </c>
      <c r="K161" s="247" t="s">
        <v>96</v>
      </c>
    </row>
    <row r="162" ht="19.5" customHeight="1">
      <c r="A162" s="154" t="s">
        <v>796</v>
      </c>
      <c r="B162" s="49" t="s">
        <v>797</v>
      </c>
      <c r="C162" s="46" t="s">
        <v>103</v>
      </c>
      <c r="D162" s="39">
        <v>1.0</v>
      </c>
      <c r="E162" s="41">
        <v>3.0</v>
      </c>
      <c r="F162" s="39">
        <v>9.72</v>
      </c>
      <c r="G162" s="40"/>
      <c r="H162" s="40">
        <f t="shared" ref="H162:H165" si="27">D162*E162*F162</f>
        <v>29.16</v>
      </c>
      <c r="I162" s="152">
        <v>1.89</v>
      </c>
      <c r="J162" s="142">
        <f t="shared" ref="J162:J168" si="28">H162-I162</f>
        <v>27.27</v>
      </c>
      <c r="K162" s="251"/>
    </row>
    <row r="163" ht="19.5" customHeight="1">
      <c r="A163" s="154" t="s">
        <v>796</v>
      </c>
      <c r="B163" s="49" t="s">
        <v>798</v>
      </c>
      <c r="C163" s="46" t="s">
        <v>103</v>
      </c>
      <c r="D163" s="39">
        <v>1.0</v>
      </c>
      <c r="E163" s="41">
        <v>3.0</v>
      </c>
      <c r="F163" s="39">
        <v>8.62</v>
      </c>
      <c r="G163" s="40"/>
      <c r="H163" s="40">
        <f t="shared" si="27"/>
        <v>25.86</v>
      </c>
      <c r="I163" s="152">
        <v>1.89</v>
      </c>
      <c r="J163" s="142">
        <f t="shared" si="28"/>
        <v>23.97</v>
      </c>
      <c r="K163" s="255"/>
    </row>
    <row r="164" ht="19.5" customHeight="1">
      <c r="A164" s="154" t="s">
        <v>796</v>
      </c>
      <c r="B164" s="49" t="s">
        <v>799</v>
      </c>
      <c r="C164" s="46" t="s">
        <v>103</v>
      </c>
      <c r="D164" s="39">
        <v>1.0</v>
      </c>
      <c r="E164" s="41">
        <v>3.0</v>
      </c>
      <c r="F164" s="39">
        <v>9.72</v>
      </c>
      <c r="G164" s="40"/>
      <c r="H164" s="40">
        <f t="shared" si="27"/>
        <v>29.16</v>
      </c>
      <c r="I164" s="152">
        <v>1.89</v>
      </c>
      <c r="J164" s="142">
        <f t="shared" si="28"/>
        <v>27.27</v>
      </c>
      <c r="K164" s="255"/>
    </row>
    <row r="165" ht="19.5" customHeight="1">
      <c r="A165" s="154" t="s">
        <v>796</v>
      </c>
      <c r="B165" s="49" t="s">
        <v>800</v>
      </c>
      <c r="C165" s="46" t="s">
        <v>103</v>
      </c>
      <c r="D165" s="39">
        <v>1.0</v>
      </c>
      <c r="E165" s="41">
        <v>3.0</v>
      </c>
      <c r="F165" s="39">
        <v>5.4</v>
      </c>
      <c r="G165" s="40"/>
      <c r="H165" s="40">
        <f t="shared" si="27"/>
        <v>16.2</v>
      </c>
      <c r="I165" s="152">
        <v>1.89</v>
      </c>
      <c r="J165" s="142">
        <f t="shared" si="28"/>
        <v>14.31</v>
      </c>
      <c r="K165" s="255"/>
    </row>
    <row r="166" ht="19.5" customHeight="1">
      <c r="A166" s="154" t="s">
        <v>796</v>
      </c>
      <c r="B166" s="157" t="s">
        <v>797</v>
      </c>
      <c r="C166" s="46" t="s">
        <v>103</v>
      </c>
      <c r="D166" s="39">
        <v>1.0</v>
      </c>
      <c r="E166" s="37"/>
      <c r="F166" s="39">
        <v>2.46</v>
      </c>
      <c r="G166" s="39">
        <v>2.4</v>
      </c>
      <c r="H166" s="40">
        <f t="shared" ref="H166:H169" si="29">D166*F166*G166</f>
        <v>5.904</v>
      </c>
      <c r="I166" s="286"/>
      <c r="J166" s="142">
        <f t="shared" si="28"/>
        <v>5.904</v>
      </c>
      <c r="K166" s="255"/>
    </row>
    <row r="167" ht="19.5" customHeight="1">
      <c r="A167" s="154" t="s">
        <v>796</v>
      </c>
      <c r="B167" s="157" t="s">
        <v>798</v>
      </c>
      <c r="C167" s="46" t="s">
        <v>103</v>
      </c>
      <c r="D167" s="39">
        <v>1.0</v>
      </c>
      <c r="E167" s="37"/>
      <c r="F167" s="39">
        <v>2.46</v>
      </c>
      <c r="G167" s="39">
        <v>1.85</v>
      </c>
      <c r="H167" s="40">
        <f t="shared" si="29"/>
        <v>4.551</v>
      </c>
      <c r="I167" s="286"/>
      <c r="J167" s="142">
        <f t="shared" si="28"/>
        <v>4.551</v>
      </c>
      <c r="K167" s="255"/>
    </row>
    <row r="168" ht="19.5" customHeight="1">
      <c r="A168" s="154" t="s">
        <v>796</v>
      </c>
      <c r="B168" s="157" t="s">
        <v>799</v>
      </c>
      <c r="C168" s="46" t="s">
        <v>103</v>
      </c>
      <c r="D168" s="39">
        <v>1.0</v>
      </c>
      <c r="E168" s="37"/>
      <c r="F168" s="39">
        <v>2.46</v>
      </c>
      <c r="G168" s="39">
        <v>2.4</v>
      </c>
      <c r="H168" s="40">
        <f t="shared" si="29"/>
        <v>5.904</v>
      </c>
      <c r="I168" s="286"/>
      <c r="J168" s="142">
        <f t="shared" si="28"/>
        <v>5.904</v>
      </c>
      <c r="K168" s="255"/>
    </row>
    <row r="169" ht="19.5" customHeight="1">
      <c r="A169" s="154" t="s">
        <v>796</v>
      </c>
      <c r="B169" s="157" t="s">
        <v>800</v>
      </c>
      <c r="C169" s="46" t="s">
        <v>103</v>
      </c>
      <c r="D169" s="39">
        <v>1.0</v>
      </c>
      <c r="E169" s="37"/>
      <c r="F169" s="39">
        <v>1.8</v>
      </c>
      <c r="G169" s="39">
        <v>1.0</v>
      </c>
      <c r="H169" s="40">
        <f t="shared" si="29"/>
        <v>1.8</v>
      </c>
      <c r="I169" s="286"/>
      <c r="J169" s="287">
        <f>SUM(J162:J168)</f>
        <v>109.179</v>
      </c>
      <c r="K169" s="255"/>
    </row>
    <row r="170" ht="19.5" customHeight="1">
      <c r="A170" s="74" t="s">
        <v>1</v>
      </c>
      <c r="B170" s="74" t="s">
        <v>91</v>
      </c>
      <c r="C170" s="74" t="s">
        <v>92</v>
      </c>
      <c r="D170" s="76" t="s">
        <v>93</v>
      </c>
      <c r="E170" s="50" t="s">
        <v>97</v>
      </c>
      <c r="F170" s="53" t="s">
        <v>121</v>
      </c>
      <c r="G170" s="53" t="s">
        <v>99</v>
      </c>
      <c r="H170" s="75" t="s">
        <v>100</v>
      </c>
      <c r="I170" s="75" t="s">
        <v>101</v>
      </c>
      <c r="J170" s="76" t="s">
        <v>95</v>
      </c>
      <c r="K170" s="247" t="s">
        <v>96</v>
      </c>
    </row>
    <row r="171" ht="19.5" customHeight="1">
      <c r="A171" s="246">
        <v>37473.0</v>
      </c>
      <c r="B171" s="49" t="s">
        <v>801</v>
      </c>
      <c r="C171" s="46" t="s">
        <v>103</v>
      </c>
      <c r="D171" s="39">
        <v>1.0</v>
      </c>
      <c r="E171" s="37"/>
      <c r="F171" s="41">
        <v>220.1</v>
      </c>
      <c r="G171" s="41">
        <v>1.0</v>
      </c>
      <c r="H171" s="40">
        <f t="shared" ref="H171:H177" si="30">G171*F171</f>
        <v>220.1</v>
      </c>
      <c r="I171" s="42"/>
      <c r="J171" s="143">
        <f>SUM(H171:H172)</f>
        <v>228.8</v>
      </c>
      <c r="K171" s="251"/>
    </row>
    <row r="172" ht="19.5" customHeight="1">
      <c r="A172" s="246">
        <v>37473.0</v>
      </c>
      <c r="B172" s="49" t="s">
        <v>802</v>
      </c>
      <c r="C172" s="46" t="s">
        <v>103</v>
      </c>
      <c r="D172" s="39">
        <v>1.0</v>
      </c>
      <c r="E172" s="204"/>
      <c r="F172" s="207">
        <v>8.7</v>
      </c>
      <c r="G172" s="207">
        <v>1.0</v>
      </c>
      <c r="H172" s="40">
        <f t="shared" si="30"/>
        <v>8.7</v>
      </c>
      <c r="I172" s="206"/>
      <c r="J172" s="32"/>
      <c r="K172" s="235"/>
      <c r="L172" s="185"/>
      <c r="M172" s="185"/>
      <c r="N172" s="185"/>
      <c r="O172" s="185"/>
      <c r="P172" s="185"/>
      <c r="Q172" s="185"/>
      <c r="R172" s="185"/>
      <c r="S172" s="185"/>
      <c r="T172" s="185"/>
      <c r="U172" s="185"/>
      <c r="V172" s="185"/>
      <c r="W172" s="185"/>
      <c r="X172" s="185"/>
      <c r="Y172" s="185"/>
      <c r="Z172" s="185"/>
    </row>
    <row r="173" ht="19.5" customHeight="1">
      <c r="A173" s="246">
        <v>37108.0</v>
      </c>
      <c r="B173" s="195" t="s">
        <v>803</v>
      </c>
      <c r="C173" s="46" t="s">
        <v>103</v>
      </c>
      <c r="D173" s="39">
        <v>1.0</v>
      </c>
      <c r="E173" s="204"/>
      <c r="F173" s="207">
        <v>1.8</v>
      </c>
      <c r="G173" s="207">
        <v>1.0</v>
      </c>
      <c r="H173" s="40">
        <f t="shared" si="30"/>
        <v>1.8</v>
      </c>
      <c r="I173" s="206"/>
      <c r="J173" s="143">
        <f>SUM(H173:H177)</f>
        <v>43.22</v>
      </c>
      <c r="K173" s="235"/>
      <c r="L173" s="185"/>
      <c r="M173" s="185"/>
      <c r="N173" s="185"/>
      <c r="O173" s="185"/>
      <c r="P173" s="185"/>
      <c r="Q173" s="185"/>
      <c r="R173" s="185"/>
      <c r="S173" s="185"/>
      <c r="T173" s="185"/>
      <c r="U173" s="185"/>
      <c r="V173" s="185"/>
      <c r="W173" s="185"/>
      <c r="X173" s="185"/>
      <c r="Y173" s="185"/>
      <c r="Z173" s="185"/>
    </row>
    <row r="174" ht="19.5" customHeight="1">
      <c r="A174" s="246">
        <v>37108.0</v>
      </c>
      <c r="B174" s="195" t="s">
        <v>804</v>
      </c>
      <c r="C174" s="46" t="s">
        <v>103</v>
      </c>
      <c r="D174" s="39">
        <v>1.0</v>
      </c>
      <c r="E174" s="204"/>
      <c r="F174" s="207">
        <v>25.07</v>
      </c>
      <c r="G174" s="207">
        <v>1.0</v>
      </c>
      <c r="H174" s="40">
        <f t="shared" si="30"/>
        <v>25.07</v>
      </c>
      <c r="I174" s="206"/>
      <c r="J174" s="147"/>
      <c r="K174" s="235"/>
      <c r="L174" s="185"/>
      <c r="M174" s="185"/>
      <c r="N174" s="185"/>
      <c r="O174" s="185"/>
      <c r="P174" s="185"/>
      <c r="Q174" s="185"/>
      <c r="R174" s="185"/>
      <c r="S174" s="185"/>
      <c r="T174" s="185"/>
      <c r="U174" s="185"/>
      <c r="V174" s="185"/>
      <c r="W174" s="185"/>
      <c r="X174" s="185"/>
      <c r="Y174" s="185"/>
      <c r="Z174" s="185"/>
    </row>
    <row r="175" ht="19.5" customHeight="1">
      <c r="A175" s="246">
        <v>37108.0</v>
      </c>
      <c r="B175" s="195" t="s">
        <v>805</v>
      </c>
      <c r="C175" s="46" t="s">
        <v>103</v>
      </c>
      <c r="D175" s="39">
        <v>1.0</v>
      </c>
      <c r="E175" s="204"/>
      <c r="F175" s="207">
        <v>5.9</v>
      </c>
      <c r="G175" s="207">
        <v>1.0</v>
      </c>
      <c r="H175" s="40">
        <f t="shared" si="30"/>
        <v>5.9</v>
      </c>
      <c r="I175" s="206"/>
      <c r="J175" s="147"/>
      <c r="K175" s="235"/>
      <c r="L175" s="185"/>
      <c r="M175" s="185"/>
      <c r="N175" s="185"/>
      <c r="O175" s="185"/>
      <c r="P175" s="185"/>
      <c r="Q175" s="185"/>
      <c r="R175" s="185"/>
      <c r="S175" s="185"/>
      <c r="T175" s="185"/>
      <c r="U175" s="185"/>
      <c r="V175" s="185"/>
      <c r="W175" s="185"/>
      <c r="X175" s="185"/>
      <c r="Y175" s="185"/>
      <c r="Z175" s="185"/>
    </row>
    <row r="176" ht="19.5" customHeight="1">
      <c r="A176" s="246">
        <v>37108.0</v>
      </c>
      <c r="B176" s="195" t="s">
        <v>806</v>
      </c>
      <c r="C176" s="46" t="s">
        <v>103</v>
      </c>
      <c r="D176" s="39">
        <v>1.0</v>
      </c>
      <c r="E176" s="204"/>
      <c r="F176" s="207">
        <v>4.55</v>
      </c>
      <c r="G176" s="207">
        <v>1.0</v>
      </c>
      <c r="H176" s="40">
        <f t="shared" si="30"/>
        <v>4.55</v>
      </c>
      <c r="I176" s="206"/>
      <c r="J176" s="147"/>
      <c r="K176" s="235"/>
      <c r="L176" s="185"/>
      <c r="M176" s="185"/>
      <c r="N176" s="185"/>
      <c r="O176" s="185"/>
      <c r="P176" s="185"/>
      <c r="Q176" s="185"/>
      <c r="R176" s="185"/>
      <c r="S176" s="185"/>
      <c r="T176" s="185"/>
      <c r="U176" s="185"/>
      <c r="V176" s="185"/>
      <c r="W176" s="185"/>
      <c r="X176" s="185"/>
      <c r="Y176" s="185"/>
      <c r="Z176" s="185"/>
    </row>
    <row r="177" ht="19.5" customHeight="1">
      <c r="A177" s="246">
        <v>37108.0</v>
      </c>
      <c r="B177" s="195" t="s">
        <v>807</v>
      </c>
      <c r="C177" s="46" t="s">
        <v>103</v>
      </c>
      <c r="D177" s="39">
        <v>1.0</v>
      </c>
      <c r="E177" s="204"/>
      <c r="F177" s="207">
        <v>5.9</v>
      </c>
      <c r="G177" s="207">
        <v>1.0</v>
      </c>
      <c r="H177" s="40">
        <f t="shared" si="30"/>
        <v>5.9</v>
      </c>
      <c r="I177" s="206"/>
      <c r="J177" s="32"/>
      <c r="K177" s="235"/>
      <c r="L177" s="185"/>
      <c r="M177" s="185"/>
      <c r="N177" s="185"/>
      <c r="O177" s="185"/>
      <c r="P177" s="185"/>
      <c r="Q177" s="185"/>
      <c r="R177" s="185"/>
      <c r="S177" s="185"/>
      <c r="T177" s="185"/>
      <c r="U177" s="185"/>
      <c r="V177" s="185"/>
      <c r="W177" s="185"/>
      <c r="X177" s="185"/>
      <c r="Y177" s="185"/>
      <c r="Z177" s="185"/>
    </row>
    <row r="178" ht="19.5" customHeight="1">
      <c r="A178" s="74" t="s">
        <v>1</v>
      </c>
      <c r="B178" s="74" t="s">
        <v>91</v>
      </c>
      <c r="C178" s="74" t="s">
        <v>92</v>
      </c>
      <c r="D178" s="76" t="s">
        <v>93</v>
      </c>
      <c r="E178" s="50" t="s">
        <v>97</v>
      </c>
      <c r="F178" s="53" t="s">
        <v>121</v>
      </c>
      <c r="G178" s="53" t="s">
        <v>198</v>
      </c>
      <c r="H178" s="75" t="s">
        <v>100</v>
      </c>
      <c r="I178" s="75" t="s">
        <v>101</v>
      </c>
      <c r="J178" s="285" t="s">
        <v>95</v>
      </c>
      <c r="K178" s="247" t="s">
        <v>96</v>
      </c>
    </row>
    <row r="179" ht="19.5" customHeight="1">
      <c r="A179" s="246">
        <v>37016.0</v>
      </c>
      <c r="B179" s="49" t="s">
        <v>808</v>
      </c>
      <c r="C179" s="46" t="s">
        <v>103</v>
      </c>
      <c r="D179" s="39">
        <v>1.0</v>
      </c>
      <c r="E179" s="41">
        <v>3.0</v>
      </c>
      <c r="F179" s="39">
        <v>9.72</v>
      </c>
      <c r="G179" s="40"/>
      <c r="H179" s="40">
        <f t="shared" ref="H179:H186" si="31">D179*E179*F179</f>
        <v>29.16</v>
      </c>
      <c r="I179" s="152">
        <v>1.89</v>
      </c>
      <c r="J179" s="205">
        <f t="shared" ref="J179:J186" si="32">H179-I179</f>
        <v>27.27</v>
      </c>
      <c r="K179" s="251"/>
    </row>
    <row r="180" ht="19.5" customHeight="1">
      <c r="A180" s="246">
        <v>37016.0</v>
      </c>
      <c r="B180" s="49" t="s">
        <v>809</v>
      </c>
      <c r="C180" s="46" t="s">
        <v>103</v>
      </c>
      <c r="D180" s="39">
        <v>1.0</v>
      </c>
      <c r="E180" s="41">
        <v>3.0</v>
      </c>
      <c r="F180" s="39">
        <v>8.62</v>
      </c>
      <c r="G180" s="40"/>
      <c r="H180" s="40">
        <f t="shared" si="31"/>
        <v>25.86</v>
      </c>
      <c r="I180" s="152">
        <v>1.89</v>
      </c>
      <c r="J180" s="205">
        <f t="shared" si="32"/>
        <v>23.97</v>
      </c>
      <c r="K180" s="251"/>
    </row>
    <row r="181" ht="19.5" customHeight="1">
      <c r="A181" s="246">
        <v>37016.0</v>
      </c>
      <c r="B181" s="49" t="s">
        <v>810</v>
      </c>
      <c r="C181" s="46" t="s">
        <v>103</v>
      </c>
      <c r="D181" s="39">
        <v>1.0</v>
      </c>
      <c r="E181" s="41">
        <v>3.0</v>
      </c>
      <c r="F181" s="39">
        <v>9.72</v>
      </c>
      <c r="G181" s="40"/>
      <c r="H181" s="40">
        <f t="shared" si="31"/>
        <v>29.16</v>
      </c>
      <c r="I181" s="152">
        <v>1.89</v>
      </c>
      <c r="J181" s="205">
        <f t="shared" si="32"/>
        <v>27.27</v>
      </c>
      <c r="K181" s="255"/>
    </row>
    <row r="182" ht="19.5" customHeight="1">
      <c r="A182" s="246">
        <v>37016.0</v>
      </c>
      <c r="B182" s="49" t="s">
        <v>811</v>
      </c>
      <c r="C182" s="46" t="s">
        <v>103</v>
      </c>
      <c r="D182" s="39">
        <v>1.0</v>
      </c>
      <c r="E182" s="41">
        <v>3.0</v>
      </c>
      <c r="F182" s="39">
        <v>32.76</v>
      </c>
      <c r="G182" s="40"/>
      <c r="H182" s="40">
        <f t="shared" si="31"/>
        <v>98.28</v>
      </c>
      <c r="I182" s="42">
        <f>3*1.89+4*4.2</f>
        <v>22.47</v>
      </c>
      <c r="J182" s="205">
        <f t="shared" si="32"/>
        <v>75.81</v>
      </c>
      <c r="K182" s="255"/>
    </row>
    <row r="183" ht="19.5" customHeight="1">
      <c r="A183" s="246">
        <v>37016.0</v>
      </c>
      <c r="B183" s="49" t="s">
        <v>812</v>
      </c>
      <c r="C183" s="46" t="s">
        <v>103</v>
      </c>
      <c r="D183" s="39">
        <v>1.0</v>
      </c>
      <c r="E183" s="41">
        <v>3.0</v>
      </c>
      <c r="F183" s="39">
        <v>14.6</v>
      </c>
      <c r="G183" s="40"/>
      <c r="H183" s="40">
        <f t="shared" si="31"/>
        <v>43.8</v>
      </c>
      <c r="I183" s="42">
        <f>1.89</f>
        <v>1.89</v>
      </c>
      <c r="J183" s="205">
        <f t="shared" si="32"/>
        <v>41.91</v>
      </c>
      <c r="K183" s="255"/>
    </row>
    <row r="184" ht="19.5" customHeight="1">
      <c r="A184" s="246">
        <v>37016.0</v>
      </c>
      <c r="B184" s="49" t="s">
        <v>813</v>
      </c>
      <c r="C184" s="46" t="s">
        <v>103</v>
      </c>
      <c r="D184" s="39">
        <v>1.0</v>
      </c>
      <c r="E184" s="41">
        <v>3.0</v>
      </c>
      <c r="F184" s="39">
        <v>5.4</v>
      </c>
      <c r="G184" s="40"/>
      <c r="H184" s="40">
        <f t="shared" si="31"/>
        <v>16.2</v>
      </c>
      <c r="I184" s="152">
        <v>1.89</v>
      </c>
      <c r="J184" s="205">
        <f t="shared" si="32"/>
        <v>14.31</v>
      </c>
      <c r="K184" s="255"/>
    </row>
    <row r="185" ht="19.5" customHeight="1">
      <c r="A185" s="246">
        <v>37016.0</v>
      </c>
      <c r="B185" s="49" t="s">
        <v>814</v>
      </c>
      <c r="C185" s="46" t="s">
        <v>103</v>
      </c>
      <c r="D185" s="39">
        <v>1.0</v>
      </c>
      <c r="E185" s="41">
        <v>4.0</v>
      </c>
      <c r="F185" s="39">
        <v>70.0</v>
      </c>
      <c r="G185" s="40"/>
      <c r="H185" s="40">
        <f t="shared" si="31"/>
        <v>280</v>
      </c>
      <c r="I185" s="42">
        <f>2*4.2+2*1.89</f>
        <v>12.18</v>
      </c>
      <c r="J185" s="205">
        <f t="shared" si="32"/>
        <v>267.82</v>
      </c>
      <c r="K185" s="255"/>
    </row>
    <row r="186" ht="19.5" customHeight="1">
      <c r="A186" s="246">
        <v>37016.0</v>
      </c>
      <c r="B186" s="49" t="s">
        <v>815</v>
      </c>
      <c r="C186" s="46" t="s">
        <v>103</v>
      </c>
      <c r="D186" s="39">
        <v>1.0</v>
      </c>
      <c r="E186" s="41">
        <v>3.0</v>
      </c>
      <c r="F186" s="78">
        <f>11.6*2+25*2</f>
        <v>73.2</v>
      </c>
      <c r="G186" s="40"/>
      <c r="H186" s="40">
        <f t="shared" si="31"/>
        <v>219.6</v>
      </c>
      <c r="I186" s="42"/>
      <c r="J186" s="205">
        <f t="shared" si="32"/>
        <v>219.6</v>
      </c>
      <c r="K186" s="255"/>
    </row>
    <row r="187" ht="19.5" customHeight="1">
      <c r="A187" s="288"/>
      <c r="B187" s="49"/>
      <c r="C187" s="46"/>
      <c r="D187" s="78"/>
      <c r="E187" s="40"/>
      <c r="F187" s="78"/>
      <c r="G187" s="40"/>
      <c r="H187" s="40"/>
      <c r="I187" s="42"/>
      <c r="J187" s="289">
        <f>SUM(J179:J186)</f>
        <v>697.96</v>
      </c>
      <c r="K187" s="255"/>
    </row>
    <row r="188" ht="19.5" customHeight="1">
      <c r="A188" s="246">
        <v>37381.0</v>
      </c>
      <c r="B188" s="49" t="s">
        <v>602</v>
      </c>
      <c r="C188" s="46" t="s">
        <v>103</v>
      </c>
      <c r="D188" s="39">
        <v>1.0</v>
      </c>
      <c r="E188" s="41">
        <v>6.0</v>
      </c>
      <c r="F188" s="78">
        <f>11.75*2+25.3*2</f>
        <v>74.1</v>
      </c>
      <c r="G188" s="40"/>
      <c r="H188" s="40">
        <f t="shared" ref="H188:H191" si="33">D188*E188*F188</f>
        <v>444.6</v>
      </c>
      <c r="I188" s="42">
        <f>4.2*2+1.89</f>
        <v>10.29</v>
      </c>
      <c r="J188" s="205">
        <f t="shared" ref="J188:J191" si="34">H188-I188</f>
        <v>434.31</v>
      </c>
      <c r="K188" s="255"/>
    </row>
    <row r="189" ht="19.5" customHeight="1">
      <c r="A189" s="246">
        <v>37381.0</v>
      </c>
      <c r="B189" s="49" t="s">
        <v>816</v>
      </c>
      <c r="C189" s="46" t="s">
        <v>103</v>
      </c>
      <c r="D189" s="39">
        <v>5.0</v>
      </c>
      <c r="E189" s="41">
        <v>3.0</v>
      </c>
      <c r="F189" s="39">
        <v>1.1</v>
      </c>
      <c r="G189" s="40"/>
      <c r="H189" s="40">
        <f t="shared" si="33"/>
        <v>16.5</v>
      </c>
      <c r="I189" s="42"/>
      <c r="J189" s="205">
        <f t="shared" si="34"/>
        <v>16.5</v>
      </c>
      <c r="K189" s="255"/>
    </row>
    <row r="190" ht="19.5" customHeight="1">
      <c r="A190" s="246">
        <v>37381.0</v>
      </c>
      <c r="B190" s="49" t="s">
        <v>817</v>
      </c>
      <c r="C190" s="46" t="s">
        <v>103</v>
      </c>
      <c r="D190" s="39">
        <v>1.0</v>
      </c>
      <c r="E190" s="41">
        <v>0.9</v>
      </c>
      <c r="F190" s="39">
        <v>25.5</v>
      </c>
      <c r="G190" s="40"/>
      <c r="H190" s="40">
        <f t="shared" si="33"/>
        <v>22.95</v>
      </c>
      <c r="I190" s="42"/>
      <c r="J190" s="205">
        <f t="shared" si="34"/>
        <v>22.95</v>
      </c>
      <c r="K190" s="255"/>
    </row>
    <row r="191" ht="19.5" customHeight="1">
      <c r="A191" s="246">
        <v>37381.0</v>
      </c>
      <c r="B191" s="49" t="s">
        <v>818</v>
      </c>
      <c r="C191" s="46" t="s">
        <v>103</v>
      </c>
      <c r="D191" s="39">
        <v>2.0</v>
      </c>
      <c r="E191" s="41">
        <v>1.1</v>
      </c>
      <c r="F191" s="39">
        <v>10.75</v>
      </c>
      <c r="G191" s="40"/>
      <c r="H191" s="40">
        <f t="shared" si="33"/>
        <v>23.65</v>
      </c>
      <c r="I191" s="42"/>
      <c r="J191" s="205">
        <f t="shared" si="34"/>
        <v>23.65</v>
      </c>
      <c r="K191" s="255"/>
    </row>
    <row r="192" ht="19.5" customHeight="1">
      <c r="A192" s="288"/>
      <c r="B192" s="49"/>
      <c r="C192" s="46" t="s">
        <v>103</v>
      </c>
      <c r="D192" s="78"/>
      <c r="E192" s="40"/>
      <c r="F192" s="78"/>
      <c r="G192" s="40"/>
      <c r="H192" s="40"/>
      <c r="I192" s="42"/>
      <c r="J192" s="290">
        <f>SUM(J188:J191)</f>
        <v>497.41</v>
      </c>
      <c r="K192" s="255"/>
    </row>
    <row r="193" ht="19.5" customHeight="1">
      <c r="A193" s="74"/>
      <c r="B193" s="74" t="s">
        <v>91</v>
      </c>
      <c r="C193" s="74" t="s">
        <v>92</v>
      </c>
      <c r="D193" s="76" t="s">
        <v>93</v>
      </c>
      <c r="E193" s="50" t="s">
        <v>97</v>
      </c>
      <c r="F193" s="53" t="s">
        <v>121</v>
      </c>
      <c r="G193" s="53" t="s">
        <v>198</v>
      </c>
      <c r="H193" s="75" t="s">
        <v>100</v>
      </c>
      <c r="I193" s="75" t="s">
        <v>101</v>
      </c>
      <c r="J193" s="285" t="s">
        <v>95</v>
      </c>
      <c r="K193" s="247" t="s">
        <v>96</v>
      </c>
    </row>
    <row r="194" ht="19.5" customHeight="1">
      <c r="A194" s="246">
        <v>37746.0</v>
      </c>
      <c r="B194" s="49" t="s">
        <v>819</v>
      </c>
      <c r="C194" s="46" t="s">
        <v>103</v>
      </c>
      <c r="D194" s="39">
        <v>1.0</v>
      </c>
      <c r="E194" s="41">
        <v>3.0</v>
      </c>
      <c r="F194" s="39">
        <v>9.72</v>
      </c>
      <c r="G194" s="40"/>
      <c r="H194" s="40">
        <f t="shared" ref="H194:H201" si="35">D194*E194*F194</f>
        <v>29.16</v>
      </c>
      <c r="I194" s="152">
        <v>1.89</v>
      </c>
      <c r="J194" s="205">
        <f t="shared" ref="J194:J201" si="36">H194-I194</f>
        <v>27.27</v>
      </c>
      <c r="K194" s="255"/>
    </row>
    <row r="195" ht="19.5" customHeight="1">
      <c r="A195" s="246">
        <v>37746.0</v>
      </c>
      <c r="B195" s="49" t="s">
        <v>820</v>
      </c>
      <c r="C195" s="46" t="s">
        <v>103</v>
      </c>
      <c r="D195" s="39">
        <v>1.0</v>
      </c>
      <c r="E195" s="41">
        <v>3.0</v>
      </c>
      <c r="F195" s="39">
        <v>8.62</v>
      </c>
      <c r="G195" s="40"/>
      <c r="H195" s="40">
        <f t="shared" si="35"/>
        <v>25.86</v>
      </c>
      <c r="I195" s="152">
        <v>1.89</v>
      </c>
      <c r="J195" s="205">
        <f t="shared" si="36"/>
        <v>23.97</v>
      </c>
      <c r="K195" s="255"/>
    </row>
    <row r="196" ht="19.5" customHeight="1">
      <c r="A196" s="246">
        <v>37746.0</v>
      </c>
      <c r="B196" s="49" t="s">
        <v>821</v>
      </c>
      <c r="C196" s="46" t="s">
        <v>103</v>
      </c>
      <c r="D196" s="39">
        <v>1.0</v>
      </c>
      <c r="E196" s="41">
        <v>3.0</v>
      </c>
      <c r="F196" s="39">
        <v>9.72</v>
      </c>
      <c r="G196" s="40"/>
      <c r="H196" s="40">
        <f t="shared" si="35"/>
        <v>29.16</v>
      </c>
      <c r="I196" s="152">
        <v>1.89</v>
      </c>
      <c r="J196" s="205">
        <f t="shared" si="36"/>
        <v>27.27</v>
      </c>
      <c r="K196" s="255"/>
    </row>
    <row r="197" ht="19.5" customHeight="1">
      <c r="A197" s="246">
        <v>37746.0</v>
      </c>
      <c r="B197" s="49" t="s">
        <v>822</v>
      </c>
      <c r="C197" s="46" t="s">
        <v>103</v>
      </c>
      <c r="D197" s="39">
        <v>1.0</v>
      </c>
      <c r="E197" s="41">
        <v>3.0</v>
      </c>
      <c r="F197" s="39">
        <v>32.76</v>
      </c>
      <c r="G197" s="40"/>
      <c r="H197" s="40">
        <f t="shared" si="35"/>
        <v>98.28</v>
      </c>
      <c r="I197" s="42">
        <f>3*1.89+4*4.2</f>
        <v>22.47</v>
      </c>
      <c r="J197" s="205">
        <f t="shared" si="36"/>
        <v>75.81</v>
      </c>
      <c r="K197" s="255"/>
    </row>
    <row r="198" ht="19.5" customHeight="1">
      <c r="A198" s="246">
        <v>37746.0</v>
      </c>
      <c r="B198" s="49" t="s">
        <v>823</v>
      </c>
      <c r="C198" s="46" t="s">
        <v>103</v>
      </c>
      <c r="D198" s="39">
        <v>1.0</v>
      </c>
      <c r="E198" s="41">
        <v>3.0</v>
      </c>
      <c r="F198" s="39">
        <v>14.6</v>
      </c>
      <c r="G198" s="40"/>
      <c r="H198" s="40">
        <f t="shared" si="35"/>
        <v>43.8</v>
      </c>
      <c r="I198" s="42">
        <f>1.89</f>
        <v>1.89</v>
      </c>
      <c r="J198" s="205">
        <f t="shared" si="36"/>
        <v>41.91</v>
      </c>
      <c r="K198" s="255"/>
    </row>
    <row r="199" ht="19.5" customHeight="1">
      <c r="A199" s="246">
        <v>37746.0</v>
      </c>
      <c r="B199" s="49" t="s">
        <v>824</v>
      </c>
      <c r="C199" s="46" t="s">
        <v>103</v>
      </c>
      <c r="D199" s="39">
        <v>1.0</v>
      </c>
      <c r="E199" s="41">
        <v>3.0</v>
      </c>
      <c r="F199" s="39">
        <v>5.4</v>
      </c>
      <c r="G199" s="40"/>
      <c r="H199" s="40">
        <f t="shared" si="35"/>
        <v>16.2</v>
      </c>
      <c r="I199" s="152">
        <v>1.89</v>
      </c>
      <c r="J199" s="205">
        <f t="shared" si="36"/>
        <v>14.31</v>
      </c>
      <c r="K199" s="255"/>
    </row>
    <row r="200" ht="19.5" customHeight="1">
      <c r="A200" s="246">
        <v>37746.0</v>
      </c>
      <c r="B200" s="49" t="s">
        <v>825</v>
      </c>
      <c r="C200" s="46" t="s">
        <v>103</v>
      </c>
      <c r="D200" s="39">
        <v>1.0</v>
      </c>
      <c r="E200" s="41">
        <v>4.0</v>
      </c>
      <c r="F200" s="39">
        <v>70.0</v>
      </c>
      <c r="G200" s="40"/>
      <c r="H200" s="40">
        <f t="shared" si="35"/>
        <v>280</v>
      </c>
      <c r="I200" s="42">
        <f>2*4.2+2*1.89</f>
        <v>12.18</v>
      </c>
      <c r="J200" s="205">
        <f t="shared" si="36"/>
        <v>267.82</v>
      </c>
      <c r="K200" s="255"/>
    </row>
    <row r="201" ht="19.5" customHeight="1">
      <c r="A201" s="246">
        <v>37746.0</v>
      </c>
      <c r="B201" s="49" t="s">
        <v>826</v>
      </c>
      <c r="C201" s="46" t="s">
        <v>103</v>
      </c>
      <c r="D201" s="39">
        <v>1.0</v>
      </c>
      <c r="E201" s="41">
        <v>3.0</v>
      </c>
      <c r="F201" s="78">
        <f>11.6*2+25*2</f>
        <v>73.2</v>
      </c>
      <c r="G201" s="40"/>
      <c r="H201" s="40">
        <f t="shared" si="35"/>
        <v>219.6</v>
      </c>
      <c r="I201" s="42"/>
      <c r="J201" s="205">
        <f t="shared" si="36"/>
        <v>219.6</v>
      </c>
      <c r="K201" s="255"/>
    </row>
    <row r="202" ht="19.5" customHeight="1">
      <c r="A202" s="288"/>
      <c r="B202" s="49"/>
      <c r="C202" s="46"/>
      <c r="D202" s="78"/>
      <c r="E202" s="40"/>
      <c r="F202" s="78"/>
      <c r="G202" s="40"/>
      <c r="H202" s="40"/>
      <c r="I202" s="42"/>
      <c r="J202" s="289">
        <f>SUM(J194:J201)</f>
        <v>697.96</v>
      </c>
      <c r="K202" s="251"/>
    </row>
    <row r="203" ht="19.5" customHeight="1">
      <c r="A203" s="246">
        <v>38112.0</v>
      </c>
      <c r="B203" s="49" t="s">
        <v>614</v>
      </c>
      <c r="C203" s="46" t="s">
        <v>103</v>
      </c>
      <c r="D203" s="39">
        <v>1.0</v>
      </c>
      <c r="E203" s="41">
        <v>6.0</v>
      </c>
      <c r="F203" s="78">
        <f>11.75*2+25.3*2</f>
        <v>74.1</v>
      </c>
      <c r="G203" s="40"/>
      <c r="H203" s="40">
        <f t="shared" ref="H203:H206" si="37">D203*E203*F203</f>
        <v>444.6</v>
      </c>
      <c r="I203" s="42">
        <f>4.2*2+1.89</f>
        <v>10.29</v>
      </c>
      <c r="J203" s="205">
        <f t="shared" ref="J203:J206" si="38">H203-I203</f>
        <v>434.31</v>
      </c>
      <c r="K203" s="251"/>
    </row>
    <row r="204" ht="19.5" customHeight="1">
      <c r="A204" s="246">
        <v>38112.0</v>
      </c>
      <c r="B204" s="49" t="s">
        <v>827</v>
      </c>
      <c r="C204" s="46" t="s">
        <v>103</v>
      </c>
      <c r="D204" s="39">
        <v>5.0</v>
      </c>
      <c r="E204" s="41">
        <v>3.0</v>
      </c>
      <c r="F204" s="39">
        <v>1.1</v>
      </c>
      <c r="G204" s="40"/>
      <c r="H204" s="40">
        <f t="shared" si="37"/>
        <v>16.5</v>
      </c>
      <c r="I204" s="42"/>
      <c r="J204" s="205">
        <f t="shared" si="38"/>
        <v>16.5</v>
      </c>
      <c r="K204" s="251"/>
    </row>
    <row r="205" ht="19.5" customHeight="1">
      <c r="A205" s="246">
        <v>38112.0</v>
      </c>
      <c r="B205" s="49" t="s">
        <v>828</v>
      </c>
      <c r="C205" s="46" t="s">
        <v>103</v>
      </c>
      <c r="D205" s="39">
        <v>1.0</v>
      </c>
      <c r="E205" s="41">
        <v>0.9</v>
      </c>
      <c r="F205" s="39">
        <v>25.5</v>
      </c>
      <c r="G205" s="40"/>
      <c r="H205" s="40">
        <f t="shared" si="37"/>
        <v>22.95</v>
      </c>
      <c r="I205" s="42"/>
      <c r="J205" s="205">
        <f t="shared" si="38"/>
        <v>22.95</v>
      </c>
      <c r="K205" s="251"/>
    </row>
    <row r="206" ht="19.5" customHeight="1">
      <c r="A206" s="246">
        <v>38112.0</v>
      </c>
      <c r="B206" s="49" t="s">
        <v>829</v>
      </c>
      <c r="C206" s="46" t="s">
        <v>103</v>
      </c>
      <c r="D206" s="39">
        <v>2.0</v>
      </c>
      <c r="E206" s="41">
        <v>1.1</v>
      </c>
      <c r="F206" s="39">
        <v>10.75</v>
      </c>
      <c r="G206" s="40"/>
      <c r="H206" s="40">
        <f t="shared" si="37"/>
        <v>23.65</v>
      </c>
      <c r="I206" s="42"/>
      <c r="J206" s="205">
        <f t="shared" si="38"/>
        <v>23.65</v>
      </c>
      <c r="K206" s="251"/>
    </row>
    <row r="207" ht="19.5" customHeight="1">
      <c r="A207" s="288"/>
      <c r="B207" s="49"/>
      <c r="C207" s="46" t="s">
        <v>103</v>
      </c>
      <c r="D207" s="78"/>
      <c r="E207" s="40"/>
      <c r="F207" s="78"/>
      <c r="G207" s="40"/>
      <c r="H207" s="40"/>
      <c r="I207" s="42"/>
      <c r="J207" s="290">
        <f>SUM(J203:J206)</f>
        <v>497.41</v>
      </c>
      <c r="K207" s="251"/>
    </row>
    <row r="208" ht="19.5" customHeight="1">
      <c r="A208" s="74" t="s">
        <v>1</v>
      </c>
      <c r="B208" s="74" t="s">
        <v>91</v>
      </c>
      <c r="C208" s="74" t="s">
        <v>92</v>
      </c>
      <c r="D208" s="76" t="s">
        <v>93</v>
      </c>
      <c r="E208" s="50" t="s">
        <v>97</v>
      </c>
      <c r="F208" s="53" t="s">
        <v>121</v>
      </c>
      <c r="G208" s="53" t="s">
        <v>198</v>
      </c>
      <c r="H208" s="75" t="s">
        <v>100</v>
      </c>
      <c r="I208" s="75" t="s">
        <v>101</v>
      </c>
      <c r="J208" s="76" t="s">
        <v>95</v>
      </c>
      <c r="K208" s="247" t="s">
        <v>96</v>
      </c>
    </row>
    <row r="209" ht="19.5" customHeight="1">
      <c r="A209" s="291" t="s">
        <v>830</v>
      </c>
      <c r="B209" s="49" t="s">
        <v>831</v>
      </c>
      <c r="C209" s="46" t="s">
        <v>103</v>
      </c>
      <c r="D209" s="39">
        <v>1.0</v>
      </c>
      <c r="E209" s="41">
        <v>3.0</v>
      </c>
      <c r="F209" s="39">
        <v>32.76</v>
      </c>
      <c r="G209" s="40"/>
      <c r="H209" s="40">
        <f t="shared" ref="H209:H211" si="39">D209*E209*F209</f>
        <v>98.28</v>
      </c>
      <c r="I209" s="42">
        <f>3*1.89+4*4.2</f>
        <v>22.47</v>
      </c>
      <c r="J209" s="40">
        <f t="shared" ref="J209:J211" si="40">H209-I209</f>
        <v>75.81</v>
      </c>
      <c r="K209" s="251"/>
    </row>
    <row r="210" ht="19.5" customHeight="1">
      <c r="A210" s="291" t="s">
        <v>830</v>
      </c>
      <c r="B210" s="49" t="s">
        <v>832</v>
      </c>
      <c r="C210" s="46" t="s">
        <v>103</v>
      </c>
      <c r="D210" s="39">
        <v>1.0</v>
      </c>
      <c r="E210" s="41">
        <v>3.0</v>
      </c>
      <c r="F210" s="39">
        <v>14.6</v>
      </c>
      <c r="G210" s="40"/>
      <c r="H210" s="40">
        <f t="shared" si="39"/>
        <v>43.8</v>
      </c>
      <c r="I210" s="42">
        <f>1.89</f>
        <v>1.89</v>
      </c>
      <c r="J210" s="40">
        <f t="shared" si="40"/>
        <v>41.91</v>
      </c>
      <c r="K210" s="251"/>
    </row>
    <row r="211" ht="19.5" customHeight="1">
      <c r="A211" s="291" t="s">
        <v>830</v>
      </c>
      <c r="B211" s="49" t="s">
        <v>833</v>
      </c>
      <c r="C211" s="46" t="s">
        <v>103</v>
      </c>
      <c r="D211" s="39">
        <v>1.0</v>
      </c>
      <c r="E211" s="41">
        <v>4.0</v>
      </c>
      <c r="F211" s="39">
        <v>70.0</v>
      </c>
      <c r="G211" s="40"/>
      <c r="H211" s="40">
        <f t="shared" si="39"/>
        <v>280</v>
      </c>
      <c r="I211" s="42">
        <f>2*4.2+2*1.89</f>
        <v>12.18</v>
      </c>
      <c r="J211" s="40">
        <f t="shared" si="40"/>
        <v>267.82</v>
      </c>
      <c r="K211" s="255" t="s">
        <v>95</v>
      </c>
    </row>
    <row r="212" ht="19.5" customHeight="1">
      <c r="A212" s="291" t="s">
        <v>830</v>
      </c>
      <c r="B212" s="195" t="s">
        <v>834</v>
      </c>
      <c r="C212" s="46" t="s">
        <v>103</v>
      </c>
      <c r="D212" s="279">
        <v>2.0</v>
      </c>
      <c r="E212" s="268">
        <v>3.0</v>
      </c>
      <c r="F212" s="282">
        <v>7.75</v>
      </c>
      <c r="G212" s="283"/>
      <c r="H212" s="283">
        <f>F212*E212*D212</f>
        <v>46.5</v>
      </c>
      <c r="I212" s="284"/>
      <c r="J212" s="205">
        <f>H212</f>
        <v>46.5</v>
      </c>
      <c r="K212" s="235"/>
      <c r="L212" s="185"/>
      <c r="M212" s="185"/>
      <c r="N212" s="185"/>
      <c r="O212" s="185"/>
      <c r="P212" s="185"/>
      <c r="Q212" s="185"/>
      <c r="R212" s="185"/>
      <c r="S212" s="185"/>
      <c r="T212" s="185"/>
      <c r="U212" s="185"/>
      <c r="V212" s="185"/>
      <c r="W212" s="185"/>
      <c r="X212" s="185"/>
      <c r="Y212" s="185"/>
      <c r="Z212" s="185"/>
    </row>
    <row r="213" ht="19.5" customHeight="1">
      <c r="A213" s="79"/>
      <c r="B213" s="114"/>
      <c r="C213" s="79"/>
      <c r="D213" s="115"/>
      <c r="E213" s="41"/>
      <c r="F213" s="39"/>
      <c r="G213" s="40"/>
      <c r="H213" s="59"/>
      <c r="I213" s="82"/>
      <c r="J213" s="290">
        <f>SUM(J209:J212)</f>
        <v>432.04</v>
      </c>
      <c r="K213" s="255"/>
    </row>
    <row r="214" ht="19.5" customHeight="1">
      <c r="A214" s="74" t="s">
        <v>1</v>
      </c>
      <c r="B214" s="74" t="s">
        <v>91</v>
      </c>
      <c r="C214" s="74" t="s">
        <v>92</v>
      </c>
      <c r="D214" s="76" t="s">
        <v>93</v>
      </c>
      <c r="E214" s="50" t="s">
        <v>97</v>
      </c>
      <c r="F214" s="53" t="s">
        <v>121</v>
      </c>
      <c r="G214" s="53" t="s">
        <v>99</v>
      </c>
      <c r="H214" s="75" t="s">
        <v>100</v>
      </c>
      <c r="I214" s="75" t="s">
        <v>101</v>
      </c>
      <c r="J214" s="76" t="s">
        <v>95</v>
      </c>
      <c r="K214" s="247" t="s">
        <v>96</v>
      </c>
    </row>
    <row r="215" ht="19.5" customHeight="1">
      <c r="A215" s="246">
        <v>38477.0</v>
      </c>
      <c r="B215" s="49" t="s">
        <v>835</v>
      </c>
      <c r="C215" s="46" t="s">
        <v>103</v>
      </c>
      <c r="D215" s="39">
        <v>1.0</v>
      </c>
      <c r="E215" s="41">
        <v>3.0</v>
      </c>
      <c r="F215" s="39">
        <v>9.72</v>
      </c>
      <c r="G215" s="40"/>
      <c r="H215" s="40">
        <f t="shared" ref="H215:H218" si="41">D215*E215*F215</f>
        <v>29.16</v>
      </c>
      <c r="I215" s="152">
        <v>1.89</v>
      </c>
      <c r="J215" s="205">
        <f t="shared" ref="J215:J218" si="42">H215-I215</f>
        <v>27.27</v>
      </c>
      <c r="K215" s="251"/>
    </row>
    <row r="216" ht="19.5" customHeight="1">
      <c r="A216" s="246">
        <v>38477.0</v>
      </c>
      <c r="B216" s="49" t="s">
        <v>836</v>
      </c>
      <c r="C216" s="46" t="s">
        <v>103</v>
      </c>
      <c r="D216" s="39">
        <v>1.0</v>
      </c>
      <c r="E216" s="41">
        <v>3.0</v>
      </c>
      <c r="F216" s="39">
        <v>8.62</v>
      </c>
      <c r="G216" s="40"/>
      <c r="H216" s="40">
        <f t="shared" si="41"/>
        <v>25.86</v>
      </c>
      <c r="I216" s="152">
        <v>1.89</v>
      </c>
      <c r="J216" s="205">
        <f t="shared" si="42"/>
        <v>23.97</v>
      </c>
      <c r="K216" s="251"/>
    </row>
    <row r="217" ht="19.5" customHeight="1">
      <c r="A217" s="246">
        <v>38477.0</v>
      </c>
      <c r="B217" s="49" t="s">
        <v>837</v>
      </c>
      <c r="C217" s="46" t="s">
        <v>103</v>
      </c>
      <c r="D217" s="39">
        <v>1.0</v>
      </c>
      <c r="E217" s="41">
        <v>3.0</v>
      </c>
      <c r="F217" s="39">
        <v>9.72</v>
      </c>
      <c r="G217" s="40"/>
      <c r="H217" s="40">
        <f t="shared" si="41"/>
        <v>29.16</v>
      </c>
      <c r="I217" s="152">
        <v>1.89</v>
      </c>
      <c r="J217" s="205">
        <f t="shared" si="42"/>
        <v>27.27</v>
      </c>
      <c r="K217" s="255"/>
    </row>
    <row r="218" ht="19.5" customHeight="1">
      <c r="A218" s="246">
        <v>38477.0</v>
      </c>
      <c r="B218" s="49" t="s">
        <v>838</v>
      </c>
      <c r="C218" s="46" t="s">
        <v>103</v>
      </c>
      <c r="D218" s="39">
        <v>1.0</v>
      </c>
      <c r="E218" s="41">
        <v>3.0</v>
      </c>
      <c r="F218" s="39">
        <v>5.4</v>
      </c>
      <c r="G218" s="40"/>
      <c r="H218" s="40">
        <f t="shared" si="41"/>
        <v>16.2</v>
      </c>
      <c r="I218" s="152">
        <v>1.89</v>
      </c>
      <c r="J218" s="40">
        <f t="shared" si="42"/>
        <v>14.31</v>
      </c>
      <c r="K218" s="255"/>
    </row>
    <row r="219" ht="19.5" customHeight="1">
      <c r="A219" s="246"/>
      <c r="B219" s="37"/>
      <c r="C219" s="46"/>
      <c r="D219" s="78"/>
      <c r="E219" s="37"/>
      <c r="F219" s="78"/>
      <c r="G219" s="40"/>
      <c r="H219" s="40"/>
      <c r="I219" s="42"/>
      <c r="J219" s="290">
        <f>SUM(J215:J218)</f>
        <v>92.82</v>
      </c>
      <c r="K219" s="255"/>
    </row>
    <row r="220" ht="19.5" customHeight="1">
      <c r="A220" s="246">
        <v>39207.0</v>
      </c>
      <c r="B220" s="49" t="s">
        <v>839</v>
      </c>
      <c r="C220" s="46" t="s">
        <v>103</v>
      </c>
      <c r="D220" s="39">
        <v>1.0</v>
      </c>
      <c r="E220" s="41">
        <v>2.35</v>
      </c>
      <c r="F220" s="78">
        <f>11.75*2+25.3*2</f>
        <v>74.1</v>
      </c>
      <c r="G220" s="40"/>
      <c r="H220" s="40">
        <f t="shared" ref="H220:H222" si="43">D220*E220*F220</f>
        <v>174.135</v>
      </c>
      <c r="I220" s="42"/>
      <c r="J220" s="205">
        <f t="shared" ref="J220:J222" si="44">H220-I220</f>
        <v>174.135</v>
      </c>
      <c r="K220" s="251"/>
    </row>
    <row r="221" ht="19.5" customHeight="1">
      <c r="A221" s="246">
        <v>39207.0</v>
      </c>
      <c r="B221" s="49" t="s">
        <v>839</v>
      </c>
      <c r="C221" s="46" t="s">
        <v>103</v>
      </c>
      <c r="D221" s="39">
        <v>1.0</v>
      </c>
      <c r="E221" s="41">
        <f>6-E220</f>
        <v>3.65</v>
      </c>
      <c r="F221" s="39">
        <v>19.35</v>
      </c>
      <c r="G221" s="40"/>
      <c r="H221" s="40">
        <f t="shared" si="43"/>
        <v>70.6275</v>
      </c>
      <c r="I221" s="42"/>
      <c r="J221" s="205">
        <f t="shared" si="44"/>
        <v>70.6275</v>
      </c>
      <c r="K221" s="255"/>
    </row>
    <row r="222" ht="19.5" customHeight="1">
      <c r="A222" s="246">
        <v>39207.0</v>
      </c>
      <c r="B222" s="49" t="s">
        <v>840</v>
      </c>
      <c r="C222" s="46" t="s">
        <v>103</v>
      </c>
      <c r="D222" s="39">
        <v>5.0</v>
      </c>
      <c r="E222" s="41">
        <v>3.0</v>
      </c>
      <c r="F222" s="39">
        <v>1.1</v>
      </c>
      <c r="G222" s="40"/>
      <c r="H222" s="40">
        <f t="shared" si="43"/>
        <v>16.5</v>
      </c>
      <c r="I222" s="42"/>
      <c r="J222" s="205">
        <f t="shared" si="44"/>
        <v>16.5</v>
      </c>
      <c r="K222" s="255"/>
    </row>
    <row r="223" ht="19.5" customHeight="1">
      <c r="A223" s="246"/>
      <c r="B223" s="49"/>
      <c r="C223" s="46"/>
      <c r="D223" s="39"/>
      <c r="E223" s="41"/>
      <c r="F223" s="39"/>
      <c r="G223" s="40"/>
      <c r="H223" s="40"/>
      <c r="I223" s="82"/>
      <c r="J223" s="290">
        <f>SUM(J220:J222)</f>
        <v>261.2625</v>
      </c>
      <c r="K223" s="255"/>
    </row>
    <row r="224" ht="19.5" customHeight="1">
      <c r="A224" s="246">
        <v>38842.0</v>
      </c>
      <c r="B224" s="49" t="s">
        <v>841</v>
      </c>
      <c r="C224" s="46" t="s">
        <v>103</v>
      </c>
      <c r="D224" s="39">
        <v>1.0</v>
      </c>
      <c r="E224" s="41">
        <v>0.9</v>
      </c>
      <c r="F224" s="39">
        <v>25.5</v>
      </c>
      <c r="G224" s="40"/>
      <c r="H224" s="40">
        <f t="shared" ref="H224:H226" si="45">D224*E224*F224</f>
        <v>22.95</v>
      </c>
      <c r="I224" s="93"/>
      <c r="J224" s="40">
        <f t="shared" ref="J224:J226" si="46">H224-I224</f>
        <v>22.95</v>
      </c>
      <c r="K224" s="255"/>
    </row>
    <row r="225" ht="19.5" customHeight="1">
      <c r="A225" s="246">
        <v>38842.0</v>
      </c>
      <c r="B225" s="49" t="s">
        <v>842</v>
      </c>
      <c r="C225" s="79" t="s">
        <v>103</v>
      </c>
      <c r="D225" s="39">
        <v>2.0</v>
      </c>
      <c r="E225" s="41">
        <v>1.1</v>
      </c>
      <c r="F225" s="39">
        <v>10.75</v>
      </c>
      <c r="G225" s="40"/>
      <c r="H225" s="40">
        <f t="shared" si="45"/>
        <v>23.65</v>
      </c>
      <c r="I225" s="93"/>
      <c r="J225" s="40">
        <f t="shared" si="46"/>
        <v>23.65</v>
      </c>
      <c r="K225" s="255"/>
    </row>
    <row r="226" ht="19.5" customHeight="1">
      <c r="A226" s="246">
        <v>38842.0</v>
      </c>
      <c r="B226" s="49" t="s">
        <v>614</v>
      </c>
      <c r="C226" s="46" t="s">
        <v>103</v>
      </c>
      <c r="D226" s="39">
        <v>1.0</v>
      </c>
      <c r="E226" s="41">
        <v>3.65</v>
      </c>
      <c r="F226" s="78">
        <f>(11.75*2+25.3*2)-F221</f>
        <v>54.75</v>
      </c>
      <c r="G226" s="40"/>
      <c r="H226" s="40">
        <f t="shared" si="45"/>
        <v>199.8375</v>
      </c>
      <c r="I226" s="93"/>
      <c r="J226" s="40">
        <f t="shared" si="46"/>
        <v>199.8375</v>
      </c>
      <c r="K226" s="255"/>
    </row>
    <row r="227" ht="19.5" customHeight="1">
      <c r="A227" s="246"/>
      <c r="B227" s="114"/>
      <c r="C227" s="79"/>
      <c r="D227" s="115"/>
      <c r="E227" s="41"/>
      <c r="F227" s="39"/>
      <c r="G227" s="40"/>
      <c r="H227" s="59"/>
      <c r="I227" s="93"/>
      <c r="J227" s="133">
        <f>SUM(J224:J226)</f>
        <v>246.4375</v>
      </c>
      <c r="K227" s="255"/>
    </row>
    <row r="228" ht="19.5" customHeight="1">
      <c r="A228" s="74" t="s">
        <v>1</v>
      </c>
      <c r="B228" s="74" t="s">
        <v>91</v>
      </c>
      <c r="C228" s="74" t="s">
        <v>92</v>
      </c>
      <c r="D228" s="76" t="s">
        <v>93</v>
      </c>
      <c r="E228" s="50" t="s">
        <v>97</v>
      </c>
      <c r="F228" s="53" t="s">
        <v>121</v>
      </c>
      <c r="G228" s="52" t="s">
        <v>632</v>
      </c>
      <c r="H228" s="75" t="s">
        <v>100</v>
      </c>
      <c r="I228" s="75" t="s">
        <v>101</v>
      </c>
      <c r="J228" s="76" t="s">
        <v>95</v>
      </c>
      <c r="K228" s="247" t="s">
        <v>96</v>
      </c>
    </row>
    <row r="229" ht="19.5" customHeight="1">
      <c r="A229" s="292">
        <v>37869.0</v>
      </c>
      <c r="B229" s="49" t="s">
        <v>843</v>
      </c>
      <c r="C229" s="46" t="s">
        <v>103</v>
      </c>
      <c r="D229" s="39">
        <v>3.0</v>
      </c>
      <c r="E229" s="49">
        <v>1.65</v>
      </c>
      <c r="F229" s="39">
        <v>0.8</v>
      </c>
      <c r="G229" s="41"/>
      <c r="H229" s="40">
        <f t="shared" ref="H229:H231" si="47">D229*E229*F229</f>
        <v>3.96</v>
      </c>
      <c r="I229" s="42"/>
      <c r="J229" s="168"/>
      <c r="K229" s="251"/>
    </row>
    <row r="230" ht="19.5" customHeight="1">
      <c r="A230" s="292">
        <v>37869.0</v>
      </c>
      <c r="B230" s="49" t="s">
        <v>844</v>
      </c>
      <c r="C230" s="46" t="s">
        <v>103</v>
      </c>
      <c r="D230" s="39">
        <v>4.0</v>
      </c>
      <c r="E230" s="49">
        <v>2.1</v>
      </c>
      <c r="F230" s="39">
        <v>0.9</v>
      </c>
      <c r="G230" s="41"/>
      <c r="H230" s="40">
        <f t="shared" si="47"/>
        <v>7.56</v>
      </c>
      <c r="I230" s="42"/>
      <c r="J230" s="168"/>
      <c r="K230" s="251"/>
    </row>
    <row r="231" ht="19.5" customHeight="1">
      <c r="A231" s="292">
        <v>37869.0</v>
      </c>
      <c r="B231" s="49" t="s">
        <v>845</v>
      </c>
      <c r="C231" s="46" t="s">
        <v>103</v>
      </c>
      <c r="D231" s="39">
        <v>1.0</v>
      </c>
      <c r="E231" s="49">
        <v>2.1</v>
      </c>
      <c r="F231" s="39">
        <v>0.9</v>
      </c>
      <c r="G231" s="41"/>
      <c r="H231" s="40">
        <f t="shared" si="47"/>
        <v>1.89</v>
      </c>
      <c r="I231" s="42"/>
      <c r="J231" s="64">
        <f>SUM(H229:H231)</f>
        <v>13.41</v>
      </c>
      <c r="K231" s="251"/>
    </row>
    <row r="232" ht="19.5" customHeight="1">
      <c r="A232" s="292">
        <v>38235.0</v>
      </c>
      <c r="B232" s="49" t="s">
        <v>846</v>
      </c>
      <c r="C232" s="38" t="s">
        <v>92</v>
      </c>
      <c r="D232" s="39">
        <v>5.0</v>
      </c>
      <c r="E232" s="49"/>
      <c r="F232" s="39"/>
      <c r="G232" s="41"/>
      <c r="H232" s="40"/>
      <c r="I232" s="42"/>
      <c r="J232" s="64">
        <f t="shared" ref="J232:J233" si="48">D232</f>
        <v>5</v>
      </c>
      <c r="K232" s="251"/>
    </row>
    <row r="233" ht="19.5" customHeight="1">
      <c r="A233" s="292">
        <v>38600.0</v>
      </c>
      <c r="B233" s="49" t="s">
        <v>847</v>
      </c>
      <c r="C233" s="38" t="s">
        <v>92</v>
      </c>
      <c r="D233" s="39">
        <v>1.0</v>
      </c>
      <c r="E233" s="49"/>
      <c r="F233" s="39"/>
      <c r="G233" s="41"/>
      <c r="H233" s="40"/>
      <c r="I233" s="42"/>
      <c r="J233" s="64">
        <f t="shared" si="48"/>
        <v>1</v>
      </c>
      <c r="K233" s="251"/>
    </row>
    <row r="234" ht="19.5" customHeight="1">
      <c r="A234" s="293"/>
      <c r="B234" s="37"/>
      <c r="C234" s="46"/>
      <c r="D234" s="78"/>
      <c r="E234" s="37"/>
      <c r="F234" s="78"/>
      <c r="G234" s="41"/>
      <c r="H234" s="40"/>
      <c r="I234" s="42"/>
      <c r="J234" s="294"/>
      <c r="K234" s="251"/>
    </row>
    <row r="235" ht="19.5" customHeight="1">
      <c r="A235" s="292">
        <v>37139.0</v>
      </c>
      <c r="B235" s="49" t="s">
        <v>848</v>
      </c>
      <c r="C235" s="46" t="s">
        <v>103</v>
      </c>
      <c r="D235" s="39">
        <v>4.0</v>
      </c>
      <c r="E235" s="49">
        <v>0.5</v>
      </c>
      <c r="F235" s="39">
        <v>0.62</v>
      </c>
      <c r="G235" s="41">
        <f t="shared" ref="G235:G237" si="49">(E235+F235)*2</f>
        <v>2.24</v>
      </c>
      <c r="H235" s="40">
        <f t="shared" ref="H235:H237" si="50">D235*E235*F235</f>
        <v>1.24</v>
      </c>
      <c r="I235" s="42"/>
      <c r="J235" s="64">
        <f>H235</f>
        <v>1.24</v>
      </c>
      <c r="K235" s="251"/>
    </row>
    <row r="236" ht="19.5" customHeight="1">
      <c r="A236" s="292">
        <v>37504.0</v>
      </c>
      <c r="B236" s="49" t="s">
        <v>849</v>
      </c>
      <c r="C236" s="46" t="s">
        <v>103</v>
      </c>
      <c r="D236" s="39">
        <v>6.0</v>
      </c>
      <c r="E236" s="49">
        <v>0.5</v>
      </c>
      <c r="F236" s="39">
        <v>2.0</v>
      </c>
      <c r="G236" s="41">
        <f t="shared" si="49"/>
        <v>5</v>
      </c>
      <c r="H236" s="40">
        <f t="shared" si="50"/>
        <v>6</v>
      </c>
      <c r="I236" s="42"/>
      <c r="J236" s="168"/>
      <c r="K236" s="251"/>
    </row>
    <row r="237" ht="19.5" customHeight="1">
      <c r="A237" s="292">
        <v>37504.0</v>
      </c>
      <c r="B237" s="49" t="s">
        <v>850</v>
      </c>
      <c r="C237" s="46" t="s">
        <v>103</v>
      </c>
      <c r="D237" s="39">
        <v>1.0</v>
      </c>
      <c r="E237" s="49">
        <v>1.1</v>
      </c>
      <c r="F237" s="39">
        <v>3.15</v>
      </c>
      <c r="G237" s="41">
        <f t="shared" si="49"/>
        <v>8.5</v>
      </c>
      <c r="H237" s="40">
        <f t="shared" si="50"/>
        <v>3.465</v>
      </c>
      <c r="I237" s="42"/>
      <c r="J237" s="64">
        <f>SUM(H236:H237)</f>
        <v>9.465</v>
      </c>
      <c r="K237" s="251"/>
    </row>
    <row r="238" ht="19.5" customHeight="1">
      <c r="A238" s="293"/>
      <c r="B238" s="37"/>
      <c r="C238" s="46"/>
      <c r="D238" s="78"/>
      <c r="E238" s="37"/>
      <c r="F238" s="78"/>
      <c r="G238" s="40"/>
      <c r="H238" s="40"/>
      <c r="I238" s="42"/>
      <c r="J238" s="168"/>
      <c r="K238" s="251"/>
    </row>
    <row r="239" ht="19.5" customHeight="1">
      <c r="A239" s="292">
        <v>38965.0</v>
      </c>
      <c r="B239" s="114" t="s">
        <v>636</v>
      </c>
      <c r="C239" s="83" t="s">
        <v>108</v>
      </c>
      <c r="D239" s="122"/>
      <c r="E239" s="37"/>
      <c r="F239" s="78"/>
      <c r="G239" s="40">
        <f>SUM(G235:G237)</f>
        <v>15.74</v>
      </c>
      <c r="H239" s="59"/>
      <c r="I239" s="82"/>
      <c r="J239" s="64">
        <f>G239</f>
        <v>15.74</v>
      </c>
      <c r="K239" s="255"/>
    </row>
    <row r="240" ht="19.5" customHeight="1">
      <c r="A240" s="295"/>
      <c r="B240" s="296"/>
      <c r="C240" s="297"/>
      <c r="D240" s="238"/>
      <c r="E240" s="298"/>
      <c r="F240" s="240"/>
      <c r="G240" s="142"/>
      <c r="H240" s="299"/>
      <c r="I240" s="299"/>
      <c r="J240" s="257"/>
      <c r="K240" s="235"/>
      <c r="L240" s="185"/>
      <c r="M240" s="185"/>
      <c r="N240" s="185"/>
      <c r="O240" s="185"/>
      <c r="P240" s="185"/>
      <c r="Q240" s="185"/>
      <c r="R240" s="185"/>
      <c r="S240" s="185"/>
      <c r="T240" s="185"/>
      <c r="U240" s="185"/>
      <c r="V240" s="185"/>
      <c r="W240" s="185"/>
      <c r="X240" s="185"/>
      <c r="Y240" s="185"/>
      <c r="Z240" s="185"/>
    </row>
    <row r="241" ht="19.5" customHeight="1">
      <c r="A241" s="300">
        <v>38781.0</v>
      </c>
      <c r="B241" s="114" t="s">
        <v>851</v>
      </c>
      <c r="C241" s="83"/>
      <c r="D241" s="122"/>
      <c r="E241" s="37"/>
      <c r="F241" s="78"/>
      <c r="G241" s="40"/>
      <c r="H241" s="59"/>
      <c r="I241" s="82"/>
      <c r="J241" s="64">
        <f>SUM(J242:J244)</f>
        <v>24.83</v>
      </c>
      <c r="K241" s="255"/>
    </row>
    <row r="242" ht="19.5" customHeight="1">
      <c r="A242" s="300">
        <v>38416.0</v>
      </c>
      <c r="B242" s="114" t="s">
        <v>231</v>
      </c>
      <c r="C242" s="83" t="s">
        <v>108</v>
      </c>
      <c r="D242" s="39">
        <v>4.0</v>
      </c>
      <c r="E242" s="37"/>
      <c r="F242" s="39">
        <f>0.62+0.4</f>
        <v>1.02</v>
      </c>
      <c r="G242" s="40"/>
      <c r="H242" s="59"/>
      <c r="I242" s="82"/>
      <c r="J242" s="301">
        <f t="shared" ref="J242:J248" si="51">D242*F242</f>
        <v>4.08</v>
      </c>
      <c r="K242" s="255"/>
    </row>
    <row r="243" ht="19.5" customHeight="1">
      <c r="A243" s="300">
        <v>38416.0</v>
      </c>
      <c r="B243" s="114" t="s">
        <v>232</v>
      </c>
      <c r="C243" s="83" t="s">
        <v>108</v>
      </c>
      <c r="D243" s="39">
        <v>6.0</v>
      </c>
      <c r="E243" s="37"/>
      <c r="F243" s="39">
        <f>2+0.8</f>
        <v>2.8</v>
      </c>
      <c r="G243" s="40"/>
      <c r="H243" s="59"/>
      <c r="I243" s="82"/>
      <c r="J243" s="301">
        <f t="shared" si="51"/>
        <v>16.8</v>
      </c>
      <c r="K243" s="255"/>
    </row>
    <row r="244" ht="19.5" customHeight="1">
      <c r="A244" s="300">
        <v>38416.0</v>
      </c>
      <c r="B244" s="114" t="s">
        <v>233</v>
      </c>
      <c r="C244" s="83" t="s">
        <v>108</v>
      </c>
      <c r="D244" s="39">
        <v>1.0</v>
      </c>
      <c r="E244" s="37"/>
      <c r="F244" s="39">
        <f>3.15+0.8</f>
        <v>3.95</v>
      </c>
      <c r="G244" s="40"/>
      <c r="H244" s="59"/>
      <c r="I244" s="82"/>
      <c r="J244" s="301">
        <f t="shared" si="51"/>
        <v>3.95</v>
      </c>
      <c r="K244" s="255"/>
    </row>
    <row r="245" ht="19.5" customHeight="1">
      <c r="A245" s="300">
        <v>38416.0</v>
      </c>
      <c r="B245" s="114" t="s">
        <v>227</v>
      </c>
      <c r="C245" s="83" t="s">
        <v>108</v>
      </c>
      <c r="D245" s="39">
        <v>3.0</v>
      </c>
      <c r="E245" s="37"/>
      <c r="F245" s="39">
        <f>0.8+0.8</f>
        <v>1.6</v>
      </c>
      <c r="G245" s="40"/>
      <c r="H245" s="59"/>
      <c r="I245" s="82"/>
      <c r="J245" s="301">
        <f t="shared" si="51"/>
        <v>4.8</v>
      </c>
      <c r="K245" s="255"/>
    </row>
    <row r="246" ht="19.5" customHeight="1">
      <c r="A246" s="300">
        <v>38416.0</v>
      </c>
      <c r="B246" s="114" t="s">
        <v>852</v>
      </c>
      <c r="C246" s="83" t="s">
        <v>108</v>
      </c>
      <c r="D246" s="39">
        <v>4.0</v>
      </c>
      <c r="E246" s="37"/>
      <c r="F246" s="39">
        <f t="shared" ref="F246:F247" si="52">0.9+0.8</f>
        <v>1.7</v>
      </c>
      <c r="G246" s="40"/>
      <c r="H246" s="59"/>
      <c r="I246" s="82"/>
      <c r="J246" s="301">
        <f t="shared" si="51"/>
        <v>6.8</v>
      </c>
      <c r="K246" s="255"/>
    </row>
    <row r="247" ht="19.5" customHeight="1">
      <c r="A247" s="300">
        <v>38416.0</v>
      </c>
      <c r="B247" s="114" t="s">
        <v>229</v>
      </c>
      <c r="C247" s="83" t="s">
        <v>108</v>
      </c>
      <c r="D247" s="39">
        <v>1.0</v>
      </c>
      <c r="E247" s="37"/>
      <c r="F247" s="39">
        <f t="shared" si="52"/>
        <v>1.7</v>
      </c>
      <c r="G247" s="40"/>
      <c r="H247" s="59"/>
      <c r="I247" s="82"/>
      <c r="J247" s="301">
        <f t="shared" si="51"/>
        <v>1.7</v>
      </c>
      <c r="K247" s="255"/>
    </row>
    <row r="248" ht="19.5" customHeight="1">
      <c r="A248" s="300">
        <v>38416.0</v>
      </c>
      <c r="B248" s="114" t="s">
        <v>230</v>
      </c>
      <c r="C248" s="83" t="s">
        <v>108</v>
      </c>
      <c r="D248" s="39">
        <v>5.0</v>
      </c>
      <c r="E248" s="37"/>
      <c r="F248" s="39">
        <v>2.0</v>
      </c>
      <c r="G248" s="40"/>
      <c r="H248" s="59"/>
      <c r="I248" s="82"/>
      <c r="J248" s="301">
        <f t="shared" si="51"/>
        <v>10</v>
      </c>
      <c r="K248" s="255"/>
    </row>
    <row r="249" ht="19.5" customHeight="1">
      <c r="A249" s="300">
        <v>38416.0</v>
      </c>
      <c r="B249" s="114" t="s">
        <v>228</v>
      </c>
      <c r="C249" s="83" t="s">
        <v>108</v>
      </c>
      <c r="D249" s="39">
        <v>1.0</v>
      </c>
      <c r="E249" s="37"/>
      <c r="F249" s="78">
        <f>0.9+0.8</f>
        <v>1.7</v>
      </c>
      <c r="G249" s="40"/>
      <c r="H249" s="59"/>
      <c r="I249" s="82"/>
      <c r="J249" s="109">
        <f>SUM(J242:J248)</f>
        <v>48.13</v>
      </c>
      <c r="K249" s="255"/>
    </row>
    <row r="250" ht="19.5" customHeight="1">
      <c r="A250" s="74" t="s">
        <v>1</v>
      </c>
      <c r="B250" s="74" t="s">
        <v>91</v>
      </c>
      <c r="C250" s="74" t="s">
        <v>92</v>
      </c>
      <c r="D250" s="76" t="s">
        <v>93</v>
      </c>
      <c r="E250" s="50" t="s">
        <v>161</v>
      </c>
      <c r="F250" s="53" t="s">
        <v>121</v>
      </c>
      <c r="G250" s="53" t="s">
        <v>99</v>
      </c>
      <c r="H250" s="75" t="s">
        <v>100</v>
      </c>
      <c r="I250" s="75" t="s">
        <v>101</v>
      </c>
      <c r="J250" s="76" t="s">
        <v>95</v>
      </c>
      <c r="K250" s="247" t="s">
        <v>96</v>
      </c>
    </row>
    <row r="251" ht="19.5" customHeight="1">
      <c r="A251" s="150">
        <v>1.0</v>
      </c>
      <c r="B251" s="37" t="s">
        <v>162</v>
      </c>
      <c r="C251" s="46" t="s">
        <v>103</v>
      </c>
      <c r="D251" s="78">
        <v>1.0</v>
      </c>
      <c r="E251" s="37">
        <v>2.0</v>
      </c>
      <c r="F251" s="78">
        <v>25.29</v>
      </c>
      <c r="G251" s="40">
        <v>11.75</v>
      </c>
      <c r="H251" s="40">
        <f>(G251+F251)*E251*D251</f>
        <v>74.08</v>
      </c>
      <c r="I251" s="42"/>
      <c r="J251" s="40"/>
      <c r="K251" s="251"/>
    </row>
    <row r="252" ht="19.5" customHeight="1">
      <c r="A252" s="150">
        <v>2.0</v>
      </c>
      <c r="B252" s="37" t="s">
        <v>162</v>
      </c>
      <c r="C252" s="46" t="s">
        <v>103</v>
      </c>
      <c r="D252" s="78"/>
      <c r="E252" s="37"/>
      <c r="F252" s="78"/>
      <c r="G252" s="40"/>
      <c r="H252" s="40"/>
      <c r="I252" s="42"/>
      <c r="J252" s="64">
        <f>SUM(H251:H252)</f>
        <v>74.08</v>
      </c>
      <c r="K252" s="251"/>
    </row>
    <row r="253" ht="19.5" customHeight="1">
      <c r="A253" s="74" t="s">
        <v>1</v>
      </c>
      <c r="B253" s="74" t="s">
        <v>91</v>
      </c>
      <c r="C253" s="74" t="s">
        <v>92</v>
      </c>
      <c r="D253" s="76" t="s">
        <v>93</v>
      </c>
      <c r="E253" s="50" t="s">
        <v>161</v>
      </c>
      <c r="F253" s="53" t="s">
        <v>121</v>
      </c>
      <c r="G253" s="53" t="s">
        <v>99</v>
      </c>
      <c r="H253" s="75" t="s">
        <v>100</v>
      </c>
      <c r="I253" s="75" t="s">
        <v>101</v>
      </c>
      <c r="J253" s="76" t="s">
        <v>95</v>
      </c>
      <c r="K253" s="247" t="s">
        <v>96</v>
      </c>
    </row>
    <row r="254" ht="19.5" customHeight="1">
      <c r="A254" s="126">
        <v>1.0</v>
      </c>
      <c r="B254" s="37" t="s">
        <v>853</v>
      </c>
      <c r="C254" s="46" t="s">
        <v>106</v>
      </c>
      <c r="D254" s="78">
        <v>1.0</v>
      </c>
      <c r="E254" s="37">
        <v>1.0</v>
      </c>
      <c r="F254" s="78"/>
      <c r="G254" s="40">
        <v>1.0</v>
      </c>
      <c r="H254" s="40">
        <f t="shared" ref="H254:H256" si="53">G254*E254*D254</f>
        <v>1</v>
      </c>
      <c r="I254" s="42"/>
      <c r="J254" s="64">
        <f t="shared" ref="J254:J256" si="54">H254</f>
        <v>1</v>
      </c>
      <c r="K254" s="251"/>
    </row>
    <row r="255" ht="19.5" customHeight="1">
      <c r="A255" s="126">
        <v>2.0</v>
      </c>
      <c r="B255" s="37" t="s">
        <v>854</v>
      </c>
      <c r="C255" s="46" t="s">
        <v>106</v>
      </c>
      <c r="D255" s="78">
        <v>4.0</v>
      </c>
      <c r="E255" s="37">
        <v>1.0</v>
      </c>
      <c r="F255" s="78"/>
      <c r="G255" s="40">
        <v>1.0</v>
      </c>
      <c r="H255" s="40">
        <f t="shared" si="53"/>
        <v>4</v>
      </c>
      <c r="I255" s="42"/>
      <c r="J255" s="64">
        <f t="shared" si="54"/>
        <v>4</v>
      </c>
      <c r="K255" s="251"/>
    </row>
    <row r="256" ht="19.5" customHeight="1">
      <c r="A256" s="126">
        <v>3.0</v>
      </c>
      <c r="B256" s="37" t="s">
        <v>376</v>
      </c>
      <c r="C256" s="46" t="s">
        <v>106</v>
      </c>
      <c r="D256" s="78">
        <v>10.0</v>
      </c>
      <c r="E256" s="37">
        <v>1.0</v>
      </c>
      <c r="F256" s="78"/>
      <c r="G256" s="40">
        <v>1.0</v>
      </c>
      <c r="H256" s="40">
        <f t="shared" si="53"/>
        <v>10</v>
      </c>
      <c r="I256" s="42"/>
      <c r="J256" s="64">
        <f t="shared" si="54"/>
        <v>10</v>
      </c>
      <c r="K256" s="255"/>
    </row>
    <row r="257" ht="19.5" customHeight="1">
      <c r="A257" s="74" t="s">
        <v>1</v>
      </c>
      <c r="B257" s="74" t="s">
        <v>91</v>
      </c>
      <c r="C257" s="74" t="s">
        <v>92</v>
      </c>
      <c r="D257" s="76" t="s">
        <v>93</v>
      </c>
      <c r="E257" s="50" t="s">
        <v>97</v>
      </c>
      <c r="F257" s="53" t="s">
        <v>121</v>
      </c>
      <c r="G257" s="53" t="s">
        <v>99</v>
      </c>
      <c r="H257" s="75" t="s">
        <v>100</v>
      </c>
      <c r="I257" s="75" t="s">
        <v>101</v>
      </c>
      <c r="J257" s="76" t="s">
        <v>95</v>
      </c>
      <c r="K257" s="247" t="s">
        <v>96</v>
      </c>
    </row>
    <row r="258" ht="19.5" customHeight="1">
      <c r="A258" s="154" t="s">
        <v>855</v>
      </c>
      <c r="B258" s="37" t="s">
        <v>856</v>
      </c>
      <c r="C258" s="46" t="s">
        <v>103</v>
      </c>
      <c r="D258" s="39">
        <v>2.0</v>
      </c>
      <c r="E258" s="37"/>
      <c r="F258" s="39">
        <v>1.1</v>
      </c>
      <c r="G258" s="41">
        <v>0.6</v>
      </c>
      <c r="H258" s="40">
        <f t="shared" ref="H258:H260" si="55">D258*F258*G258</f>
        <v>1.32</v>
      </c>
      <c r="I258" s="42"/>
      <c r="J258" s="40"/>
      <c r="K258" s="251"/>
    </row>
    <row r="259" ht="19.5" customHeight="1">
      <c r="A259" s="154" t="s">
        <v>855</v>
      </c>
      <c r="B259" s="37" t="s">
        <v>857</v>
      </c>
      <c r="C259" s="46" t="s">
        <v>103</v>
      </c>
      <c r="D259" s="78">
        <v>1.0</v>
      </c>
      <c r="E259" s="37"/>
      <c r="F259" s="39">
        <v>0.55</v>
      </c>
      <c r="G259" s="41">
        <v>0.6</v>
      </c>
      <c r="H259" s="40">
        <f t="shared" si="55"/>
        <v>0.33</v>
      </c>
      <c r="I259" s="42"/>
      <c r="J259" s="40"/>
      <c r="K259" s="251"/>
    </row>
    <row r="260" ht="19.5" customHeight="1">
      <c r="A260" s="154" t="s">
        <v>858</v>
      </c>
      <c r="B260" s="49" t="s">
        <v>640</v>
      </c>
      <c r="C260" s="46" t="s">
        <v>103</v>
      </c>
      <c r="D260" s="39">
        <v>1.0</v>
      </c>
      <c r="E260" s="37"/>
      <c r="F260" s="39">
        <f>1.7+1.15</f>
        <v>2.85</v>
      </c>
      <c r="G260" s="41">
        <v>0.2</v>
      </c>
      <c r="H260" s="40">
        <f t="shared" si="55"/>
        <v>0.57</v>
      </c>
      <c r="I260" s="82"/>
      <c r="J260" s="40"/>
      <c r="K260" s="255"/>
    </row>
    <row r="261" ht="19.5" customHeight="1">
      <c r="A261" s="288"/>
      <c r="B261" s="37"/>
      <c r="C261" s="46"/>
      <c r="D261" s="78"/>
      <c r="E261" s="37"/>
      <c r="F261" s="78"/>
      <c r="G261" s="40"/>
      <c r="H261" s="40"/>
      <c r="I261" s="93"/>
      <c r="J261" s="64">
        <f>SUM(H258:H261)</f>
        <v>2.22</v>
      </c>
      <c r="K261" s="255"/>
    </row>
    <row r="262" ht="19.5" customHeight="1">
      <c r="A262" s="74" t="s">
        <v>1</v>
      </c>
      <c r="B262" s="74" t="s">
        <v>91</v>
      </c>
      <c r="C262" s="74" t="s">
        <v>92</v>
      </c>
      <c r="D262" s="76" t="s">
        <v>93</v>
      </c>
      <c r="E262" s="50" t="s">
        <v>97</v>
      </c>
      <c r="F262" s="53" t="s">
        <v>121</v>
      </c>
      <c r="G262" s="53" t="s">
        <v>99</v>
      </c>
      <c r="H262" s="75" t="s">
        <v>100</v>
      </c>
      <c r="I262" s="75" t="s">
        <v>101</v>
      </c>
      <c r="J262" s="76" t="s">
        <v>95</v>
      </c>
      <c r="K262" s="247" t="s">
        <v>96</v>
      </c>
    </row>
    <row r="263" ht="19.5" customHeight="1">
      <c r="A263" s="154" t="s">
        <v>859</v>
      </c>
      <c r="B263" s="49" t="s">
        <v>860</v>
      </c>
      <c r="C263" s="46" t="s">
        <v>103</v>
      </c>
      <c r="D263" s="39">
        <v>1.0</v>
      </c>
      <c r="E263" s="49">
        <v>2.0</v>
      </c>
      <c r="F263" s="78">
        <f>0.825+1.13+0.04</f>
        <v>1.995</v>
      </c>
      <c r="G263" s="40"/>
      <c r="H263" s="40">
        <f t="shared" ref="H263:H264" si="56">D263*E263*F263</f>
        <v>3.99</v>
      </c>
      <c r="I263" s="42"/>
      <c r="J263" s="109">
        <f>SUM(H263:H264)</f>
        <v>14.41</v>
      </c>
      <c r="K263" s="251"/>
    </row>
    <row r="264" ht="19.5" customHeight="1">
      <c r="A264" s="154" t="s">
        <v>859</v>
      </c>
      <c r="B264" s="49" t="s">
        <v>861</v>
      </c>
      <c r="C264" s="46" t="s">
        <v>103</v>
      </c>
      <c r="D264" s="39">
        <v>1.0</v>
      </c>
      <c r="E264" s="49">
        <v>2.0</v>
      </c>
      <c r="F264" s="78">
        <f>0.45+0.1+0.25+4.41</f>
        <v>5.21</v>
      </c>
      <c r="G264" s="40"/>
      <c r="H264" s="40">
        <f t="shared" si="56"/>
        <v>10.42</v>
      </c>
      <c r="I264" s="42"/>
      <c r="J264" s="32"/>
      <c r="K264" s="251"/>
    </row>
    <row r="265" ht="19.5" hidden="1" customHeight="1">
      <c r="A265" s="74" t="s">
        <v>1</v>
      </c>
      <c r="B265" s="74" t="s">
        <v>91</v>
      </c>
      <c r="C265" s="74" t="s">
        <v>92</v>
      </c>
      <c r="D265" s="76" t="s">
        <v>93</v>
      </c>
      <c r="E265" s="50" t="s">
        <v>161</v>
      </c>
      <c r="F265" s="53"/>
      <c r="G265" s="53"/>
      <c r="H265" s="75" t="s">
        <v>100</v>
      </c>
      <c r="I265" s="75" t="s">
        <v>101</v>
      </c>
      <c r="J265" s="76" t="s">
        <v>95</v>
      </c>
      <c r="K265" s="247" t="s">
        <v>96</v>
      </c>
    </row>
    <row r="266" ht="19.5" hidden="1" customHeight="1">
      <c r="A266" s="150">
        <v>1.0</v>
      </c>
      <c r="B266" s="37" t="s">
        <v>245</v>
      </c>
      <c r="C266" s="46" t="s">
        <v>106</v>
      </c>
      <c r="D266" s="78">
        <v>20.0</v>
      </c>
      <c r="E266" s="37">
        <v>1.0</v>
      </c>
      <c r="F266" s="78"/>
      <c r="G266" s="40"/>
      <c r="H266" s="40">
        <f>E266*D266+6</f>
        <v>26</v>
      </c>
      <c r="I266" s="42"/>
      <c r="J266" s="64">
        <f t="shared" ref="J266:J288" si="57">H266</f>
        <v>26</v>
      </c>
      <c r="K266" s="251"/>
    </row>
    <row r="267" ht="19.5" hidden="1" customHeight="1">
      <c r="A267" s="150">
        <v>2.0</v>
      </c>
      <c r="B267" s="37" t="s">
        <v>862</v>
      </c>
      <c r="C267" s="46" t="s">
        <v>106</v>
      </c>
      <c r="D267" s="78">
        <v>3.0</v>
      </c>
      <c r="E267" s="37">
        <v>9.0</v>
      </c>
      <c r="F267" s="78"/>
      <c r="G267" s="40"/>
      <c r="H267" s="40">
        <f t="shared" ref="H267:H288" si="58">E267*D267</f>
        <v>27</v>
      </c>
      <c r="I267" s="42"/>
      <c r="J267" s="64">
        <f t="shared" si="57"/>
        <v>27</v>
      </c>
      <c r="K267" s="251"/>
    </row>
    <row r="268" ht="19.5" hidden="1" customHeight="1">
      <c r="A268" s="150">
        <v>3.0</v>
      </c>
      <c r="B268" s="37" t="s">
        <v>246</v>
      </c>
      <c r="C268" s="46" t="s">
        <v>106</v>
      </c>
      <c r="D268" s="78">
        <v>1.0</v>
      </c>
      <c r="E268" s="37">
        <v>40.0</v>
      </c>
      <c r="F268" s="78"/>
      <c r="G268" s="40"/>
      <c r="H268" s="40">
        <f t="shared" si="58"/>
        <v>40</v>
      </c>
      <c r="I268" s="42"/>
      <c r="J268" s="64">
        <f t="shared" si="57"/>
        <v>40</v>
      </c>
      <c r="K268" s="251"/>
    </row>
    <row r="269" ht="19.5" hidden="1" customHeight="1">
      <c r="A269" s="150">
        <v>4.0</v>
      </c>
      <c r="B269" s="37" t="s">
        <v>863</v>
      </c>
      <c r="C269" s="46" t="s">
        <v>106</v>
      </c>
      <c r="D269" s="78">
        <v>4.0</v>
      </c>
      <c r="E269" s="37">
        <v>1.0</v>
      </c>
      <c r="F269" s="78"/>
      <c r="G269" s="40"/>
      <c r="H269" s="40">
        <f t="shared" si="58"/>
        <v>4</v>
      </c>
      <c r="I269" s="42"/>
      <c r="J269" s="64">
        <f t="shared" si="57"/>
        <v>4</v>
      </c>
      <c r="K269" s="251"/>
    </row>
    <row r="270" ht="19.5" hidden="1" customHeight="1">
      <c r="A270" s="150">
        <v>5.0</v>
      </c>
      <c r="B270" s="37" t="s">
        <v>247</v>
      </c>
      <c r="C270" s="46" t="s">
        <v>106</v>
      </c>
      <c r="D270" s="78">
        <v>4.0</v>
      </c>
      <c r="E270" s="37">
        <v>1.0</v>
      </c>
      <c r="F270" s="78"/>
      <c r="G270" s="40"/>
      <c r="H270" s="40">
        <f t="shared" si="58"/>
        <v>4</v>
      </c>
      <c r="I270" s="42"/>
      <c r="J270" s="64">
        <f t="shared" si="57"/>
        <v>4</v>
      </c>
      <c r="K270" s="251"/>
    </row>
    <row r="271" ht="19.5" hidden="1" customHeight="1">
      <c r="A271" s="150">
        <v>6.0</v>
      </c>
      <c r="B271" s="37" t="s">
        <v>248</v>
      </c>
      <c r="C271" s="46" t="s">
        <v>106</v>
      </c>
      <c r="D271" s="78">
        <v>4.0</v>
      </c>
      <c r="E271" s="37">
        <v>1.0</v>
      </c>
      <c r="F271" s="78"/>
      <c r="G271" s="40"/>
      <c r="H271" s="40">
        <f t="shared" si="58"/>
        <v>4</v>
      </c>
      <c r="I271" s="42"/>
      <c r="J271" s="64">
        <f t="shared" si="57"/>
        <v>4</v>
      </c>
      <c r="K271" s="251"/>
    </row>
    <row r="272" ht="19.5" hidden="1" customHeight="1">
      <c r="A272" s="150">
        <v>7.0</v>
      </c>
      <c r="B272" s="37" t="s">
        <v>249</v>
      </c>
      <c r="C272" s="46" t="s">
        <v>106</v>
      </c>
      <c r="D272" s="78">
        <v>10.0</v>
      </c>
      <c r="E272" s="37">
        <v>1.0</v>
      </c>
      <c r="F272" s="78"/>
      <c r="G272" s="40"/>
      <c r="H272" s="40">
        <f t="shared" si="58"/>
        <v>10</v>
      </c>
      <c r="I272" s="42"/>
      <c r="J272" s="64">
        <f t="shared" si="57"/>
        <v>10</v>
      </c>
      <c r="K272" s="251"/>
    </row>
    <row r="273" ht="19.5" hidden="1" customHeight="1">
      <c r="A273" s="150">
        <v>8.0</v>
      </c>
      <c r="B273" s="37" t="s">
        <v>250</v>
      </c>
      <c r="C273" s="46" t="s">
        <v>106</v>
      </c>
      <c r="D273" s="123">
        <f>H272+H271+H270+H269+H268</f>
        <v>62</v>
      </c>
      <c r="E273" s="37">
        <v>1.0</v>
      </c>
      <c r="F273" s="40"/>
      <c r="G273" s="40"/>
      <c r="H273" s="40">
        <f t="shared" si="58"/>
        <v>62</v>
      </c>
      <c r="I273" s="40"/>
      <c r="J273" s="64">
        <f t="shared" si="57"/>
        <v>62</v>
      </c>
      <c r="K273" s="251"/>
    </row>
    <row r="274" ht="19.5" hidden="1" customHeight="1">
      <c r="A274" s="150">
        <v>9.0</v>
      </c>
      <c r="B274" s="37" t="s">
        <v>251</v>
      </c>
      <c r="C274" s="46" t="s">
        <v>106</v>
      </c>
      <c r="D274" s="123">
        <f>H267+H266</f>
        <v>53</v>
      </c>
      <c r="E274" s="37">
        <v>1.0</v>
      </c>
      <c r="F274" s="40"/>
      <c r="G274" s="40"/>
      <c r="H274" s="40">
        <f t="shared" si="58"/>
        <v>53</v>
      </c>
      <c r="I274" s="40"/>
      <c r="J274" s="64">
        <f t="shared" si="57"/>
        <v>53</v>
      </c>
      <c r="K274" s="251"/>
    </row>
    <row r="275" ht="19.5" hidden="1" customHeight="1">
      <c r="A275" s="150">
        <v>10.0</v>
      </c>
      <c r="B275" s="37" t="s">
        <v>252</v>
      </c>
      <c r="C275" s="46" t="s">
        <v>108</v>
      </c>
      <c r="D275" s="123">
        <v>800.0</v>
      </c>
      <c r="E275" s="37">
        <v>1.0</v>
      </c>
      <c r="F275" s="40"/>
      <c r="G275" s="40"/>
      <c r="H275" s="40">
        <f t="shared" si="58"/>
        <v>800</v>
      </c>
      <c r="I275" s="40"/>
      <c r="J275" s="64">
        <f t="shared" si="57"/>
        <v>800</v>
      </c>
      <c r="K275" s="251"/>
    </row>
    <row r="276" ht="19.5" hidden="1" customHeight="1">
      <c r="A276" s="150">
        <v>11.0</v>
      </c>
      <c r="B276" s="37" t="s">
        <v>253</v>
      </c>
      <c r="C276" s="46" t="s">
        <v>108</v>
      </c>
      <c r="D276" s="123">
        <v>600.0</v>
      </c>
      <c r="E276" s="37">
        <v>1.0</v>
      </c>
      <c r="F276" s="40"/>
      <c r="G276" s="40"/>
      <c r="H276" s="40">
        <f t="shared" si="58"/>
        <v>600</v>
      </c>
      <c r="I276" s="40"/>
      <c r="J276" s="64">
        <f t="shared" si="57"/>
        <v>600</v>
      </c>
      <c r="K276" s="251"/>
    </row>
    <row r="277" ht="19.5" hidden="1" customHeight="1">
      <c r="A277" s="150">
        <v>12.0</v>
      </c>
      <c r="B277" s="37" t="s">
        <v>254</v>
      </c>
      <c r="C277" s="46" t="s">
        <v>108</v>
      </c>
      <c r="D277" s="123">
        <v>2000.0</v>
      </c>
      <c r="E277" s="37">
        <v>1.0</v>
      </c>
      <c r="F277" s="40"/>
      <c r="G277" s="40"/>
      <c r="H277" s="40">
        <f t="shared" si="58"/>
        <v>2000</v>
      </c>
      <c r="I277" s="40"/>
      <c r="J277" s="64">
        <f t="shared" si="57"/>
        <v>2000</v>
      </c>
      <c r="K277" s="251"/>
    </row>
    <row r="278" ht="19.5" hidden="1" customHeight="1">
      <c r="A278" s="150">
        <f t="shared" ref="A278:A288" si="59">A277+1</f>
        <v>13</v>
      </c>
      <c r="B278" s="37" t="s">
        <v>255</v>
      </c>
      <c r="C278" s="46" t="s">
        <v>108</v>
      </c>
      <c r="D278" s="123">
        <v>200.0</v>
      </c>
      <c r="E278" s="37">
        <v>19.0</v>
      </c>
      <c r="F278" s="40"/>
      <c r="G278" s="40"/>
      <c r="H278" s="40">
        <f t="shared" si="58"/>
        <v>3800</v>
      </c>
      <c r="I278" s="40"/>
      <c r="J278" s="64">
        <f t="shared" si="57"/>
        <v>3800</v>
      </c>
      <c r="K278" s="251"/>
    </row>
    <row r="279" ht="19.5" hidden="1" customHeight="1">
      <c r="A279" s="150">
        <f t="shared" si="59"/>
        <v>14</v>
      </c>
      <c r="B279" s="37" t="s">
        <v>256</v>
      </c>
      <c r="C279" s="46" t="s">
        <v>108</v>
      </c>
      <c r="D279" s="123">
        <v>100.0</v>
      </c>
      <c r="E279" s="37">
        <v>1.0</v>
      </c>
      <c r="F279" s="40"/>
      <c r="G279" s="40"/>
      <c r="H279" s="40">
        <f t="shared" si="58"/>
        <v>100</v>
      </c>
      <c r="I279" s="40"/>
      <c r="J279" s="64">
        <f t="shared" si="57"/>
        <v>100</v>
      </c>
      <c r="K279" s="251"/>
    </row>
    <row r="280" ht="19.5" hidden="1" customHeight="1">
      <c r="A280" s="150">
        <f t="shared" si="59"/>
        <v>15</v>
      </c>
      <c r="B280" s="37" t="s">
        <v>257</v>
      </c>
      <c r="C280" s="46" t="s">
        <v>106</v>
      </c>
      <c r="D280" s="123">
        <v>2.0</v>
      </c>
      <c r="E280" s="37">
        <v>1.0</v>
      </c>
      <c r="F280" s="40"/>
      <c r="G280" s="40"/>
      <c r="H280" s="40">
        <f t="shared" si="58"/>
        <v>2</v>
      </c>
      <c r="I280" s="40"/>
      <c r="J280" s="64">
        <f t="shared" si="57"/>
        <v>2</v>
      </c>
      <c r="K280" s="251"/>
    </row>
    <row r="281" ht="19.5" hidden="1" customHeight="1">
      <c r="A281" s="150">
        <f t="shared" si="59"/>
        <v>16</v>
      </c>
      <c r="B281" s="37" t="s">
        <v>258</v>
      </c>
      <c r="C281" s="46" t="s">
        <v>106</v>
      </c>
      <c r="D281" s="123">
        <v>20.0</v>
      </c>
      <c r="E281" s="37">
        <v>1.0</v>
      </c>
      <c r="F281" s="40"/>
      <c r="G281" s="40"/>
      <c r="H281" s="40">
        <f t="shared" si="58"/>
        <v>20</v>
      </c>
      <c r="I281" s="40"/>
      <c r="J281" s="64">
        <f t="shared" si="57"/>
        <v>20</v>
      </c>
      <c r="K281" s="251"/>
    </row>
    <row r="282" ht="19.5" hidden="1" customHeight="1">
      <c r="A282" s="150">
        <f t="shared" si="59"/>
        <v>17</v>
      </c>
      <c r="B282" s="37" t="s">
        <v>864</v>
      </c>
      <c r="C282" s="46" t="s">
        <v>108</v>
      </c>
      <c r="D282" s="123">
        <v>100.0</v>
      </c>
      <c r="E282" s="37">
        <v>1.0</v>
      </c>
      <c r="F282" s="40"/>
      <c r="G282" s="40"/>
      <c r="H282" s="40">
        <f t="shared" si="58"/>
        <v>100</v>
      </c>
      <c r="I282" s="40"/>
      <c r="J282" s="64">
        <f t="shared" si="57"/>
        <v>100</v>
      </c>
      <c r="K282" s="251"/>
    </row>
    <row r="283" ht="19.5" hidden="1" customHeight="1">
      <c r="A283" s="150">
        <f t="shared" si="59"/>
        <v>18</v>
      </c>
      <c r="B283" s="37" t="s">
        <v>260</v>
      </c>
      <c r="C283" s="46" t="s">
        <v>108</v>
      </c>
      <c r="D283" s="123">
        <v>25.29</v>
      </c>
      <c r="E283" s="37">
        <v>2.0</v>
      </c>
      <c r="F283" s="40"/>
      <c r="G283" s="40"/>
      <c r="H283" s="40">
        <f t="shared" si="58"/>
        <v>50.58</v>
      </c>
      <c r="I283" s="40"/>
      <c r="J283" s="64">
        <f t="shared" si="57"/>
        <v>50.58</v>
      </c>
      <c r="K283" s="251"/>
    </row>
    <row r="284" ht="19.5" hidden="1" customHeight="1">
      <c r="A284" s="150">
        <f t="shared" si="59"/>
        <v>19</v>
      </c>
      <c r="B284" s="37" t="s">
        <v>261</v>
      </c>
      <c r="C284" s="46" t="s">
        <v>106</v>
      </c>
      <c r="D284" s="123">
        <v>4.0</v>
      </c>
      <c r="E284" s="37">
        <v>1.0</v>
      </c>
      <c r="F284" s="40"/>
      <c r="G284" s="40"/>
      <c r="H284" s="40">
        <f t="shared" si="58"/>
        <v>4</v>
      </c>
      <c r="I284" s="40"/>
      <c r="J284" s="64">
        <f t="shared" si="57"/>
        <v>4</v>
      </c>
      <c r="K284" s="251"/>
    </row>
    <row r="285" ht="19.5" hidden="1" customHeight="1">
      <c r="A285" s="150">
        <f t="shared" si="59"/>
        <v>20</v>
      </c>
      <c r="B285" s="37" t="s">
        <v>865</v>
      </c>
      <c r="C285" s="46" t="s">
        <v>106</v>
      </c>
      <c r="D285" s="123">
        <v>50.0</v>
      </c>
      <c r="E285" s="37">
        <v>1.0</v>
      </c>
      <c r="F285" s="40"/>
      <c r="G285" s="40"/>
      <c r="H285" s="40">
        <f t="shared" si="58"/>
        <v>50</v>
      </c>
      <c r="I285" s="40"/>
      <c r="J285" s="64">
        <f t="shared" si="57"/>
        <v>50</v>
      </c>
      <c r="K285" s="302"/>
    </row>
    <row r="286" ht="19.5" hidden="1" customHeight="1">
      <c r="A286" s="150">
        <f t="shared" si="59"/>
        <v>21</v>
      </c>
      <c r="B286" s="37" t="s">
        <v>866</v>
      </c>
      <c r="C286" s="46" t="s">
        <v>106</v>
      </c>
      <c r="D286" s="123">
        <v>4.0</v>
      </c>
      <c r="E286" s="37">
        <v>1.0</v>
      </c>
      <c r="F286" s="40"/>
      <c r="G286" s="40"/>
      <c r="H286" s="40">
        <f t="shared" si="58"/>
        <v>4</v>
      </c>
      <c r="I286" s="40"/>
      <c r="J286" s="64">
        <f t="shared" si="57"/>
        <v>4</v>
      </c>
      <c r="K286" s="302"/>
    </row>
    <row r="287" ht="19.5" hidden="1" customHeight="1">
      <c r="A287" s="150">
        <f t="shared" si="59"/>
        <v>22</v>
      </c>
      <c r="B287" s="37" t="s">
        <v>258</v>
      </c>
      <c r="C287" s="46" t="s">
        <v>106</v>
      </c>
      <c r="D287" s="123">
        <v>4.0</v>
      </c>
      <c r="E287" s="37">
        <v>1.0</v>
      </c>
      <c r="F287" s="40"/>
      <c r="G287" s="40"/>
      <c r="H287" s="40">
        <f t="shared" si="58"/>
        <v>4</v>
      </c>
      <c r="I287" s="40"/>
      <c r="J287" s="64">
        <f t="shared" si="57"/>
        <v>4</v>
      </c>
      <c r="K287" s="302"/>
    </row>
    <row r="288" ht="19.5" hidden="1" customHeight="1">
      <c r="A288" s="150">
        <f t="shared" si="59"/>
        <v>23</v>
      </c>
      <c r="B288" s="37" t="s">
        <v>261</v>
      </c>
      <c r="C288" s="46" t="s">
        <v>106</v>
      </c>
      <c r="D288" s="123">
        <v>4.0</v>
      </c>
      <c r="E288" s="37">
        <v>1.0</v>
      </c>
      <c r="F288" s="40"/>
      <c r="G288" s="40"/>
      <c r="H288" s="40">
        <f t="shared" si="58"/>
        <v>4</v>
      </c>
      <c r="I288" s="40"/>
      <c r="J288" s="64">
        <f t="shared" si="57"/>
        <v>4</v>
      </c>
      <c r="K288" s="302"/>
    </row>
    <row r="289" ht="19.5" hidden="1" customHeight="1">
      <c r="A289" s="74" t="s">
        <v>1</v>
      </c>
      <c r="B289" s="74" t="s">
        <v>91</v>
      </c>
      <c r="C289" s="74" t="s">
        <v>92</v>
      </c>
      <c r="D289" s="76" t="s">
        <v>93</v>
      </c>
      <c r="E289" s="50" t="s">
        <v>161</v>
      </c>
      <c r="F289" s="53" t="s">
        <v>121</v>
      </c>
      <c r="G289" s="53" t="s">
        <v>99</v>
      </c>
      <c r="H289" s="53" t="s">
        <v>100</v>
      </c>
      <c r="I289" s="53" t="s">
        <v>101</v>
      </c>
      <c r="J289" s="76" t="s">
        <v>95</v>
      </c>
      <c r="K289" s="247" t="s">
        <v>96</v>
      </c>
    </row>
    <row r="290" ht="19.5" hidden="1" customHeight="1">
      <c r="A290" s="126">
        <v>1.0</v>
      </c>
      <c r="B290" s="37" t="s">
        <v>262</v>
      </c>
      <c r="C290" s="46" t="s">
        <v>108</v>
      </c>
      <c r="D290" s="78"/>
      <c r="E290" s="37"/>
      <c r="F290" s="78"/>
      <c r="G290" s="40"/>
      <c r="H290" s="40"/>
      <c r="I290" s="42"/>
      <c r="J290" s="64" t="str">
        <f t="shared" ref="J290:J308" si="60">H290</f>
        <v/>
      </c>
      <c r="K290" s="251"/>
    </row>
    <row r="291" ht="19.5" hidden="1" customHeight="1">
      <c r="A291" s="126">
        <f t="shared" ref="A291:A308" si="61">A290+1</f>
        <v>2</v>
      </c>
      <c r="B291" s="37" t="s">
        <v>263</v>
      </c>
      <c r="C291" s="46" t="s">
        <v>108</v>
      </c>
      <c r="D291" s="123"/>
      <c r="E291" s="37"/>
      <c r="F291" s="40"/>
      <c r="G291" s="40"/>
      <c r="H291" s="40"/>
      <c r="I291" s="40"/>
      <c r="J291" s="64" t="str">
        <f t="shared" si="60"/>
        <v/>
      </c>
      <c r="K291" s="251"/>
    </row>
    <row r="292" ht="19.5" hidden="1" customHeight="1">
      <c r="A292" s="126">
        <f t="shared" si="61"/>
        <v>3</v>
      </c>
      <c r="B292" s="37" t="s">
        <v>264</v>
      </c>
      <c r="C292" s="46" t="s">
        <v>108</v>
      </c>
      <c r="D292" s="123"/>
      <c r="E292" s="37"/>
      <c r="F292" s="40"/>
      <c r="G292" s="40"/>
      <c r="H292" s="40"/>
      <c r="I292" s="40"/>
      <c r="J292" s="64" t="str">
        <f t="shared" si="60"/>
        <v/>
      </c>
      <c r="K292" s="251"/>
    </row>
    <row r="293" ht="19.5" hidden="1" customHeight="1">
      <c r="A293" s="126">
        <f t="shared" si="61"/>
        <v>4</v>
      </c>
      <c r="B293" s="37" t="s">
        <v>265</v>
      </c>
      <c r="C293" s="46" t="s">
        <v>106</v>
      </c>
      <c r="D293" s="123"/>
      <c r="E293" s="37"/>
      <c r="F293" s="40"/>
      <c r="G293" s="40"/>
      <c r="H293" s="40"/>
      <c r="I293" s="40"/>
      <c r="J293" s="64" t="str">
        <f t="shared" si="60"/>
        <v/>
      </c>
      <c r="K293" s="251"/>
    </row>
    <row r="294" ht="19.5" hidden="1" customHeight="1">
      <c r="A294" s="126">
        <f t="shared" si="61"/>
        <v>5</v>
      </c>
      <c r="B294" s="37" t="s">
        <v>266</v>
      </c>
      <c r="C294" s="46" t="s">
        <v>106</v>
      </c>
      <c r="D294" s="123"/>
      <c r="E294" s="37"/>
      <c r="F294" s="40"/>
      <c r="G294" s="40"/>
      <c r="H294" s="40"/>
      <c r="I294" s="40"/>
      <c r="J294" s="64" t="str">
        <f t="shared" si="60"/>
        <v/>
      </c>
      <c r="K294" s="251"/>
    </row>
    <row r="295" ht="19.5" hidden="1" customHeight="1">
      <c r="A295" s="126">
        <f t="shared" si="61"/>
        <v>6</v>
      </c>
      <c r="B295" s="37" t="s">
        <v>267</v>
      </c>
      <c r="C295" s="46" t="s">
        <v>106</v>
      </c>
      <c r="D295" s="123"/>
      <c r="E295" s="37"/>
      <c r="F295" s="40"/>
      <c r="G295" s="40"/>
      <c r="H295" s="40"/>
      <c r="I295" s="40"/>
      <c r="J295" s="64" t="str">
        <f t="shared" si="60"/>
        <v/>
      </c>
      <c r="K295" s="251"/>
    </row>
    <row r="296" ht="19.5" hidden="1" customHeight="1">
      <c r="A296" s="126">
        <f t="shared" si="61"/>
        <v>7</v>
      </c>
      <c r="B296" s="37" t="s">
        <v>268</v>
      </c>
      <c r="C296" s="46" t="s">
        <v>106</v>
      </c>
      <c r="D296" s="123"/>
      <c r="E296" s="37"/>
      <c r="F296" s="40"/>
      <c r="G296" s="40"/>
      <c r="H296" s="40"/>
      <c r="I296" s="40"/>
      <c r="J296" s="64" t="str">
        <f t="shared" si="60"/>
        <v/>
      </c>
      <c r="K296" s="251"/>
    </row>
    <row r="297" ht="19.5" hidden="1" customHeight="1">
      <c r="A297" s="126">
        <f t="shared" si="61"/>
        <v>8</v>
      </c>
      <c r="B297" s="37" t="s">
        <v>269</v>
      </c>
      <c r="C297" s="46" t="s">
        <v>106</v>
      </c>
      <c r="D297" s="123"/>
      <c r="E297" s="37"/>
      <c r="F297" s="40"/>
      <c r="G297" s="40"/>
      <c r="H297" s="40"/>
      <c r="I297" s="40"/>
      <c r="J297" s="64" t="str">
        <f t="shared" si="60"/>
        <v/>
      </c>
      <c r="K297" s="251"/>
    </row>
    <row r="298" ht="19.5" hidden="1" customHeight="1">
      <c r="A298" s="126">
        <f t="shared" si="61"/>
        <v>9</v>
      </c>
      <c r="B298" s="37" t="s">
        <v>270</v>
      </c>
      <c r="C298" s="46" t="s">
        <v>106</v>
      </c>
      <c r="D298" s="123"/>
      <c r="E298" s="37"/>
      <c r="F298" s="40"/>
      <c r="G298" s="40"/>
      <c r="H298" s="40"/>
      <c r="I298" s="40"/>
      <c r="J298" s="64" t="str">
        <f t="shared" si="60"/>
        <v/>
      </c>
      <c r="K298" s="251"/>
    </row>
    <row r="299" ht="19.5" hidden="1" customHeight="1">
      <c r="A299" s="126">
        <f t="shared" si="61"/>
        <v>10</v>
      </c>
      <c r="B299" s="37" t="s">
        <v>271</v>
      </c>
      <c r="C299" s="46" t="s">
        <v>106</v>
      </c>
      <c r="D299" s="123"/>
      <c r="E299" s="37"/>
      <c r="F299" s="40"/>
      <c r="G299" s="40"/>
      <c r="H299" s="40"/>
      <c r="I299" s="40"/>
      <c r="J299" s="64" t="str">
        <f t="shared" si="60"/>
        <v/>
      </c>
      <c r="K299" s="251"/>
    </row>
    <row r="300" ht="19.5" hidden="1" customHeight="1">
      <c r="A300" s="126">
        <f t="shared" si="61"/>
        <v>11</v>
      </c>
      <c r="B300" s="37" t="s">
        <v>272</v>
      </c>
      <c r="C300" s="46" t="s">
        <v>106</v>
      </c>
      <c r="D300" s="123"/>
      <c r="E300" s="37"/>
      <c r="F300" s="40"/>
      <c r="G300" s="40"/>
      <c r="H300" s="40"/>
      <c r="I300" s="40"/>
      <c r="J300" s="64" t="str">
        <f t="shared" si="60"/>
        <v/>
      </c>
      <c r="K300" s="251"/>
    </row>
    <row r="301" ht="19.5" hidden="1" customHeight="1">
      <c r="A301" s="126">
        <f t="shared" si="61"/>
        <v>12</v>
      </c>
      <c r="B301" s="37" t="s">
        <v>273</v>
      </c>
      <c r="C301" s="46" t="s">
        <v>106</v>
      </c>
      <c r="D301" s="123"/>
      <c r="E301" s="37"/>
      <c r="F301" s="40"/>
      <c r="G301" s="40"/>
      <c r="H301" s="40"/>
      <c r="I301" s="40"/>
      <c r="J301" s="64" t="str">
        <f t="shared" si="60"/>
        <v/>
      </c>
      <c r="K301" s="251"/>
    </row>
    <row r="302" ht="19.5" hidden="1" customHeight="1">
      <c r="A302" s="126">
        <f t="shared" si="61"/>
        <v>13</v>
      </c>
      <c r="B302" s="37" t="s">
        <v>274</v>
      </c>
      <c r="C302" s="46" t="s">
        <v>106</v>
      </c>
      <c r="D302" s="123"/>
      <c r="E302" s="37"/>
      <c r="F302" s="40"/>
      <c r="G302" s="40"/>
      <c r="H302" s="40"/>
      <c r="I302" s="40"/>
      <c r="J302" s="64" t="str">
        <f t="shared" si="60"/>
        <v/>
      </c>
      <c r="K302" s="251"/>
    </row>
    <row r="303" ht="19.5" hidden="1" customHeight="1">
      <c r="A303" s="126">
        <f t="shared" si="61"/>
        <v>14</v>
      </c>
      <c r="B303" s="37" t="s">
        <v>275</v>
      </c>
      <c r="C303" s="46" t="s">
        <v>106</v>
      </c>
      <c r="D303" s="123"/>
      <c r="E303" s="37"/>
      <c r="F303" s="40"/>
      <c r="G303" s="40"/>
      <c r="H303" s="40"/>
      <c r="I303" s="40"/>
      <c r="J303" s="64" t="str">
        <f t="shared" si="60"/>
        <v/>
      </c>
      <c r="K303" s="251"/>
    </row>
    <row r="304" ht="19.5" hidden="1" customHeight="1">
      <c r="A304" s="126">
        <f t="shared" si="61"/>
        <v>15</v>
      </c>
      <c r="B304" s="37" t="s">
        <v>276</v>
      </c>
      <c r="C304" s="46" t="s">
        <v>106</v>
      </c>
      <c r="D304" s="123"/>
      <c r="E304" s="37"/>
      <c r="F304" s="40"/>
      <c r="G304" s="40"/>
      <c r="H304" s="40"/>
      <c r="I304" s="40"/>
      <c r="J304" s="64" t="str">
        <f t="shared" si="60"/>
        <v/>
      </c>
      <c r="K304" s="251"/>
    </row>
    <row r="305" ht="19.5" hidden="1" customHeight="1">
      <c r="A305" s="126">
        <f t="shared" si="61"/>
        <v>16</v>
      </c>
      <c r="B305" s="37" t="s">
        <v>277</v>
      </c>
      <c r="C305" s="46" t="s">
        <v>106</v>
      </c>
      <c r="D305" s="123"/>
      <c r="E305" s="37"/>
      <c r="F305" s="40"/>
      <c r="G305" s="40"/>
      <c r="H305" s="40"/>
      <c r="I305" s="40"/>
      <c r="J305" s="64" t="str">
        <f t="shared" si="60"/>
        <v/>
      </c>
      <c r="K305" s="251"/>
    </row>
    <row r="306" ht="19.5" hidden="1" customHeight="1">
      <c r="A306" s="126">
        <f t="shared" si="61"/>
        <v>17</v>
      </c>
      <c r="B306" s="37" t="s">
        <v>278</v>
      </c>
      <c r="C306" s="46" t="s">
        <v>106</v>
      </c>
      <c r="D306" s="123"/>
      <c r="E306" s="37"/>
      <c r="F306" s="40"/>
      <c r="G306" s="40"/>
      <c r="H306" s="40"/>
      <c r="I306" s="40"/>
      <c r="J306" s="64" t="str">
        <f t="shared" si="60"/>
        <v/>
      </c>
      <c r="K306" s="251"/>
    </row>
    <row r="307" ht="19.5" hidden="1" customHeight="1">
      <c r="A307" s="126">
        <f t="shared" si="61"/>
        <v>18</v>
      </c>
      <c r="B307" s="37" t="s">
        <v>279</v>
      </c>
      <c r="C307" s="46" t="s">
        <v>106</v>
      </c>
      <c r="D307" s="123"/>
      <c r="E307" s="37"/>
      <c r="F307" s="40"/>
      <c r="G307" s="40"/>
      <c r="H307" s="40"/>
      <c r="I307" s="40"/>
      <c r="J307" s="64" t="str">
        <f t="shared" si="60"/>
        <v/>
      </c>
      <c r="K307" s="251"/>
    </row>
    <row r="308" ht="19.5" hidden="1" customHeight="1">
      <c r="A308" s="126">
        <f t="shared" si="61"/>
        <v>19</v>
      </c>
      <c r="B308" s="37" t="s">
        <v>280</v>
      </c>
      <c r="C308" s="46" t="s">
        <v>106</v>
      </c>
      <c r="D308" s="123"/>
      <c r="E308" s="37"/>
      <c r="F308" s="40"/>
      <c r="G308" s="40"/>
      <c r="H308" s="40"/>
      <c r="I308" s="40"/>
      <c r="J308" s="64" t="str">
        <f t="shared" si="60"/>
        <v/>
      </c>
      <c r="K308" s="251"/>
    </row>
    <row r="309" ht="19.5" customHeight="1">
      <c r="A309" s="74" t="s">
        <v>1</v>
      </c>
      <c r="B309" s="74" t="s">
        <v>91</v>
      </c>
      <c r="C309" s="74" t="s">
        <v>92</v>
      </c>
      <c r="D309" s="76" t="s">
        <v>93</v>
      </c>
      <c r="E309" s="50" t="s">
        <v>97</v>
      </c>
      <c r="F309" s="53" t="s">
        <v>121</v>
      </c>
      <c r="G309" s="53" t="s">
        <v>99</v>
      </c>
      <c r="H309" s="75" t="s">
        <v>100</v>
      </c>
      <c r="I309" s="75" t="s">
        <v>101</v>
      </c>
      <c r="J309" s="76" t="s">
        <v>95</v>
      </c>
      <c r="K309" s="247" t="s">
        <v>96</v>
      </c>
    </row>
    <row r="310" ht="19.5" customHeight="1">
      <c r="A310" s="154" t="s">
        <v>867</v>
      </c>
      <c r="B310" s="49" t="s">
        <v>868</v>
      </c>
      <c r="C310" s="46" t="s">
        <v>106</v>
      </c>
      <c r="D310" s="123"/>
      <c r="E310" s="37"/>
      <c r="F310" s="40"/>
      <c r="G310" s="40"/>
      <c r="H310" s="40"/>
      <c r="I310" s="40"/>
      <c r="J310" s="303">
        <v>4.0</v>
      </c>
      <c r="K310" s="251"/>
    </row>
    <row r="311" ht="19.5" customHeight="1">
      <c r="A311" s="154" t="s">
        <v>869</v>
      </c>
      <c r="B311" s="49" t="s">
        <v>282</v>
      </c>
      <c r="C311" s="46" t="s">
        <v>106</v>
      </c>
      <c r="D311" s="123"/>
      <c r="E311" s="37"/>
      <c r="F311" s="40"/>
      <c r="G311" s="40"/>
      <c r="H311" s="40"/>
      <c r="I311" s="40"/>
      <c r="J311" s="303">
        <v>1.0</v>
      </c>
      <c r="K311" s="251"/>
    </row>
    <row r="312" ht="19.5" customHeight="1">
      <c r="A312" s="154" t="s">
        <v>870</v>
      </c>
      <c r="B312" s="37" t="s">
        <v>284</v>
      </c>
      <c r="C312" s="46" t="s">
        <v>106</v>
      </c>
      <c r="D312" s="123"/>
      <c r="E312" s="37"/>
      <c r="F312" s="40"/>
      <c r="G312" s="40"/>
      <c r="H312" s="40"/>
      <c r="I312" s="40"/>
      <c r="J312" s="303">
        <v>3.0</v>
      </c>
      <c r="K312" s="251"/>
    </row>
    <row r="313" ht="19.5" customHeight="1">
      <c r="A313" s="154" t="s">
        <v>871</v>
      </c>
      <c r="B313" s="37" t="s">
        <v>285</v>
      </c>
      <c r="C313" s="46" t="s">
        <v>106</v>
      </c>
      <c r="D313" s="123"/>
      <c r="E313" s="37"/>
      <c r="F313" s="40"/>
      <c r="G313" s="40"/>
      <c r="H313" s="40"/>
      <c r="I313" s="40"/>
      <c r="J313" s="303">
        <v>1.0</v>
      </c>
      <c r="K313" s="255"/>
    </row>
    <row r="314" ht="19.5" customHeight="1">
      <c r="A314" s="154" t="s">
        <v>872</v>
      </c>
      <c r="B314" s="37" t="s">
        <v>286</v>
      </c>
      <c r="C314" s="46" t="s">
        <v>106</v>
      </c>
      <c r="D314" s="123"/>
      <c r="E314" s="37"/>
      <c r="F314" s="40"/>
      <c r="G314" s="40"/>
      <c r="H314" s="40"/>
      <c r="I314" s="40"/>
      <c r="J314" s="303">
        <v>1.0</v>
      </c>
      <c r="K314" s="255"/>
    </row>
    <row r="315" ht="19.5" hidden="1" customHeight="1">
      <c r="A315" s="74" t="s">
        <v>1</v>
      </c>
      <c r="B315" s="74" t="s">
        <v>91</v>
      </c>
      <c r="C315" s="74" t="s">
        <v>92</v>
      </c>
      <c r="D315" s="76" t="s">
        <v>93</v>
      </c>
      <c r="E315" s="50" t="s">
        <v>161</v>
      </c>
      <c r="F315" s="53" t="s">
        <v>121</v>
      </c>
      <c r="G315" s="53" t="s">
        <v>99</v>
      </c>
      <c r="H315" s="53" t="s">
        <v>100</v>
      </c>
      <c r="I315" s="53" t="s">
        <v>101</v>
      </c>
      <c r="J315" s="76" t="s">
        <v>95</v>
      </c>
      <c r="K315" s="247" t="s">
        <v>96</v>
      </c>
    </row>
    <row r="316" ht="19.5" hidden="1" customHeight="1">
      <c r="A316" s="126">
        <v>1.0</v>
      </c>
      <c r="B316" s="37" t="s">
        <v>287</v>
      </c>
      <c r="C316" s="46" t="s">
        <v>108</v>
      </c>
      <c r="D316" s="78"/>
      <c r="E316" s="37"/>
      <c r="F316" s="78"/>
      <c r="G316" s="40"/>
      <c r="H316" s="40"/>
      <c r="I316" s="42"/>
      <c r="J316" s="64" t="str">
        <f t="shared" ref="J316:J348" si="62">H316</f>
        <v/>
      </c>
      <c r="K316" s="251"/>
    </row>
    <row r="317" ht="19.5" hidden="1" customHeight="1">
      <c r="A317" s="126">
        <f t="shared" ref="A317:A351" si="63">A316+1</f>
        <v>2</v>
      </c>
      <c r="B317" s="37" t="s">
        <v>288</v>
      </c>
      <c r="C317" s="46" t="s">
        <v>108</v>
      </c>
      <c r="D317" s="78"/>
      <c r="E317" s="37"/>
      <c r="F317" s="78"/>
      <c r="G317" s="40"/>
      <c r="H317" s="40"/>
      <c r="I317" s="42"/>
      <c r="J317" s="64" t="str">
        <f t="shared" si="62"/>
        <v/>
      </c>
      <c r="K317" s="251"/>
    </row>
    <row r="318" ht="19.5" hidden="1" customHeight="1">
      <c r="A318" s="126">
        <f t="shared" si="63"/>
        <v>3</v>
      </c>
      <c r="B318" s="37" t="s">
        <v>289</v>
      </c>
      <c r="C318" s="46" t="s">
        <v>108</v>
      </c>
      <c r="D318" s="78"/>
      <c r="E318" s="37"/>
      <c r="F318" s="78"/>
      <c r="G318" s="40"/>
      <c r="H318" s="40"/>
      <c r="I318" s="42"/>
      <c r="J318" s="64" t="str">
        <f t="shared" si="62"/>
        <v/>
      </c>
      <c r="K318" s="251"/>
    </row>
    <row r="319" ht="19.5" hidden="1" customHeight="1">
      <c r="A319" s="126">
        <f t="shared" si="63"/>
        <v>4</v>
      </c>
      <c r="B319" s="37" t="s">
        <v>263</v>
      </c>
      <c r="C319" s="46" t="s">
        <v>108</v>
      </c>
      <c r="D319" s="78"/>
      <c r="E319" s="37"/>
      <c r="F319" s="78"/>
      <c r="G319" s="40"/>
      <c r="H319" s="40"/>
      <c r="I319" s="42"/>
      <c r="J319" s="64" t="str">
        <f t="shared" si="62"/>
        <v/>
      </c>
      <c r="K319" s="251"/>
    </row>
    <row r="320" ht="19.5" hidden="1" customHeight="1">
      <c r="A320" s="126">
        <f t="shared" si="63"/>
        <v>5</v>
      </c>
      <c r="B320" s="37" t="s">
        <v>264</v>
      </c>
      <c r="C320" s="46" t="s">
        <v>108</v>
      </c>
      <c r="D320" s="123"/>
      <c r="E320" s="37"/>
      <c r="F320" s="40"/>
      <c r="G320" s="40"/>
      <c r="H320" s="40"/>
      <c r="I320" s="40"/>
      <c r="J320" s="64" t="str">
        <f t="shared" si="62"/>
        <v/>
      </c>
      <c r="K320" s="251"/>
    </row>
    <row r="321" ht="19.5" hidden="1" customHeight="1">
      <c r="A321" s="126">
        <f t="shared" si="63"/>
        <v>6</v>
      </c>
      <c r="B321" s="37" t="s">
        <v>290</v>
      </c>
      <c r="C321" s="46" t="s">
        <v>108</v>
      </c>
      <c r="D321" s="123"/>
      <c r="E321" s="37"/>
      <c r="F321" s="40"/>
      <c r="G321" s="40"/>
      <c r="H321" s="40"/>
      <c r="I321" s="40"/>
      <c r="J321" s="64" t="str">
        <f t="shared" si="62"/>
        <v/>
      </c>
      <c r="K321" s="251"/>
    </row>
    <row r="322" ht="19.5" hidden="1" customHeight="1">
      <c r="A322" s="126">
        <f t="shared" si="63"/>
        <v>7</v>
      </c>
      <c r="B322" s="37" t="s">
        <v>291</v>
      </c>
      <c r="C322" s="46" t="s">
        <v>108</v>
      </c>
      <c r="D322" s="123"/>
      <c r="E322" s="37"/>
      <c r="F322" s="40"/>
      <c r="G322" s="40"/>
      <c r="H322" s="40"/>
      <c r="I322" s="40"/>
      <c r="J322" s="64" t="str">
        <f t="shared" si="62"/>
        <v/>
      </c>
      <c r="K322" s="251"/>
    </row>
    <row r="323" ht="19.5" hidden="1" customHeight="1">
      <c r="A323" s="126">
        <f t="shared" si="63"/>
        <v>8</v>
      </c>
      <c r="B323" s="37" t="s">
        <v>292</v>
      </c>
      <c r="C323" s="46" t="s">
        <v>106</v>
      </c>
      <c r="D323" s="123"/>
      <c r="E323" s="37"/>
      <c r="F323" s="40"/>
      <c r="G323" s="40"/>
      <c r="H323" s="40"/>
      <c r="I323" s="40"/>
      <c r="J323" s="64" t="str">
        <f t="shared" si="62"/>
        <v/>
      </c>
      <c r="K323" s="251"/>
    </row>
    <row r="324" ht="19.5" hidden="1" customHeight="1">
      <c r="A324" s="126">
        <f t="shared" si="63"/>
        <v>9</v>
      </c>
      <c r="B324" s="37" t="s">
        <v>293</v>
      </c>
      <c r="C324" s="46" t="s">
        <v>106</v>
      </c>
      <c r="D324" s="123"/>
      <c r="E324" s="37"/>
      <c r="F324" s="40"/>
      <c r="G324" s="40"/>
      <c r="H324" s="40"/>
      <c r="I324" s="40"/>
      <c r="J324" s="64" t="str">
        <f t="shared" si="62"/>
        <v/>
      </c>
      <c r="K324" s="251"/>
    </row>
    <row r="325" ht="19.5" hidden="1" customHeight="1">
      <c r="A325" s="126">
        <f t="shared" si="63"/>
        <v>10</v>
      </c>
      <c r="B325" s="37" t="s">
        <v>294</v>
      </c>
      <c r="C325" s="46" t="s">
        <v>106</v>
      </c>
      <c r="D325" s="123"/>
      <c r="E325" s="37"/>
      <c r="F325" s="40"/>
      <c r="G325" s="40"/>
      <c r="H325" s="40"/>
      <c r="I325" s="40"/>
      <c r="J325" s="64" t="str">
        <f t="shared" si="62"/>
        <v/>
      </c>
      <c r="K325" s="251"/>
    </row>
    <row r="326" ht="19.5" hidden="1" customHeight="1">
      <c r="A326" s="126">
        <f t="shared" si="63"/>
        <v>11</v>
      </c>
      <c r="B326" s="37" t="s">
        <v>295</v>
      </c>
      <c r="C326" s="46" t="s">
        <v>106</v>
      </c>
      <c r="D326" s="123"/>
      <c r="E326" s="37"/>
      <c r="F326" s="40"/>
      <c r="G326" s="40"/>
      <c r="H326" s="40"/>
      <c r="I326" s="40"/>
      <c r="J326" s="64" t="str">
        <f t="shared" si="62"/>
        <v/>
      </c>
      <c r="K326" s="251"/>
    </row>
    <row r="327" ht="19.5" hidden="1" customHeight="1">
      <c r="A327" s="126">
        <f t="shared" si="63"/>
        <v>12</v>
      </c>
      <c r="B327" s="37" t="s">
        <v>270</v>
      </c>
      <c r="C327" s="46" t="s">
        <v>106</v>
      </c>
      <c r="D327" s="123"/>
      <c r="E327" s="37"/>
      <c r="F327" s="40"/>
      <c r="G327" s="40"/>
      <c r="H327" s="40"/>
      <c r="I327" s="40"/>
      <c r="J327" s="64" t="str">
        <f t="shared" si="62"/>
        <v/>
      </c>
      <c r="K327" s="251"/>
    </row>
    <row r="328" ht="19.5" hidden="1" customHeight="1">
      <c r="A328" s="126">
        <f t="shared" si="63"/>
        <v>13</v>
      </c>
      <c r="B328" s="37" t="s">
        <v>296</v>
      </c>
      <c r="C328" s="46" t="s">
        <v>106</v>
      </c>
      <c r="D328" s="123"/>
      <c r="E328" s="37"/>
      <c r="F328" s="40"/>
      <c r="G328" s="40"/>
      <c r="H328" s="40"/>
      <c r="I328" s="40"/>
      <c r="J328" s="64" t="str">
        <f t="shared" si="62"/>
        <v/>
      </c>
      <c r="K328" s="251"/>
    </row>
    <row r="329" ht="19.5" hidden="1" customHeight="1">
      <c r="A329" s="126">
        <f t="shared" si="63"/>
        <v>14</v>
      </c>
      <c r="B329" s="37" t="s">
        <v>297</v>
      </c>
      <c r="C329" s="46" t="s">
        <v>106</v>
      </c>
      <c r="D329" s="123"/>
      <c r="E329" s="37"/>
      <c r="F329" s="40"/>
      <c r="G329" s="40"/>
      <c r="H329" s="40"/>
      <c r="I329" s="40"/>
      <c r="J329" s="64" t="str">
        <f t="shared" si="62"/>
        <v/>
      </c>
      <c r="K329" s="251"/>
    </row>
    <row r="330" ht="19.5" hidden="1" customHeight="1">
      <c r="A330" s="126">
        <f t="shared" si="63"/>
        <v>15</v>
      </c>
      <c r="B330" s="37" t="s">
        <v>298</v>
      </c>
      <c r="C330" s="46" t="s">
        <v>106</v>
      </c>
      <c r="D330" s="123"/>
      <c r="E330" s="37"/>
      <c r="F330" s="40"/>
      <c r="G330" s="40"/>
      <c r="H330" s="40"/>
      <c r="I330" s="40"/>
      <c r="J330" s="64" t="str">
        <f t="shared" si="62"/>
        <v/>
      </c>
      <c r="K330" s="251"/>
    </row>
    <row r="331" ht="19.5" hidden="1" customHeight="1">
      <c r="A331" s="126">
        <f t="shared" si="63"/>
        <v>16</v>
      </c>
      <c r="B331" s="37" t="s">
        <v>299</v>
      </c>
      <c r="C331" s="46" t="s">
        <v>106</v>
      </c>
      <c r="D331" s="123"/>
      <c r="E331" s="37"/>
      <c r="F331" s="40"/>
      <c r="G331" s="40"/>
      <c r="H331" s="40"/>
      <c r="I331" s="40"/>
      <c r="J331" s="64" t="str">
        <f t="shared" si="62"/>
        <v/>
      </c>
      <c r="K331" s="251"/>
    </row>
    <row r="332" ht="19.5" hidden="1" customHeight="1">
      <c r="A332" s="126">
        <f t="shared" si="63"/>
        <v>17</v>
      </c>
      <c r="B332" s="37" t="s">
        <v>300</v>
      </c>
      <c r="C332" s="46" t="s">
        <v>106</v>
      </c>
      <c r="D332" s="123"/>
      <c r="E332" s="37"/>
      <c r="F332" s="40"/>
      <c r="G332" s="40"/>
      <c r="H332" s="40"/>
      <c r="I332" s="40"/>
      <c r="J332" s="64" t="str">
        <f t="shared" si="62"/>
        <v/>
      </c>
      <c r="K332" s="251"/>
    </row>
    <row r="333" ht="19.5" hidden="1" customHeight="1">
      <c r="A333" s="126">
        <f t="shared" si="63"/>
        <v>18</v>
      </c>
      <c r="B333" s="37" t="s">
        <v>301</v>
      </c>
      <c r="C333" s="46" t="s">
        <v>106</v>
      </c>
      <c r="D333" s="123"/>
      <c r="E333" s="37"/>
      <c r="F333" s="40"/>
      <c r="G333" s="40"/>
      <c r="H333" s="40"/>
      <c r="I333" s="40"/>
      <c r="J333" s="64" t="str">
        <f t="shared" si="62"/>
        <v/>
      </c>
      <c r="K333" s="251"/>
    </row>
    <row r="334" ht="19.5" hidden="1" customHeight="1">
      <c r="A334" s="126">
        <f t="shared" si="63"/>
        <v>19</v>
      </c>
      <c r="B334" s="37" t="s">
        <v>302</v>
      </c>
      <c r="C334" s="46" t="s">
        <v>106</v>
      </c>
      <c r="D334" s="123"/>
      <c r="E334" s="37"/>
      <c r="F334" s="40"/>
      <c r="G334" s="40"/>
      <c r="H334" s="40"/>
      <c r="I334" s="40"/>
      <c r="J334" s="64" t="str">
        <f t="shared" si="62"/>
        <v/>
      </c>
      <c r="K334" s="251"/>
    </row>
    <row r="335" ht="19.5" hidden="1" customHeight="1">
      <c r="A335" s="126">
        <f t="shared" si="63"/>
        <v>20</v>
      </c>
      <c r="B335" s="37" t="s">
        <v>303</v>
      </c>
      <c r="C335" s="46" t="s">
        <v>106</v>
      </c>
      <c r="D335" s="123"/>
      <c r="E335" s="37"/>
      <c r="F335" s="40"/>
      <c r="G335" s="40"/>
      <c r="H335" s="40"/>
      <c r="I335" s="40"/>
      <c r="J335" s="64" t="str">
        <f t="shared" si="62"/>
        <v/>
      </c>
      <c r="K335" s="251"/>
    </row>
    <row r="336" ht="19.5" hidden="1" customHeight="1">
      <c r="A336" s="126">
        <f t="shared" si="63"/>
        <v>21</v>
      </c>
      <c r="B336" s="37" t="s">
        <v>304</v>
      </c>
      <c r="C336" s="46" t="s">
        <v>106</v>
      </c>
      <c r="D336" s="123"/>
      <c r="E336" s="37"/>
      <c r="F336" s="40"/>
      <c r="G336" s="40"/>
      <c r="H336" s="40"/>
      <c r="I336" s="40"/>
      <c r="J336" s="64" t="str">
        <f t="shared" si="62"/>
        <v/>
      </c>
      <c r="K336" s="251"/>
    </row>
    <row r="337" ht="19.5" hidden="1" customHeight="1">
      <c r="A337" s="126">
        <f t="shared" si="63"/>
        <v>22</v>
      </c>
      <c r="B337" s="37" t="s">
        <v>305</v>
      </c>
      <c r="C337" s="46" t="s">
        <v>106</v>
      </c>
      <c r="D337" s="123"/>
      <c r="E337" s="37"/>
      <c r="F337" s="40"/>
      <c r="G337" s="40"/>
      <c r="H337" s="40"/>
      <c r="I337" s="40"/>
      <c r="J337" s="64" t="str">
        <f t="shared" si="62"/>
        <v/>
      </c>
      <c r="K337" s="251"/>
    </row>
    <row r="338" ht="19.5" hidden="1" customHeight="1">
      <c r="A338" s="126">
        <f t="shared" si="63"/>
        <v>23</v>
      </c>
      <c r="B338" s="37" t="s">
        <v>306</v>
      </c>
      <c r="C338" s="46" t="s">
        <v>106</v>
      </c>
      <c r="D338" s="123"/>
      <c r="E338" s="37"/>
      <c r="F338" s="40"/>
      <c r="G338" s="40"/>
      <c r="H338" s="40"/>
      <c r="I338" s="40"/>
      <c r="J338" s="64" t="str">
        <f t="shared" si="62"/>
        <v/>
      </c>
      <c r="K338" s="251"/>
    </row>
    <row r="339" ht="19.5" hidden="1" customHeight="1">
      <c r="A339" s="126">
        <f t="shared" si="63"/>
        <v>24</v>
      </c>
      <c r="B339" s="37" t="s">
        <v>307</v>
      </c>
      <c r="C339" s="46" t="s">
        <v>106</v>
      </c>
      <c r="D339" s="123"/>
      <c r="E339" s="37"/>
      <c r="F339" s="40"/>
      <c r="G339" s="40"/>
      <c r="H339" s="40"/>
      <c r="I339" s="40"/>
      <c r="J339" s="64" t="str">
        <f t="shared" si="62"/>
        <v/>
      </c>
      <c r="K339" s="251"/>
    </row>
    <row r="340" ht="19.5" hidden="1" customHeight="1">
      <c r="A340" s="126">
        <f t="shared" si="63"/>
        <v>25</v>
      </c>
      <c r="B340" s="37" t="s">
        <v>308</v>
      </c>
      <c r="C340" s="46" t="s">
        <v>106</v>
      </c>
      <c r="D340" s="123"/>
      <c r="E340" s="37"/>
      <c r="F340" s="40"/>
      <c r="G340" s="40"/>
      <c r="H340" s="40"/>
      <c r="I340" s="40"/>
      <c r="J340" s="64" t="str">
        <f t="shared" si="62"/>
        <v/>
      </c>
      <c r="K340" s="251"/>
    </row>
    <row r="341" ht="19.5" hidden="1" customHeight="1">
      <c r="A341" s="126">
        <f t="shared" si="63"/>
        <v>26</v>
      </c>
      <c r="B341" s="37" t="s">
        <v>309</v>
      </c>
      <c r="C341" s="46" t="s">
        <v>106</v>
      </c>
      <c r="D341" s="123"/>
      <c r="E341" s="37"/>
      <c r="F341" s="40"/>
      <c r="G341" s="40"/>
      <c r="H341" s="40"/>
      <c r="I341" s="40"/>
      <c r="J341" s="64" t="str">
        <f t="shared" si="62"/>
        <v/>
      </c>
      <c r="K341" s="251"/>
    </row>
    <row r="342" ht="19.5" hidden="1" customHeight="1">
      <c r="A342" s="126">
        <f t="shared" si="63"/>
        <v>27</v>
      </c>
      <c r="B342" s="37" t="s">
        <v>310</v>
      </c>
      <c r="C342" s="46" t="s">
        <v>106</v>
      </c>
      <c r="D342" s="123"/>
      <c r="E342" s="37"/>
      <c r="F342" s="40"/>
      <c r="G342" s="40"/>
      <c r="H342" s="40"/>
      <c r="I342" s="40"/>
      <c r="J342" s="64" t="str">
        <f t="shared" si="62"/>
        <v/>
      </c>
      <c r="K342" s="251"/>
    </row>
    <row r="343" ht="19.5" hidden="1" customHeight="1">
      <c r="A343" s="126">
        <f t="shared" si="63"/>
        <v>28</v>
      </c>
      <c r="B343" s="37" t="s">
        <v>311</v>
      </c>
      <c r="C343" s="46" t="s">
        <v>106</v>
      </c>
      <c r="D343" s="123"/>
      <c r="E343" s="37"/>
      <c r="F343" s="40"/>
      <c r="G343" s="40"/>
      <c r="H343" s="40"/>
      <c r="I343" s="40"/>
      <c r="J343" s="64" t="str">
        <f t="shared" si="62"/>
        <v/>
      </c>
      <c r="K343" s="251"/>
    </row>
    <row r="344" ht="19.5" hidden="1" customHeight="1">
      <c r="A344" s="126">
        <f t="shared" si="63"/>
        <v>29</v>
      </c>
      <c r="B344" s="37" t="s">
        <v>312</v>
      </c>
      <c r="C344" s="46" t="s">
        <v>106</v>
      </c>
      <c r="D344" s="123"/>
      <c r="E344" s="37"/>
      <c r="F344" s="40"/>
      <c r="G344" s="40"/>
      <c r="H344" s="40"/>
      <c r="I344" s="40"/>
      <c r="J344" s="64" t="str">
        <f t="shared" si="62"/>
        <v/>
      </c>
      <c r="K344" s="251"/>
    </row>
    <row r="345" ht="19.5" hidden="1" customHeight="1">
      <c r="A345" s="126">
        <f t="shared" si="63"/>
        <v>30</v>
      </c>
      <c r="B345" s="37" t="s">
        <v>313</v>
      </c>
      <c r="C345" s="46" t="s">
        <v>106</v>
      </c>
      <c r="D345" s="123"/>
      <c r="E345" s="37"/>
      <c r="F345" s="40"/>
      <c r="G345" s="40"/>
      <c r="H345" s="40"/>
      <c r="I345" s="40"/>
      <c r="J345" s="64" t="str">
        <f t="shared" si="62"/>
        <v/>
      </c>
      <c r="K345" s="251"/>
    </row>
    <row r="346" ht="19.5" hidden="1" customHeight="1">
      <c r="A346" s="126">
        <f t="shared" si="63"/>
        <v>31</v>
      </c>
      <c r="B346" s="37" t="s">
        <v>314</v>
      </c>
      <c r="C346" s="46" t="s">
        <v>106</v>
      </c>
      <c r="D346" s="123"/>
      <c r="E346" s="37"/>
      <c r="F346" s="40"/>
      <c r="G346" s="40"/>
      <c r="H346" s="40"/>
      <c r="I346" s="40"/>
      <c r="J346" s="64" t="str">
        <f t="shared" si="62"/>
        <v/>
      </c>
      <c r="K346" s="251"/>
    </row>
    <row r="347" ht="19.5" hidden="1" customHeight="1">
      <c r="A347" s="126">
        <f t="shared" si="63"/>
        <v>32</v>
      </c>
      <c r="B347" s="37" t="s">
        <v>315</v>
      </c>
      <c r="C347" s="46" t="s">
        <v>106</v>
      </c>
      <c r="D347" s="123"/>
      <c r="E347" s="37"/>
      <c r="F347" s="40"/>
      <c r="G347" s="40"/>
      <c r="H347" s="40"/>
      <c r="I347" s="40"/>
      <c r="J347" s="64" t="str">
        <f t="shared" si="62"/>
        <v/>
      </c>
      <c r="K347" s="251"/>
    </row>
    <row r="348" ht="19.5" hidden="1" customHeight="1">
      <c r="A348" s="126">
        <f t="shared" si="63"/>
        <v>33</v>
      </c>
      <c r="B348" s="37" t="s">
        <v>316</v>
      </c>
      <c r="C348" s="46" t="s">
        <v>106</v>
      </c>
      <c r="D348" s="123"/>
      <c r="E348" s="37"/>
      <c r="F348" s="40"/>
      <c r="G348" s="40"/>
      <c r="H348" s="40"/>
      <c r="I348" s="40"/>
      <c r="J348" s="64" t="str">
        <f t="shared" si="62"/>
        <v/>
      </c>
      <c r="K348" s="251"/>
    </row>
    <row r="349" ht="19.5" hidden="1" customHeight="1">
      <c r="A349" s="126">
        <f t="shared" si="63"/>
        <v>34</v>
      </c>
      <c r="B349" s="37" t="s">
        <v>317</v>
      </c>
      <c r="C349" s="46" t="s">
        <v>106</v>
      </c>
      <c r="D349" s="123"/>
      <c r="E349" s="37"/>
      <c r="F349" s="40"/>
      <c r="G349" s="40"/>
      <c r="H349" s="40"/>
      <c r="I349" s="40"/>
      <c r="J349" s="303">
        <v>5.0</v>
      </c>
      <c r="K349" s="251"/>
    </row>
    <row r="350" ht="19.5" hidden="1" customHeight="1">
      <c r="A350" s="126">
        <f t="shared" si="63"/>
        <v>35</v>
      </c>
      <c r="B350" s="37" t="s">
        <v>318</v>
      </c>
      <c r="C350" s="46" t="s">
        <v>106</v>
      </c>
      <c r="D350" s="123"/>
      <c r="E350" s="37"/>
      <c r="F350" s="40"/>
      <c r="G350" s="40"/>
      <c r="H350" s="40"/>
      <c r="I350" s="40"/>
      <c r="J350" s="64" t="str">
        <f t="shared" ref="J350:J351" si="64">H350</f>
        <v/>
      </c>
      <c r="K350" s="251"/>
    </row>
    <row r="351" ht="19.5" hidden="1" customHeight="1">
      <c r="A351" s="126">
        <f t="shared" si="63"/>
        <v>36</v>
      </c>
      <c r="B351" s="37" t="s">
        <v>319</v>
      </c>
      <c r="C351" s="46" t="s">
        <v>106</v>
      </c>
      <c r="D351" s="123"/>
      <c r="E351" s="37"/>
      <c r="F351" s="40"/>
      <c r="G351" s="40"/>
      <c r="H351" s="40"/>
      <c r="I351" s="40"/>
      <c r="J351" s="64" t="str">
        <f t="shared" si="64"/>
        <v/>
      </c>
      <c r="K351" s="251"/>
    </row>
    <row r="352" ht="19.5" customHeight="1">
      <c r="A352" s="154" t="s">
        <v>873</v>
      </c>
      <c r="B352" s="37" t="s">
        <v>320</v>
      </c>
      <c r="C352" s="46" t="s">
        <v>106</v>
      </c>
      <c r="D352" s="123"/>
      <c r="E352" s="37"/>
      <c r="F352" s="40"/>
      <c r="G352" s="40"/>
      <c r="H352" s="40"/>
      <c r="I352" s="40"/>
      <c r="J352" s="303">
        <v>4.0</v>
      </c>
      <c r="K352" s="251"/>
    </row>
    <row r="353" ht="19.5" customHeight="1">
      <c r="A353" s="154" t="s">
        <v>874</v>
      </c>
      <c r="B353" s="49" t="s">
        <v>875</v>
      </c>
      <c r="C353" s="46" t="s">
        <v>106</v>
      </c>
      <c r="D353" s="123"/>
      <c r="E353" s="37"/>
      <c r="F353" s="40"/>
      <c r="G353" s="40"/>
      <c r="H353" s="40"/>
      <c r="I353" s="40"/>
      <c r="J353" s="303">
        <v>1.0</v>
      </c>
      <c r="K353" s="251"/>
    </row>
    <row r="354" ht="19.5" customHeight="1">
      <c r="A354" s="154" t="s">
        <v>876</v>
      </c>
      <c r="B354" s="37" t="s">
        <v>321</v>
      </c>
      <c r="C354" s="46" t="s">
        <v>106</v>
      </c>
      <c r="D354" s="123"/>
      <c r="E354" s="37"/>
      <c r="F354" s="40"/>
      <c r="G354" s="40"/>
      <c r="H354" s="40"/>
      <c r="I354" s="40"/>
      <c r="J354" s="303">
        <v>5.0</v>
      </c>
      <c r="K354" s="251"/>
    </row>
    <row r="355" ht="19.5" customHeight="1">
      <c r="A355" s="74" t="s">
        <v>1</v>
      </c>
      <c r="B355" s="74" t="s">
        <v>91</v>
      </c>
      <c r="C355" s="74" t="s">
        <v>92</v>
      </c>
      <c r="D355" s="76" t="s">
        <v>93</v>
      </c>
      <c r="E355" s="50" t="s">
        <v>97</v>
      </c>
      <c r="F355" s="53" t="s">
        <v>121</v>
      </c>
      <c r="G355" s="53" t="s">
        <v>99</v>
      </c>
      <c r="H355" s="53" t="s">
        <v>100</v>
      </c>
      <c r="I355" s="53" t="s">
        <v>101</v>
      </c>
      <c r="J355" s="76" t="s">
        <v>95</v>
      </c>
      <c r="K355" s="247" t="s">
        <v>96</v>
      </c>
    </row>
    <row r="356" ht="19.5" customHeight="1">
      <c r="A356" s="154" t="s">
        <v>877</v>
      </c>
      <c r="B356" s="37" t="s">
        <v>326</v>
      </c>
      <c r="C356" s="46" t="s">
        <v>106</v>
      </c>
      <c r="D356" s="39">
        <v>5.0</v>
      </c>
      <c r="E356" s="37"/>
      <c r="F356" s="78"/>
      <c r="G356" s="40"/>
      <c r="H356" s="40">
        <f t="shared" ref="H356:H358" si="65">D356</f>
        <v>5</v>
      </c>
      <c r="I356" s="42"/>
      <c r="J356" s="303">
        <f t="shared" ref="J356:J358" si="66">H356</f>
        <v>5</v>
      </c>
      <c r="K356" s="251"/>
    </row>
    <row r="357" ht="19.5" customHeight="1">
      <c r="A357" s="154" t="s">
        <v>878</v>
      </c>
      <c r="B357" s="37" t="s">
        <v>327</v>
      </c>
      <c r="C357" s="46" t="s">
        <v>106</v>
      </c>
      <c r="D357" s="125">
        <v>5.0</v>
      </c>
      <c r="E357" s="37"/>
      <c r="F357" s="40"/>
      <c r="G357" s="40"/>
      <c r="H357" s="40">
        <f t="shared" si="65"/>
        <v>5</v>
      </c>
      <c r="I357" s="40"/>
      <c r="J357" s="303">
        <f t="shared" si="66"/>
        <v>5</v>
      </c>
      <c r="K357" s="251"/>
    </row>
    <row r="358" ht="19.5" customHeight="1">
      <c r="A358" s="154" t="s">
        <v>879</v>
      </c>
      <c r="B358" s="49" t="s">
        <v>880</v>
      </c>
      <c r="C358" s="46" t="s">
        <v>106</v>
      </c>
      <c r="D358" s="125">
        <v>5.0</v>
      </c>
      <c r="E358" s="37"/>
      <c r="F358" s="40"/>
      <c r="G358" s="40"/>
      <c r="H358" s="40">
        <f t="shared" si="65"/>
        <v>5</v>
      </c>
      <c r="I358" s="40"/>
      <c r="J358" s="303">
        <f t="shared" si="66"/>
        <v>5</v>
      </c>
      <c r="K358" s="251"/>
    </row>
    <row r="359" ht="19.5" customHeight="1">
      <c r="A359" s="154" t="s">
        <v>881</v>
      </c>
      <c r="B359" s="49" t="s">
        <v>882</v>
      </c>
      <c r="C359" s="46" t="s">
        <v>103</v>
      </c>
      <c r="D359" s="123">
        <v>1.0</v>
      </c>
      <c r="E359" s="49">
        <v>0.9</v>
      </c>
      <c r="F359" s="41">
        <v>0.6</v>
      </c>
      <c r="G359" s="40"/>
      <c r="H359" s="40">
        <f t="shared" ref="H359:H361" si="67">D359*E359*F359</f>
        <v>0.54</v>
      </c>
      <c r="I359" s="40"/>
      <c r="J359" s="303">
        <f>SUM(H359:H361)</f>
        <v>3.42</v>
      </c>
      <c r="K359" s="251"/>
    </row>
    <row r="360" ht="19.5" customHeight="1">
      <c r="A360" s="154" t="s">
        <v>881</v>
      </c>
      <c r="B360" s="49" t="s">
        <v>883</v>
      </c>
      <c r="C360" s="46" t="s">
        <v>103</v>
      </c>
      <c r="D360" s="125">
        <v>2.0</v>
      </c>
      <c r="E360" s="49">
        <v>0.9</v>
      </c>
      <c r="F360" s="41">
        <v>1.05</v>
      </c>
      <c r="G360" s="40"/>
      <c r="H360" s="40">
        <f t="shared" si="67"/>
        <v>1.89</v>
      </c>
      <c r="I360" s="40"/>
      <c r="J360" s="303"/>
      <c r="K360" s="251"/>
    </row>
    <row r="361" ht="19.5" customHeight="1">
      <c r="A361" s="154" t="s">
        <v>881</v>
      </c>
      <c r="B361" s="49" t="s">
        <v>884</v>
      </c>
      <c r="C361" s="46" t="s">
        <v>103</v>
      </c>
      <c r="D361" s="125">
        <v>2.0</v>
      </c>
      <c r="E361" s="49">
        <v>0.9</v>
      </c>
      <c r="F361" s="41">
        <v>0.55</v>
      </c>
      <c r="G361" s="40"/>
      <c r="H361" s="40">
        <f t="shared" si="67"/>
        <v>0.99</v>
      </c>
      <c r="I361" s="40"/>
      <c r="J361" s="303"/>
      <c r="K361" s="251"/>
    </row>
    <row r="362" ht="19.5" customHeight="1">
      <c r="A362" s="74" t="s">
        <v>1</v>
      </c>
      <c r="B362" s="74" t="s">
        <v>91</v>
      </c>
      <c r="C362" s="74" t="s">
        <v>92</v>
      </c>
      <c r="D362" s="76" t="s">
        <v>93</v>
      </c>
      <c r="E362" s="50" t="s">
        <v>97</v>
      </c>
      <c r="F362" s="53" t="s">
        <v>121</v>
      </c>
      <c r="G362" s="53" t="s">
        <v>99</v>
      </c>
      <c r="H362" s="53" t="s">
        <v>100</v>
      </c>
      <c r="I362" s="53" t="s">
        <v>101</v>
      </c>
      <c r="J362" s="285" t="s">
        <v>95</v>
      </c>
      <c r="K362" s="247" t="s">
        <v>96</v>
      </c>
    </row>
    <row r="363" ht="19.5" customHeight="1">
      <c r="A363" s="154" t="s">
        <v>885</v>
      </c>
      <c r="B363" s="49" t="s">
        <v>886</v>
      </c>
      <c r="C363" s="38" t="s">
        <v>108</v>
      </c>
      <c r="D363" s="125">
        <v>2.0</v>
      </c>
      <c r="E363" s="49"/>
      <c r="F363" s="41">
        <f>10.6</f>
        <v>10.6</v>
      </c>
      <c r="G363" s="40"/>
      <c r="H363" s="40"/>
      <c r="I363" s="40"/>
      <c r="J363" s="303">
        <f>D363*F363</f>
        <v>21.2</v>
      </c>
      <c r="K363" s="251"/>
    </row>
    <row r="364" ht="19.5" customHeight="1">
      <c r="A364" s="12"/>
      <c r="C364" s="12"/>
      <c r="D364" s="87"/>
      <c r="F364" s="14"/>
      <c r="G364" s="14"/>
      <c r="H364" s="14"/>
      <c r="I364" s="14"/>
      <c r="J364" s="14"/>
      <c r="K364" s="302"/>
    </row>
    <row r="365" ht="19.5" customHeight="1">
      <c r="A365" s="12"/>
      <c r="C365" s="12"/>
      <c r="D365" s="87"/>
      <c r="F365" s="14"/>
      <c r="G365" s="14"/>
      <c r="H365" s="14"/>
      <c r="I365" s="14"/>
      <c r="J365" s="14"/>
      <c r="K365" s="302"/>
    </row>
    <row r="366" ht="19.5" customHeight="1">
      <c r="A366" s="12"/>
      <c r="C366" s="12"/>
      <c r="D366" s="87"/>
      <c r="F366" s="14"/>
      <c r="G366" s="14"/>
      <c r="H366" s="14"/>
      <c r="I366" s="14"/>
      <c r="J366" s="14"/>
      <c r="K366" s="302"/>
    </row>
    <row r="367" ht="19.5" customHeight="1">
      <c r="A367" s="12"/>
      <c r="C367" s="12"/>
      <c r="D367" s="87"/>
      <c r="F367" s="14"/>
      <c r="G367" s="14"/>
      <c r="H367" s="14"/>
      <c r="I367" s="14"/>
      <c r="J367" s="14"/>
      <c r="K367" s="302"/>
    </row>
    <row r="368" ht="19.5" customHeight="1">
      <c r="A368" s="12"/>
      <c r="C368" s="12"/>
      <c r="D368" s="87"/>
      <c r="F368" s="14"/>
      <c r="G368" s="14"/>
      <c r="H368" s="14"/>
      <c r="I368" s="14"/>
      <c r="J368" s="14"/>
      <c r="K368" s="302"/>
    </row>
    <row r="369" ht="19.5" customHeight="1">
      <c r="A369" s="12"/>
      <c r="C369" s="12"/>
      <c r="D369" s="87"/>
      <c r="F369" s="14"/>
      <c r="G369" s="14"/>
      <c r="H369" s="14"/>
      <c r="I369" s="14"/>
      <c r="J369" s="14"/>
      <c r="K369" s="302"/>
    </row>
    <row r="370" ht="19.5" customHeight="1">
      <c r="A370" s="12"/>
      <c r="C370" s="12"/>
      <c r="D370" s="87"/>
      <c r="F370" s="14"/>
      <c r="G370" s="14"/>
      <c r="H370" s="14"/>
      <c r="I370" s="14"/>
      <c r="J370" s="14"/>
      <c r="K370" s="302"/>
    </row>
    <row r="371" ht="19.5" customHeight="1">
      <c r="A371" s="12"/>
      <c r="C371" s="12"/>
      <c r="D371" s="87"/>
      <c r="F371" s="14"/>
      <c r="G371" s="14"/>
      <c r="H371" s="14"/>
      <c r="I371" s="14"/>
      <c r="J371" s="14"/>
      <c r="K371" s="302"/>
    </row>
    <row r="372" ht="19.5" customHeight="1">
      <c r="A372" s="12"/>
      <c r="C372" s="12"/>
      <c r="D372" s="87"/>
      <c r="F372" s="14"/>
      <c r="G372" s="14"/>
      <c r="H372" s="14"/>
      <c r="I372" s="14"/>
      <c r="J372" s="14"/>
      <c r="K372" s="302"/>
    </row>
    <row r="373" ht="19.5" customHeight="1">
      <c r="A373" s="12"/>
      <c r="C373" s="12"/>
      <c r="D373" s="87"/>
      <c r="F373" s="14"/>
      <c r="G373" s="14"/>
      <c r="H373" s="14"/>
      <c r="I373" s="14"/>
      <c r="J373" s="14"/>
      <c r="K373" s="302"/>
    </row>
    <row r="374" ht="19.5" customHeight="1">
      <c r="A374" s="12"/>
      <c r="C374" s="12"/>
      <c r="D374" s="87"/>
      <c r="F374" s="14"/>
      <c r="G374" s="14"/>
      <c r="H374" s="14"/>
      <c r="I374" s="14"/>
      <c r="J374" s="14"/>
      <c r="K374" s="302"/>
    </row>
    <row r="375" ht="19.5" customHeight="1">
      <c r="A375" s="12"/>
      <c r="C375" s="12"/>
      <c r="D375" s="87"/>
      <c r="F375" s="14"/>
      <c r="G375" s="14"/>
      <c r="H375" s="14"/>
      <c r="I375" s="14"/>
      <c r="J375" s="14"/>
      <c r="K375" s="302"/>
    </row>
    <row r="376" ht="19.5" customHeight="1">
      <c r="A376" s="12"/>
      <c r="C376" s="12"/>
      <c r="D376" s="87"/>
      <c r="F376" s="14"/>
      <c r="G376" s="14"/>
      <c r="H376" s="14"/>
      <c r="I376" s="14"/>
      <c r="J376" s="14"/>
      <c r="K376" s="302"/>
    </row>
    <row r="377" ht="19.5" customHeight="1">
      <c r="A377" s="12"/>
      <c r="C377" s="12"/>
      <c r="D377" s="87"/>
      <c r="F377" s="14"/>
      <c r="G377" s="14"/>
      <c r="H377" s="14"/>
      <c r="I377" s="14"/>
      <c r="J377" s="14"/>
      <c r="K377" s="302"/>
    </row>
    <row r="378" ht="19.5" customHeight="1">
      <c r="A378" s="12"/>
      <c r="C378" s="12"/>
      <c r="D378" s="87"/>
      <c r="F378" s="14"/>
      <c r="G378" s="14"/>
      <c r="H378" s="14"/>
      <c r="I378" s="14"/>
      <c r="J378" s="14"/>
      <c r="K378" s="302"/>
    </row>
    <row r="379" ht="19.5" customHeight="1">
      <c r="A379" s="12"/>
      <c r="C379" s="12"/>
      <c r="D379" s="87"/>
      <c r="F379" s="14"/>
      <c r="G379" s="14"/>
      <c r="H379" s="14"/>
      <c r="I379" s="14"/>
      <c r="J379" s="14"/>
      <c r="K379" s="302"/>
    </row>
    <row r="380" ht="19.5" customHeight="1">
      <c r="A380" s="12"/>
      <c r="C380" s="12"/>
      <c r="D380" s="87"/>
      <c r="F380" s="14"/>
      <c r="G380" s="14"/>
      <c r="H380" s="14"/>
      <c r="I380" s="14"/>
      <c r="J380" s="14"/>
      <c r="K380" s="302"/>
    </row>
    <row r="381" ht="19.5" customHeight="1">
      <c r="A381" s="12"/>
      <c r="C381" s="12"/>
      <c r="D381" s="87"/>
      <c r="F381" s="14"/>
      <c r="G381" s="14"/>
      <c r="H381" s="14"/>
      <c r="I381" s="14"/>
      <c r="J381" s="14"/>
      <c r="K381" s="302"/>
    </row>
    <row r="382" ht="19.5" customHeight="1">
      <c r="A382" s="12"/>
      <c r="C382" s="12"/>
      <c r="D382" s="87"/>
      <c r="F382" s="14"/>
      <c r="G382" s="14"/>
      <c r="H382" s="14"/>
      <c r="I382" s="14"/>
      <c r="J382" s="14"/>
      <c r="K382" s="302"/>
    </row>
    <row r="383" ht="19.5" customHeight="1">
      <c r="A383" s="12"/>
      <c r="C383" s="12"/>
      <c r="D383" s="87"/>
      <c r="F383" s="14"/>
      <c r="G383" s="14"/>
      <c r="H383" s="14"/>
      <c r="I383" s="14"/>
      <c r="J383" s="14"/>
      <c r="K383" s="302"/>
    </row>
    <row r="384" ht="19.5" customHeight="1">
      <c r="A384" s="12"/>
      <c r="C384" s="12"/>
      <c r="D384" s="87"/>
      <c r="F384" s="14"/>
      <c r="G384" s="14"/>
      <c r="H384" s="14"/>
      <c r="I384" s="14"/>
      <c r="J384" s="14"/>
      <c r="K384" s="302"/>
    </row>
    <row r="385" ht="19.5" customHeight="1">
      <c r="A385" s="12"/>
      <c r="C385" s="12"/>
      <c r="D385" s="87"/>
      <c r="F385" s="14"/>
      <c r="G385" s="14"/>
      <c r="H385" s="14"/>
      <c r="I385" s="14"/>
      <c r="J385" s="14"/>
      <c r="K385" s="302"/>
    </row>
    <row r="386" ht="19.5" customHeight="1">
      <c r="A386" s="12"/>
      <c r="C386" s="12"/>
      <c r="D386" s="87"/>
      <c r="F386" s="14"/>
      <c r="G386" s="14"/>
      <c r="H386" s="14"/>
      <c r="I386" s="14"/>
      <c r="J386" s="14"/>
      <c r="K386" s="302"/>
    </row>
    <row r="387" ht="19.5" customHeight="1">
      <c r="A387" s="12"/>
      <c r="C387" s="12"/>
      <c r="D387" s="87"/>
      <c r="F387" s="14"/>
      <c r="G387" s="14"/>
      <c r="H387" s="14"/>
      <c r="I387" s="14"/>
      <c r="J387" s="14"/>
      <c r="K387" s="302"/>
    </row>
    <row r="388" ht="19.5" customHeight="1">
      <c r="A388" s="12"/>
      <c r="C388" s="12"/>
      <c r="D388" s="87"/>
      <c r="F388" s="14"/>
      <c r="G388" s="14"/>
      <c r="H388" s="14"/>
      <c r="I388" s="14"/>
      <c r="J388" s="14"/>
      <c r="K388" s="302"/>
    </row>
    <row r="389" ht="19.5" customHeight="1">
      <c r="A389" s="12"/>
      <c r="C389" s="12"/>
      <c r="D389" s="87"/>
      <c r="F389" s="14"/>
      <c r="G389" s="14"/>
      <c r="H389" s="14"/>
      <c r="I389" s="14"/>
      <c r="J389" s="14"/>
      <c r="K389" s="302"/>
    </row>
    <row r="390" ht="19.5" customHeight="1">
      <c r="A390" s="12"/>
      <c r="C390" s="12"/>
      <c r="D390" s="87"/>
      <c r="F390" s="14"/>
      <c r="G390" s="14"/>
      <c r="H390" s="14"/>
      <c r="I390" s="14"/>
      <c r="J390" s="14"/>
      <c r="K390" s="302"/>
    </row>
    <row r="391" ht="19.5" customHeight="1">
      <c r="A391" s="12"/>
      <c r="C391" s="12"/>
      <c r="D391" s="87"/>
      <c r="F391" s="14"/>
      <c r="G391" s="14"/>
      <c r="H391" s="14"/>
      <c r="I391" s="14"/>
      <c r="J391" s="14"/>
      <c r="K391" s="302"/>
    </row>
    <row r="392" ht="19.5" customHeight="1">
      <c r="A392" s="12"/>
      <c r="C392" s="12"/>
      <c r="D392" s="87"/>
      <c r="F392" s="14"/>
      <c r="G392" s="14"/>
      <c r="H392" s="14"/>
      <c r="I392" s="14"/>
      <c r="J392" s="14"/>
      <c r="K392" s="302"/>
    </row>
    <row r="393" ht="19.5" customHeight="1">
      <c r="A393" s="12"/>
      <c r="C393" s="12"/>
      <c r="D393" s="87"/>
      <c r="F393" s="14"/>
      <c r="G393" s="14"/>
      <c r="H393" s="14"/>
      <c r="I393" s="14"/>
      <c r="J393" s="14"/>
      <c r="K393" s="302"/>
    </row>
    <row r="394" ht="19.5" customHeight="1">
      <c r="A394" s="12"/>
      <c r="C394" s="12"/>
      <c r="D394" s="87"/>
      <c r="F394" s="14"/>
      <c r="G394" s="14"/>
      <c r="H394" s="14"/>
      <c r="I394" s="14"/>
      <c r="J394" s="14"/>
      <c r="K394" s="302"/>
    </row>
    <row r="395" ht="19.5" customHeight="1">
      <c r="A395" s="12"/>
      <c r="C395" s="12"/>
      <c r="D395" s="87"/>
      <c r="F395" s="14"/>
      <c r="G395" s="14"/>
      <c r="H395" s="14"/>
      <c r="I395" s="14"/>
      <c r="J395" s="14"/>
      <c r="K395" s="302"/>
    </row>
    <row r="396" ht="19.5" customHeight="1">
      <c r="A396" s="12"/>
      <c r="C396" s="12"/>
      <c r="D396" s="87"/>
      <c r="F396" s="14"/>
      <c r="G396" s="14"/>
      <c r="H396" s="14"/>
      <c r="I396" s="14"/>
      <c r="J396" s="14"/>
      <c r="K396" s="302"/>
    </row>
    <row r="397" ht="19.5" customHeight="1">
      <c r="A397" s="12"/>
      <c r="C397" s="12"/>
      <c r="D397" s="87"/>
      <c r="F397" s="14"/>
      <c r="G397" s="14"/>
      <c r="H397" s="14"/>
      <c r="I397" s="14"/>
      <c r="J397" s="14"/>
      <c r="K397" s="302"/>
    </row>
    <row r="398" ht="19.5" customHeight="1">
      <c r="A398" s="12"/>
      <c r="C398" s="12"/>
      <c r="D398" s="87"/>
      <c r="F398" s="14"/>
      <c r="G398" s="14"/>
      <c r="H398" s="14"/>
      <c r="I398" s="14"/>
      <c r="J398" s="14"/>
      <c r="K398" s="302"/>
    </row>
    <row r="399" ht="19.5" customHeight="1">
      <c r="A399" s="12"/>
      <c r="C399" s="12"/>
      <c r="D399" s="87"/>
      <c r="F399" s="14"/>
      <c r="G399" s="14"/>
      <c r="H399" s="14"/>
      <c r="I399" s="14"/>
      <c r="J399" s="14"/>
      <c r="K399" s="302"/>
    </row>
    <row r="400" ht="19.5" customHeight="1">
      <c r="A400" s="12"/>
      <c r="C400" s="12"/>
      <c r="D400" s="87"/>
      <c r="F400" s="14"/>
      <c r="G400" s="14"/>
      <c r="H400" s="14"/>
      <c r="I400" s="14"/>
      <c r="J400" s="14"/>
      <c r="K400" s="302"/>
    </row>
    <row r="401" ht="19.5" customHeight="1">
      <c r="A401" s="12"/>
      <c r="C401" s="12"/>
      <c r="D401" s="87"/>
      <c r="F401" s="14"/>
      <c r="G401" s="14"/>
      <c r="H401" s="14"/>
      <c r="I401" s="14"/>
      <c r="J401" s="14"/>
      <c r="K401" s="302"/>
    </row>
    <row r="402" ht="19.5" customHeight="1">
      <c r="A402" s="12"/>
      <c r="C402" s="12"/>
      <c r="D402" s="87"/>
      <c r="F402" s="14"/>
      <c r="G402" s="14"/>
      <c r="H402" s="14"/>
      <c r="I402" s="14"/>
      <c r="J402" s="14"/>
      <c r="K402" s="302"/>
    </row>
    <row r="403" ht="19.5" customHeight="1">
      <c r="A403" s="12"/>
      <c r="C403" s="12"/>
      <c r="D403" s="87"/>
      <c r="F403" s="14"/>
      <c r="G403" s="14"/>
      <c r="H403" s="14"/>
      <c r="I403" s="14"/>
      <c r="J403" s="14"/>
      <c r="K403" s="302"/>
    </row>
    <row r="404" ht="19.5" customHeight="1">
      <c r="A404" s="12"/>
      <c r="C404" s="12"/>
      <c r="D404" s="87"/>
      <c r="F404" s="14"/>
      <c r="G404" s="14"/>
      <c r="H404" s="14"/>
      <c r="I404" s="14"/>
      <c r="J404" s="14"/>
      <c r="K404" s="302"/>
    </row>
    <row r="405" ht="19.5" customHeight="1">
      <c r="A405" s="12"/>
      <c r="C405" s="12"/>
      <c r="D405" s="87"/>
      <c r="F405" s="14"/>
      <c r="G405" s="14"/>
      <c r="H405" s="14"/>
      <c r="I405" s="14"/>
      <c r="J405" s="14"/>
      <c r="K405" s="302"/>
    </row>
    <row r="406" ht="19.5" customHeight="1">
      <c r="A406" s="12"/>
      <c r="C406" s="12"/>
      <c r="D406" s="87"/>
      <c r="F406" s="14"/>
      <c r="G406" s="14"/>
      <c r="H406" s="14"/>
      <c r="I406" s="14"/>
      <c r="J406" s="14"/>
      <c r="K406" s="302"/>
    </row>
    <row r="407" ht="19.5" customHeight="1">
      <c r="A407" s="12"/>
      <c r="C407" s="12"/>
      <c r="D407" s="87"/>
      <c r="F407" s="14"/>
      <c r="G407" s="14"/>
      <c r="H407" s="14"/>
      <c r="I407" s="14"/>
      <c r="J407" s="14"/>
      <c r="K407" s="302"/>
    </row>
    <row r="408" ht="19.5" customHeight="1">
      <c r="A408" s="12"/>
      <c r="C408" s="12"/>
      <c r="D408" s="87"/>
      <c r="F408" s="14"/>
      <c r="G408" s="14"/>
      <c r="H408" s="14"/>
      <c r="I408" s="14"/>
      <c r="J408" s="14"/>
      <c r="K408" s="302"/>
    </row>
    <row r="409" ht="19.5" customHeight="1">
      <c r="A409" s="12"/>
      <c r="C409" s="12"/>
      <c r="D409" s="87"/>
      <c r="F409" s="14"/>
      <c r="G409" s="14"/>
      <c r="H409" s="14"/>
      <c r="I409" s="14"/>
      <c r="J409" s="14"/>
      <c r="K409" s="302"/>
    </row>
    <row r="410" ht="19.5" customHeight="1">
      <c r="A410" s="12"/>
      <c r="C410" s="12"/>
      <c r="D410" s="87"/>
      <c r="F410" s="14"/>
      <c r="G410" s="14"/>
      <c r="H410" s="14"/>
      <c r="I410" s="14"/>
      <c r="J410" s="14"/>
      <c r="K410" s="302"/>
    </row>
    <row r="411" ht="19.5" customHeight="1">
      <c r="A411" s="12"/>
      <c r="C411" s="12"/>
      <c r="D411" s="87"/>
      <c r="F411" s="14"/>
      <c r="G411" s="14"/>
      <c r="H411" s="14"/>
      <c r="I411" s="14"/>
      <c r="J411" s="14"/>
      <c r="K411" s="302"/>
    </row>
    <row r="412" ht="19.5" customHeight="1">
      <c r="A412" s="12"/>
      <c r="C412" s="12"/>
      <c r="D412" s="87"/>
      <c r="F412" s="14"/>
      <c r="G412" s="14"/>
      <c r="H412" s="14"/>
      <c r="I412" s="14"/>
      <c r="J412" s="14"/>
      <c r="K412" s="302"/>
    </row>
    <row r="413" ht="19.5" customHeight="1">
      <c r="A413" s="12"/>
      <c r="C413" s="12"/>
      <c r="D413" s="87"/>
      <c r="F413" s="14"/>
      <c r="G413" s="14"/>
      <c r="H413" s="14"/>
      <c r="I413" s="14"/>
      <c r="J413" s="14"/>
      <c r="K413" s="302"/>
    </row>
    <row r="414" ht="19.5" customHeight="1">
      <c r="A414" s="12"/>
      <c r="C414" s="12"/>
      <c r="D414" s="87"/>
      <c r="F414" s="14"/>
      <c r="G414" s="14"/>
      <c r="H414" s="14"/>
      <c r="I414" s="14"/>
      <c r="J414" s="14"/>
      <c r="K414" s="302"/>
    </row>
    <row r="415" ht="19.5" customHeight="1">
      <c r="A415" s="12"/>
      <c r="C415" s="12"/>
      <c r="D415" s="87"/>
      <c r="F415" s="14"/>
      <c r="G415" s="14"/>
      <c r="H415" s="14"/>
      <c r="I415" s="14"/>
      <c r="J415" s="14"/>
      <c r="K415" s="302"/>
    </row>
    <row r="416" ht="19.5" customHeight="1">
      <c r="A416" s="12"/>
      <c r="C416" s="12"/>
      <c r="D416" s="87"/>
      <c r="F416" s="14"/>
      <c r="G416" s="14"/>
      <c r="H416" s="14"/>
      <c r="I416" s="14"/>
      <c r="J416" s="14"/>
      <c r="K416" s="302"/>
    </row>
    <row r="417" ht="19.5" customHeight="1">
      <c r="A417" s="12"/>
      <c r="C417" s="12"/>
      <c r="D417" s="87"/>
      <c r="F417" s="14"/>
      <c r="G417" s="14"/>
      <c r="H417" s="14"/>
      <c r="I417" s="14"/>
      <c r="J417" s="14"/>
      <c r="K417" s="302"/>
    </row>
    <row r="418" ht="19.5" customHeight="1">
      <c r="A418" s="12"/>
      <c r="C418" s="12"/>
      <c r="D418" s="87"/>
      <c r="F418" s="14"/>
      <c r="G418" s="14"/>
      <c r="H418" s="14"/>
      <c r="I418" s="14"/>
      <c r="J418" s="14"/>
      <c r="K418" s="302"/>
    </row>
    <row r="419" ht="19.5" customHeight="1">
      <c r="A419" s="12"/>
      <c r="C419" s="12"/>
      <c r="D419" s="87"/>
      <c r="F419" s="14"/>
      <c r="G419" s="14"/>
      <c r="H419" s="14"/>
      <c r="I419" s="14"/>
      <c r="J419" s="14"/>
      <c r="K419" s="302"/>
    </row>
    <row r="420" ht="19.5" customHeight="1">
      <c r="A420" s="12"/>
      <c r="C420" s="12"/>
      <c r="D420" s="87"/>
      <c r="F420" s="14"/>
      <c r="G420" s="14"/>
      <c r="H420" s="14"/>
      <c r="I420" s="14"/>
      <c r="J420" s="14"/>
      <c r="K420" s="302"/>
    </row>
    <row r="421" ht="19.5" customHeight="1">
      <c r="A421" s="12"/>
      <c r="C421" s="12"/>
      <c r="D421" s="87"/>
      <c r="F421" s="14"/>
      <c r="G421" s="14"/>
      <c r="H421" s="14"/>
      <c r="I421" s="14"/>
      <c r="J421" s="14"/>
      <c r="K421" s="302"/>
    </row>
    <row r="422" ht="19.5" customHeight="1">
      <c r="A422" s="12"/>
      <c r="C422" s="12"/>
      <c r="D422" s="87"/>
      <c r="F422" s="14"/>
      <c r="G422" s="14"/>
      <c r="H422" s="14"/>
      <c r="I422" s="14"/>
      <c r="J422" s="14"/>
      <c r="K422" s="302"/>
    </row>
    <row r="423" ht="19.5" customHeight="1">
      <c r="A423" s="12"/>
      <c r="C423" s="12"/>
      <c r="D423" s="87"/>
      <c r="F423" s="14"/>
      <c r="G423" s="14"/>
      <c r="H423" s="14"/>
      <c r="I423" s="14"/>
      <c r="J423" s="14"/>
      <c r="K423" s="302"/>
    </row>
    <row r="424" ht="19.5" customHeight="1">
      <c r="A424" s="12"/>
      <c r="C424" s="12"/>
      <c r="D424" s="87"/>
      <c r="F424" s="14"/>
      <c r="G424" s="14"/>
      <c r="H424" s="14"/>
      <c r="I424" s="14"/>
      <c r="J424" s="14"/>
      <c r="K424" s="302"/>
    </row>
    <row r="425" ht="19.5" customHeight="1">
      <c r="A425" s="12"/>
      <c r="C425" s="12"/>
      <c r="D425" s="87"/>
      <c r="F425" s="14"/>
      <c r="G425" s="14"/>
      <c r="H425" s="14"/>
      <c r="I425" s="14"/>
      <c r="J425" s="14"/>
      <c r="K425" s="302"/>
    </row>
    <row r="426" ht="19.5" customHeight="1">
      <c r="A426" s="12"/>
      <c r="C426" s="12"/>
      <c r="D426" s="87"/>
      <c r="F426" s="14"/>
      <c r="G426" s="14"/>
      <c r="H426" s="14"/>
      <c r="I426" s="14"/>
      <c r="J426" s="14"/>
      <c r="K426" s="302"/>
    </row>
    <row r="427" ht="19.5" customHeight="1">
      <c r="A427" s="12"/>
      <c r="C427" s="12"/>
      <c r="D427" s="87"/>
      <c r="F427" s="14"/>
      <c r="G427" s="14"/>
      <c r="H427" s="14"/>
      <c r="I427" s="14"/>
      <c r="J427" s="14"/>
      <c r="K427" s="302"/>
    </row>
    <row r="428" ht="19.5" customHeight="1">
      <c r="A428" s="12"/>
      <c r="C428" s="12"/>
      <c r="D428" s="87"/>
      <c r="F428" s="14"/>
      <c r="G428" s="14"/>
      <c r="H428" s="14"/>
      <c r="I428" s="14"/>
      <c r="J428" s="14"/>
      <c r="K428" s="302"/>
    </row>
    <row r="429" ht="19.5" customHeight="1">
      <c r="A429" s="12"/>
      <c r="C429" s="12"/>
      <c r="D429" s="87"/>
      <c r="F429" s="14"/>
      <c r="G429" s="14"/>
      <c r="H429" s="14"/>
      <c r="I429" s="14"/>
      <c r="J429" s="14"/>
      <c r="K429" s="302"/>
    </row>
    <row r="430" ht="19.5" customHeight="1">
      <c r="A430" s="12"/>
      <c r="C430" s="12"/>
      <c r="D430" s="87"/>
      <c r="F430" s="14"/>
      <c r="G430" s="14"/>
      <c r="H430" s="14"/>
      <c r="I430" s="14"/>
      <c r="J430" s="14"/>
      <c r="K430" s="302"/>
    </row>
    <row r="431" ht="19.5" customHeight="1">
      <c r="A431" s="12"/>
      <c r="C431" s="12"/>
      <c r="D431" s="87"/>
      <c r="F431" s="14"/>
      <c r="G431" s="14"/>
      <c r="H431" s="14"/>
      <c r="I431" s="14"/>
      <c r="J431" s="14"/>
      <c r="K431" s="302"/>
    </row>
    <row r="432" ht="19.5" customHeight="1">
      <c r="A432" s="12"/>
      <c r="C432" s="12"/>
      <c r="D432" s="87"/>
      <c r="F432" s="14"/>
      <c r="G432" s="14"/>
      <c r="H432" s="14"/>
      <c r="I432" s="14"/>
      <c r="J432" s="14"/>
      <c r="K432" s="302"/>
    </row>
    <row r="433" ht="19.5" customHeight="1">
      <c r="A433" s="12"/>
      <c r="C433" s="12"/>
      <c r="D433" s="87"/>
      <c r="F433" s="14"/>
      <c r="G433" s="14"/>
      <c r="H433" s="14"/>
      <c r="I433" s="14"/>
      <c r="J433" s="14"/>
      <c r="K433" s="302"/>
    </row>
    <row r="434" ht="19.5" customHeight="1">
      <c r="A434" s="12"/>
      <c r="C434" s="12"/>
      <c r="D434" s="87"/>
      <c r="F434" s="14"/>
      <c r="G434" s="14"/>
      <c r="H434" s="14"/>
      <c r="I434" s="14"/>
      <c r="J434" s="14"/>
      <c r="K434" s="302"/>
    </row>
    <row r="435" ht="19.5" customHeight="1">
      <c r="A435" s="12"/>
      <c r="C435" s="12"/>
      <c r="D435" s="87"/>
      <c r="F435" s="14"/>
      <c r="G435" s="14"/>
      <c r="H435" s="14"/>
      <c r="I435" s="14"/>
      <c r="J435" s="14"/>
      <c r="K435" s="302"/>
    </row>
    <row r="436" ht="19.5" customHeight="1">
      <c r="A436" s="12"/>
      <c r="C436" s="12"/>
      <c r="D436" s="87"/>
      <c r="F436" s="14"/>
      <c r="G436" s="14"/>
      <c r="H436" s="14"/>
      <c r="I436" s="14"/>
      <c r="J436" s="14"/>
      <c r="K436" s="302"/>
    </row>
    <row r="437" ht="19.5" customHeight="1">
      <c r="A437" s="12"/>
      <c r="C437" s="12"/>
      <c r="D437" s="87"/>
      <c r="F437" s="14"/>
      <c r="G437" s="14"/>
      <c r="H437" s="14"/>
      <c r="I437" s="14"/>
      <c r="J437" s="14"/>
      <c r="K437" s="302"/>
    </row>
    <row r="438" ht="19.5" customHeight="1">
      <c r="A438" s="12"/>
      <c r="C438" s="12"/>
      <c r="D438" s="87"/>
      <c r="F438" s="14"/>
      <c r="G438" s="14"/>
      <c r="H438" s="14"/>
      <c r="I438" s="14"/>
      <c r="J438" s="14"/>
      <c r="K438" s="302"/>
    </row>
    <row r="439" ht="19.5" customHeight="1">
      <c r="A439" s="12"/>
      <c r="C439" s="12"/>
      <c r="D439" s="87"/>
      <c r="F439" s="14"/>
      <c r="G439" s="14"/>
      <c r="H439" s="14"/>
      <c r="I439" s="14"/>
      <c r="J439" s="14"/>
      <c r="K439" s="302"/>
    </row>
    <row r="440" ht="19.5" customHeight="1">
      <c r="A440" s="12"/>
      <c r="C440" s="12"/>
      <c r="D440" s="87"/>
      <c r="F440" s="14"/>
      <c r="G440" s="14"/>
      <c r="H440" s="14"/>
      <c r="I440" s="14"/>
      <c r="J440" s="14"/>
      <c r="K440" s="302"/>
    </row>
    <row r="441" ht="19.5" customHeight="1">
      <c r="A441" s="12"/>
      <c r="C441" s="12"/>
      <c r="D441" s="87"/>
      <c r="F441" s="14"/>
      <c r="G441" s="14"/>
      <c r="H441" s="14"/>
      <c r="I441" s="14"/>
      <c r="J441" s="14"/>
      <c r="K441" s="302"/>
    </row>
    <row r="442" ht="19.5" customHeight="1">
      <c r="A442" s="12"/>
      <c r="C442" s="12"/>
      <c r="D442" s="87"/>
      <c r="F442" s="14"/>
      <c r="G442" s="14"/>
      <c r="H442" s="14"/>
      <c r="I442" s="14"/>
      <c r="J442" s="14"/>
      <c r="K442" s="302"/>
    </row>
    <row r="443" ht="19.5" customHeight="1">
      <c r="A443" s="12"/>
      <c r="C443" s="12"/>
      <c r="D443" s="87"/>
      <c r="F443" s="14"/>
      <c r="G443" s="14"/>
      <c r="H443" s="14"/>
      <c r="I443" s="14"/>
      <c r="J443" s="14"/>
      <c r="K443" s="302"/>
    </row>
    <row r="444" ht="19.5" customHeight="1">
      <c r="A444" s="12"/>
      <c r="C444" s="12"/>
      <c r="D444" s="87"/>
      <c r="F444" s="14"/>
      <c r="G444" s="14"/>
      <c r="H444" s="14"/>
      <c r="I444" s="14"/>
      <c r="J444" s="14"/>
      <c r="K444" s="302"/>
    </row>
    <row r="445" ht="19.5" customHeight="1">
      <c r="A445" s="12"/>
      <c r="C445" s="12"/>
      <c r="D445" s="87"/>
      <c r="F445" s="14"/>
      <c r="G445" s="14"/>
      <c r="H445" s="14"/>
      <c r="I445" s="14"/>
      <c r="J445" s="14"/>
      <c r="K445" s="302"/>
    </row>
    <row r="446" ht="19.5" customHeight="1">
      <c r="A446" s="12"/>
      <c r="C446" s="12"/>
      <c r="D446" s="87"/>
      <c r="F446" s="14"/>
      <c r="G446" s="14"/>
      <c r="H446" s="14"/>
      <c r="I446" s="14"/>
      <c r="J446" s="14"/>
      <c r="K446" s="302"/>
    </row>
    <row r="447" ht="19.5" customHeight="1">
      <c r="A447" s="12"/>
      <c r="C447" s="12"/>
      <c r="D447" s="87"/>
      <c r="F447" s="14"/>
      <c r="G447" s="14"/>
      <c r="H447" s="14"/>
      <c r="I447" s="14"/>
      <c r="J447" s="14"/>
      <c r="K447" s="302"/>
    </row>
    <row r="448" ht="19.5" customHeight="1">
      <c r="A448" s="12"/>
      <c r="C448" s="12"/>
      <c r="D448" s="87"/>
      <c r="F448" s="14"/>
      <c r="G448" s="14"/>
      <c r="H448" s="14"/>
      <c r="I448" s="14"/>
      <c r="J448" s="14"/>
      <c r="K448" s="302"/>
    </row>
    <row r="449" ht="19.5" customHeight="1">
      <c r="A449" s="12"/>
      <c r="C449" s="12"/>
      <c r="D449" s="87"/>
      <c r="F449" s="14"/>
      <c r="G449" s="14"/>
      <c r="H449" s="14"/>
      <c r="I449" s="14"/>
      <c r="J449" s="14"/>
      <c r="K449" s="302"/>
    </row>
    <row r="450" ht="19.5" customHeight="1">
      <c r="A450" s="12"/>
      <c r="C450" s="12"/>
      <c r="D450" s="87"/>
      <c r="F450" s="14"/>
      <c r="G450" s="14"/>
      <c r="H450" s="14"/>
      <c r="I450" s="14"/>
      <c r="J450" s="14"/>
      <c r="K450" s="302"/>
    </row>
    <row r="451" ht="19.5" customHeight="1">
      <c r="A451" s="12"/>
      <c r="C451" s="12"/>
      <c r="D451" s="87"/>
      <c r="F451" s="14"/>
      <c r="G451" s="14"/>
      <c r="H451" s="14"/>
      <c r="I451" s="14"/>
      <c r="J451" s="14"/>
      <c r="K451" s="302"/>
    </row>
    <row r="452" ht="19.5" customHeight="1">
      <c r="A452" s="12"/>
      <c r="C452" s="12"/>
      <c r="D452" s="87"/>
      <c r="F452" s="14"/>
      <c r="G452" s="14"/>
      <c r="H452" s="14"/>
      <c r="I452" s="14"/>
      <c r="J452" s="14"/>
      <c r="K452" s="302"/>
    </row>
    <row r="453" ht="19.5" customHeight="1">
      <c r="A453" s="12"/>
      <c r="C453" s="12"/>
      <c r="D453" s="87"/>
      <c r="F453" s="14"/>
      <c r="G453" s="14"/>
      <c r="H453" s="14"/>
      <c r="I453" s="14"/>
      <c r="J453" s="14"/>
      <c r="K453" s="302"/>
    </row>
    <row r="454" ht="19.5" customHeight="1">
      <c r="A454" s="12"/>
      <c r="C454" s="12"/>
      <c r="D454" s="87"/>
      <c r="F454" s="14"/>
      <c r="G454" s="14"/>
      <c r="H454" s="14"/>
      <c r="I454" s="14"/>
      <c r="J454" s="14"/>
      <c r="K454" s="302"/>
    </row>
    <row r="455" ht="19.5" customHeight="1">
      <c r="A455" s="12"/>
      <c r="C455" s="12"/>
      <c r="D455" s="87"/>
      <c r="F455" s="14"/>
      <c r="G455" s="14"/>
      <c r="H455" s="14"/>
      <c r="I455" s="14"/>
      <c r="J455" s="14"/>
      <c r="K455" s="302"/>
    </row>
    <row r="456" ht="19.5" customHeight="1">
      <c r="A456" s="12"/>
      <c r="C456" s="12"/>
      <c r="D456" s="87"/>
      <c r="F456" s="14"/>
      <c r="G456" s="14"/>
      <c r="H456" s="14"/>
      <c r="I456" s="14"/>
      <c r="J456" s="14"/>
      <c r="K456" s="302"/>
    </row>
    <row r="457" ht="19.5" customHeight="1">
      <c r="A457" s="12"/>
      <c r="C457" s="12"/>
      <c r="D457" s="87"/>
      <c r="F457" s="14"/>
      <c r="G457" s="14"/>
      <c r="H457" s="14"/>
      <c r="I457" s="14"/>
      <c r="J457" s="14"/>
      <c r="K457" s="302"/>
    </row>
    <row r="458" ht="19.5" customHeight="1">
      <c r="A458" s="12"/>
      <c r="C458" s="12"/>
      <c r="D458" s="87"/>
      <c r="F458" s="14"/>
      <c r="G458" s="14"/>
      <c r="H458" s="14"/>
      <c r="I458" s="14"/>
      <c r="J458" s="14"/>
      <c r="K458" s="302"/>
    </row>
    <row r="459" ht="19.5" customHeight="1">
      <c r="A459" s="12"/>
      <c r="C459" s="12"/>
      <c r="D459" s="87"/>
      <c r="F459" s="14"/>
      <c r="G459" s="14"/>
      <c r="H459" s="14"/>
      <c r="I459" s="14"/>
      <c r="J459" s="14"/>
      <c r="K459" s="302"/>
    </row>
    <row r="460" ht="19.5" customHeight="1">
      <c r="A460" s="12"/>
      <c r="C460" s="12"/>
      <c r="D460" s="87"/>
      <c r="F460" s="14"/>
      <c r="G460" s="14"/>
      <c r="H460" s="14"/>
      <c r="I460" s="14"/>
      <c r="J460" s="14"/>
      <c r="K460" s="302"/>
    </row>
    <row r="461" ht="19.5" customHeight="1">
      <c r="A461" s="12"/>
      <c r="C461" s="12"/>
      <c r="D461" s="87"/>
      <c r="F461" s="14"/>
      <c r="G461" s="14"/>
      <c r="H461" s="14"/>
      <c r="I461" s="14"/>
      <c r="J461" s="14"/>
      <c r="K461" s="302"/>
    </row>
    <row r="462" ht="19.5" customHeight="1">
      <c r="A462" s="12"/>
      <c r="C462" s="12"/>
      <c r="D462" s="87"/>
      <c r="F462" s="14"/>
      <c r="G462" s="14"/>
      <c r="H462" s="14"/>
      <c r="I462" s="14"/>
      <c r="J462" s="14"/>
      <c r="K462" s="302"/>
    </row>
    <row r="463" ht="19.5" customHeight="1">
      <c r="A463" s="12"/>
      <c r="C463" s="12"/>
      <c r="D463" s="87"/>
      <c r="F463" s="14"/>
      <c r="G463" s="14"/>
      <c r="H463" s="14"/>
      <c r="I463" s="14"/>
      <c r="J463" s="14"/>
      <c r="K463" s="302"/>
    </row>
    <row r="464" ht="19.5" customHeight="1">
      <c r="A464" s="12"/>
      <c r="C464" s="12"/>
      <c r="D464" s="87"/>
      <c r="F464" s="14"/>
      <c r="G464" s="14"/>
      <c r="H464" s="14"/>
      <c r="I464" s="14"/>
      <c r="J464" s="14"/>
      <c r="K464" s="302"/>
    </row>
    <row r="465" ht="19.5" customHeight="1">
      <c r="A465" s="12"/>
      <c r="C465" s="12"/>
      <c r="D465" s="87"/>
      <c r="F465" s="14"/>
      <c r="G465" s="14"/>
      <c r="H465" s="14"/>
      <c r="I465" s="14"/>
      <c r="J465" s="14"/>
      <c r="K465" s="302"/>
    </row>
    <row r="466" ht="19.5" customHeight="1">
      <c r="A466" s="12"/>
      <c r="C466" s="12"/>
      <c r="D466" s="87"/>
      <c r="F466" s="14"/>
      <c r="G466" s="14"/>
      <c r="H466" s="14"/>
      <c r="I466" s="14"/>
      <c r="J466" s="14"/>
      <c r="K466" s="302"/>
    </row>
    <row r="467" ht="19.5" customHeight="1">
      <c r="A467" s="12"/>
      <c r="C467" s="12"/>
      <c r="D467" s="87"/>
      <c r="F467" s="14"/>
      <c r="G467" s="14"/>
      <c r="H467" s="14"/>
      <c r="I467" s="14"/>
      <c r="J467" s="14"/>
      <c r="K467" s="302"/>
    </row>
    <row r="468" ht="19.5" customHeight="1">
      <c r="A468" s="12"/>
      <c r="C468" s="12"/>
      <c r="D468" s="87"/>
      <c r="F468" s="14"/>
      <c r="G468" s="14"/>
      <c r="H468" s="14"/>
      <c r="I468" s="14"/>
      <c r="J468" s="14"/>
      <c r="K468" s="302"/>
    </row>
    <row r="469" ht="19.5" customHeight="1">
      <c r="A469" s="12"/>
      <c r="C469" s="12"/>
      <c r="D469" s="87"/>
      <c r="F469" s="14"/>
      <c r="G469" s="14"/>
      <c r="H469" s="14"/>
      <c r="I469" s="14"/>
      <c r="J469" s="14"/>
      <c r="K469" s="302"/>
    </row>
    <row r="470" ht="19.5" customHeight="1">
      <c r="A470" s="12"/>
      <c r="C470" s="12"/>
      <c r="D470" s="87"/>
      <c r="F470" s="14"/>
      <c r="G470" s="14"/>
      <c r="H470" s="14"/>
      <c r="I470" s="14"/>
      <c r="J470" s="14"/>
      <c r="K470" s="302"/>
    </row>
    <row r="471" ht="19.5" customHeight="1">
      <c r="A471" s="12"/>
      <c r="C471" s="12"/>
      <c r="D471" s="87"/>
      <c r="F471" s="14"/>
      <c r="G471" s="14"/>
      <c r="H471" s="14"/>
      <c r="I471" s="14"/>
      <c r="J471" s="14"/>
      <c r="K471" s="302"/>
    </row>
    <row r="472" ht="19.5" customHeight="1">
      <c r="A472" s="12"/>
      <c r="C472" s="12"/>
      <c r="D472" s="87"/>
      <c r="F472" s="14"/>
      <c r="G472" s="14"/>
      <c r="H472" s="14"/>
      <c r="I472" s="14"/>
      <c r="J472" s="14"/>
      <c r="K472" s="302"/>
    </row>
    <row r="473" ht="19.5" customHeight="1">
      <c r="A473" s="12"/>
      <c r="C473" s="12"/>
      <c r="D473" s="87"/>
      <c r="F473" s="14"/>
      <c r="G473" s="14"/>
      <c r="H473" s="14"/>
      <c r="I473" s="14"/>
      <c r="J473" s="14"/>
      <c r="K473" s="302"/>
    </row>
    <row r="474" ht="19.5" customHeight="1">
      <c r="A474" s="12"/>
      <c r="C474" s="12"/>
      <c r="D474" s="87"/>
      <c r="F474" s="14"/>
      <c r="G474" s="14"/>
      <c r="H474" s="14"/>
      <c r="I474" s="14"/>
      <c r="J474" s="14"/>
      <c r="K474" s="302"/>
    </row>
    <row r="475" ht="19.5" customHeight="1">
      <c r="A475" s="12"/>
      <c r="C475" s="12"/>
      <c r="D475" s="87"/>
      <c r="F475" s="14"/>
      <c r="G475" s="14"/>
      <c r="H475" s="14"/>
      <c r="I475" s="14"/>
      <c r="J475" s="14"/>
      <c r="K475" s="302"/>
    </row>
    <row r="476" ht="19.5" customHeight="1">
      <c r="A476" s="12"/>
      <c r="C476" s="12"/>
      <c r="D476" s="87"/>
      <c r="F476" s="14"/>
      <c r="G476" s="14"/>
      <c r="H476" s="14"/>
      <c r="I476" s="14"/>
      <c r="J476" s="14"/>
      <c r="K476" s="302"/>
    </row>
    <row r="477" ht="19.5" customHeight="1">
      <c r="A477" s="12"/>
      <c r="C477" s="12"/>
      <c r="D477" s="87"/>
      <c r="F477" s="14"/>
      <c r="G477" s="14"/>
      <c r="H477" s="14"/>
      <c r="I477" s="14"/>
      <c r="J477" s="14"/>
      <c r="K477" s="302"/>
    </row>
    <row r="478" ht="19.5" customHeight="1">
      <c r="A478" s="12"/>
      <c r="C478" s="12"/>
      <c r="D478" s="87"/>
      <c r="F478" s="14"/>
      <c r="G478" s="14"/>
      <c r="H478" s="14"/>
      <c r="I478" s="14"/>
      <c r="J478" s="14"/>
      <c r="K478" s="302"/>
    </row>
    <row r="479" ht="19.5" customHeight="1">
      <c r="A479" s="12"/>
      <c r="C479" s="12"/>
      <c r="D479" s="87"/>
      <c r="F479" s="14"/>
      <c r="G479" s="14"/>
      <c r="H479" s="14"/>
      <c r="I479" s="14"/>
      <c r="J479" s="14"/>
      <c r="K479" s="302"/>
    </row>
    <row r="480" ht="19.5" customHeight="1">
      <c r="A480" s="12"/>
      <c r="C480" s="12"/>
      <c r="D480" s="87"/>
      <c r="F480" s="14"/>
      <c r="G480" s="14"/>
      <c r="H480" s="14"/>
      <c r="I480" s="14"/>
      <c r="J480" s="14"/>
      <c r="K480" s="302"/>
    </row>
    <row r="481" ht="19.5" customHeight="1">
      <c r="A481" s="12"/>
      <c r="C481" s="12"/>
      <c r="D481" s="87"/>
      <c r="F481" s="14"/>
      <c r="G481" s="14"/>
      <c r="H481" s="14"/>
      <c r="I481" s="14"/>
      <c r="J481" s="14"/>
      <c r="K481" s="302"/>
    </row>
    <row r="482" ht="19.5" customHeight="1">
      <c r="A482" s="12"/>
      <c r="C482" s="12"/>
      <c r="D482" s="87"/>
      <c r="F482" s="14"/>
      <c r="G482" s="14"/>
      <c r="H482" s="14"/>
      <c r="I482" s="14"/>
      <c r="J482" s="14"/>
      <c r="K482" s="302"/>
    </row>
    <row r="483" ht="19.5" customHeight="1">
      <c r="A483" s="12"/>
      <c r="C483" s="12"/>
      <c r="D483" s="87"/>
      <c r="F483" s="14"/>
      <c r="G483" s="14"/>
      <c r="H483" s="14"/>
      <c r="I483" s="14"/>
      <c r="J483" s="14"/>
      <c r="K483" s="302"/>
    </row>
    <row r="484" ht="19.5" customHeight="1">
      <c r="A484" s="12"/>
      <c r="C484" s="12"/>
      <c r="D484" s="87"/>
      <c r="F484" s="14"/>
      <c r="G484" s="14"/>
      <c r="H484" s="14"/>
      <c r="I484" s="14"/>
      <c r="J484" s="14"/>
      <c r="K484" s="302"/>
    </row>
    <row r="485" ht="19.5" customHeight="1">
      <c r="A485" s="12"/>
      <c r="C485" s="12"/>
      <c r="D485" s="87"/>
      <c r="F485" s="14"/>
      <c r="G485" s="14"/>
      <c r="H485" s="14"/>
      <c r="I485" s="14"/>
      <c r="J485" s="14"/>
      <c r="K485" s="302"/>
    </row>
    <row r="486" ht="19.5" customHeight="1">
      <c r="A486" s="12"/>
      <c r="C486" s="12"/>
      <c r="D486" s="87"/>
      <c r="F486" s="14"/>
      <c r="G486" s="14"/>
      <c r="H486" s="14"/>
      <c r="I486" s="14"/>
      <c r="J486" s="14"/>
      <c r="K486" s="302"/>
    </row>
    <row r="487" ht="19.5" customHeight="1">
      <c r="A487" s="12"/>
      <c r="C487" s="12"/>
      <c r="D487" s="87"/>
      <c r="F487" s="14"/>
      <c r="G487" s="14"/>
      <c r="H487" s="14"/>
      <c r="I487" s="14"/>
      <c r="J487" s="14"/>
      <c r="K487" s="302"/>
    </row>
    <row r="488" ht="19.5" customHeight="1">
      <c r="A488" s="12"/>
      <c r="C488" s="12"/>
      <c r="D488" s="87"/>
      <c r="F488" s="14"/>
      <c r="G488" s="14"/>
      <c r="H488" s="14"/>
      <c r="I488" s="14"/>
      <c r="J488" s="14"/>
      <c r="K488" s="302"/>
    </row>
    <row r="489" ht="19.5" customHeight="1">
      <c r="A489" s="12"/>
      <c r="C489" s="12"/>
      <c r="D489" s="87"/>
      <c r="F489" s="14"/>
      <c r="G489" s="14"/>
      <c r="H489" s="14"/>
      <c r="I489" s="14"/>
      <c r="J489" s="14"/>
      <c r="K489" s="302"/>
    </row>
    <row r="490" ht="19.5" customHeight="1">
      <c r="A490" s="12"/>
      <c r="C490" s="12"/>
      <c r="D490" s="87"/>
      <c r="F490" s="14"/>
      <c r="G490" s="14"/>
      <c r="H490" s="14"/>
      <c r="I490" s="14"/>
      <c r="J490" s="14"/>
      <c r="K490" s="302"/>
    </row>
    <row r="491" ht="19.5" customHeight="1">
      <c r="A491" s="12"/>
      <c r="C491" s="12"/>
      <c r="D491" s="87"/>
      <c r="F491" s="14"/>
      <c r="G491" s="14"/>
      <c r="H491" s="14"/>
      <c r="I491" s="14"/>
      <c r="J491" s="14"/>
      <c r="K491" s="302"/>
    </row>
    <row r="492" ht="19.5" customHeight="1">
      <c r="A492" s="12"/>
      <c r="C492" s="12"/>
      <c r="D492" s="87"/>
      <c r="F492" s="14"/>
      <c r="G492" s="14"/>
      <c r="H492" s="14"/>
      <c r="I492" s="14"/>
      <c r="J492" s="14"/>
      <c r="K492" s="302"/>
    </row>
    <row r="493" ht="19.5" customHeight="1">
      <c r="A493" s="12"/>
      <c r="C493" s="12"/>
      <c r="D493" s="87"/>
      <c r="F493" s="14"/>
      <c r="G493" s="14"/>
      <c r="H493" s="14"/>
      <c r="I493" s="14"/>
      <c r="J493" s="14"/>
      <c r="K493" s="302"/>
    </row>
    <row r="494" ht="19.5" customHeight="1">
      <c r="A494" s="12"/>
      <c r="C494" s="12"/>
      <c r="D494" s="87"/>
      <c r="F494" s="14"/>
      <c r="G494" s="14"/>
      <c r="H494" s="14"/>
      <c r="I494" s="14"/>
      <c r="J494" s="14"/>
      <c r="K494" s="302"/>
    </row>
    <row r="495" ht="19.5" customHeight="1">
      <c r="A495" s="12"/>
      <c r="C495" s="12"/>
      <c r="D495" s="87"/>
      <c r="F495" s="14"/>
      <c r="G495" s="14"/>
      <c r="H495" s="14"/>
      <c r="I495" s="14"/>
      <c r="J495" s="14"/>
      <c r="K495" s="302"/>
    </row>
    <row r="496" ht="19.5" customHeight="1">
      <c r="A496" s="12"/>
      <c r="C496" s="12"/>
      <c r="D496" s="87"/>
      <c r="F496" s="14"/>
      <c r="G496" s="14"/>
      <c r="H496" s="14"/>
      <c r="I496" s="14"/>
      <c r="J496" s="14"/>
      <c r="K496" s="302"/>
    </row>
    <row r="497" ht="19.5" customHeight="1">
      <c r="A497" s="12"/>
      <c r="C497" s="12"/>
      <c r="D497" s="87"/>
      <c r="F497" s="14"/>
      <c r="G497" s="14"/>
      <c r="H497" s="14"/>
      <c r="I497" s="14"/>
      <c r="J497" s="14"/>
      <c r="K497" s="302"/>
    </row>
    <row r="498" ht="19.5" customHeight="1">
      <c r="A498" s="12"/>
      <c r="C498" s="12"/>
      <c r="D498" s="87"/>
      <c r="F498" s="14"/>
      <c r="G498" s="14"/>
      <c r="H498" s="14"/>
      <c r="I498" s="14"/>
      <c r="J498" s="14"/>
      <c r="K498" s="302"/>
    </row>
    <row r="499" ht="19.5" customHeight="1">
      <c r="A499" s="12"/>
      <c r="C499" s="12"/>
      <c r="D499" s="87"/>
      <c r="F499" s="14"/>
      <c r="G499" s="14"/>
      <c r="H499" s="14"/>
      <c r="I499" s="14"/>
      <c r="J499" s="14"/>
      <c r="K499" s="302"/>
    </row>
    <row r="500" ht="19.5" customHeight="1">
      <c r="A500" s="12"/>
      <c r="C500" s="12"/>
      <c r="D500" s="87"/>
      <c r="F500" s="14"/>
      <c r="G500" s="14"/>
      <c r="H500" s="14"/>
      <c r="I500" s="14"/>
      <c r="J500" s="14"/>
      <c r="K500" s="302"/>
    </row>
    <row r="501" ht="19.5" customHeight="1">
      <c r="A501" s="12"/>
      <c r="C501" s="12"/>
      <c r="D501" s="87"/>
      <c r="F501" s="14"/>
      <c r="G501" s="14"/>
      <c r="H501" s="14"/>
      <c r="I501" s="14"/>
      <c r="J501" s="14"/>
      <c r="K501" s="302"/>
    </row>
    <row r="502" ht="19.5" customHeight="1">
      <c r="A502" s="12"/>
      <c r="C502" s="12"/>
      <c r="D502" s="87"/>
      <c r="F502" s="14"/>
      <c r="G502" s="14"/>
      <c r="H502" s="14"/>
      <c r="I502" s="14"/>
      <c r="J502" s="14"/>
      <c r="K502" s="302"/>
    </row>
    <row r="503" ht="19.5" customHeight="1">
      <c r="A503" s="12"/>
      <c r="C503" s="12"/>
      <c r="D503" s="87"/>
      <c r="F503" s="14"/>
      <c r="G503" s="14"/>
      <c r="H503" s="14"/>
      <c r="I503" s="14"/>
      <c r="J503" s="14"/>
      <c r="K503" s="302"/>
    </row>
    <row r="504" ht="19.5" customHeight="1">
      <c r="A504" s="12"/>
      <c r="C504" s="12"/>
      <c r="D504" s="87"/>
      <c r="F504" s="14"/>
      <c r="G504" s="14"/>
      <c r="H504" s="14"/>
      <c r="I504" s="14"/>
      <c r="J504" s="14"/>
      <c r="K504" s="302"/>
    </row>
    <row r="505" ht="19.5" customHeight="1">
      <c r="A505" s="12"/>
      <c r="C505" s="12"/>
      <c r="D505" s="87"/>
      <c r="F505" s="14"/>
      <c r="G505" s="14"/>
      <c r="H505" s="14"/>
      <c r="I505" s="14"/>
      <c r="J505" s="14"/>
      <c r="K505" s="302"/>
    </row>
    <row r="506" ht="19.5" customHeight="1">
      <c r="A506" s="12"/>
      <c r="C506" s="12"/>
      <c r="D506" s="87"/>
      <c r="F506" s="14"/>
      <c r="G506" s="14"/>
      <c r="H506" s="14"/>
      <c r="I506" s="14"/>
      <c r="J506" s="14"/>
      <c r="K506" s="302"/>
    </row>
    <row r="507" ht="19.5" customHeight="1">
      <c r="A507" s="12"/>
      <c r="C507" s="12"/>
      <c r="D507" s="87"/>
      <c r="F507" s="14"/>
      <c r="G507" s="14"/>
      <c r="H507" s="14"/>
      <c r="I507" s="14"/>
      <c r="J507" s="14"/>
      <c r="K507" s="302"/>
    </row>
    <row r="508" ht="19.5" customHeight="1">
      <c r="A508" s="12"/>
      <c r="C508" s="12"/>
      <c r="D508" s="87"/>
      <c r="F508" s="14"/>
      <c r="G508" s="14"/>
      <c r="H508" s="14"/>
      <c r="I508" s="14"/>
      <c r="J508" s="14"/>
      <c r="K508" s="302"/>
    </row>
    <row r="509" ht="19.5" customHeight="1">
      <c r="A509" s="12"/>
      <c r="C509" s="12"/>
      <c r="D509" s="87"/>
      <c r="F509" s="14"/>
      <c r="G509" s="14"/>
      <c r="H509" s="14"/>
      <c r="I509" s="14"/>
      <c r="J509" s="14"/>
      <c r="K509" s="302"/>
    </row>
    <row r="510" ht="19.5" customHeight="1">
      <c r="A510" s="12"/>
      <c r="C510" s="12"/>
      <c r="D510" s="87"/>
      <c r="F510" s="14"/>
      <c r="G510" s="14"/>
      <c r="H510" s="14"/>
      <c r="I510" s="14"/>
      <c r="J510" s="14"/>
      <c r="K510" s="302"/>
    </row>
    <row r="511" ht="19.5" customHeight="1">
      <c r="A511" s="12"/>
      <c r="C511" s="12"/>
      <c r="D511" s="87"/>
      <c r="F511" s="14"/>
      <c r="G511" s="14"/>
      <c r="H511" s="14"/>
      <c r="I511" s="14"/>
      <c r="J511" s="14"/>
      <c r="K511" s="302"/>
    </row>
    <row r="512" ht="19.5" customHeight="1">
      <c r="A512" s="12"/>
      <c r="C512" s="12"/>
      <c r="D512" s="87"/>
      <c r="F512" s="14"/>
      <c r="G512" s="14"/>
      <c r="H512" s="14"/>
      <c r="I512" s="14"/>
      <c r="J512" s="14"/>
      <c r="K512" s="302"/>
    </row>
    <row r="513" ht="19.5" customHeight="1">
      <c r="A513" s="12"/>
      <c r="C513" s="12"/>
      <c r="D513" s="87"/>
      <c r="F513" s="14"/>
      <c r="G513" s="14"/>
      <c r="H513" s="14"/>
      <c r="I513" s="14"/>
      <c r="J513" s="14"/>
      <c r="K513" s="302"/>
    </row>
    <row r="514" ht="19.5" customHeight="1">
      <c r="A514" s="12"/>
      <c r="C514" s="12"/>
      <c r="D514" s="87"/>
      <c r="F514" s="14"/>
      <c r="G514" s="14"/>
      <c r="H514" s="14"/>
      <c r="I514" s="14"/>
      <c r="J514" s="14"/>
      <c r="K514" s="302"/>
    </row>
    <row r="515" ht="19.5" customHeight="1">
      <c r="A515" s="12"/>
      <c r="C515" s="12"/>
      <c r="D515" s="87"/>
      <c r="F515" s="14"/>
      <c r="G515" s="14"/>
      <c r="H515" s="14"/>
      <c r="I515" s="14"/>
      <c r="J515" s="14"/>
      <c r="K515" s="302"/>
    </row>
    <row r="516" ht="19.5" customHeight="1">
      <c r="A516" s="12"/>
      <c r="C516" s="12"/>
      <c r="D516" s="87"/>
      <c r="F516" s="14"/>
      <c r="G516" s="14"/>
      <c r="H516" s="14"/>
      <c r="I516" s="14"/>
      <c r="J516" s="14"/>
      <c r="K516" s="302"/>
    </row>
    <row r="517" ht="19.5" customHeight="1">
      <c r="A517" s="12"/>
      <c r="C517" s="12"/>
      <c r="D517" s="87"/>
      <c r="F517" s="14"/>
      <c r="G517" s="14"/>
      <c r="H517" s="14"/>
      <c r="I517" s="14"/>
      <c r="J517" s="14"/>
      <c r="K517" s="302"/>
    </row>
    <row r="518" ht="19.5" customHeight="1">
      <c r="A518" s="12"/>
      <c r="C518" s="12"/>
      <c r="D518" s="87"/>
      <c r="F518" s="14"/>
      <c r="G518" s="14"/>
      <c r="H518" s="14"/>
      <c r="I518" s="14"/>
      <c r="J518" s="14"/>
      <c r="K518" s="302"/>
    </row>
    <row r="519" ht="19.5" customHeight="1">
      <c r="A519" s="12"/>
      <c r="C519" s="12"/>
      <c r="D519" s="87"/>
      <c r="F519" s="14"/>
      <c r="G519" s="14"/>
      <c r="H519" s="14"/>
      <c r="I519" s="14"/>
      <c r="J519" s="14"/>
      <c r="K519" s="302"/>
    </row>
    <row r="520" ht="19.5" customHeight="1">
      <c r="A520" s="12"/>
      <c r="C520" s="12"/>
      <c r="D520" s="87"/>
      <c r="F520" s="14"/>
      <c r="G520" s="14"/>
      <c r="H520" s="14"/>
      <c r="I520" s="14"/>
      <c r="J520" s="14"/>
      <c r="K520" s="302"/>
    </row>
    <row r="521" ht="19.5" customHeight="1">
      <c r="A521" s="12"/>
      <c r="C521" s="12"/>
      <c r="D521" s="87"/>
      <c r="F521" s="14"/>
      <c r="G521" s="14"/>
      <c r="H521" s="14"/>
      <c r="I521" s="14"/>
      <c r="J521" s="14"/>
      <c r="K521" s="302"/>
    </row>
    <row r="522" ht="19.5" customHeight="1">
      <c r="A522" s="12"/>
      <c r="C522" s="12"/>
      <c r="D522" s="87"/>
      <c r="F522" s="14"/>
      <c r="G522" s="14"/>
      <c r="H522" s="14"/>
      <c r="I522" s="14"/>
      <c r="J522" s="14"/>
      <c r="K522" s="302"/>
    </row>
    <row r="523" ht="19.5" customHeight="1">
      <c r="A523" s="12"/>
      <c r="C523" s="12"/>
      <c r="D523" s="87"/>
      <c r="F523" s="14"/>
      <c r="G523" s="14"/>
      <c r="H523" s="14"/>
      <c r="I523" s="14"/>
      <c r="J523" s="14"/>
      <c r="K523" s="302"/>
    </row>
    <row r="524" ht="19.5" customHeight="1">
      <c r="A524" s="12"/>
      <c r="C524" s="12"/>
      <c r="D524" s="87"/>
      <c r="F524" s="14"/>
      <c r="G524" s="14"/>
      <c r="H524" s="14"/>
      <c r="I524" s="14"/>
      <c r="J524" s="14"/>
      <c r="K524" s="302"/>
    </row>
    <row r="525" ht="19.5" customHeight="1">
      <c r="A525" s="12"/>
      <c r="C525" s="12"/>
      <c r="D525" s="87"/>
      <c r="F525" s="14"/>
      <c r="G525" s="14"/>
      <c r="H525" s="14"/>
      <c r="I525" s="14"/>
      <c r="J525" s="14"/>
      <c r="K525" s="302"/>
    </row>
    <row r="526" ht="19.5" customHeight="1">
      <c r="A526" s="12"/>
      <c r="C526" s="12"/>
      <c r="D526" s="87"/>
      <c r="F526" s="14"/>
      <c r="G526" s="14"/>
      <c r="H526" s="14"/>
      <c r="I526" s="14"/>
      <c r="J526" s="14"/>
      <c r="K526" s="302"/>
    </row>
    <row r="527" ht="19.5" customHeight="1">
      <c r="A527" s="12"/>
      <c r="C527" s="12"/>
      <c r="D527" s="87"/>
      <c r="F527" s="14"/>
      <c r="G527" s="14"/>
      <c r="H527" s="14"/>
      <c r="I527" s="14"/>
      <c r="J527" s="14"/>
      <c r="K527" s="302"/>
    </row>
    <row r="528" ht="19.5" customHeight="1">
      <c r="A528" s="12"/>
      <c r="C528" s="12"/>
      <c r="D528" s="87"/>
      <c r="F528" s="14"/>
      <c r="G528" s="14"/>
      <c r="H528" s="14"/>
      <c r="I528" s="14"/>
      <c r="J528" s="14"/>
      <c r="K528" s="302"/>
    </row>
    <row r="529" ht="19.5" customHeight="1">
      <c r="A529" s="12"/>
      <c r="C529" s="12"/>
      <c r="D529" s="87"/>
      <c r="F529" s="14"/>
      <c r="G529" s="14"/>
      <c r="H529" s="14"/>
      <c r="I529" s="14"/>
      <c r="J529" s="14"/>
      <c r="K529" s="302"/>
    </row>
    <row r="530" ht="19.5" customHeight="1">
      <c r="A530" s="12"/>
      <c r="C530" s="12"/>
      <c r="D530" s="87"/>
      <c r="F530" s="14"/>
      <c r="G530" s="14"/>
      <c r="H530" s="14"/>
      <c r="I530" s="14"/>
      <c r="J530" s="14"/>
      <c r="K530" s="302"/>
    </row>
    <row r="531" ht="19.5" customHeight="1">
      <c r="A531" s="12"/>
      <c r="C531" s="12"/>
      <c r="D531" s="87"/>
      <c r="F531" s="14"/>
      <c r="G531" s="14"/>
      <c r="H531" s="14"/>
      <c r="I531" s="14"/>
      <c r="J531" s="14"/>
      <c r="K531" s="302"/>
    </row>
    <row r="532" ht="19.5" customHeight="1">
      <c r="A532" s="12"/>
      <c r="C532" s="12"/>
      <c r="D532" s="87"/>
      <c r="F532" s="14"/>
      <c r="G532" s="14"/>
      <c r="H532" s="14"/>
      <c r="I532" s="14"/>
      <c r="J532" s="14"/>
      <c r="K532" s="302"/>
    </row>
    <row r="533" ht="19.5" customHeight="1">
      <c r="A533" s="12"/>
      <c r="C533" s="12"/>
      <c r="D533" s="87"/>
      <c r="F533" s="14"/>
      <c r="G533" s="14"/>
      <c r="H533" s="14"/>
      <c r="I533" s="14"/>
      <c r="J533" s="14"/>
      <c r="K533" s="302"/>
    </row>
    <row r="534" ht="19.5" customHeight="1">
      <c r="A534" s="12"/>
      <c r="C534" s="12"/>
      <c r="D534" s="87"/>
      <c r="F534" s="14"/>
      <c r="G534" s="14"/>
      <c r="H534" s="14"/>
      <c r="I534" s="14"/>
      <c r="J534" s="14"/>
      <c r="K534" s="302"/>
    </row>
    <row r="535" ht="19.5" customHeight="1">
      <c r="A535" s="12"/>
      <c r="C535" s="12"/>
      <c r="D535" s="87"/>
      <c r="F535" s="14"/>
      <c r="G535" s="14"/>
      <c r="H535" s="14"/>
      <c r="I535" s="14"/>
      <c r="J535" s="14"/>
      <c r="K535" s="302"/>
    </row>
    <row r="536" ht="19.5" customHeight="1">
      <c r="A536" s="12"/>
      <c r="C536" s="12"/>
      <c r="D536" s="87"/>
      <c r="F536" s="14"/>
      <c r="G536" s="14"/>
      <c r="H536" s="14"/>
      <c r="I536" s="14"/>
      <c r="J536" s="14"/>
      <c r="K536" s="302"/>
    </row>
    <row r="537" ht="19.5" customHeight="1">
      <c r="A537" s="12"/>
      <c r="C537" s="12"/>
      <c r="D537" s="87"/>
      <c r="F537" s="14"/>
      <c r="G537" s="14"/>
      <c r="H537" s="14"/>
      <c r="I537" s="14"/>
      <c r="J537" s="14"/>
      <c r="K537" s="302"/>
    </row>
    <row r="538" ht="19.5" customHeight="1">
      <c r="A538" s="12"/>
      <c r="C538" s="12"/>
      <c r="D538" s="87"/>
      <c r="F538" s="14"/>
      <c r="G538" s="14"/>
      <c r="H538" s="14"/>
      <c r="I538" s="14"/>
      <c r="J538" s="14"/>
      <c r="K538" s="302"/>
    </row>
    <row r="539" ht="19.5" customHeight="1">
      <c r="A539" s="12"/>
      <c r="C539" s="12"/>
      <c r="D539" s="87"/>
      <c r="F539" s="14"/>
      <c r="G539" s="14"/>
      <c r="H539" s="14"/>
      <c r="I539" s="14"/>
      <c r="J539" s="14"/>
      <c r="K539" s="302"/>
    </row>
    <row r="540" ht="19.5" customHeight="1">
      <c r="A540" s="12"/>
      <c r="C540" s="12"/>
      <c r="D540" s="87"/>
      <c r="F540" s="14"/>
      <c r="G540" s="14"/>
      <c r="H540" s="14"/>
      <c r="I540" s="14"/>
      <c r="J540" s="14"/>
      <c r="K540" s="302"/>
    </row>
    <row r="541" ht="19.5" customHeight="1">
      <c r="A541" s="12"/>
      <c r="C541" s="12"/>
      <c r="D541" s="87"/>
      <c r="F541" s="14"/>
      <c r="G541" s="14"/>
      <c r="H541" s="14"/>
      <c r="I541" s="14"/>
      <c r="J541" s="14"/>
      <c r="K541" s="302"/>
    </row>
    <row r="542" ht="19.5" customHeight="1">
      <c r="A542" s="12"/>
      <c r="C542" s="12"/>
      <c r="D542" s="87"/>
      <c r="F542" s="14"/>
      <c r="G542" s="14"/>
      <c r="H542" s="14"/>
      <c r="I542" s="14"/>
      <c r="J542" s="14"/>
      <c r="K542" s="302"/>
    </row>
    <row r="543" ht="19.5" customHeight="1">
      <c r="A543" s="12"/>
      <c r="C543" s="12"/>
      <c r="D543" s="87"/>
      <c r="F543" s="14"/>
      <c r="G543" s="14"/>
      <c r="H543" s="14"/>
      <c r="I543" s="14"/>
      <c r="J543" s="14"/>
      <c r="K543" s="302"/>
    </row>
    <row r="544" ht="19.5" customHeight="1">
      <c r="A544" s="12"/>
      <c r="C544" s="12"/>
      <c r="D544" s="87"/>
      <c r="F544" s="14"/>
      <c r="G544" s="14"/>
      <c r="H544" s="14"/>
      <c r="I544" s="14"/>
      <c r="J544" s="14"/>
      <c r="K544" s="302"/>
    </row>
    <row r="545" ht="19.5" customHeight="1">
      <c r="A545" s="12"/>
      <c r="C545" s="12"/>
      <c r="D545" s="87"/>
      <c r="F545" s="14"/>
      <c r="G545" s="14"/>
      <c r="H545" s="14"/>
      <c r="I545" s="14"/>
      <c r="J545" s="14"/>
      <c r="K545" s="302"/>
    </row>
    <row r="546" ht="19.5" customHeight="1">
      <c r="A546" s="12"/>
      <c r="C546" s="12"/>
      <c r="D546" s="87"/>
      <c r="F546" s="14"/>
      <c r="G546" s="14"/>
      <c r="H546" s="14"/>
      <c r="I546" s="14"/>
      <c r="J546" s="14"/>
      <c r="K546" s="302"/>
    </row>
    <row r="547" ht="19.5" customHeight="1">
      <c r="A547" s="12"/>
      <c r="C547" s="12"/>
      <c r="D547" s="87"/>
      <c r="F547" s="14"/>
      <c r="G547" s="14"/>
      <c r="H547" s="14"/>
      <c r="I547" s="14"/>
      <c r="J547" s="14"/>
      <c r="K547" s="302"/>
    </row>
    <row r="548" ht="19.5" customHeight="1">
      <c r="A548" s="12"/>
      <c r="C548" s="12"/>
      <c r="D548" s="87"/>
      <c r="F548" s="14"/>
      <c r="G548" s="14"/>
      <c r="H548" s="14"/>
      <c r="I548" s="14"/>
      <c r="J548" s="14"/>
      <c r="K548" s="302"/>
    </row>
    <row r="549" ht="19.5" customHeight="1">
      <c r="A549" s="12"/>
      <c r="C549" s="12"/>
      <c r="D549" s="87"/>
      <c r="F549" s="14"/>
      <c r="G549" s="14"/>
      <c r="H549" s="14"/>
      <c r="I549" s="14"/>
      <c r="J549" s="14"/>
      <c r="K549" s="302"/>
    </row>
    <row r="550" ht="19.5" customHeight="1">
      <c r="A550" s="12"/>
      <c r="C550" s="12"/>
      <c r="D550" s="87"/>
      <c r="F550" s="14"/>
      <c r="G550" s="14"/>
      <c r="H550" s="14"/>
      <c r="I550" s="14"/>
      <c r="J550" s="14"/>
      <c r="K550" s="302"/>
    </row>
    <row r="551" ht="19.5" customHeight="1">
      <c r="A551" s="12"/>
      <c r="C551" s="12"/>
      <c r="D551" s="87"/>
      <c r="F551" s="14"/>
      <c r="G551" s="14"/>
      <c r="H551" s="14"/>
      <c r="I551" s="14"/>
      <c r="J551" s="14"/>
      <c r="K551" s="302"/>
    </row>
    <row r="552" ht="19.5" customHeight="1">
      <c r="A552" s="12"/>
      <c r="C552" s="12"/>
      <c r="D552" s="87"/>
      <c r="F552" s="14"/>
      <c r="G552" s="14"/>
      <c r="H552" s="14"/>
      <c r="I552" s="14"/>
      <c r="J552" s="14"/>
      <c r="K552" s="302"/>
    </row>
    <row r="553" ht="19.5" customHeight="1">
      <c r="A553" s="12"/>
      <c r="C553" s="12"/>
      <c r="D553" s="87"/>
      <c r="F553" s="14"/>
      <c r="G553" s="14"/>
      <c r="H553" s="14"/>
      <c r="I553" s="14"/>
      <c r="J553" s="14"/>
      <c r="K553" s="302"/>
    </row>
    <row r="554" ht="19.5" customHeight="1">
      <c r="A554" s="12"/>
      <c r="C554" s="12"/>
      <c r="D554" s="87"/>
      <c r="F554" s="14"/>
      <c r="G554" s="14"/>
      <c r="H554" s="14"/>
      <c r="I554" s="14"/>
      <c r="J554" s="14"/>
      <c r="K554" s="302"/>
    </row>
    <row r="555" ht="19.5" customHeight="1">
      <c r="A555" s="12"/>
      <c r="C555" s="12"/>
      <c r="D555" s="87"/>
      <c r="F555" s="14"/>
      <c r="G555" s="14"/>
      <c r="H555" s="14"/>
      <c r="I555" s="14"/>
      <c r="J555" s="14"/>
      <c r="K555" s="302"/>
    </row>
    <row r="556" ht="19.5" customHeight="1">
      <c r="A556" s="12"/>
      <c r="C556" s="12"/>
      <c r="D556" s="87"/>
      <c r="F556" s="14"/>
      <c r="G556" s="14"/>
      <c r="H556" s="14"/>
      <c r="I556" s="14"/>
      <c r="J556" s="14"/>
      <c r="K556" s="302"/>
    </row>
    <row r="557" ht="19.5" customHeight="1">
      <c r="A557" s="12"/>
      <c r="C557" s="12"/>
      <c r="D557" s="87"/>
      <c r="F557" s="14"/>
      <c r="G557" s="14"/>
      <c r="H557" s="14"/>
      <c r="I557" s="14"/>
      <c r="J557" s="14"/>
      <c r="K557" s="302"/>
    </row>
    <row r="558" ht="19.5" customHeight="1">
      <c r="A558" s="12"/>
      <c r="C558" s="12"/>
      <c r="D558" s="87"/>
      <c r="F558" s="14"/>
      <c r="G558" s="14"/>
      <c r="H558" s="14"/>
      <c r="I558" s="14"/>
      <c r="J558" s="14"/>
      <c r="K558" s="302"/>
    </row>
    <row r="559" ht="19.5" customHeight="1">
      <c r="A559" s="12"/>
      <c r="C559" s="12"/>
      <c r="D559" s="87"/>
      <c r="F559" s="14"/>
      <c r="G559" s="14"/>
      <c r="H559" s="14"/>
      <c r="I559" s="14"/>
      <c r="J559" s="14"/>
      <c r="K559" s="302"/>
    </row>
    <row r="560" ht="19.5" customHeight="1">
      <c r="A560" s="12"/>
      <c r="C560" s="12"/>
      <c r="D560" s="87"/>
      <c r="F560" s="14"/>
      <c r="G560" s="14"/>
      <c r="H560" s="14"/>
      <c r="I560" s="14"/>
      <c r="J560" s="14"/>
      <c r="K560" s="302"/>
    </row>
    <row r="561" ht="19.5" customHeight="1">
      <c r="A561" s="12"/>
      <c r="C561" s="12"/>
      <c r="D561" s="87"/>
      <c r="F561" s="14"/>
      <c r="G561" s="14"/>
      <c r="H561" s="14"/>
      <c r="I561" s="14"/>
      <c r="J561" s="14"/>
      <c r="K561" s="302"/>
    </row>
    <row r="562" ht="19.5" customHeight="1">
      <c r="A562" s="12"/>
      <c r="C562" s="12"/>
      <c r="D562" s="87"/>
      <c r="F562" s="14"/>
      <c r="G562" s="14"/>
      <c r="H562" s="14"/>
      <c r="I562" s="14"/>
      <c r="J562" s="14"/>
      <c r="K562" s="302"/>
    </row>
    <row r="563" ht="19.5" customHeight="1">
      <c r="A563" s="12"/>
      <c r="C563" s="12"/>
      <c r="D563" s="87"/>
      <c r="F563" s="14"/>
      <c r="G563" s="14"/>
      <c r="H563" s="14"/>
      <c r="I563" s="14"/>
      <c r="J563" s="14"/>
      <c r="K563" s="302"/>
    </row>
    <row r="564" ht="19.5" customHeight="1">
      <c r="A564" s="12"/>
      <c r="C564" s="12"/>
      <c r="D564" s="87"/>
      <c r="F564" s="14"/>
      <c r="G564" s="14"/>
      <c r="H564" s="14"/>
      <c r="I564" s="14"/>
      <c r="J564" s="14"/>
      <c r="K564" s="302"/>
    </row>
    <row r="565" ht="19.5" customHeight="1">
      <c r="A565" s="12"/>
      <c r="C565" s="12"/>
      <c r="D565" s="87"/>
      <c r="F565" s="14"/>
      <c r="G565" s="14"/>
      <c r="H565" s="14"/>
      <c r="I565" s="14"/>
      <c r="J565" s="14"/>
      <c r="K565" s="302"/>
    </row>
    <row r="566" ht="19.5" customHeight="1">
      <c r="A566" s="12"/>
      <c r="C566" s="12"/>
      <c r="D566" s="87"/>
      <c r="F566" s="14"/>
      <c r="G566" s="14"/>
      <c r="H566" s="14"/>
      <c r="I566" s="14"/>
      <c r="J566" s="14"/>
      <c r="K566" s="302"/>
    </row>
    <row r="567" ht="19.5" customHeight="1">
      <c r="A567" s="12"/>
      <c r="C567" s="12"/>
      <c r="D567" s="87"/>
      <c r="F567" s="14"/>
      <c r="G567" s="14"/>
      <c r="H567" s="14"/>
      <c r="I567" s="14"/>
      <c r="J567" s="14"/>
      <c r="K567" s="302"/>
    </row>
    <row r="568" ht="19.5" customHeight="1">
      <c r="A568" s="12"/>
      <c r="C568" s="12"/>
      <c r="D568" s="87"/>
      <c r="F568" s="14"/>
      <c r="G568" s="14"/>
      <c r="H568" s="14"/>
      <c r="I568" s="14"/>
      <c r="J568" s="14"/>
      <c r="K568" s="302"/>
    </row>
    <row r="569" ht="19.5" customHeight="1">
      <c r="A569" s="12"/>
      <c r="C569" s="12"/>
      <c r="D569" s="87"/>
      <c r="F569" s="14"/>
      <c r="G569" s="14"/>
      <c r="H569" s="14"/>
      <c r="I569" s="14"/>
      <c r="J569" s="14"/>
      <c r="K569" s="302"/>
    </row>
    <row r="570" ht="19.5" customHeight="1">
      <c r="A570" s="12"/>
      <c r="C570" s="12"/>
      <c r="D570" s="87"/>
      <c r="F570" s="14"/>
      <c r="G570" s="14"/>
      <c r="H570" s="14"/>
      <c r="I570" s="14"/>
      <c r="J570" s="14"/>
      <c r="K570" s="302"/>
    </row>
    <row r="571" ht="19.5" customHeight="1">
      <c r="A571" s="12"/>
      <c r="C571" s="12"/>
      <c r="D571" s="87"/>
      <c r="F571" s="14"/>
      <c r="G571" s="14"/>
      <c r="H571" s="14"/>
      <c r="I571" s="14"/>
      <c r="J571" s="14"/>
      <c r="K571" s="302"/>
    </row>
    <row r="572" ht="19.5" customHeight="1">
      <c r="A572" s="12"/>
      <c r="C572" s="12"/>
      <c r="D572" s="87"/>
      <c r="F572" s="14"/>
      <c r="G572" s="14"/>
      <c r="H572" s="14"/>
      <c r="I572" s="14"/>
      <c r="J572" s="14"/>
      <c r="K572" s="302"/>
    </row>
    <row r="573" ht="19.5" customHeight="1">
      <c r="A573" s="12"/>
      <c r="C573" s="12"/>
      <c r="D573" s="87"/>
      <c r="F573" s="14"/>
      <c r="G573" s="14"/>
      <c r="H573" s="14"/>
      <c r="I573" s="14"/>
      <c r="J573" s="14"/>
      <c r="K573" s="302"/>
    </row>
    <row r="574" ht="19.5" customHeight="1">
      <c r="A574" s="12"/>
      <c r="C574" s="12"/>
      <c r="D574" s="87"/>
      <c r="F574" s="14"/>
      <c r="G574" s="14"/>
      <c r="H574" s="14"/>
      <c r="I574" s="14"/>
      <c r="J574" s="14"/>
      <c r="K574" s="302"/>
    </row>
    <row r="575" ht="19.5" customHeight="1">
      <c r="A575" s="12"/>
      <c r="C575" s="12"/>
      <c r="D575" s="87"/>
      <c r="F575" s="14"/>
      <c r="G575" s="14"/>
      <c r="H575" s="14"/>
      <c r="I575" s="14"/>
      <c r="J575" s="14"/>
      <c r="K575" s="302"/>
    </row>
    <row r="576" ht="19.5" customHeight="1">
      <c r="A576" s="12"/>
      <c r="C576" s="12"/>
      <c r="D576" s="87"/>
      <c r="F576" s="14"/>
      <c r="G576" s="14"/>
      <c r="H576" s="14"/>
      <c r="I576" s="14"/>
      <c r="J576" s="14"/>
      <c r="K576" s="302"/>
    </row>
    <row r="577" ht="19.5" customHeight="1">
      <c r="A577" s="12"/>
      <c r="C577" s="12"/>
      <c r="D577" s="87"/>
      <c r="F577" s="14"/>
      <c r="G577" s="14"/>
      <c r="H577" s="14"/>
      <c r="I577" s="14"/>
      <c r="J577" s="14"/>
      <c r="K577" s="302"/>
    </row>
    <row r="578" ht="19.5" customHeight="1">
      <c r="A578" s="12"/>
      <c r="C578" s="12"/>
      <c r="D578" s="87"/>
      <c r="F578" s="14"/>
      <c r="G578" s="14"/>
      <c r="H578" s="14"/>
      <c r="I578" s="14"/>
      <c r="J578" s="14"/>
      <c r="K578" s="302"/>
    </row>
    <row r="579" ht="19.5" customHeight="1">
      <c r="A579" s="12"/>
      <c r="C579" s="12"/>
      <c r="D579" s="87"/>
      <c r="F579" s="14"/>
      <c r="G579" s="14"/>
      <c r="H579" s="14"/>
      <c r="I579" s="14"/>
      <c r="J579" s="14"/>
      <c r="K579" s="302"/>
    </row>
    <row r="580" ht="19.5" customHeight="1">
      <c r="A580" s="12"/>
      <c r="C580" s="12"/>
      <c r="D580" s="87"/>
      <c r="F580" s="14"/>
      <c r="G580" s="14"/>
      <c r="H580" s="14"/>
      <c r="I580" s="14"/>
      <c r="J580" s="14"/>
      <c r="K580" s="302"/>
    </row>
    <row r="581" ht="19.5" customHeight="1">
      <c r="A581" s="12"/>
      <c r="C581" s="12"/>
      <c r="D581" s="87"/>
      <c r="F581" s="14"/>
      <c r="G581" s="14"/>
      <c r="H581" s="14"/>
      <c r="I581" s="14"/>
      <c r="J581" s="14"/>
      <c r="K581" s="302"/>
    </row>
    <row r="582" ht="19.5" customHeight="1">
      <c r="A582" s="12"/>
      <c r="C582" s="12"/>
      <c r="D582" s="87"/>
      <c r="F582" s="14"/>
      <c r="G582" s="14"/>
      <c r="H582" s="14"/>
      <c r="I582" s="14"/>
      <c r="J582" s="14"/>
      <c r="K582" s="302"/>
    </row>
    <row r="583" ht="19.5" customHeight="1">
      <c r="A583" s="12"/>
      <c r="C583" s="12"/>
      <c r="D583" s="87"/>
      <c r="F583" s="14"/>
      <c r="G583" s="14"/>
      <c r="H583" s="14"/>
      <c r="I583" s="14"/>
      <c r="J583" s="14"/>
      <c r="K583" s="302"/>
    </row>
    <row r="584" ht="19.5" customHeight="1">
      <c r="A584" s="12"/>
      <c r="C584" s="12"/>
      <c r="D584" s="87"/>
      <c r="F584" s="14"/>
      <c r="G584" s="14"/>
      <c r="H584" s="14"/>
      <c r="I584" s="14"/>
      <c r="J584" s="14"/>
      <c r="K584" s="302"/>
    </row>
    <row r="585" ht="19.5" customHeight="1">
      <c r="A585" s="12"/>
      <c r="C585" s="12"/>
      <c r="D585" s="87"/>
      <c r="F585" s="14"/>
      <c r="G585" s="14"/>
      <c r="H585" s="14"/>
      <c r="I585" s="14"/>
      <c r="J585" s="14"/>
      <c r="K585" s="302"/>
    </row>
    <row r="586" ht="19.5" customHeight="1">
      <c r="A586" s="12"/>
      <c r="C586" s="12"/>
      <c r="D586" s="87"/>
      <c r="F586" s="14"/>
      <c r="G586" s="14"/>
      <c r="H586" s="14"/>
      <c r="I586" s="14"/>
      <c r="J586" s="14"/>
      <c r="K586" s="302"/>
    </row>
    <row r="587" ht="19.5" customHeight="1">
      <c r="A587" s="12"/>
      <c r="C587" s="12"/>
      <c r="D587" s="87"/>
      <c r="F587" s="14"/>
      <c r="G587" s="14"/>
      <c r="H587" s="14"/>
      <c r="I587" s="14"/>
      <c r="J587" s="14"/>
      <c r="K587" s="302"/>
    </row>
    <row r="588" ht="19.5" customHeight="1">
      <c r="A588" s="12"/>
      <c r="C588" s="12"/>
      <c r="D588" s="87"/>
      <c r="F588" s="14"/>
      <c r="G588" s="14"/>
      <c r="H588" s="14"/>
      <c r="I588" s="14"/>
      <c r="J588" s="14"/>
      <c r="K588" s="302"/>
    </row>
    <row r="589" ht="19.5" customHeight="1">
      <c r="A589" s="12"/>
      <c r="C589" s="12"/>
      <c r="D589" s="87"/>
      <c r="F589" s="14"/>
      <c r="G589" s="14"/>
      <c r="H589" s="14"/>
      <c r="I589" s="14"/>
      <c r="J589" s="14"/>
      <c r="K589" s="302"/>
    </row>
    <row r="590" ht="19.5" customHeight="1">
      <c r="A590" s="12"/>
      <c r="C590" s="12"/>
      <c r="D590" s="87"/>
      <c r="F590" s="14"/>
      <c r="G590" s="14"/>
      <c r="H590" s="14"/>
      <c r="I590" s="14"/>
      <c r="J590" s="14"/>
      <c r="K590" s="302"/>
    </row>
    <row r="591" ht="19.5" customHeight="1">
      <c r="A591" s="12"/>
      <c r="C591" s="12"/>
      <c r="D591" s="87"/>
      <c r="F591" s="14"/>
      <c r="G591" s="14"/>
      <c r="H591" s="14"/>
      <c r="I591" s="14"/>
      <c r="J591" s="14"/>
      <c r="K591" s="302"/>
    </row>
    <row r="592" ht="19.5" customHeight="1">
      <c r="A592" s="12"/>
      <c r="C592" s="12"/>
      <c r="D592" s="87"/>
      <c r="F592" s="14"/>
      <c r="G592" s="14"/>
      <c r="H592" s="14"/>
      <c r="I592" s="14"/>
      <c r="J592" s="14"/>
      <c r="K592" s="302"/>
    </row>
    <row r="593" ht="19.5" customHeight="1">
      <c r="A593" s="12"/>
      <c r="C593" s="12"/>
      <c r="D593" s="87"/>
      <c r="F593" s="14"/>
      <c r="G593" s="14"/>
      <c r="H593" s="14"/>
      <c r="I593" s="14"/>
      <c r="J593" s="14"/>
      <c r="K593" s="302"/>
    </row>
    <row r="594" ht="19.5" customHeight="1">
      <c r="A594" s="12"/>
      <c r="C594" s="12"/>
      <c r="D594" s="87"/>
      <c r="F594" s="14"/>
      <c r="G594" s="14"/>
      <c r="H594" s="14"/>
      <c r="I594" s="14"/>
      <c r="J594" s="14"/>
      <c r="K594" s="302"/>
    </row>
    <row r="595" ht="19.5" customHeight="1">
      <c r="A595" s="12"/>
      <c r="C595" s="12"/>
      <c r="D595" s="87"/>
      <c r="F595" s="14"/>
      <c r="G595" s="14"/>
      <c r="H595" s="14"/>
      <c r="I595" s="14"/>
      <c r="J595" s="14"/>
      <c r="K595" s="302"/>
    </row>
    <row r="596" ht="19.5" customHeight="1">
      <c r="A596" s="12"/>
      <c r="C596" s="12"/>
      <c r="D596" s="87"/>
      <c r="F596" s="14"/>
      <c r="G596" s="14"/>
      <c r="H596" s="14"/>
      <c r="I596" s="14"/>
      <c r="J596" s="14"/>
      <c r="K596" s="302"/>
    </row>
    <row r="597" ht="19.5" customHeight="1">
      <c r="A597" s="12"/>
      <c r="C597" s="12"/>
      <c r="D597" s="87"/>
      <c r="F597" s="14"/>
      <c r="G597" s="14"/>
      <c r="H597" s="14"/>
      <c r="I597" s="14"/>
      <c r="J597" s="14"/>
      <c r="K597" s="302"/>
    </row>
    <row r="598" ht="19.5" customHeight="1">
      <c r="A598" s="12"/>
      <c r="C598" s="12"/>
      <c r="D598" s="87"/>
      <c r="F598" s="14"/>
      <c r="G598" s="14"/>
      <c r="H598" s="14"/>
      <c r="I598" s="14"/>
      <c r="J598" s="14"/>
      <c r="K598" s="302"/>
    </row>
    <row r="599" ht="19.5" customHeight="1">
      <c r="A599" s="12"/>
      <c r="C599" s="12"/>
      <c r="D599" s="87"/>
      <c r="F599" s="14"/>
      <c r="G599" s="14"/>
      <c r="H599" s="14"/>
      <c r="I599" s="14"/>
      <c r="J599" s="14"/>
      <c r="K599" s="302"/>
    </row>
    <row r="600" ht="19.5" customHeight="1">
      <c r="A600" s="12"/>
      <c r="C600" s="12"/>
      <c r="D600" s="87"/>
      <c r="F600" s="14"/>
      <c r="G600" s="14"/>
      <c r="H600" s="14"/>
      <c r="I600" s="14"/>
      <c r="J600" s="14"/>
      <c r="K600" s="302"/>
    </row>
    <row r="601" ht="19.5" customHeight="1">
      <c r="A601" s="12"/>
      <c r="C601" s="12"/>
      <c r="D601" s="87"/>
      <c r="F601" s="14"/>
      <c r="G601" s="14"/>
      <c r="H601" s="14"/>
      <c r="I601" s="14"/>
      <c r="J601" s="14"/>
      <c r="K601" s="302"/>
    </row>
    <row r="602" ht="19.5" customHeight="1">
      <c r="A602" s="12"/>
      <c r="C602" s="12"/>
      <c r="D602" s="87"/>
      <c r="F602" s="14"/>
      <c r="G602" s="14"/>
      <c r="H602" s="14"/>
      <c r="I602" s="14"/>
      <c r="J602" s="14"/>
      <c r="K602" s="302"/>
    </row>
    <row r="603" ht="19.5" customHeight="1">
      <c r="A603" s="12"/>
      <c r="C603" s="12"/>
      <c r="D603" s="87"/>
      <c r="F603" s="14"/>
      <c r="G603" s="14"/>
      <c r="H603" s="14"/>
      <c r="I603" s="14"/>
      <c r="J603" s="14"/>
      <c r="K603" s="302"/>
    </row>
    <row r="604" ht="19.5" customHeight="1">
      <c r="A604" s="12"/>
      <c r="C604" s="12"/>
      <c r="D604" s="87"/>
      <c r="F604" s="14"/>
      <c r="G604" s="14"/>
      <c r="H604" s="14"/>
      <c r="I604" s="14"/>
      <c r="J604" s="14"/>
      <c r="K604" s="302"/>
    </row>
    <row r="605" ht="19.5" customHeight="1">
      <c r="A605" s="12"/>
      <c r="C605" s="12"/>
      <c r="D605" s="87"/>
      <c r="F605" s="14"/>
      <c r="G605" s="14"/>
      <c r="H605" s="14"/>
      <c r="I605" s="14"/>
      <c r="J605" s="14"/>
      <c r="K605" s="302"/>
    </row>
    <row r="606" ht="19.5" customHeight="1">
      <c r="A606" s="12"/>
      <c r="C606" s="12"/>
      <c r="D606" s="87"/>
      <c r="F606" s="14"/>
      <c r="G606" s="14"/>
      <c r="H606" s="14"/>
      <c r="I606" s="14"/>
      <c r="J606" s="14"/>
      <c r="K606" s="302"/>
    </row>
    <row r="607" ht="19.5" customHeight="1">
      <c r="A607" s="12"/>
      <c r="C607" s="12"/>
      <c r="D607" s="87"/>
      <c r="F607" s="14"/>
      <c r="G607" s="14"/>
      <c r="H607" s="14"/>
      <c r="I607" s="14"/>
      <c r="J607" s="14"/>
      <c r="K607" s="302"/>
    </row>
    <row r="608" ht="19.5" customHeight="1">
      <c r="A608" s="12"/>
      <c r="C608" s="12"/>
      <c r="D608" s="87"/>
      <c r="F608" s="14"/>
      <c r="G608" s="14"/>
      <c r="H608" s="14"/>
      <c r="I608" s="14"/>
      <c r="J608" s="14"/>
      <c r="K608" s="302"/>
    </row>
    <row r="609" ht="19.5" customHeight="1">
      <c r="A609" s="12"/>
      <c r="C609" s="12"/>
      <c r="D609" s="87"/>
      <c r="F609" s="14"/>
      <c r="G609" s="14"/>
      <c r="H609" s="14"/>
      <c r="I609" s="14"/>
      <c r="J609" s="14"/>
      <c r="K609" s="302"/>
    </row>
    <row r="610" ht="19.5" customHeight="1">
      <c r="A610" s="12"/>
      <c r="C610" s="12"/>
      <c r="D610" s="87"/>
      <c r="F610" s="14"/>
      <c r="G610" s="14"/>
      <c r="H610" s="14"/>
      <c r="I610" s="14"/>
      <c r="J610" s="14"/>
      <c r="K610" s="302"/>
    </row>
    <row r="611" ht="19.5" customHeight="1">
      <c r="A611" s="12"/>
      <c r="C611" s="12"/>
      <c r="D611" s="87"/>
      <c r="F611" s="14"/>
      <c r="G611" s="14"/>
      <c r="H611" s="14"/>
      <c r="I611" s="14"/>
      <c r="J611" s="14"/>
      <c r="K611" s="302"/>
    </row>
    <row r="612" ht="19.5" customHeight="1">
      <c r="A612" s="12"/>
      <c r="C612" s="12"/>
      <c r="D612" s="87"/>
      <c r="F612" s="14"/>
      <c r="G612" s="14"/>
      <c r="H612" s="14"/>
      <c r="I612" s="14"/>
      <c r="J612" s="14"/>
      <c r="K612" s="302"/>
    </row>
    <row r="613" ht="19.5" customHeight="1">
      <c r="A613" s="12"/>
      <c r="C613" s="12"/>
      <c r="D613" s="87"/>
      <c r="F613" s="14"/>
      <c r="G613" s="14"/>
      <c r="H613" s="14"/>
      <c r="I613" s="14"/>
      <c r="J613" s="14"/>
      <c r="K613" s="302"/>
    </row>
    <row r="614" ht="19.5" customHeight="1">
      <c r="A614" s="12"/>
      <c r="C614" s="12"/>
      <c r="D614" s="87"/>
      <c r="F614" s="14"/>
      <c r="G614" s="14"/>
      <c r="H614" s="14"/>
      <c r="I614" s="14"/>
      <c r="J614" s="14"/>
      <c r="K614" s="302"/>
    </row>
    <row r="615" ht="19.5" customHeight="1">
      <c r="A615" s="12"/>
      <c r="C615" s="12"/>
      <c r="D615" s="87"/>
      <c r="F615" s="14"/>
      <c r="G615" s="14"/>
      <c r="H615" s="14"/>
      <c r="I615" s="14"/>
      <c r="J615" s="14"/>
      <c r="K615" s="302"/>
    </row>
    <row r="616" ht="19.5" customHeight="1">
      <c r="A616" s="12"/>
      <c r="C616" s="12"/>
      <c r="D616" s="87"/>
      <c r="F616" s="14"/>
      <c r="G616" s="14"/>
      <c r="H616" s="14"/>
      <c r="I616" s="14"/>
      <c r="J616" s="14"/>
      <c r="K616" s="302"/>
    </row>
    <row r="617" ht="19.5" customHeight="1">
      <c r="A617" s="12"/>
      <c r="C617" s="12"/>
      <c r="D617" s="87"/>
      <c r="F617" s="14"/>
      <c r="G617" s="14"/>
      <c r="H617" s="14"/>
      <c r="I617" s="14"/>
      <c r="J617" s="14"/>
      <c r="K617" s="302"/>
    </row>
    <row r="618" ht="19.5" customHeight="1">
      <c r="A618" s="12"/>
      <c r="C618" s="12"/>
      <c r="D618" s="87"/>
      <c r="F618" s="14"/>
      <c r="G618" s="14"/>
      <c r="H618" s="14"/>
      <c r="I618" s="14"/>
      <c r="J618" s="14"/>
      <c r="K618" s="302"/>
    </row>
    <row r="619" ht="19.5" customHeight="1">
      <c r="A619" s="12"/>
      <c r="C619" s="12"/>
      <c r="D619" s="87"/>
      <c r="F619" s="14"/>
      <c r="G619" s="14"/>
      <c r="H619" s="14"/>
      <c r="I619" s="14"/>
      <c r="J619" s="14"/>
      <c r="K619" s="302"/>
    </row>
    <row r="620" ht="19.5" customHeight="1">
      <c r="A620" s="12"/>
      <c r="C620" s="12"/>
      <c r="D620" s="87"/>
      <c r="F620" s="14"/>
      <c r="G620" s="14"/>
      <c r="H620" s="14"/>
      <c r="I620" s="14"/>
      <c r="J620" s="14"/>
      <c r="K620" s="302"/>
    </row>
    <row r="621" ht="19.5" customHeight="1">
      <c r="A621" s="12"/>
      <c r="C621" s="12"/>
      <c r="D621" s="87"/>
      <c r="F621" s="14"/>
      <c r="G621" s="14"/>
      <c r="H621" s="14"/>
      <c r="I621" s="14"/>
      <c r="J621" s="14"/>
      <c r="K621" s="302"/>
    </row>
    <row r="622" ht="19.5" customHeight="1">
      <c r="A622" s="12"/>
      <c r="C622" s="12"/>
      <c r="D622" s="87"/>
      <c r="F622" s="14"/>
      <c r="G622" s="14"/>
      <c r="H622" s="14"/>
      <c r="I622" s="14"/>
      <c r="J622" s="14"/>
      <c r="K622" s="302"/>
    </row>
    <row r="623" ht="19.5" customHeight="1">
      <c r="A623" s="12"/>
      <c r="C623" s="12"/>
      <c r="D623" s="87"/>
      <c r="F623" s="14"/>
      <c r="G623" s="14"/>
      <c r="H623" s="14"/>
      <c r="I623" s="14"/>
      <c r="J623" s="14"/>
      <c r="K623" s="302"/>
    </row>
    <row r="624" ht="19.5" customHeight="1">
      <c r="A624" s="12"/>
      <c r="C624" s="12"/>
      <c r="D624" s="87"/>
      <c r="F624" s="14"/>
      <c r="G624" s="14"/>
      <c r="H624" s="14"/>
      <c r="I624" s="14"/>
      <c r="J624" s="14"/>
      <c r="K624" s="302"/>
    </row>
    <row r="625" ht="19.5" customHeight="1">
      <c r="A625" s="12"/>
      <c r="C625" s="12"/>
      <c r="D625" s="87"/>
      <c r="F625" s="14"/>
      <c r="G625" s="14"/>
      <c r="H625" s="14"/>
      <c r="I625" s="14"/>
      <c r="J625" s="14"/>
      <c r="K625" s="302"/>
    </row>
    <row r="626" ht="19.5" customHeight="1">
      <c r="A626" s="12"/>
      <c r="C626" s="12"/>
      <c r="D626" s="87"/>
      <c r="F626" s="14"/>
      <c r="G626" s="14"/>
      <c r="H626" s="14"/>
      <c r="I626" s="14"/>
      <c r="J626" s="14"/>
      <c r="K626" s="302"/>
    </row>
    <row r="627" ht="19.5" customHeight="1">
      <c r="A627" s="12"/>
      <c r="C627" s="12"/>
      <c r="D627" s="87"/>
      <c r="F627" s="14"/>
      <c r="G627" s="14"/>
      <c r="H627" s="14"/>
      <c r="I627" s="14"/>
      <c r="J627" s="14"/>
      <c r="K627" s="302"/>
    </row>
    <row r="628" ht="19.5" customHeight="1">
      <c r="A628" s="12"/>
      <c r="C628" s="12"/>
      <c r="D628" s="87"/>
      <c r="F628" s="14"/>
      <c r="G628" s="14"/>
      <c r="H628" s="14"/>
      <c r="I628" s="14"/>
      <c r="J628" s="14"/>
      <c r="K628" s="302"/>
    </row>
    <row r="629" ht="19.5" customHeight="1">
      <c r="A629" s="12"/>
      <c r="C629" s="12"/>
      <c r="D629" s="87"/>
      <c r="F629" s="14"/>
      <c r="G629" s="14"/>
      <c r="H629" s="14"/>
      <c r="I629" s="14"/>
      <c r="J629" s="14"/>
      <c r="K629" s="302"/>
    </row>
    <row r="630" ht="19.5" customHeight="1">
      <c r="A630" s="12"/>
      <c r="C630" s="12"/>
      <c r="D630" s="87"/>
      <c r="F630" s="14"/>
      <c r="G630" s="14"/>
      <c r="H630" s="14"/>
      <c r="I630" s="14"/>
      <c r="J630" s="14"/>
      <c r="K630" s="302"/>
    </row>
    <row r="631" ht="19.5" customHeight="1">
      <c r="A631" s="12"/>
      <c r="C631" s="12"/>
      <c r="D631" s="87"/>
      <c r="F631" s="14"/>
      <c r="G631" s="14"/>
      <c r="H631" s="14"/>
      <c r="I631" s="14"/>
      <c r="J631" s="14"/>
      <c r="K631" s="302"/>
    </row>
    <row r="632" ht="19.5" customHeight="1">
      <c r="A632" s="12"/>
      <c r="C632" s="12"/>
      <c r="D632" s="87"/>
      <c r="F632" s="14"/>
      <c r="G632" s="14"/>
      <c r="H632" s="14"/>
      <c r="I632" s="14"/>
      <c r="J632" s="14"/>
      <c r="K632" s="302"/>
    </row>
    <row r="633" ht="19.5" customHeight="1">
      <c r="A633" s="12"/>
      <c r="C633" s="12"/>
      <c r="D633" s="87"/>
      <c r="F633" s="14"/>
      <c r="G633" s="14"/>
      <c r="H633" s="14"/>
      <c r="I633" s="14"/>
      <c r="J633" s="14"/>
      <c r="K633" s="302"/>
    </row>
    <row r="634" ht="19.5" customHeight="1">
      <c r="A634" s="12"/>
      <c r="C634" s="12"/>
      <c r="D634" s="87"/>
      <c r="F634" s="14"/>
      <c r="G634" s="14"/>
      <c r="H634" s="14"/>
      <c r="I634" s="14"/>
      <c r="J634" s="14"/>
      <c r="K634" s="302"/>
    </row>
    <row r="635" ht="19.5" customHeight="1">
      <c r="A635" s="12"/>
      <c r="C635" s="12"/>
      <c r="D635" s="87"/>
      <c r="F635" s="14"/>
      <c r="G635" s="14"/>
      <c r="H635" s="14"/>
      <c r="I635" s="14"/>
      <c r="J635" s="14"/>
      <c r="K635" s="302"/>
    </row>
    <row r="636" ht="19.5" customHeight="1">
      <c r="A636" s="12"/>
      <c r="C636" s="12"/>
      <c r="D636" s="87"/>
      <c r="F636" s="14"/>
      <c r="G636" s="14"/>
      <c r="H636" s="14"/>
      <c r="I636" s="14"/>
      <c r="J636" s="14"/>
      <c r="K636" s="302"/>
    </row>
    <row r="637" ht="19.5" customHeight="1">
      <c r="A637" s="12"/>
      <c r="C637" s="12"/>
      <c r="D637" s="87"/>
      <c r="F637" s="14"/>
      <c r="G637" s="14"/>
      <c r="H637" s="14"/>
      <c r="I637" s="14"/>
      <c r="J637" s="14"/>
      <c r="K637" s="302"/>
    </row>
    <row r="638" ht="19.5" customHeight="1">
      <c r="A638" s="12"/>
      <c r="C638" s="12"/>
      <c r="D638" s="87"/>
      <c r="F638" s="14"/>
      <c r="G638" s="14"/>
      <c r="H638" s="14"/>
      <c r="I638" s="14"/>
      <c r="J638" s="14"/>
      <c r="K638" s="302"/>
    </row>
    <row r="639" ht="19.5" customHeight="1">
      <c r="A639" s="12"/>
      <c r="C639" s="12"/>
      <c r="D639" s="87"/>
      <c r="F639" s="14"/>
      <c r="G639" s="14"/>
      <c r="H639" s="14"/>
      <c r="I639" s="14"/>
      <c r="J639" s="14"/>
      <c r="K639" s="302"/>
    </row>
    <row r="640" ht="19.5" customHeight="1">
      <c r="A640" s="12"/>
      <c r="C640" s="12"/>
      <c r="D640" s="87"/>
      <c r="F640" s="14"/>
      <c r="G640" s="14"/>
      <c r="H640" s="14"/>
      <c r="I640" s="14"/>
      <c r="J640" s="14"/>
      <c r="K640" s="302"/>
    </row>
    <row r="641" ht="19.5" customHeight="1">
      <c r="A641" s="12"/>
      <c r="C641" s="12"/>
      <c r="D641" s="87"/>
      <c r="F641" s="14"/>
      <c r="G641" s="14"/>
      <c r="H641" s="14"/>
      <c r="I641" s="14"/>
      <c r="J641" s="14"/>
      <c r="K641" s="302"/>
    </row>
    <row r="642" ht="19.5" customHeight="1">
      <c r="A642" s="12"/>
      <c r="C642" s="12"/>
      <c r="D642" s="87"/>
      <c r="F642" s="14"/>
      <c r="G642" s="14"/>
      <c r="H642" s="14"/>
      <c r="I642" s="14"/>
      <c r="J642" s="14"/>
      <c r="K642" s="302"/>
    </row>
    <row r="643" ht="19.5" customHeight="1">
      <c r="A643" s="12"/>
      <c r="C643" s="12"/>
      <c r="D643" s="87"/>
      <c r="F643" s="14"/>
      <c r="G643" s="14"/>
      <c r="H643" s="14"/>
      <c r="I643" s="14"/>
      <c r="J643" s="14"/>
      <c r="K643" s="302"/>
    </row>
    <row r="644" ht="19.5" customHeight="1">
      <c r="A644" s="12"/>
      <c r="C644" s="12"/>
      <c r="D644" s="87"/>
      <c r="F644" s="14"/>
      <c r="G644" s="14"/>
      <c r="H644" s="14"/>
      <c r="I644" s="14"/>
      <c r="J644" s="14"/>
      <c r="K644" s="302"/>
    </row>
    <row r="645" ht="19.5" customHeight="1">
      <c r="A645" s="12"/>
      <c r="C645" s="12"/>
      <c r="D645" s="87"/>
      <c r="F645" s="14"/>
      <c r="G645" s="14"/>
      <c r="H645" s="14"/>
      <c r="I645" s="14"/>
      <c r="J645" s="14"/>
      <c r="K645" s="302"/>
    </row>
    <row r="646" ht="19.5" customHeight="1">
      <c r="A646" s="12"/>
      <c r="C646" s="12"/>
      <c r="D646" s="87"/>
      <c r="F646" s="14"/>
      <c r="G646" s="14"/>
      <c r="H646" s="14"/>
      <c r="I646" s="14"/>
      <c r="J646" s="14"/>
      <c r="K646" s="302"/>
    </row>
    <row r="647" ht="19.5" customHeight="1">
      <c r="A647" s="12"/>
      <c r="C647" s="12"/>
      <c r="D647" s="87"/>
      <c r="F647" s="14"/>
      <c r="G647" s="14"/>
      <c r="H647" s="14"/>
      <c r="I647" s="14"/>
      <c r="J647" s="14"/>
      <c r="K647" s="302"/>
    </row>
    <row r="648" ht="19.5" customHeight="1">
      <c r="A648" s="12"/>
      <c r="C648" s="12"/>
      <c r="D648" s="87"/>
      <c r="F648" s="14"/>
      <c r="G648" s="14"/>
      <c r="H648" s="14"/>
      <c r="I648" s="14"/>
      <c r="J648" s="14"/>
      <c r="K648" s="302"/>
    </row>
    <row r="649" ht="19.5" customHeight="1">
      <c r="A649" s="12"/>
      <c r="C649" s="12"/>
      <c r="D649" s="87"/>
      <c r="F649" s="14"/>
      <c r="G649" s="14"/>
      <c r="H649" s="14"/>
      <c r="I649" s="14"/>
      <c r="J649" s="14"/>
      <c r="K649" s="302"/>
    </row>
    <row r="650" ht="19.5" customHeight="1">
      <c r="A650" s="12"/>
      <c r="C650" s="12"/>
      <c r="D650" s="87"/>
      <c r="F650" s="14"/>
      <c r="G650" s="14"/>
      <c r="H650" s="14"/>
      <c r="I650" s="14"/>
      <c r="J650" s="14"/>
      <c r="K650" s="302"/>
    </row>
    <row r="651" ht="19.5" customHeight="1">
      <c r="A651" s="12"/>
      <c r="C651" s="12"/>
      <c r="D651" s="87"/>
      <c r="F651" s="14"/>
      <c r="G651" s="14"/>
      <c r="H651" s="14"/>
      <c r="I651" s="14"/>
      <c r="J651" s="14"/>
      <c r="K651" s="302"/>
    </row>
    <row r="652" ht="19.5" customHeight="1">
      <c r="A652" s="12"/>
      <c r="C652" s="12"/>
      <c r="D652" s="87"/>
      <c r="F652" s="14"/>
      <c r="G652" s="14"/>
      <c r="H652" s="14"/>
      <c r="I652" s="14"/>
      <c r="J652" s="14"/>
      <c r="K652" s="302"/>
    </row>
    <row r="653" ht="19.5" customHeight="1">
      <c r="A653" s="12"/>
      <c r="C653" s="12"/>
      <c r="D653" s="87"/>
      <c r="F653" s="14"/>
      <c r="G653" s="14"/>
      <c r="H653" s="14"/>
      <c r="I653" s="14"/>
      <c r="J653" s="14"/>
      <c r="K653" s="302"/>
    </row>
    <row r="654" ht="19.5" customHeight="1">
      <c r="A654" s="12"/>
      <c r="C654" s="12"/>
      <c r="D654" s="87"/>
      <c r="F654" s="14"/>
      <c r="G654" s="14"/>
      <c r="H654" s="14"/>
      <c r="I654" s="14"/>
      <c r="J654" s="14"/>
      <c r="K654" s="302"/>
    </row>
    <row r="655" ht="19.5" customHeight="1">
      <c r="A655" s="12"/>
      <c r="C655" s="12"/>
      <c r="D655" s="87"/>
      <c r="F655" s="14"/>
      <c r="G655" s="14"/>
      <c r="H655" s="14"/>
      <c r="I655" s="14"/>
      <c r="J655" s="14"/>
      <c r="K655" s="302"/>
    </row>
    <row r="656" ht="19.5" customHeight="1">
      <c r="A656" s="12"/>
      <c r="C656" s="12"/>
      <c r="D656" s="87"/>
      <c r="F656" s="14"/>
      <c r="G656" s="14"/>
      <c r="H656" s="14"/>
      <c r="I656" s="14"/>
      <c r="J656" s="14"/>
      <c r="K656" s="302"/>
    </row>
    <row r="657" ht="19.5" customHeight="1">
      <c r="A657" s="12"/>
      <c r="C657" s="12"/>
      <c r="D657" s="87"/>
      <c r="F657" s="14"/>
      <c r="G657" s="14"/>
      <c r="H657" s="14"/>
      <c r="I657" s="14"/>
      <c r="J657" s="14"/>
      <c r="K657" s="302"/>
    </row>
    <row r="658" ht="19.5" customHeight="1">
      <c r="A658" s="12"/>
      <c r="C658" s="12"/>
      <c r="D658" s="87"/>
      <c r="F658" s="14"/>
      <c r="G658" s="14"/>
      <c r="H658" s="14"/>
      <c r="I658" s="14"/>
      <c r="J658" s="14"/>
      <c r="K658" s="302"/>
    </row>
    <row r="659" ht="19.5" customHeight="1">
      <c r="A659" s="12"/>
      <c r="C659" s="12"/>
      <c r="D659" s="87"/>
      <c r="F659" s="14"/>
      <c r="G659" s="14"/>
      <c r="H659" s="14"/>
      <c r="I659" s="14"/>
      <c r="J659" s="14"/>
      <c r="K659" s="302"/>
    </row>
    <row r="660" ht="19.5" customHeight="1">
      <c r="A660" s="12"/>
      <c r="C660" s="12"/>
      <c r="D660" s="87"/>
      <c r="F660" s="14"/>
      <c r="G660" s="14"/>
      <c r="H660" s="14"/>
      <c r="I660" s="14"/>
      <c r="J660" s="14"/>
      <c r="K660" s="302"/>
    </row>
    <row r="661" ht="19.5" customHeight="1">
      <c r="A661" s="12"/>
      <c r="C661" s="12"/>
      <c r="D661" s="87"/>
      <c r="F661" s="14"/>
      <c r="G661" s="14"/>
      <c r="H661" s="14"/>
      <c r="I661" s="14"/>
      <c r="J661" s="14"/>
      <c r="K661" s="302"/>
    </row>
    <row r="662" ht="19.5" customHeight="1">
      <c r="A662" s="12"/>
      <c r="C662" s="12"/>
      <c r="D662" s="87"/>
      <c r="F662" s="14"/>
      <c r="G662" s="14"/>
      <c r="H662" s="14"/>
      <c r="I662" s="14"/>
      <c r="J662" s="14"/>
      <c r="K662" s="302"/>
    </row>
    <row r="663" ht="19.5" customHeight="1">
      <c r="A663" s="12"/>
      <c r="C663" s="12"/>
      <c r="D663" s="87"/>
      <c r="F663" s="14"/>
      <c r="G663" s="14"/>
      <c r="H663" s="14"/>
      <c r="I663" s="14"/>
      <c r="J663" s="14"/>
      <c r="K663" s="302"/>
    </row>
    <row r="664" ht="19.5" customHeight="1">
      <c r="A664" s="12"/>
      <c r="C664" s="12"/>
      <c r="D664" s="87"/>
      <c r="F664" s="14"/>
      <c r="G664" s="14"/>
      <c r="H664" s="14"/>
      <c r="I664" s="14"/>
      <c r="J664" s="14"/>
      <c r="K664" s="302"/>
    </row>
    <row r="665" ht="19.5" customHeight="1">
      <c r="A665" s="12"/>
      <c r="C665" s="12"/>
      <c r="D665" s="87"/>
      <c r="F665" s="14"/>
      <c r="G665" s="14"/>
      <c r="H665" s="14"/>
      <c r="I665" s="14"/>
      <c r="J665" s="14"/>
      <c r="K665" s="302"/>
    </row>
    <row r="666" ht="19.5" customHeight="1">
      <c r="A666" s="12"/>
      <c r="C666" s="12"/>
      <c r="D666" s="87"/>
      <c r="F666" s="14"/>
      <c r="G666" s="14"/>
      <c r="H666" s="14"/>
      <c r="I666" s="14"/>
      <c r="J666" s="14"/>
      <c r="K666" s="302"/>
    </row>
    <row r="667" ht="19.5" customHeight="1">
      <c r="A667" s="12"/>
      <c r="C667" s="12"/>
      <c r="D667" s="87"/>
      <c r="F667" s="14"/>
      <c r="G667" s="14"/>
      <c r="H667" s="14"/>
      <c r="I667" s="14"/>
      <c r="J667" s="14"/>
      <c r="K667" s="302"/>
    </row>
    <row r="668" ht="19.5" customHeight="1">
      <c r="A668" s="12"/>
      <c r="C668" s="12"/>
      <c r="D668" s="87"/>
      <c r="F668" s="14"/>
      <c r="G668" s="14"/>
      <c r="H668" s="14"/>
      <c r="I668" s="14"/>
      <c r="J668" s="14"/>
      <c r="K668" s="302"/>
    </row>
    <row r="669" ht="19.5" customHeight="1">
      <c r="A669" s="12"/>
      <c r="C669" s="12"/>
      <c r="D669" s="87"/>
      <c r="F669" s="14"/>
      <c r="G669" s="14"/>
      <c r="H669" s="14"/>
      <c r="I669" s="14"/>
      <c r="J669" s="14"/>
      <c r="K669" s="302"/>
    </row>
    <row r="670" ht="19.5" customHeight="1">
      <c r="A670" s="12"/>
      <c r="C670" s="12"/>
      <c r="D670" s="87"/>
      <c r="F670" s="14"/>
      <c r="G670" s="14"/>
      <c r="H670" s="14"/>
      <c r="I670" s="14"/>
      <c r="J670" s="14"/>
      <c r="K670" s="302"/>
    </row>
    <row r="671" ht="19.5" customHeight="1">
      <c r="A671" s="12"/>
      <c r="C671" s="12"/>
      <c r="D671" s="87"/>
      <c r="F671" s="14"/>
      <c r="G671" s="14"/>
      <c r="H671" s="14"/>
      <c r="I671" s="14"/>
      <c r="J671" s="14"/>
      <c r="K671" s="302"/>
    </row>
    <row r="672" ht="19.5" customHeight="1">
      <c r="A672" s="12"/>
      <c r="C672" s="12"/>
      <c r="D672" s="87"/>
      <c r="F672" s="14"/>
      <c r="G672" s="14"/>
      <c r="H672" s="14"/>
      <c r="I672" s="14"/>
      <c r="J672" s="14"/>
      <c r="K672" s="302"/>
    </row>
    <row r="673" ht="19.5" customHeight="1">
      <c r="A673" s="12"/>
      <c r="C673" s="12"/>
      <c r="D673" s="87"/>
      <c r="F673" s="14"/>
      <c r="G673" s="14"/>
      <c r="H673" s="14"/>
      <c r="I673" s="14"/>
      <c r="J673" s="14"/>
      <c r="K673" s="302"/>
    </row>
    <row r="674" ht="19.5" customHeight="1">
      <c r="A674" s="12"/>
      <c r="C674" s="12"/>
      <c r="D674" s="87"/>
      <c r="F674" s="14"/>
      <c r="G674" s="14"/>
      <c r="H674" s="14"/>
      <c r="I674" s="14"/>
      <c r="J674" s="14"/>
      <c r="K674" s="302"/>
    </row>
    <row r="675" ht="19.5" customHeight="1">
      <c r="A675" s="12"/>
      <c r="C675" s="12"/>
      <c r="D675" s="87"/>
      <c r="F675" s="14"/>
      <c r="G675" s="14"/>
      <c r="H675" s="14"/>
      <c r="I675" s="14"/>
      <c r="J675" s="14"/>
      <c r="K675" s="302"/>
    </row>
    <row r="676" ht="19.5" customHeight="1">
      <c r="A676" s="12"/>
      <c r="C676" s="12"/>
      <c r="D676" s="87"/>
      <c r="F676" s="14"/>
      <c r="G676" s="14"/>
      <c r="H676" s="14"/>
      <c r="I676" s="14"/>
      <c r="J676" s="14"/>
      <c r="K676" s="302"/>
    </row>
    <row r="677" ht="19.5" customHeight="1">
      <c r="A677" s="12"/>
      <c r="C677" s="12"/>
      <c r="D677" s="87"/>
      <c r="F677" s="14"/>
      <c r="G677" s="14"/>
      <c r="H677" s="14"/>
      <c r="I677" s="14"/>
      <c r="J677" s="14"/>
      <c r="K677" s="302"/>
    </row>
    <row r="678" ht="19.5" customHeight="1">
      <c r="A678" s="12"/>
      <c r="C678" s="12"/>
      <c r="D678" s="87"/>
      <c r="F678" s="14"/>
      <c r="G678" s="14"/>
      <c r="H678" s="14"/>
      <c r="I678" s="14"/>
      <c r="J678" s="14"/>
      <c r="K678" s="302"/>
    </row>
    <row r="679" ht="19.5" customHeight="1">
      <c r="A679" s="12"/>
      <c r="C679" s="12"/>
      <c r="D679" s="87"/>
      <c r="F679" s="14"/>
      <c r="G679" s="14"/>
      <c r="H679" s="14"/>
      <c r="I679" s="14"/>
      <c r="J679" s="14"/>
      <c r="K679" s="302"/>
    </row>
    <row r="680" ht="19.5" customHeight="1">
      <c r="A680" s="12"/>
      <c r="C680" s="12"/>
      <c r="D680" s="87"/>
      <c r="F680" s="14"/>
      <c r="G680" s="14"/>
      <c r="H680" s="14"/>
      <c r="I680" s="14"/>
      <c r="J680" s="14"/>
      <c r="K680" s="302"/>
    </row>
    <row r="681" ht="19.5" customHeight="1">
      <c r="A681" s="12"/>
      <c r="C681" s="12"/>
      <c r="D681" s="87"/>
      <c r="F681" s="14"/>
      <c r="G681" s="14"/>
      <c r="H681" s="14"/>
      <c r="I681" s="14"/>
      <c r="J681" s="14"/>
      <c r="K681" s="302"/>
    </row>
    <row r="682" ht="19.5" customHeight="1">
      <c r="A682" s="12"/>
      <c r="C682" s="12"/>
      <c r="D682" s="87"/>
      <c r="F682" s="14"/>
      <c r="G682" s="14"/>
      <c r="H682" s="14"/>
      <c r="I682" s="14"/>
      <c r="J682" s="14"/>
      <c r="K682" s="302"/>
    </row>
    <row r="683" ht="19.5" customHeight="1">
      <c r="A683" s="12"/>
      <c r="C683" s="12"/>
      <c r="D683" s="87"/>
      <c r="F683" s="14"/>
      <c r="G683" s="14"/>
      <c r="H683" s="14"/>
      <c r="I683" s="14"/>
      <c r="J683" s="14"/>
      <c r="K683" s="302"/>
    </row>
    <row r="684" ht="19.5" customHeight="1">
      <c r="A684" s="12"/>
      <c r="C684" s="12"/>
      <c r="D684" s="87"/>
      <c r="F684" s="14"/>
      <c r="G684" s="14"/>
      <c r="H684" s="14"/>
      <c r="I684" s="14"/>
      <c r="J684" s="14"/>
      <c r="K684" s="302"/>
    </row>
    <row r="685" ht="19.5" customHeight="1">
      <c r="A685" s="12"/>
      <c r="C685" s="12"/>
      <c r="D685" s="87"/>
      <c r="F685" s="14"/>
      <c r="G685" s="14"/>
      <c r="H685" s="14"/>
      <c r="I685" s="14"/>
      <c r="J685" s="14"/>
      <c r="K685" s="302"/>
    </row>
    <row r="686" ht="19.5" customHeight="1">
      <c r="A686" s="12"/>
      <c r="C686" s="12"/>
      <c r="D686" s="87"/>
      <c r="F686" s="14"/>
      <c r="G686" s="14"/>
      <c r="H686" s="14"/>
      <c r="I686" s="14"/>
      <c r="J686" s="14"/>
      <c r="K686" s="302"/>
    </row>
    <row r="687" ht="19.5" customHeight="1">
      <c r="A687" s="12"/>
      <c r="C687" s="12"/>
      <c r="D687" s="87"/>
      <c r="F687" s="14"/>
      <c r="G687" s="14"/>
      <c r="H687" s="14"/>
      <c r="I687" s="14"/>
      <c r="J687" s="14"/>
      <c r="K687" s="302"/>
    </row>
    <row r="688" ht="19.5" customHeight="1">
      <c r="A688" s="12"/>
      <c r="C688" s="12"/>
      <c r="D688" s="87"/>
      <c r="F688" s="14"/>
      <c r="G688" s="14"/>
      <c r="H688" s="14"/>
      <c r="I688" s="14"/>
      <c r="J688" s="14"/>
      <c r="K688" s="302"/>
    </row>
    <row r="689" ht="19.5" customHeight="1">
      <c r="A689" s="12"/>
      <c r="C689" s="12"/>
      <c r="D689" s="87"/>
      <c r="F689" s="14"/>
      <c r="G689" s="14"/>
      <c r="H689" s="14"/>
      <c r="I689" s="14"/>
      <c r="J689" s="14"/>
      <c r="K689" s="302"/>
    </row>
    <row r="690" ht="19.5" customHeight="1">
      <c r="A690" s="12"/>
      <c r="C690" s="12"/>
      <c r="D690" s="87"/>
      <c r="F690" s="14"/>
      <c r="G690" s="14"/>
      <c r="H690" s="14"/>
      <c r="I690" s="14"/>
      <c r="J690" s="14"/>
      <c r="K690" s="302"/>
    </row>
    <row r="691" ht="19.5" customHeight="1">
      <c r="A691" s="12"/>
      <c r="C691" s="12"/>
      <c r="D691" s="87"/>
      <c r="F691" s="14"/>
      <c r="G691" s="14"/>
      <c r="H691" s="14"/>
      <c r="I691" s="14"/>
      <c r="J691" s="14"/>
      <c r="K691" s="302"/>
    </row>
    <row r="692" ht="19.5" customHeight="1">
      <c r="A692" s="12"/>
      <c r="C692" s="12"/>
      <c r="D692" s="87"/>
      <c r="F692" s="14"/>
      <c r="G692" s="14"/>
      <c r="H692" s="14"/>
      <c r="I692" s="14"/>
      <c r="J692" s="14"/>
      <c r="K692" s="302"/>
    </row>
    <row r="693" ht="19.5" customHeight="1">
      <c r="A693" s="12"/>
      <c r="C693" s="12"/>
      <c r="D693" s="87"/>
      <c r="F693" s="14"/>
      <c r="G693" s="14"/>
      <c r="H693" s="14"/>
      <c r="I693" s="14"/>
      <c r="J693" s="14"/>
      <c r="K693" s="302"/>
    </row>
    <row r="694" ht="19.5" customHeight="1">
      <c r="A694" s="12"/>
      <c r="C694" s="12"/>
      <c r="D694" s="87"/>
      <c r="F694" s="14"/>
      <c r="G694" s="14"/>
      <c r="H694" s="14"/>
      <c r="I694" s="14"/>
      <c r="J694" s="14"/>
      <c r="K694" s="302"/>
    </row>
    <row r="695" ht="19.5" customHeight="1">
      <c r="A695" s="12"/>
      <c r="C695" s="12"/>
      <c r="D695" s="87"/>
      <c r="F695" s="14"/>
      <c r="G695" s="14"/>
      <c r="H695" s="14"/>
      <c r="I695" s="14"/>
      <c r="J695" s="14"/>
      <c r="K695" s="302"/>
    </row>
    <row r="696" ht="19.5" customHeight="1">
      <c r="A696" s="12"/>
      <c r="C696" s="12"/>
      <c r="D696" s="87"/>
      <c r="F696" s="14"/>
      <c r="G696" s="14"/>
      <c r="H696" s="14"/>
      <c r="I696" s="14"/>
      <c r="J696" s="14"/>
      <c r="K696" s="302"/>
    </row>
    <row r="697" ht="19.5" customHeight="1">
      <c r="A697" s="12"/>
      <c r="C697" s="12"/>
      <c r="D697" s="87"/>
      <c r="F697" s="14"/>
      <c r="G697" s="14"/>
      <c r="H697" s="14"/>
      <c r="I697" s="14"/>
      <c r="J697" s="14"/>
      <c r="K697" s="302"/>
    </row>
    <row r="698" ht="19.5" customHeight="1">
      <c r="A698" s="12"/>
      <c r="C698" s="12"/>
      <c r="D698" s="87"/>
      <c r="F698" s="14"/>
      <c r="G698" s="14"/>
      <c r="H698" s="14"/>
      <c r="I698" s="14"/>
      <c r="J698" s="14"/>
      <c r="K698" s="302"/>
    </row>
    <row r="699" ht="19.5" customHeight="1">
      <c r="A699" s="12"/>
      <c r="C699" s="12"/>
      <c r="D699" s="87"/>
      <c r="F699" s="14"/>
      <c r="G699" s="14"/>
      <c r="H699" s="14"/>
      <c r="I699" s="14"/>
      <c r="J699" s="14"/>
      <c r="K699" s="302"/>
    </row>
    <row r="700" ht="19.5" customHeight="1">
      <c r="A700" s="12"/>
      <c r="C700" s="12"/>
      <c r="D700" s="87"/>
      <c r="F700" s="14"/>
      <c r="G700" s="14"/>
      <c r="H700" s="14"/>
      <c r="I700" s="14"/>
      <c r="J700" s="14"/>
      <c r="K700" s="302"/>
    </row>
    <row r="701" ht="19.5" customHeight="1">
      <c r="A701" s="12"/>
      <c r="C701" s="12"/>
      <c r="D701" s="87"/>
      <c r="F701" s="14"/>
      <c r="G701" s="14"/>
      <c r="H701" s="14"/>
      <c r="I701" s="14"/>
      <c r="J701" s="14"/>
      <c r="K701" s="302"/>
    </row>
    <row r="702" ht="19.5" customHeight="1">
      <c r="A702" s="12"/>
      <c r="C702" s="12"/>
      <c r="D702" s="87"/>
      <c r="F702" s="14"/>
      <c r="G702" s="14"/>
      <c r="H702" s="14"/>
      <c r="I702" s="14"/>
      <c r="J702" s="14"/>
      <c r="K702" s="302"/>
    </row>
    <row r="703" ht="19.5" customHeight="1">
      <c r="A703" s="12"/>
      <c r="C703" s="12"/>
      <c r="D703" s="87"/>
      <c r="F703" s="14"/>
      <c r="G703" s="14"/>
      <c r="H703" s="14"/>
      <c r="I703" s="14"/>
      <c r="J703" s="14"/>
      <c r="K703" s="302"/>
    </row>
    <row r="704" ht="19.5" customHeight="1">
      <c r="A704" s="12"/>
      <c r="C704" s="12"/>
      <c r="D704" s="87"/>
      <c r="F704" s="14"/>
      <c r="G704" s="14"/>
      <c r="H704" s="14"/>
      <c r="I704" s="14"/>
      <c r="J704" s="14"/>
      <c r="K704" s="302"/>
    </row>
    <row r="705" ht="19.5" customHeight="1">
      <c r="A705" s="12"/>
      <c r="C705" s="12"/>
      <c r="D705" s="87"/>
      <c r="F705" s="14"/>
      <c r="G705" s="14"/>
      <c r="H705" s="14"/>
      <c r="I705" s="14"/>
      <c r="J705" s="14"/>
      <c r="K705" s="302"/>
    </row>
    <row r="706" ht="19.5" customHeight="1">
      <c r="A706" s="12"/>
      <c r="C706" s="12"/>
      <c r="D706" s="87"/>
      <c r="F706" s="14"/>
      <c r="G706" s="14"/>
      <c r="H706" s="14"/>
      <c r="I706" s="14"/>
      <c r="J706" s="14"/>
      <c r="K706" s="302"/>
    </row>
    <row r="707" ht="19.5" customHeight="1">
      <c r="A707" s="12"/>
      <c r="C707" s="12"/>
      <c r="D707" s="87"/>
      <c r="F707" s="14"/>
      <c r="G707" s="14"/>
      <c r="H707" s="14"/>
      <c r="I707" s="14"/>
      <c r="J707" s="14"/>
      <c r="K707" s="302"/>
    </row>
    <row r="708" ht="19.5" customHeight="1">
      <c r="A708" s="12"/>
      <c r="C708" s="12"/>
      <c r="D708" s="87"/>
      <c r="F708" s="14"/>
      <c r="G708" s="14"/>
      <c r="H708" s="14"/>
      <c r="I708" s="14"/>
      <c r="J708" s="14"/>
      <c r="K708" s="302"/>
    </row>
    <row r="709" ht="19.5" customHeight="1">
      <c r="A709" s="12"/>
      <c r="C709" s="12"/>
      <c r="D709" s="87"/>
      <c r="F709" s="14"/>
      <c r="G709" s="14"/>
      <c r="H709" s="14"/>
      <c r="I709" s="14"/>
      <c r="J709" s="14"/>
      <c r="K709" s="302"/>
    </row>
    <row r="710" ht="19.5" customHeight="1">
      <c r="A710" s="12"/>
      <c r="C710" s="12"/>
      <c r="D710" s="87"/>
      <c r="F710" s="14"/>
      <c r="G710" s="14"/>
      <c r="H710" s="14"/>
      <c r="I710" s="14"/>
      <c r="J710" s="14"/>
      <c r="K710" s="302"/>
    </row>
    <row r="711" ht="19.5" customHeight="1">
      <c r="A711" s="12"/>
      <c r="C711" s="12"/>
      <c r="D711" s="87"/>
      <c r="F711" s="14"/>
      <c r="G711" s="14"/>
      <c r="H711" s="14"/>
      <c r="I711" s="14"/>
      <c r="J711" s="14"/>
      <c r="K711" s="302"/>
    </row>
    <row r="712" ht="19.5" customHeight="1">
      <c r="A712" s="12"/>
      <c r="C712" s="12"/>
      <c r="D712" s="87"/>
      <c r="F712" s="14"/>
      <c r="G712" s="14"/>
      <c r="H712" s="14"/>
      <c r="I712" s="14"/>
      <c r="J712" s="14"/>
      <c r="K712" s="302"/>
    </row>
    <row r="713" ht="19.5" customHeight="1">
      <c r="A713" s="12"/>
      <c r="C713" s="12"/>
      <c r="D713" s="87"/>
      <c r="F713" s="14"/>
      <c r="G713" s="14"/>
      <c r="H713" s="14"/>
      <c r="I713" s="14"/>
      <c r="J713" s="14"/>
      <c r="K713" s="302"/>
    </row>
    <row r="714" ht="19.5" customHeight="1">
      <c r="A714" s="12"/>
      <c r="C714" s="12"/>
      <c r="D714" s="87"/>
      <c r="F714" s="14"/>
      <c r="G714" s="14"/>
      <c r="H714" s="14"/>
      <c r="I714" s="14"/>
      <c r="J714" s="14"/>
      <c r="K714" s="302"/>
    </row>
    <row r="715" ht="19.5" customHeight="1">
      <c r="A715" s="12"/>
      <c r="C715" s="12"/>
      <c r="D715" s="87"/>
      <c r="F715" s="14"/>
      <c r="G715" s="14"/>
      <c r="H715" s="14"/>
      <c r="I715" s="14"/>
      <c r="J715" s="14"/>
      <c r="K715" s="302"/>
    </row>
    <row r="716" ht="19.5" customHeight="1">
      <c r="A716" s="12"/>
      <c r="C716" s="12"/>
      <c r="D716" s="87"/>
      <c r="F716" s="14"/>
      <c r="G716" s="14"/>
      <c r="H716" s="14"/>
      <c r="I716" s="14"/>
      <c r="J716" s="14"/>
      <c r="K716" s="302"/>
    </row>
    <row r="717" ht="19.5" customHeight="1">
      <c r="A717" s="12"/>
      <c r="C717" s="12"/>
      <c r="D717" s="87"/>
      <c r="F717" s="14"/>
      <c r="G717" s="14"/>
      <c r="H717" s="14"/>
      <c r="I717" s="14"/>
      <c r="J717" s="14"/>
      <c r="K717" s="302"/>
    </row>
    <row r="718" ht="19.5" customHeight="1">
      <c r="A718" s="12"/>
      <c r="C718" s="12"/>
      <c r="D718" s="87"/>
      <c r="F718" s="14"/>
      <c r="G718" s="14"/>
      <c r="H718" s="14"/>
      <c r="I718" s="14"/>
      <c r="J718" s="14"/>
      <c r="K718" s="302"/>
    </row>
    <row r="719" ht="19.5" customHeight="1">
      <c r="A719" s="12"/>
      <c r="C719" s="12"/>
      <c r="D719" s="87"/>
      <c r="F719" s="14"/>
      <c r="G719" s="14"/>
      <c r="H719" s="14"/>
      <c r="I719" s="14"/>
      <c r="J719" s="14"/>
      <c r="K719" s="302"/>
    </row>
    <row r="720" ht="19.5" customHeight="1">
      <c r="A720" s="12"/>
      <c r="C720" s="12"/>
      <c r="D720" s="87"/>
      <c r="F720" s="14"/>
      <c r="G720" s="14"/>
      <c r="H720" s="14"/>
      <c r="I720" s="14"/>
      <c r="J720" s="14"/>
      <c r="K720" s="302"/>
    </row>
    <row r="721" ht="19.5" customHeight="1">
      <c r="A721" s="12"/>
      <c r="C721" s="12"/>
      <c r="D721" s="87"/>
      <c r="F721" s="14"/>
      <c r="G721" s="14"/>
      <c r="H721" s="14"/>
      <c r="I721" s="14"/>
      <c r="J721" s="14"/>
      <c r="K721" s="302"/>
    </row>
    <row r="722" ht="19.5" customHeight="1">
      <c r="A722" s="12"/>
      <c r="C722" s="12"/>
      <c r="D722" s="87"/>
      <c r="F722" s="14"/>
      <c r="G722" s="14"/>
      <c r="H722" s="14"/>
      <c r="I722" s="14"/>
      <c r="J722" s="14"/>
      <c r="K722" s="302"/>
    </row>
    <row r="723" ht="19.5" customHeight="1">
      <c r="A723" s="12"/>
      <c r="C723" s="12"/>
      <c r="D723" s="87"/>
      <c r="F723" s="14"/>
      <c r="G723" s="14"/>
      <c r="H723" s="14"/>
      <c r="I723" s="14"/>
      <c r="J723" s="14"/>
      <c r="K723" s="302"/>
    </row>
    <row r="724" ht="19.5" customHeight="1">
      <c r="A724" s="12"/>
      <c r="C724" s="12"/>
      <c r="D724" s="87"/>
      <c r="F724" s="14"/>
      <c r="G724" s="14"/>
      <c r="H724" s="14"/>
      <c r="I724" s="14"/>
      <c r="J724" s="14"/>
      <c r="K724" s="302"/>
    </row>
    <row r="725" ht="19.5" customHeight="1">
      <c r="A725" s="12"/>
      <c r="C725" s="12"/>
      <c r="D725" s="87"/>
      <c r="F725" s="14"/>
      <c r="G725" s="14"/>
      <c r="H725" s="14"/>
      <c r="I725" s="14"/>
      <c r="J725" s="14"/>
      <c r="K725" s="302"/>
    </row>
    <row r="726" ht="19.5" customHeight="1">
      <c r="A726" s="12"/>
      <c r="C726" s="12"/>
      <c r="D726" s="87"/>
      <c r="F726" s="14"/>
      <c r="G726" s="14"/>
      <c r="H726" s="14"/>
      <c r="I726" s="14"/>
      <c r="J726" s="14"/>
      <c r="K726" s="302"/>
    </row>
    <row r="727" ht="19.5" customHeight="1">
      <c r="A727" s="12"/>
      <c r="C727" s="12"/>
      <c r="D727" s="87"/>
      <c r="F727" s="14"/>
      <c r="G727" s="14"/>
      <c r="H727" s="14"/>
      <c r="I727" s="14"/>
      <c r="J727" s="14"/>
      <c r="K727" s="302"/>
    </row>
    <row r="728" ht="19.5" customHeight="1">
      <c r="A728" s="12"/>
      <c r="C728" s="12"/>
      <c r="D728" s="87"/>
      <c r="F728" s="14"/>
      <c r="G728" s="14"/>
      <c r="H728" s="14"/>
      <c r="I728" s="14"/>
      <c r="J728" s="14"/>
      <c r="K728" s="302"/>
    </row>
    <row r="729" ht="19.5" customHeight="1">
      <c r="A729" s="12"/>
      <c r="C729" s="12"/>
      <c r="D729" s="87"/>
      <c r="F729" s="14"/>
      <c r="G729" s="14"/>
      <c r="H729" s="14"/>
      <c r="I729" s="14"/>
      <c r="J729" s="14"/>
      <c r="K729" s="302"/>
    </row>
    <row r="730" ht="19.5" customHeight="1">
      <c r="A730" s="12"/>
      <c r="C730" s="12"/>
      <c r="D730" s="87"/>
      <c r="F730" s="14"/>
      <c r="G730" s="14"/>
      <c r="H730" s="14"/>
      <c r="I730" s="14"/>
      <c r="J730" s="14"/>
      <c r="K730" s="302"/>
    </row>
    <row r="731" ht="19.5" customHeight="1">
      <c r="A731" s="12"/>
      <c r="C731" s="12"/>
      <c r="D731" s="87"/>
      <c r="F731" s="14"/>
      <c r="G731" s="14"/>
      <c r="H731" s="14"/>
      <c r="I731" s="14"/>
      <c r="J731" s="14"/>
      <c r="K731" s="302"/>
    </row>
    <row r="732" ht="19.5" customHeight="1">
      <c r="A732" s="12"/>
      <c r="C732" s="12"/>
      <c r="D732" s="87"/>
      <c r="F732" s="14"/>
      <c r="G732" s="14"/>
      <c r="H732" s="14"/>
      <c r="I732" s="14"/>
      <c r="J732" s="14"/>
      <c r="K732" s="302"/>
    </row>
    <row r="733" ht="19.5" customHeight="1">
      <c r="A733" s="12"/>
      <c r="C733" s="12"/>
      <c r="D733" s="87"/>
      <c r="F733" s="14"/>
      <c r="G733" s="14"/>
      <c r="H733" s="14"/>
      <c r="I733" s="14"/>
      <c r="J733" s="14"/>
      <c r="K733" s="302"/>
    </row>
    <row r="734" ht="19.5" customHeight="1">
      <c r="A734" s="12"/>
      <c r="C734" s="12"/>
      <c r="D734" s="87"/>
      <c r="F734" s="14"/>
      <c r="G734" s="14"/>
      <c r="H734" s="14"/>
      <c r="I734" s="14"/>
      <c r="J734" s="14"/>
      <c r="K734" s="302"/>
    </row>
    <row r="735" ht="19.5" customHeight="1">
      <c r="A735" s="12"/>
      <c r="C735" s="12"/>
      <c r="D735" s="87"/>
      <c r="F735" s="14"/>
      <c r="G735" s="14"/>
      <c r="H735" s="14"/>
      <c r="I735" s="14"/>
      <c r="J735" s="14"/>
      <c r="K735" s="302"/>
    </row>
    <row r="736" ht="19.5" customHeight="1">
      <c r="A736" s="12"/>
      <c r="C736" s="12"/>
      <c r="D736" s="87"/>
      <c r="F736" s="14"/>
      <c r="G736" s="14"/>
      <c r="H736" s="14"/>
      <c r="I736" s="14"/>
      <c r="J736" s="14"/>
      <c r="K736" s="302"/>
    </row>
    <row r="737" ht="19.5" customHeight="1">
      <c r="A737" s="12"/>
      <c r="C737" s="12"/>
      <c r="D737" s="87"/>
      <c r="F737" s="14"/>
      <c r="G737" s="14"/>
      <c r="H737" s="14"/>
      <c r="I737" s="14"/>
      <c r="J737" s="14"/>
      <c r="K737" s="302"/>
    </row>
    <row r="738" ht="19.5" customHeight="1">
      <c r="A738" s="12"/>
      <c r="C738" s="12"/>
      <c r="D738" s="87"/>
      <c r="F738" s="14"/>
      <c r="G738" s="14"/>
      <c r="H738" s="14"/>
      <c r="I738" s="14"/>
      <c r="J738" s="14"/>
      <c r="K738" s="302"/>
    </row>
    <row r="739" ht="19.5" customHeight="1">
      <c r="A739" s="12"/>
      <c r="C739" s="12"/>
      <c r="D739" s="87"/>
      <c r="F739" s="14"/>
      <c r="G739" s="14"/>
      <c r="H739" s="14"/>
      <c r="I739" s="14"/>
      <c r="J739" s="14"/>
      <c r="K739" s="302"/>
    </row>
    <row r="740" ht="19.5" customHeight="1">
      <c r="A740" s="12"/>
      <c r="C740" s="12"/>
      <c r="D740" s="87"/>
      <c r="F740" s="14"/>
      <c r="G740" s="14"/>
      <c r="H740" s="14"/>
      <c r="I740" s="14"/>
      <c r="J740" s="14"/>
      <c r="K740" s="302"/>
    </row>
    <row r="741" ht="19.5" customHeight="1">
      <c r="A741" s="12"/>
      <c r="C741" s="12"/>
      <c r="D741" s="87"/>
      <c r="F741" s="14"/>
      <c r="G741" s="14"/>
      <c r="H741" s="14"/>
      <c r="I741" s="14"/>
      <c r="J741" s="14"/>
      <c r="K741" s="302"/>
    </row>
    <row r="742" ht="19.5" customHeight="1">
      <c r="A742" s="12"/>
      <c r="C742" s="12"/>
      <c r="D742" s="87"/>
      <c r="F742" s="14"/>
      <c r="G742" s="14"/>
      <c r="H742" s="14"/>
      <c r="I742" s="14"/>
      <c r="J742" s="14"/>
      <c r="K742" s="302"/>
    </row>
    <row r="743" ht="19.5" customHeight="1">
      <c r="A743" s="12"/>
      <c r="C743" s="12"/>
      <c r="D743" s="87"/>
      <c r="F743" s="14"/>
      <c r="G743" s="14"/>
      <c r="H743" s="14"/>
      <c r="I743" s="14"/>
      <c r="J743" s="14"/>
      <c r="K743" s="302"/>
    </row>
    <row r="744" ht="19.5" customHeight="1">
      <c r="A744" s="12"/>
      <c r="C744" s="12"/>
      <c r="D744" s="87"/>
      <c r="F744" s="14"/>
      <c r="G744" s="14"/>
      <c r="H744" s="14"/>
      <c r="I744" s="14"/>
      <c r="J744" s="14"/>
      <c r="K744" s="302"/>
    </row>
    <row r="745" ht="19.5" customHeight="1">
      <c r="A745" s="12"/>
      <c r="C745" s="12"/>
      <c r="D745" s="87"/>
      <c r="F745" s="14"/>
      <c r="G745" s="14"/>
      <c r="H745" s="14"/>
      <c r="I745" s="14"/>
      <c r="J745" s="14"/>
      <c r="K745" s="302"/>
    </row>
    <row r="746" ht="19.5" customHeight="1">
      <c r="A746" s="12"/>
      <c r="C746" s="12"/>
      <c r="D746" s="87"/>
      <c r="F746" s="14"/>
      <c r="G746" s="14"/>
      <c r="H746" s="14"/>
      <c r="I746" s="14"/>
      <c r="J746" s="14"/>
      <c r="K746" s="302"/>
    </row>
    <row r="747" ht="19.5" customHeight="1">
      <c r="A747" s="12"/>
      <c r="C747" s="12"/>
      <c r="D747" s="87"/>
      <c r="F747" s="14"/>
      <c r="G747" s="14"/>
      <c r="H747" s="14"/>
      <c r="I747" s="14"/>
      <c r="J747" s="14"/>
      <c r="K747" s="302"/>
    </row>
    <row r="748" ht="19.5" customHeight="1">
      <c r="A748" s="12"/>
      <c r="C748" s="12"/>
      <c r="D748" s="87"/>
      <c r="F748" s="14"/>
      <c r="G748" s="14"/>
      <c r="H748" s="14"/>
      <c r="I748" s="14"/>
      <c r="J748" s="14"/>
      <c r="K748" s="302"/>
    </row>
    <row r="749" ht="19.5" customHeight="1">
      <c r="A749" s="12"/>
      <c r="C749" s="12"/>
      <c r="D749" s="87"/>
      <c r="F749" s="14"/>
      <c r="G749" s="14"/>
      <c r="H749" s="14"/>
      <c r="I749" s="14"/>
      <c r="J749" s="14"/>
      <c r="K749" s="302"/>
    </row>
    <row r="750" ht="19.5" customHeight="1">
      <c r="A750" s="12"/>
      <c r="C750" s="12"/>
      <c r="D750" s="87"/>
      <c r="F750" s="14"/>
      <c r="G750" s="14"/>
      <c r="H750" s="14"/>
      <c r="I750" s="14"/>
      <c r="J750" s="14"/>
      <c r="K750" s="302"/>
    </row>
    <row r="751" ht="19.5" customHeight="1">
      <c r="A751" s="12"/>
      <c r="C751" s="12"/>
      <c r="D751" s="87"/>
      <c r="F751" s="14"/>
      <c r="G751" s="14"/>
      <c r="H751" s="14"/>
      <c r="I751" s="14"/>
      <c r="J751" s="14"/>
      <c r="K751" s="302"/>
    </row>
    <row r="752" ht="19.5" customHeight="1">
      <c r="A752" s="12"/>
      <c r="C752" s="12"/>
      <c r="D752" s="87"/>
      <c r="F752" s="14"/>
      <c r="G752" s="14"/>
      <c r="H752" s="14"/>
      <c r="I752" s="14"/>
      <c r="J752" s="14"/>
      <c r="K752" s="302"/>
    </row>
    <row r="753" ht="19.5" customHeight="1">
      <c r="A753" s="12"/>
      <c r="C753" s="12"/>
      <c r="D753" s="87"/>
      <c r="F753" s="14"/>
      <c r="G753" s="14"/>
      <c r="H753" s="14"/>
      <c r="I753" s="14"/>
      <c r="J753" s="14"/>
      <c r="K753" s="302"/>
    </row>
    <row r="754" ht="19.5" customHeight="1">
      <c r="A754" s="12"/>
      <c r="C754" s="12"/>
      <c r="D754" s="87"/>
      <c r="F754" s="14"/>
      <c r="G754" s="14"/>
      <c r="H754" s="14"/>
      <c r="I754" s="14"/>
      <c r="J754" s="14"/>
      <c r="K754" s="302"/>
    </row>
    <row r="755" ht="19.5" customHeight="1">
      <c r="A755" s="12"/>
      <c r="C755" s="12"/>
      <c r="D755" s="87"/>
      <c r="F755" s="14"/>
      <c r="G755" s="14"/>
      <c r="H755" s="14"/>
      <c r="I755" s="14"/>
      <c r="J755" s="14"/>
      <c r="K755" s="302"/>
    </row>
    <row r="756" ht="19.5" customHeight="1">
      <c r="A756" s="12"/>
      <c r="C756" s="12"/>
      <c r="D756" s="87"/>
      <c r="F756" s="14"/>
      <c r="G756" s="14"/>
      <c r="H756" s="14"/>
      <c r="I756" s="14"/>
      <c r="J756" s="14"/>
      <c r="K756" s="302"/>
    </row>
    <row r="757" ht="19.5" customHeight="1">
      <c r="A757" s="12"/>
      <c r="C757" s="12"/>
      <c r="D757" s="87"/>
      <c r="F757" s="14"/>
      <c r="G757" s="14"/>
      <c r="H757" s="14"/>
      <c r="I757" s="14"/>
      <c r="J757" s="14"/>
      <c r="K757" s="302"/>
    </row>
    <row r="758" ht="19.5" customHeight="1">
      <c r="A758" s="12"/>
      <c r="C758" s="12"/>
      <c r="D758" s="87"/>
      <c r="F758" s="14"/>
      <c r="G758" s="14"/>
      <c r="H758" s="14"/>
      <c r="I758" s="14"/>
      <c r="J758" s="14"/>
      <c r="K758" s="302"/>
    </row>
    <row r="759" ht="19.5" customHeight="1">
      <c r="A759" s="12"/>
      <c r="C759" s="12"/>
      <c r="D759" s="87"/>
      <c r="F759" s="14"/>
      <c r="G759" s="14"/>
      <c r="H759" s="14"/>
      <c r="I759" s="14"/>
      <c r="J759" s="14"/>
      <c r="K759" s="302"/>
    </row>
    <row r="760" ht="19.5" customHeight="1">
      <c r="A760" s="12"/>
      <c r="C760" s="12"/>
      <c r="D760" s="87"/>
      <c r="F760" s="14"/>
      <c r="G760" s="14"/>
      <c r="H760" s="14"/>
      <c r="I760" s="14"/>
      <c r="J760" s="14"/>
      <c r="K760" s="302"/>
    </row>
    <row r="761" ht="19.5" customHeight="1">
      <c r="A761" s="12"/>
      <c r="C761" s="12"/>
      <c r="D761" s="87"/>
      <c r="F761" s="14"/>
      <c r="G761" s="14"/>
      <c r="H761" s="14"/>
      <c r="I761" s="14"/>
      <c r="J761" s="14"/>
      <c r="K761" s="302"/>
    </row>
    <row r="762" ht="19.5" customHeight="1">
      <c r="A762" s="12"/>
      <c r="C762" s="12"/>
      <c r="D762" s="87"/>
      <c r="F762" s="14"/>
      <c r="G762" s="14"/>
      <c r="H762" s="14"/>
      <c r="I762" s="14"/>
      <c r="J762" s="14"/>
      <c r="K762" s="302"/>
    </row>
    <row r="763" ht="19.5" customHeight="1">
      <c r="A763" s="12"/>
      <c r="C763" s="12"/>
      <c r="D763" s="87"/>
      <c r="F763" s="14"/>
      <c r="G763" s="14"/>
      <c r="H763" s="14"/>
      <c r="I763" s="14"/>
      <c r="J763" s="14"/>
      <c r="K763" s="302"/>
    </row>
    <row r="764" ht="19.5" customHeight="1">
      <c r="A764" s="12"/>
      <c r="C764" s="12"/>
      <c r="D764" s="87"/>
      <c r="F764" s="14"/>
      <c r="G764" s="14"/>
      <c r="H764" s="14"/>
      <c r="I764" s="14"/>
      <c r="J764" s="14"/>
      <c r="K764" s="302"/>
    </row>
    <row r="765" ht="19.5" customHeight="1">
      <c r="A765" s="12"/>
      <c r="C765" s="12"/>
      <c r="D765" s="87"/>
      <c r="F765" s="14"/>
      <c r="G765" s="14"/>
      <c r="H765" s="14"/>
      <c r="I765" s="14"/>
      <c r="J765" s="14"/>
      <c r="K765" s="302"/>
    </row>
    <row r="766" ht="19.5" customHeight="1">
      <c r="A766" s="12"/>
      <c r="C766" s="12"/>
      <c r="D766" s="87"/>
      <c r="F766" s="14"/>
      <c r="G766" s="14"/>
      <c r="H766" s="14"/>
      <c r="I766" s="14"/>
      <c r="J766" s="14"/>
      <c r="K766" s="302"/>
    </row>
    <row r="767" ht="19.5" customHeight="1">
      <c r="A767" s="12"/>
      <c r="C767" s="12"/>
      <c r="D767" s="87"/>
      <c r="F767" s="14"/>
      <c r="G767" s="14"/>
      <c r="H767" s="14"/>
      <c r="I767" s="14"/>
      <c r="J767" s="14"/>
      <c r="K767" s="302"/>
    </row>
    <row r="768" ht="19.5" customHeight="1">
      <c r="A768" s="12"/>
      <c r="C768" s="12"/>
      <c r="D768" s="87"/>
      <c r="F768" s="14"/>
      <c r="G768" s="14"/>
      <c r="H768" s="14"/>
      <c r="I768" s="14"/>
      <c r="J768" s="14"/>
      <c r="K768" s="302"/>
    </row>
    <row r="769" ht="19.5" customHeight="1">
      <c r="A769" s="12"/>
      <c r="C769" s="12"/>
      <c r="D769" s="87"/>
      <c r="F769" s="14"/>
      <c r="G769" s="14"/>
      <c r="H769" s="14"/>
      <c r="I769" s="14"/>
      <c r="J769" s="14"/>
      <c r="K769" s="302"/>
    </row>
    <row r="770" ht="19.5" customHeight="1">
      <c r="A770" s="12"/>
      <c r="C770" s="12"/>
      <c r="D770" s="87"/>
      <c r="F770" s="14"/>
      <c r="G770" s="14"/>
      <c r="H770" s="14"/>
      <c r="I770" s="14"/>
      <c r="J770" s="14"/>
      <c r="K770" s="302"/>
    </row>
    <row r="771" ht="19.5" customHeight="1">
      <c r="A771" s="12"/>
      <c r="C771" s="12"/>
      <c r="D771" s="87"/>
      <c r="F771" s="14"/>
      <c r="G771" s="14"/>
      <c r="H771" s="14"/>
      <c r="I771" s="14"/>
      <c r="J771" s="14"/>
      <c r="K771" s="302"/>
    </row>
    <row r="772" ht="19.5" customHeight="1">
      <c r="A772" s="12"/>
      <c r="C772" s="12"/>
      <c r="D772" s="87"/>
      <c r="F772" s="14"/>
      <c r="G772" s="14"/>
      <c r="H772" s="14"/>
      <c r="I772" s="14"/>
      <c r="J772" s="14"/>
      <c r="K772" s="302"/>
    </row>
    <row r="773" ht="19.5" customHeight="1">
      <c r="A773" s="12"/>
      <c r="C773" s="12"/>
      <c r="D773" s="87"/>
      <c r="F773" s="14"/>
      <c r="G773" s="14"/>
      <c r="H773" s="14"/>
      <c r="I773" s="14"/>
      <c r="J773" s="14"/>
      <c r="K773" s="302"/>
    </row>
    <row r="774" ht="19.5" customHeight="1">
      <c r="A774" s="12"/>
      <c r="C774" s="12"/>
      <c r="D774" s="87"/>
      <c r="F774" s="14"/>
      <c r="G774" s="14"/>
      <c r="H774" s="14"/>
      <c r="I774" s="14"/>
      <c r="J774" s="14"/>
      <c r="K774" s="302"/>
    </row>
    <row r="775" ht="19.5" customHeight="1">
      <c r="A775" s="12"/>
      <c r="C775" s="12"/>
      <c r="D775" s="87"/>
      <c r="F775" s="14"/>
      <c r="G775" s="14"/>
      <c r="H775" s="14"/>
      <c r="I775" s="14"/>
      <c r="J775" s="14"/>
      <c r="K775" s="302"/>
    </row>
    <row r="776" ht="19.5" customHeight="1">
      <c r="A776" s="12"/>
      <c r="C776" s="12"/>
      <c r="D776" s="87"/>
      <c r="F776" s="14"/>
      <c r="G776" s="14"/>
      <c r="H776" s="14"/>
      <c r="I776" s="14"/>
      <c r="J776" s="14"/>
      <c r="K776" s="302"/>
    </row>
    <row r="777" ht="19.5" customHeight="1">
      <c r="A777" s="12"/>
      <c r="C777" s="12"/>
      <c r="D777" s="87"/>
      <c r="F777" s="14"/>
      <c r="G777" s="14"/>
      <c r="H777" s="14"/>
      <c r="I777" s="14"/>
      <c r="J777" s="14"/>
      <c r="K777" s="302"/>
    </row>
    <row r="778" ht="19.5" customHeight="1">
      <c r="A778" s="12"/>
      <c r="C778" s="12"/>
      <c r="D778" s="87"/>
      <c r="F778" s="14"/>
      <c r="G778" s="14"/>
      <c r="H778" s="14"/>
      <c r="I778" s="14"/>
      <c r="J778" s="14"/>
      <c r="K778" s="302"/>
    </row>
    <row r="779" ht="19.5" customHeight="1">
      <c r="A779" s="12"/>
      <c r="C779" s="12"/>
      <c r="D779" s="87"/>
      <c r="F779" s="14"/>
      <c r="G779" s="14"/>
      <c r="H779" s="14"/>
      <c r="I779" s="14"/>
      <c r="J779" s="14"/>
      <c r="K779" s="302"/>
    </row>
    <row r="780" ht="19.5" customHeight="1">
      <c r="A780" s="12"/>
      <c r="C780" s="12"/>
      <c r="D780" s="87"/>
      <c r="F780" s="14"/>
      <c r="G780" s="14"/>
      <c r="H780" s="14"/>
      <c r="I780" s="14"/>
      <c r="J780" s="14"/>
      <c r="K780" s="302"/>
    </row>
    <row r="781" ht="19.5" customHeight="1">
      <c r="A781" s="12"/>
      <c r="C781" s="12"/>
      <c r="D781" s="87"/>
      <c r="F781" s="14"/>
      <c r="G781" s="14"/>
      <c r="H781" s="14"/>
      <c r="I781" s="14"/>
      <c r="J781" s="14"/>
      <c r="K781" s="302"/>
    </row>
    <row r="782" ht="19.5" customHeight="1">
      <c r="A782" s="12"/>
      <c r="C782" s="12"/>
      <c r="D782" s="87"/>
      <c r="F782" s="14"/>
      <c r="G782" s="14"/>
      <c r="H782" s="14"/>
      <c r="I782" s="14"/>
      <c r="J782" s="14"/>
      <c r="K782" s="302"/>
    </row>
    <row r="783" ht="19.5" customHeight="1">
      <c r="A783" s="12"/>
      <c r="C783" s="12"/>
      <c r="D783" s="87"/>
      <c r="F783" s="14"/>
      <c r="G783" s="14"/>
      <c r="H783" s="14"/>
      <c r="I783" s="14"/>
      <c r="J783" s="14"/>
      <c r="K783" s="302"/>
    </row>
    <row r="784" ht="19.5" customHeight="1">
      <c r="A784" s="12"/>
      <c r="C784" s="12"/>
      <c r="D784" s="87"/>
      <c r="F784" s="14"/>
      <c r="G784" s="14"/>
      <c r="H784" s="14"/>
      <c r="I784" s="14"/>
      <c r="J784" s="14"/>
      <c r="K784" s="302"/>
    </row>
    <row r="785" ht="19.5" customHeight="1">
      <c r="A785" s="12"/>
      <c r="C785" s="12"/>
      <c r="D785" s="87"/>
      <c r="F785" s="14"/>
      <c r="G785" s="14"/>
      <c r="H785" s="14"/>
      <c r="I785" s="14"/>
      <c r="J785" s="14"/>
      <c r="K785" s="302"/>
    </row>
    <row r="786" ht="19.5" customHeight="1">
      <c r="A786" s="12"/>
      <c r="C786" s="12"/>
      <c r="D786" s="87"/>
      <c r="F786" s="14"/>
      <c r="G786" s="14"/>
      <c r="H786" s="14"/>
      <c r="I786" s="14"/>
      <c r="J786" s="14"/>
      <c r="K786" s="302"/>
    </row>
    <row r="787" ht="19.5" customHeight="1">
      <c r="A787" s="12"/>
      <c r="C787" s="12"/>
      <c r="D787" s="87"/>
      <c r="F787" s="14"/>
      <c r="G787" s="14"/>
      <c r="H787" s="14"/>
      <c r="I787" s="14"/>
      <c r="J787" s="14"/>
      <c r="K787" s="302"/>
    </row>
    <row r="788" ht="19.5" customHeight="1">
      <c r="A788" s="12"/>
      <c r="C788" s="12"/>
      <c r="D788" s="87"/>
      <c r="F788" s="14"/>
      <c r="G788" s="14"/>
      <c r="H788" s="14"/>
      <c r="I788" s="14"/>
      <c r="J788" s="14"/>
      <c r="K788" s="302"/>
    </row>
    <row r="789" ht="19.5" customHeight="1">
      <c r="A789" s="12"/>
      <c r="C789" s="12"/>
      <c r="D789" s="87"/>
      <c r="F789" s="14"/>
      <c r="G789" s="14"/>
      <c r="H789" s="14"/>
      <c r="I789" s="14"/>
      <c r="J789" s="14"/>
      <c r="K789" s="302"/>
    </row>
    <row r="790" ht="19.5" customHeight="1">
      <c r="A790" s="12"/>
      <c r="C790" s="12"/>
      <c r="D790" s="87"/>
      <c r="F790" s="14"/>
      <c r="G790" s="14"/>
      <c r="H790" s="14"/>
      <c r="I790" s="14"/>
      <c r="J790" s="14"/>
      <c r="K790" s="302"/>
    </row>
    <row r="791" ht="19.5" customHeight="1">
      <c r="A791" s="12"/>
      <c r="C791" s="12"/>
      <c r="D791" s="87"/>
      <c r="F791" s="14"/>
      <c r="G791" s="14"/>
      <c r="H791" s="14"/>
      <c r="I791" s="14"/>
      <c r="J791" s="14"/>
      <c r="K791" s="302"/>
    </row>
    <row r="792" ht="19.5" customHeight="1">
      <c r="A792" s="12"/>
      <c r="C792" s="12"/>
      <c r="D792" s="87"/>
      <c r="F792" s="14"/>
      <c r="G792" s="14"/>
      <c r="H792" s="14"/>
      <c r="I792" s="14"/>
      <c r="J792" s="14"/>
      <c r="K792" s="302"/>
    </row>
    <row r="793" ht="19.5" customHeight="1">
      <c r="A793" s="12"/>
      <c r="C793" s="12"/>
      <c r="D793" s="87"/>
      <c r="F793" s="14"/>
      <c r="G793" s="14"/>
      <c r="H793" s="14"/>
      <c r="I793" s="14"/>
      <c r="J793" s="14"/>
      <c r="K793" s="302"/>
    </row>
    <row r="794" ht="19.5" customHeight="1">
      <c r="A794" s="12"/>
      <c r="C794" s="12"/>
      <c r="D794" s="87"/>
      <c r="F794" s="14"/>
      <c r="G794" s="14"/>
      <c r="H794" s="14"/>
      <c r="I794" s="14"/>
      <c r="J794" s="14"/>
      <c r="K794" s="302"/>
    </row>
    <row r="795" ht="19.5" customHeight="1">
      <c r="A795" s="12"/>
      <c r="C795" s="12"/>
      <c r="D795" s="87"/>
      <c r="F795" s="14"/>
      <c r="G795" s="14"/>
      <c r="H795" s="14"/>
      <c r="I795" s="14"/>
      <c r="J795" s="14"/>
      <c r="K795" s="302"/>
    </row>
    <row r="796" ht="19.5" customHeight="1">
      <c r="A796" s="12"/>
      <c r="C796" s="12"/>
      <c r="D796" s="87"/>
      <c r="F796" s="14"/>
      <c r="G796" s="14"/>
      <c r="H796" s="14"/>
      <c r="I796" s="14"/>
      <c r="J796" s="14"/>
      <c r="K796" s="302"/>
    </row>
    <row r="797" ht="19.5" customHeight="1">
      <c r="A797" s="12"/>
      <c r="C797" s="12"/>
      <c r="D797" s="87"/>
      <c r="F797" s="14"/>
      <c r="G797" s="14"/>
      <c r="H797" s="14"/>
      <c r="I797" s="14"/>
      <c r="J797" s="14"/>
      <c r="K797" s="302"/>
    </row>
    <row r="798" ht="19.5" customHeight="1">
      <c r="A798" s="12"/>
      <c r="C798" s="12"/>
      <c r="D798" s="87"/>
      <c r="F798" s="14"/>
      <c r="G798" s="14"/>
      <c r="H798" s="14"/>
      <c r="I798" s="14"/>
      <c r="J798" s="14"/>
      <c r="K798" s="302"/>
    </row>
    <row r="799" ht="19.5" customHeight="1">
      <c r="A799" s="12"/>
      <c r="C799" s="12"/>
      <c r="D799" s="87"/>
      <c r="F799" s="14"/>
      <c r="G799" s="14"/>
      <c r="H799" s="14"/>
      <c r="I799" s="14"/>
      <c r="J799" s="14"/>
      <c r="K799" s="302"/>
    </row>
    <row r="800" ht="19.5" customHeight="1">
      <c r="A800" s="12"/>
      <c r="C800" s="12"/>
      <c r="D800" s="87"/>
      <c r="F800" s="14"/>
      <c r="G800" s="14"/>
      <c r="H800" s="14"/>
      <c r="I800" s="14"/>
      <c r="J800" s="14"/>
      <c r="K800" s="302"/>
    </row>
    <row r="801" ht="19.5" customHeight="1">
      <c r="A801" s="12"/>
      <c r="C801" s="12"/>
      <c r="D801" s="87"/>
      <c r="F801" s="14"/>
      <c r="G801" s="14"/>
      <c r="H801" s="14"/>
      <c r="I801" s="14"/>
      <c r="J801" s="14"/>
      <c r="K801" s="302"/>
    </row>
    <row r="802" ht="19.5" customHeight="1">
      <c r="A802" s="12"/>
      <c r="C802" s="12"/>
      <c r="D802" s="87"/>
      <c r="F802" s="14"/>
      <c r="G802" s="14"/>
      <c r="H802" s="14"/>
      <c r="I802" s="14"/>
      <c r="J802" s="14"/>
      <c r="K802" s="302"/>
    </row>
    <row r="803" ht="19.5" customHeight="1">
      <c r="A803" s="12"/>
      <c r="C803" s="12"/>
      <c r="D803" s="87"/>
      <c r="F803" s="14"/>
      <c r="G803" s="14"/>
      <c r="H803" s="14"/>
      <c r="I803" s="14"/>
      <c r="J803" s="14"/>
      <c r="K803" s="302"/>
    </row>
    <row r="804" ht="19.5" customHeight="1">
      <c r="A804" s="12"/>
      <c r="C804" s="12"/>
      <c r="D804" s="87"/>
      <c r="F804" s="14"/>
      <c r="G804" s="14"/>
      <c r="H804" s="14"/>
      <c r="I804" s="14"/>
      <c r="J804" s="14"/>
      <c r="K804" s="302"/>
    </row>
    <row r="805" ht="19.5" customHeight="1">
      <c r="A805" s="12"/>
      <c r="C805" s="12"/>
      <c r="D805" s="87"/>
      <c r="F805" s="14"/>
      <c r="G805" s="14"/>
      <c r="H805" s="14"/>
      <c r="I805" s="14"/>
      <c r="J805" s="14"/>
      <c r="K805" s="302"/>
    </row>
    <row r="806" ht="19.5" customHeight="1">
      <c r="A806" s="12"/>
      <c r="C806" s="12"/>
      <c r="D806" s="87"/>
      <c r="F806" s="14"/>
      <c r="G806" s="14"/>
      <c r="H806" s="14"/>
      <c r="I806" s="14"/>
      <c r="J806" s="14"/>
      <c r="K806" s="302"/>
    </row>
    <row r="807" ht="19.5" customHeight="1">
      <c r="A807" s="12"/>
      <c r="C807" s="12"/>
      <c r="D807" s="87"/>
      <c r="F807" s="14"/>
      <c r="G807" s="14"/>
      <c r="H807" s="14"/>
      <c r="I807" s="14"/>
      <c r="J807" s="14"/>
      <c r="K807" s="302"/>
    </row>
    <row r="808" ht="19.5" customHeight="1">
      <c r="A808" s="12"/>
      <c r="C808" s="12"/>
      <c r="D808" s="87"/>
      <c r="F808" s="14"/>
      <c r="G808" s="14"/>
      <c r="H808" s="14"/>
      <c r="I808" s="14"/>
      <c r="J808" s="14"/>
      <c r="K808" s="302"/>
    </row>
    <row r="809" ht="19.5" customHeight="1">
      <c r="A809" s="12"/>
      <c r="C809" s="12"/>
      <c r="D809" s="87"/>
      <c r="F809" s="14"/>
      <c r="G809" s="14"/>
      <c r="H809" s="14"/>
      <c r="I809" s="14"/>
      <c r="J809" s="14"/>
      <c r="K809" s="302"/>
    </row>
    <row r="810" ht="19.5" customHeight="1">
      <c r="A810" s="12"/>
      <c r="C810" s="12"/>
      <c r="D810" s="87"/>
      <c r="F810" s="14"/>
      <c r="G810" s="14"/>
      <c r="H810" s="14"/>
      <c r="I810" s="14"/>
      <c r="J810" s="14"/>
      <c r="K810" s="302"/>
    </row>
    <row r="811" ht="19.5" customHeight="1">
      <c r="A811" s="12"/>
      <c r="C811" s="12"/>
      <c r="D811" s="87"/>
      <c r="F811" s="14"/>
      <c r="G811" s="14"/>
      <c r="H811" s="14"/>
      <c r="I811" s="14"/>
      <c r="J811" s="14"/>
      <c r="K811" s="302"/>
    </row>
    <row r="812" ht="19.5" customHeight="1">
      <c r="A812" s="12"/>
      <c r="C812" s="12"/>
      <c r="D812" s="87"/>
      <c r="F812" s="14"/>
      <c r="G812" s="14"/>
      <c r="H812" s="14"/>
      <c r="I812" s="14"/>
      <c r="J812" s="14"/>
      <c r="K812" s="302"/>
    </row>
    <row r="813" ht="19.5" customHeight="1">
      <c r="A813" s="12"/>
      <c r="C813" s="12"/>
      <c r="D813" s="87"/>
      <c r="F813" s="14"/>
      <c r="G813" s="14"/>
      <c r="H813" s="14"/>
      <c r="I813" s="14"/>
      <c r="J813" s="14"/>
      <c r="K813" s="302"/>
    </row>
    <row r="814" ht="19.5" customHeight="1">
      <c r="A814" s="12"/>
      <c r="C814" s="12"/>
      <c r="D814" s="87"/>
      <c r="F814" s="14"/>
      <c r="G814" s="14"/>
      <c r="H814" s="14"/>
      <c r="I814" s="14"/>
      <c r="J814" s="14"/>
      <c r="K814" s="302"/>
    </row>
    <row r="815" ht="19.5" customHeight="1">
      <c r="A815" s="12"/>
      <c r="C815" s="12"/>
      <c r="D815" s="87"/>
      <c r="F815" s="14"/>
      <c r="G815" s="14"/>
      <c r="H815" s="14"/>
      <c r="I815" s="14"/>
      <c r="J815" s="14"/>
      <c r="K815" s="302"/>
    </row>
    <row r="816" ht="19.5" customHeight="1">
      <c r="A816" s="12"/>
      <c r="C816" s="12"/>
      <c r="D816" s="87"/>
      <c r="F816" s="14"/>
      <c r="G816" s="14"/>
      <c r="H816" s="14"/>
      <c r="I816" s="14"/>
      <c r="J816" s="14"/>
      <c r="K816" s="302"/>
    </row>
    <row r="817" ht="19.5" customHeight="1">
      <c r="A817" s="12"/>
      <c r="C817" s="12"/>
      <c r="D817" s="87"/>
      <c r="F817" s="14"/>
      <c r="G817" s="14"/>
      <c r="H817" s="14"/>
      <c r="I817" s="14"/>
      <c r="J817" s="14"/>
      <c r="K817" s="302"/>
    </row>
    <row r="818" ht="19.5" customHeight="1">
      <c r="A818" s="12"/>
      <c r="C818" s="12"/>
      <c r="D818" s="87"/>
      <c r="F818" s="14"/>
      <c r="G818" s="14"/>
      <c r="H818" s="14"/>
      <c r="I818" s="14"/>
      <c r="J818" s="14"/>
      <c r="K818" s="302"/>
    </row>
    <row r="819" ht="19.5" customHeight="1">
      <c r="A819" s="12"/>
      <c r="C819" s="12"/>
      <c r="D819" s="87"/>
      <c r="F819" s="14"/>
      <c r="G819" s="14"/>
      <c r="H819" s="14"/>
      <c r="I819" s="14"/>
      <c r="J819" s="14"/>
      <c r="K819" s="302"/>
    </row>
    <row r="820" ht="19.5" customHeight="1">
      <c r="A820" s="12"/>
      <c r="C820" s="12"/>
      <c r="D820" s="87"/>
      <c r="F820" s="14"/>
      <c r="G820" s="14"/>
      <c r="H820" s="14"/>
      <c r="I820" s="14"/>
      <c r="J820" s="14"/>
      <c r="K820" s="302"/>
    </row>
    <row r="821" ht="19.5" customHeight="1">
      <c r="A821" s="12"/>
      <c r="C821" s="12"/>
      <c r="D821" s="87"/>
      <c r="F821" s="14"/>
      <c r="G821" s="14"/>
      <c r="H821" s="14"/>
      <c r="I821" s="14"/>
      <c r="J821" s="14"/>
      <c r="K821" s="302"/>
    </row>
    <row r="822" ht="19.5" customHeight="1">
      <c r="A822" s="12"/>
      <c r="C822" s="12"/>
      <c r="D822" s="87"/>
      <c r="F822" s="14"/>
      <c r="G822" s="14"/>
      <c r="H822" s="14"/>
      <c r="I822" s="14"/>
      <c r="J822" s="14"/>
      <c r="K822" s="302"/>
    </row>
    <row r="823" ht="19.5" customHeight="1">
      <c r="A823" s="12"/>
      <c r="C823" s="12"/>
      <c r="D823" s="87"/>
      <c r="F823" s="14"/>
      <c r="G823" s="14"/>
      <c r="H823" s="14"/>
      <c r="I823" s="14"/>
      <c r="J823" s="14"/>
      <c r="K823" s="302"/>
    </row>
    <row r="824" ht="19.5" customHeight="1">
      <c r="A824" s="12"/>
      <c r="C824" s="12"/>
      <c r="D824" s="87"/>
      <c r="F824" s="14"/>
      <c r="G824" s="14"/>
      <c r="H824" s="14"/>
      <c r="I824" s="14"/>
      <c r="J824" s="14"/>
      <c r="K824" s="302"/>
    </row>
    <row r="825" ht="19.5" customHeight="1">
      <c r="A825" s="12"/>
      <c r="C825" s="12"/>
      <c r="D825" s="87"/>
      <c r="F825" s="14"/>
      <c r="G825" s="14"/>
      <c r="H825" s="14"/>
      <c r="I825" s="14"/>
      <c r="J825" s="14"/>
      <c r="K825" s="302"/>
    </row>
    <row r="826" ht="19.5" customHeight="1">
      <c r="A826" s="12"/>
      <c r="C826" s="12"/>
      <c r="D826" s="87"/>
      <c r="F826" s="14"/>
      <c r="G826" s="14"/>
      <c r="H826" s="14"/>
      <c r="I826" s="14"/>
      <c r="J826" s="14"/>
      <c r="K826" s="302"/>
    </row>
    <row r="827" ht="19.5" customHeight="1">
      <c r="A827" s="12"/>
      <c r="C827" s="12"/>
      <c r="D827" s="87"/>
      <c r="F827" s="14"/>
      <c r="G827" s="14"/>
      <c r="H827" s="14"/>
      <c r="I827" s="14"/>
      <c r="J827" s="14"/>
      <c r="K827" s="302"/>
    </row>
    <row r="828" ht="19.5" customHeight="1">
      <c r="A828" s="12"/>
      <c r="C828" s="12"/>
      <c r="D828" s="87"/>
      <c r="F828" s="14"/>
      <c r="G828" s="14"/>
      <c r="H828" s="14"/>
      <c r="I828" s="14"/>
      <c r="J828" s="14"/>
      <c r="K828" s="302"/>
    </row>
    <row r="829" ht="19.5" customHeight="1">
      <c r="A829" s="12"/>
      <c r="C829" s="12"/>
      <c r="D829" s="87"/>
      <c r="F829" s="14"/>
      <c r="G829" s="14"/>
      <c r="H829" s="14"/>
      <c r="I829" s="14"/>
      <c r="J829" s="14"/>
      <c r="K829" s="302"/>
    </row>
    <row r="830" ht="19.5" customHeight="1">
      <c r="A830" s="12"/>
      <c r="C830" s="12"/>
      <c r="D830" s="87"/>
      <c r="F830" s="14"/>
      <c r="G830" s="14"/>
      <c r="H830" s="14"/>
      <c r="I830" s="14"/>
      <c r="J830" s="14"/>
      <c r="K830" s="302"/>
    </row>
    <row r="831" ht="19.5" customHeight="1">
      <c r="A831" s="12"/>
      <c r="C831" s="12"/>
      <c r="D831" s="87"/>
      <c r="F831" s="14"/>
      <c r="G831" s="14"/>
      <c r="H831" s="14"/>
      <c r="I831" s="14"/>
      <c r="J831" s="14"/>
      <c r="K831" s="302"/>
    </row>
    <row r="832" ht="19.5" customHeight="1">
      <c r="A832" s="12"/>
      <c r="C832" s="12"/>
      <c r="D832" s="87"/>
      <c r="F832" s="14"/>
      <c r="G832" s="14"/>
      <c r="H832" s="14"/>
      <c r="I832" s="14"/>
      <c r="J832" s="14"/>
      <c r="K832" s="302"/>
    </row>
    <row r="833" ht="19.5" customHeight="1">
      <c r="A833" s="12"/>
      <c r="C833" s="12"/>
      <c r="D833" s="87"/>
      <c r="F833" s="14"/>
      <c r="G833" s="14"/>
      <c r="H833" s="14"/>
      <c r="I833" s="14"/>
      <c r="J833" s="14"/>
      <c r="K833" s="302"/>
    </row>
    <row r="834" ht="19.5" customHeight="1">
      <c r="A834" s="12"/>
      <c r="C834" s="12"/>
      <c r="D834" s="87"/>
      <c r="F834" s="14"/>
      <c r="G834" s="14"/>
      <c r="H834" s="14"/>
      <c r="I834" s="14"/>
      <c r="J834" s="14"/>
      <c r="K834" s="302"/>
    </row>
    <row r="835" ht="19.5" customHeight="1">
      <c r="A835" s="12"/>
      <c r="C835" s="12"/>
      <c r="D835" s="87"/>
      <c r="F835" s="14"/>
      <c r="G835" s="14"/>
      <c r="H835" s="14"/>
      <c r="I835" s="14"/>
      <c r="J835" s="14"/>
      <c r="K835" s="302"/>
    </row>
    <row r="836" ht="19.5" customHeight="1">
      <c r="A836" s="12"/>
      <c r="C836" s="12"/>
      <c r="D836" s="87"/>
      <c r="F836" s="14"/>
      <c r="G836" s="14"/>
      <c r="H836" s="14"/>
      <c r="I836" s="14"/>
      <c r="J836" s="14"/>
      <c r="K836" s="302"/>
    </row>
    <row r="837" ht="19.5" customHeight="1">
      <c r="A837" s="12"/>
      <c r="C837" s="12"/>
      <c r="D837" s="87"/>
      <c r="F837" s="14"/>
      <c r="G837" s="14"/>
      <c r="H837" s="14"/>
      <c r="I837" s="14"/>
      <c r="J837" s="14"/>
      <c r="K837" s="302"/>
    </row>
    <row r="838" ht="19.5" customHeight="1">
      <c r="A838" s="12"/>
      <c r="C838" s="12"/>
      <c r="D838" s="87"/>
      <c r="F838" s="14"/>
      <c r="G838" s="14"/>
      <c r="H838" s="14"/>
      <c r="I838" s="14"/>
      <c r="J838" s="14"/>
      <c r="K838" s="302"/>
    </row>
    <row r="839" ht="19.5" customHeight="1">
      <c r="A839" s="12"/>
      <c r="C839" s="12"/>
      <c r="D839" s="87"/>
      <c r="F839" s="14"/>
      <c r="G839" s="14"/>
      <c r="H839" s="14"/>
      <c r="I839" s="14"/>
      <c r="J839" s="14"/>
      <c r="K839" s="302"/>
    </row>
    <row r="840" ht="19.5" customHeight="1">
      <c r="A840" s="12"/>
      <c r="C840" s="12"/>
      <c r="D840" s="87"/>
      <c r="F840" s="14"/>
      <c r="G840" s="14"/>
      <c r="H840" s="14"/>
      <c r="I840" s="14"/>
      <c r="J840" s="14"/>
      <c r="K840" s="302"/>
    </row>
    <row r="841" ht="19.5" customHeight="1">
      <c r="A841" s="12"/>
      <c r="C841" s="12"/>
      <c r="D841" s="87"/>
      <c r="F841" s="14"/>
      <c r="G841" s="14"/>
      <c r="H841" s="14"/>
      <c r="I841" s="14"/>
      <c r="J841" s="14"/>
      <c r="K841" s="302"/>
    </row>
    <row r="842" ht="19.5" customHeight="1">
      <c r="A842" s="12"/>
      <c r="C842" s="12"/>
      <c r="D842" s="87"/>
      <c r="F842" s="14"/>
      <c r="G842" s="14"/>
      <c r="H842" s="14"/>
      <c r="I842" s="14"/>
      <c r="J842" s="14"/>
      <c r="K842" s="302"/>
    </row>
    <row r="843" ht="19.5" customHeight="1">
      <c r="A843" s="12"/>
      <c r="C843" s="12"/>
      <c r="D843" s="87"/>
      <c r="F843" s="14"/>
      <c r="G843" s="14"/>
      <c r="H843" s="14"/>
      <c r="I843" s="14"/>
      <c r="J843" s="14"/>
      <c r="K843" s="302"/>
    </row>
    <row r="844" ht="19.5" customHeight="1">
      <c r="A844" s="12"/>
      <c r="C844" s="12"/>
      <c r="D844" s="87"/>
      <c r="F844" s="14"/>
      <c r="G844" s="14"/>
      <c r="H844" s="14"/>
      <c r="I844" s="14"/>
      <c r="J844" s="14"/>
      <c r="K844" s="302"/>
    </row>
    <row r="845" ht="19.5" customHeight="1">
      <c r="A845" s="12"/>
      <c r="C845" s="12"/>
      <c r="D845" s="87"/>
      <c r="F845" s="14"/>
      <c r="G845" s="14"/>
      <c r="H845" s="14"/>
      <c r="I845" s="14"/>
      <c r="J845" s="14"/>
      <c r="K845" s="302"/>
    </row>
    <row r="846" ht="19.5" customHeight="1">
      <c r="A846" s="12"/>
      <c r="C846" s="12"/>
      <c r="D846" s="87"/>
      <c r="F846" s="14"/>
      <c r="G846" s="14"/>
      <c r="H846" s="14"/>
      <c r="I846" s="14"/>
      <c r="J846" s="14"/>
      <c r="K846" s="302"/>
    </row>
    <row r="847" ht="19.5" customHeight="1">
      <c r="A847" s="12"/>
      <c r="C847" s="12"/>
      <c r="D847" s="87"/>
      <c r="F847" s="14"/>
      <c r="G847" s="14"/>
      <c r="H847" s="14"/>
      <c r="I847" s="14"/>
      <c r="J847" s="14"/>
      <c r="K847" s="302"/>
    </row>
    <row r="848" ht="19.5" customHeight="1">
      <c r="A848" s="12"/>
      <c r="C848" s="12"/>
      <c r="D848" s="87"/>
      <c r="F848" s="14"/>
      <c r="G848" s="14"/>
      <c r="H848" s="14"/>
      <c r="I848" s="14"/>
      <c r="J848" s="14"/>
      <c r="K848" s="302"/>
    </row>
    <row r="849" ht="19.5" customHeight="1">
      <c r="A849" s="12"/>
      <c r="C849" s="12"/>
      <c r="D849" s="87"/>
      <c r="F849" s="14"/>
      <c r="G849" s="14"/>
      <c r="H849" s="14"/>
      <c r="I849" s="14"/>
      <c r="J849" s="14"/>
      <c r="K849" s="302"/>
    </row>
    <row r="850" ht="19.5" customHeight="1">
      <c r="A850" s="12"/>
      <c r="C850" s="12"/>
      <c r="D850" s="87"/>
      <c r="F850" s="14"/>
      <c r="G850" s="14"/>
      <c r="H850" s="14"/>
      <c r="I850" s="14"/>
      <c r="J850" s="14"/>
      <c r="K850" s="302"/>
    </row>
    <row r="851" ht="19.5" customHeight="1">
      <c r="A851" s="12"/>
      <c r="C851" s="12"/>
      <c r="D851" s="87"/>
      <c r="F851" s="14"/>
      <c r="G851" s="14"/>
      <c r="H851" s="14"/>
      <c r="I851" s="14"/>
      <c r="J851" s="14"/>
      <c r="K851" s="302"/>
    </row>
    <row r="852" ht="19.5" customHeight="1">
      <c r="A852" s="12"/>
      <c r="C852" s="12"/>
      <c r="D852" s="87"/>
      <c r="F852" s="14"/>
      <c r="G852" s="14"/>
      <c r="H852" s="14"/>
      <c r="I852" s="14"/>
      <c r="J852" s="14"/>
      <c r="K852" s="302"/>
    </row>
    <row r="853" ht="19.5" customHeight="1">
      <c r="A853" s="12"/>
      <c r="C853" s="12"/>
      <c r="D853" s="87"/>
      <c r="F853" s="14"/>
      <c r="G853" s="14"/>
      <c r="H853" s="14"/>
      <c r="I853" s="14"/>
      <c r="J853" s="14"/>
      <c r="K853" s="302"/>
    </row>
    <row r="854" ht="19.5" customHeight="1">
      <c r="A854" s="12"/>
      <c r="C854" s="12"/>
      <c r="D854" s="87"/>
      <c r="F854" s="14"/>
      <c r="G854" s="14"/>
      <c r="H854" s="14"/>
      <c r="I854" s="14"/>
      <c r="J854" s="14"/>
      <c r="K854" s="302"/>
    </row>
    <row r="855" ht="19.5" customHeight="1">
      <c r="A855" s="12"/>
      <c r="C855" s="12"/>
      <c r="D855" s="87"/>
      <c r="F855" s="14"/>
      <c r="G855" s="14"/>
      <c r="H855" s="14"/>
      <c r="I855" s="14"/>
      <c r="J855" s="14"/>
      <c r="K855" s="302"/>
    </row>
    <row r="856" ht="19.5" customHeight="1">
      <c r="A856" s="12"/>
      <c r="C856" s="12"/>
      <c r="D856" s="87"/>
      <c r="F856" s="14"/>
      <c r="G856" s="14"/>
      <c r="H856" s="14"/>
      <c r="I856" s="14"/>
      <c r="J856" s="14"/>
      <c r="K856" s="302"/>
    </row>
    <row r="857" ht="19.5" customHeight="1">
      <c r="A857" s="12"/>
      <c r="C857" s="12"/>
      <c r="D857" s="87"/>
      <c r="F857" s="14"/>
      <c r="G857" s="14"/>
      <c r="H857" s="14"/>
      <c r="I857" s="14"/>
      <c r="J857" s="14"/>
      <c r="K857" s="302"/>
    </row>
    <row r="858" ht="19.5" customHeight="1">
      <c r="A858" s="12"/>
      <c r="C858" s="12"/>
      <c r="D858" s="87"/>
      <c r="F858" s="14"/>
      <c r="G858" s="14"/>
      <c r="H858" s="14"/>
      <c r="I858" s="14"/>
      <c r="J858" s="14"/>
      <c r="K858" s="302"/>
    </row>
    <row r="859" ht="19.5" customHeight="1">
      <c r="A859" s="12"/>
      <c r="C859" s="12"/>
      <c r="D859" s="87"/>
      <c r="F859" s="14"/>
      <c r="G859" s="14"/>
      <c r="H859" s="14"/>
      <c r="I859" s="14"/>
      <c r="J859" s="14"/>
      <c r="K859" s="302"/>
    </row>
    <row r="860" ht="19.5" customHeight="1">
      <c r="A860" s="12"/>
      <c r="C860" s="12"/>
      <c r="D860" s="87"/>
      <c r="F860" s="14"/>
      <c r="G860" s="14"/>
      <c r="H860" s="14"/>
      <c r="I860" s="14"/>
      <c r="J860" s="14"/>
      <c r="K860" s="302"/>
    </row>
    <row r="861" ht="19.5" customHeight="1">
      <c r="A861" s="12"/>
      <c r="C861" s="12"/>
      <c r="D861" s="87"/>
      <c r="F861" s="14"/>
      <c r="G861" s="14"/>
      <c r="H861" s="14"/>
      <c r="I861" s="14"/>
      <c r="J861" s="14"/>
      <c r="K861" s="302"/>
    </row>
    <row r="862" ht="19.5" customHeight="1">
      <c r="A862" s="12"/>
      <c r="C862" s="12"/>
      <c r="D862" s="87"/>
      <c r="F862" s="14"/>
      <c r="G862" s="14"/>
      <c r="H862" s="14"/>
      <c r="I862" s="14"/>
      <c r="J862" s="14"/>
      <c r="K862" s="302"/>
    </row>
    <row r="863" ht="19.5" customHeight="1">
      <c r="A863" s="12"/>
      <c r="C863" s="12"/>
      <c r="D863" s="87"/>
      <c r="F863" s="14"/>
      <c r="G863" s="14"/>
      <c r="H863" s="14"/>
      <c r="I863" s="14"/>
      <c r="J863" s="14"/>
      <c r="K863" s="302"/>
    </row>
    <row r="864" ht="19.5" customHeight="1">
      <c r="A864" s="12"/>
      <c r="C864" s="12"/>
      <c r="D864" s="87"/>
      <c r="F864" s="14"/>
      <c r="G864" s="14"/>
      <c r="H864" s="14"/>
      <c r="I864" s="14"/>
      <c r="J864" s="14"/>
      <c r="K864" s="302"/>
    </row>
    <row r="865" ht="19.5" customHeight="1">
      <c r="A865" s="12"/>
      <c r="C865" s="12"/>
      <c r="D865" s="87"/>
      <c r="F865" s="14"/>
      <c r="G865" s="14"/>
      <c r="H865" s="14"/>
      <c r="I865" s="14"/>
      <c r="J865" s="14"/>
      <c r="K865" s="302"/>
    </row>
    <row r="866" ht="19.5" customHeight="1">
      <c r="A866" s="12"/>
      <c r="C866" s="12"/>
      <c r="D866" s="87"/>
      <c r="F866" s="14"/>
      <c r="G866" s="14"/>
      <c r="H866" s="14"/>
      <c r="I866" s="14"/>
      <c r="J866" s="14"/>
      <c r="K866" s="302"/>
    </row>
    <row r="867" ht="19.5" customHeight="1">
      <c r="A867" s="12"/>
      <c r="C867" s="12"/>
      <c r="D867" s="87"/>
      <c r="F867" s="14"/>
      <c r="G867" s="14"/>
      <c r="H867" s="14"/>
      <c r="I867" s="14"/>
      <c r="J867" s="14"/>
      <c r="K867" s="302"/>
    </row>
    <row r="868" ht="19.5" customHeight="1">
      <c r="A868" s="12"/>
      <c r="C868" s="12"/>
      <c r="D868" s="87"/>
      <c r="F868" s="14"/>
      <c r="G868" s="14"/>
      <c r="H868" s="14"/>
      <c r="I868" s="14"/>
      <c r="J868" s="14"/>
      <c r="K868" s="302"/>
    </row>
    <row r="869" ht="19.5" customHeight="1">
      <c r="A869" s="12"/>
      <c r="C869" s="12"/>
      <c r="D869" s="87"/>
      <c r="F869" s="14"/>
      <c r="G869" s="14"/>
      <c r="H869" s="14"/>
      <c r="I869" s="14"/>
      <c r="J869" s="14"/>
      <c r="K869" s="302"/>
    </row>
    <row r="870" ht="19.5" customHeight="1">
      <c r="A870" s="12"/>
      <c r="C870" s="12"/>
      <c r="D870" s="87"/>
      <c r="F870" s="14"/>
      <c r="G870" s="14"/>
      <c r="H870" s="14"/>
      <c r="I870" s="14"/>
      <c r="J870" s="14"/>
      <c r="K870" s="302"/>
    </row>
    <row r="871" ht="19.5" customHeight="1">
      <c r="A871" s="12"/>
      <c r="C871" s="12"/>
      <c r="D871" s="87"/>
      <c r="F871" s="14"/>
      <c r="G871" s="14"/>
      <c r="H871" s="14"/>
      <c r="I871" s="14"/>
      <c r="J871" s="14"/>
      <c r="K871" s="302"/>
    </row>
    <row r="872" ht="19.5" customHeight="1">
      <c r="A872" s="12"/>
      <c r="C872" s="12"/>
      <c r="D872" s="87"/>
      <c r="F872" s="14"/>
      <c r="G872" s="14"/>
      <c r="H872" s="14"/>
      <c r="I872" s="14"/>
      <c r="J872" s="14"/>
      <c r="K872" s="302"/>
    </row>
    <row r="873" ht="19.5" customHeight="1">
      <c r="A873" s="12"/>
      <c r="C873" s="12"/>
      <c r="D873" s="87"/>
      <c r="F873" s="14"/>
      <c r="G873" s="14"/>
      <c r="H873" s="14"/>
      <c r="I873" s="14"/>
      <c r="J873" s="14"/>
      <c r="K873" s="302"/>
    </row>
    <row r="874" ht="19.5" customHeight="1">
      <c r="A874" s="12"/>
      <c r="C874" s="12"/>
      <c r="D874" s="87"/>
      <c r="F874" s="14"/>
      <c r="G874" s="14"/>
      <c r="H874" s="14"/>
      <c r="I874" s="14"/>
      <c r="J874" s="14"/>
      <c r="K874" s="302"/>
    </row>
    <row r="875" ht="19.5" customHeight="1">
      <c r="A875" s="12"/>
      <c r="C875" s="12"/>
      <c r="D875" s="87"/>
      <c r="F875" s="14"/>
      <c r="G875" s="14"/>
      <c r="H875" s="14"/>
      <c r="I875" s="14"/>
      <c r="J875" s="14"/>
      <c r="K875" s="302"/>
    </row>
    <row r="876" ht="19.5" customHeight="1">
      <c r="A876" s="12"/>
      <c r="C876" s="12"/>
      <c r="D876" s="87"/>
      <c r="F876" s="14"/>
      <c r="G876" s="14"/>
      <c r="H876" s="14"/>
      <c r="I876" s="14"/>
      <c r="J876" s="14"/>
      <c r="K876" s="302"/>
    </row>
    <row r="877" ht="19.5" customHeight="1">
      <c r="A877" s="12"/>
      <c r="C877" s="12"/>
      <c r="D877" s="87"/>
      <c r="F877" s="14"/>
      <c r="G877" s="14"/>
      <c r="H877" s="14"/>
      <c r="I877" s="14"/>
      <c r="J877" s="14"/>
      <c r="K877" s="302"/>
    </row>
    <row r="878" ht="19.5" customHeight="1">
      <c r="A878" s="12"/>
      <c r="C878" s="12"/>
      <c r="D878" s="87"/>
      <c r="F878" s="14"/>
      <c r="G878" s="14"/>
      <c r="H878" s="14"/>
      <c r="I878" s="14"/>
      <c r="J878" s="14"/>
      <c r="K878" s="302"/>
    </row>
    <row r="879" ht="19.5" customHeight="1">
      <c r="A879" s="12"/>
      <c r="C879" s="12"/>
      <c r="D879" s="87"/>
      <c r="F879" s="14"/>
      <c r="G879" s="14"/>
      <c r="H879" s="14"/>
      <c r="I879" s="14"/>
      <c r="J879" s="14"/>
      <c r="K879" s="302"/>
    </row>
    <row r="880" ht="19.5" customHeight="1">
      <c r="A880" s="12"/>
      <c r="C880" s="12"/>
      <c r="D880" s="87"/>
      <c r="F880" s="14"/>
      <c r="G880" s="14"/>
      <c r="H880" s="14"/>
      <c r="I880" s="14"/>
      <c r="J880" s="14"/>
      <c r="K880" s="302"/>
    </row>
    <row r="881" ht="19.5" customHeight="1">
      <c r="A881" s="12"/>
      <c r="C881" s="12"/>
      <c r="D881" s="87"/>
      <c r="F881" s="14"/>
      <c r="G881" s="14"/>
      <c r="H881" s="14"/>
      <c r="I881" s="14"/>
      <c r="J881" s="14"/>
      <c r="K881" s="302"/>
    </row>
    <row r="882" ht="19.5" customHeight="1">
      <c r="A882" s="12"/>
      <c r="C882" s="12"/>
      <c r="D882" s="87"/>
      <c r="F882" s="14"/>
      <c r="G882" s="14"/>
      <c r="H882" s="14"/>
      <c r="I882" s="14"/>
      <c r="J882" s="14"/>
      <c r="K882" s="302"/>
    </row>
    <row r="883" ht="19.5" customHeight="1">
      <c r="A883" s="12"/>
      <c r="C883" s="12"/>
      <c r="D883" s="87"/>
      <c r="F883" s="14"/>
      <c r="G883" s="14"/>
      <c r="H883" s="14"/>
      <c r="I883" s="14"/>
      <c r="J883" s="14"/>
      <c r="K883" s="302"/>
    </row>
    <row r="884" ht="19.5" customHeight="1">
      <c r="A884" s="12"/>
      <c r="C884" s="12"/>
      <c r="D884" s="87"/>
      <c r="F884" s="14"/>
      <c r="G884" s="14"/>
      <c r="H884" s="14"/>
      <c r="I884" s="14"/>
      <c r="J884" s="14"/>
      <c r="K884" s="302"/>
    </row>
    <row r="885" ht="19.5" customHeight="1">
      <c r="A885" s="12"/>
      <c r="C885" s="12"/>
      <c r="D885" s="87"/>
      <c r="F885" s="14"/>
      <c r="G885" s="14"/>
      <c r="H885" s="14"/>
      <c r="I885" s="14"/>
      <c r="J885" s="14"/>
      <c r="K885" s="302"/>
    </row>
    <row r="886" ht="19.5" customHeight="1">
      <c r="A886" s="12"/>
      <c r="C886" s="12"/>
      <c r="D886" s="87"/>
      <c r="F886" s="14"/>
      <c r="G886" s="14"/>
      <c r="H886" s="14"/>
      <c r="I886" s="14"/>
      <c r="J886" s="14"/>
      <c r="K886" s="302"/>
    </row>
    <row r="887" ht="19.5" customHeight="1">
      <c r="A887" s="12"/>
      <c r="C887" s="12"/>
      <c r="D887" s="87"/>
      <c r="F887" s="14"/>
      <c r="G887" s="14"/>
      <c r="H887" s="14"/>
      <c r="I887" s="14"/>
      <c r="J887" s="14"/>
      <c r="K887" s="302"/>
    </row>
    <row r="888" ht="19.5" customHeight="1">
      <c r="A888" s="12"/>
      <c r="C888" s="12"/>
      <c r="D888" s="87"/>
      <c r="F888" s="14"/>
      <c r="G888" s="14"/>
      <c r="H888" s="14"/>
      <c r="I888" s="14"/>
      <c r="J888" s="14"/>
      <c r="K888" s="302"/>
    </row>
    <row r="889" ht="19.5" customHeight="1">
      <c r="A889" s="12"/>
      <c r="C889" s="12"/>
      <c r="D889" s="87"/>
      <c r="F889" s="14"/>
      <c r="G889" s="14"/>
      <c r="H889" s="14"/>
      <c r="I889" s="14"/>
      <c r="J889" s="14"/>
      <c r="K889" s="302"/>
    </row>
    <row r="890" ht="19.5" customHeight="1">
      <c r="A890" s="12"/>
      <c r="C890" s="12"/>
      <c r="D890" s="87"/>
      <c r="F890" s="14"/>
      <c r="G890" s="14"/>
      <c r="H890" s="14"/>
      <c r="I890" s="14"/>
      <c r="J890" s="14"/>
      <c r="K890" s="302"/>
    </row>
    <row r="891" ht="19.5" customHeight="1">
      <c r="A891" s="12"/>
      <c r="C891" s="12"/>
      <c r="D891" s="87"/>
      <c r="F891" s="14"/>
      <c r="G891" s="14"/>
      <c r="H891" s="14"/>
      <c r="I891" s="14"/>
      <c r="J891" s="14"/>
      <c r="K891" s="302"/>
    </row>
    <row r="892" ht="19.5" customHeight="1">
      <c r="A892" s="12"/>
      <c r="C892" s="12"/>
      <c r="D892" s="87"/>
      <c r="F892" s="14"/>
      <c r="G892" s="14"/>
      <c r="H892" s="14"/>
      <c r="I892" s="14"/>
      <c r="J892" s="14"/>
      <c r="K892" s="302"/>
    </row>
    <row r="893" ht="19.5" customHeight="1">
      <c r="A893" s="12"/>
      <c r="C893" s="12"/>
      <c r="D893" s="87"/>
      <c r="F893" s="14"/>
      <c r="G893" s="14"/>
      <c r="H893" s="14"/>
      <c r="I893" s="14"/>
      <c r="J893" s="14"/>
      <c r="K893" s="302"/>
    </row>
    <row r="894" ht="19.5" customHeight="1">
      <c r="A894" s="12"/>
      <c r="C894" s="12"/>
      <c r="D894" s="87"/>
      <c r="F894" s="14"/>
      <c r="G894" s="14"/>
      <c r="H894" s="14"/>
      <c r="I894" s="14"/>
      <c r="J894" s="14"/>
      <c r="K894" s="302"/>
    </row>
    <row r="895" ht="19.5" customHeight="1">
      <c r="A895" s="12"/>
      <c r="C895" s="12"/>
      <c r="D895" s="87"/>
      <c r="F895" s="14"/>
      <c r="G895" s="14"/>
      <c r="H895" s="14"/>
      <c r="I895" s="14"/>
      <c r="J895" s="14"/>
      <c r="K895" s="302"/>
    </row>
    <row r="896" ht="19.5" customHeight="1">
      <c r="A896" s="12"/>
      <c r="C896" s="12"/>
      <c r="D896" s="87"/>
      <c r="F896" s="14"/>
      <c r="G896" s="14"/>
      <c r="H896" s="14"/>
      <c r="I896" s="14"/>
      <c r="J896" s="14"/>
      <c r="K896" s="302"/>
    </row>
    <row r="897" ht="19.5" customHeight="1">
      <c r="A897" s="12"/>
      <c r="C897" s="12"/>
      <c r="D897" s="87"/>
      <c r="F897" s="14"/>
      <c r="G897" s="14"/>
      <c r="H897" s="14"/>
      <c r="I897" s="14"/>
      <c r="J897" s="14"/>
      <c r="K897" s="302"/>
    </row>
    <row r="898" ht="19.5" customHeight="1">
      <c r="A898" s="12"/>
      <c r="C898" s="12"/>
      <c r="D898" s="87"/>
      <c r="F898" s="14"/>
      <c r="G898" s="14"/>
      <c r="H898" s="14"/>
      <c r="I898" s="14"/>
      <c r="J898" s="14"/>
      <c r="K898" s="302"/>
    </row>
    <row r="899" ht="19.5" customHeight="1">
      <c r="A899" s="12"/>
      <c r="C899" s="12"/>
      <c r="D899" s="87"/>
      <c r="F899" s="14"/>
      <c r="G899" s="14"/>
      <c r="H899" s="14"/>
      <c r="I899" s="14"/>
      <c r="J899" s="14"/>
      <c r="K899" s="302"/>
    </row>
    <row r="900" ht="19.5" customHeight="1">
      <c r="A900" s="12"/>
      <c r="C900" s="12"/>
      <c r="D900" s="87"/>
      <c r="F900" s="14"/>
      <c r="G900" s="14"/>
      <c r="H900" s="14"/>
      <c r="I900" s="14"/>
      <c r="J900" s="14"/>
      <c r="K900" s="302"/>
    </row>
    <row r="901" ht="19.5" customHeight="1">
      <c r="A901" s="12"/>
      <c r="C901" s="12"/>
      <c r="D901" s="87"/>
      <c r="F901" s="14"/>
      <c r="G901" s="14"/>
      <c r="H901" s="14"/>
      <c r="I901" s="14"/>
      <c r="J901" s="14"/>
      <c r="K901" s="302"/>
    </row>
    <row r="902" ht="19.5" customHeight="1">
      <c r="A902" s="12"/>
      <c r="C902" s="12"/>
      <c r="D902" s="87"/>
      <c r="F902" s="14"/>
      <c r="G902" s="14"/>
      <c r="H902" s="14"/>
      <c r="I902" s="14"/>
      <c r="J902" s="14"/>
      <c r="K902" s="302"/>
    </row>
    <row r="903" ht="19.5" customHeight="1">
      <c r="A903" s="12"/>
      <c r="C903" s="12"/>
      <c r="D903" s="87"/>
      <c r="F903" s="14"/>
      <c r="G903" s="14"/>
      <c r="H903" s="14"/>
      <c r="I903" s="14"/>
      <c r="J903" s="14"/>
      <c r="K903" s="302"/>
    </row>
    <row r="904" ht="19.5" customHeight="1">
      <c r="A904" s="12"/>
      <c r="C904" s="12"/>
      <c r="D904" s="87"/>
      <c r="F904" s="14"/>
      <c r="G904" s="14"/>
      <c r="H904" s="14"/>
      <c r="I904" s="14"/>
      <c r="J904" s="14"/>
      <c r="K904" s="302"/>
    </row>
    <row r="905" ht="19.5" customHeight="1">
      <c r="A905" s="12"/>
      <c r="C905" s="12"/>
      <c r="D905" s="87"/>
      <c r="F905" s="14"/>
      <c r="G905" s="14"/>
      <c r="H905" s="14"/>
      <c r="I905" s="14"/>
      <c r="J905" s="14"/>
      <c r="K905" s="302"/>
    </row>
    <row r="906" ht="19.5" customHeight="1">
      <c r="A906" s="12"/>
      <c r="C906" s="12"/>
      <c r="D906" s="87"/>
      <c r="F906" s="14"/>
      <c r="G906" s="14"/>
      <c r="H906" s="14"/>
      <c r="I906" s="14"/>
      <c r="J906" s="14"/>
      <c r="K906" s="302"/>
    </row>
    <row r="907" ht="19.5" customHeight="1">
      <c r="A907" s="12"/>
      <c r="C907" s="12"/>
      <c r="D907" s="87"/>
      <c r="F907" s="14"/>
      <c r="G907" s="14"/>
      <c r="H907" s="14"/>
      <c r="I907" s="14"/>
      <c r="J907" s="14"/>
      <c r="K907" s="302"/>
    </row>
    <row r="908" ht="19.5" customHeight="1">
      <c r="A908" s="12"/>
      <c r="C908" s="12"/>
      <c r="D908" s="87"/>
      <c r="F908" s="14"/>
      <c r="G908" s="14"/>
      <c r="H908" s="14"/>
      <c r="I908" s="14"/>
      <c r="J908" s="14"/>
      <c r="K908" s="302"/>
    </row>
    <row r="909" ht="19.5" customHeight="1">
      <c r="A909" s="12"/>
      <c r="C909" s="12"/>
      <c r="D909" s="87"/>
      <c r="F909" s="14"/>
      <c r="G909" s="14"/>
      <c r="H909" s="14"/>
      <c r="I909" s="14"/>
      <c r="J909" s="14"/>
      <c r="K909" s="302"/>
    </row>
    <row r="910" ht="19.5" customHeight="1">
      <c r="A910" s="12"/>
      <c r="C910" s="12"/>
      <c r="D910" s="87"/>
      <c r="F910" s="14"/>
      <c r="G910" s="14"/>
      <c r="H910" s="14"/>
      <c r="I910" s="14"/>
      <c r="J910" s="14"/>
      <c r="K910" s="302"/>
    </row>
    <row r="911" ht="19.5" customHeight="1">
      <c r="A911" s="12"/>
      <c r="C911" s="12"/>
      <c r="D911" s="87"/>
      <c r="F911" s="14"/>
      <c r="G911" s="14"/>
      <c r="H911" s="14"/>
      <c r="I911" s="14"/>
      <c r="J911" s="14"/>
      <c r="K911" s="302"/>
    </row>
    <row r="912" ht="19.5" customHeight="1">
      <c r="A912" s="12"/>
      <c r="C912" s="12"/>
      <c r="D912" s="87"/>
      <c r="F912" s="14"/>
      <c r="G912" s="14"/>
      <c r="H912" s="14"/>
      <c r="I912" s="14"/>
      <c r="J912" s="14"/>
      <c r="K912" s="302"/>
    </row>
    <row r="913" ht="19.5" customHeight="1">
      <c r="A913" s="12"/>
      <c r="C913" s="12"/>
      <c r="D913" s="87"/>
      <c r="F913" s="14"/>
      <c r="G913" s="14"/>
      <c r="H913" s="14"/>
      <c r="I913" s="14"/>
      <c r="J913" s="14"/>
      <c r="K913" s="302"/>
    </row>
    <row r="914" ht="19.5" customHeight="1">
      <c r="A914" s="12"/>
      <c r="C914" s="12"/>
      <c r="D914" s="87"/>
      <c r="F914" s="14"/>
      <c r="G914" s="14"/>
      <c r="H914" s="14"/>
      <c r="I914" s="14"/>
      <c r="J914" s="14"/>
      <c r="K914" s="302"/>
    </row>
    <row r="915" ht="19.5" customHeight="1">
      <c r="A915" s="12"/>
      <c r="C915" s="12"/>
      <c r="D915" s="87"/>
      <c r="F915" s="14"/>
      <c r="G915" s="14"/>
      <c r="H915" s="14"/>
      <c r="I915" s="14"/>
      <c r="J915" s="14"/>
      <c r="K915" s="302"/>
    </row>
    <row r="916" ht="19.5" customHeight="1">
      <c r="A916" s="12"/>
      <c r="C916" s="12"/>
      <c r="D916" s="87"/>
      <c r="F916" s="14"/>
      <c r="G916" s="14"/>
      <c r="H916" s="14"/>
      <c r="I916" s="14"/>
      <c r="J916" s="14"/>
      <c r="K916" s="302"/>
    </row>
    <row r="917" ht="19.5" customHeight="1">
      <c r="A917" s="12"/>
      <c r="C917" s="12"/>
      <c r="D917" s="87"/>
      <c r="F917" s="14"/>
      <c r="G917" s="14"/>
      <c r="H917" s="14"/>
      <c r="I917" s="14"/>
      <c r="J917" s="14"/>
      <c r="K917" s="302"/>
    </row>
    <row r="918" ht="19.5" customHeight="1">
      <c r="A918" s="12"/>
      <c r="C918" s="12"/>
      <c r="D918" s="87"/>
      <c r="F918" s="14"/>
      <c r="G918" s="14"/>
      <c r="H918" s="14"/>
      <c r="I918" s="14"/>
      <c r="J918" s="14"/>
      <c r="K918" s="302"/>
    </row>
    <row r="919" ht="19.5" customHeight="1">
      <c r="A919" s="12"/>
      <c r="C919" s="12"/>
      <c r="D919" s="87"/>
      <c r="F919" s="14"/>
      <c r="G919" s="14"/>
      <c r="H919" s="14"/>
      <c r="I919" s="14"/>
      <c r="J919" s="14"/>
      <c r="K919" s="302"/>
    </row>
    <row r="920" ht="19.5" customHeight="1">
      <c r="A920" s="12"/>
      <c r="C920" s="12"/>
      <c r="D920" s="87"/>
      <c r="F920" s="14"/>
      <c r="G920" s="14"/>
      <c r="H920" s="14"/>
      <c r="I920" s="14"/>
      <c r="J920" s="14"/>
      <c r="K920" s="302"/>
    </row>
    <row r="921" ht="19.5" customHeight="1">
      <c r="A921" s="12"/>
      <c r="C921" s="12"/>
      <c r="D921" s="87"/>
      <c r="F921" s="14"/>
      <c r="G921" s="14"/>
      <c r="H921" s="14"/>
      <c r="I921" s="14"/>
      <c r="J921" s="14"/>
      <c r="K921" s="302"/>
    </row>
    <row r="922" ht="19.5" customHeight="1">
      <c r="A922" s="12"/>
      <c r="C922" s="12"/>
      <c r="D922" s="87"/>
      <c r="F922" s="14"/>
      <c r="G922" s="14"/>
      <c r="H922" s="14"/>
      <c r="I922" s="14"/>
      <c r="J922" s="14"/>
      <c r="K922" s="302"/>
    </row>
    <row r="923" ht="19.5" customHeight="1">
      <c r="A923" s="12"/>
      <c r="C923" s="12"/>
      <c r="D923" s="87"/>
      <c r="F923" s="14"/>
      <c r="G923" s="14"/>
      <c r="H923" s="14"/>
      <c r="I923" s="14"/>
      <c r="J923" s="14"/>
      <c r="K923" s="302"/>
    </row>
    <row r="924" ht="19.5" customHeight="1">
      <c r="A924" s="12"/>
      <c r="C924" s="12"/>
      <c r="D924" s="87"/>
      <c r="F924" s="14"/>
      <c r="G924" s="14"/>
      <c r="H924" s="14"/>
      <c r="I924" s="14"/>
      <c r="J924" s="14"/>
      <c r="K924" s="302"/>
    </row>
    <row r="925" ht="19.5" customHeight="1">
      <c r="A925" s="12"/>
      <c r="C925" s="12"/>
      <c r="D925" s="87"/>
      <c r="F925" s="14"/>
      <c r="G925" s="14"/>
      <c r="H925" s="14"/>
      <c r="I925" s="14"/>
      <c r="J925" s="14"/>
      <c r="K925" s="302"/>
    </row>
    <row r="926" ht="19.5" customHeight="1">
      <c r="A926" s="12"/>
      <c r="C926" s="12"/>
      <c r="D926" s="87"/>
      <c r="F926" s="14"/>
      <c r="G926" s="14"/>
      <c r="H926" s="14"/>
      <c r="I926" s="14"/>
      <c r="J926" s="14"/>
      <c r="K926" s="302"/>
    </row>
    <row r="927" ht="19.5" customHeight="1">
      <c r="A927" s="12"/>
      <c r="C927" s="12"/>
      <c r="D927" s="87"/>
      <c r="F927" s="14"/>
      <c r="G927" s="14"/>
      <c r="H927" s="14"/>
      <c r="I927" s="14"/>
      <c r="J927" s="14"/>
      <c r="K927" s="302"/>
    </row>
    <row r="928" ht="19.5" customHeight="1">
      <c r="A928" s="12"/>
      <c r="C928" s="12"/>
      <c r="D928" s="87"/>
      <c r="F928" s="14"/>
      <c r="G928" s="14"/>
      <c r="H928" s="14"/>
      <c r="I928" s="14"/>
      <c r="J928" s="14"/>
      <c r="K928" s="302"/>
    </row>
    <row r="929" ht="19.5" customHeight="1">
      <c r="A929" s="12"/>
      <c r="C929" s="12"/>
      <c r="D929" s="87"/>
      <c r="F929" s="14"/>
      <c r="G929" s="14"/>
      <c r="H929" s="14"/>
      <c r="I929" s="14"/>
      <c r="J929" s="14"/>
      <c r="K929" s="302"/>
    </row>
    <row r="930" ht="19.5" customHeight="1">
      <c r="A930" s="12"/>
      <c r="C930" s="12"/>
      <c r="D930" s="87"/>
      <c r="F930" s="14"/>
      <c r="G930" s="14"/>
      <c r="H930" s="14"/>
      <c r="I930" s="14"/>
      <c r="J930" s="14"/>
      <c r="K930" s="302"/>
    </row>
    <row r="931" ht="19.5" customHeight="1">
      <c r="A931" s="12"/>
      <c r="C931" s="12"/>
      <c r="D931" s="87"/>
      <c r="F931" s="14"/>
      <c r="G931" s="14"/>
      <c r="H931" s="14"/>
      <c r="I931" s="14"/>
      <c r="J931" s="14"/>
      <c r="K931" s="302"/>
    </row>
    <row r="932" ht="19.5" customHeight="1">
      <c r="A932" s="12"/>
      <c r="C932" s="12"/>
      <c r="D932" s="87"/>
      <c r="F932" s="14"/>
      <c r="G932" s="14"/>
      <c r="H932" s="14"/>
      <c r="I932" s="14"/>
      <c r="J932" s="14"/>
      <c r="K932" s="302"/>
    </row>
    <row r="933" ht="19.5" customHeight="1">
      <c r="A933" s="12"/>
      <c r="C933" s="12"/>
      <c r="D933" s="87"/>
      <c r="F933" s="14"/>
      <c r="G933" s="14"/>
      <c r="H933" s="14"/>
      <c r="I933" s="14"/>
      <c r="J933" s="14"/>
      <c r="K933" s="302"/>
    </row>
    <row r="934" ht="19.5" customHeight="1">
      <c r="A934" s="12"/>
      <c r="C934" s="12"/>
      <c r="D934" s="87"/>
      <c r="F934" s="14"/>
      <c r="G934" s="14"/>
      <c r="H934" s="14"/>
      <c r="I934" s="14"/>
      <c r="J934" s="14"/>
      <c r="K934" s="302"/>
    </row>
    <row r="935" ht="19.5" customHeight="1">
      <c r="A935" s="12"/>
      <c r="C935" s="12"/>
      <c r="D935" s="87"/>
      <c r="F935" s="14"/>
      <c r="G935" s="14"/>
      <c r="H935" s="14"/>
      <c r="I935" s="14"/>
      <c r="J935" s="14"/>
      <c r="K935" s="302"/>
    </row>
    <row r="936" ht="19.5" customHeight="1">
      <c r="A936" s="12"/>
      <c r="C936" s="12"/>
      <c r="D936" s="87"/>
      <c r="F936" s="14"/>
      <c r="G936" s="14"/>
      <c r="H936" s="14"/>
      <c r="I936" s="14"/>
      <c r="J936" s="14"/>
      <c r="K936" s="302"/>
    </row>
    <row r="937" ht="19.5" customHeight="1">
      <c r="A937" s="12"/>
      <c r="C937" s="12"/>
      <c r="D937" s="87"/>
      <c r="F937" s="14"/>
      <c r="G937" s="14"/>
      <c r="H937" s="14"/>
      <c r="I937" s="14"/>
      <c r="J937" s="14"/>
      <c r="K937" s="302"/>
    </row>
    <row r="938" ht="19.5" customHeight="1">
      <c r="A938" s="12"/>
      <c r="C938" s="12"/>
      <c r="D938" s="87"/>
      <c r="F938" s="14"/>
      <c r="G938" s="14"/>
      <c r="H938" s="14"/>
      <c r="I938" s="14"/>
      <c r="J938" s="14"/>
      <c r="K938" s="302"/>
    </row>
    <row r="939" ht="19.5" customHeight="1">
      <c r="A939" s="12"/>
      <c r="C939" s="12"/>
      <c r="D939" s="87"/>
      <c r="F939" s="14"/>
      <c r="G939" s="14"/>
      <c r="H939" s="14"/>
      <c r="I939" s="14"/>
      <c r="J939" s="14"/>
      <c r="K939" s="302"/>
    </row>
    <row r="940" ht="19.5" customHeight="1">
      <c r="A940" s="12"/>
      <c r="C940" s="12"/>
      <c r="D940" s="87"/>
      <c r="F940" s="14"/>
      <c r="G940" s="14"/>
      <c r="H940" s="14"/>
      <c r="I940" s="14"/>
      <c r="J940" s="14"/>
      <c r="K940" s="302"/>
    </row>
    <row r="941" ht="19.5" customHeight="1">
      <c r="A941" s="12"/>
      <c r="C941" s="12"/>
      <c r="D941" s="87"/>
      <c r="F941" s="14"/>
      <c r="G941" s="14"/>
      <c r="H941" s="14"/>
      <c r="I941" s="14"/>
      <c r="J941" s="14"/>
      <c r="K941" s="302"/>
    </row>
    <row r="942" ht="19.5" customHeight="1">
      <c r="A942" s="12"/>
      <c r="C942" s="12"/>
      <c r="D942" s="87"/>
      <c r="F942" s="14"/>
      <c r="G942" s="14"/>
      <c r="H942" s="14"/>
      <c r="I942" s="14"/>
      <c r="J942" s="14"/>
      <c r="K942" s="302"/>
    </row>
    <row r="943" ht="19.5" customHeight="1">
      <c r="A943" s="12"/>
      <c r="C943" s="12"/>
      <c r="D943" s="87"/>
      <c r="F943" s="14"/>
      <c r="G943" s="14"/>
      <c r="H943" s="14"/>
      <c r="I943" s="14"/>
      <c r="J943" s="14"/>
      <c r="K943" s="302"/>
    </row>
    <row r="944" ht="19.5" customHeight="1">
      <c r="A944" s="12"/>
      <c r="C944" s="12"/>
      <c r="D944" s="87"/>
      <c r="F944" s="14"/>
      <c r="G944" s="14"/>
      <c r="H944" s="14"/>
      <c r="I944" s="14"/>
      <c r="J944" s="14"/>
      <c r="K944" s="302"/>
    </row>
    <row r="945" ht="19.5" customHeight="1">
      <c r="A945" s="12"/>
      <c r="C945" s="12"/>
      <c r="D945" s="87"/>
      <c r="F945" s="14"/>
      <c r="G945" s="14"/>
      <c r="H945" s="14"/>
      <c r="I945" s="14"/>
      <c r="J945" s="14"/>
      <c r="K945" s="302"/>
    </row>
    <row r="946" ht="19.5" customHeight="1">
      <c r="A946" s="12"/>
      <c r="C946" s="12"/>
      <c r="D946" s="87"/>
      <c r="F946" s="14"/>
      <c r="G946" s="14"/>
      <c r="H946" s="14"/>
      <c r="I946" s="14"/>
      <c r="J946" s="14"/>
      <c r="K946" s="302"/>
    </row>
    <row r="947" ht="19.5" customHeight="1">
      <c r="A947" s="12"/>
      <c r="C947" s="12"/>
      <c r="D947" s="87"/>
      <c r="F947" s="14"/>
      <c r="G947" s="14"/>
      <c r="H947" s="14"/>
      <c r="I947" s="14"/>
      <c r="J947" s="14"/>
      <c r="K947" s="302"/>
    </row>
    <row r="948" ht="19.5" customHeight="1">
      <c r="A948" s="12"/>
      <c r="C948" s="12"/>
      <c r="D948" s="87"/>
      <c r="F948" s="14"/>
      <c r="G948" s="14"/>
      <c r="H948" s="14"/>
      <c r="I948" s="14"/>
      <c r="J948" s="14"/>
      <c r="K948" s="302"/>
    </row>
    <row r="949" ht="19.5" customHeight="1">
      <c r="A949" s="12"/>
      <c r="C949" s="12"/>
      <c r="D949" s="87"/>
      <c r="F949" s="14"/>
      <c r="G949" s="14"/>
      <c r="H949" s="14"/>
      <c r="I949" s="14"/>
      <c r="J949" s="14"/>
      <c r="K949" s="302"/>
    </row>
    <row r="950" ht="19.5" customHeight="1">
      <c r="A950" s="12"/>
      <c r="C950" s="12"/>
      <c r="D950" s="87"/>
      <c r="F950" s="14"/>
      <c r="G950" s="14"/>
      <c r="H950" s="14"/>
      <c r="I950" s="14"/>
      <c r="J950" s="14"/>
      <c r="K950" s="302"/>
    </row>
    <row r="951" ht="19.5" customHeight="1">
      <c r="A951" s="12"/>
      <c r="C951" s="12"/>
      <c r="D951" s="87"/>
      <c r="F951" s="14"/>
      <c r="G951" s="14"/>
      <c r="H951" s="14"/>
      <c r="I951" s="14"/>
      <c r="J951" s="14"/>
      <c r="K951" s="302"/>
    </row>
    <row r="952" ht="19.5" customHeight="1">
      <c r="A952" s="12"/>
      <c r="C952" s="12"/>
      <c r="D952" s="87"/>
      <c r="F952" s="14"/>
      <c r="G952" s="14"/>
      <c r="H952" s="14"/>
      <c r="I952" s="14"/>
      <c r="J952" s="14"/>
      <c r="K952" s="302"/>
    </row>
    <row r="953" ht="19.5" customHeight="1">
      <c r="A953" s="12"/>
      <c r="C953" s="12"/>
      <c r="D953" s="87"/>
      <c r="F953" s="14"/>
      <c r="G953" s="14"/>
      <c r="H953" s="14"/>
      <c r="I953" s="14"/>
      <c r="J953" s="14"/>
      <c r="K953" s="302"/>
    </row>
    <row r="954" ht="19.5" customHeight="1">
      <c r="A954" s="12"/>
      <c r="C954" s="12"/>
      <c r="D954" s="87"/>
      <c r="F954" s="14"/>
      <c r="G954" s="14"/>
      <c r="H954" s="14"/>
      <c r="I954" s="14"/>
      <c r="J954" s="14"/>
      <c r="K954" s="302"/>
    </row>
    <row r="955" ht="19.5" customHeight="1">
      <c r="A955" s="12"/>
      <c r="C955" s="12"/>
      <c r="D955" s="87"/>
      <c r="F955" s="14"/>
      <c r="G955" s="14"/>
      <c r="H955" s="14"/>
      <c r="I955" s="14"/>
      <c r="J955" s="14"/>
      <c r="K955" s="302"/>
    </row>
    <row r="956" ht="19.5" customHeight="1">
      <c r="A956" s="12"/>
      <c r="C956" s="12"/>
      <c r="D956" s="87"/>
      <c r="F956" s="14"/>
      <c r="G956" s="14"/>
      <c r="H956" s="14"/>
      <c r="I956" s="14"/>
      <c r="J956" s="14"/>
      <c r="K956" s="302"/>
    </row>
    <row r="957" ht="19.5" customHeight="1">
      <c r="A957" s="12"/>
      <c r="C957" s="12"/>
      <c r="D957" s="87"/>
      <c r="F957" s="14"/>
      <c r="G957" s="14"/>
      <c r="H957" s="14"/>
      <c r="I957" s="14"/>
      <c r="J957" s="14"/>
      <c r="K957" s="302"/>
    </row>
    <row r="958" ht="19.5" customHeight="1">
      <c r="A958" s="12"/>
      <c r="C958" s="12"/>
      <c r="D958" s="87"/>
      <c r="F958" s="14"/>
      <c r="G958" s="14"/>
      <c r="H958" s="14"/>
      <c r="I958" s="14"/>
      <c r="J958" s="14"/>
      <c r="K958" s="302"/>
    </row>
    <row r="959" ht="19.5" customHeight="1">
      <c r="A959" s="12"/>
      <c r="C959" s="12"/>
      <c r="D959" s="87"/>
      <c r="F959" s="14"/>
      <c r="G959" s="14"/>
      <c r="H959" s="14"/>
      <c r="I959" s="14"/>
      <c r="J959" s="14"/>
      <c r="K959" s="302"/>
    </row>
    <row r="960" ht="19.5" customHeight="1">
      <c r="A960" s="12"/>
      <c r="C960" s="12"/>
      <c r="D960" s="87"/>
      <c r="F960" s="14"/>
      <c r="G960" s="14"/>
      <c r="H960" s="14"/>
      <c r="I960" s="14"/>
      <c r="J960" s="14"/>
      <c r="K960" s="302"/>
    </row>
    <row r="961" ht="19.5" customHeight="1">
      <c r="A961" s="12"/>
      <c r="C961" s="12"/>
      <c r="D961" s="87"/>
      <c r="F961" s="14"/>
      <c r="G961" s="14"/>
      <c r="H961" s="14"/>
      <c r="I961" s="14"/>
      <c r="J961" s="14"/>
      <c r="K961" s="302"/>
    </row>
    <row r="962" ht="19.5" customHeight="1">
      <c r="A962" s="12"/>
      <c r="C962" s="12"/>
      <c r="D962" s="87"/>
      <c r="F962" s="14"/>
      <c r="G962" s="14"/>
      <c r="H962" s="14"/>
      <c r="I962" s="14"/>
      <c r="J962" s="14"/>
      <c r="K962" s="302"/>
    </row>
    <row r="963" ht="19.5" customHeight="1">
      <c r="A963" s="12"/>
      <c r="C963" s="12"/>
      <c r="D963" s="87"/>
      <c r="F963" s="14"/>
      <c r="G963" s="14"/>
      <c r="H963" s="14"/>
      <c r="I963" s="14"/>
      <c r="J963" s="14"/>
      <c r="K963" s="302"/>
    </row>
    <row r="964" ht="19.5" customHeight="1">
      <c r="A964" s="12"/>
      <c r="C964" s="12"/>
      <c r="D964" s="87"/>
      <c r="F964" s="14"/>
      <c r="G964" s="14"/>
      <c r="H964" s="14"/>
      <c r="I964" s="14"/>
      <c r="J964" s="14"/>
      <c r="K964" s="302"/>
    </row>
    <row r="965" ht="19.5" customHeight="1">
      <c r="A965" s="12"/>
      <c r="C965" s="12"/>
      <c r="D965" s="87"/>
      <c r="F965" s="14"/>
      <c r="G965" s="14"/>
      <c r="H965" s="14"/>
      <c r="I965" s="14"/>
      <c r="J965" s="14"/>
      <c r="K965" s="302"/>
    </row>
    <row r="966" ht="19.5" customHeight="1">
      <c r="A966" s="12"/>
      <c r="C966" s="12"/>
      <c r="D966" s="87"/>
      <c r="F966" s="14"/>
      <c r="G966" s="14"/>
      <c r="H966" s="14"/>
      <c r="I966" s="14"/>
      <c r="J966" s="14"/>
      <c r="K966" s="302"/>
    </row>
    <row r="967" ht="19.5" customHeight="1">
      <c r="A967" s="12"/>
      <c r="C967" s="12"/>
      <c r="D967" s="87"/>
      <c r="F967" s="14"/>
      <c r="G967" s="14"/>
      <c r="H967" s="14"/>
      <c r="I967" s="14"/>
      <c r="J967" s="14"/>
      <c r="K967" s="302"/>
    </row>
    <row r="968" ht="19.5" customHeight="1">
      <c r="A968" s="12"/>
      <c r="C968" s="12"/>
      <c r="D968" s="87"/>
      <c r="F968" s="14"/>
      <c r="G968" s="14"/>
      <c r="H968" s="14"/>
      <c r="I968" s="14"/>
      <c r="J968" s="14"/>
      <c r="K968" s="302"/>
    </row>
    <row r="969" ht="19.5" customHeight="1">
      <c r="A969" s="12"/>
      <c r="C969" s="12"/>
      <c r="D969" s="87"/>
      <c r="F969" s="14"/>
      <c r="G969" s="14"/>
      <c r="H969" s="14"/>
      <c r="I969" s="14"/>
      <c r="J969" s="14"/>
      <c r="K969" s="302"/>
    </row>
    <row r="970" ht="19.5" customHeight="1">
      <c r="A970" s="12"/>
      <c r="C970" s="12"/>
      <c r="D970" s="87"/>
      <c r="F970" s="14"/>
      <c r="G970" s="14"/>
      <c r="H970" s="14"/>
      <c r="I970" s="14"/>
      <c r="J970" s="14"/>
      <c r="K970" s="302"/>
    </row>
    <row r="971" ht="19.5" customHeight="1">
      <c r="A971" s="12"/>
      <c r="C971" s="12"/>
      <c r="D971" s="87"/>
      <c r="F971" s="14"/>
      <c r="G971" s="14"/>
      <c r="H971" s="14"/>
      <c r="I971" s="14"/>
      <c r="J971" s="14"/>
      <c r="K971" s="302"/>
    </row>
    <row r="972" ht="19.5" customHeight="1">
      <c r="A972" s="12"/>
      <c r="C972" s="12"/>
      <c r="D972" s="87"/>
      <c r="F972" s="14"/>
      <c r="G972" s="14"/>
      <c r="H972" s="14"/>
      <c r="I972" s="14"/>
      <c r="J972" s="14"/>
      <c r="K972" s="302"/>
    </row>
    <row r="973" ht="19.5" customHeight="1">
      <c r="A973" s="12"/>
      <c r="C973" s="12"/>
      <c r="D973" s="87"/>
      <c r="F973" s="14"/>
      <c r="G973" s="14"/>
      <c r="H973" s="14"/>
      <c r="I973" s="14"/>
      <c r="J973" s="14"/>
      <c r="K973" s="302"/>
    </row>
    <row r="974" ht="19.5" customHeight="1">
      <c r="A974" s="12"/>
      <c r="C974" s="12"/>
      <c r="D974" s="87"/>
      <c r="F974" s="14"/>
      <c r="G974" s="14"/>
      <c r="H974" s="14"/>
      <c r="I974" s="14"/>
      <c r="J974" s="14"/>
      <c r="K974" s="302"/>
    </row>
    <row r="975" ht="19.5" customHeight="1">
      <c r="A975" s="12"/>
      <c r="C975" s="12"/>
      <c r="D975" s="87"/>
      <c r="F975" s="14"/>
      <c r="G975" s="14"/>
      <c r="H975" s="14"/>
      <c r="I975" s="14"/>
      <c r="J975" s="14"/>
      <c r="K975" s="302"/>
    </row>
    <row r="976" ht="19.5" customHeight="1">
      <c r="A976" s="12"/>
      <c r="C976" s="12"/>
      <c r="D976" s="87"/>
      <c r="F976" s="14"/>
      <c r="G976" s="14"/>
      <c r="H976" s="14"/>
      <c r="I976" s="14"/>
      <c r="J976" s="14"/>
      <c r="K976" s="302"/>
    </row>
    <row r="977" ht="19.5" customHeight="1">
      <c r="A977" s="12"/>
      <c r="C977" s="12"/>
      <c r="D977" s="87"/>
      <c r="F977" s="14"/>
      <c r="G977" s="14"/>
      <c r="H977" s="14"/>
      <c r="I977" s="14"/>
      <c r="J977" s="14"/>
      <c r="K977" s="302"/>
    </row>
    <row r="978" ht="19.5" customHeight="1">
      <c r="A978" s="12"/>
      <c r="C978" s="12"/>
      <c r="D978" s="87"/>
      <c r="F978" s="14"/>
      <c r="G978" s="14"/>
      <c r="H978" s="14"/>
      <c r="I978" s="14"/>
      <c r="J978" s="14"/>
      <c r="K978" s="302"/>
    </row>
    <row r="979" ht="19.5" customHeight="1">
      <c r="A979" s="12"/>
      <c r="C979" s="12"/>
      <c r="D979" s="87"/>
      <c r="F979" s="14"/>
      <c r="G979" s="14"/>
      <c r="H979" s="14"/>
      <c r="I979" s="14"/>
      <c r="J979" s="14"/>
      <c r="K979" s="302"/>
    </row>
    <row r="980" ht="19.5" customHeight="1">
      <c r="A980" s="12"/>
      <c r="C980" s="12"/>
      <c r="D980" s="87"/>
      <c r="F980" s="14"/>
      <c r="G980" s="14"/>
      <c r="H980" s="14"/>
      <c r="I980" s="14"/>
      <c r="J980" s="14"/>
      <c r="K980" s="302"/>
    </row>
    <row r="981" ht="19.5" customHeight="1">
      <c r="A981" s="12"/>
      <c r="C981" s="12"/>
      <c r="D981" s="87"/>
      <c r="F981" s="14"/>
      <c r="G981" s="14"/>
      <c r="H981" s="14"/>
      <c r="I981" s="14"/>
      <c r="J981" s="14"/>
      <c r="K981" s="302"/>
    </row>
    <row r="982" ht="19.5" customHeight="1">
      <c r="A982" s="12"/>
      <c r="C982" s="12"/>
      <c r="D982" s="87"/>
      <c r="F982" s="14"/>
      <c r="G982" s="14"/>
      <c r="H982" s="14"/>
      <c r="I982" s="14"/>
      <c r="J982" s="14"/>
      <c r="K982" s="302"/>
    </row>
    <row r="983" ht="19.5" customHeight="1">
      <c r="A983" s="12"/>
      <c r="C983" s="12"/>
      <c r="D983" s="87"/>
      <c r="F983" s="14"/>
      <c r="G983" s="14"/>
      <c r="H983" s="14"/>
      <c r="I983" s="14"/>
      <c r="J983" s="14"/>
      <c r="K983" s="302"/>
    </row>
    <row r="984" ht="19.5" customHeight="1">
      <c r="A984" s="12"/>
      <c r="C984" s="12"/>
      <c r="D984" s="87"/>
      <c r="F984" s="14"/>
      <c r="G984" s="14"/>
      <c r="H984" s="14"/>
      <c r="I984" s="14"/>
      <c r="J984" s="14"/>
      <c r="K984" s="302"/>
    </row>
    <row r="985" ht="19.5" customHeight="1">
      <c r="A985" s="12"/>
      <c r="C985" s="12"/>
      <c r="D985" s="87"/>
      <c r="F985" s="14"/>
      <c r="G985" s="14"/>
      <c r="H985" s="14"/>
      <c r="I985" s="14"/>
      <c r="J985" s="14"/>
      <c r="K985" s="302"/>
    </row>
    <row r="986" ht="19.5" customHeight="1">
      <c r="A986" s="12"/>
      <c r="C986" s="12"/>
      <c r="D986" s="87"/>
      <c r="F986" s="14"/>
      <c r="G986" s="14"/>
      <c r="H986" s="14"/>
      <c r="I986" s="14"/>
      <c r="J986" s="14"/>
      <c r="K986" s="302"/>
    </row>
    <row r="987" ht="19.5" customHeight="1">
      <c r="A987" s="12"/>
      <c r="C987" s="12"/>
      <c r="D987" s="87"/>
      <c r="F987" s="14"/>
      <c r="G987" s="14"/>
      <c r="H987" s="14"/>
      <c r="I987" s="14"/>
      <c r="J987" s="14"/>
      <c r="K987" s="302"/>
    </row>
    <row r="988" ht="19.5" customHeight="1">
      <c r="A988" s="12"/>
      <c r="C988" s="12"/>
      <c r="D988" s="87"/>
      <c r="F988" s="14"/>
      <c r="G988" s="14"/>
      <c r="H988" s="14"/>
      <c r="I988" s="14"/>
      <c r="J988" s="14"/>
      <c r="K988" s="302"/>
    </row>
    <row r="989" ht="19.5" customHeight="1">
      <c r="A989" s="12"/>
      <c r="C989" s="12"/>
      <c r="D989" s="87"/>
      <c r="F989" s="14"/>
      <c r="G989" s="14"/>
      <c r="H989" s="14"/>
      <c r="I989" s="14"/>
      <c r="J989" s="14"/>
      <c r="K989" s="302"/>
    </row>
    <row r="990" ht="19.5" customHeight="1">
      <c r="A990" s="12"/>
      <c r="C990" s="12"/>
      <c r="D990" s="87"/>
      <c r="F990" s="14"/>
      <c r="G990" s="14"/>
      <c r="H990" s="14"/>
      <c r="I990" s="14"/>
      <c r="J990" s="14"/>
      <c r="K990" s="302"/>
    </row>
    <row r="991" ht="19.5" customHeight="1">
      <c r="A991" s="12"/>
      <c r="C991" s="12"/>
      <c r="D991" s="87"/>
      <c r="F991" s="14"/>
      <c r="G991" s="14"/>
      <c r="H991" s="14"/>
      <c r="I991" s="14"/>
      <c r="J991" s="14"/>
      <c r="K991" s="302"/>
    </row>
    <row r="992" ht="19.5" customHeight="1">
      <c r="A992" s="12"/>
      <c r="C992" s="12"/>
      <c r="D992" s="87"/>
      <c r="F992" s="14"/>
      <c r="G992" s="14"/>
      <c r="H992" s="14"/>
      <c r="I992" s="14"/>
      <c r="J992" s="14"/>
      <c r="K992" s="302"/>
    </row>
    <row r="993" ht="19.5" customHeight="1">
      <c r="A993" s="12"/>
      <c r="C993" s="12"/>
      <c r="D993" s="87"/>
      <c r="F993" s="14"/>
      <c r="G993" s="14"/>
      <c r="H993" s="14"/>
      <c r="I993" s="14"/>
      <c r="J993" s="14"/>
      <c r="K993" s="302"/>
    </row>
    <row r="994" ht="19.5" customHeight="1">
      <c r="A994" s="12"/>
      <c r="C994" s="12"/>
      <c r="D994" s="87"/>
      <c r="F994" s="14"/>
      <c r="G994" s="14"/>
      <c r="H994" s="14"/>
      <c r="I994" s="14"/>
      <c r="J994" s="14"/>
      <c r="K994" s="302"/>
    </row>
    <row r="995" ht="19.5" customHeight="1">
      <c r="A995" s="12"/>
      <c r="C995" s="12"/>
      <c r="D995" s="87"/>
      <c r="F995" s="14"/>
      <c r="G995" s="14"/>
      <c r="H995" s="14"/>
      <c r="I995" s="14"/>
      <c r="J995" s="14"/>
      <c r="K995" s="302"/>
    </row>
    <row r="996" ht="19.5" customHeight="1">
      <c r="A996" s="12"/>
      <c r="C996" s="12"/>
      <c r="D996" s="87"/>
      <c r="F996" s="14"/>
      <c r="G996" s="14"/>
      <c r="H996" s="14"/>
      <c r="I996" s="14"/>
      <c r="J996" s="14"/>
      <c r="K996" s="302"/>
    </row>
    <row r="997" ht="19.5" customHeight="1">
      <c r="A997" s="12"/>
      <c r="C997" s="12"/>
      <c r="D997" s="87"/>
      <c r="F997" s="14"/>
      <c r="G997" s="14"/>
      <c r="H997" s="14"/>
      <c r="I997" s="14"/>
      <c r="J997" s="14"/>
      <c r="K997" s="302"/>
    </row>
    <row r="998" ht="19.5" customHeight="1">
      <c r="A998" s="12"/>
      <c r="C998" s="12"/>
      <c r="D998" s="87"/>
      <c r="F998" s="14"/>
      <c r="G998" s="14"/>
      <c r="H998" s="14"/>
      <c r="I998" s="14"/>
      <c r="J998" s="14"/>
      <c r="K998" s="302"/>
    </row>
    <row r="999" ht="19.5" customHeight="1">
      <c r="A999" s="12"/>
      <c r="C999" s="12"/>
      <c r="D999" s="87"/>
      <c r="F999" s="14"/>
      <c r="G999" s="14"/>
      <c r="H999" s="14"/>
      <c r="I999" s="14"/>
      <c r="J999" s="14"/>
      <c r="K999" s="302"/>
    </row>
    <row r="1000" ht="19.5" customHeight="1">
      <c r="A1000" s="12"/>
      <c r="C1000" s="12"/>
      <c r="D1000" s="87"/>
      <c r="F1000" s="14"/>
      <c r="G1000" s="14"/>
      <c r="H1000" s="14"/>
      <c r="I1000" s="14"/>
      <c r="J1000" s="14"/>
      <c r="K1000" s="302"/>
    </row>
    <row r="1001" ht="19.5" customHeight="1">
      <c r="A1001" s="12"/>
      <c r="C1001" s="12"/>
      <c r="D1001" s="87"/>
      <c r="F1001" s="14"/>
      <c r="G1001" s="14"/>
      <c r="H1001" s="14"/>
      <c r="I1001" s="14"/>
      <c r="J1001" s="14"/>
      <c r="K1001" s="302"/>
    </row>
    <row r="1002" ht="19.5" customHeight="1">
      <c r="A1002" s="12"/>
      <c r="C1002" s="12"/>
      <c r="D1002" s="87"/>
      <c r="F1002" s="14"/>
      <c r="G1002" s="14"/>
      <c r="H1002" s="14"/>
      <c r="I1002" s="14"/>
      <c r="J1002" s="14"/>
      <c r="K1002" s="302"/>
    </row>
    <row r="1003" ht="19.5" customHeight="1">
      <c r="A1003" s="12"/>
      <c r="C1003" s="12"/>
      <c r="D1003" s="87"/>
      <c r="F1003" s="14"/>
      <c r="G1003" s="14"/>
      <c r="H1003" s="14"/>
      <c r="I1003" s="14"/>
      <c r="J1003" s="14"/>
      <c r="K1003" s="302"/>
    </row>
    <row r="1004" ht="19.5" customHeight="1">
      <c r="A1004" s="12"/>
      <c r="C1004" s="12"/>
      <c r="D1004" s="87"/>
      <c r="F1004" s="14"/>
      <c r="G1004" s="14"/>
      <c r="H1004" s="14"/>
      <c r="I1004" s="14"/>
      <c r="J1004" s="14"/>
      <c r="K1004" s="302"/>
    </row>
    <row r="1005" ht="19.5" customHeight="1">
      <c r="A1005" s="12"/>
      <c r="C1005" s="12"/>
      <c r="D1005" s="87"/>
      <c r="F1005" s="14"/>
      <c r="G1005" s="14"/>
      <c r="H1005" s="14"/>
      <c r="I1005" s="14"/>
      <c r="J1005" s="14"/>
      <c r="K1005" s="302"/>
    </row>
    <row r="1006" ht="19.5" customHeight="1">
      <c r="A1006" s="12"/>
      <c r="C1006" s="12"/>
      <c r="D1006" s="87"/>
      <c r="F1006" s="14"/>
      <c r="G1006" s="14"/>
      <c r="H1006" s="14"/>
      <c r="I1006" s="14"/>
      <c r="J1006" s="14"/>
      <c r="K1006" s="302"/>
    </row>
    <row r="1007" ht="19.5" customHeight="1">
      <c r="A1007" s="12"/>
      <c r="C1007" s="12"/>
      <c r="D1007" s="87"/>
      <c r="F1007" s="14"/>
      <c r="G1007" s="14"/>
      <c r="H1007" s="14"/>
      <c r="I1007" s="14"/>
      <c r="J1007" s="14"/>
      <c r="K1007" s="302"/>
    </row>
    <row r="1008" ht="19.5" customHeight="1">
      <c r="A1008" s="12"/>
      <c r="C1008" s="12"/>
      <c r="D1008" s="87"/>
      <c r="F1008" s="14"/>
      <c r="G1008" s="14"/>
      <c r="H1008" s="14"/>
      <c r="I1008" s="14"/>
      <c r="J1008" s="14"/>
      <c r="K1008" s="302"/>
    </row>
    <row r="1009" ht="19.5" customHeight="1">
      <c r="A1009" s="12"/>
      <c r="C1009" s="12"/>
      <c r="D1009" s="87"/>
      <c r="F1009" s="14"/>
      <c r="G1009" s="14"/>
      <c r="H1009" s="14"/>
      <c r="I1009" s="14"/>
      <c r="J1009" s="14"/>
      <c r="K1009" s="302"/>
    </row>
    <row r="1010" ht="19.5" customHeight="1">
      <c r="A1010" s="12"/>
      <c r="C1010" s="12"/>
      <c r="D1010" s="87"/>
      <c r="F1010" s="14"/>
      <c r="G1010" s="14"/>
      <c r="H1010" s="14"/>
      <c r="I1010" s="14"/>
      <c r="J1010" s="14"/>
      <c r="K1010" s="302"/>
    </row>
    <row r="1011" ht="19.5" customHeight="1">
      <c r="A1011" s="12"/>
      <c r="C1011" s="12"/>
      <c r="D1011" s="87"/>
      <c r="F1011" s="14"/>
      <c r="G1011" s="14"/>
      <c r="H1011" s="14"/>
      <c r="I1011" s="14"/>
      <c r="J1011" s="14"/>
      <c r="K1011" s="302"/>
    </row>
    <row r="1012" ht="19.5" customHeight="1">
      <c r="A1012" s="12"/>
      <c r="C1012" s="12"/>
      <c r="D1012" s="87"/>
      <c r="F1012" s="14"/>
      <c r="G1012" s="14"/>
      <c r="H1012" s="14"/>
      <c r="I1012" s="14"/>
      <c r="J1012" s="14"/>
      <c r="K1012" s="302"/>
    </row>
    <row r="1013" ht="19.5" customHeight="1">
      <c r="A1013" s="12"/>
      <c r="C1013" s="12"/>
      <c r="D1013" s="87"/>
      <c r="F1013" s="14"/>
      <c r="G1013" s="14"/>
      <c r="H1013" s="14"/>
      <c r="I1013" s="14"/>
      <c r="J1013" s="14"/>
      <c r="K1013" s="302"/>
    </row>
    <row r="1014" ht="19.5" customHeight="1">
      <c r="A1014" s="12"/>
      <c r="C1014" s="12"/>
      <c r="D1014" s="87"/>
      <c r="F1014" s="14"/>
      <c r="G1014" s="14"/>
      <c r="H1014" s="14"/>
      <c r="I1014" s="14"/>
      <c r="J1014" s="14"/>
      <c r="K1014" s="302"/>
    </row>
    <row r="1015" ht="19.5" customHeight="1">
      <c r="A1015" s="12"/>
      <c r="C1015" s="12"/>
      <c r="D1015" s="87"/>
      <c r="F1015" s="14"/>
      <c r="G1015" s="14"/>
      <c r="H1015" s="14"/>
      <c r="I1015" s="14"/>
      <c r="J1015" s="14"/>
      <c r="K1015" s="302"/>
    </row>
    <row r="1016" ht="19.5" customHeight="1">
      <c r="A1016" s="12"/>
      <c r="C1016" s="12"/>
      <c r="D1016" s="87"/>
      <c r="F1016" s="14"/>
      <c r="G1016" s="14"/>
      <c r="H1016" s="14"/>
      <c r="I1016" s="14"/>
      <c r="J1016" s="14"/>
      <c r="K1016" s="302"/>
    </row>
    <row r="1017" ht="19.5" customHeight="1">
      <c r="A1017" s="12"/>
      <c r="C1017" s="12"/>
      <c r="D1017" s="87"/>
      <c r="F1017" s="14"/>
      <c r="G1017" s="14"/>
      <c r="H1017" s="14"/>
      <c r="I1017" s="14"/>
      <c r="J1017" s="14"/>
      <c r="K1017" s="302"/>
    </row>
    <row r="1018" ht="19.5" customHeight="1">
      <c r="A1018" s="12"/>
      <c r="C1018" s="12"/>
      <c r="D1018" s="87"/>
      <c r="F1018" s="14"/>
      <c r="G1018" s="14"/>
      <c r="H1018" s="14"/>
      <c r="I1018" s="14"/>
      <c r="J1018" s="14"/>
      <c r="K1018" s="302"/>
    </row>
    <row r="1019" ht="19.5" customHeight="1">
      <c r="A1019" s="12"/>
      <c r="C1019" s="12"/>
      <c r="D1019" s="87"/>
      <c r="F1019" s="14"/>
      <c r="G1019" s="14"/>
      <c r="H1019" s="14"/>
      <c r="I1019" s="14"/>
      <c r="J1019" s="14"/>
      <c r="K1019" s="302"/>
    </row>
    <row r="1020" ht="19.5" customHeight="1">
      <c r="A1020" s="12"/>
      <c r="C1020" s="12"/>
      <c r="D1020" s="87"/>
      <c r="F1020" s="14"/>
      <c r="G1020" s="14"/>
      <c r="H1020" s="14"/>
      <c r="I1020" s="14"/>
      <c r="J1020" s="14"/>
      <c r="K1020" s="302"/>
    </row>
    <row r="1021" ht="19.5" customHeight="1">
      <c r="A1021" s="12"/>
      <c r="C1021" s="12"/>
      <c r="D1021" s="87"/>
      <c r="F1021" s="14"/>
      <c r="G1021" s="14"/>
      <c r="H1021" s="14"/>
      <c r="I1021" s="14"/>
      <c r="J1021" s="14"/>
      <c r="K1021" s="302"/>
    </row>
    <row r="1022" ht="19.5" customHeight="1">
      <c r="A1022" s="12"/>
      <c r="C1022" s="12"/>
      <c r="D1022" s="87"/>
      <c r="F1022" s="14"/>
      <c r="G1022" s="14"/>
      <c r="H1022" s="14"/>
      <c r="I1022" s="14"/>
      <c r="J1022" s="14"/>
      <c r="K1022" s="302"/>
    </row>
    <row r="1023" ht="19.5" customHeight="1">
      <c r="A1023" s="12"/>
      <c r="C1023" s="12"/>
      <c r="D1023" s="87"/>
      <c r="F1023" s="14"/>
      <c r="G1023" s="14"/>
      <c r="H1023" s="14"/>
      <c r="I1023" s="14"/>
      <c r="J1023" s="14"/>
      <c r="K1023" s="302"/>
    </row>
    <row r="1024" ht="19.5" customHeight="1">
      <c r="A1024" s="12"/>
      <c r="C1024" s="12"/>
      <c r="D1024" s="87"/>
      <c r="F1024" s="14"/>
      <c r="G1024" s="14"/>
      <c r="H1024" s="14"/>
      <c r="I1024" s="14"/>
      <c r="J1024" s="14"/>
      <c r="K1024" s="302"/>
    </row>
    <row r="1025" ht="19.5" customHeight="1">
      <c r="A1025" s="12"/>
      <c r="C1025" s="12"/>
      <c r="D1025" s="87"/>
      <c r="F1025" s="14"/>
      <c r="G1025" s="14"/>
      <c r="H1025" s="14"/>
      <c r="I1025" s="14"/>
      <c r="J1025" s="14"/>
      <c r="K1025" s="302"/>
    </row>
    <row r="1026" ht="19.5" customHeight="1">
      <c r="A1026" s="12"/>
      <c r="C1026" s="12"/>
      <c r="D1026" s="87"/>
      <c r="F1026" s="14"/>
      <c r="G1026" s="14"/>
      <c r="H1026" s="14"/>
      <c r="I1026" s="14"/>
      <c r="J1026" s="14"/>
      <c r="K1026" s="302"/>
    </row>
    <row r="1027" ht="19.5" customHeight="1">
      <c r="A1027" s="12"/>
      <c r="C1027" s="12"/>
      <c r="D1027" s="87"/>
      <c r="F1027" s="14"/>
      <c r="G1027" s="14"/>
      <c r="H1027" s="14"/>
      <c r="I1027" s="14"/>
      <c r="J1027" s="14"/>
      <c r="K1027" s="302"/>
    </row>
    <row r="1028" ht="19.5" customHeight="1">
      <c r="A1028" s="12"/>
      <c r="C1028" s="12"/>
      <c r="D1028" s="87"/>
      <c r="F1028" s="14"/>
      <c r="G1028" s="14"/>
      <c r="H1028" s="14"/>
      <c r="I1028" s="14"/>
      <c r="J1028" s="14"/>
      <c r="K1028" s="302"/>
    </row>
    <row r="1029" ht="19.5" customHeight="1">
      <c r="A1029" s="12"/>
      <c r="C1029" s="12"/>
      <c r="D1029" s="87"/>
      <c r="F1029" s="14"/>
      <c r="G1029" s="14"/>
      <c r="H1029" s="14"/>
      <c r="I1029" s="14"/>
      <c r="J1029" s="14"/>
      <c r="K1029" s="302"/>
    </row>
    <row r="1030" ht="19.5" customHeight="1">
      <c r="A1030" s="12"/>
      <c r="C1030" s="12"/>
      <c r="D1030" s="87"/>
      <c r="F1030" s="14"/>
      <c r="G1030" s="14"/>
      <c r="H1030" s="14"/>
      <c r="I1030" s="14"/>
      <c r="J1030" s="14"/>
      <c r="K1030" s="302"/>
    </row>
    <row r="1031" ht="19.5" customHeight="1">
      <c r="A1031" s="12"/>
      <c r="C1031" s="12"/>
      <c r="D1031" s="87"/>
      <c r="F1031" s="14"/>
      <c r="G1031" s="14"/>
      <c r="H1031" s="14"/>
      <c r="I1031" s="14"/>
      <c r="J1031" s="14"/>
      <c r="K1031" s="302"/>
    </row>
    <row r="1032" ht="19.5" customHeight="1">
      <c r="A1032" s="12"/>
      <c r="C1032" s="12"/>
      <c r="D1032" s="87"/>
      <c r="F1032" s="14"/>
      <c r="G1032" s="14"/>
      <c r="H1032" s="14"/>
      <c r="I1032" s="14"/>
      <c r="J1032" s="14"/>
      <c r="K1032" s="302"/>
    </row>
    <row r="1033" ht="19.5" customHeight="1">
      <c r="A1033" s="12"/>
      <c r="C1033" s="12"/>
      <c r="D1033" s="87"/>
      <c r="F1033" s="14"/>
      <c r="G1033" s="14"/>
      <c r="H1033" s="14"/>
      <c r="I1033" s="14"/>
      <c r="J1033" s="14"/>
      <c r="K1033" s="302"/>
    </row>
    <row r="1034" ht="19.5" customHeight="1">
      <c r="A1034" s="12"/>
      <c r="C1034" s="12"/>
      <c r="D1034" s="87"/>
      <c r="F1034" s="14"/>
      <c r="G1034" s="14"/>
      <c r="H1034" s="14"/>
      <c r="I1034" s="14"/>
      <c r="J1034" s="14"/>
      <c r="K1034" s="302"/>
    </row>
    <row r="1035" ht="19.5" customHeight="1">
      <c r="A1035" s="12"/>
      <c r="C1035" s="12"/>
      <c r="D1035" s="87"/>
      <c r="F1035" s="14"/>
      <c r="G1035" s="14"/>
      <c r="H1035" s="14"/>
      <c r="I1035" s="14"/>
      <c r="J1035" s="14"/>
      <c r="K1035" s="302"/>
    </row>
    <row r="1036" ht="19.5" customHeight="1">
      <c r="A1036" s="12"/>
      <c r="C1036" s="12"/>
      <c r="D1036" s="87"/>
      <c r="F1036" s="14"/>
      <c r="G1036" s="14"/>
      <c r="H1036" s="14"/>
      <c r="I1036" s="14"/>
      <c r="J1036" s="14"/>
      <c r="K1036" s="302"/>
    </row>
    <row r="1037" ht="19.5" customHeight="1">
      <c r="A1037" s="12"/>
      <c r="C1037" s="12"/>
      <c r="D1037" s="87"/>
      <c r="F1037" s="14"/>
      <c r="G1037" s="14"/>
      <c r="H1037" s="14"/>
      <c r="I1037" s="14"/>
      <c r="J1037" s="14"/>
      <c r="K1037" s="302"/>
    </row>
    <row r="1038" ht="19.5" customHeight="1">
      <c r="A1038" s="12"/>
      <c r="C1038" s="12"/>
      <c r="D1038" s="87"/>
      <c r="F1038" s="14"/>
      <c r="G1038" s="14"/>
      <c r="H1038" s="14"/>
      <c r="I1038" s="14"/>
      <c r="J1038" s="14"/>
      <c r="K1038" s="302"/>
    </row>
    <row r="1039" ht="19.5" customHeight="1">
      <c r="A1039" s="12"/>
      <c r="C1039" s="12"/>
      <c r="D1039" s="87"/>
      <c r="F1039" s="14"/>
      <c r="G1039" s="14"/>
      <c r="H1039" s="14"/>
      <c r="I1039" s="14"/>
      <c r="J1039" s="14"/>
      <c r="K1039" s="302"/>
    </row>
    <row r="1040" ht="19.5" customHeight="1">
      <c r="A1040" s="12"/>
      <c r="C1040" s="12"/>
      <c r="D1040" s="87"/>
      <c r="F1040" s="14"/>
      <c r="G1040" s="14"/>
      <c r="H1040" s="14"/>
      <c r="I1040" s="14"/>
      <c r="J1040" s="14"/>
      <c r="K1040" s="302"/>
    </row>
    <row r="1041" ht="19.5" customHeight="1">
      <c r="A1041" s="12"/>
      <c r="C1041" s="12"/>
      <c r="D1041" s="87"/>
      <c r="F1041" s="14"/>
      <c r="G1041" s="14"/>
      <c r="H1041" s="14"/>
      <c r="I1041" s="14"/>
      <c r="J1041" s="14"/>
      <c r="K1041" s="302"/>
    </row>
    <row r="1042" ht="19.5" customHeight="1">
      <c r="A1042" s="12"/>
      <c r="C1042" s="12"/>
      <c r="D1042" s="87"/>
      <c r="F1042" s="14"/>
      <c r="G1042" s="14"/>
      <c r="H1042" s="14"/>
      <c r="I1042" s="14"/>
      <c r="J1042" s="14"/>
      <c r="K1042" s="302"/>
    </row>
    <row r="1043" ht="19.5" customHeight="1">
      <c r="A1043" s="12"/>
      <c r="C1043" s="12"/>
      <c r="D1043" s="87"/>
      <c r="F1043" s="14"/>
      <c r="G1043" s="14"/>
      <c r="H1043" s="14"/>
      <c r="I1043" s="14"/>
      <c r="J1043" s="14"/>
      <c r="K1043" s="302"/>
    </row>
    <row r="1044" ht="19.5" customHeight="1">
      <c r="A1044" s="12"/>
      <c r="C1044" s="12"/>
      <c r="D1044" s="87"/>
      <c r="F1044" s="14"/>
      <c r="G1044" s="14"/>
      <c r="H1044" s="14"/>
      <c r="I1044" s="14"/>
      <c r="J1044" s="14"/>
      <c r="K1044" s="302"/>
    </row>
    <row r="1045" ht="19.5" customHeight="1">
      <c r="A1045" s="12"/>
      <c r="C1045" s="12"/>
      <c r="D1045" s="87"/>
      <c r="F1045" s="14"/>
      <c r="G1045" s="14"/>
      <c r="H1045" s="14"/>
      <c r="I1045" s="14"/>
      <c r="J1045" s="14"/>
      <c r="K1045" s="302"/>
    </row>
    <row r="1046" ht="19.5" customHeight="1">
      <c r="A1046" s="12"/>
      <c r="C1046" s="12"/>
      <c r="D1046" s="87"/>
      <c r="F1046" s="14"/>
      <c r="G1046" s="14"/>
      <c r="H1046" s="14"/>
      <c r="I1046" s="14"/>
      <c r="J1046" s="14"/>
      <c r="K1046" s="302"/>
    </row>
    <row r="1047" ht="19.5" customHeight="1">
      <c r="A1047" s="12"/>
      <c r="C1047" s="12"/>
      <c r="D1047" s="87"/>
      <c r="F1047" s="14"/>
      <c r="G1047" s="14"/>
      <c r="H1047" s="14"/>
      <c r="I1047" s="14"/>
      <c r="J1047" s="14"/>
      <c r="K1047" s="302"/>
    </row>
    <row r="1048" ht="19.5" customHeight="1">
      <c r="A1048" s="12"/>
      <c r="C1048" s="12"/>
      <c r="D1048" s="87"/>
      <c r="F1048" s="14"/>
      <c r="G1048" s="14"/>
      <c r="H1048" s="14"/>
      <c r="I1048" s="14"/>
      <c r="J1048" s="14"/>
      <c r="K1048" s="302"/>
    </row>
    <row r="1049" ht="19.5" customHeight="1">
      <c r="A1049" s="12"/>
      <c r="C1049" s="12"/>
      <c r="D1049" s="87"/>
      <c r="F1049" s="14"/>
      <c r="G1049" s="14"/>
      <c r="H1049" s="14"/>
      <c r="I1049" s="14"/>
      <c r="J1049" s="14"/>
      <c r="K1049" s="302"/>
    </row>
    <row r="1050" ht="19.5" customHeight="1">
      <c r="A1050" s="12"/>
      <c r="C1050" s="12"/>
      <c r="D1050" s="87"/>
      <c r="F1050" s="14"/>
      <c r="G1050" s="14"/>
      <c r="H1050" s="14"/>
      <c r="I1050" s="14"/>
      <c r="J1050" s="14"/>
      <c r="K1050" s="302"/>
    </row>
    <row r="1051" ht="19.5" customHeight="1">
      <c r="A1051" s="12"/>
      <c r="C1051" s="12"/>
      <c r="D1051" s="87"/>
      <c r="F1051" s="14"/>
      <c r="G1051" s="14"/>
      <c r="H1051" s="14"/>
      <c r="I1051" s="14"/>
      <c r="J1051" s="14"/>
      <c r="K1051" s="302"/>
    </row>
    <row r="1052" ht="19.5" customHeight="1">
      <c r="A1052" s="12"/>
      <c r="C1052" s="12"/>
      <c r="D1052" s="87"/>
      <c r="F1052" s="14"/>
      <c r="G1052" s="14"/>
      <c r="H1052" s="14"/>
      <c r="I1052" s="14"/>
      <c r="J1052" s="14"/>
      <c r="K1052" s="302"/>
    </row>
    <row r="1053" ht="19.5" customHeight="1">
      <c r="A1053" s="12"/>
      <c r="C1053" s="12"/>
      <c r="D1053" s="87"/>
      <c r="F1053" s="14"/>
      <c r="G1053" s="14"/>
      <c r="H1053" s="14"/>
      <c r="I1053" s="14"/>
      <c r="J1053" s="14"/>
      <c r="K1053" s="302"/>
    </row>
    <row r="1054" ht="19.5" customHeight="1">
      <c r="A1054" s="12"/>
      <c r="C1054" s="12"/>
      <c r="D1054" s="87"/>
      <c r="F1054" s="14"/>
      <c r="G1054" s="14"/>
      <c r="H1054" s="14"/>
      <c r="I1054" s="14"/>
      <c r="J1054" s="14"/>
      <c r="K1054" s="302"/>
    </row>
    <row r="1055" ht="19.5" customHeight="1">
      <c r="A1055" s="12"/>
      <c r="C1055" s="12"/>
      <c r="D1055" s="87"/>
      <c r="F1055" s="14"/>
      <c r="G1055" s="14"/>
      <c r="H1055" s="14"/>
      <c r="I1055" s="14"/>
      <c r="J1055" s="14"/>
      <c r="K1055" s="302"/>
    </row>
    <row r="1056" ht="19.5" customHeight="1">
      <c r="A1056" s="12"/>
      <c r="C1056" s="12"/>
      <c r="D1056" s="87"/>
      <c r="F1056" s="14"/>
      <c r="G1056" s="14"/>
      <c r="H1056" s="14"/>
      <c r="I1056" s="14"/>
      <c r="J1056" s="14"/>
      <c r="K1056" s="302"/>
    </row>
    <row r="1057" ht="19.5" customHeight="1">
      <c r="A1057" s="12"/>
      <c r="C1057" s="12"/>
      <c r="D1057" s="87"/>
      <c r="F1057" s="14"/>
      <c r="G1057" s="14"/>
      <c r="H1057" s="14"/>
      <c r="I1057" s="14"/>
      <c r="J1057" s="14"/>
      <c r="K1057" s="302"/>
    </row>
    <row r="1058" ht="19.5" customHeight="1">
      <c r="A1058" s="12"/>
      <c r="C1058" s="12"/>
      <c r="D1058" s="87"/>
      <c r="F1058" s="14"/>
      <c r="G1058" s="14"/>
      <c r="H1058" s="14"/>
      <c r="I1058" s="14"/>
      <c r="J1058" s="14"/>
      <c r="K1058" s="302"/>
    </row>
    <row r="1059" ht="19.5" customHeight="1">
      <c r="A1059" s="12"/>
      <c r="C1059" s="12"/>
      <c r="D1059" s="87"/>
      <c r="F1059" s="14"/>
      <c r="G1059" s="14"/>
      <c r="H1059" s="14"/>
      <c r="I1059" s="14"/>
      <c r="J1059" s="14"/>
      <c r="K1059" s="302"/>
    </row>
    <row r="1060" ht="19.5" customHeight="1">
      <c r="A1060" s="12"/>
      <c r="C1060" s="12"/>
      <c r="D1060" s="87"/>
      <c r="F1060" s="14"/>
      <c r="G1060" s="14"/>
      <c r="H1060" s="14"/>
      <c r="I1060" s="14"/>
      <c r="J1060" s="14"/>
      <c r="K1060" s="302"/>
    </row>
    <row r="1061" ht="19.5" customHeight="1">
      <c r="A1061" s="12"/>
      <c r="C1061" s="12"/>
      <c r="D1061" s="87"/>
      <c r="F1061" s="14"/>
      <c r="G1061" s="14"/>
      <c r="H1061" s="14"/>
      <c r="I1061" s="14"/>
      <c r="J1061" s="14"/>
      <c r="K1061" s="302"/>
    </row>
    <row r="1062" ht="19.5" customHeight="1">
      <c r="A1062" s="12"/>
      <c r="C1062" s="12"/>
      <c r="D1062" s="87"/>
      <c r="F1062" s="14"/>
      <c r="G1062" s="14"/>
      <c r="H1062" s="14"/>
      <c r="I1062" s="14"/>
      <c r="J1062" s="14"/>
      <c r="K1062" s="302"/>
    </row>
    <row r="1063" ht="19.5" customHeight="1">
      <c r="A1063" s="12"/>
      <c r="C1063" s="12"/>
      <c r="D1063" s="87"/>
      <c r="F1063" s="14"/>
      <c r="G1063" s="14"/>
      <c r="H1063" s="14"/>
      <c r="I1063" s="14"/>
      <c r="J1063" s="14"/>
      <c r="K1063" s="302"/>
    </row>
    <row r="1064" ht="19.5" customHeight="1">
      <c r="A1064" s="12"/>
      <c r="C1064" s="12"/>
      <c r="D1064" s="87"/>
      <c r="F1064" s="14"/>
      <c r="G1064" s="14"/>
      <c r="H1064" s="14"/>
      <c r="I1064" s="14"/>
      <c r="J1064" s="14"/>
      <c r="K1064" s="302"/>
    </row>
    <row r="1065" ht="19.5" customHeight="1">
      <c r="A1065" s="12"/>
      <c r="C1065" s="12"/>
      <c r="D1065" s="87"/>
      <c r="F1065" s="14"/>
      <c r="G1065" s="14"/>
      <c r="H1065" s="14"/>
      <c r="I1065" s="14"/>
      <c r="J1065" s="14"/>
      <c r="K1065" s="302"/>
    </row>
    <row r="1066" ht="19.5" customHeight="1">
      <c r="A1066" s="12"/>
      <c r="C1066" s="12"/>
      <c r="D1066" s="87"/>
      <c r="F1066" s="14"/>
      <c r="G1066" s="14"/>
      <c r="H1066" s="14"/>
      <c r="I1066" s="14"/>
      <c r="J1066" s="14"/>
      <c r="K1066" s="302"/>
    </row>
    <row r="1067" ht="19.5" customHeight="1">
      <c r="A1067" s="12"/>
      <c r="C1067" s="12"/>
      <c r="D1067" s="87"/>
      <c r="F1067" s="14"/>
      <c r="G1067" s="14"/>
      <c r="H1067" s="14"/>
      <c r="I1067" s="14"/>
      <c r="J1067" s="14"/>
      <c r="K1067" s="302"/>
    </row>
    <row r="1068" ht="19.5" customHeight="1">
      <c r="A1068" s="12"/>
      <c r="C1068" s="12"/>
      <c r="D1068" s="87"/>
      <c r="F1068" s="14"/>
      <c r="G1068" s="14"/>
      <c r="H1068" s="14"/>
      <c r="I1068" s="14"/>
      <c r="J1068" s="14"/>
      <c r="K1068" s="302"/>
    </row>
    <row r="1069" ht="19.5" customHeight="1">
      <c r="A1069" s="12"/>
      <c r="C1069" s="12"/>
      <c r="D1069" s="87"/>
      <c r="F1069" s="14"/>
      <c r="G1069" s="14"/>
      <c r="H1069" s="14"/>
      <c r="I1069" s="14"/>
      <c r="J1069" s="14"/>
      <c r="K1069" s="302"/>
    </row>
    <row r="1070" ht="19.5" customHeight="1">
      <c r="A1070" s="12"/>
      <c r="C1070" s="12"/>
      <c r="D1070" s="87"/>
      <c r="F1070" s="14"/>
      <c r="G1070" s="14"/>
      <c r="H1070" s="14"/>
      <c r="I1070" s="14"/>
      <c r="J1070" s="14"/>
      <c r="K1070" s="302"/>
    </row>
    <row r="1071" ht="19.5" customHeight="1">
      <c r="A1071" s="12"/>
      <c r="C1071" s="12"/>
      <c r="D1071" s="87"/>
      <c r="F1071" s="14"/>
      <c r="G1071" s="14"/>
      <c r="H1071" s="14"/>
      <c r="I1071" s="14"/>
      <c r="J1071" s="14"/>
      <c r="K1071" s="302"/>
    </row>
    <row r="1072" ht="19.5" customHeight="1">
      <c r="A1072" s="12"/>
      <c r="C1072" s="12"/>
      <c r="D1072" s="87"/>
      <c r="F1072" s="14"/>
      <c r="G1072" s="14"/>
      <c r="H1072" s="14"/>
      <c r="I1072" s="14"/>
      <c r="J1072" s="14"/>
      <c r="K1072" s="302"/>
    </row>
    <row r="1073" ht="19.5" customHeight="1">
      <c r="A1073" s="12"/>
      <c r="C1073" s="12"/>
      <c r="D1073" s="87"/>
      <c r="F1073" s="14"/>
      <c r="G1073" s="14"/>
      <c r="H1073" s="14"/>
      <c r="I1073" s="14"/>
      <c r="J1073" s="14"/>
      <c r="K1073" s="302"/>
    </row>
    <row r="1074" ht="19.5" customHeight="1">
      <c r="A1074" s="12"/>
      <c r="C1074" s="12"/>
      <c r="D1074" s="87"/>
      <c r="F1074" s="14"/>
      <c r="G1074" s="14"/>
      <c r="H1074" s="14"/>
      <c r="I1074" s="14"/>
      <c r="J1074" s="14"/>
      <c r="K1074" s="302"/>
    </row>
    <row r="1075" ht="19.5" customHeight="1">
      <c r="A1075" s="12"/>
      <c r="C1075" s="12"/>
      <c r="D1075" s="87"/>
      <c r="F1075" s="14"/>
      <c r="G1075" s="14"/>
      <c r="H1075" s="14"/>
      <c r="I1075" s="14"/>
      <c r="J1075" s="14"/>
      <c r="K1075" s="302"/>
    </row>
    <row r="1076" ht="19.5" customHeight="1">
      <c r="A1076" s="12"/>
      <c r="C1076" s="12"/>
      <c r="D1076" s="87"/>
      <c r="F1076" s="14"/>
      <c r="G1076" s="14"/>
      <c r="H1076" s="14"/>
      <c r="I1076" s="14"/>
      <c r="J1076" s="14"/>
      <c r="K1076" s="302"/>
    </row>
    <row r="1077" ht="19.5" customHeight="1">
      <c r="A1077" s="12"/>
      <c r="C1077" s="12"/>
      <c r="D1077" s="87"/>
      <c r="F1077" s="14"/>
      <c r="G1077" s="14"/>
      <c r="H1077" s="14"/>
      <c r="I1077" s="14"/>
      <c r="J1077" s="14"/>
      <c r="K1077" s="302"/>
    </row>
    <row r="1078" ht="19.5" customHeight="1">
      <c r="A1078" s="12"/>
      <c r="C1078" s="12"/>
      <c r="D1078" s="87"/>
      <c r="F1078" s="14"/>
      <c r="G1078" s="14"/>
      <c r="H1078" s="14"/>
      <c r="I1078" s="14"/>
      <c r="J1078" s="14"/>
      <c r="K1078" s="302"/>
    </row>
    <row r="1079" ht="19.5" customHeight="1">
      <c r="A1079" s="12"/>
      <c r="C1079" s="12"/>
      <c r="D1079" s="87"/>
      <c r="F1079" s="14"/>
      <c r="G1079" s="14"/>
      <c r="H1079" s="14"/>
      <c r="I1079" s="14"/>
      <c r="J1079" s="14"/>
      <c r="K1079" s="302"/>
    </row>
    <row r="1080" ht="19.5" customHeight="1">
      <c r="A1080" s="12"/>
      <c r="C1080" s="12"/>
      <c r="D1080" s="87"/>
      <c r="F1080" s="14"/>
      <c r="G1080" s="14"/>
      <c r="H1080" s="14"/>
      <c r="I1080" s="14"/>
      <c r="J1080" s="14"/>
      <c r="K1080" s="302"/>
    </row>
    <row r="1081" ht="19.5" customHeight="1">
      <c r="A1081" s="12"/>
      <c r="C1081" s="12"/>
      <c r="D1081" s="87"/>
      <c r="F1081" s="14"/>
      <c r="G1081" s="14"/>
      <c r="H1081" s="14"/>
      <c r="I1081" s="14"/>
      <c r="J1081" s="14"/>
      <c r="K1081" s="302"/>
    </row>
    <row r="1082" ht="19.5" customHeight="1">
      <c r="A1082" s="12"/>
      <c r="C1082" s="12"/>
      <c r="D1082" s="87"/>
      <c r="F1082" s="14"/>
      <c r="G1082" s="14"/>
      <c r="H1082" s="14"/>
      <c r="I1082" s="14"/>
      <c r="J1082" s="14"/>
      <c r="K1082" s="302"/>
    </row>
    <row r="1083" ht="19.5" customHeight="1">
      <c r="A1083" s="12"/>
      <c r="C1083" s="12"/>
      <c r="D1083" s="87"/>
      <c r="F1083" s="14"/>
      <c r="G1083" s="14"/>
      <c r="H1083" s="14"/>
      <c r="I1083" s="14"/>
      <c r="J1083" s="14"/>
      <c r="K1083" s="302"/>
    </row>
    <row r="1084" ht="19.5" customHeight="1">
      <c r="A1084" s="12"/>
      <c r="C1084" s="12"/>
      <c r="D1084" s="87"/>
      <c r="F1084" s="14"/>
      <c r="G1084" s="14"/>
      <c r="H1084" s="14"/>
      <c r="I1084" s="14"/>
      <c r="J1084" s="14"/>
      <c r="K1084" s="302"/>
    </row>
    <row r="1085" ht="19.5" customHeight="1">
      <c r="A1085" s="12"/>
      <c r="C1085" s="12"/>
      <c r="D1085" s="87"/>
      <c r="F1085" s="14"/>
      <c r="G1085" s="14"/>
      <c r="H1085" s="14"/>
      <c r="I1085" s="14"/>
      <c r="J1085" s="14"/>
      <c r="K1085" s="302"/>
    </row>
    <row r="1086" ht="19.5" customHeight="1">
      <c r="A1086" s="12"/>
      <c r="C1086" s="12"/>
      <c r="D1086" s="87"/>
      <c r="F1086" s="14"/>
      <c r="G1086" s="14"/>
      <c r="H1086" s="14"/>
      <c r="I1086" s="14"/>
      <c r="J1086" s="14"/>
      <c r="K1086" s="302"/>
    </row>
    <row r="1087" ht="19.5" customHeight="1">
      <c r="A1087" s="12"/>
      <c r="C1087" s="12"/>
      <c r="D1087" s="87"/>
      <c r="F1087" s="14"/>
      <c r="G1087" s="14"/>
      <c r="H1087" s="14"/>
      <c r="I1087" s="14"/>
      <c r="J1087" s="14"/>
      <c r="K1087" s="302"/>
    </row>
    <row r="1088" ht="19.5" customHeight="1">
      <c r="A1088" s="12"/>
      <c r="C1088" s="12"/>
      <c r="D1088" s="87"/>
      <c r="F1088" s="14"/>
      <c r="G1088" s="14"/>
      <c r="H1088" s="14"/>
      <c r="I1088" s="14"/>
      <c r="J1088" s="14"/>
      <c r="K1088" s="302"/>
    </row>
    <row r="1089" ht="19.5" customHeight="1">
      <c r="A1089" s="12"/>
      <c r="C1089" s="12"/>
      <c r="D1089" s="87"/>
      <c r="F1089" s="14"/>
      <c r="G1089" s="14"/>
      <c r="H1089" s="14"/>
      <c r="I1089" s="14"/>
      <c r="J1089" s="14"/>
      <c r="K1089" s="302"/>
    </row>
    <row r="1090" ht="19.5" customHeight="1">
      <c r="A1090" s="12"/>
      <c r="C1090" s="12"/>
      <c r="D1090" s="87"/>
      <c r="F1090" s="14"/>
      <c r="G1090" s="14"/>
      <c r="H1090" s="14"/>
      <c r="I1090" s="14"/>
      <c r="J1090" s="14"/>
      <c r="K1090" s="302"/>
    </row>
    <row r="1091" ht="19.5" customHeight="1">
      <c r="A1091" s="12"/>
      <c r="C1091" s="12"/>
      <c r="D1091" s="87"/>
      <c r="F1091" s="14"/>
      <c r="G1091" s="14"/>
      <c r="H1091" s="14"/>
      <c r="I1091" s="14"/>
      <c r="J1091" s="14"/>
      <c r="K1091" s="302"/>
    </row>
    <row r="1092" ht="19.5" customHeight="1">
      <c r="A1092" s="12"/>
      <c r="C1092" s="12"/>
      <c r="D1092" s="87"/>
      <c r="F1092" s="14"/>
      <c r="G1092" s="14"/>
      <c r="H1092" s="14"/>
      <c r="I1092" s="14"/>
      <c r="J1092" s="14"/>
      <c r="K1092" s="302"/>
    </row>
    <row r="1093" ht="19.5" customHeight="1">
      <c r="A1093" s="12"/>
      <c r="C1093" s="12"/>
      <c r="D1093" s="87"/>
      <c r="F1093" s="14"/>
      <c r="G1093" s="14"/>
      <c r="H1093" s="14"/>
      <c r="I1093" s="14"/>
      <c r="J1093" s="14"/>
      <c r="K1093" s="302"/>
    </row>
    <row r="1094" ht="19.5" customHeight="1">
      <c r="A1094" s="12"/>
      <c r="C1094" s="12"/>
      <c r="D1094" s="87"/>
      <c r="F1094" s="14"/>
      <c r="G1094" s="14"/>
      <c r="H1094" s="14"/>
      <c r="I1094" s="14"/>
      <c r="J1094" s="14"/>
      <c r="K1094" s="302"/>
    </row>
    <row r="1095" ht="19.5" customHeight="1">
      <c r="A1095" s="12"/>
      <c r="C1095" s="12"/>
      <c r="D1095" s="87"/>
      <c r="F1095" s="14"/>
      <c r="G1095" s="14"/>
      <c r="H1095" s="14"/>
      <c r="I1095" s="14"/>
      <c r="J1095" s="14"/>
      <c r="K1095" s="302"/>
    </row>
    <row r="1096" ht="19.5" customHeight="1">
      <c r="A1096" s="12"/>
      <c r="C1096" s="12"/>
      <c r="D1096" s="87"/>
      <c r="F1096" s="14"/>
      <c r="G1096" s="14"/>
      <c r="H1096" s="14"/>
      <c r="I1096" s="14"/>
      <c r="J1096" s="14"/>
      <c r="K1096" s="302"/>
    </row>
  </sheetData>
  <mergeCells count="12">
    <mergeCell ref="J155:J156"/>
    <mergeCell ref="J159:J160"/>
    <mergeCell ref="J171:J172"/>
    <mergeCell ref="J173:J177"/>
    <mergeCell ref="J263:J264"/>
    <mergeCell ref="A6:K6"/>
    <mergeCell ref="A7:K7"/>
    <mergeCell ref="A8:K8"/>
    <mergeCell ref="A9:K9"/>
    <mergeCell ref="A82:K82"/>
    <mergeCell ref="J128:J134"/>
    <mergeCell ref="J136:J143"/>
  </mergeCells>
  <printOptions/>
  <pageMargins bottom="0.787401575" footer="0.0" header="0.0" left="0.511811024" right="0.511811024" top="0.787401575"/>
  <pageSetup paperSize="9" scale="80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/>
  </sheetPr>
  <sheetViews>
    <sheetView workbookViewId="0"/>
  </sheetViews>
  <sheetFormatPr customHeight="1" defaultColWidth="12.63" defaultRowHeight="15.0"/>
  <cols>
    <col customWidth="1" min="1" max="1" width="19.38"/>
    <col customWidth="1" min="2" max="2" width="46.75"/>
    <col customWidth="1" min="3" max="3" width="12.88"/>
    <col customWidth="1" min="4" max="4" width="15.75"/>
    <col customWidth="1" min="5" max="5" width="19.75"/>
    <col customWidth="1" min="6" max="6" width="15.25"/>
    <col customWidth="1" min="7" max="7" width="14.88"/>
    <col customWidth="1" min="8" max="8" width="15.63"/>
    <col customWidth="1" min="9" max="9" width="13.75"/>
    <col customWidth="1" min="10" max="10" width="12.38"/>
    <col customWidth="1" min="11" max="11" width="32.38"/>
    <col customWidth="1" min="12" max="26" width="8.63"/>
  </cols>
  <sheetData>
    <row r="1" ht="19.5" customHeight="1">
      <c r="A1" s="4"/>
      <c r="B1" s="5"/>
      <c r="C1" s="6"/>
      <c r="D1" s="86"/>
      <c r="E1" s="5"/>
      <c r="F1" s="8"/>
      <c r="G1" s="8"/>
      <c r="H1" s="8"/>
      <c r="I1" s="8"/>
      <c r="J1" s="8"/>
      <c r="K1" s="222"/>
    </row>
    <row r="2" ht="19.5" customHeight="1">
      <c r="A2" s="10" t="s">
        <v>83</v>
      </c>
      <c r="B2" s="11" t="s">
        <v>84</v>
      </c>
      <c r="C2" s="12"/>
      <c r="D2" s="87"/>
      <c r="F2" s="14"/>
      <c r="G2" s="14"/>
      <c r="H2" s="14"/>
      <c r="I2" s="14"/>
      <c r="J2" s="17" t="s">
        <v>144</v>
      </c>
      <c r="K2" s="223"/>
    </row>
    <row r="3" ht="19.5" customHeight="1">
      <c r="A3" s="10" t="s">
        <v>86</v>
      </c>
      <c r="B3" s="11" t="s">
        <v>87</v>
      </c>
      <c r="C3" s="12"/>
      <c r="D3" s="87"/>
      <c r="F3" s="14"/>
      <c r="G3" s="14"/>
      <c r="H3" s="14"/>
      <c r="I3" s="14"/>
      <c r="J3" s="14"/>
      <c r="K3" s="223"/>
    </row>
    <row r="4" ht="19.5" customHeight="1">
      <c r="A4" s="19"/>
      <c r="C4" s="12"/>
      <c r="D4" s="87"/>
      <c r="F4" s="14"/>
      <c r="G4" s="14"/>
      <c r="H4" s="14"/>
      <c r="I4" s="14"/>
      <c r="J4" s="14"/>
      <c r="K4" s="223"/>
    </row>
    <row r="5" ht="19.5" customHeight="1">
      <c r="A5" s="19"/>
      <c r="C5" s="12"/>
      <c r="D5" s="87"/>
      <c r="F5" s="14"/>
      <c r="G5" s="14"/>
      <c r="H5" s="14"/>
      <c r="I5" s="14"/>
      <c r="J5" s="14"/>
      <c r="K5" s="223"/>
    </row>
    <row r="6" ht="200.25" customHeight="1">
      <c r="A6" s="20" t="s">
        <v>702</v>
      </c>
      <c r="K6" s="21"/>
    </row>
    <row r="7" ht="64.5" customHeight="1">
      <c r="A7" s="22" t="s">
        <v>887</v>
      </c>
      <c r="K7" s="21"/>
    </row>
    <row r="8" ht="37.5" customHeight="1">
      <c r="A8" s="224" t="s">
        <v>90</v>
      </c>
      <c r="B8" s="225"/>
      <c r="C8" s="225"/>
      <c r="D8" s="225"/>
      <c r="E8" s="225"/>
      <c r="F8" s="225"/>
      <c r="G8" s="225"/>
      <c r="H8" s="225"/>
      <c r="I8" s="225"/>
      <c r="J8" s="225"/>
      <c r="K8" s="226"/>
    </row>
    <row r="9" ht="19.5" customHeight="1">
      <c r="A9" s="227" t="s">
        <v>643</v>
      </c>
      <c r="B9" s="28"/>
      <c r="C9" s="28"/>
      <c r="D9" s="28"/>
      <c r="E9" s="28"/>
      <c r="F9" s="28"/>
      <c r="G9" s="28"/>
      <c r="H9" s="28"/>
      <c r="I9" s="28"/>
      <c r="J9" s="28"/>
      <c r="K9" s="29"/>
    </row>
    <row r="10" ht="19.5" customHeight="1">
      <c r="A10" s="99" t="s">
        <v>1</v>
      </c>
      <c r="B10" s="99" t="s">
        <v>644</v>
      </c>
      <c r="C10" s="99" t="s">
        <v>645</v>
      </c>
      <c r="D10" s="177" t="s">
        <v>646</v>
      </c>
      <c r="E10" s="51" t="s">
        <v>99</v>
      </c>
      <c r="F10" s="52" t="s">
        <v>648</v>
      </c>
      <c r="G10" s="52" t="s">
        <v>649</v>
      </c>
      <c r="H10" s="178" t="s">
        <v>650</v>
      </c>
      <c r="I10" s="178" t="s">
        <v>651</v>
      </c>
      <c r="J10" s="177" t="s">
        <v>652</v>
      </c>
      <c r="K10" s="179" t="s">
        <v>888</v>
      </c>
    </row>
    <row r="11" ht="19.5" customHeight="1">
      <c r="A11" s="203"/>
      <c r="B11" s="194" t="s">
        <v>398</v>
      </c>
      <c r="C11" s="228">
        <v>1.0</v>
      </c>
      <c r="D11" s="229">
        <v>0.65</v>
      </c>
      <c r="E11" s="228">
        <v>0.65</v>
      </c>
      <c r="F11" s="228">
        <v>0.3</v>
      </c>
      <c r="G11" s="228">
        <v>0.85</v>
      </c>
      <c r="H11" s="230">
        <f t="shared" ref="H11:H16" si="1">C11*(D11+0.4)*(E11+0.4)*G11</f>
        <v>0.937125</v>
      </c>
      <c r="I11" s="230">
        <f t="shared" ref="I11:I16" si="2">C11*D11*E11</f>
        <v>0.4225</v>
      </c>
      <c r="J11" s="230">
        <f t="shared" ref="J11:J16" si="3">C11*((D11+E11)*2)*F11</f>
        <v>0.78</v>
      </c>
      <c r="K11" s="23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</row>
    <row r="12" ht="19.5" customHeight="1">
      <c r="A12" s="203"/>
      <c r="B12" s="195" t="s">
        <v>401</v>
      </c>
      <c r="C12" s="231">
        <v>1.0</v>
      </c>
      <c r="D12" s="232">
        <v>0.6</v>
      </c>
      <c r="E12" s="233">
        <v>0.6</v>
      </c>
      <c r="F12" s="234">
        <v>0.2</v>
      </c>
      <c r="G12" s="228">
        <v>0.85</v>
      </c>
      <c r="H12" s="230">
        <f t="shared" si="1"/>
        <v>0.85</v>
      </c>
      <c r="I12" s="230">
        <f t="shared" si="2"/>
        <v>0.36</v>
      </c>
      <c r="J12" s="230">
        <f t="shared" si="3"/>
        <v>0.48</v>
      </c>
      <c r="K12" s="235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85"/>
      <c r="Z12" s="185"/>
    </row>
    <row r="13" ht="19.5" customHeight="1">
      <c r="A13" s="203"/>
      <c r="B13" s="195" t="s">
        <v>889</v>
      </c>
      <c r="C13" s="231">
        <v>2.0</v>
      </c>
      <c r="D13" s="232">
        <v>0.8</v>
      </c>
      <c r="E13" s="233">
        <v>0.8</v>
      </c>
      <c r="F13" s="234">
        <v>0.2</v>
      </c>
      <c r="G13" s="228">
        <v>0.85</v>
      </c>
      <c r="H13" s="230">
        <f t="shared" si="1"/>
        <v>2.448</v>
      </c>
      <c r="I13" s="230">
        <f t="shared" si="2"/>
        <v>1.28</v>
      </c>
      <c r="J13" s="230">
        <f t="shared" si="3"/>
        <v>1.28</v>
      </c>
      <c r="K13" s="235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Y13" s="185"/>
      <c r="Z13" s="185"/>
    </row>
    <row r="14" ht="19.5" customHeight="1">
      <c r="A14" s="203"/>
      <c r="B14" s="195" t="s">
        <v>406</v>
      </c>
      <c r="C14" s="231">
        <v>1.0</v>
      </c>
      <c r="D14" s="232">
        <v>0.9</v>
      </c>
      <c r="E14" s="233">
        <v>0.9</v>
      </c>
      <c r="F14" s="234">
        <v>0.2</v>
      </c>
      <c r="G14" s="228">
        <v>0.85</v>
      </c>
      <c r="H14" s="230">
        <f t="shared" si="1"/>
        <v>1.4365</v>
      </c>
      <c r="I14" s="230">
        <f t="shared" si="2"/>
        <v>0.81</v>
      </c>
      <c r="J14" s="230">
        <f t="shared" si="3"/>
        <v>0.72</v>
      </c>
      <c r="K14" s="23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</row>
    <row r="15" ht="19.5" customHeight="1">
      <c r="A15" s="203"/>
      <c r="B15" s="195" t="s">
        <v>409</v>
      </c>
      <c r="C15" s="231">
        <v>1.0</v>
      </c>
      <c r="D15" s="232">
        <v>0.6</v>
      </c>
      <c r="E15" s="233">
        <v>0.6</v>
      </c>
      <c r="F15" s="234">
        <v>0.3</v>
      </c>
      <c r="G15" s="228">
        <v>0.85</v>
      </c>
      <c r="H15" s="230">
        <f t="shared" si="1"/>
        <v>0.85</v>
      </c>
      <c r="I15" s="230">
        <f t="shared" si="2"/>
        <v>0.36</v>
      </c>
      <c r="J15" s="230">
        <f t="shared" si="3"/>
        <v>0.72</v>
      </c>
      <c r="K15" s="235"/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5"/>
    </row>
    <row r="16" ht="19.5" customHeight="1">
      <c r="A16" s="203"/>
      <c r="B16" s="195" t="s">
        <v>890</v>
      </c>
      <c r="C16" s="231">
        <v>11.0</v>
      </c>
      <c r="D16" s="232">
        <v>1.5</v>
      </c>
      <c r="E16" s="233">
        <v>0.6</v>
      </c>
      <c r="F16" s="234">
        <v>0.6</v>
      </c>
      <c r="G16" s="228">
        <v>0.65</v>
      </c>
      <c r="H16" s="230">
        <f t="shared" si="1"/>
        <v>13.585</v>
      </c>
      <c r="I16" s="230">
        <f t="shared" si="2"/>
        <v>9.9</v>
      </c>
      <c r="J16" s="230">
        <f t="shared" si="3"/>
        <v>27.72</v>
      </c>
      <c r="K16" s="235">
        <f>C16*D16*E16*F16</f>
        <v>5.94</v>
      </c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</row>
    <row r="17" ht="19.5" customHeight="1">
      <c r="A17" s="203"/>
      <c r="B17" s="195"/>
      <c r="C17" s="231"/>
      <c r="D17" s="232"/>
      <c r="E17" s="233"/>
      <c r="F17" s="234"/>
      <c r="G17" s="228"/>
      <c r="H17" s="230"/>
      <c r="I17" s="230"/>
      <c r="J17" s="230"/>
      <c r="K17" s="23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</row>
    <row r="18" ht="19.5" customHeight="1">
      <c r="A18" s="203"/>
      <c r="B18" s="195" t="s">
        <v>666</v>
      </c>
      <c r="C18" s="231">
        <v>5.0</v>
      </c>
      <c r="D18" s="232">
        <v>0.2</v>
      </c>
      <c r="E18" s="233">
        <v>0.2</v>
      </c>
      <c r="F18" s="234">
        <v>0.5</v>
      </c>
      <c r="G18" s="228"/>
      <c r="H18" s="230"/>
      <c r="I18" s="230"/>
      <c r="J18" s="230">
        <f>C18*((D18+E18)*2)*F18</f>
        <v>2</v>
      </c>
      <c r="K18" s="23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</row>
    <row r="19" ht="19.5" customHeight="1">
      <c r="A19" s="203"/>
      <c r="B19" s="190"/>
      <c r="C19" s="237"/>
      <c r="D19" s="238"/>
      <c r="E19" s="239"/>
      <c r="F19" s="240"/>
      <c r="G19" s="228"/>
      <c r="H19" s="230"/>
      <c r="I19" s="230"/>
      <c r="J19" s="230"/>
      <c r="K19" s="235"/>
      <c r="L19" s="185"/>
      <c r="M19" s="185"/>
      <c r="N19" s="185"/>
      <c r="O19" s="185"/>
      <c r="P19" s="185"/>
      <c r="Q19" s="185"/>
      <c r="R19" s="185"/>
      <c r="S19" s="185"/>
      <c r="T19" s="185"/>
      <c r="U19" s="185"/>
      <c r="V19" s="185"/>
      <c r="W19" s="185"/>
      <c r="X19" s="185"/>
      <c r="Y19" s="185"/>
      <c r="Z19" s="185"/>
    </row>
    <row r="20" ht="19.5" customHeight="1">
      <c r="A20" s="151"/>
      <c r="B20" s="194" t="s">
        <v>891</v>
      </c>
      <c r="C20" s="237"/>
      <c r="D20" s="238"/>
      <c r="E20" s="239"/>
      <c r="F20" s="240"/>
      <c r="G20" s="228"/>
      <c r="H20" s="230"/>
      <c r="I20" s="230"/>
      <c r="J20" s="230">
        <f>SUM(I11:I17)</f>
        <v>13.1325</v>
      </c>
      <c r="K20" s="23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5"/>
      <c r="X20" s="185"/>
      <c r="Y20" s="185"/>
      <c r="Z20" s="185"/>
    </row>
    <row r="21" ht="19.5" customHeight="1">
      <c r="A21" s="151"/>
      <c r="B21" s="194" t="s">
        <v>892</v>
      </c>
      <c r="C21" s="237"/>
      <c r="D21" s="238"/>
      <c r="E21" s="239"/>
      <c r="F21" s="240"/>
      <c r="G21" s="228"/>
      <c r="H21" s="230"/>
      <c r="I21" s="230"/>
      <c r="J21" s="230">
        <f>SUM(H11:H17)</f>
        <v>20.106625</v>
      </c>
      <c r="K21" s="235"/>
      <c r="L21" s="185"/>
      <c r="M21" s="185"/>
      <c r="N21" s="185"/>
      <c r="O21" s="185"/>
      <c r="P21" s="185"/>
      <c r="Q21" s="185"/>
      <c r="R21" s="185"/>
      <c r="S21" s="185"/>
      <c r="T21" s="185"/>
      <c r="U21" s="185"/>
      <c r="V21" s="185"/>
      <c r="W21" s="185"/>
      <c r="X21" s="185"/>
      <c r="Y21" s="185"/>
      <c r="Z21" s="185"/>
    </row>
    <row r="22" ht="19.5" customHeight="1">
      <c r="A22" s="151"/>
      <c r="B22" s="194" t="s">
        <v>893</v>
      </c>
      <c r="C22" s="237"/>
      <c r="D22" s="238"/>
      <c r="E22" s="239"/>
      <c r="F22" s="240"/>
      <c r="G22" s="228"/>
      <c r="H22" s="230">
        <f>J20</f>
        <v>13.1325</v>
      </c>
      <c r="I22" s="229">
        <v>0.05</v>
      </c>
      <c r="J22" s="230">
        <f>H22*I22</f>
        <v>0.656625</v>
      </c>
      <c r="K22" s="235"/>
      <c r="L22" s="185"/>
      <c r="M22" s="185"/>
      <c r="N22" s="185"/>
      <c r="O22" s="185"/>
      <c r="P22" s="185"/>
      <c r="Q22" s="185"/>
      <c r="R22" s="185"/>
      <c r="S22" s="185"/>
      <c r="T22" s="185"/>
      <c r="U22" s="185"/>
      <c r="V22" s="185"/>
      <c r="W22" s="185"/>
      <c r="X22" s="185"/>
      <c r="Y22" s="185"/>
      <c r="Z22" s="185"/>
    </row>
    <row r="23" ht="19.5" customHeight="1">
      <c r="A23" s="241"/>
      <c r="B23" s="194" t="s">
        <v>894</v>
      </c>
      <c r="C23" s="237"/>
      <c r="D23" s="238"/>
      <c r="E23" s="239"/>
      <c r="F23" s="240"/>
      <c r="G23" s="228"/>
      <c r="H23" s="242"/>
      <c r="I23" s="242"/>
      <c r="J23" s="238">
        <f>J16</f>
        <v>27.72</v>
      </c>
      <c r="K23" s="235"/>
      <c r="L23" s="185"/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5"/>
    </row>
    <row r="24" ht="19.5" customHeight="1">
      <c r="A24" s="241"/>
      <c r="B24" s="194" t="s">
        <v>716</v>
      </c>
      <c r="C24" s="237"/>
      <c r="D24" s="238"/>
      <c r="E24" s="239"/>
      <c r="F24" s="240"/>
      <c r="G24" s="228"/>
      <c r="H24" s="242"/>
      <c r="I24" s="242"/>
      <c r="J24" s="238">
        <f>SUM(J11:J15)</f>
        <v>3.98</v>
      </c>
      <c r="K24" s="23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5"/>
      <c r="Z24" s="185"/>
    </row>
    <row r="25" ht="19.5" customHeight="1">
      <c r="A25" s="241"/>
      <c r="B25" s="190" t="s">
        <v>895</v>
      </c>
      <c r="C25" s="237"/>
      <c r="D25" s="238"/>
      <c r="E25" s="239"/>
      <c r="F25" s="240"/>
      <c r="G25" s="228"/>
      <c r="H25" s="242"/>
      <c r="I25" s="242"/>
      <c r="J25" s="238">
        <f>(15.98+18.06)-J23-J24</f>
        <v>2.34</v>
      </c>
      <c r="K25" s="235"/>
      <c r="L25" s="185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  <c r="Z25" s="185"/>
    </row>
    <row r="26" ht="19.5" customHeight="1">
      <c r="A26" s="144"/>
      <c r="B26" s="195" t="s">
        <v>896</v>
      </c>
      <c r="C26" s="237"/>
      <c r="D26" s="238"/>
      <c r="E26" s="239"/>
      <c r="F26" s="240"/>
      <c r="G26" s="240"/>
      <c r="H26" s="242"/>
      <c r="I26" s="242"/>
      <c r="J26" s="238">
        <f>K16</f>
        <v>5.94</v>
      </c>
      <c r="K26" s="235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5"/>
      <c r="Z26" s="185"/>
    </row>
    <row r="27" ht="19.5" customHeight="1">
      <c r="A27" s="144"/>
      <c r="B27" s="195" t="s">
        <v>897</v>
      </c>
      <c r="C27" s="237"/>
      <c r="D27" s="238"/>
      <c r="E27" s="239"/>
      <c r="F27" s="240"/>
      <c r="G27" s="240"/>
      <c r="H27" s="242"/>
      <c r="I27" s="242"/>
      <c r="J27" s="238">
        <f>(3+3.72)-J26</f>
        <v>0.78</v>
      </c>
      <c r="K27" s="235"/>
      <c r="L27" s="185"/>
      <c r="M27" s="185"/>
      <c r="N27" s="185"/>
      <c r="O27" s="185"/>
      <c r="P27" s="185"/>
      <c r="Q27" s="185"/>
      <c r="R27" s="185"/>
      <c r="S27" s="185"/>
      <c r="T27" s="185"/>
      <c r="U27" s="185"/>
      <c r="V27" s="185"/>
      <c r="W27" s="185"/>
      <c r="X27" s="185"/>
      <c r="Y27" s="185"/>
      <c r="Z27" s="185"/>
    </row>
    <row r="28" ht="19.5" customHeight="1">
      <c r="A28" s="203"/>
      <c r="B28" s="190"/>
      <c r="C28" s="187"/>
      <c r="D28" s="192"/>
      <c r="E28" s="67"/>
      <c r="F28" s="243"/>
      <c r="G28" s="67"/>
      <c r="H28" s="244"/>
      <c r="I28" s="244"/>
      <c r="J28" s="192"/>
      <c r="K28" s="235"/>
      <c r="L28" s="185"/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185"/>
      <c r="Z28" s="185"/>
    </row>
    <row r="29" ht="19.5" customHeight="1">
      <c r="A29" s="203"/>
      <c r="B29" s="194"/>
      <c r="C29" s="67" t="s">
        <v>683</v>
      </c>
      <c r="D29" s="189" t="s">
        <v>108</v>
      </c>
      <c r="E29" s="67" t="s">
        <v>684</v>
      </c>
      <c r="F29" s="189" t="s">
        <v>718</v>
      </c>
      <c r="G29" s="67"/>
      <c r="H29" s="189"/>
      <c r="I29" s="189"/>
      <c r="J29" s="189"/>
      <c r="K29" s="23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5"/>
    </row>
    <row r="30" ht="19.5" customHeight="1">
      <c r="A30" s="304"/>
      <c r="B30" s="194" t="s">
        <v>898</v>
      </c>
      <c r="C30" s="209" t="s">
        <v>686</v>
      </c>
      <c r="D30" s="189">
        <f>(210.1-13.5-29.48)+320.4</f>
        <v>487.52</v>
      </c>
      <c r="E30" s="67">
        <v>0.154</v>
      </c>
      <c r="F30" s="182">
        <f t="shared" ref="F30:F33" si="4">D30*E30</f>
        <v>75.07808</v>
      </c>
      <c r="G30" s="243"/>
      <c r="H30" s="182"/>
      <c r="I30" s="182"/>
      <c r="J30" s="182"/>
      <c r="K30" s="235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5"/>
      <c r="W30" s="185"/>
      <c r="X30" s="185"/>
      <c r="Y30" s="185"/>
      <c r="Z30" s="185"/>
    </row>
    <row r="31" ht="19.5" customHeight="1">
      <c r="A31" s="202"/>
      <c r="B31" s="194"/>
      <c r="C31" s="208">
        <v>45357.0</v>
      </c>
      <c r="D31" s="189">
        <f>20.3+63.2</f>
        <v>83.5</v>
      </c>
      <c r="E31" s="67">
        <v>0.245</v>
      </c>
      <c r="F31" s="182">
        <f t="shared" si="4"/>
        <v>20.4575</v>
      </c>
      <c r="G31" s="243"/>
      <c r="H31" s="182"/>
      <c r="I31" s="182"/>
      <c r="J31" s="182"/>
      <c r="K31" s="235"/>
      <c r="L31" s="185"/>
      <c r="M31" s="185"/>
      <c r="N31" s="185"/>
      <c r="O31" s="185"/>
      <c r="P31" s="185"/>
      <c r="Q31" s="185"/>
      <c r="R31" s="185"/>
      <c r="S31" s="185"/>
      <c r="T31" s="185"/>
      <c r="U31" s="185"/>
      <c r="V31" s="185"/>
      <c r="W31" s="185"/>
      <c r="X31" s="185"/>
      <c r="Y31" s="185"/>
      <c r="Z31" s="185"/>
    </row>
    <row r="32" ht="19.5" customHeight="1">
      <c r="A32" s="202"/>
      <c r="B32" s="194"/>
      <c r="C32" s="67" t="s">
        <v>720</v>
      </c>
      <c r="D32" s="189">
        <v>33.28</v>
      </c>
      <c r="E32" s="243">
        <f>0.395</f>
        <v>0.395</v>
      </c>
      <c r="F32" s="182">
        <f t="shared" si="4"/>
        <v>13.1456</v>
      </c>
      <c r="G32" s="243"/>
      <c r="H32" s="182"/>
      <c r="I32" s="182"/>
      <c r="J32" s="182"/>
      <c r="K32" s="235"/>
      <c r="L32" s="185"/>
      <c r="M32" s="185"/>
      <c r="N32" s="185"/>
      <c r="O32" s="185"/>
      <c r="P32" s="185"/>
      <c r="Q32" s="185"/>
      <c r="R32" s="185"/>
      <c r="S32" s="185"/>
      <c r="T32" s="185"/>
      <c r="U32" s="185"/>
      <c r="V32" s="185"/>
      <c r="W32" s="185"/>
      <c r="X32" s="185"/>
      <c r="Y32" s="185"/>
      <c r="Z32" s="185"/>
    </row>
    <row r="33" ht="19.5" customHeight="1">
      <c r="A33" s="202"/>
      <c r="B33" s="194"/>
      <c r="C33" s="67" t="s">
        <v>899</v>
      </c>
      <c r="D33" s="189">
        <v>19.2</v>
      </c>
      <c r="E33" s="67">
        <v>0.617</v>
      </c>
      <c r="F33" s="182">
        <f t="shared" si="4"/>
        <v>11.8464</v>
      </c>
      <c r="G33" s="243"/>
      <c r="H33" s="182"/>
      <c r="I33" s="182"/>
      <c r="J33" s="182"/>
      <c r="K33" s="235"/>
      <c r="L33" s="185"/>
      <c r="M33" s="185"/>
      <c r="N33" s="185"/>
      <c r="O33" s="185"/>
      <c r="P33" s="185"/>
      <c r="Q33" s="185"/>
      <c r="R33" s="185"/>
      <c r="S33" s="185"/>
      <c r="T33" s="185"/>
      <c r="U33" s="185"/>
      <c r="V33" s="185"/>
      <c r="W33" s="185"/>
      <c r="X33" s="185"/>
      <c r="Y33" s="185"/>
      <c r="Z33" s="185"/>
    </row>
    <row r="34" ht="19.5" customHeight="1">
      <c r="A34" s="202"/>
      <c r="B34" s="194"/>
      <c r="C34" s="67" t="s">
        <v>683</v>
      </c>
      <c r="D34" s="189" t="s">
        <v>108</v>
      </c>
      <c r="E34" s="67" t="s">
        <v>684</v>
      </c>
      <c r="F34" s="189" t="s">
        <v>718</v>
      </c>
      <c r="G34" s="243"/>
      <c r="H34" s="182"/>
      <c r="I34" s="182"/>
      <c r="J34" s="182"/>
      <c r="K34" s="235"/>
      <c r="L34" s="185"/>
      <c r="M34" s="185"/>
      <c r="N34" s="185"/>
      <c r="O34" s="185"/>
      <c r="P34" s="185"/>
      <c r="Q34" s="185"/>
      <c r="R34" s="185"/>
      <c r="S34" s="185"/>
      <c r="T34" s="185"/>
      <c r="U34" s="185"/>
      <c r="V34" s="185"/>
      <c r="W34" s="185"/>
      <c r="X34" s="185"/>
      <c r="Y34" s="185"/>
      <c r="Z34" s="185"/>
    </row>
    <row r="35" ht="19.5" customHeight="1">
      <c r="A35" s="144"/>
      <c r="B35" s="194" t="s">
        <v>719</v>
      </c>
      <c r="C35" s="67" t="s">
        <v>686</v>
      </c>
      <c r="D35" s="189">
        <f>13.5</f>
        <v>13.5</v>
      </c>
      <c r="E35" s="67">
        <v>0.154</v>
      </c>
      <c r="F35" s="182">
        <f t="shared" ref="F35:F36" si="5">D35*E35</f>
        <v>2.079</v>
      </c>
      <c r="G35" s="243"/>
      <c r="H35" s="182"/>
      <c r="I35" s="182"/>
      <c r="J35" s="182"/>
      <c r="K35" s="235"/>
      <c r="L35" s="185"/>
      <c r="M35" s="185"/>
      <c r="N35" s="185"/>
      <c r="O35" s="185"/>
      <c r="P35" s="185"/>
      <c r="Q35" s="185"/>
      <c r="R35" s="185"/>
      <c r="S35" s="185"/>
      <c r="T35" s="185"/>
      <c r="U35" s="185"/>
      <c r="V35" s="185"/>
      <c r="W35" s="185"/>
      <c r="X35" s="185"/>
      <c r="Y35" s="185"/>
      <c r="Z35" s="185"/>
    </row>
    <row r="36" ht="19.5" customHeight="1">
      <c r="A36" s="202"/>
      <c r="B36" s="194"/>
      <c r="C36" s="67" t="s">
        <v>720</v>
      </c>
      <c r="D36" s="189">
        <v>65.22</v>
      </c>
      <c r="E36" s="243">
        <f>0.395</f>
        <v>0.395</v>
      </c>
      <c r="F36" s="182">
        <f t="shared" si="5"/>
        <v>25.7619</v>
      </c>
      <c r="G36" s="243"/>
      <c r="H36" s="182"/>
      <c r="I36" s="182"/>
      <c r="J36" s="182"/>
      <c r="K36" s="235"/>
      <c r="L36" s="185"/>
      <c r="M36" s="185"/>
      <c r="N36" s="185"/>
      <c r="O36" s="185"/>
      <c r="P36" s="185"/>
      <c r="Q36" s="185"/>
      <c r="R36" s="185"/>
      <c r="S36" s="185"/>
      <c r="T36" s="185"/>
      <c r="U36" s="185"/>
      <c r="V36" s="185"/>
      <c r="W36" s="185"/>
      <c r="X36" s="185"/>
      <c r="Y36" s="185"/>
      <c r="Z36" s="185"/>
    </row>
    <row r="37" ht="19.5" customHeight="1">
      <c r="A37" s="297"/>
      <c r="B37" s="194"/>
      <c r="C37" s="67" t="s">
        <v>683</v>
      </c>
      <c r="D37" s="189" t="s">
        <v>108</v>
      </c>
      <c r="E37" s="67" t="s">
        <v>684</v>
      </c>
      <c r="F37" s="189" t="s">
        <v>718</v>
      </c>
      <c r="G37" s="243"/>
      <c r="H37" s="182"/>
      <c r="I37" s="182"/>
      <c r="J37" s="182"/>
      <c r="K37" s="235"/>
      <c r="L37" s="185"/>
      <c r="M37" s="185"/>
      <c r="N37" s="185"/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5"/>
      <c r="Z37" s="185"/>
    </row>
    <row r="38" ht="19.5" customHeight="1">
      <c r="A38" s="151"/>
      <c r="B38" s="194" t="s">
        <v>722</v>
      </c>
      <c r="C38" s="67" t="s">
        <v>686</v>
      </c>
      <c r="D38" s="189">
        <v>29.48</v>
      </c>
      <c r="E38" s="67">
        <v>0.154</v>
      </c>
      <c r="F38" s="182">
        <f t="shared" ref="F38:F39" si="6">D38*E38</f>
        <v>4.53992</v>
      </c>
      <c r="G38" s="243"/>
      <c r="H38" s="182"/>
      <c r="I38" s="182"/>
      <c r="J38" s="182"/>
      <c r="K38" s="23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</row>
    <row r="39" ht="19.5" customHeight="1">
      <c r="A39" s="203"/>
      <c r="B39" s="194"/>
      <c r="C39" s="209">
        <v>10.0</v>
      </c>
      <c r="D39" s="182">
        <f>(38.4-19.2)+40.9</f>
        <v>60.1</v>
      </c>
      <c r="E39" s="67">
        <v>0.617</v>
      </c>
      <c r="F39" s="182">
        <f t="shared" si="6"/>
        <v>37.0817</v>
      </c>
      <c r="G39" s="243"/>
      <c r="H39" s="182"/>
      <c r="I39" s="182"/>
      <c r="J39" s="182"/>
      <c r="K39" s="23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5"/>
    </row>
    <row r="40" ht="19.5" customHeight="1">
      <c r="A40" s="186"/>
      <c r="B40" s="190"/>
      <c r="C40" s="210"/>
      <c r="D40" s="192"/>
      <c r="E40" s="67"/>
      <c r="F40" s="207"/>
      <c r="G40" s="205"/>
      <c r="H40" s="206"/>
      <c r="I40" s="206"/>
      <c r="J40" s="196"/>
      <c r="K40" s="203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</row>
    <row r="41" ht="19.5" customHeight="1">
      <c r="A41" s="186"/>
      <c r="B41" s="190"/>
      <c r="C41" s="210" t="s">
        <v>106</v>
      </c>
      <c r="D41" s="192" t="s">
        <v>691</v>
      </c>
      <c r="E41" s="67" t="s">
        <v>692</v>
      </c>
      <c r="F41" s="207" t="s">
        <v>693</v>
      </c>
      <c r="G41" s="205"/>
      <c r="H41" s="206"/>
      <c r="I41" s="206"/>
      <c r="J41" s="196"/>
      <c r="K41" s="203"/>
      <c r="L41" s="185"/>
      <c r="M41" s="185"/>
      <c r="N41" s="185"/>
      <c r="O41" s="185"/>
      <c r="P41" s="185"/>
      <c r="Q41" s="185"/>
      <c r="R41" s="185"/>
      <c r="S41" s="185"/>
      <c r="T41" s="185"/>
      <c r="U41" s="185"/>
      <c r="V41" s="185"/>
      <c r="W41" s="185"/>
      <c r="X41" s="185"/>
      <c r="Y41" s="185"/>
      <c r="Z41" s="185"/>
    </row>
    <row r="42" ht="19.5" customHeight="1">
      <c r="A42" s="213"/>
      <c r="B42" s="190" t="s">
        <v>694</v>
      </c>
      <c r="C42" s="210">
        <v>52.0</v>
      </c>
      <c r="D42" s="192">
        <v>0.3</v>
      </c>
      <c r="E42" s="67">
        <v>9.0</v>
      </c>
      <c r="F42" s="205">
        <f>C42*E42</f>
        <v>468</v>
      </c>
      <c r="G42" s="205"/>
      <c r="H42" s="206"/>
      <c r="I42" s="206"/>
      <c r="J42" s="196"/>
      <c r="K42" s="203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</row>
    <row r="43" ht="19.5" customHeight="1">
      <c r="A43" s="186"/>
      <c r="B43" s="190"/>
      <c r="C43" s="210" t="s">
        <v>106</v>
      </c>
      <c r="D43" s="192" t="s">
        <v>695</v>
      </c>
      <c r="E43" s="67" t="s">
        <v>683</v>
      </c>
      <c r="F43" s="207" t="s">
        <v>696</v>
      </c>
      <c r="G43" s="67" t="s">
        <v>684</v>
      </c>
      <c r="H43" s="214" t="s">
        <v>697</v>
      </c>
      <c r="I43" s="206"/>
      <c r="J43" s="196"/>
      <c r="K43" s="203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</row>
    <row r="44" ht="19.5" customHeight="1">
      <c r="A44" s="213"/>
      <c r="B44" s="190" t="s">
        <v>698</v>
      </c>
      <c r="C44" s="210">
        <v>52.0</v>
      </c>
      <c r="D44" s="192">
        <v>29.0</v>
      </c>
      <c r="E44" s="67" t="s">
        <v>686</v>
      </c>
      <c r="F44" s="207">
        <v>0.75</v>
      </c>
      <c r="G44" s="67">
        <v>0.154</v>
      </c>
      <c r="H44" s="206">
        <f t="shared" ref="H44:H45" si="7">C44*D44*F44*G44</f>
        <v>174.174</v>
      </c>
      <c r="I44" s="206"/>
      <c r="J44" s="196"/>
      <c r="K44" s="203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</row>
    <row r="45" ht="19.5" customHeight="1">
      <c r="A45" s="186"/>
      <c r="B45" s="190"/>
      <c r="C45" s="210">
        <v>52.0</v>
      </c>
      <c r="D45" s="192">
        <v>6.0</v>
      </c>
      <c r="E45" s="215">
        <v>45424.0</v>
      </c>
      <c r="F45" s="207">
        <v>6.42</v>
      </c>
      <c r="G45" s="67">
        <v>0.963</v>
      </c>
      <c r="H45" s="206">
        <f t="shared" si="7"/>
        <v>1928.92752</v>
      </c>
      <c r="I45" s="206"/>
      <c r="J45" s="196"/>
      <c r="K45" s="203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</row>
    <row r="46" ht="19.5" customHeight="1">
      <c r="A46" s="186"/>
      <c r="B46" s="190"/>
      <c r="C46" s="212"/>
      <c r="D46" s="192"/>
      <c r="E46" s="67"/>
      <c r="F46" s="205"/>
      <c r="G46" s="205"/>
      <c r="H46" s="206"/>
      <c r="I46" s="206"/>
      <c r="J46" s="196"/>
      <c r="K46" s="203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</row>
    <row r="47" ht="19.5" customHeight="1">
      <c r="A47" s="99" t="s">
        <v>1</v>
      </c>
      <c r="B47" s="99" t="s">
        <v>644</v>
      </c>
      <c r="C47" s="99" t="s">
        <v>645</v>
      </c>
      <c r="D47" s="177" t="s">
        <v>646</v>
      </c>
      <c r="E47" s="51" t="s">
        <v>99</v>
      </c>
      <c r="F47" s="52" t="s">
        <v>648</v>
      </c>
      <c r="G47" s="52" t="s">
        <v>649</v>
      </c>
      <c r="H47" s="178" t="s">
        <v>650</v>
      </c>
      <c r="I47" s="178" t="s">
        <v>651</v>
      </c>
      <c r="J47" s="177" t="s">
        <v>652</v>
      </c>
      <c r="K47" s="179" t="s">
        <v>653</v>
      </c>
    </row>
    <row r="48" ht="19.5" customHeight="1">
      <c r="A48" s="203"/>
      <c r="B48" s="67" t="s">
        <v>723</v>
      </c>
      <c r="C48" s="67">
        <v>1.0</v>
      </c>
      <c r="D48" s="189">
        <f>4.535+4.3+1.985</f>
        <v>10.82</v>
      </c>
      <c r="E48" s="67">
        <v>0.14</v>
      </c>
      <c r="F48" s="67">
        <v>0.45</v>
      </c>
      <c r="G48" s="67">
        <f t="shared" ref="G48:G66" si="8">F48+0.05</f>
        <v>0.5</v>
      </c>
      <c r="H48" s="182">
        <f t="shared" ref="H48:H66" si="9">D48*(E48+0.4)*G48</f>
        <v>2.9214</v>
      </c>
      <c r="I48" s="182">
        <f t="shared" ref="I48:I66" si="10">C48*D48*E48</f>
        <v>1.5148</v>
      </c>
      <c r="J48" s="182">
        <f t="shared" ref="J48:J66" si="11">2*(C48*D48*F48)</f>
        <v>9.738</v>
      </c>
      <c r="K48" s="182">
        <f t="shared" ref="K48:K66" si="12">D48*(E48+F48*2)</f>
        <v>11.2528</v>
      </c>
      <c r="L48" s="185"/>
      <c r="M48" s="185"/>
      <c r="N48" s="185"/>
      <c r="O48" s="185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</row>
    <row r="49" ht="19.5" customHeight="1">
      <c r="A49" s="203"/>
      <c r="B49" s="67" t="s">
        <v>724</v>
      </c>
      <c r="C49" s="67">
        <v>1.0</v>
      </c>
      <c r="D49" s="189">
        <v>2.0</v>
      </c>
      <c r="E49" s="67">
        <v>0.14</v>
      </c>
      <c r="F49" s="67">
        <v>0.45</v>
      </c>
      <c r="G49" s="67">
        <f t="shared" si="8"/>
        <v>0.5</v>
      </c>
      <c r="H49" s="182">
        <f t="shared" si="9"/>
        <v>0.54</v>
      </c>
      <c r="I49" s="182">
        <f t="shared" si="10"/>
        <v>0.28</v>
      </c>
      <c r="J49" s="182">
        <f t="shared" si="11"/>
        <v>1.8</v>
      </c>
      <c r="K49" s="182">
        <f t="shared" si="12"/>
        <v>2.08</v>
      </c>
      <c r="L49" s="185"/>
      <c r="M49" s="185"/>
      <c r="N49" s="185"/>
      <c r="O49" s="185"/>
      <c r="P49" s="185"/>
      <c r="Q49" s="185"/>
      <c r="R49" s="185"/>
      <c r="S49" s="185"/>
      <c r="T49" s="185"/>
      <c r="U49" s="185"/>
      <c r="V49" s="185"/>
      <c r="W49" s="185"/>
      <c r="X49" s="185"/>
      <c r="Y49" s="185"/>
      <c r="Z49" s="185"/>
    </row>
    <row r="50" ht="19.5" customHeight="1">
      <c r="A50" s="203"/>
      <c r="B50" s="67" t="s">
        <v>725</v>
      </c>
      <c r="C50" s="67">
        <v>1.0</v>
      </c>
      <c r="D50" s="189">
        <v>2.0</v>
      </c>
      <c r="E50" s="67">
        <v>0.14</v>
      </c>
      <c r="F50" s="67">
        <v>0.45</v>
      </c>
      <c r="G50" s="67">
        <f t="shared" si="8"/>
        <v>0.5</v>
      </c>
      <c r="H50" s="182">
        <f t="shared" si="9"/>
        <v>0.54</v>
      </c>
      <c r="I50" s="182">
        <f t="shared" si="10"/>
        <v>0.28</v>
      </c>
      <c r="J50" s="182">
        <f t="shared" si="11"/>
        <v>1.8</v>
      </c>
      <c r="K50" s="182">
        <f t="shared" si="12"/>
        <v>2.08</v>
      </c>
      <c r="L50" s="185"/>
      <c r="M50" s="185"/>
      <c r="N50" s="185"/>
      <c r="O50" s="185"/>
      <c r="P50" s="185"/>
      <c r="Q50" s="185"/>
      <c r="R50" s="185"/>
      <c r="S50" s="185"/>
      <c r="T50" s="185"/>
      <c r="U50" s="185"/>
      <c r="V50" s="185"/>
      <c r="W50" s="185"/>
      <c r="X50" s="185"/>
      <c r="Y50" s="185"/>
      <c r="Z50" s="185"/>
    </row>
    <row r="51" ht="19.5" customHeight="1">
      <c r="A51" s="203"/>
      <c r="B51" s="67" t="s">
        <v>726</v>
      </c>
      <c r="C51" s="67">
        <v>1.0</v>
      </c>
      <c r="D51" s="188">
        <f>2.41+1.86+2.42</f>
        <v>6.69</v>
      </c>
      <c r="E51" s="67">
        <v>0.14</v>
      </c>
      <c r="F51" s="67">
        <v>0.45</v>
      </c>
      <c r="G51" s="67">
        <f t="shared" si="8"/>
        <v>0.5</v>
      </c>
      <c r="H51" s="182">
        <f t="shared" si="9"/>
        <v>1.8063</v>
      </c>
      <c r="I51" s="182">
        <f t="shared" si="10"/>
        <v>0.9366</v>
      </c>
      <c r="J51" s="182">
        <f t="shared" si="11"/>
        <v>6.021</v>
      </c>
      <c r="K51" s="182">
        <f t="shared" si="12"/>
        <v>6.9576</v>
      </c>
      <c r="L51" s="185"/>
      <c r="M51" s="185"/>
      <c r="N51" s="185"/>
      <c r="O51" s="185"/>
      <c r="P51" s="185"/>
      <c r="Q51" s="185"/>
      <c r="R51" s="185"/>
      <c r="S51" s="185"/>
      <c r="T51" s="185"/>
      <c r="U51" s="185"/>
      <c r="V51" s="185"/>
      <c r="W51" s="185"/>
      <c r="X51" s="185"/>
      <c r="Y51" s="185"/>
      <c r="Z51" s="185"/>
    </row>
    <row r="52" ht="19.5" customHeight="1">
      <c r="A52" s="203"/>
      <c r="B52" s="67" t="s">
        <v>727</v>
      </c>
      <c r="C52" s="67">
        <v>1.0</v>
      </c>
      <c r="D52" s="188">
        <f>5.485*2</f>
        <v>10.97</v>
      </c>
      <c r="E52" s="67">
        <v>0.14</v>
      </c>
      <c r="F52" s="67">
        <v>0.45</v>
      </c>
      <c r="G52" s="67">
        <f t="shared" si="8"/>
        <v>0.5</v>
      </c>
      <c r="H52" s="182">
        <f t="shared" si="9"/>
        <v>2.9619</v>
      </c>
      <c r="I52" s="182">
        <f t="shared" si="10"/>
        <v>1.5358</v>
      </c>
      <c r="J52" s="182">
        <f t="shared" si="11"/>
        <v>9.873</v>
      </c>
      <c r="K52" s="182">
        <f t="shared" si="12"/>
        <v>11.4088</v>
      </c>
      <c r="L52" s="185"/>
      <c r="M52" s="185"/>
      <c r="N52" s="185"/>
      <c r="O52" s="185"/>
      <c r="P52" s="185"/>
      <c r="Q52" s="185"/>
      <c r="R52" s="185"/>
      <c r="S52" s="185"/>
      <c r="T52" s="185"/>
      <c r="U52" s="185"/>
      <c r="V52" s="185"/>
      <c r="W52" s="185"/>
      <c r="X52" s="185"/>
      <c r="Y52" s="185"/>
      <c r="Z52" s="185"/>
    </row>
    <row r="53" ht="19.5" customHeight="1">
      <c r="A53" s="203"/>
      <c r="B53" s="67" t="s">
        <v>728</v>
      </c>
      <c r="C53" s="67">
        <v>1.0</v>
      </c>
      <c r="D53" s="192">
        <v>5.7</v>
      </c>
      <c r="E53" s="67">
        <v>0.14</v>
      </c>
      <c r="F53" s="67">
        <v>0.45</v>
      </c>
      <c r="G53" s="67">
        <f t="shared" si="8"/>
        <v>0.5</v>
      </c>
      <c r="H53" s="182">
        <f t="shared" si="9"/>
        <v>1.539</v>
      </c>
      <c r="I53" s="182">
        <f t="shared" si="10"/>
        <v>0.798</v>
      </c>
      <c r="J53" s="182">
        <f t="shared" si="11"/>
        <v>5.13</v>
      </c>
      <c r="K53" s="182">
        <f t="shared" si="12"/>
        <v>5.928</v>
      </c>
      <c r="L53" s="185"/>
      <c r="M53" s="185"/>
      <c r="N53" s="185"/>
      <c r="O53" s="185"/>
      <c r="P53" s="185"/>
      <c r="Q53" s="185"/>
      <c r="R53" s="185"/>
      <c r="S53" s="185"/>
      <c r="T53" s="185"/>
      <c r="U53" s="185"/>
      <c r="V53" s="185"/>
      <c r="W53" s="185"/>
      <c r="X53" s="185"/>
      <c r="Y53" s="185"/>
      <c r="Z53" s="185"/>
    </row>
    <row r="54" ht="19.5" customHeight="1">
      <c r="A54" s="203"/>
      <c r="B54" s="67" t="s">
        <v>729</v>
      </c>
      <c r="C54" s="67">
        <v>1.0</v>
      </c>
      <c r="D54" s="192">
        <v>1.47</v>
      </c>
      <c r="E54" s="67">
        <v>0.14</v>
      </c>
      <c r="F54" s="67">
        <v>0.35</v>
      </c>
      <c r="G54" s="67">
        <f t="shared" si="8"/>
        <v>0.4</v>
      </c>
      <c r="H54" s="182">
        <f t="shared" si="9"/>
        <v>0.31752</v>
      </c>
      <c r="I54" s="182">
        <f t="shared" si="10"/>
        <v>0.2058</v>
      </c>
      <c r="J54" s="182">
        <f t="shared" si="11"/>
        <v>1.029</v>
      </c>
      <c r="K54" s="182">
        <f t="shared" si="12"/>
        <v>1.2348</v>
      </c>
      <c r="L54" s="185"/>
      <c r="M54" s="185"/>
      <c r="N54" s="185"/>
      <c r="O54" s="185"/>
      <c r="P54" s="185"/>
      <c r="Q54" s="185"/>
      <c r="R54" s="185"/>
      <c r="S54" s="185"/>
      <c r="T54" s="185"/>
      <c r="U54" s="185"/>
      <c r="V54" s="185"/>
      <c r="W54" s="185"/>
      <c r="X54" s="185"/>
      <c r="Y54" s="185"/>
      <c r="Z54" s="185"/>
    </row>
    <row r="55" ht="19.5" customHeight="1">
      <c r="A55" s="203"/>
      <c r="B55" s="67" t="s">
        <v>730</v>
      </c>
      <c r="C55" s="67">
        <v>1.0</v>
      </c>
      <c r="D55" s="192">
        <f>2*4.53</f>
        <v>9.06</v>
      </c>
      <c r="E55" s="67">
        <v>0.14</v>
      </c>
      <c r="F55" s="67">
        <v>0.45</v>
      </c>
      <c r="G55" s="67">
        <f t="shared" si="8"/>
        <v>0.5</v>
      </c>
      <c r="H55" s="182">
        <f t="shared" si="9"/>
        <v>2.4462</v>
      </c>
      <c r="I55" s="182">
        <f t="shared" si="10"/>
        <v>1.2684</v>
      </c>
      <c r="J55" s="182">
        <f t="shared" si="11"/>
        <v>8.154</v>
      </c>
      <c r="K55" s="182">
        <f t="shared" si="12"/>
        <v>9.4224</v>
      </c>
      <c r="L55" s="185"/>
      <c r="M55" s="185"/>
      <c r="N55" s="185"/>
      <c r="O55" s="185"/>
      <c r="P55" s="185"/>
      <c r="Q55" s="185"/>
      <c r="R55" s="185"/>
      <c r="S55" s="185"/>
      <c r="T55" s="185"/>
      <c r="U55" s="185"/>
      <c r="V55" s="185"/>
      <c r="W55" s="185"/>
      <c r="X55" s="185"/>
      <c r="Y55" s="185"/>
      <c r="Z55" s="185"/>
    </row>
    <row r="56" ht="19.5" customHeight="1">
      <c r="A56" s="203"/>
      <c r="B56" s="67" t="s">
        <v>731</v>
      </c>
      <c r="C56" s="67">
        <v>1.0</v>
      </c>
      <c r="D56" s="192">
        <v>1.465</v>
      </c>
      <c r="E56" s="67">
        <v>0.14</v>
      </c>
      <c r="F56" s="67">
        <v>0.35</v>
      </c>
      <c r="G56" s="67">
        <f t="shared" si="8"/>
        <v>0.4</v>
      </c>
      <c r="H56" s="182">
        <f t="shared" si="9"/>
        <v>0.31644</v>
      </c>
      <c r="I56" s="182">
        <f t="shared" si="10"/>
        <v>0.2051</v>
      </c>
      <c r="J56" s="182">
        <f t="shared" si="11"/>
        <v>1.0255</v>
      </c>
      <c r="K56" s="182">
        <f t="shared" si="12"/>
        <v>1.2306</v>
      </c>
      <c r="L56" s="185"/>
      <c r="M56" s="185"/>
      <c r="N56" s="185"/>
      <c r="O56" s="185"/>
      <c r="P56" s="185"/>
      <c r="Q56" s="185"/>
      <c r="R56" s="185"/>
      <c r="S56" s="185"/>
      <c r="T56" s="185"/>
      <c r="U56" s="185"/>
      <c r="V56" s="185"/>
      <c r="W56" s="185"/>
      <c r="X56" s="185"/>
      <c r="Y56" s="185"/>
      <c r="Z56" s="185"/>
    </row>
    <row r="57" ht="19.5" customHeight="1">
      <c r="A57" s="203"/>
      <c r="B57" s="67" t="s">
        <v>732</v>
      </c>
      <c r="C57" s="67">
        <v>1.0</v>
      </c>
      <c r="D57" s="188">
        <f>5.41*2</f>
        <v>10.82</v>
      </c>
      <c r="E57" s="67">
        <v>0.2</v>
      </c>
      <c r="F57" s="67">
        <v>0.35</v>
      </c>
      <c r="G57" s="67">
        <f t="shared" si="8"/>
        <v>0.4</v>
      </c>
      <c r="H57" s="182">
        <f t="shared" si="9"/>
        <v>2.5968</v>
      </c>
      <c r="I57" s="182">
        <f t="shared" si="10"/>
        <v>2.164</v>
      </c>
      <c r="J57" s="182">
        <f t="shared" si="11"/>
        <v>7.574</v>
      </c>
      <c r="K57" s="182">
        <f t="shared" si="12"/>
        <v>9.738</v>
      </c>
      <c r="L57" s="185"/>
      <c r="M57" s="185"/>
      <c r="N57" s="185"/>
      <c r="O57" s="185"/>
      <c r="P57" s="185"/>
      <c r="Q57" s="185"/>
      <c r="R57" s="185"/>
      <c r="S57" s="185"/>
      <c r="T57" s="185"/>
      <c r="U57" s="185"/>
      <c r="V57" s="185"/>
      <c r="W57" s="185"/>
      <c r="X57" s="185"/>
      <c r="Y57" s="185"/>
      <c r="Z57" s="185"/>
    </row>
    <row r="58" ht="19.5" customHeight="1">
      <c r="A58" s="203"/>
      <c r="B58" s="67" t="s">
        <v>733</v>
      </c>
      <c r="C58" s="67">
        <v>1.0</v>
      </c>
      <c r="D58" s="188">
        <f>6.23+6.97</f>
        <v>13.2</v>
      </c>
      <c r="E58" s="67">
        <v>0.14</v>
      </c>
      <c r="F58" s="67">
        <v>0.35</v>
      </c>
      <c r="G58" s="67">
        <f t="shared" si="8"/>
        <v>0.4</v>
      </c>
      <c r="H58" s="182">
        <f t="shared" si="9"/>
        <v>2.8512</v>
      </c>
      <c r="I58" s="182">
        <f t="shared" si="10"/>
        <v>1.848</v>
      </c>
      <c r="J58" s="182">
        <f t="shared" si="11"/>
        <v>9.24</v>
      </c>
      <c r="K58" s="182">
        <f t="shared" si="12"/>
        <v>11.088</v>
      </c>
      <c r="L58" s="185"/>
      <c r="M58" s="185"/>
      <c r="N58" s="185"/>
      <c r="O58" s="185"/>
      <c r="P58" s="185"/>
      <c r="Q58" s="185"/>
      <c r="R58" s="185"/>
      <c r="S58" s="185"/>
      <c r="T58" s="185"/>
      <c r="U58" s="185"/>
      <c r="V58" s="185"/>
      <c r="W58" s="185"/>
      <c r="X58" s="185"/>
      <c r="Y58" s="185"/>
      <c r="Z58" s="185"/>
    </row>
    <row r="59" ht="19.5" customHeight="1">
      <c r="A59" s="203"/>
      <c r="B59" s="67" t="s">
        <v>734</v>
      </c>
      <c r="C59" s="67">
        <v>1.0</v>
      </c>
      <c r="D59" s="188">
        <f>4.645+4.815*2+4.9+3.645</f>
        <v>22.82</v>
      </c>
      <c r="E59" s="67">
        <v>0.2</v>
      </c>
      <c r="F59" s="67">
        <v>0.45</v>
      </c>
      <c r="G59" s="67">
        <f t="shared" si="8"/>
        <v>0.5</v>
      </c>
      <c r="H59" s="182">
        <f t="shared" si="9"/>
        <v>6.846</v>
      </c>
      <c r="I59" s="182">
        <f t="shared" si="10"/>
        <v>4.564</v>
      </c>
      <c r="J59" s="182">
        <f t="shared" si="11"/>
        <v>20.538</v>
      </c>
      <c r="K59" s="182">
        <f t="shared" si="12"/>
        <v>25.102</v>
      </c>
      <c r="L59" s="185"/>
      <c r="M59" s="185"/>
      <c r="N59" s="185"/>
      <c r="O59" s="185"/>
      <c r="P59" s="185"/>
      <c r="Q59" s="185"/>
      <c r="R59" s="185"/>
      <c r="S59" s="185"/>
      <c r="T59" s="185"/>
      <c r="U59" s="185"/>
      <c r="V59" s="185"/>
      <c r="W59" s="185"/>
      <c r="X59" s="185"/>
      <c r="Y59" s="185"/>
      <c r="Z59" s="185"/>
    </row>
    <row r="60" ht="19.5" customHeight="1">
      <c r="A60" s="203"/>
      <c r="B60" s="67" t="s">
        <v>735</v>
      </c>
      <c r="C60" s="67">
        <v>1.0</v>
      </c>
      <c r="D60" s="192">
        <v>1.46</v>
      </c>
      <c r="E60" s="67">
        <v>0.14</v>
      </c>
      <c r="F60" s="67">
        <v>0.45</v>
      </c>
      <c r="G60" s="67">
        <f t="shared" si="8"/>
        <v>0.5</v>
      </c>
      <c r="H60" s="182">
        <f t="shared" si="9"/>
        <v>0.3942</v>
      </c>
      <c r="I60" s="182">
        <f t="shared" si="10"/>
        <v>0.2044</v>
      </c>
      <c r="J60" s="182">
        <f t="shared" si="11"/>
        <v>1.314</v>
      </c>
      <c r="K60" s="182">
        <f t="shared" si="12"/>
        <v>1.5184</v>
      </c>
      <c r="L60" s="185"/>
      <c r="M60" s="185"/>
      <c r="N60" s="185"/>
      <c r="O60" s="185"/>
      <c r="P60" s="185"/>
      <c r="Q60" s="185"/>
      <c r="R60" s="185"/>
      <c r="S60" s="185"/>
      <c r="T60" s="185"/>
      <c r="U60" s="185"/>
      <c r="V60" s="185"/>
      <c r="W60" s="185"/>
      <c r="X60" s="185"/>
      <c r="Y60" s="185"/>
      <c r="Z60" s="185"/>
    </row>
    <row r="61" ht="19.5" customHeight="1">
      <c r="A61" s="203"/>
      <c r="B61" s="67" t="s">
        <v>736</v>
      </c>
      <c r="C61" s="67">
        <v>1.0</v>
      </c>
      <c r="D61" s="192">
        <v>2.405</v>
      </c>
      <c r="E61" s="67">
        <v>0.14</v>
      </c>
      <c r="F61" s="67">
        <v>0.45</v>
      </c>
      <c r="G61" s="67">
        <f t="shared" si="8"/>
        <v>0.5</v>
      </c>
      <c r="H61" s="182">
        <f t="shared" si="9"/>
        <v>0.64935</v>
      </c>
      <c r="I61" s="182">
        <f t="shared" si="10"/>
        <v>0.3367</v>
      </c>
      <c r="J61" s="182">
        <f t="shared" si="11"/>
        <v>2.1645</v>
      </c>
      <c r="K61" s="182">
        <f t="shared" si="12"/>
        <v>2.5012</v>
      </c>
      <c r="L61" s="185"/>
      <c r="M61" s="185"/>
      <c r="N61" s="185"/>
      <c r="O61" s="185"/>
      <c r="P61" s="185"/>
      <c r="Q61" s="185"/>
      <c r="R61" s="185"/>
      <c r="S61" s="185"/>
      <c r="T61" s="185"/>
      <c r="U61" s="185"/>
      <c r="V61" s="185"/>
      <c r="W61" s="185"/>
      <c r="X61" s="185"/>
      <c r="Y61" s="185"/>
      <c r="Z61" s="185"/>
    </row>
    <row r="62" ht="19.5" customHeight="1">
      <c r="A62" s="203"/>
      <c r="B62" s="67" t="s">
        <v>737</v>
      </c>
      <c r="C62" s="67">
        <v>1.0</v>
      </c>
      <c r="D62" s="192">
        <v>2.345</v>
      </c>
      <c r="E62" s="67">
        <v>0.14</v>
      </c>
      <c r="F62" s="67">
        <v>0.45</v>
      </c>
      <c r="G62" s="67">
        <f t="shared" si="8"/>
        <v>0.5</v>
      </c>
      <c r="H62" s="182">
        <f t="shared" si="9"/>
        <v>0.63315</v>
      </c>
      <c r="I62" s="182">
        <f t="shared" si="10"/>
        <v>0.3283</v>
      </c>
      <c r="J62" s="182">
        <f t="shared" si="11"/>
        <v>2.1105</v>
      </c>
      <c r="K62" s="182">
        <f t="shared" si="12"/>
        <v>2.4388</v>
      </c>
      <c r="L62" s="185"/>
      <c r="M62" s="185"/>
      <c r="N62" s="185"/>
      <c r="O62" s="185"/>
      <c r="P62" s="185"/>
      <c r="Q62" s="185"/>
      <c r="R62" s="185"/>
      <c r="S62" s="185"/>
      <c r="T62" s="185"/>
      <c r="U62" s="185"/>
      <c r="V62" s="185"/>
      <c r="W62" s="185"/>
      <c r="X62" s="185"/>
      <c r="Y62" s="185"/>
      <c r="Z62" s="185"/>
    </row>
    <row r="63" ht="19.5" customHeight="1">
      <c r="A63" s="203"/>
      <c r="B63" s="67" t="s">
        <v>738</v>
      </c>
      <c r="C63" s="67">
        <v>1.0</v>
      </c>
      <c r="D63" s="192">
        <v>2.465</v>
      </c>
      <c r="E63" s="67">
        <v>0.14</v>
      </c>
      <c r="F63" s="67">
        <v>0.45</v>
      </c>
      <c r="G63" s="67">
        <f t="shared" si="8"/>
        <v>0.5</v>
      </c>
      <c r="H63" s="182">
        <f t="shared" si="9"/>
        <v>0.66555</v>
      </c>
      <c r="I63" s="182">
        <f t="shared" si="10"/>
        <v>0.3451</v>
      </c>
      <c r="J63" s="182">
        <f t="shared" si="11"/>
        <v>2.2185</v>
      </c>
      <c r="K63" s="182">
        <f t="shared" si="12"/>
        <v>2.5636</v>
      </c>
      <c r="L63" s="185"/>
      <c r="M63" s="185"/>
      <c r="N63" s="185"/>
      <c r="O63" s="185"/>
      <c r="P63" s="185"/>
      <c r="Q63" s="185"/>
      <c r="R63" s="185"/>
      <c r="S63" s="185"/>
      <c r="T63" s="185"/>
      <c r="U63" s="185"/>
      <c r="V63" s="185"/>
      <c r="W63" s="185"/>
      <c r="X63" s="185"/>
      <c r="Y63" s="185"/>
      <c r="Z63" s="185"/>
    </row>
    <row r="64" ht="19.5" customHeight="1">
      <c r="A64" s="203"/>
      <c r="B64" s="67" t="s">
        <v>739</v>
      </c>
      <c r="C64" s="67">
        <v>1.0</v>
      </c>
      <c r="D64" s="192">
        <v>1.46</v>
      </c>
      <c r="E64" s="67">
        <v>0.14</v>
      </c>
      <c r="F64" s="67">
        <v>0.45</v>
      </c>
      <c r="G64" s="67">
        <f t="shared" si="8"/>
        <v>0.5</v>
      </c>
      <c r="H64" s="182">
        <f t="shared" si="9"/>
        <v>0.3942</v>
      </c>
      <c r="I64" s="182">
        <f t="shared" si="10"/>
        <v>0.2044</v>
      </c>
      <c r="J64" s="182">
        <f t="shared" si="11"/>
        <v>1.314</v>
      </c>
      <c r="K64" s="182">
        <f t="shared" si="12"/>
        <v>1.5184</v>
      </c>
      <c r="L64" s="185"/>
      <c r="M64" s="185"/>
      <c r="N64" s="185"/>
      <c r="O64" s="185"/>
      <c r="P64" s="185"/>
      <c r="Q64" s="185"/>
      <c r="R64" s="185"/>
      <c r="S64" s="185"/>
      <c r="T64" s="185"/>
      <c r="U64" s="185"/>
      <c r="V64" s="185"/>
      <c r="W64" s="185"/>
      <c r="X64" s="185"/>
      <c r="Y64" s="185"/>
      <c r="Z64" s="185"/>
    </row>
    <row r="65" ht="19.5" customHeight="1">
      <c r="A65" s="203"/>
      <c r="B65" s="67" t="s">
        <v>740</v>
      </c>
      <c r="C65" s="67">
        <v>1.0</v>
      </c>
      <c r="D65" s="192">
        <v>2.345</v>
      </c>
      <c r="E65" s="67">
        <v>0.14</v>
      </c>
      <c r="F65" s="67">
        <v>0.45</v>
      </c>
      <c r="G65" s="67">
        <f t="shared" si="8"/>
        <v>0.5</v>
      </c>
      <c r="H65" s="182">
        <f t="shared" si="9"/>
        <v>0.63315</v>
      </c>
      <c r="I65" s="182">
        <f t="shared" si="10"/>
        <v>0.3283</v>
      </c>
      <c r="J65" s="182">
        <f t="shared" si="11"/>
        <v>2.1105</v>
      </c>
      <c r="K65" s="182">
        <f t="shared" si="12"/>
        <v>2.4388</v>
      </c>
      <c r="L65" s="185"/>
      <c r="M65" s="185"/>
      <c r="N65" s="185"/>
      <c r="O65" s="185"/>
      <c r="P65" s="185"/>
      <c r="Q65" s="185"/>
      <c r="R65" s="185"/>
      <c r="S65" s="185"/>
      <c r="T65" s="185"/>
      <c r="U65" s="185"/>
      <c r="V65" s="185"/>
      <c r="W65" s="185"/>
      <c r="X65" s="185"/>
      <c r="Y65" s="185"/>
      <c r="Z65" s="185"/>
    </row>
    <row r="66" ht="19.5" customHeight="1">
      <c r="A66" s="203"/>
      <c r="B66" s="67" t="s">
        <v>741</v>
      </c>
      <c r="C66" s="67">
        <v>1.0</v>
      </c>
      <c r="D66" s="188">
        <f>4.645+4.815*2+4.9+3.645</f>
        <v>22.82</v>
      </c>
      <c r="E66" s="67">
        <v>0.2</v>
      </c>
      <c r="F66" s="67">
        <v>0.45</v>
      </c>
      <c r="G66" s="67">
        <f t="shared" si="8"/>
        <v>0.5</v>
      </c>
      <c r="H66" s="182">
        <f t="shared" si="9"/>
        <v>6.846</v>
      </c>
      <c r="I66" s="182">
        <f t="shared" si="10"/>
        <v>4.564</v>
      </c>
      <c r="J66" s="182">
        <f t="shared" si="11"/>
        <v>20.538</v>
      </c>
      <c r="K66" s="182">
        <f t="shared" si="12"/>
        <v>25.102</v>
      </c>
      <c r="L66" s="185"/>
      <c r="M66" s="185"/>
      <c r="N66" s="185"/>
      <c r="O66" s="185"/>
      <c r="P66" s="185"/>
      <c r="Q66" s="185"/>
      <c r="R66" s="185"/>
      <c r="S66" s="185"/>
      <c r="T66" s="185"/>
      <c r="U66" s="185"/>
      <c r="V66" s="185"/>
      <c r="W66" s="185"/>
      <c r="X66" s="185"/>
      <c r="Y66" s="185"/>
      <c r="Z66" s="185"/>
    </row>
    <row r="67" ht="19.5" customHeight="1">
      <c r="A67" s="203"/>
      <c r="B67" s="190"/>
      <c r="C67" s="212"/>
      <c r="D67" s="188"/>
      <c r="E67" s="67"/>
      <c r="F67" s="243"/>
      <c r="G67" s="243"/>
      <c r="H67" s="193"/>
      <c r="I67" s="193"/>
      <c r="J67" s="188"/>
      <c r="K67" s="235"/>
      <c r="L67" s="185"/>
      <c r="M67" s="185"/>
      <c r="N67" s="185"/>
      <c r="O67" s="185"/>
      <c r="P67" s="185"/>
      <c r="Q67" s="185"/>
      <c r="R67" s="185"/>
      <c r="S67" s="185"/>
      <c r="T67" s="185"/>
      <c r="U67" s="185"/>
      <c r="V67" s="185"/>
      <c r="W67" s="185"/>
      <c r="X67" s="185"/>
      <c r="Y67" s="185"/>
      <c r="Z67" s="185"/>
    </row>
    <row r="68" ht="19.5" customHeight="1">
      <c r="A68" s="203"/>
      <c r="B68" s="67" t="s">
        <v>742</v>
      </c>
      <c r="C68" s="67">
        <v>9.0</v>
      </c>
      <c r="D68" s="67">
        <v>0.25</v>
      </c>
      <c r="E68" s="67">
        <v>0.4</v>
      </c>
      <c r="F68" s="67">
        <v>1.5</v>
      </c>
      <c r="G68" s="67"/>
      <c r="H68" s="182"/>
      <c r="I68" s="182"/>
      <c r="J68" s="182"/>
      <c r="K68" s="182">
        <f t="shared" ref="K68:K71" si="13">C68*((D68+E68)*2)*F68</f>
        <v>17.55</v>
      </c>
      <c r="L68" s="185"/>
      <c r="M68" s="185"/>
      <c r="N68" s="185"/>
      <c r="O68" s="185"/>
      <c r="P68" s="185"/>
      <c r="Q68" s="185"/>
      <c r="R68" s="185"/>
      <c r="S68" s="185"/>
      <c r="T68" s="185"/>
      <c r="U68" s="185"/>
      <c r="V68" s="185"/>
      <c r="W68" s="185"/>
      <c r="X68" s="185"/>
      <c r="Y68" s="185"/>
      <c r="Z68" s="185"/>
    </row>
    <row r="69" ht="19.5" customHeight="1">
      <c r="A69" s="203"/>
      <c r="B69" s="67" t="s">
        <v>666</v>
      </c>
      <c r="C69" s="67">
        <v>13.0</v>
      </c>
      <c r="D69" s="189">
        <v>0.2</v>
      </c>
      <c r="E69" s="67">
        <v>0.2</v>
      </c>
      <c r="F69" s="67">
        <v>1.5</v>
      </c>
      <c r="G69" s="243"/>
      <c r="H69" s="182"/>
      <c r="I69" s="182"/>
      <c r="J69" s="182"/>
      <c r="K69" s="182">
        <f t="shared" si="13"/>
        <v>15.6</v>
      </c>
      <c r="L69" s="185"/>
      <c r="M69" s="185"/>
      <c r="N69" s="185"/>
      <c r="O69" s="185"/>
      <c r="P69" s="185"/>
      <c r="Q69" s="185"/>
      <c r="R69" s="185"/>
      <c r="S69" s="185"/>
      <c r="T69" s="185"/>
      <c r="U69" s="185"/>
      <c r="V69" s="185"/>
      <c r="W69" s="185"/>
      <c r="X69" s="185"/>
      <c r="Y69" s="185"/>
      <c r="Z69" s="185"/>
    </row>
    <row r="70" ht="19.5" customHeight="1">
      <c r="A70" s="203"/>
      <c r="B70" s="67" t="s">
        <v>743</v>
      </c>
      <c r="C70" s="67">
        <v>2.0</v>
      </c>
      <c r="D70" s="189">
        <v>0.25</v>
      </c>
      <c r="E70" s="67">
        <v>0.6</v>
      </c>
      <c r="F70" s="67">
        <v>1.5</v>
      </c>
      <c r="G70" s="243"/>
      <c r="H70" s="182"/>
      <c r="I70" s="182"/>
      <c r="J70" s="182"/>
      <c r="K70" s="182">
        <f t="shared" si="13"/>
        <v>5.1</v>
      </c>
      <c r="L70" s="185"/>
      <c r="M70" s="185"/>
      <c r="N70" s="185"/>
      <c r="O70" s="185"/>
      <c r="P70" s="185"/>
      <c r="Q70" s="185"/>
      <c r="R70" s="185"/>
      <c r="S70" s="185"/>
      <c r="T70" s="185"/>
      <c r="U70" s="185"/>
      <c r="V70" s="185"/>
      <c r="W70" s="185"/>
      <c r="X70" s="185"/>
      <c r="Y70" s="185"/>
      <c r="Z70" s="185"/>
    </row>
    <row r="71" ht="19.5" customHeight="1">
      <c r="A71" s="203"/>
      <c r="B71" s="67" t="s">
        <v>671</v>
      </c>
      <c r="C71" s="67">
        <v>3.0</v>
      </c>
      <c r="D71" s="189">
        <v>0.25</v>
      </c>
      <c r="E71" s="67">
        <v>0.25</v>
      </c>
      <c r="F71" s="67">
        <v>1.5</v>
      </c>
      <c r="G71" s="243"/>
      <c r="H71" s="182"/>
      <c r="I71" s="182"/>
      <c r="J71" s="182"/>
      <c r="K71" s="182">
        <f t="shared" si="13"/>
        <v>4.5</v>
      </c>
      <c r="L71" s="185"/>
      <c r="M71" s="185"/>
      <c r="N71" s="185"/>
      <c r="O71" s="185"/>
      <c r="P71" s="185"/>
      <c r="Q71" s="185"/>
      <c r="R71" s="185"/>
      <c r="S71" s="185"/>
      <c r="T71" s="185"/>
      <c r="U71" s="185"/>
      <c r="V71" s="185"/>
      <c r="W71" s="185"/>
      <c r="X71" s="185"/>
      <c r="Y71" s="185"/>
      <c r="Z71" s="185"/>
    </row>
    <row r="72" ht="19.5" customHeight="1">
      <c r="A72" s="203"/>
      <c r="B72" s="67"/>
      <c r="C72" s="243"/>
      <c r="D72" s="182"/>
      <c r="E72" s="243"/>
      <c r="F72" s="67"/>
      <c r="G72" s="243"/>
      <c r="H72" s="182"/>
      <c r="I72" s="182"/>
      <c r="J72" s="182"/>
      <c r="K72" s="182"/>
      <c r="L72" s="185"/>
      <c r="M72" s="185"/>
      <c r="N72" s="185"/>
      <c r="O72" s="185"/>
      <c r="P72" s="185"/>
      <c r="Q72" s="185"/>
      <c r="R72" s="185"/>
      <c r="S72" s="185"/>
      <c r="T72" s="185"/>
      <c r="U72" s="185"/>
      <c r="V72" s="185"/>
      <c r="W72" s="185"/>
      <c r="X72" s="185"/>
      <c r="Y72" s="185"/>
      <c r="Z72" s="185"/>
    </row>
    <row r="73" ht="19.5" customHeight="1">
      <c r="A73" s="151"/>
      <c r="B73" s="67" t="s">
        <v>672</v>
      </c>
      <c r="C73" s="243"/>
      <c r="D73" s="182"/>
      <c r="E73" s="243"/>
      <c r="F73" s="243"/>
      <c r="G73" s="243"/>
      <c r="H73" s="182"/>
      <c r="I73" s="182"/>
      <c r="J73" s="182"/>
      <c r="K73" s="182">
        <f>SUM(K48:K71)</f>
        <v>178.3542</v>
      </c>
      <c r="L73" s="185"/>
      <c r="M73" s="185"/>
      <c r="N73" s="185"/>
      <c r="O73" s="185"/>
      <c r="P73" s="185"/>
      <c r="Q73" s="185"/>
      <c r="R73" s="185"/>
      <c r="S73" s="185"/>
      <c r="T73" s="185"/>
      <c r="U73" s="185"/>
      <c r="V73" s="185"/>
      <c r="W73" s="185"/>
      <c r="X73" s="185"/>
      <c r="Y73" s="185"/>
      <c r="Z73" s="185"/>
    </row>
    <row r="74" ht="19.5" customHeight="1">
      <c r="A74" s="151"/>
      <c r="B74" s="194" t="s">
        <v>745</v>
      </c>
      <c r="C74" s="243"/>
      <c r="D74" s="182"/>
      <c r="E74" s="243"/>
      <c r="F74" s="243"/>
      <c r="G74" s="67"/>
      <c r="H74" s="189"/>
      <c r="I74" s="189"/>
      <c r="J74" s="189"/>
      <c r="K74" s="182">
        <f>SUM(I48:I66)</f>
        <v>21.9117</v>
      </c>
      <c r="L74" s="185"/>
      <c r="M74" s="185"/>
      <c r="N74" s="185"/>
      <c r="O74" s="185"/>
      <c r="P74" s="185"/>
      <c r="Q74" s="185"/>
      <c r="R74" s="185"/>
      <c r="S74" s="185"/>
      <c r="T74" s="185"/>
      <c r="U74" s="185"/>
      <c r="V74" s="185"/>
      <c r="W74" s="185"/>
      <c r="X74" s="185"/>
      <c r="Y74" s="185"/>
      <c r="Z74" s="185"/>
    </row>
    <row r="75" ht="19.5" customHeight="1">
      <c r="A75" s="151"/>
      <c r="B75" s="194" t="s">
        <v>674</v>
      </c>
      <c r="C75" s="243"/>
      <c r="D75" s="182"/>
      <c r="E75" s="243"/>
      <c r="F75" s="243"/>
      <c r="G75" s="67"/>
      <c r="H75" s="189"/>
      <c r="I75" s="189"/>
      <c r="J75" s="189"/>
      <c r="K75" s="182">
        <f>SUM(H48:H66)</f>
        <v>35.89836</v>
      </c>
      <c r="L75" s="185"/>
      <c r="M75" s="185"/>
      <c r="N75" s="185"/>
      <c r="O75" s="185"/>
      <c r="P75" s="185"/>
      <c r="Q75" s="185"/>
      <c r="R75" s="185"/>
      <c r="S75" s="185"/>
      <c r="T75" s="185"/>
      <c r="U75" s="185"/>
      <c r="V75" s="185"/>
      <c r="W75" s="185"/>
      <c r="X75" s="185"/>
      <c r="Y75" s="185"/>
      <c r="Z75" s="185"/>
    </row>
    <row r="76" ht="19.5" customHeight="1">
      <c r="A76" s="151"/>
      <c r="B76" s="194" t="s">
        <v>746</v>
      </c>
      <c r="C76" s="243"/>
      <c r="D76" s="182"/>
      <c r="E76" s="243"/>
      <c r="F76" s="243"/>
      <c r="G76" s="243"/>
      <c r="H76" s="182" t="str">
        <f t="shared" ref="H76:I76" si="14">J74</f>
        <v/>
      </c>
      <c r="I76" s="189">
        <f t="shared" si="14"/>
        <v>21.9117</v>
      </c>
      <c r="J76" s="189">
        <v>0.05</v>
      </c>
      <c r="K76" s="182">
        <f>I76*J76</f>
        <v>1.095585</v>
      </c>
      <c r="L76" s="185"/>
      <c r="M76" s="185"/>
      <c r="N76" s="185"/>
      <c r="O76" s="185"/>
      <c r="P76" s="185"/>
      <c r="Q76" s="185"/>
      <c r="R76" s="185"/>
      <c r="S76" s="185"/>
      <c r="T76" s="185"/>
      <c r="U76" s="185"/>
      <c r="V76" s="185"/>
      <c r="W76" s="185"/>
      <c r="X76" s="185"/>
      <c r="Y76" s="185"/>
      <c r="Z76" s="185"/>
    </row>
    <row r="77" ht="19.5" customHeight="1">
      <c r="A77" s="144"/>
      <c r="B77" s="67" t="s">
        <v>747</v>
      </c>
      <c r="C77" s="243"/>
      <c r="D77" s="182"/>
      <c r="E77" s="243"/>
      <c r="F77" s="243"/>
      <c r="G77" s="243"/>
      <c r="H77" s="182"/>
      <c r="I77" s="182"/>
      <c r="J77" s="182"/>
      <c r="K77" s="182">
        <f>38.56+95.73</f>
        <v>134.29</v>
      </c>
      <c r="L77" s="185"/>
      <c r="M77" s="185"/>
      <c r="N77" s="185"/>
      <c r="O77" s="185"/>
      <c r="P77" s="185"/>
      <c r="Q77" s="185"/>
      <c r="R77" s="185"/>
      <c r="S77" s="185"/>
      <c r="T77" s="185"/>
      <c r="U77" s="185"/>
      <c r="V77" s="185"/>
      <c r="W77" s="185"/>
      <c r="X77" s="185"/>
      <c r="Y77" s="185"/>
      <c r="Z77" s="185"/>
    </row>
    <row r="78" ht="19.5" customHeight="1">
      <c r="A78" s="144"/>
      <c r="B78" s="67" t="s">
        <v>748</v>
      </c>
      <c r="C78" s="243"/>
      <c r="D78" s="182"/>
      <c r="E78" s="243"/>
      <c r="F78" s="243"/>
      <c r="G78" s="67"/>
      <c r="H78" s="189"/>
      <c r="I78" s="189"/>
      <c r="J78" s="189"/>
      <c r="K78" s="182">
        <f>6.7+2.86</f>
        <v>9.56</v>
      </c>
      <c r="L78" s="185"/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5"/>
    </row>
    <row r="79" ht="19.5" customHeight="1">
      <c r="A79" s="203"/>
      <c r="B79" s="194"/>
      <c r="C79" s="67" t="s">
        <v>683</v>
      </c>
      <c r="D79" s="189" t="s">
        <v>108</v>
      </c>
      <c r="E79" s="67" t="s">
        <v>684</v>
      </c>
      <c r="F79" s="243"/>
      <c r="G79" s="243"/>
      <c r="H79" s="182"/>
      <c r="I79" s="182"/>
      <c r="J79" s="192"/>
      <c r="K79" s="245" t="s">
        <v>749</v>
      </c>
      <c r="L79" s="185"/>
      <c r="M79" s="185"/>
      <c r="N79" s="185"/>
      <c r="O79" s="185"/>
      <c r="P79" s="185"/>
      <c r="Q79" s="185"/>
      <c r="R79" s="185"/>
      <c r="S79" s="185"/>
      <c r="T79" s="185"/>
      <c r="U79" s="185"/>
      <c r="V79" s="185"/>
      <c r="W79" s="185"/>
      <c r="X79" s="185"/>
      <c r="Y79" s="185"/>
      <c r="Z79" s="185"/>
    </row>
    <row r="80" ht="19.5" customHeight="1">
      <c r="A80" s="151"/>
      <c r="B80" s="194" t="s">
        <v>685</v>
      </c>
      <c r="C80" s="67" t="s">
        <v>686</v>
      </c>
      <c r="D80" s="189">
        <f>578+206.8</f>
        <v>784.8</v>
      </c>
      <c r="E80" s="67">
        <v>0.154</v>
      </c>
      <c r="F80" s="243"/>
      <c r="G80" s="243"/>
      <c r="H80" s="182"/>
      <c r="I80" s="182"/>
      <c r="J80" s="192"/>
      <c r="K80" s="188">
        <f t="shared" ref="K80:K85" si="15">D80*E80</f>
        <v>120.8592</v>
      </c>
      <c r="L80" s="305">
        <f>K80+F35</f>
        <v>122.9382</v>
      </c>
      <c r="M80" s="185"/>
      <c r="N80" s="185"/>
      <c r="O80" s="185"/>
      <c r="P80" s="185"/>
      <c r="Q80" s="185"/>
      <c r="R80" s="185"/>
      <c r="S80" s="185"/>
      <c r="T80" s="185"/>
      <c r="U80" s="185"/>
      <c r="V80" s="185"/>
      <c r="W80" s="185"/>
      <c r="X80" s="185"/>
      <c r="Y80" s="185"/>
      <c r="Z80" s="185"/>
    </row>
    <row r="81" ht="19.5" customHeight="1">
      <c r="A81" s="203"/>
      <c r="B81" s="194"/>
      <c r="C81" s="208">
        <v>45357.0</v>
      </c>
      <c r="D81" s="189">
        <v>3.0</v>
      </c>
      <c r="E81" s="67">
        <v>0.245</v>
      </c>
      <c r="F81" s="243"/>
      <c r="G81" s="243"/>
      <c r="H81" s="182"/>
      <c r="I81" s="182"/>
      <c r="J81" s="192"/>
      <c r="K81" s="188">
        <f t="shared" si="15"/>
        <v>0.735</v>
      </c>
      <c r="L81" s="185"/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  <c r="X81" s="185"/>
      <c r="Y81" s="185"/>
      <c r="Z81" s="185"/>
    </row>
    <row r="82" ht="19.5" customHeight="1">
      <c r="A82" s="203"/>
      <c r="B82" s="194"/>
      <c r="C82" s="209">
        <v>8.0</v>
      </c>
      <c r="D82" s="189">
        <f>506.2+211.7</f>
        <v>717.9</v>
      </c>
      <c r="E82" s="67">
        <v>0.395</v>
      </c>
      <c r="F82" s="243"/>
      <c r="G82" s="243"/>
      <c r="H82" s="182"/>
      <c r="I82" s="182"/>
      <c r="J82" s="192"/>
      <c r="K82" s="188">
        <f t="shared" si="15"/>
        <v>283.5705</v>
      </c>
      <c r="L82" s="306">
        <f>K82+F36</f>
        <v>309.3324</v>
      </c>
      <c r="M82" s="185"/>
      <c r="N82" s="185"/>
      <c r="O82" s="185"/>
      <c r="P82" s="185"/>
      <c r="Q82" s="185"/>
      <c r="R82" s="185"/>
      <c r="S82" s="185"/>
      <c r="T82" s="185"/>
      <c r="U82" s="185"/>
      <c r="V82" s="185"/>
      <c r="W82" s="185"/>
      <c r="X82" s="185"/>
      <c r="Y82" s="185"/>
      <c r="Z82" s="185"/>
    </row>
    <row r="83" ht="19.5" customHeight="1">
      <c r="A83" s="203"/>
      <c r="B83" s="194"/>
      <c r="C83" s="209">
        <v>10.0</v>
      </c>
      <c r="D83" s="189">
        <f>4+36.4</f>
        <v>40.4</v>
      </c>
      <c r="E83" s="67">
        <v>0.617</v>
      </c>
      <c r="F83" s="243"/>
      <c r="G83" s="243"/>
      <c r="H83" s="182"/>
      <c r="I83" s="182"/>
      <c r="J83" s="192"/>
      <c r="K83" s="188">
        <f t="shared" si="15"/>
        <v>24.9268</v>
      </c>
      <c r="L83" s="307"/>
      <c r="M83" s="185"/>
      <c r="N83" s="185"/>
      <c r="O83" s="185"/>
      <c r="P83" s="185"/>
      <c r="Q83" s="185"/>
      <c r="R83" s="185"/>
      <c r="S83" s="185"/>
      <c r="T83" s="185"/>
      <c r="U83" s="185"/>
      <c r="V83" s="185"/>
      <c r="W83" s="185"/>
      <c r="X83" s="185"/>
      <c r="Y83" s="185"/>
      <c r="Z83" s="185"/>
    </row>
    <row r="84" ht="19.5" customHeight="1">
      <c r="A84" s="203"/>
      <c r="B84" s="194"/>
      <c r="C84" s="208">
        <v>45424.0</v>
      </c>
      <c r="D84" s="189">
        <v>0.0</v>
      </c>
      <c r="E84" s="67">
        <v>0.963</v>
      </c>
      <c r="F84" s="243"/>
      <c r="G84" s="243"/>
      <c r="H84" s="182"/>
      <c r="I84" s="182"/>
      <c r="J84" s="192"/>
      <c r="K84" s="188">
        <f t="shared" si="15"/>
        <v>0</v>
      </c>
      <c r="L84" s="185"/>
      <c r="M84" s="185"/>
      <c r="N84" s="185"/>
      <c r="O84" s="185"/>
      <c r="P84" s="185"/>
      <c r="Q84" s="185"/>
      <c r="R84" s="185"/>
      <c r="S84" s="185"/>
      <c r="T84" s="185"/>
      <c r="U84" s="185"/>
      <c r="V84" s="185"/>
      <c r="W84" s="185"/>
      <c r="X84" s="185"/>
      <c r="Y84" s="185"/>
      <c r="Z84" s="185"/>
    </row>
    <row r="85" ht="19.5" customHeight="1">
      <c r="A85" s="203"/>
      <c r="B85" s="190"/>
      <c r="C85" s="212"/>
      <c r="D85" s="192"/>
      <c r="E85" s="67"/>
      <c r="F85" s="243"/>
      <c r="G85" s="243"/>
      <c r="H85" s="193"/>
      <c r="I85" s="193"/>
      <c r="J85" s="192"/>
      <c r="K85" s="188">
        <f t="shared" si="15"/>
        <v>0</v>
      </c>
      <c r="L85" s="185"/>
      <c r="M85" s="185"/>
      <c r="N85" s="185"/>
      <c r="O85" s="185"/>
      <c r="P85" s="185"/>
      <c r="Q85" s="185"/>
      <c r="R85" s="185"/>
      <c r="S85" s="185"/>
      <c r="T85" s="185"/>
      <c r="U85" s="185"/>
      <c r="V85" s="185"/>
      <c r="W85" s="185"/>
      <c r="X85" s="185"/>
      <c r="Y85" s="185"/>
      <c r="Z85" s="185"/>
    </row>
    <row r="86" ht="19.5" customHeight="1">
      <c r="A86" s="203"/>
      <c r="B86" s="67"/>
      <c r="C86" s="67" t="s">
        <v>751</v>
      </c>
      <c r="D86" s="189" t="s">
        <v>752</v>
      </c>
      <c r="E86" s="67" t="s">
        <v>212</v>
      </c>
      <c r="F86" s="243"/>
      <c r="G86" s="243"/>
      <c r="H86" s="193"/>
      <c r="I86" s="193"/>
      <c r="J86" s="192"/>
      <c r="K86" s="188"/>
      <c r="L86" s="185"/>
      <c r="M86" s="185"/>
      <c r="N86" s="185"/>
      <c r="O86" s="185"/>
      <c r="P86" s="185"/>
      <c r="Q86" s="185"/>
      <c r="R86" s="185"/>
      <c r="S86" s="185"/>
      <c r="T86" s="185"/>
      <c r="U86" s="185"/>
      <c r="V86" s="185"/>
      <c r="W86" s="185"/>
      <c r="X86" s="185"/>
      <c r="Y86" s="185"/>
      <c r="Z86" s="185"/>
    </row>
    <row r="87" ht="19.5" customHeight="1">
      <c r="A87" s="151"/>
      <c r="B87" s="67" t="s">
        <v>339</v>
      </c>
      <c r="C87" s="182">
        <f>J21+K75</f>
        <v>56.004985</v>
      </c>
      <c r="D87" s="182">
        <f>K78+K76+J26+J22</f>
        <v>17.25221</v>
      </c>
      <c r="E87" s="182">
        <f>C87-D87</f>
        <v>38.752775</v>
      </c>
      <c r="F87" s="243"/>
      <c r="G87" s="243"/>
      <c r="H87" s="193"/>
      <c r="I87" s="193"/>
      <c r="J87" s="192"/>
      <c r="K87" s="188"/>
      <c r="L87" s="185"/>
      <c r="M87" s="185"/>
      <c r="N87" s="185"/>
      <c r="O87" s="185"/>
      <c r="P87" s="185"/>
      <c r="Q87" s="185"/>
      <c r="R87" s="185"/>
      <c r="S87" s="185"/>
      <c r="T87" s="185"/>
      <c r="U87" s="185"/>
      <c r="V87" s="185"/>
      <c r="W87" s="185"/>
      <c r="X87" s="185"/>
      <c r="Y87" s="185"/>
      <c r="Z87" s="185"/>
    </row>
    <row r="88" ht="19.5" customHeight="1">
      <c r="A88" s="246"/>
      <c r="B88" s="187" t="s">
        <v>755</v>
      </c>
      <c r="C88" s="188">
        <f>K78+J26+J27</f>
        <v>16.28</v>
      </c>
      <c r="D88" s="188"/>
      <c r="E88" s="243"/>
      <c r="F88" s="243"/>
      <c r="G88" s="243"/>
      <c r="H88" s="193"/>
      <c r="I88" s="193"/>
      <c r="J88" s="192"/>
      <c r="K88" s="188"/>
      <c r="L88" s="185"/>
      <c r="M88" s="185"/>
      <c r="N88" s="185"/>
      <c r="O88" s="185"/>
      <c r="P88" s="185"/>
      <c r="Q88" s="185"/>
      <c r="R88" s="185"/>
      <c r="S88" s="185"/>
      <c r="T88" s="185"/>
      <c r="U88" s="185"/>
      <c r="V88" s="185"/>
      <c r="W88" s="185"/>
      <c r="X88" s="185"/>
      <c r="Y88" s="185"/>
      <c r="Z88" s="185"/>
    </row>
    <row r="89" ht="19.5" customHeight="1">
      <c r="A89" s="227" t="s">
        <v>756</v>
      </c>
      <c r="B89" s="28"/>
      <c r="C89" s="28"/>
      <c r="D89" s="28"/>
      <c r="E89" s="28"/>
      <c r="F89" s="28"/>
      <c r="G89" s="28"/>
      <c r="H89" s="28"/>
      <c r="I89" s="28"/>
      <c r="J89" s="28"/>
      <c r="K89" s="29"/>
    </row>
    <row r="90" ht="19.5" customHeight="1">
      <c r="A90" s="74"/>
      <c r="B90" s="99" t="s">
        <v>757</v>
      </c>
      <c r="C90" s="74"/>
      <c r="D90" s="76"/>
      <c r="E90" s="50"/>
      <c r="F90" s="53"/>
      <c r="G90" s="53"/>
      <c r="H90" s="75"/>
      <c r="I90" s="75"/>
      <c r="J90" s="76"/>
      <c r="K90" s="247"/>
    </row>
    <row r="91" ht="19.5" customHeight="1">
      <c r="A91" s="246">
        <v>37351.0</v>
      </c>
      <c r="B91" s="67" t="s">
        <v>758</v>
      </c>
      <c r="C91" s="243"/>
      <c r="D91" s="243"/>
      <c r="E91" s="243"/>
      <c r="F91" s="243">
        <f>43.01+80.58</f>
        <v>123.59</v>
      </c>
      <c r="G91" s="67" t="s">
        <v>103</v>
      </c>
      <c r="H91" s="193"/>
      <c r="I91" s="193"/>
      <c r="J91" s="192"/>
      <c r="K91" s="188"/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  <c r="X91" s="185"/>
      <c r="Y91" s="185"/>
      <c r="Z91" s="185"/>
    </row>
    <row r="92" ht="19.5" customHeight="1">
      <c r="A92" s="246">
        <v>36986.0</v>
      </c>
      <c r="B92" s="67" t="s">
        <v>759</v>
      </c>
      <c r="C92" s="243"/>
      <c r="D92" s="243"/>
      <c r="E92" s="67"/>
      <c r="F92" s="67">
        <f>5.67+3.23</f>
        <v>8.9</v>
      </c>
      <c r="G92" s="67" t="s">
        <v>148</v>
      </c>
      <c r="H92" s="193"/>
      <c r="I92" s="193"/>
      <c r="J92" s="192"/>
      <c r="K92" s="188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185"/>
      <c r="Y92" s="185"/>
      <c r="Z92" s="185"/>
    </row>
    <row r="93" ht="19.5" customHeight="1">
      <c r="A93" s="151" t="s">
        <v>760</v>
      </c>
      <c r="B93" s="67" t="s">
        <v>761</v>
      </c>
      <c r="C93" s="67" t="s">
        <v>686</v>
      </c>
      <c r="D93" s="67">
        <f>423.4</f>
        <v>423.4</v>
      </c>
      <c r="E93" s="67">
        <v>0.154</v>
      </c>
      <c r="F93" s="182">
        <f t="shared" ref="F93:F95" si="16">D93*E93</f>
        <v>65.2036</v>
      </c>
      <c r="G93" s="67" t="s">
        <v>158</v>
      </c>
      <c r="H93" s="193"/>
      <c r="I93" s="193"/>
      <c r="J93" s="192"/>
      <c r="K93" s="188"/>
      <c r="L93" s="185"/>
      <c r="M93" s="185"/>
      <c r="N93" s="185"/>
      <c r="O93" s="185"/>
      <c r="P93" s="185"/>
      <c r="Q93" s="185"/>
      <c r="R93" s="185"/>
      <c r="S93" s="185"/>
      <c r="T93" s="185"/>
      <c r="U93" s="185"/>
      <c r="V93" s="185"/>
      <c r="W93" s="185"/>
      <c r="X93" s="185"/>
      <c r="Y93" s="185"/>
      <c r="Z93" s="185"/>
    </row>
    <row r="94" ht="19.5" customHeight="1">
      <c r="A94" s="203"/>
      <c r="B94" s="243"/>
      <c r="C94" s="209" t="s">
        <v>720</v>
      </c>
      <c r="D94" s="67"/>
      <c r="E94" s="67">
        <v>0.395</v>
      </c>
      <c r="F94" s="182">
        <f t="shared" si="16"/>
        <v>0</v>
      </c>
      <c r="G94" s="67" t="s">
        <v>158</v>
      </c>
      <c r="H94" s="193"/>
      <c r="I94" s="193"/>
      <c r="J94" s="192"/>
      <c r="K94" s="188"/>
      <c r="L94" s="185"/>
      <c r="M94" s="185"/>
      <c r="N94" s="185"/>
      <c r="O94" s="185"/>
      <c r="P94" s="185"/>
      <c r="Q94" s="185"/>
      <c r="R94" s="185"/>
      <c r="S94" s="185"/>
      <c r="T94" s="185"/>
      <c r="U94" s="185"/>
      <c r="V94" s="185"/>
      <c r="W94" s="185"/>
      <c r="X94" s="185"/>
      <c r="Y94" s="185"/>
      <c r="Z94" s="185"/>
    </row>
    <row r="95" ht="19.5" customHeight="1">
      <c r="A95" s="203"/>
      <c r="B95" s="243"/>
      <c r="C95" s="209">
        <v>10.0</v>
      </c>
      <c r="D95" s="243">
        <f>195.2</f>
        <v>195.2</v>
      </c>
      <c r="E95" s="67">
        <v>0.617</v>
      </c>
      <c r="F95" s="182">
        <f t="shared" si="16"/>
        <v>120.4384</v>
      </c>
      <c r="G95" s="67" t="s">
        <v>158</v>
      </c>
      <c r="H95" s="193"/>
      <c r="I95" s="193"/>
      <c r="J95" s="192"/>
      <c r="K95" s="188"/>
      <c r="L95" s="185"/>
      <c r="M95" s="185"/>
      <c r="N95" s="185"/>
      <c r="O95" s="185"/>
      <c r="P95" s="185"/>
      <c r="Q95" s="185"/>
      <c r="R95" s="185"/>
      <c r="S95" s="185"/>
      <c r="T95" s="185"/>
      <c r="U95" s="185"/>
      <c r="V95" s="185"/>
      <c r="W95" s="185"/>
      <c r="X95" s="185"/>
      <c r="Y95" s="185"/>
      <c r="Z95" s="185"/>
    </row>
    <row r="96" ht="19.5" customHeight="1">
      <c r="A96" s="74"/>
      <c r="B96" s="99" t="s">
        <v>762</v>
      </c>
      <c r="C96" s="74"/>
      <c r="D96" s="76"/>
      <c r="E96" s="50"/>
      <c r="F96" s="53"/>
      <c r="G96" s="53"/>
      <c r="H96" s="75"/>
      <c r="I96" s="75"/>
      <c r="J96" s="76"/>
      <c r="K96" s="247"/>
    </row>
    <row r="97" ht="19.5" customHeight="1">
      <c r="A97" s="246">
        <v>37716.0</v>
      </c>
      <c r="B97" s="67" t="s">
        <v>758</v>
      </c>
      <c r="C97" s="243"/>
      <c r="D97" s="243"/>
      <c r="E97" s="243"/>
      <c r="F97" s="182">
        <f>29.6+106.81</f>
        <v>136.41</v>
      </c>
      <c r="G97" s="67" t="s">
        <v>103</v>
      </c>
      <c r="H97" s="193"/>
      <c r="I97" s="193"/>
      <c r="J97" s="192"/>
      <c r="K97" s="188"/>
      <c r="L97" s="185"/>
      <c r="M97" s="185"/>
      <c r="N97" s="185"/>
      <c r="O97" s="185"/>
      <c r="P97" s="185"/>
      <c r="Q97" s="185"/>
      <c r="R97" s="185"/>
      <c r="S97" s="185"/>
      <c r="T97" s="185"/>
      <c r="U97" s="185"/>
      <c r="V97" s="185"/>
      <c r="W97" s="185"/>
      <c r="X97" s="185"/>
      <c r="Y97" s="185"/>
      <c r="Z97" s="185"/>
    </row>
    <row r="98" ht="19.5" customHeight="1">
      <c r="A98" s="246">
        <v>36986.0</v>
      </c>
      <c r="B98" s="67" t="s">
        <v>759</v>
      </c>
      <c r="C98" s="243"/>
      <c r="D98" s="243"/>
      <c r="E98" s="67"/>
      <c r="F98" s="189">
        <f>6.46</f>
        <v>6.46</v>
      </c>
      <c r="G98" s="67" t="s">
        <v>148</v>
      </c>
      <c r="H98" s="193"/>
      <c r="I98" s="193"/>
      <c r="J98" s="192"/>
      <c r="K98" s="188"/>
      <c r="L98" s="185"/>
      <c r="M98" s="185"/>
      <c r="N98" s="185"/>
      <c r="O98" s="185"/>
      <c r="P98" s="185"/>
      <c r="Q98" s="185"/>
      <c r="R98" s="185"/>
      <c r="S98" s="185"/>
      <c r="T98" s="185"/>
      <c r="U98" s="185"/>
      <c r="V98" s="185"/>
      <c r="W98" s="185"/>
      <c r="X98" s="185"/>
      <c r="Y98" s="185"/>
      <c r="Z98" s="185"/>
    </row>
    <row r="99" ht="19.5" customHeight="1">
      <c r="A99" s="151" t="s">
        <v>760</v>
      </c>
      <c r="B99" s="67" t="s">
        <v>761</v>
      </c>
      <c r="C99" s="67" t="s">
        <v>686</v>
      </c>
      <c r="D99" s="67">
        <f>525.2+785.3</f>
        <v>1310.5</v>
      </c>
      <c r="E99" s="67">
        <v>0.154</v>
      </c>
      <c r="F99" s="182">
        <f t="shared" ref="F99:F101" si="17">D99*E99</f>
        <v>201.817</v>
      </c>
      <c r="G99" s="67" t="s">
        <v>158</v>
      </c>
      <c r="H99" s="193"/>
      <c r="I99" s="193"/>
      <c r="J99" s="192"/>
      <c r="K99" s="188"/>
      <c r="L99" s="185"/>
      <c r="M99" s="185"/>
      <c r="N99" s="185"/>
      <c r="O99" s="185"/>
      <c r="P99" s="185"/>
      <c r="Q99" s="185"/>
      <c r="R99" s="185"/>
      <c r="S99" s="185"/>
      <c r="T99" s="185"/>
      <c r="U99" s="185"/>
      <c r="V99" s="185"/>
      <c r="W99" s="185"/>
      <c r="X99" s="185"/>
      <c r="Y99" s="185"/>
      <c r="Z99" s="185"/>
    </row>
    <row r="100" ht="19.5" customHeight="1">
      <c r="A100" s="203"/>
      <c r="B100" s="243"/>
      <c r="C100" s="209" t="s">
        <v>720</v>
      </c>
      <c r="D100" s="67">
        <f>155.7+415.9</f>
        <v>571.6</v>
      </c>
      <c r="E100" s="67">
        <v>0.395</v>
      </c>
      <c r="F100" s="182">
        <f t="shared" si="17"/>
        <v>225.782</v>
      </c>
      <c r="G100" s="67" t="s">
        <v>158</v>
      </c>
      <c r="H100" s="193"/>
      <c r="I100" s="193"/>
      <c r="J100" s="192"/>
      <c r="K100" s="188"/>
      <c r="L100" s="185"/>
      <c r="M100" s="185"/>
      <c r="N100" s="185"/>
      <c r="O100" s="185"/>
      <c r="P100" s="185"/>
      <c r="Q100" s="185"/>
      <c r="R100" s="185"/>
      <c r="S100" s="185"/>
      <c r="T100" s="185"/>
      <c r="U100" s="185"/>
      <c r="V100" s="185"/>
      <c r="W100" s="185"/>
      <c r="X100" s="185"/>
      <c r="Y100" s="185"/>
      <c r="Z100" s="185"/>
    </row>
    <row r="101" ht="19.5" customHeight="1">
      <c r="A101" s="203"/>
      <c r="B101" s="243"/>
      <c r="C101" s="209">
        <v>10.0</v>
      </c>
      <c r="D101" s="67">
        <v>6.2</v>
      </c>
      <c r="E101" s="67">
        <v>0.617</v>
      </c>
      <c r="F101" s="182">
        <f t="shared" si="17"/>
        <v>3.8254</v>
      </c>
      <c r="G101" s="67" t="s">
        <v>158</v>
      </c>
      <c r="H101" s="193"/>
      <c r="I101" s="193"/>
      <c r="J101" s="192"/>
      <c r="K101" s="188"/>
      <c r="L101" s="185"/>
      <c r="M101" s="185"/>
      <c r="N101" s="185"/>
      <c r="O101" s="185"/>
      <c r="P101" s="185"/>
      <c r="Q101" s="185"/>
      <c r="R101" s="185"/>
      <c r="S101" s="185"/>
      <c r="T101" s="185"/>
      <c r="U101" s="185"/>
      <c r="V101" s="185"/>
      <c r="W101" s="185"/>
      <c r="X101" s="185"/>
      <c r="Y101" s="185"/>
      <c r="Z101" s="185"/>
    </row>
    <row r="102" ht="19.5" customHeight="1">
      <c r="A102" s="201"/>
      <c r="B102" s="201"/>
      <c r="C102" s="201"/>
      <c r="D102" s="200"/>
      <c r="E102" s="197"/>
      <c r="F102" s="198"/>
      <c r="G102" s="198"/>
      <c r="H102" s="199"/>
      <c r="I102" s="199"/>
      <c r="J102" s="200"/>
      <c r="K102" s="248"/>
      <c r="L102" s="185"/>
      <c r="M102" s="185"/>
      <c r="N102" s="185"/>
      <c r="O102" s="185"/>
      <c r="P102" s="185"/>
      <c r="Q102" s="185"/>
      <c r="R102" s="185"/>
      <c r="S102" s="185"/>
      <c r="T102" s="185"/>
      <c r="U102" s="185"/>
      <c r="V102" s="185"/>
      <c r="W102" s="185"/>
      <c r="X102" s="185"/>
      <c r="Y102" s="185"/>
      <c r="Z102" s="185"/>
    </row>
    <row r="103" ht="19.5" customHeight="1">
      <c r="A103" s="246">
        <v>36986.0</v>
      </c>
      <c r="B103" s="195" t="s">
        <v>763</v>
      </c>
      <c r="C103" s="203"/>
      <c r="D103" s="249">
        <f t="shared" ref="D103:D106" si="18">F98+F92</f>
        <v>15.36</v>
      </c>
      <c r="E103" s="250" t="s">
        <v>148</v>
      </c>
      <c r="F103" s="198"/>
      <c r="G103" s="198"/>
      <c r="H103" s="199"/>
      <c r="I103" s="199"/>
      <c r="J103" s="200"/>
      <c r="K103" s="248"/>
      <c r="L103" s="185"/>
      <c r="M103" s="185"/>
      <c r="N103" s="185"/>
      <c r="O103" s="185"/>
      <c r="P103" s="185"/>
      <c r="Q103" s="185"/>
      <c r="R103" s="185"/>
      <c r="S103" s="185"/>
      <c r="T103" s="185"/>
      <c r="U103" s="185"/>
      <c r="V103" s="185"/>
      <c r="W103" s="185"/>
      <c r="X103" s="185"/>
      <c r="Y103" s="185"/>
      <c r="Z103" s="185"/>
    </row>
    <row r="104" ht="19.5" customHeight="1">
      <c r="A104" s="151" t="s">
        <v>760</v>
      </c>
      <c r="B104" s="195" t="s">
        <v>764</v>
      </c>
      <c r="C104" s="67" t="s">
        <v>686</v>
      </c>
      <c r="D104" s="249">
        <f t="shared" si="18"/>
        <v>267.0206</v>
      </c>
      <c r="E104" s="250" t="s">
        <v>158</v>
      </c>
      <c r="F104" s="198"/>
      <c r="G104" s="198"/>
      <c r="H104" s="199"/>
      <c r="I104" s="199"/>
      <c r="J104" s="200"/>
      <c r="K104" s="248"/>
      <c r="L104" s="185"/>
      <c r="M104" s="185"/>
      <c r="N104" s="185"/>
      <c r="O104" s="185"/>
      <c r="P104" s="185"/>
      <c r="Q104" s="185"/>
      <c r="R104" s="185"/>
      <c r="S104" s="185"/>
      <c r="T104" s="185"/>
      <c r="U104" s="185"/>
      <c r="V104" s="185"/>
      <c r="W104" s="185"/>
      <c r="X104" s="185"/>
      <c r="Y104" s="185"/>
      <c r="Z104" s="185"/>
    </row>
    <row r="105" ht="19.5" customHeight="1">
      <c r="A105" s="201"/>
      <c r="B105" s="201"/>
      <c r="C105" s="209" t="s">
        <v>720</v>
      </c>
      <c r="D105" s="196">
        <f t="shared" si="18"/>
        <v>225.782</v>
      </c>
      <c r="E105" s="250" t="s">
        <v>158</v>
      </c>
      <c r="F105" s="198"/>
      <c r="G105" s="198"/>
      <c r="H105" s="199"/>
      <c r="I105" s="199"/>
      <c r="J105" s="200"/>
      <c r="K105" s="248"/>
      <c r="L105" s="185"/>
      <c r="M105" s="185"/>
      <c r="N105" s="185"/>
      <c r="O105" s="185"/>
      <c r="P105" s="185"/>
      <c r="Q105" s="185"/>
      <c r="R105" s="185"/>
      <c r="S105" s="185"/>
      <c r="T105" s="185"/>
      <c r="U105" s="185"/>
      <c r="V105" s="185"/>
      <c r="W105" s="185"/>
      <c r="X105" s="185"/>
      <c r="Y105" s="185"/>
      <c r="Z105" s="185"/>
    </row>
    <row r="106" ht="19.5" customHeight="1">
      <c r="A106" s="201"/>
      <c r="B106" s="201"/>
      <c r="C106" s="209">
        <v>10.0</v>
      </c>
      <c r="D106" s="196">
        <f t="shared" si="18"/>
        <v>124.2638</v>
      </c>
      <c r="E106" s="250" t="s">
        <v>158</v>
      </c>
      <c r="F106" s="198"/>
      <c r="G106" s="198"/>
      <c r="H106" s="199"/>
      <c r="I106" s="199"/>
      <c r="J106" s="200"/>
      <c r="K106" s="248"/>
      <c r="L106" s="185"/>
      <c r="M106" s="185"/>
      <c r="N106" s="185"/>
      <c r="O106" s="185"/>
      <c r="P106" s="185"/>
      <c r="Q106" s="185"/>
      <c r="R106" s="185"/>
      <c r="S106" s="185"/>
      <c r="T106" s="185"/>
      <c r="U106" s="185"/>
      <c r="V106" s="185"/>
      <c r="W106" s="185"/>
      <c r="X106" s="185"/>
      <c r="Y106" s="185"/>
      <c r="Z106" s="185"/>
    </row>
    <row r="107" ht="19.5" customHeight="1">
      <c r="A107" s="201"/>
      <c r="B107" s="201"/>
      <c r="C107" s="208"/>
      <c r="D107" s="200"/>
      <c r="E107" s="197"/>
      <c r="F107" s="198"/>
      <c r="G107" s="198"/>
      <c r="H107" s="199"/>
      <c r="I107" s="199"/>
      <c r="J107" s="200"/>
      <c r="K107" s="248"/>
      <c r="L107" s="185"/>
      <c r="M107" s="185"/>
      <c r="N107" s="185"/>
      <c r="O107" s="185"/>
      <c r="P107" s="185"/>
      <c r="Q107" s="185"/>
      <c r="R107" s="185"/>
      <c r="S107" s="185"/>
      <c r="T107" s="185"/>
      <c r="U107" s="185"/>
      <c r="V107" s="185"/>
      <c r="W107" s="185"/>
      <c r="X107" s="185"/>
      <c r="Y107" s="185"/>
      <c r="Z107" s="185"/>
    </row>
    <row r="108" ht="19.5" customHeight="1">
      <c r="A108" s="74" t="s">
        <v>1</v>
      </c>
      <c r="B108" s="74" t="s">
        <v>91</v>
      </c>
      <c r="C108" s="74" t="s">
        <v>92</v>
      </c>
      <c r="D108" s="76" t="s">
        <v>93</v>
      </c>
      <c r="E108" s="50" t="s">
        <v>97</v>
      </c>
      <c r="F108" s="53" t="s">
        <v>121</v>
      </c>
      <c r="G108" s="53" t="s">
        <v>99</v>
      </c>
      <c r="H108" s="75" t="s">
        <v>100</v>
      </c>
      <c r="I108" s="75" t="s">
        <v>101</v>
      </c>
      <c r="J108" s="76" t="s">
        <v>95</v>
      </c>
      <c r="K108" s="247" t="s">
        <v>96</v>
      </c>
    </row>
    <row r="109" ht="19.5" customHeight="1">
      <c r="A109" s="154" t="s">
        <v>765</v>
      </c>
      <c r="B109" s="37" t="s">
        <v>150</v>
      </c>
      <c r="C109" s="38" t="s">
        <v>766</v>
      </c>
      <c r="D109" s="78">
        <v>2.0</v>
      </c>
      <c r="E109" s="37"/>
      <c r="F109" s="41">
        <v>29.3</v>
      </c>
      <c r="G109" s="41">
        <v>15.75</v>
      </c>
      <c r="H109" s="40">
        <f>(G109+F109)*D109</f>
        <v>90.1</v>
      </c>
      <c r="I109" s="42"/>
      <c r="J109" s="43">
        <f>H109</f>
        <v>90.1</v>
      </c>
      <c r="K109" s="251"/>
    </row>
    <row r="110" ht="19.5" customHeight="1">
      <c r="A110" s="74" t="s">
        <v>1</v>
      </c>
      <c r="B110" s="74" t="s">
        <v>91</v>
      </c>
      <c r="C110" s="74" t="s">
        <v>92</v>
      </c>
      <c r="D110" s="76" t="s">
        <v>93</v>
      </c>
      <c r="E110" s="50" t="s">
        <v>97</v>
      </c>
      <c r="F110" s="53" t="s">
        <v>121</v>
      </c>
      <c r="G110" s="53" t="s">
        <v>99</v>
      </c>
      <c r="H110" s="252" t="s">
        <v>100</v>
      </c>
      <c r="I110" s="75" t="s">
        <v>101</v>
      </c>
      <c r="J110" s="76" t="s">
        <v>95</v>
      </c>
      <c r="K110" s="247" t="s">
        <v>96</v>
      </c>
    </row>
    <row r="111" ht="19.5" customHeight="1">
      <c r="A111" s="154" t="s">
        <v>767</v>
      </c>
      <c r="B111" s="37" t="s">
        <v>340</v>
      </c>
      <c r="C111" s="46" t="s">
        <v>148</v>
      </c>
      <c r="D111" s="78"/>
      <c r="E111" s="49">
        <v>0.4</v>
      </c>
      <c r="F111" s="39">
        <v>302.8</v>
      </c>
      <c r="G111" s="41">
        <v>1.0</v>
      </c>
      <c r="H111" s="40">
        <f>E111*F111*G111</f>
        <v>121.12</v>
      </c>
      <c r="I111" s="42"/>
      <c r="J111" s="43">
        <f>H111</f>
        <v>121.12</v>
      </c>
      <c r="K111" s="251"/>
    </row>
    <row r="112" ht="19.5" customHeight="1">
      <c r="A112" s="74" t="s">
        <v>1</v>
      </c>
      <c r="B112" s="74" t="s">
        <v>91</v>
      </c>
      <c r="C112" s="74" t="s">
        <v>92</v>
      </c>
      <c r="D112" s="76" t="s">
        <v>93</v>
      </c>
      <c r="E112" s="50" t="s">
        <v>97</v>
      </c>
      <c r="F112" s="53" t="s">
        <v>121</v>
      </c>
      <c r="G112" s="53" t="s">
        <v>99</v>
      </c>
      <c r="H112" s="252" t="s">
        <v>100</v>
      </c>
      <c r="I112" s="75" t="s">
        <v>101</v>
      </c>
      <c r="J112" s="76" t="s">
        <v>95</v>
      </c>
      <c r="K112" s="247" t="s">
        <v>96</v>
      </c>
      <c r="L112" s="14" t="str">
        <f>#REF!+#REF!</f>
        <v>#REF!</v>
      </c>
    </row>
    <row r="113" ht="19.5" customHeight="1">
      <c r="A113" s="253"/>
      <c r="B113" s="49" t="s">
        <v>768</v>
      </c>
      <c r="C113" s="46" t="s">
        <v>148</v>
      </c>
      <c r="D113" s="78">
        <v>1.0</v>
      </c>
      <c r="E113" s="37">
        <v>0.05</v>
      </c>
      <c r="F113" s="39">
        <v>302.8</v>
      </c>
      <c r="G113" s="41">
        <v>1.0</v>
      </c>
      <c r="H113" s="40">
        <f t="shared" ref="H113:H114" si="19">G113*F113*E113*D113</f>
        <v>15.14</v>
      </c>
      <c r="I113" s="42"/>
      <c r="J113" s="168">
        <f t="shared" ref="J113:J114" si="20">H113</f>
        <v>15.14</v>
      </c>
      <c r="K113" s="251"/>
    </row>
    <row r="114" ht="19.5" customHeight="1">
      <c r="A114" s="253"/>
      <c r="B114" s="37" t="s">
        <v>769</v>
      </c>
      <c r="C114" s="46" t="s">
        <v>148</v>
      </c>
      <c r="D114" s="78">
        <v>1.0</v>
      </c>
      <c r="E114" s="37">
        <v>0.05</v>
      </c>
      <c r="F114" s="78">
        <v>11.75</v>
      </c>
      <c r="G114" s="40">
        <v>4.02</v>
      </c>
      <c r="H114" s="40">
        <f t="shared" si="19"/>
        <v>2.36175</v>
      </c>
      <c r="I114" s="93"/>
      <c r="J114" s="254">
        <f t="shared" si="20"/>
        <v>2.36175</v>
      </c>
      <c r="K114" s="255"/>
    </row>
    <row r="115" ht="19.5" customHeight="1">
      <c r="A115" s="141">
        <v>37077.0</v>
      </c>
      <c r="B115" s="49"/>
      <c r="C115" s="46"/>
      <c r="D115" s="78"/>
      <c r="E115" s="37"/>
      <c r="F115" s="78"/>
      <c r="G115" s="78"/>
      <c r="H115" s="41"/>
      <c r="I115" s="42"/>
      <c r="J115" s="43">
        <f>SUM(J113:J114)</f>
        <v>17.50175</v>
      </c>
      <c r="K115" s="251"/>
    </row>
    <row r="116" ht="19.5" customHeight="1">
      <c r="A116" s="204"/>
      <c r="B116" s="49" t="s">
        <v>770</v>
      </c>
      <c r="C116" s="46" t="s">
        <v>103</v>
      </c>
      <c r="D116" s="78">
        <v>1.0</v>
      </c>
      <c r="E116" s="37"/>
      <c r="F116" s="39">
        <v>302.8</v>
      </c>
      <c r="G116" s="78">
        <f>G113</f>
        <v>1</v>
      </c>
      <c r="H116" s="41">
        <f>D116*F116</f>
        <v>302.8</v>
      </c>
      <c r="I116" s="42"/>
      <c r="J116" s="168">
        <f t="shared" ref="J116:J117" si="21">H116</f>
        <v>302.8</v>
      </c>
      <c r="K116" s="251"/>
    </row>
    <row r="117" ht="19.5" customHeight="1">
      <c r="A117" s="204"/>
      <c r="B117" s="37" t="s">
        <v>771</v>
      </c>
      <c r="C117" s="46" t="s">
        <v>103</v>
      </c>
      <c r="D117" s="78">
        <v>1.0</v>
      </c>
      <c r="E117" s="37"/>
      <c r="F117" s="78">
        <v>11.75</v>
      </c>
      <c r="G117" s="40">
        <v>4.02</v>
      </c>
      <c r="H117" s="40">
        <f>D117*F117*G117</f>
        <v>47.235</v>
      </c>
      <c r="I117" s="93"/>
      <c r="J117" s="254">
        <f t="shared" si="21"/>
        <v>47.235</v>
      </c>
      <c r="K117" s="255"/>
    </row>
    <row r="118" ht="19.5" customHeight="1">
      <c r="A118" s="141">
        <v>37442.0</v>
      </c>
      <c r="B118" s="256"/>
      <c r="C118" s="46"/>
      <c r="D118" s="78"/>
      <c r="E118" s="37"/>
      <c r="F118" s="78"/>
      <c r="G118" s="78"/>
      <c r="H118" s="40"/>
      <c r="I118" s="42"/>
      <c r="J118" s="43">
        <f>SUM(J116:J117)</f>
        <v>350.035</v>
      </c>
      <c r="K118" s="251"/>
    </row>
    <row r="119" ht="19.5" customHeight="1">
      <c r="A119" s="204"/>
      <c r="B119" s="256" t="s">
        <v>772</v>
      </c>
      <c r="C119" s="46" t="s">
        <v>103</v>
      </c>
      <c r="D119" s="78">
        <v>1.0</v>
      </c>
      <c r="E119" s="37"/>
      <c r="F119" s="39">
        <v>20.64</v>
      </c>
      <c r="G119" s="39">
        <v>11.26</v>
      </c>
      <c r="H119" s="40">
        <f>D119*F119*G119</f>
        <v>232.4064</v>
      </c>
      <c r="I119" s="42"/>
      <c r="J119" s="168">
        <f t="shared" ref="J119:J121" si="22">H119</f>
        <v>232.4064</v>
      </c>
      <c r="K119" s="251"/>
    </row>
    <row r="120" ht="19.5" customHeight="1">
      <c r="A120" s="204"/>
      <c r="B120" s="256" t="s">
        <v>773</v>
      </c>
      <c r="C120" s="46" t="s">
        <v>103</v>
      </c>
      <c r="D120" s="39">
        <v>10.0</v>
      </c>
      <c r="E120" s="49">
        <v>0.2</v>
      </c>
      <c r="F120" s="39">
        <v>11.26</v>
      </c>
      <c r="G120" s="39">
        <v>1.0</v>
      </c>
      <c r="H120" s="40">
        <f>D120*E120*F120*G120</f>
        <v>22.52</v>
      </c>
      <c r="I120" s="82"/>
      <c r="J120" s="168">
        <f t="shared" si="22"/>
        <v>22.52</v>
      </c>
      <c r="K120" s="255"/>
    </row>
    <row r="121" ht="19.5" customHeight="1">
      <c r="A121" s="204"/>
      <c r="B121" s="256" t="s">
        <v>774</v>
      </c>
      <c r="C121" s="46" t="s">
        <v>103</v>
      </c>
      <c r="D121" s="39">
        <v>1.0</v>
      </c>
      <c r="E121" s="37"/>
      <c r="F121" s="39">
        <v>5.8</v>
      </c>
      <c r="G121" s="39">
        <v>1.5</v>
      </c>
      <c r="H121" s="40">
        <f>D121*F121*G121</f>
        <v>8.7</v>
      </c>
      <c r="I121" s="82"/>
      <c r="J121" s="168">
        <f t="shared" si="22"/>
        <v>8.7</v>
      </c>
      <c r="K121" s="255"/>
    </row>
    <row r="122" ht="19.5" customHeight="1">
      <c r="A122" s="141">
        <v>37807.0</v>
      </c>
      <c r="B122" s="256"/>
      <c r="C122" s="46"/>
      <c r="D122" s="39"/>
      <c r="E122" s="37"/>
      <c r="F122" s="39"/>
      <c r="G122" s="78"/>
      <c r="H122" s="40"/>
      <c r="I122" s="82"/>
      <c r="J122" s="43">
        <f>SUM(J119:J121)</f>
        <v>263.6264</v>
      </c>
      <c r="K122" s="255"/>
    </row>
    <row r="123" ht="19.5" customHeight="1">
      <c r="A123" s="204"/>
      <c r="B123" s="256" t="s">
        <v>775</v>
      </c>
      <c r="C123" s="46" t="s">
        <v>103</v>
      </c>
      <c r="D123" s="39">
        <v>1.0</v>
      </c>
      <c r="E123" s="37"/>
      <c r="F123" s="39">
        <v>1.8</v>
      </c>
      <c r="G123" s="39">
        <v>1.0</v>
      </c>
      <c r="H123" s="40">
        <f t="shared" ref="H123:H128" si="23">D123*F123*G123</f>
        <v>1.8</v>
      </c>
      <c r="I123" s="82"/>
      <c r="J123" s="257">
        <f t="shared" ref="J123:J128" si="24">H123</f>
        <v>1.8</v>
      </c>
      <c r="K123" s="255"/>
    </row>
    <row r="124" ht="19.5" customHeight="1">
      <c r="A124" s="204"/>
      <c r="B124" s="256" t="s">
        <v>776</v>
      </c>
      <c r="C124" s="46" t="s">
        <v>103</v>
      </c>
      <c r="D124" s="39">
        <v>1.0</v>
      </c>
      <c r="E124" s="37"/>
      <c r="F124" s="39">
        <v>25.1</v>
      </c>
      <c r="G124" s="39">
        <v>1.0</v>
      </c>
      <c r="H124" s="40">
        <f t="shared" si="23"/>
        <v>25.1</v>
      </c>
      <c r="I124" s="82"/>
      <c r="J124" s="257">
        <f t="shared" si="24"/>
        <v>25.1</v>
      </c>
      <c r="K124" s="255"/>
    </row>
    <row r="125" ht="19.5" customHeight="1">
      <c r="A125" s="204"/>
      <c r="B125" s="256" t="s">
        <v>777</v>
      </c>
      <c r="C125" s="46" t="s">
        <v>103</v>
      </c>
      <c r="D125" s="39">
        <v>1.0</v>
      </c>
      <c r="E125" s="37"/>
      <c r="F125" s="39">
        <v>2.46</v>
      </c>
      <c r="G125" s="39">
        <v>2.4</v>
      </c>
      <c r="H125" s="40">
        <f t="shared" si="23"/>
        <v>5.904</v>
      </c>
      <c r="I125" s="82"/>
      <c r="J125" s="257">
        <f t="shared" si="24"/>
        <v>5.904</v>
      </c>
      <c r="K125" s="255"/>
    </row>
    <row r="126" ht="19.5" customHeight="1">
      <c r="A126" s="204"/>
      <c r="B126" s="256" t="s">
        <v>778</v>
      </c>
      <c r="C126" s="46" t="s">
        <v>103</v>
      </c>
      <c r="D126" s="39">
        <v>1.0</v>
      </c>
      <c r="E126" s="37"/>
      <c r="F126" s="39">
        <v>2.46</v>
      </c>
      <c r="G126" s="39">
        <v>1.85</v>
      </c>
      <c r="H126" s="40">
        <f t="shared" si="23"/>
        <v>4.551</v>
      </c>
      <c r="I126" s="82"/>
      <c r="J126" s="257">
        <f t="shared" si="24"/>
        <v>4.551</v>
      </c>
      <c r="K126" s="255"/>
    </row>
    <row r="127" ht="19.5" customHeight="1">
      <c r="A127" s="204"/>
      <c r="B127" s="256" t="s">
        <v>779</v>
      </c>
      <c r="C127" s="46" t="s">
        <v>103</v>
      </c>
      <c r="D127" s="39">
        <v>1.0</v>
      </c>
      <c r="E127" s="37"/>
      <c r="F127" s="39">
        <v>2.46</v>
      </c>
      <c r="G127" s="39">
        <v>2.4</v>
      </c>
      <c r="H127" s="40">
        <f t="shared" si="23"/>
        <v>5.904</v>
      </c>
      <c r="I127" s="82"/>
      <c r="J127" s="257">
        <f t="shared" si="24"/>
        <v>5.904</v>
      </c>
      <c r="K127" s="255"/>
    </row>
    <row r="128" ht="19.5" customHeight="1">
      <c r="A128" s="204"/>
      <c r="B128" s="256" t="s">
        <v>780</v>
      </c>
      <c r="C128" s="46" t="s">
        <v>103</v>
      </c>
      <c r="D128" s="39">
        <v>1.0</v>
      </c>
      <c r="E128" s="37"/>
      <c r="F128" s="78">
        <v>11.75</v>
      </c>
      <c r="G128" s="40">
        <v>4.02</v>
      </c>
      <c r="H128" s="40">
        <f t="shared" si="23"/>
        <v>47.235</v>
      </c>
      <c r="I128" s="93"/>
      <c r="J128" s="257">
        <f t="shared" si="24"/>
        <v>47.235</v>
      </c>
      <c r="K128" s="255"/>
    </row>
    <row r="129" ht="19.5" customHeight="1">
      <c r="A129" s="141">
        <v>38173.0</v>
      </c>
      <c r="B129" s="258"/>
      <c r="C129" s="79"/>
      <c r="D129" s="122"/>
      <c r="E129" s="37"/>
      <c r="F129" s="78"/>
      <c r="G129" s="78"/>
      <c r="H129" s="59"/>
      <c r="I129" s="93"/>
      <c r="J129" s="43">
        <f>SUM(J123:J128)</f>
        <v>90.494</v>
      </c>
      <c r="K129" s="255"/>
    </row>
    <row r="130" ht="19.5" customHeight="1">
      <c r="A130" s="203"/>
      <c r="B130" s="258" t="s">
        <v>781</v>
      </c>
      <c r="C130" s="83" t="s">
        <v>108</v>
      </c>
      <c r="D130" s="115">
        <v>3.0</v>
      </c>
      <c r="E130" s="37"/>
      <c r="F130" s="39">
        <v>0.8</v>
      </c>
      <c r="G130" s="78"/>
      <c r="H130" s="59">
        <f t="shared" ref="H130:H132" si="25">D130*F130</f>
        <v>2.4</v>
      </c>
      <c r="I130" s="93"/>
      <c r="J130" s="257">
        <f t="shared" ref="J130:J132" si="26">H130</f>
        <v>2.4</v>
      </c>
      <c r="K130" s="255"/>
    </row>
    <row r="131" ht="19.5" customHeight="1">
      <c r="A131" s="203"/>
      <c r="B131" s="258" t="s">
        <v>782</v>
      </c>
      <c r="C131" s="83" t="s">
        <v>108</v>
      </c>
      <c r="D131" s="115">
        <v>6.0</v>
      </c>
      <c r="E131" s="37"/>
      <c r="F131" s="39">
        <v>0.9</v>
      </c>
      <c r="G131" s="78"/>
      <c r="H131" s="59">
        <f t="shared" si="25"/>
        <v>5.4</v>
      </c>
      <c r="I131" s="93"/>
      <c r="J131" s="257">
        <f t="shared" si="26"/>
        <v>5.4</v>
      </c>
      <c r="K131" s="255"/>
    </row>
    <row r="132" ht="19.5" customHeight="1">
      <c r="A132" s="203"/>
      <c r="B132" s="258" t="s">
        <v>783</v>
      </c>
      <c r="C132" s="83" t="s">
        <v>108</v>
      </c>
      <c r="D132" s="115">
        <v>4.0</v>
      </c>
      <c r="E132" s="37"/>
      <c r="F132" s="39">
        <v>2.0</v>
      </c>
      <c r="G132" s="78"/>
      <c r="H132" s="59">
        <f t="shared" si="25"/>
        <v>8</v>
      </c>
      <c r="I132" s="93"/>
      <c r="J132" s="257">
        <f t="shared" si="26"/>
        <v>8</v>
      </c>
      <c r="K132" s="255"/>
    </row>
    <row r="133" ht="19.5" customHeight="1">
      <c r="A133" s="141">
        <v>38538.0</v>
      </c>
      <c r="B133" s="258"/>
      <c r="C133" s="79"/>
      <c r="D133" s="122"/>
      <c r="E133" s="37"/>
      <c r="F133" s="78"/>
      <c r="G133" s="78"/>
      <c r="H133" s="59"/>
      <c r="I133" s="93"/>
      <c r="J133" s="143">
        <f>SUM(J130:J132)</f>
        <v>15.8</v>
      </c>
      <c r="K133" s="255"/>
    </row>
    <row r="134" ht="19.5" customHeight="1">
      <c r="A134" s="74" t="s">
        <v>1</v>
      </c>
      <c r="B134" s="74" t="s">
        <v>91</v>
      </c>
      <c r="C134" s="74" t="s">
        <v>92</v>
      </c>
      <c r="D134" s="76" t="s">
        <v>93</v>
      </c>
      <c r="E134" s="50" t="s">
        <v>97</v>
      </c>
      <c r="F134" s="53" t="s">
        <v>121</v>
      </c>
      <c r="G134" s="53" t="s">
        <v>99</v>
      </c>
      <c r="H134" s="75" t="s">
        <v>100</v>
      </c>
      <c r="I134" s="75" t="s">
        <v>101</v>
      </c>
      <c r="J134" s="76" t="s">
        <v>95</v>
      </c>
      <c r="K134" s="247" t="s">
        <v>96</v>
      </c>
    </row>
    <row r="135" ht="19.5" customHeight="1">
      <c r="A135" s="150"/>
      <c r="B135" s="259" t="s">
        <v>345</v>
      </c>
      <c r="C135" s="260" t="s">
        <v>148</v>
      </c>
      <c r="D135" s="261">
        <v>2.0</v>
      </c>
      <c r="E135" s="262">
        <v>0.5</v>
      </c>
      <c r="F135" s="261">
        <v>25.29</v>
      </c>
      <c r="G135" s="263">
        <v>0.14</v>
      </c>
      <c r="H135" s="263">
        <v>3.54</v>
      </c>
      <c r="I135" s="42"/>
      <c r="J135" s="264">
        <f>SUM(H135:H141)</f>
        <v>20.32</v>
      </c>
      <c r="K135" s="251"/>
    </row>
    <row r="136" ht="19.5" customHeight="1">
      <c r="A136" s="150"/>
      <c r="B136" s="265" t="s">
        <v>345</v>
      </c>
      <c r="C136" s="266" t="s">
        <v>148</v>
      </c>
      <c r="D136" s="267">
        <v>5.0</v>
      </c>
      <c r="E136" s="268">
        <v>0.5</v>
      </c>
      <c r="F136" s="267">
        <v>11.75</v>
      </c>
      <c r="G136" s="269">
        <v>0.14</v>
      </c>
      <c r="H136" s="269">
        <v>4.11</v>
      </c>
      <c r="I136" s="42"/>
      <c r="J136" s="147"/>
      <c r="K136" s="251"/>
    </row>
    <row r="137" ht="19.5" customHeight="1">
      <c r="A137" s="150"/>
      <c r="B137" s="265" t="s">
        <v>345</v>
      </c>
      <c r="C137" s="266" t="s">
        <v>148</v>
      </c>
      <c r="D137" s="267">
        <v>1.0</v>
      </c>
      <c r="E137" s="268">
        <v>0.5</v>
      </c>
      <c r="F137" s="267">
        <v>1.75</v>
      </c>
      <c r="G137" s="269">
        <v>1.14</v>
      </c>
      <c r="H137" s="269">
        <v>1.0</v>
      </c>
      <c r="I137" s="42"/>
      <c r="J137" s="147"/>
      <c r="K137" s="255"/>
    </row>
    <row r="138" ht="19.5" customHeight="1">
      <c r="A138" s="150"/>
      <c r="B138" s="265" t="s">
        <v>345</v>
      </c>
      <c r="C138" s="266" t="s">
        <v>148</v>
      </c>
      <c r="D138" s="267">
        <v>1.0</v>
      </c>
      <c r="E138" s="268">
        <v>0.5</v>
      </c>
      <c r="F138" s="267">
        <v>2.76</v>
      </c>
      <c r="G138" s="269">
        <v>0.14</v>
      </c>
      <c r="H138" s="269">
        <v>0.19</v>
      </c>
      <c r="I138" s="42"/>
      <c r="J138" s="147"/>
      <c r="K138" s="255"/>
    </row>
    <row r="139" ht="19.5" customHeight="1">
      <c r="A139" s="150"/>
      <c r="B139" s="265" t="s">
        <v>345</v>
      </c>
      <c r="C139" s="266" t="s">
        <v>148</v>
      </c>
      <c r="D139" s="267">
        <v>1.0</v>
      </c>
      <c r="E139" s="268">
        <v>0.5</v>
      </c>
      <c r="F139" s="267">
        <v>1.65</v>
      </c>
      <c r="G139" s="269">
        <v>0.14</v>
      </c>
      <c r="H139" s="269">
        <v>0.12</v>
      </c>
      <c r="I139" s="42"/>
      <c r="J139" s="147"/>
      <c r="K139" s="255"/>
    </row>
    <row r="140" ht="19.5" customHeight="1">
      <c r="A140" s="150"/>
      <c r="B140" s="265" t="s">
        <v>345</v>
      </c>
      <c r="C140" s="266" t="s">
        <v>148</v>
      </c>
      <c r="D140" s="267">
        <v>2.0</v>
      </c>
      <c r="E140" s="268">
        <v>0.5</v>
      </c>
      <c r="F140" s="267">
        <v>2.5</v>
      </c>
      <c r="G140" s="269">
        <v>0.14</v>
      </c>
      <c r="H140" s="269">
        <v>0.35</v>
      </c>
      <c r="I140" s="42"/>
      <c r="J140" s="147"/>
      <c r="K140" s="255"/>
    </row>
    <row r="141" ht="19.5" customHeight="1">
      <c r="A141" s="150"/>
      <c r="B141" s="265" t="s">
        <v>345</v>
      </c>
      <c r="C141" s="266" t="s">
        <v>148</v>
      </c>
      <c r="D141" s="267">
        <v>1.0</v>
      </c>
      <c r="E141" s="268">
        <v>0.7</v>
      </c>
      <c r="F141" s="267">
        <v>13.8</v>
      </c>
      <c r="G141" s="269">
        <v>1.14</v>
      </c>
      <c r="H141" s="269">
        <v>11.01</v>
      </c>
      <c r="I141" s="42"/>
      <c r="J141" s="32"/>
      <c r="K141" s="255"/>
    </row>
    <row r="142" ht="19.5" customHeight="1">
      <c r="A142" s="74" t="s">
        <v>1</v>
      </c>
      <c r="B142" s="74" t="s">
        <v>91</v>
      </c>
      <c r="C142" s="74" t="s">
        <v>92</v>
      </c>
      <c r="D142" s="76" t="s">
        <v>93</v>
      </c>
      <c r="E142" s="50" t="s">
        <v>97</v>
      </c>
      <c r="F142" s="53" t="s">
        <v>121</v>
      </c>
      <c r="G142" s="53" t="s">
        <v>99</v>
      </c>
      <c r="H142" s="75" t="s">
        <v>100</v>
      </c>
      <c r="I142" s="75" t="s">
        <v>101</v>
      </c>
      <c r="J142" s="76" t="s">
        <v>95</v>
      </c>
      <c r="K142" s="247" t="s">
        <v>96</v>
      </c>
    </row>
    <row r="143" ht="19.5" customHeight="1">
      <c r="A143" s="246">
        <v>37320.0</v>
      </c>
      <c r="B143" s="37" t="s">
        <v>177</v>
      </c>
      <c r="C143" s="46" t="s">
        <v>103</v>
      </c>
      <c r="D143" s="270">
        <v>2.0</v>
      </c>
      <c r="E143" s="271">
        <v>6.0</v>
      </c>
      <c r="F143" s="272">
        <v>25.3</v>
      </c>
      <c r="G143" s="263"/>
      <c r="H143" s="273">
        <f t="shared" ref="H143:H150" si="27">D143*E143*F143</f>
        <v>303.6</v>
      </c>
      <c r="I143" s="42"/>
      <c r="J143" s="264">
        <f>SUM(H143:H150)</f>
        <v>611.51</v>
      </c>
      <c r="K143" s="251"/>
    </row>
    <row r="144" ht="19.5" customHeight="1">
      <c r="A144" s="246">
        <v>37320.0</v>
      </c>
      <c r="B144" s="37" t="s">
        <v>177</v>
      </c>
      <c r="C144" s="46" t="s">
        <v>103</v>
      </c>
      <c r="D144" s="274">
        <v>2.0</v>
      </c>
      <c r="E144" s="275">
        <v>6.0</v>
      </c>
      <c r="F144" s="267">
        <v>11.75</v>
      </c>
      <c r="G144" s="269"/>
      <c r="H144" s="273">
        <f t="shared" si="27"/>
        <v>141</v>
      </c>
      <c r="I144" s="42"/>
      <c r="J144" s="147"/>
      <c r="K144" s="251"/>
    </row>
    <row r="145" ht="19.5" customHeight="1">
      <c r="A145" s="246">
        <v>37320.0</v>
      </c>
      <c r="B145" s="37" t="s">
        <v>177</v>
      </c>
      <c r="C145" s="46" t="s">
        <v>103</v>
      </c>
      <c r="D145" s="276">
        <v>3.0</v>
      </c>
      <c r="E145" s="275">
        <v>3.0</v>
      </c>
      <c r="F145" s="277">
        <v>11.75</v>
      </c>
      <c r="G145" s="269"/>
      <c r="H145" s="273">
        <f t="shared" si="27"/>
        <v>105.75</v>
      </c>
      <c r="I145" s="82"/>
      <c r="J145" s="147"/>
      <c r="K145" s="255"/>
    </row>
    <row r="146" ht="19.5" customHeight="1">
      <c r="A146" s="246">
        <v>37320.0</v>
      </c>
      <c r="B146" s="37" t="s">
        <v>177</v>
      </c>
      <c r="C146" s="46" t="s">
        <v>103</v>
      </c>
      <c r="D146" s="278">
        <v>4.0</v>
      </c>
      <c r="E146" s="268">
        <v>3.0</v>
      </c>
      <c r="F146" s="267">
        <v>2.76</v>
      </c>
      <c r="G146" s="269"/>
      <c r="H146" s="273">
        <f t="shared" si="27"/>
        <v>33.12</v>
      </c>
      <c r="I146" s="93"/>
      <c r="J146" s="147"/>
      <c r="K146" s="255"/>
    </row>
    <row r="147" ht="19.5" customHeight="1">
      <c r="A147" s="246">
        <v>37320.0</v>
      </c>
      <c r="B147" s="37" t="s">
        <v>177</v>
      </c>
      <c r="C147" s="46" t="s">
        <v>103</v>
      </c>
      <c r="D147" s="279">
        <v>2.0</v>
      </c>
      <c r="E147" s="268">
        <v>3.0</v>
      </c>
      <c r="F147" s="267">
        <v>1.45</v>
      </c>
      <c r="G147" s="269"/>
      <c r="H147" s="273">
        <f t="shared" si="27"/>
        <v>8.7</v>
      </c>
      <c r="I147" s="93"/>
      <c r="J147" s="147"/>
      <c r="K147" s="255"/>
    </row>
    <row r="148" ht="19.5" customHeight="1">
      <c r="A148" s="246">
        <v>37320.0</v>
      </c>
      <c r="B148" s="37" t="s">
        <v>177</v>
      </c>
      <c r="C148" s="46" t="s">
        <v>103</v>
      </c>
      <c r="D148" s="280">
        <v>1.0</v>
      </c>
      <c r="E148" s="268">
        <v>3.0</v>
      </c>
      <c r="F148" s="267">
        <v>1.35</v>
      </c>
      <c r="G148" s="269"/>
      <c r="H148" s="273">
        <f t="shared" si="27"/>
        <v>4.05</v>
      </c>
      <c r="I148" s="93"/>
      <c r="J148" s="147"/>
      <c r="K148" s="255"/>
    </row>
    <row r="149" ht="19.5" customHeight="1">
      <c r="A149" s="246">
        <v>37320.0</v>
      </c>
      <c r="B149" s="37" t="s">
        <v>177</v>
      </c>
      <c r="C149" s="46" t="s">
        <v>103</v>
      </c>
      <c r="D149" s="279">
        <v>1.0</v>
      </c>
      <c r="E149" s="275">
        <v>1.1</v>
      </c>
      <c r="F149" s="277">
        <v>10.6</v>
      </c>
      <c r="G149" s="269"/>
      <c r="H149" s="273">
        <f t="shared" si="27"/>
        <v>11.66</v>
      </c>
      <c r="I149" s="93"/>
      <c r="J149" s="147"/>
      <c r="K149" s="255"/>
    </row>
    <row r="150" ht="19.5" customHeight="1">
      <c r="A150" s="246">
        <v>37320.0</v>
      </c>
      <c r="B150" s="37" t="s">
        <v>177</v>
      </c>
      <c r="C150" s="46" t="s">
        <v>103</v>
      </c>
      <c r="D150" s="279">
        <v>1.0</v>
      </c>
      <c r="E150" s="275">
        <v>1.1</v>
      </c>
      <c r="F150" s="277">
        <v>3.3</v>
      </c>
      <c r="G150" s="269"/>
      <c r="H150" s="273">
        <f t="shared" si="27"/>
        <v>3.63</v>
      </c>
      <c r="I150" s="93"/>
      <c r="J150" s="32"/>
      <c r="K150" s="255"/>
    </row>
    <row r="151" ht="19.5" customHeight="1">
      <c r="A151" s="246">
        <v>37685.0</v>
      </c>
      <c r="B151" s="114" t="s">
        <v>72</v>
      </c>
      <c r="C151" s="83" t="s">
        <v>108</v>
      </c>
      <c r="D151" s="279"/>
      <c r="E151" s="275"/>
      <c r="F151" s="277">
        <f>D143*F143+D144*F144+D145*F145+D146*F146+D147*F147+D148*F148+D149*F149+D150*F150</f>
        <v>138.54</v>
      </c>
      <c r="G151" s="269"/>
      <c r="H151" s="281"/>
      <c r="I151" s="93"/>
      <c r="J151" s="264">
        <f>F151</f>
        <v>138.54</v>
      </c>
      <c r="K151" s="255"/>
    </row>
    <row r="152" ht="19.5" customHeight="1">
      <c r="A152" s="246">
        <v>38051.0</v>
      </c>
      <c r="B152" s="195" t="s">
        <v>784</v>
      </c>
      <c r="C152" s="46" t="s">
        <v>103</v>
      </c>
      <c r="D152" s="279">
        <v>1.0</v>
      </c>
      <c r="E152" s="268">
        <v>3.0</v>
      </c>
      <c r="F152" s="282">
        <v>7.75</v>
      </c>
      <c r="G152" s="283"/>
      <c r="H152" s="283">
        <f>F152*E152*D152</f>
        <v>23.25</v>
      </c>
      <c r="I152" s="284"/>
      <c r="J152" s="264">
        <f>H152</f>
        <v>23.25</v>
      </c>
      <c r="K152" s="235"/>
      <c r="L152" s="185"/>
      <c r="M152" s="185"/>
      <c r="N152" s="185"/>
      <c r="O152" s="185"/>
      <c r="P152" s="185"/>
      <c r="Q152" s="185"/>
      <c r="R152" s="185"/>
      <c r="S152" s="185"/>
      <c r="T152" s="185"/>
      <c r="U152" s="185"/>
      <c r="V152" s="185"/>
      <c r="W152" s="185"/>
      <c r="X152" s="185"/>
      <c r="Y152" s="185"/>
      <c r="Z152" s="185"/>
    </row>
    <row r="153" ht="19.5" customHeight="1">
      <c r="A153" s="74" t="s">
        <v>1</v>
      </c>
      <c r="B153" s="74" t="s">
        <v>91</v>
      </c>
      <c r="C153" s="74" t="s">
        <v>92</v>
      </c>
      <c r="D153" s="76" t="s">
        <v>93</v>
      </c>
      <c r="E153" s="50" t="s">
        <v>97</v>
      </c>
      <c r="F153" s="53" t="s">
        <v>121</v>
      </c>
      <c r="G153" s="53" t="s">
        <v>99</v>
      </c>
      <c r="H153" s="75" t="s">
        <v>100</v>
      </c>
      <c r="I153" s="75" t="s">
        <v>101</v>
      </c>
      <c r="J153" s="76" t="s">
        <v>95</v>
      </c>
      <c r="K153" s="247" t="s">
        <v>96</v>
      </c>
    </row>
    <row r="154" ht="19.5" customHeight="1">
      <c r="A154" s="246">
        <v>37777.0</v>
      </c>
      <c r="B154" s="49" t="s">
        <v>785</v>
      </c>
      <c r="C154" s="46" t="s">
        <v>108</v>
      </c>
      <c r="D154" s="78">
        <v>2.0</v>
      </c>
      <c r="E154" s="37"/>
      <c r="F154" s="40">
        <f>F143</f>
        <v>25.3</v>
      </c>
      <c r="G154" s="41">
        <v>11.75</v>
      </c>
      <c r="H154" s="40">
        <f>D154*(F154+G154)</f>
        <v>74.1</v>
      </c>
      <c r="I154" s="42"/>
      <c r="J154" s="77"/>
      <c r="K154" s="251"/>
    </row>
    <row r="155" ht="19.5" customHeight="1">
      <c r="A155" s="246">
        <v>37777.0</v>
      </c>
      <c r="B155" s="49" t="s">
        <v>786</v>
      </c>
      <c r="C155" s="46" t="s">
        <v>108</v>
      </c>
      <c r="D155" s="78">
        <v>2.0</v>
      </c>
      <c r="E155" s="37"/>
      <c r="F155" s="40"/>
      <c r="G155" s="40">
        <f>G154</f>
        <v>11.75</v>
      </c>
      <c r="H155" s="40">
        <f>G155*D155</f>
        <v>23.5</v>
      </c>
      <c r="I155" s="42"/>
      <c r="J155" s="168"/>
      <c r="K155" s="251"/>
    </row>
    <row r="156" ht="19.5" customHeight="1">
      <c r="A156" s="246">
        <v>37777.0</v>
      </c>
      <c r="B156" s="49" t="s">
        <v>787</v>
      </c>
      <c r="C156" s="46" t="s">
        <v>108</v>
      </c>
      <c r="D156" s="115">
        <v>2.0</v>
      </c>
      <c r="E156" s="37"/>
      <c r="F156" s="41">
        <v>11.45</v>
      </c>
      <c r="G156" s="41">
        <v>4.0</v>
      </c>
      <c r="H156" s="59">
        <f>D156*G156+F156</f>
        <v>19.45</v>
      </c>
      <c r="I156" s="82"/>
      <c r="J156" s="257"/>
      <c r="K156" s="255"/>
    </row>
    <row r="157" ht="19.5" customHeight="1">
      <c r="A157" s="246">
        <v>37777.0</v>
      </c>
      <c r="B157" s="49" t="s">
        <v>788</v>
      </c>
      <c r="C157" s="46" t="s">
        <v>108</v>
      </c>
      <c r="D157" s="115">
        <v>2.0</v>
      </c>
      <c r="E157" s="37"/>
      <c r="F157" s="40"/>
      <c r="G157" s="41">
        <v>4.0</v>
      </c>
      <c r="H157" s="59">
        <f>D157*G157</f>
        <v>8</v>
      </c>
      <c r="I157" s="82"/>
      <c r="J157" s="143">
        <f>SUM(H154:H157)</f>
        <v>125.05</v>
      </c>
      <c r="K157" s="255"/>
    </row>
    <row r="158" ht="19.5" customHeight="1">
      <c r="A158" s="74" t="s">
        <v>1</v>
      </c>
      <c r="B158" s="74" t="s">
        <v>91</v>
      </c>
      <c r="C158" s="74" t="s">
        <v>92</v>
      </c>
      <c r="D158" s="76" t="s">
        <v>93</v>
      </c>
      <c r="E158" s="50" t="s">
        <v>97</v>
      </c>
      <c r="F158" s="53" t="s">
        <v>121</v>
      </c>
      <c r="G158" s="53" t="s">
        <v>99</v>
      </c>
      <c r="H158" s="75" t="s">
        <v>100</v>
      </c>
      <c r="I158" s="75" t="s">
        <v>101</v>
      </c>
      <c r="J158" s="76" t="s">
        <v>95</v>
      </c>
      <c r="K158" s="247" t="s">
        <v>96</v>
      </c>
    </row>
    <row r="159" ht="19.5" customHeight="1">
      <c r="A159" s="246">
        <v>37047.0</v>
      </c>
      <c r="B159" s="49" t="s">
        <v>789</v>
      </c>
      <c r="C159" s="38" t="s">
        <v>158</v>
      </c>
      <c r="D159" s="78">
        <f>'39 ESTRUTURAL ADM, LAB E BIBLIO'!Y13+'39 ESTRUTURAL ADM, LAB E BIBLIO'!Y14</f>
        <v>4445.854</v>
      </c>
      <c r="E159" s="37"/>
      <c r="F159" s="40"/>
      <c r="G159" s="40"/>
      <c r="H159" s="40"/>
      <c r="I159" s="42"/>
      <c r="J159" s="43">
        <f t="shared" ref="J159:J160" si="28">D159</f>
        <v>4445.854</v>
      </c>
      <c r="K159" s="251"/>
    </row>
    <row r="160" ht="19.5" customHeight="1">
      <c r="A160" s="151" t="s">
        <v>790</v>
      </c>
      <c r="B160" s="114" t="s">
        <v>791</v>
      </c>
      <c r="C160" s="46" t="s">
        <v>103</v>
      </c>
      <c r="D160" s="122">
        <f>'39 ESTRUTURAL ADM, LAB E BIBLIO'!AA13+'39 ESTRUTURAL ADM, LAB E BIBLIO'!AA14</f>
        <v>389.987193</v>
      </c>
      <c r="E160" s="37"/>
      <c r="F160" s="40"/>
      <c r="G160" s="40"/>
      <c r="H160" s="59"/>
      <c r="I160" s="82"/>
      <c r="J160" s="43">
        <f t="shared" si="28"/>
        <v>389.987193</v>
      </c>
      <c r="K160" s="255"/>
    </row>
    <row r="161" ht="19.5" customHeight="1">
      <c r="A161" s="74" t="s">
        <v>1</v>
      </c>
      <c r="B161" s="74" t="s">
        <v>91</v>
      </c>
      <c r="C161" s="74" t="s">
        <v>92</v>
      </c>
      <c r="D161" s="76" t="s">
        <v>93</v>
      </c>
      <c r="E161" s="50" t="s">
        <v>97</v>
      </c>
      <c r="F161" s="53" t="s">
        <v>121</v>
      </c>
      <c r="G161" s="53" t="s">
        <v>99</v>
      </c>
      <c r="H161" s="75" t="s">
        <v>100</v>
      </c>
      <c r="I161" s="75" t="s">
        <v>101</v>
      </c>
      <c r="J161" s="76" t="s">
        <v>95</v>
      </c>
      <c r="K161" s="247" t="s">
        <v>96</v>
      </c>
    </row>
    <row r="162" ht="19.5" customHeight="1">
      <c r="A162" s="246">
        <v>37412.0</v>
      </c>
      <c r="B162" s="49" t="s">
        <v>792</v>
      </c>
      <c r="C162" s="46" t="s">
        <v>103</v>
      </c>
      <c r="D162" s="78">
        <v>1.0</v>
      </c>
      <c r="E162" s="37"/>
      <c r="F162" s="41">
        <v>25.0</v>
      </c>
      <c r="G162" s="41">
        <v>11.45</v>
      </c>
      <c r="H162" s="40">
        <f t="shared" ref="H162:H163" si="29">G162*F162</f>
        <v>286.25</v>
      </c>
      <c r="I162" s="42"/>
      <c r="J162" s="143">
        <f>H162-I162</f>
        <v>286.25</v>
      </c>
      <c r="K162" s="251"/>
    </row>
    <row r="163" ht="19.5" customHeight="1">
      <c r="A163" s="246">
        <v>37412.0</v>
      </c>
      <c r="B163" s="49" t="s">
        <v>793</v>
      </c>
      <c r="C163" s="46" t="s">
        <v>103</v>
      </c>
      <c r="D163" s="249">
        <v>1.0</v>
      </c>
      <c r="E163" s="204"/>
      <c r="F163" s="207">
        <v>4.0</v>
      </c>
      <c r="G163" s="207">
        <v>11.45</v>
      </c>
      <c r="H163" s="40">
        <f t="shared" si="29"/>
        <v>45.8</v>
      </c>
      <c r="I163" s="206"/>
      <c r="J163" s="32"/>
      <c r="K163" s="235"/>
      <c r="L163" s="185"/>
      <c r="M163" s="185"/>
      <c r="N163" s="185"/>
      <c r="O163" s="185"/>
      <c r="P163" s="185"/>
      <c r="Q163" s="185"/>
      <c r="R163" s="185"/>
      <c r="S163" s="185"/>
      <c r="T163" s="185"/>
      <c r="U163" s="185"/>
      <c r="V163" s="185"/>
      <c r="W163" s="185"/>
      <c r="X163" s="185"/>
      <c r="Y163" s="185"/>
      <c r="Z163" s="185"/>
    </row>
    <row r="164" ht="19.5" customHeight="1">
      <c r="A164" s="246">
        <v>38508.0</v>
      </c>
      <c r="B164" s="114" t="s">
        <v>583</v>
      </c>
      <c r="C164" s="83" t="s">
        <v>108</v>
      </c>
      <c r="D164" s="249">
        <v>1.0</v>
      </c>
      <c r="E164" s="204"/>
      <c r="F164" s="207">
        <f>25+10.85</f>
        <v>35.85</v>
      </c>
      <c r="G164" s="207"/>
      <c r="H164" s="59">
        <f>F164*D164</f>
        <v>35.85</v>
      </c>
      <c r="I164" s="206"/>
      <c r="J164" s="143">
        <f>H164</f>
        <v>35.85</v>
      </c>
      <c r="K164" s="235"/>
      <c r="L164" s="185"/>
      <c r="M164" s="185"/>
      <c r="N164" s="185"/>
      <c r="O164" s="185"/>
      <c r="P164" s="185"/>
      <c r="Q164" s="185"/>
      <c r="R164" s="185"/>
      <c r="S164" s="185"/>
      <c r="T164" s="185"/>
      <c r="U164" s="185"/>
      <c r="V164" s="185"/>
      <c r="W164" s="185"/>
      <c r="X164" s="185"/>
      <c r="Y164" s="185"/>
      <c r="Z164" s="185"/>
    </row>
    <row r="165" ht="19.5" customHeight="1">
      <c r="A165" s="74" t="s">
        <v>1</v>
      </c>
      <c r="B165" s="74" t="s">
        <v>91</v>
      </c>
      <c r="C165" s="74" t="s">
        <v>92</v>
      </c>
      <c r="D165" s="76" t="s">
        <v>93</v>
      </c>
      <c r="E165" s="50" t="s">
        <v>97</v>
      </c>
      <c r="F165" s="53" t="s">
        <v>121</v>
      </c>
      <c r="G165" s="53" t="s">
        <v>99</v>
      </c>
      <c r="H165" s="75" t="s">
        <v>100</v>
      </c>
      <c r="I165" s="75" t="s">
        <v>101</v>
      </c>
      <c r="J165" s="76" t="s">
        <v>95</v>
      </c>
      <c r="K165" s="247" t="s">
        <v>96</v>
      </c>
    </row>
    <row r="166" ht="19.5" customHeight="1">
      <c r="A166" s="246">
        <v>37777.0</v>
      </c>
      <c r="B166" s="49" t="s">
        <v>794</v>
      </c>
      <c r="C166" s="38" t="s">
        <v>108</v>
      </c>
      <c r="D166" s="39">
        <v>2.0</v>
      </c>
      <c r="E166" s="37"/>
      <c r="F166" s="41">
        <v>25.0</v>
      </c>
      <c r="G166" s="40"/>
      <c r="H166" s="40">
        <f t="shared" ref="H166:H167" si="30">D166*F166</f>
        <v>50</v>
      </c>
      <c r="I166" s="42"/>
      <c r="J166" s="143">
        <f>SUM(H166:H167)</f>
        <v>72.9</v>
      </c>
      <c r="K166" s="251"/>
    </row>
    <row r="167" ht="19.5" customHeight="1">
      <c r="A167" s="246">
        <v>37777.0</v>
      </c>
      <c r="B167" s="49" t="s">
        <v>795</v>
      </c>
      <c r="C167" s="83" t="s">
        <v>108</v>
      </c>
      <c r="D167" s="39">
        <v>2.0</v>
      </c>
      <c r="E167" s="37"/>
      <c r="F167" s="40">
        <f>G163</f>
        <v>11.45</v>
      </c>
      <c r="G167" s="40"/>
      <c r="H167" s="40">
        <f t="shared" si="30"/>
        <v>22.9</v>
      </c>
      <c r="I167" s="82"/>
      <c r="J167" s="32"/>
      <c r="K167" s="255"/>
    </row>
    <row r="168" ht="19.5" customHeight="1">
      <c r="A168" s="74" t="s">
        <v>1</v>
      </c>
      <c r="B168" s="74" t="s">
        <v>91</v>
      </c>
      <c r="C168" s="74" t="s">
        <v>92</v>
      </c>
      <c r="D168" s="76" t="s">
        <v>93</v>
      </c>
      <c r="E168" s="50" t="s">
        <v>97</v>
      </c>
      <c r="F168" s="53" t="s">
        <v>121</v>
      </c>
      <c r="G168" s="53" t="s">
        <v>99</v>
      </c>
      <c r="H168" s="75" t="s">
        <v>100</v>
      </c>
      <c r="I168" s="75" t="s">
        <v>101</v>
      </c>
      <c r="J168" s="285">
        <f>SUM(J166:J167)</f>
        <v>72.9</v>
      </c>
      <c r="K168" s="247" t="s">
        <v>96</v>
      </c>
    </row>
    <row r="169" ht="19.5" customHeight="1">
      <c r="A169" s="154" t="s">
        <v>796</v>
      </c>
      <c r="B169" s="49" t="s">
        <v>797</v>
      </c>
      <c r="C169" s="46" t="s">
        <v>103</v>
      </c>
      <c r="D169" s="39">
        <v>1.0</v>
      </c>
      <c r="E169" s="41">
        <v>3.0</v>
      </c>
      <c r="F169" s="39">
        <v>9.72</v>
      </c>
      <c r="G169" s="40"/>
      <c r="H169" s="40">
        <f t="shared" ref="H169:H172" si="31">D169*E169*F169</f>
        <v>29.16</v>
      </c>
      <c r="I169" s="152">
        <v>1.89</v>
      </c>
      <c r="J169" s="142">
        <f t="shared" ref="J169:J175" si="32">H169-I169</f>
        <v>27.27</v>
      </c>
      <c r="K169" s="251"/>
    </row>
    <row r="170" ht="19.5" customHeight="1">
      <c r="A170" s="154" t="s">
        <v>796</v>
      </c>
      <c r="B170" s="49" t="s">
        <v>798</v>
      </c>
      <c r="C170" s="46" t="s">
        <v>103</v>
      </c>
      <c r="D170" s="39">
        <v>1.0</v>
      </c>
      <c r="E170" s="41">
        <v>3.0</v>
      </c>
      <c r="F170" s="39">
        <v>8.62</v>
      </c>
      <c r="G170" s="40"/>
      <c r="H170" s="40">
        <f t="shared" si="31"/>
        <v>25.86</v>
      </c>
      <c r="I170" s="152">
        <v>1.89</v>
      </c>
      <c r="J170" s="142">
        <f t="shared" si="32"/>
        <v>23.97</v>
      </c>
      <c r="K170" s="255"/>
    </row>
    <row r="171" ht="19.5" customHeight="1">
      <c r="A171" s="154" t="s">
        <v>796</v>
      </c>
      <c r="B171" s="49" t="s">
        <v>799</v>
      </c>
      <c r="C171" s="46" t="s">
        <v>103</v>
      </c>
      <c r="D171" s="39">
        <v>1.0</v>
      </c>
      <c r="E171" s="41">
        <v>3.0</v>
      </c>
      <c r="F171" s="39">
        <v>9.72</v>
      </c>
      <c r="G171" s="40"/>
      <c r="H171" s="40">
        <f t="shared" si="31"/>
        <v>29.16</v>
      </c>
      <c r="I171" s="152">
        <v>1.89</v>
      </c>
      <c r="J171" s="142">
        <f t="shared" si="32"/>
        <v>27.27</v>
      </c>
      <c r="K171" s="255"/>
    </row>
    <row r="172" ht="19.5" customHeight="1">
      <c r="A172" s="154" t="s">
        <v>796</v>
      </c>
      <c r="B172" s="49" t="s">
        <v>800</v>
      </c>
      <c r="C172" s="46" t="s">
        <v>103</v>
      </c>
      <c r="D172" s="39">
        <v>1.0</v>
      </c>
      <c r="E172" s="41">
        <v>3.0</v>
      </c>
      <c r="F172" s="39">
        <v>5.4</v>
      </c>
      <c r="G172" s="40"/>
      <c r="H172" s="40">
        <f t="shared" si="31"/>
        <v>16.2</v>
      </c>
      <c r="I172" s="152">
        <v>1.89</v>
      </c>
      <c r="J172" s="142">
        <f t="shared" si="32"/>
        <v>14.31</v>
      </c>
      <c r="K172" s="255"/>
    </row>
    <row r="173" ht="19.5" customHeight="1">
      <c r="A173" s="154" t="s">
        <v>796</v>
      </c>
      <c r="B173" s="157" t="s">
        <v>797</v>
      </c>
      <c r="C173" s="46" t="s">
        <v>103</v>
      </c>
      <c r="D173" s="39">
        <v>1.0</v>
      </c>
      <c r="E173" s="37"/>
      <c r="F173" s="39">
        <v>2.46</v>
      </c>
      <c r="G173" s="39">
        <v>2.4</v>
      </c>
      <c r="H173" s="40">
        <f t="shared" ref="H173:H176" si="33">D173*F173*G173</f>
        <v>5.904</v>
      </c>
      <c r="I173" s="286"/>
      <c r="J173" s="142">
        <f t="shared" si="32"/>
        <v>5.904</v>
      </c>
      <c r="K173" s="255"/>
    </row>
    <row r="174" ht="19.5" customHeight="1">
      <c r="A174" s="154" t="s">
        <v>796</v>
      </c>
      <c r="B174" s="157" t="s">
        <v>798</v>
      </c>
      <c r="C174" s="46" t="s">
        <v>103</v>
      </c>
      <c r="D174" s="39">
        <v>1.0</v>
      </c>
      <c r="E174" s="37"/>
      <c r="F174" s="39">
        <v>2.46</v>
      </c>
      <c r="G174" s="39">
        <v>1.85</v>
      </c>
      <c r="H174" s="40">
        <f t="shared" si="33"/>
        <v>4.551</v>
      </c>
      <c r="I174" s="286"/>
      <c r="J174" s="142">
        <f t="shared" si="32"/>
        <v>4.551</v>
      </c>
      <c r="K174" s="255"/>
    </row>
    <row r="175" ht="19.5" customHeight="1">
      <c r="A175" s="154" t="s">
        <v>796</v>
      </c>
      <c r="B175" s="157" t="s">
        <v>799</v>
      </c>
      <c r="C175" s="46" t="s">
        <v>103</v>
      </c>
      <c r="D175" s="39">
        <v>1.0</v>
      </c>
      <c r="E175" s="37"/>
      <c r="F175" s="39">
        <v>2.46</v>
      </c>
      <c r="G175" s="39">
        <v>2.4</v>
      </c>
      <c r="H175" s="40">
        <f t="shared" si="33"/>
        <v>5.904</v>
      </c>
      <c r="I175" s="286"/>
      <c r="J175" s="142">
        <f t="shared" si="32"/>
        <v>5.904</v>
      </c>
      <c r="K175" s="255"/>
    </row>
    <row r="176" ht="19.5" customHeight="1">
      <c r="A176" s="154" t="s">
        <v>796</v>
      </c>
      <c r="B176" s="157" t="s">
        <v>800</v>
      </c>
      <c r="C176" s="46" t="s">
        <v>103</v>
      </c>
      <c r="D176" s="39">
        <v>1.0</v>
      </c>
      <c r="E176" s="37"/>
      <c r="F176" s="39">
        <v>1.8</v>
      </c>
      <c r="G176" s="39">
        <v>1.0</v>
      </c>
      <c r="H176" s="40">
        <f t="shared" si="33"/>
        <v>1.8</v>
      </c>
      <c r="I176" s="286"/>
      <c r="J176" s="287">
        <f>SUM(J169:J175)</f>
        <v>109.179</v>
      </c>
      <c r="K176" s="255"/>
    </row>
    <row r="177" ht="19.5" customHeight="1">
      <c r="A177" s="74" t="s">
        <v>1</v>
      </c>
      <c r="B177" s="74" t="s">
        <v>91</v>
      </c>
      <c r="C177" s="74" t="s">
        <v>92</v>
      </c>
      <c r="D177" s="76" t="s">
        <v>93</v>
      </c>
      <c r="E177" s="50" t="s">
        <v>97</v>
      </c>
      <c r="F177" s="53" t="s">
        <v>121</v>
      </c>
      <c r="G177" s="53" t="s">
        <v>99</v>
      </c>
      <c r="H177" s="75" t="s">
        <v>100</v>
      </c>
      <c r="I177" s="75" t="s">
        <v>101</v>
      </c>
      <c r="J177" s="76" t="s">
        <v>95</v>
      </c>
      <c r="K177" s="247" t="s">
        <v>96</v>
      </c>
    </row>
    <row r="178" ht="19.5" customHeight="1">
      <c r="A178" s="246">
        <v>37473.0</v>
      </c>
      <c r="B178" s="49" t="s">
        <v>801</v>
      </c>
      <c r="C178" s="46" t="s">
        <v>103</v>
      </c>
      <c r="D178" s="39">
        <v>1.0</v>
      </c>
      <c r="E178" s="37"/>
      <c r="F178" s="41">
        <v>220.1</v>
      </c>
      <c r="G178" s="41">
        <v>1.0</v>
      </c>
      <c r="H178" s="40">
        <f t="shared" ref="H178:H184" si="34">G178*F178</f>
        <v>220.1</v>
      </c>
      <c r="I178" s="42"/>
      <c r="J178" s="143">
        <f>SUM(H178:H179)</f>
        <v>228.8</v>
      </c>
      <c r="K178" s="251"/>
    </row>
    <row r="179" ht="19.5" customHeight="1">
      <c r="A179" s="246">
        <v>37473.0</v>
      </c>
      <c r="B179" s="49" t="s">
        <v>802</v>
      </c>
      <c r="C179" s="46" t="s">
        <v>103</v>
      </c>
      <c r="D179" s="39">
        <v>1.0</v>
      </c>
      <c r="E179" s="204"/>
      <c r="F179" s="207">
        <v>8.7</v>
      </c>
      <c r="G179" s="207">
        <v>1.0</v>
      </c>
      <c r="H179" s="40">
        <f t="shared" si="34"/>
        <v>8.7</v>
      </c>
      <c r="I179" s="206"/>
      <c r="J179" s="32"/>
      <c r="K179" s="235"/>
      <c r="L179" s="185"/>
      <c r="M179" s="185"/>
      <c r="N179" s="185"/>
      <c r="O179" s="185"/>
      <c r="P179" s="185"/>
      <c r="Q179" s="185"/>
      <c r="R179" s="185"/>
      <c r="S179" s="185"/>
      <c r="T179" s="185"/>
      <c r="U179" s="185"/>
      <c r="V179" s="185"/>
      <c r="W179" s="185"/>
      <c r="X179" s="185"/>
      <c r="Y179" s="185"/>
      <c r="Z179" s="185"/>
    </row>
    <row r="180" ht="19.5" customHeight="1">
      <c r="A180" s="246">
        <v>37108.0</v>
      </c>
      <c r="B180" s="195" t="s">
        <v>803</v>
      </c>
      <c r="C180" s="46" t="s">
        <v>103</v>
      </c>
      <c r="D180" s="39">
        <v>1.0</v>
      </c>
      <c r="E180" s="204"/>
      <c r="F180" s="207">
        <v>1.8</v>
      </c>
      <c r="G180" s="207">
        <v>1.0</v>
      </c>
      <c r="H180" s="40">
        <f t="shared" si="34"/>
        <v>1.8</v>
      </c>
      <c r="I180" s="206"/>
      <c r="J180" s="143">
        <f>SUM(H180:H184)</f>
        <v>43.22</v>
      </c>
      <c r="K180" s="235"/>
      <c r="L180" s="185"/>
      <c r="M180" s="185"/>
      <c r="N180" s="185"/>
      <c r="O180" s="185"/>
      <c r="P180" s="185"/>
      <c r="Q180" s="185"/>
      <c r="R180" s="185"/>
      <c r="S180" s="185"/>
      <c r="T180" s="185"/>
      <c r="U180" s="185"/>
      <c r="V180" s="185"/>
      <c r="W180" s="185"/>
      <c r="X180" s="185"/>
      <c r="Y180" s="185"/>
      <c r="Z180" s="185"/>
    </row>
    <row r="181" ht="19.5" customHeight="1">
      <c r="A181" s="246">
        <v>37108.0</v>
      </c>
      <c r="B181" s="195" t="s">
        <v>804</v>
      </c>
      <c r="C181" s="46" t="s">
        <v>103</v>
      </c>
      <c r="D181" s="39">
        <v>1.0</v>
      </c>
      <c r="E181" s="204"/>
      <c r="F181" s="207">
        <v>25.07</v>
      </c>
      <c r="G181" s="207">
        <v>1.0</v>
      </c>
      <c r="H181" s="40">
        <f t="shared" si="34"/>
        <v>25.07</v>
      </c>
      <c r="I181" s="206"/>
      <c r="J181" s="147"/>
      <c r="K181" s="235"/>
      <c r="L181" s="185"/>
      <c r="M181" s="185"/>
      <c r="N181" s="185"/>
      <c r="O181" s="185"/>
      <c r="P181" s="185"/>
      <c r="Q181" s="185"/>
      <c r="R181" s="185"/>
      <c r="S181" s="185"/>
      <c r="T181" s="185"/>
      <c r="U181" s="185"/>
      <c r="V181" s="185"/>
      <c r="W181" s="185"/>
      <c r="X181" s="185"/>
      <c r="Y181" s="185"/>
      <c r="Z181" s="185"/>
    </row>
    <row r="182" ht="19.5" customHeight="1">
      <c r="A182" s="246">
        <v>37108.0</v>
      </c>
      <c r="B182" s="195" t="s">
        <v>805</v>
      </c>
      <c r="C182" s="46" t="s">
        <v>103</v>
      </c>
      <c r="D182" s="39">
        <v>1.0</v>
      </c>
      <c r="E182" s="204"/>
      <c r="F182" s="207">
        <v>5.9</v>
      </c>
      <c r="G182" s="207">
        <v>1.0</v>
      </c>
      <c r="H182" s="40">
        <f t="shared" si="34"/>
        <v>5.9</v>
      </c>
      <c r="I182" s="206"/>
      <c r="J182" s="147"/>
      <c r="K182" s="235"/>
      <c r="L182" s="185"/>
      <c r="M182" s="185"/>
      <c r="N182" s="185"/>
      <c r="O182" s="185"/>
      <c r="P182" s="185"/>
      <c r="Q182" s="185"/>
      <c r="R182" s="185"/>
      <c r="S182" s="185"/>
      <c r="T182" s="185"/>
      <c r="U182" s="185"/>
      <c r="V182" s="185"/>
      <c r="W182" s="185"/>
      <c r="X182" s="185"/>
      <c r="Y182" s="185"/>
      <c r="Z182" s="185"/>
    </row>
    <row r="183" ht="19.5" customHeight="1">
      <c r="A183" s="246">
        <v>37108.0</v>
      </c>
      <c r="B183" s="195" t="s">
        <v>806</v>
      </c>
      <c r="C183" s="46" t="s">
        <v>103</v>
      </c>
      <c r="D183" s="39">
        <v>1.0</v>
      </c>
      <c r="E183" s="204"/>
      <c r="F183" s="207">
        <v>4.55</v>
      </c>
      <c r="G183" s="207">
        <v>1.0</v>
      </c>
      <c r="H183" s="40">
        <f t="shared" si="34"/>
        <v>4.55</v>
      </c>
      <c r="I183" s="206"/>
      <c r="J183" s="147"/>
      <c r="K183" s="235"/>
      <c r="L183" s="185"/>
      <c r="M183" s="185"/>
      <c r="N183" s="185"/>
      <c r="O183" s="185"/>
      <c r="P183" s="185"/>
      <c r="Q183" s="185"/>
      <c r="R183" s="185"/>
      <c r="S183" s="185"/>
      <c r="T183" s="185"/>
      <c r="U183" s="185"/>
      <c r="V183" s="185"/>
      <c r="W183" s="185"/>
      <c r="X183" s="185"/>
      <c r="Y183" s="185"/>
      <c r="Z183" s="185"/>
    </row>
    <row r="184" ht="19.5" customHeight="1">
      <c r="A184" s="246">
        <v>37108.0</v>
      </c>
      <c r="B184" s="195" t="s">
        <v>807</v>
      </c>
      <c r="C184" s="46" t="s">
        <v>103</v>
      </c>
      <c r="D184" s="39">
        <v>1.0</v>
      </c>
      <c r="E184" s="204"/>
      <c r="F184" s="207">
        <v>5.9</v>
      </c>
      <c r="G184" s="207">
        <v>1.0</v>
      </c>
      <c r="H184" s="40">
        <f t="shared" si="34"/>
        <v>5.9</v>
      </c>
      <c r="I184" s="206"/>
      <c r="J184" s="32"/>
      <c r="K184" s="235"/>
      <c r="L184" s="185"/>
      <c r="M184" s="185"/>
      <c r="N184" s="185"/>
      <c r="O184" s="185"/>
      <c r="P184" s="185"/>
      <c r="Q184" s="185"/>
      <c r="R184" s="185"/>
      <c r="S184" s="185"/>
      <c r="T184" s="185"/>
      <c r="U184" s="185"/>
      <c r="V184" s="185"/>
      <c r="W184" s="185"/>
      <c r="X184" s="185"/>
      <c r="Y184" s="185"/>
      <c r="Z184" s="185"/>
    </row>
    <row r="185" ht="19.5" customHeight="1">
      <c r="A185" s="74" t="s">
        <v>1</v>
      </c>
      <c r="B185" s="74" t="s">
        <v>91</v>
      </c>
      <c r="C185" s="74" t="s">
        <v>92</v>
      </c>
      <c r="D185" s="76" t="s">
        <v>93</v>
      </c>
      <c r="E185" s="50" t="s">
        <v>97</v>
      </c>
      <c r="F185" s="53" t="s">
        <v>121</v>
      </c>
      <c r="G185" s="53" t="s">
        <v>198</v>
      </c>
      <c r="H185" s="75" t="s">
        <v>100</v>
      </c>
      <c r="I185" s="75" t="s">
        <v>101</v>
      </c>
      <c r="J185" s="285" t="s">
        <v>95</v>
      </c>
      <c r="K185" s="247" t="s">
        <v>96</v>
      </c>
    </row>
    <row r="186" ht="19.5" customHeight="1">
      <c r="A186" s="246">
        <v>37016.0</v>
      </c>
      <c r="B186" s="49" t="s">
        <v>808</v>
      </c>
      <c r="C186" s="46" t="s">
        <v>103</v>
      </c>
      <c r="D186" s="39">
        <v>1.0</v>
      </c>
      <c r="E186" s="41">
        <v>3.0</v>
      </c>
      <c r="F186" s="39">
        <v>9.72</v>
      </c>
      <c r="G186" s="40"/>
      <c r="H186" s="40">
        <f t="shared" ref="H186:H193" si="35">D186*E186*F186</f>
        <v>29.16</v>
      </c>
      <c r="I186" s="152">
        <v>1.89</v>
      </c>
      <c r="J186" s="205">
        <f t="shared" ref="J186:J193" si="36">H186-I186</f>
        <v>27.27</v>
      </c>
      <c r="K186" s="251"/>
    </row>
    <row r="187" ht="19.5" customHeight="1">
      <c r="A187" s="246">
        <v>37016.0</v>
      </c>
      <c r="B187" s="49" t="s">
        <v>809</v>
      </c>
      <c r="C187" s="46" t="s">
        <v>103</v>
      </c>
      <c r="D187" s="39">
        <v>1.0</v>
      </c>
      <c r="E187" s="41">
        <v>3.0</v>
      </c>
      <c r="F187" s="39">
        <v>8.62</v>
      </c>
      <c r="G187" s="40"/>
      <c r="H187" s="40">
        <f t="shared" si="35"/>
        <v>25.86</v>
      </c>
      <c r="I187" s="152">
        <v>1.89</v>
      </c>
      <c r="J187" s="205">
        <f t="shared" si="36"/>
        <v>23.97</v>
      </c>
      <c r="K187" s="251"/>
    </row>
    <row r="188" ht="19.5" customHeight="1">
      <c r="A188" s="246">
        <v>37016.0</v>
      </c>
      <c r="B188" s="49" t="s">
        <v>810</v>
      </c>
      <c r="C188" s="46" t="s">
        <v>103</v>
      </c>
      <c r="D188" s="39">
        <v>1.0</v>
      </c>
      <c r="E188" s="41">
        <v>3.0</v>
      </c>
      <c r="F188" s="39">
        <v>9.72</v>
      </c>
      <c r="G188" s="40"/>
      <c r="H188" s="40">
        <f t="shared" si="35"/>
        <v>29.16</v>
      </c>
      <c r="I188" s="152">
        <v>1.89</v>
      </c>
      <c r="J188" s="205">
        <f t="shared" si="36"/>
        <v>27.27</v>
      </c>
      <c r="K188" s="255"/>
    </row>
    <row r="189" ht="19.5" customHeight="1">
      <c r="A189" s="246">
        <v>37016.0</v>
      </c>
      <c r="B189" s="49" t="s">
        <v>811</v>
      </c>
      <c r="C189" s="46" t="s">
        <v>103</v>
      </c>
      <c r="D189" s="39">
        <v>1.0</v>
      </c>
      <c r="E189" s="41">
        <v>3.0</v>
      </c>
      <c r="F189" s="39">
        <v>32.76</v>
      </c>
      <c r="G189" s="40"/>
      <c r="H189" s="40">
        <f t="shared" si="35"/>
        <v>98.28</v>
      </c>
      <c r="I189" s="42">
        <f>3*1.89+4*4.2</f>
        <v>22.47</v>
      </c>
      <c r="J189" s="205">
        <f t="shared" si="36"/>
        <v>75.81</v>
      </c>
      <c r="K189" s="255"/>
    </row>
    <row r="190" ht="19.5" customHeight="1">
      <c r="A190" s="246">
        <v>37016.0</v>
      </c>
      <c r="B190" s="49" t="s">
        <v>812</v>
      </c>
      <c r="C190" s="46" t="s">
        <v>103</v>
      </c>
      <c r="D190" s="39">
        <v>1.0</v>
      </c>
      <c r="E190" s="41">
        <v>3.0</v>
      </c>
      <c r="F190" s="39">
        <v>14.6</v>
      </c>
      <c r="G190" s="40"/>
      <c r="H190" s="40">
        <f t="shared" si="35"/>
        <v>43.8</v>
      </c>
      <c r="I190" s="42">
        <f>1.89</f>
        <v>1.89</v>
      </c>
      <c r="J190" s="205">
        <f t="shared" si="36"/>
        <v>41.91</v>
      </c>
      <c r="K190" s="255"/>
    </row>
    <row r="191" ht="19.5" customHeight="1">
      <c r="A191" s="246">
        <v>37016.0</v>
      </c>
      <c r="B191" s="49" t="s">
        <v>813</v>
      </c>
      <c r="C191" s="46" t="s">
        <v>103</v>
      </c>
      <c r="D191" s="39">
        <v>1.0</v>
      </c>
      <c r="E191" s="41">
        <v>3.0</v>
      </c>
      <c r="F191" s="39">
        <v>5.4</v>
      </c>
      <c r="G191" s="40"/>
      <c r="H191" s="40">
        <f t="shared" si="35"/>
        <v>16.2</v>
      </c>
      <c r="I191" s="152">
        <v>1.89</v>
      </c>
      <c r="J191" s="205">
        <f t="shared" si="36"/>
        <v>14.31</v>
      </c>
      <c r="K191" s="255"/>
    </row>
    <row r="192" ht="19.5" customHeight="1">
      <c r="A192" s="246">
        <v>37016.0</v>
      </c>
      <c r="B192" s="49" t="s">
        <v>814</v>
      </c>
      <c r="C192" s="46" t="s">
        <v>103</v>
      </c>
      <c r="D192" s="39">
        <v>1.0</v>
      </c>
      <c r="E192" s="41">
        <v>4.0</v>
      </c>
      <c r="F192" s="39">
        <v>70.0</v>
      </c>
      <c r="G192" s="40"/>
      <c r="H192" s="40">
        <f t="shared" si="35"/>
        <v>280</v>
      </c>
      <c r="I192" s="42">
        <f>2*4.2+2*1.89</f>
        <v>12.18</v>
      </c>
      <c r="J192" s="205">
        <f t="shared" si="36"/>
        <v>267.82</v>
      </c>
      <c r="K192" s="255"/>
    </row>
    <row r="193" ht="19.5" customHeight="1">
      <c r="A193" s="246">
        <v>37016.0</v>
      </c>
      <c r="B193" s="49" t="s">
        <v>815</v>
      </c>
      <c r="C193" s="46" t="s">
        <v>103</v>
      </c>
      <c r="D193" s="39">
        <v>1.0</v>
      </c>
      <c r="E193" s="41">
        <v>3.0</v>
      </c>
      <c r="F193" s="78">
        <f>11.6*2+25*2</f>
        <v>73.2</v>
      </c>
      <c r="G193" s="40"/>
      <c r="H193" s="40">
        <f t="shared" si="35"/>
        <v>219.6</v>
      </c>
      <c r="I193" s="42"/>
      <c r="J193" s="205">
        <f t="shared" si="36"/>
        <v>219.6</v>
      </c>
      <c r="K193" s="255"/>
    </row>
    <row r="194" ht="19.5" customHeight="1">
      <c r="A194" s="288"/>
      <c r="B194" s="49"/>
      <c r="C194" s="46"/>
      <c r="D194" s="78"/>
      <c r="E194" s="40"/>
      <c r="F194" s="78"/>
      <c r="G194" s="40"/>
      <c r="H194" s="40"/>
      <c r="I194" s="42"/>
      <c r="J194" s="289">
        <f>SUM(J186:J193)</f>
        <v>697.96</v>
      </c>
      <c r="K194" s="255"/>
    </row>
    <row r="195" ht="19.5" customHeight="1">
      <c r="A195" s="246">
        <v>37381.0</v>
      </c>
      <c r="B195" s="49" t="s">
        <v>602</v>
      </c>
      <c r="C195" s="46" t="s">
        <v>103</v>
      </c>
      <c r="D195" s="39">
        <v>1.0</v>
      </c>
      <c r="E195" s="41">
        <v>6.0</v>
      </c>
      <c r="F195" s="78">
        <f>11.75*2+25.3*2</f>
        <v>74.1</v>
      </c>
      <c r="G195" s="40"/>
      <c r="H195" s="40">
        <f t="shared" ref="H195:H198" si="37">D195*E195*F195</f>
        <v>444.6</v>
      </c>
      <c r="I195" s="42">
        <f>4.2*2+1.89</f>
        <v>10.29</v>
      </c>
      <c r="J195" s="205">
        <f t="shared" ref="J195:J198" si="38">H195-I195</f>
        <v>434.31</v>
      </c>
      <c r="K195" s="255"/>
    </row>
    <row r="196" ht="19.5" customHeight="1">
      <c r="A196" s="246">
        <v>37381.0</v>
      </c>
      <c r="B196" s="49" t="s">
        <v>816</v>
      </c>
      <c r="C196" s="46" t="s">
        <v>103</v>
      </c>
      <c r="D196" s="39">
        <v>5.0</v>
      </c>
      <c r="E196" s="41">
        <v>3.0</v>
      </c>
      <c r="F196" s="39">
        <v>1.1</v>
      </c>
      <c r="G196" s="40"/>
      <c r="H196" s="40">
        <f t="shared" si="37"/>
        <v>16.5</v>
      </c>
      <c r="I196" s="42"/>
      <c r="J196" s="205">
        <f t="shared" si="38"/>
        <v>16.5</v>
      </c>
      <c r="K196" s="255"/>
    </row>
    <row r="197" ht="19.5" customHeight="1">
      <c r="A197" s="246">
        <v>37381.0</v>
      </c>
      <c r="B197" s="49" t="s">
        <v>817</v>
      </c>
      <c r="C197" s="46" t="s">
        <v>103</v>
      </c>
      <c r="D197" s="39">
        <v>1.0</v>
      </c>
      <c r="E197" s="41">
        <v>0.9</v>
      </c>
      <c r="F197" s="39">
        <v>25.5</v>
      </c>
      <c r="G197" s="40"/>
      <c r="H197" s="40">
        <f t="shared" si="37"/>
        <v>22.95</v>
      </c>
      <c r="I197" s="42"/>
      <c r="J197" s="205">
        <f t="shared" si="38"/>
        <v>22.95</v>
      </c>
      <c r="K197" s="255"/>
    </row>
    <row r="198" ht="19.5" customHeight="1">
      <c r="A198" s="246">
        <v>37381.0</v>
      </c>
      <c r="B198" s="49" t="s">
        <v>818</v>
      </c>
      <c r="C198" s="46" t="s">
        <v>103</v>
      </c>
      <c r="D198" s="39">
        <v>2.0</v>
      </c>
      <c r="E198" s="41">
        <v>1.1</v>
      </c>
      <c r="F198" s="39">
        <v>10.75</v>
      </c>
      <c r="G198" s="40"/>
      <c r="H198" s="40">
        <f t="shared" si="37"/>
        <v>23.65</v>
      </c>
      <c r="I198" s="42"/>
      <c r="J198" s="205">
        <f t="shared" si="38"/>
        <v>23.65</v>
      </c>
      <c r="K198" s="255"/>
    </row>
    <row r="199" ht="19.5" customHeight="1">
      <c r="A199" s="288"/>
      <c r="B199" s="49"/>
      <c r="C199" s="46" t="s">
        <v>103</v>
      </c>
      <c r="D199" s="78"/>
      <c r="E199" s="40"/>
      <c r="F199" s="78"/>
      <c r="G199" s="40"/>
      <c r="H199" s="40"/>
      <c r="I199" s="42"/>
      <c r="J199" s="290">
        <f>SUM(J195:J198)</f>
        <v>497.41</v>
      </c>
      <c r="K199" s="255"/>
    </row>
    <row r="200" ht="19.5" customHeight="1">
      <c r="A200" s="74"/>
      <c r="B200" s="74" t="s">
        <v>91</v>
      </c>
      <c r="C200" s="74" t="s">
        <v>92</v>
      </c>
      <c r="D200" s="76" t="s">
        <v>93</v>
      </c>
      <c r="E200" s="50" t="s">
        <v>97</v>
      </c>
      <c r="F200" s="53" t="s">
        <v>121</v>
      </c>
      <c r="G200" s="53" t="s">
        <v>198</v>
      </c>
      <c r="H200" s="75" t="s">
        <v>100</v>
      </c>
      <c r="I200" s="75" t="s">
        <v>101</v>
      </c>
      <c r="J200" s="285" t="s">
        <v>95</v>
      </c>
      <c r="K200" s="247" t="s">
        <v>96</v>
      </c>
    </row>
    <row r="201" ht="19.5" customHeight="1">
      <c r="A201" s="246">
        <v>37746.0</v>
      </c>
      <c r="B201" s="49" t="s">
        <v>819</v>
      </c>
      <c r="C201" s="46" t="s">
        <v>103</v>
      </c>
      <c r="D201" s="39">
        <v>1.0</v>
      </c>
      <c r="E201" s="41">
        <v>3.0</v>
      </c>
      <c r="F201" s="39">
        <v>9.72</v>
      </c>
      <c r="G201" s="40"/>
      <c r="H201" s="40">
        <f t="shared" ref="H201:H208" si="39">D201*E201*F201</f>
        <v>29.16</v>
      </c>
      <c r="I201" s="152">
        <v>1.89</v>
      </c>
      <c r="J201" s="205">
        <f t="shared" ref="J201:J208" si="40">H201-I201</f>
        <v>27.27</v>
      </c>
      <c r="K201" s="255"/>
    </row>
    <row r="202" ht="19.5" customHeight="1">
      <c r="A202" s="246">
        <v>37746.0</v>
      </c>
      <c r="B202" s="49" t="s">
        <v>820</v>
      </c>
      <c r="C202" s="46" t="s">
        <v>103</v>
      </c>
      <c r="D202" s="39">
        <v>1.0</v>
      </c>
      <c r="E202" s="41">
        <v>3.0</v>
      </c>
      <c r="F202" s="39">
        <v>8.62</v>
      </c>
      <c r="G202" s="40"/>
      <c r="H202" s="40">
        <f t="shared" si="39"/>
        <v>25.86</v>
      </c>
      <c r="I202" s="152">
        <v>1.89</v>
      </c>
      <c r="J202" s="205">
        <f t="shared" si="40"/>
        <v>23.97</v>
      </c>
      <c r="K202" s="255"/>
    </row>
    <row r="203" ht="19.5" customHeight="1">
      <c r="A203" s="246">
        <v>37746.0</v>
      </c>
      <c r="B203" s="49" t="s">
        <v>821</v>
      </c>
      <c r="C203" s="46" t="s">
        <v>103</v>
      </c>
      <c r="D203" s="39">
        <v>1.0</v>
      </c>
      <c r="E203" s="41">
        <v>3.0</v>
      </c>
      <c r="F203" s="39">
        <v>9.72</v>
      </c>
      <c r="G203" s="40"/>
      <c r="H203" s="40">
        <f t="shared" si="39"/>
        <v>29.16</v>
      </c>
      <c r="I203" s="152">
        <v>1.89</v>
      </c>
      <c r="J203" s="205">
        <f t="shared" si="40"/>
        <v>27.27</v>
      </c>
      <c r="K203" s="255"/>
    </row>
    <row r="204" ht="19.5" customHeight="1">
      <c r="A204" s="246">
        <v>37746.0</v>
      </c>
      <c r="B204" s="49" t="s">
        <v>822</v>
      </c>
      <c r="C204" s="46" t="s">
        <v>103</v>
      </c>
      <c r="D204" s="39">
        <v>1.0</v>
      </c>
      <c r="E204" s="41">
        <v>3.0</v>
      </c>
      <c r="F204" s="39">
        <v>32.76</v>
      </c>
      <c r="G204" s="40"/>
      <c r="H204" s="40">
        <f t="shared" si="39"/>
        <v>98.28</v>
      </c>
      <c r="I204" s="42">
        <f>3*1.89+4*4.2</f>
        <v>22.47</v>
      </c>
      <c r="J204" s="205">
        <f t="shared" si="40"/>
        <v>75.81</v>
      </c>
      <c r="K204" s="255"/>
    </row>
    <row r="205" ht="19.5" customHeight="1">
      <c r="A205" s="246">
        <v>37746.0</v>
      </c>
      <c r="B205" s="49" t="s">
        <v>823</v>
      </c>
      <c r="C205" s="46" t="s">
        <v>103</v>
      </c>
      <c r="D205" s="39">
        <v>1.0</v>
      </c>
      <c r="E205" s="41">
        <v>3.0</v>
      </c>
      <c r="F205" s="39">
        <v>14.6</v>
      </c>
      <c r="G205" s="40"/>
      <c r="H205" s="40">
        <f t="shared" si="39"/>
        <v>43.8</v>
      </c>
      <c r="I205" s="42">
        <f>1.89</f>
        <v>1.89</v>
      </c>
      <c r="J205" s="205">
        <f t="shared" si="40"/>
        <v>41.91</v>
      </c>
      <c r="K205" s="255"/>
    </row>
    <row r="206" ht="19.5" customHeight="1">
      <c r="A206" s="246">
        <v>37746.0</v>
      </c>
      <c r="B206" s="49" t="s">
        <v>824</v>
      </c>
      <c r="C206" s="46" t="s">
        <v>103</v>
      </c>
      <c r="D206" s="39">
        <v>1.0</v>
      </c>
      <c r="E206" s="41">
        <v>3.0</v>
      </c>
      <c r="F206" s="39">
        <v>5.4</v>
      </c>
      <c r="G206" s="40"/>
      <c r="H206" s="40">
        <f t="shared" si="39"/>
        <v>16.2</v>
      </c>
      <c r="I206" s="152">
        <v>1.89</v>
      </c>
      <c r="J206" s="205">
        <f t="shared" si="40"/>
        <v>14.31</v>
      </c>
      <c r="K206" s="255"/>
    </row>
    <row r="207" ht="19.5" customHeight="1">
      <c r="A207" s="246">
        <v>37746.0</v>
      </c>
      <c r="B207" s="49" t="s">
        <v>825</v>
      </c>
      <c r="C207" s="46" t="s">
        <v>103</v>
      </c>
      <c r="D207" s="39">
        <v>1.0</v>
      </c>
      <c r="E207" s="41">
        <v>4.0</v>
      </c>
      <c r="F207" s="39">
        <v>70.0</v>
      </c>
      <c r="G207" s="40"/>
      <c r="H207" s="40">
        <f t="shared" si="39"/>
        <v>280</v>
      </c>
      <c r="I207" s="42">
        <f>2*4.2+2*1.89</f>
        <v>12.18</v>
      </c>
      <c r="J207" s="205">
        <f t="shared" si="40"/>
        <v>267.82</v>
      </c>
      <c r="K207" s="255"/>
    </row>
    <row r="208" ht="19.5" customHeight="1">
      <c r="A208" s="246">
        <v>37746.0</v>
      </c>
      <c r="B208" s="49" t="s">
        <v>826</v>
      </c>
      <c r="C208" s="46" t="s">
        <v>103</v>
      </c>
      <c r="D208" s="39">
        <v>1.0</v>
      </c>
      <c r="E208" s="41">
        <v>3.0</v>
      </c>
      <c r="F208" s="78">
        <f>11.6*2+25*2</f>
        <v>73.2</v>
      </c>
      <c r="G208" s="40"/>
      <c r="H208" s="40">
        <f t="shared" si="39"/>
        <v>219.6</v>
      </c>
      <c r="I208" s="42"/>
      <c r="J208" s="205">
        <f t="shared" si="40"/>
        <v>219.6</v>
      </c>
      <c r="K208" s="255"/>
    </row>
    <row r="209" ht="19.5" customHeight="1">
      <c r="A209" s="288"/>
      <c r="B209" s="49"/>
      <c r="C209" s="46"/>
      <c r="D209" s="78"/>
      <c r="E209" s="40"/>
      <c r="F209" s="78"/>
      <c r="G209" s="40"/>
      <c r="H209" s="40"/>
      <c r="I209" s="42"/>
      <c r="J209" s="289">
        <f>SUM(J201:J208)</f>
        <v>697.96</v>
      </c>
      <c r="K209" s="251"/>
    </row>
    <row r="210" ht="19.5" customHeight="1">
      <c r="A210" s="246">
        <v>38112.0</v>
      </c>
      <c r="B210" s="49" t="s">
        <v>614</v>
      </c>
      <c r="C210" s="46" t="s">
        <v>103</v>
      </c>
      <c r="D210" s="39">
        <v>1.0</v>
      </c>
      <c r="E210" s="41">
        <v>6.0</v>
      </c>
      <c r="F210" s="78">
        <f>11.75*2+25.3*2</f>
        <v>74.1</v>
      </c>
      <c r="G210" s="40"/>
      <c r="H210" s="40">
        <f t="shared" ref="H210:H213" si="41">D210*E210*F210</f>
        <v>444.6</v>
      </c>
      <c r="I210" s="42">
        <f>4.2*2+1.89</f>
        <v>10.29</v>
      </c>
      <c r="J210" s="205">
        <f t="shared" ref="J210:J213" si="42">H210-I210</f>
        <v>434.31</v>
      </c>
      <c r="K210" s="251"/>
    </row>
    <row r="211" ht="19.5" customHeight="1">
      <c r="A211" s="246">
        <v>38112.0</v>
      </c>
      <c r="B211" s="49" t="s">
        <v>827</v>
      </c>
      <c r="C211" s="46" t="s">
        <v>103</v>
      </c>
      <c r="D211" s="39">
        <v>5.0</v>
      </c>
      <c r="E211" s="41">
        <v>3.0</v>
      </c>
      <c r="F211" s="39">
        <v>1.1</v>
      </c>
      <c r="G211" s="40"/>
      <c r="H211" s="40">
        <f t="shared" si="41"/>
        <v>16.5</v>
      </c>
      <c r="I211" s="42"/>
      <c r="J211" s="205">
        <f t="shared" si="42"/>
        <v>16.5</v>
      </c>
      <c r="K211" s="251"/>
    </row>
    <row r="212" ht="19.5" customHeight="1">
      <c r="A212" s="246">
        <v>38112.0</v>
      </c>
      <c r="B212" s="49" t="s">
        <v>828</v>
      </c>
      <c r="C212" s="46" t="s">
        <v>103</v>
      </c>
      <c r="D212" s="39">
        <v>1.0</v>
      </c>
      <c r="E212" s="41">
        <v>0.9</v>
      </c>
      <c r="F212" s="39">
        <v>25.5</v>
      </c>
      <c r="G212" s="40"/>
      <c r="H212" s="40">
        <f t="shared" si="41"/>
        <v>22.95</v>
      </c>
      <c r="I212" s="42"/>
      <c r="J212" s="205">
        <f t="shared" si="42"/>
        <v>22.95</v>
      </c>
      <c r="K212" s="251"/>
    </row>
    <row r="213" ht="19.5" customHeight="1">
      <c r="A213" s="246">
        <v>38112.0</v>
      </c>
      <c r="B213" s="49" t="s">
        <v>829</v>
      </c>
      <c r="C213" s="46" t="s">
        <v>103</v>
      </c>
      <c r="D213" s="39">
        <v>2.0</v>
      </c>
      <c r="E213" s="41">
        <v>1.1</v>
      </c>
      <c r="F213" s="39">
        <v>10.75</v>
      </c>
      <c r="G213" s="40"/>
      <c r="H213" s="40">
        <f t="shared" si="41"/>
        <v>23.65</v>
      </c>
      <c r="I213" s="42"/>
      <c r="J213" s="205">
        <f t="shared" si="42"/>
        <v>23.65</v>
      </c>
      <c r="K213" s="251"/>
    </row>
    <row r="214" ht="19.5" customHeight="1">
      <c r="A214" s="288"/>
      <c r="B214" s="49"/>
      <c r="C214" s="46" t="s">
        <v>103</v>
      </c>
      <c r="D214" s="78"/>
      <c r="E214" s="40"/>
      <c r="F214" s="78"/>
      <c r="G214" s="40"/>
      <c r="H214" s="40"/>
      <c r="I214" s="42"/>
      <c r="J214" s="290">
        <f>SUM(J210:J213)</f>
        <v>497.41</v>
      </c>
      <c r="K214" s="251"/>
    </row>
    <row r="215" ht="19.5" customHeight="1">
      <c r="A215" s="74" t="s">
        <v>1</v>
      </c>
      <c r="B215" s="74" t="s">
        <v>91</v>
      </c>
      <c r="C215" s="74" t="s">
        <v>92</v>
      </c>
      <c r="D215" s="76" t="s">
        <v>93</v>
      </c>
      <c r="E215" s="50" t="s">
        <v>97</v>
      </c>
      <c r="F215" s="53" t="s">
        <v>121</v>
      </c>
      <c r="G215" s="53" t="s">
        <v>198</v>
      </c>
      <c r="H215" s="75" t="s">
        <v>100</v>
      </c>
      <c r="I215" s="75" t="s">
        <v>101</v>
      </c>
      <c r="J215" s="76" t="s">
        <v>95</v>
      </c>
      <c r="K215" s="247" t="s">
        <v>96</v>
      </c>
    </row>
    <row r="216" ht="19.5" customHeight="1">
      <c r="A216" s="291" t="s">
        <v>830</v>
      </c>
      <c r="B216" s="49" t="s">
        <v>831</v>
      </c>
      <c r="C216" s="46" t="s">
        <v>103</v>
      </c>
      <c r="D216" s="39">
        <v>1.0</v>
      </c>
      <c r="E216" s="41">
        <v>3.0</v>
      </c>
      <c r="F216" s="39">
        <v>32.76</v>
      </c>
      <c r="G216" s="40"/>
      <c r="H216" s="40">
        <f t="shared" ref="H216:H218" si="43">D216*E216*F216</f>
        <v>98.28</v>
      </c>
      <c r="I216" s="42">
        <f>3*1.89+4*4.2</f>
        <v>22.47</v>
      </c>
      <c r="J216" s="40">
        <f t="shared" ref="J216:J218" si="44">H216-I216</f>
        <v>75.81</v>
      </c>
      <c r="K216" s="251"/>
    </row>
    <row r="217" ht="19.5" customHeight="1">
      <c r="A217" s="291" t="s">
        <v>830</v>
      </c>
      <c r="B217" s="49" t="s">
        <v>832</v>
      </c>
      <c r="C217" s="46" t="s">
        <v>103</v>
      </c>
      <c r="D217" s="39">
        <v>1.0</v>
      </c>
      <c r="E217" s="41">
        <v>3.0</v>
      </c>
      <c r="F217" s="39">
        <v>14.6</v>
      </c>
      <c r="G217" s="40"/>
      <c r="H217" s="40">
        <f t="shared" si="43"/>
        <v>43.8</v>
      </c>
      <c r="I217" s="42">
        <f>1.89</f>
        <v>1.89</v>
      </c>
      <c r="J217" s="40">
        <f t="shared" si="44"/>
        <v>41.91</v>
      </c>
      <c r="K217" s="251"/>
    </row>
    <row r="218" ht="19.5" customHeight="1">
      <c r="A218" s="291" t="s">
        <v>830</v>
      </c>
      <c r="B218" s="49" t="s">
        <v>833</v>
      </c>
      <c r="C218" s="46" t="s">
        <v>103</v>
      </c>
      <c r="D218" s="39">
        <v>1.0</v>
      </c>
      <c r="E218" s="41">
        <v>4.0</v>
      </c>
      <c r="F218" s="39">
        <v>70.0</v>
      </c>
      <c r="G218" s="40"/>
      <c r="H218" s="40">
        <f t="shared" si="43"/>
        <v>280</v>
      </c>
      <c r="I218" s="42">
        <f>2*4.2+2*1.89</f>
        <v>12.18</v>
      </c>
      <c r="J218" s="40">
        <f t="shared" si="44"/>
        <v>267.82</v>
      </c>
      <c r="K218" s="255" t="s">
        <v>95</v>
      </c>
    </row>
    <row r="219" ht="19.5" customHeight="1">
      <c r="A219" s="291" t="s">
        <v>830</v>
      </c>
      <c r="B219" s="195" t="s">
        <v>834</v>
      </c>
      <c r="C219" s="46" t="s">
        <v>103</v>
      </c>
      <c r="D219" s="279">
        <v>2.0</v>
      </c>
      <c r="E219" s="268">
        <v>3.0</v>
      </c>
      <c r="F219" s="282">
        <v>7.75</v>
      </c>
      <c r="G219" s="283"/>
      <c r="H219" s="283">
        <f>F219*E219*D219</f>
        <v>46.5</v>
      </c>
      <c r="I219" s="284"/>
      <c r="J219" s="205">
        <f>H219</f>
        <v>46.5</v>
      </c>
      <c r="K219" s="235"/>
      <c r="L219" s="185"/>
      <c r="M219" s="185"/>
      <c r="N219" s="185"/>
      <c r="O219" s="185"/>
      <c r="P219" s="185"/>
      <c r="Q219" s="185"/>
      <c r="R219" s="185"/>
      <c r="S219" s="185"/>
      <c r="T219" s="185"/>
      <c r="U219" s="185"/>
      <c r="V219" s="185"/>
      <c r="W219" s="185"/>
      <c r="X219" s="185"/>
      <c r="Y219" s="185"/>
      <c r="Z219" s="185"/>
    </row>
    <row r="220" ht="19.5" customHeight="1">
      <c r="A220" s="79"/>
      <c r="B220" s="114"/>
      <c r="C220" s="79"/>
      <c r="D220" s="115"/>
      <c r="E220" s="41"/>
      <c r="F220" s="39"/>
      <c r="G220" s="40"/>
      <c r="H220" s="59"/>
      <c r="I220" s="82"/>
      <c r="J220" s="290">
        <f>SUM(J216:J219)</f>
        <v>432.04</v>
      </c>
      <c r="K220" s="255"/>
    </row>
    <row r="221" ht="19.5" customHeight="1">
      <c r="A221" s="74" t="s">
        <v>1</v>
      </c>
      <c r="B221" s="74" t="s">
        <v>91</v>
      </c>
      <c r="C221" s="74" t="s">
        <v>92</v>
      </c>
      <c r="D221" s="76" t="s">
        <v>93</v>
      </c>
      <c r="E221" s="50" t="s">
        <v>97</v>
      </c>
      <c r="F221" s="53" t="s">
        <v>121</v>
      </c>
      <c r="G221" s="53" t="s">
        <v>99</v>
      </c>
      <c r="H221" s="75" t="s">
        <v>100</v>
      </c>
      <c r="I221" s="75" t="s">
        <v>101</v>
      </c>
      <c r="J221" s="76" t="s">
        <v>95</v>
      </c>
      <c r="K221" s="247" t="s">
        <v>96</v>
      </c>
    </row>
    <row r="222" ht="19.5" customHeight="1">
      <c r="A222" s="246">
        <v>38477.0</v>
      </c>
      <c r="B222" s="49" t="s">
        <v>835</v>
      </c>
      <c r="C222" s="46" t="s">
        <v>103</v>
      </c>
      <c r="D222" s="39">
        <v>1.0</v>
      </c>
      <c r="E222" s="41">
        <v>3.0</v>
      </c>
      <c r="F222" s="39">
        <v>9.72</v>
      </c>
      <c r="G222" s="40"/>
      <c r="H222" s="40">
        <f t="shared" ref="H222:H225" si="45">D222*E222*F222</f>
        <v>29.16</v>
      </c>
      <c r="I222" s="152">
        <v>1.89</v>
      </c>
      <c r="J222" s="205">
        <f t="shared" ref="J222:J225" si="46">H222-I222</f>
        <v>27.27</v>
      </c>
      <c r="K222" s="251"/>
    </row>
    <row r="223" ht="19.5" customHeight="1">
      <c r="A223" s="246">
        <v>38477.0</v>
      </c>
      <c r="B223" s="49" t="s">
        <v>836</v>
      </c>
      <c r="C223" s="46" t="s">
        <v>103</v>
      </c>
      <c r="D223" s="39">
        <v>1.0</v>
      </c>
      <c r="E223" s="41">
        <v>3.0</v>
      </c>
      <c r="F223" s="39">
        <v>8.62</v>
      </c>
      <c r="G223" s="40"/>
      <c r="H223" s="40">
        <f t="shared" si="45"/>
        <v>25.86</v>
      </c>
      <c r="I223" s="152">
        <v>1.89</v>
      </c>
      <c r="J223" s="205">
        <f t="shared" si="46"/>
        <v>23.97</v>
      </c>
      <c r="K223" s="251"/>
    </row>
    <row r="224" ht="19.5" customHeight="1">
      <c r="A224" s="246">
        <v>38477.0</v>
      </c>
      <c r="B224" s="49" t="s">
        <v>837</v>
      </c>
      <c r="C224" s="46" t="s">
        <v>103</v>
      </c>
      <c r="D224" s="39">
        <v>1.0</v>
      </c>
      <c r="E224" s="41">
        <v>3.0</v>
      </c>
      <c r="F224" s="39">
        <v>9.72</v>
      </c>
      <c r="G224" s="40"/>
      <c r="H224" s="40">
        <f t="shared" si="45"/>
        <v>29.16</v>
      </c>
      <c r="I224" s="152">
        <v>1.89</v>
      </c>
      <c r="J224" s="205">
        <f t="shared" si="46"/>
        <v>27.27</v>
      </c>
      <c r="K224" s="255"/>
    </row>
    <row r="225" ht="19.5" customHeight="1">
      <c r="A225" s="246">
        <v>38477.0</v>
      </c>
      <c r="B225" s="49" t="s">
        <v>838</v>
      </c>
      <c r="C225" s="46" t="s">
        <v>103</v>
      </c>
      <c r="D225" s="39">
        <v>1.0</v>
      </c>
      <c r="E225" s="41">
        <v>3.0</v>
      </c>
      <c r="F225" s="39">
        <v>5.4</v>
      </c>
      <c r="G225" s="40"/>
      <c r="H225" s="40">
        <f t="shared" si="45"/>
        <v>16.2</v>
      </c>
      <c r="I225" s="152">
        <v>1.89</v>
      </c>
      <c r="J225" s="40">
        <f t="shared" si="46"/>
        <v>14.31</v>
      </c>
      <c r="K225" s="255"/>
    </row>
    <row r="226" ht="19.5" customHeight="1">
      <c r="A226" s="246"/>
      <c r="B226" s="37"/>
      <c r="C226" s="46"/>
      <c r="D226" s="78"/>
      <c r="E226" s="37"/>
      <c r="F226" s="78"/>
      <c r="G226" s="40"/>
      <c r="H226" s="40"/>
      <c r="I226" s="42"/>
      <c r="J226" s="290">
        <f>SUM(J222:J225)</f>
        <v>92.82</v>
      </c>
      <c r="K226" s="255"/>
    </row>
    <row r="227" ht="19.5" customHeight="1">
      <c r="A227" s="246">
        <v>39207.0</v>
      </c>
      <c r="B227" s="49" t="s">
        <v>839</v>
      </c>
      <c r="C227" s="46" t="s">
        <v>103</v>
      </c>
      <c r="D227" s="39">
        <v>1.0</v>
      </c>
      <c r="E227" s="41">
        <v>2.35</v>
      </c>
      <c r="F227" s="78">
        <f>11.75*2+25.3*2</f>
        <v>74.1</v>
      </c>
      <c r="G227" s="40"/>
      <c r="H227" s="40">
        <f t="shared" ref="H227:H229" si="47">D227*E227*F227</f>
        <v>174.135</v>
      </c>
      <c r="I227" s="42"/>
      <c r="J227" s="205">
        <f t="shared" ref="J227:J229" si="48">H227-I227</f>
        <v>174.135</v>
      </c>
      <c r="K227" s="251"/>
    </row>
    <row r="228" ht="19.5" customHeight="1">
      <c r="A228" s="246">
        <v>39207.0</v>
      </c>
      <c r="B228" s="49" t="s">
        <v>839</v>
      </c>
      <c r="C228" s="46" t="s">
        <v>103</v>
      </c>
      <c r="D228" s="39">
        <v>1.0</v>
      </c>
      <c r="E228" s="41">
        <f>6-E227</f>
        <v>3.65</v>
      </c>
      <c r="F228" s="39">
        <v>19.35</v>
      </c>
      <c r="G228" s="40"/>
      <c r="H228" s="40">
        <f t="shared" si="47"/>
        <v>70.6275</v>
      </c>
      <c r="I228" s="42"/>
      <c r="J228" s="205">
        <f t="shared" si="48"/>
        <v>70.6275</v>
      </c>
      <c r="K228" s="255"/>
    </row>
    <row r="229" ht="19.5" customHeight="1">
      <c r="A229" s="246">
        <v>39207.0</v>
      </c>
      <c r="B229" s="49" t="s">
        <v>840</v>
      </c>
      <c r="C229" s="46" t="s">
        <v>103</v>
      </c>
      <c r="D229" s="39">
        <v>5.0</v>
      </c>
      <c r="E229" s="41">
        <v>3.0</v>
      </c>
      <c r="F229" s="39">
        <v>1.1</v>
      </c>
      <c r="G229" s="40"/>
      <c r="H229" s="40">
        <f t="shared" si="47"/>
        <v>16.5</v>
      </c>
      <c r="I229" s="42"/>
      <c r="J229" s="205">
        <f t="shared" si="48"/>
        <v>16.5</v>
      </c>
      <c r="K229" s="255"/>
    </row>
    <row r="230" ht="19.5" customHeight="1">
      <c r="A230" s="246"/>
      <c r="B230" s="49"/>
      <c r="C230" s="46"/>
      <c r="D230" s="39"/>
      <c r="E230" s="41"/>
      <c r="F230" s="39"/>
      <c r="G230" s="40"/>
      <c r="H230" s="40"/>
      <c r="I230" s="82"/>
      <c r="J230" s="290">
        <f>SUM(J227:J229)</f>
        <v>261.2625</v>
      </c>
      <c r="K230" s="255"/>
    </row>
    <row r="231" ht="19.5" customHeight="1">
      <c r="A231" s="246">
        <v>38842.0</v>
      </c>
      <c r="B231" s="49" t="s">
        <v>841</v>
      </c>
      <c r="C231" s="46" t="s">
        <v>103</v>
      </c>
      <c r="D231" s="39">
        <v>1.0</v>
      </c>
      <c r="E231" s="41">
        <v>0.9</v>
      </c>
      <c r="F231" s="39">
        <v>25.5</v>
      </c>
      <c r="G231" s="40"/>
      <c r="H231" s="40">
        <f t="shared" ref="H231:H233" si="49">D231*E231*F231</f>
        <v>22.95</v>
      </c>
      <c r="I231" s="93"/>
      <c r="J231" s="40">
        <f t="shared" ref="J231:J233" si="50">H231-I231</f>
        <v>22.95</v>
      </c>
      <c r="K231" s="255"/>
    </row>
    <row r="232" ht="19.5" customHeight="1">
      <c r="A232" s="246">
        <v>38842.0</v>
      </c>
      <c r="B232" s="49" t="s">
        <v>842</v>
      </c>
      <c r="C232" s="79" t="s">
        <v>103</v>
      </c>
      <c r="D232" s="39">
        <v>2.0</v>
      </c>
      <c r="E232" s="41">
        <v>1.1</v>
      </c>
      <c r="F232" s="39">
        <v>10.75</v>
      </c>
      <c r="G232" s="40"/>
      <c r="H232" s="40">
        <f t="shared" si="49"/>
        <v>23.65</v>
      </c>
      <c r="I232" s="93"/>
      <c r="J232" s="40">
        <f t="shared" si="50"/>
        <v>23.65</v>
      </c>
      <c r="K232" s="255"/>
    </row>
    <row r="233" ht="19.5" customHeight="1">
      <c r="A233" s="246">
        <v>38842.0</v>
      </c>
      <c r="B233" s="49" t="s">
        <v>614</v>
      </c>
      <c r="C233" s="46" t="s">
        <v>103</v>
      </c>
      <c r="D233" s="39">
        <v>1.0</v>
      </c>
      <c r="E233" s="41">
        <v>3.65</v>
      </c>
      <c r="F233" s="78">
        <f>(11.75*2+25.3*2)-F228</f>
        <v>54.75</v>
      </c>
      <c r="G233" s="40"/>
      <c r="H233" s="40">
        <f t="shared" si="49"/>
        <v>199.8375</v>
      </c>
      <c r="I233" s="93"/>
      <c r="J233" s="40">
        <f t="shared" si="50"/>
        <v>199.8375</v>
      </c>
      <c r="K233" s="255"/>
    </row>
    <row r="234" ht="19.5" customHeight="1">
      <c r="A234" s="246"/>
      <c r="B234" s="114"/>
      <c r="C234" s="79"/>
      <c r="D234" s="115"/>
      <c r="E234" s="41"/>
      <c r="F234" s="39"/>
      <c r="G234" s="40"/>
      <c r="H234" s="59"/>
      <c r="I234" s="93"/>
      <c r="J234" s="133">
        <f>SUM(J231:J233)</f>
        <v>246.4375</v>
      </c>
      <c r="K234" s="255"/>
    </row>
    <row r="235" ht="19.5" customHeight="1">
      <c r="A235" s="74" t="s">
        <v>1</v>
      </c>
      <c r="B235" s="74" t="s">
        <v>91</v>
      </c>
      <c r="C235" s="74" t="s">
        <v>92</v>
      </c>
      <c r="D235" s="76" t="s">
        <v>93</v>
      </c>
      <c r="E235" s="50" t="s">
        <v>97</v>
      </c>
      <c r="F235" s="53" t="s">
        <v>121</v>
      </c>
      <c r="G235" s="52" t="s">
        <v>632</v>
      </c>
      <c r="H235" s="75" t="s">
        <v>100</v>
      </c>
      <c r="I235" s="75" t="s">
        <v>101</v>
      </c>
      <c r="J235" s="76" t="s">
        <v>95</v>
      </c>
      <c r="K235" s="247" t="s">
        <v>96</v>
      </c>
    </row>
    <row r="236" ht="19.5" customHeight="1">
      <c r="A236" s="292">
        <v>37869.0</v>
      </c>
      <c r="B236" s="49" t="s">
        <v>843</v>
      </c>
      <c r="C236" s="46" t="s">
        <v>103</v>
      </c>
      <c r="D236" s="39">
        <v>3.0</v>
      </c>
      <c r="E236" s="49">
        <v>1.65</v>
      </c>
      <c r="F236" s="39">
        <v>0.8</v>
      </c>
      <c r="G236" s="41"/>
      <c r="H236" s="40">
        <f t="shared" ref="H236:H238" si="51">D236*E236*F236</f>
        <v>3.96</v>
      </c>
      <c r="I236" s="42"/>
      <c r="J236" s="168"/>
      <c r="K236" s="251"/>
    </row>
    <row r="237" ht="19.5" customHeight="1">
      <c r="A237" s="292">
        <v>37869.0</v>
      </c>
      <c r="B237" s="49" t="s">
        <v>844</v>
      </c>
      <c r="C237" s="46" t="s">
        <v>103</v>
      </c>
      <c r="D237" s="39">
        <v>4.0</v>
      </c>
      <c r="E237" s="49">
        <v>2.1</v>
      </c>
      <c r="F237" s="39">
        <v>0.9</v>
      </c>
      <c r="G237" s="41"/>
      <c r="H237" s="40">
        <f t="shared" si="51"/>
        <v>7.56</v>
      </c>
      <c r="I237" s="42"/>
      <c r="J237" s="168"/>
      <c r="K237" s="251"/>
    </row>
    <row r="238" ht="19.5" customHeight="1">
      <c r="A238" s="292">
        <v>37869.0</v>
      </c>
      <c r="B238" s="49" t="s">
        <v>845</v>
      </c>
      <c r="C238" s="46" t="s">
        <v>103</v>
      </c>
      <c r="D238" s="39">
        <v>1.0</v>
      </c>
      <c r="E238" s="49">
        <v>2.1</v>
      </c>
      <c r="F238" s="39">
        <v>0.9</v>
      </c>
      <c r="G238" s="41"/>
      <c r="H238" s="40">
        <f t="shared" si="51"/>
        <v>1.89</v>
      </c>
      <c r="I238" s="42"/>
      <c r="J238" s="64">
        <f>SUM(H236:H238)</f>
        <v>13.41</v>
      </c>
      <c r="K238" s="251"/>
    </row>
    <row r="239" ht="19.5" customHeight="1">
      <c r="A239" s="292">
        <v>38235.0</v>
      </c>
      <c r="B239" s="49" t="s">
        <v>846</v>
      </c>
      <c r="C239" s="38" t="s">
        <v>92</v>
      </c>
      <c r="D239" s="39">
        <v>5.0</v>
      </c>
      <c r="E239" s="49"/>
      <c r="F239" s="39"/>
      <c r="G239" s="41"/>
      <c r="H239" s="40"/>
      <c r="I239" s="42"/>
      <c r="J239" s="64">
        <f t="shared" ref="J239:J240" si="52">D239</f>
        <v>5</v>
      </c>
      <c r="K239" s="251"/>
    </row>
    <row r="240" ht="19.5" customHeight="1">
      <c r="A240" s="292">
        <v>38600.0</v>
      </c>
      <c r="B240" s="49" t="s">
        <v>847</v>
      </c>
      <c r="C240" s="38" t="s">
        <v>92</v>
      </c>
      <c r="D240" s="39">
        <v>1.0</v>
      </c>
      <c r="E240" s="49"/>
      <c r="F240" s="39"/>
      <c r="G240" s="41"/>
      <c r="H240" s="40"/>
      <c r="I240" s="42"/>
      <c r="J240" s="64">
        <f t="shared" si="52"/>
        <v>1</v>
      </c>
      <c r="K240" s="251"/>
    </row>
    <row r="241" ht="19.5" customHeight="1">
      <c r="A241" s="293"/>
      <c r="B241" s="37"/>
      <c r="C241" s="46"/>
      <c r="D241" s="78"/>
      <c r="E241" s="37"/>
      <c r="F241" s="78"/>
      <c r="G241" s="41"/>
      <c r="H241" s="40"/>
      <c r="I241" s="42"/>
      <c r="J241" s="294"/>
      <c r="K241" s="251"/>
    </row>
    <row r="242" ht="19.5" customHeight="1">
      <c r="A242" s="292">
        <v>37139.0</v>
      </c>
      <c r="B242" s="49" t="s">
        <v>848</v>
      </c>
      <c r="C242" s="46" t="s">
        <v>103</v>
      </c>
      <c r="D242" s="39">
        <v>4.0</v>
      </c>
      <c r="E242" s="49">
        <v>0.5</v>
      </c>
      <c r="F242" s="39">
        <v>0.62</v>
      </c>
      <c r="G242" s="41">
        <f t="shared" ref="G242:G244" si="53">(E242+F242)*2</f>
        <v>2.24</v>
      </c>
      <c r="H242" s="40">
        <f t="shared" ref="H242:H244" si="54">D242*E242*F242</f>
        <v>1.24</v>
      </c>
      <c r="I242" s="42"/>
      <c r="J242" s="64">
        <f>H242</f>
        <v>1.24</v>
      </c>
      <c r="K242" s="251"/>
    </row>
    <row r="243" ht="19.5" customHeight="1">
      <c r="A243" s="292">
        <v>37504.0</v>
      </c>
      <c r="B243" s="49" t="s">
        <v>849</v>
      </c>
      <c r="C243" s="46" t="s">
        <v>103</v>
      </c>
      <c r="D243" s="39">
        <v>6.0</v>
      </c>
      <c r="E243" s="49">
        <v>0.5</v>
      </c>
      <c r="F243" s="39">
        <v>2.0</v>
      </c>
      <c r="G243" s="41">
        <f t="shared" si="53"/>
        <v>5</v>
      </c>
      <c r="H243" s="40">
        <f t="shared" si="54"/>
        <v>6</v>
      </c>
      <c r="I243" s="42"/>
      <c r="J243" s="168"/>
      <c r="K243" s="251"/>
    </row>
    <row r="244" ht="19.5" customHeight="1">
      <c r="A244" s="292">
        <v>37504.0</v>
      </c>
      <c r="B244" s="49" t="s">
        <v>850</v>
      </c>
      <c r="C244" s="46" t="s">
        <v>103</v>
      </c>
      <c r="D244" s="39">
        <v>1.0</v>
      </c>
      <c r="E244" s="49">
        <v>1.1</v>
      </c>
      <c r="F244" s="39">
        <v>3.15</v>
      </c>
      <c r="G244" s="41">
        <f t="shared" si="53"/>
        <v>8.5</v>
      </c>
      <c r="H244" s="40">
        <f t="shared" si="54"/>
        <v>3.465</v>
      </c>
      <c r="I244" s="42"/>
      <c r="J244" s="64">
        <f>SUM(H243:H244)</f>
        <v>9.465</v>
      </c>
      <c r="K244" s="251"/>
    </row>
    <row r="245" ht="19.5" customHeight="1">
      <c r="A245" s="293"/>
      <c r="B245" s="37"/>
      <c r="C245" s="46"/>
      <c r="D245" s="78"/>
      <c r="E245" s="37"/>
      <c r="F245" s="78"/>
      <c r="G245" s="40"/>
      <c r="H245" s="40"/>
      <c r="I245" s="42"/>
      <c r="J245" s="168"/>
      <c r="K245" s="251"/>
    </row>
    <row r="246" ht="19.5" customHeight="1">
      <c r="A246" s="292">
        <v>38965.0</v>
      </c>
      <c r="B246" s="114" t="s">
        <v>636</v>
      </c>
      <c r="C246" s="83" t="s">
        <v>108</v>
      </c>
      <c r="D246" s="122"/>
      <c r="E246" s="37"/>
      <c r="F246" s="78"/>
      <c r="G246" s="40">
        <f>SUM(G242:G244)</f>
        <v>15.74</v>
      </c>
      <c r="H246" s="59"/>
      <c r="I246" s="82"/>
      <c r="J246" s="64">
        <f>G246</f>
        <v>15.74</v>
      </c>
      <c r="K246" s="255"/>
    </row>
    <row r="247" ht="19.5" customHeight="1">
      <c r="A247" s="295"/>
      <c r="B247" s="296"/>
      <c r="C247" s="297"/>
      <c r="D247" s="238"/>
      <c r="E247" s="298"/>
      <c r="F247" s="240"/>
      <c r="G247" s="142"/>
      <c r="H247" s="299"/>
      <c r="I247" s="299"/>
      <c r="J247" s="257"/>
      <c r="K247" s="235"/>
      <c r="L247" s="185"/>
      <c r="M247" s="185"/>
      <c r="N247" s="185"/>
      <c r="O247" s="185"/>
      <c r="P247" s="185"/>
      <c r="Q247" s="185"/>
      <c r="R247" s="185"/>
      <c r="S247" s="185"/>
      <c r="T247" s="185"/>
      <c r="U247" s="185"/>
      <c r="V247" s="185"/>
      <c r="W247" s="185"/>
      <c r="X247" s="185"/>
      <c r="Y247" s="185"/>
      <c r="Z247" s="185"/>
    </row>
    <row r="248" ht="19.5" customHeight="1">
      <c r="A248" s="300">
        <v>38781.0</v>
      </c>
      <c r="B248" s="114" t="s">
        <v>851</v>
      </c>
      <c r="C248" s="83"/>
      <c r="D248" s="122"/>
      <c r="E248" s="37"/>
      <c r="F248" s="78"/>
      <c r="G248" s="40"/>
      <c r="H248" s="59"/>
      <c r="I248" s="82"/>
      <c r="J248" s="64">
        <f>SUM(J249:J251)</f>
        <v>24.83</v>
      </c>
      <c r="K248" s="255"/>
    </row>
    <row r="249" ht="19.5" customHeight="1">
      <c r="A249" s="300">
        <v>38416.0</v>
      </c>
      <c r="B249" s="114" t="s">
        <v>231</v>
      </c>
      <c r="C249" s="83" t="s">
        <v>108</v>
      </c>
      <c r="D249" s="39">
        <v>4.0</v>
      </c>
      <c r="E249" s="37"/>
      <c r="F249" s="39">
        <f>0.62+0.4</f>
        <v>1.02</v>
      </c>
      <c r="G249" s="40"/>
      <c r="H249" s="59"/>
      <c r="I249" s="82"/>
      <c r="J249" s="301">
        <f t="shared" ref="J249:J255" si="55">D249*F249</f>
        <v>4.08</v>
      </c>
      <c r="K249" s="255"/>
    </row>
    <row r="250" ht="19.5" customHeight="1">
      <c r="A250" s="300">
        <v>38416.0</v>
      </c>
      <c r="B250" s="114" t="s">
        <v>232</v>
      </c>
      <c r="C250" s="83" t="s">
        <v>108</v>
      </c>
      <c r="D250" s="39">
        <v>6.0</v>
      </c>
      <c r="E250" s="37"/>
      <c r="F250" s="39">
        <f>2+0.8</f>
        <v>2.8</v>
      </c>
      <c r="G250" s="40"/>
      <c r="H250" s="59"/>
      <c r="I250" s="82"/>
      <c r="J250" s="301">
        <f t="shared" si="55"/>
        <v>16.8</v>
      </c>
      <c r="K250" s="255"/>
    </row>
    <row r="251" ht="19.5" customHeight="1">
      <c r="A251" s="300">
        <v>38416.0</v>
      </c>
      <c r="B251" s="114" t="s">
        <v>233</v>
      </c>
      <c r="C251" s="83" t="s">
        <v>108</v>
      </c>
      <c r="D251" s="39">
        <v>1.0</v>
      </c>
      <c r="E251" s="37"/>
      <c r="F251" s="39">
        <f>3.15+0.8</f>
        <v>3.95</v>
      </c>
      <c r="G251" s="40"/>
      <c r="H251" s="59"/>
      <c r="I251" s="82"/>
      <c r="J251" s="301">
        <f t="shared" si="55"/>
        <v>3.95</v>
      </c>
      <c r="K251" s="255"/>
    </row>
    <row r="252" ht="19.5" customHeight="1">
      <c r="A252" s="300">
        <v>38416.0</v>
      </c>
      <c r="B252" s="114" t="s">
        <v>227</v>
      </c>
      <c r="C252" s="83" t="s">
        <v>108</v>
      </c>
      <c r="D252" s="39">
        <v>3.0</v>
      </c>
      <c r="E252" s="37"/>
      <c r="F252" s="39">
        <f>0.8+0.8</f>
        <v>1.6</v>
      </c>
      <c r="G252" s="40"/>
      <c r="H252" s="59"/>
      <c r="I252" s="82"/>
      <c r="J252" s="301">
        <f t="shared" si="55"/>
        <v>4.8</v>
      </c>
      <c r="K252" s="255"/>
    </row>
    <row r="253" ht="19.5" customHeight="1">
      <c r="A253" s="300">
        <v>38416.0</v>
      </c>
      <c r="B253" s="114" t="s">
        <v>852</v>
      </c>
      <c r="C253" s="83" t="s">
        <v>108</v>
      </c>
      <c r="D253" s="39">
        <v>4.0</v>
      </c>
      <c r="E253" s="37"/>
      <c r="F253" s="39">
        <f t="shared" ref="F253:F254" si="56">0.9+0.8</f>
        <v>1.7</v>
      </c>
      <c r="G253" s="40"/>
      <c r="H253" s="59"/>
      <c r="I253" s="82"/>
      <c r="J253" s="301">
        <f t="shared" si="55"/>
        <v>6.8</v>
      </c>
      <c r="K253" s="255"/>
    </row>
    <row r="254" ht="19.5" customHeight="1">
      <c r="A254" s="300">
        <v>38416.0</v>
      </c>
      <c r="B254" s="114" t="s">
        <v>229</v>
      </c>
      <c r="C254" s="83" t="s">
        <v>108</v>
      </c>
      <c r="D254" s="39">
        <v>1.0</v>
      </c>
      <c r="E254" s="37"/>
      <c r="F254" s="39">
        <f t="shared" si="56"/>
        <v>1.7</v>
      </c>
      <c r="G254" s="40"/>
      <c r="H254" s="59"/>
      <c r="I254" s="82"/>
      <c r="J254" s="301">
        <f t="shared" si="55"/>
        <v>1.7</v>
      </c>
      <c r="K254" s="255"/>
    </row>
    <row r="255" ht="19.5" customHeight="1">
      <c r="A255" s="300">
        <v>38416.0</v>
      </c>
      <c r="B255" s="114" t="s">
        <v>230</v>
      </c>
      <c r="C255" s="83" t="s">
        <v>108</v>
      </c>
      <c r="D255" s="39">
        <v>5.0</v>
      </c>
      <c r="E255" s="37"/>
      <c r="F255" s="39">
        <v>2.0</v>
      </c>
      <c r="G255" s="40"/>
      <c r="H255" s="59"/>
      <c r="I255" s="82"/>
      <c r="J255" s="301">
        <f t="shared" si="55"/>
        <v>10</v>
      </c>
      <c r="K255" s="255"/>
    </row>
    <row r="256" ht="19.5" customHeight="1">
      <c r="A256" s="300">
        <v>38416.0</v>
      </c>
      <c r="B256" s="114" t="s">
        <v>228</v>
      </c>
      <c r="C256" s="83" t="s">
        <v>108</v>
      </c>
      <c r="D256" s="39">
        <v>1.0</v>
      </c>
      <c r="E256" s="37"/>
      <c r="F256" s="78">
        <f>0.9+0.8</f>
        <v>1.7</v>
      </c>
      <c r="G256" s="40"/>
      <c r="H256" s="59"/>
      <c r="I256" s="82"/>
      <c r="J256" s="109">
        <f>SUM(J249:J255)</f>
        <v>48.13</v>
      </c>
      <c r="K256" s="255"/>
    </row>
    <row r="257" ht="19.5" customHeight="1">
      <c r="A257" s="74" t="s">
        <v>1</v>
      </c>
      <c r="B257" s="74" t="s">
        <v>91</v>
      </c>
      <c r="C257" s="74" t="s">
        <v>92</v>
      </c>
      <c r="D257" s="76" t="s">
        <v>93</v>
      </c>
      <c r="E257" s="50" t="s">
        <v>161</v>
      </c>
      <c r="F257" s="53" t="s">
        <v>121</v>
      </c>
      <c r="G257" s="53" t="s">
        <v>99</v>
      </c>
      <c r="H257" s="75" t="s">
        <v>100</v>
      </c>
      <c r="I257" s="75" t="s">
        <v>101</v>
      </c>
      <c r="J257" s="76" t="s">
        <v>95</v>
      </c>
      <c r="K257" s="247" t="s">
        <v>96</v>
      </c>
    </row>
    <row r="258" ht="19.5" customHeight="1">
      <c r="A258" s="150">
        <v>1.0</v>
      </c>
      <c r="B258" s="37" t="s">
        <v>162</v>
      </c>
      <c r="C258" s="46" t="s">
        <v>103</v>
      </c>
      <c r="D258" s="78">
        <v>1.0</v>
      </c>
      <c r="E258" s="37">
        <v>2.0</v>
      </c>
      <c r="F258" s="78">
        <v>25.29</v>
      </c>
      <c r="G258" s="40">
        <v>11.75</v>
      </c>
      <c r="H258" s="40">
        <f>(G258+F258)*E258*D258</f>
        <v>74.08</v>
      </c>
      <c r="I258" s="42"/>
      <c r="J258" s="40"/>
      <c r="K258" s="251"/>
    </row>
    <row r="259" ht="19.5" customHeight="1">
      <c r="A259" s="150">
        <v>2.0</v>
      </c>
      <c r="B259" s="37" t="s">
        <v>162</v>
      </c>
      <c r="C259" s="46" t="s">
        <v>103</v>
      </c>
      <c r="D259" s="78"/>
      <c r="E259" s="37"/>
      <c r="F259" s="78"/>
      <c r="G259" s="40"/>
      <c r="H259" s="40"/>
      <c r="I259" s="42"/>
      <c r="J259" s="64">
        <f>SUM(H258:H259)</f>
        <v>74.08</v>
      </c>
      <c r="K259" s="251"/>
    </row>
    <row r="260" ht="19.5" customHeight="1">
      <c r="A260" s="74" t="s">
        <v>1</v>
      </c>
      <c r="B260" s="74" t="s">
        <v>91</v>
      </c>
      <c r="C260" s="74" t="s">
        <v>92</v>
      </c>
      <c r="D260" s="76" t="s">
        <v>93</v>
      </c>
      <c r="E260" s="50" t="s">
        <v>161</v>
      </c>
      <c r="F260" s="53" t="s">
        <v>121</v>
      </c>
      <c r="G260" s="53" t="s">
        <v>99</v>
      </c>
      <c r="H260" s="75" t="s">
        <v>100</v>
      </c>
      <c r="I260" s="75" t="s">
        <v>101</v>
      </c>
      <c r="J260" s="76" t="s">
        <v>95</v>
      </c>
      <c r="K260" s="247" t="s">
        <v>96</v>
      </c>
    </row>
    <row r="261" ht="19.5" customHeight="1">
      <c r="A261" s="126">
        <v>1.0</v>
      </c>
      <c r="B261" s="37" t="s">
        <v>853</v>
      </c>
      <c r="C261" s="46" t="s">
        <v>106</v>
      </c>
      <c r="D261" s="78">
        <v>1.0</v>
      </c>
      <c r="E261" s="37">
        <v>1.0</v>
      </c>
      <c r="F261" s="78"/>
      <c r="G261" s="40">
        <v>1.0</v>
      </c>
      <c r="H261" s="40">
        <f t="shared" ref="H261:H263" si="57">G261*E261*D261</f>
        <v>1</v>
      </c>
      <c r="I261" s="42"/>
      <c r="J261" s="64">
        <f t="shared" ref="J261:J263" si="58">H261</f>
        <v>1</v>
      </c>
      <c r="K261" s="251"/>
    </row>
    <row r="262" ht="19.5" customHeight="1">
      <c r="A262" s="126">
        <v>2.0</v>
      </c>
      <c r="B262" s="37" t="s">
        <v>854</v>
      </c>
      <c r="C262" s="46" t="s">
        <v>106</v>
      </c>
      <c r="D262" s="78">
        <v>4.0</v>
      </c>
      <c r="E262" s="37">
        <v>1.0</v>
      </c>
      <c r="F262" s="78"/>
      <c r="G262" s="40">
        <v>1.0</v>
      </c>
      <c r="H262" s="40">
        <f t="shared" si="57"/>
        <v>4</v>
      </c>
      <c r="I262" s="42"/>
      <c r="J262" s="64">
        <f t="shared" si="58"/>
        <v>4</v>
      </c>
      <c r="K262" s="251"/>
    </row>
    <row r="263" ht="19.5" customHeight="1">
      <c r="A263" s="126">
        <v>3.0</v>
      </c>
      <c r="B263" s="37" t="s">
        <v>376</v>
      </c>
      <c r="C263" s="46" t="s">
        <v>106</v>
      </c>
      <c r="D263" s="78">
        <v>10.0</v>
      </c>
      <c r="E263" s="37">
        <v>1.0</v>
      </c>
      <c r="F263" s="78"/>
      <c r="G263" s="40">
        <v>1.0</v>
      </c>
      <c r="H263" s="40">
        <f t="shared" si="57"/>
        <v>10</v>
      </c>
      <c r="I263" s="42"/>
      <c r="J263" s="64">
        <f t="shared" si="58"/>
        <v>10</v>
      </c>
      <c r="K263" s="255"/>
    </row>
    <row r="264" ht="19.5" customHeight="1">
      <c r="A264" s="74" t="s">
        <v>1</v>
      </c>
      <c r="B264" s="74" t="s">
        <v>91</v>
      </c>
      <c r="C264" s="74" t="s">
        <v>92</v>
      </c>
      <c r="D264" s="76" t="s">
        <v>93</v>
      </c>
      <c r="E264" s="50" t="s">
        <v>97</v>
      </c>
      <c r="F264" s="53" t="s">
        <v>121</v>
      </c>
      <c r="G264" s="53" t="s">
        <v>99</v>
      </c>
      <c r="H264" s="75" t="s">
        <v>100</v>
      </c>
      <c r="I264" s="75" t="s">
        <v>101</v>
      </c>
      <c r="J264" s="76" t="s">
        <v>95</v>
      </c>
      <c r="K264" s="247" t="s">
        <v>96</v>
      </c>
    </row>
    <row r="265" ht="19.5" customHeight="1">
      <c r="A265" s="154" t="s">
        <v>855</v>
      </c>
      <c r="B265" s="37" t="s">
        <v>856</v>
      </c>
      <c r="C265" s="46" t="s">
        <v>103</v>
      </c>
      <c r="D265" s="39">
        <v>2.0</v>
      </c>
      <c r="E265" s="37"/>
      <c r="F265" s="39">
        <v>1.1</v>
      </c>
      <c r="G265" s="41">
        <v>0.6</v>
      </c>
      <c r="H265" s="40">
        <f t="shared" ref="H265:H267" si="59">D265*F265*G265</f>
        <v>1.32</v>
      </c>
      <c r="I265" s="42"/>
      <c r="J265" s="40"/>
      <c r="K265" s="251"/>
    </row>
    <row r="266" ht="19.5" customHeight="1">
      <c r="A266" s="154" t="s">
        <v>855</v>
      </c>
      <c r="B266" s="37" t="s">
        <v>857</v>
      </c>
      <c r="C266" s="46" t="s">
        <v>103</v>
      </c>
      <c r="D266" s="78">
        <v>1.0</v>
      </c>
      <c r="E266" s="37"/>
      <c r="F266" s="39">
        <v>0.55</v>
      </c>
      <c r="G266" s="41">
        <v>0.6</v>
      </c>
      <c r="H266" s="40">
        <f t="shared" si="59"/>
        <v>0.33</v>
      </c>
      <c r="I266" s="42"/>
      <c r="J266" s="40"/>
      <c r="K266" s="251"/>
    </row>
    <row r="267" ht="19.5" customHeight="1">
      <c r="A267" s="154" t="s">
        <v>858</v>
      </c>
      <c r="B267" s="49" t="s">
        <v>640</v>
      </c>
      <c r="C267" s="46" t="s">
        <v>103</v>
      </c>
      <c r="D267" s="39">
        <v>1.0</v>
      </c>
      <c r="E267" s="37"/>
      <c r="F267" s="39">
        <f>1.7+1.15</f>
        <v>2.85</v>
      </c>
      <c r="G267" s="41">
        <v>0.2</v>
      </c>
      <c r="H267" s="40">
        <f t="shared" si="59"/>
        <v>0.57</v>
      </c>
      <c r="I267" s="82"/>
      <c r="J267" s="40"/>
      <c r="K267" s="255"/>
    </row>
    <row r="268" ht="19.5" customHeight="1">
      <c r="A268" s="288"/>
      <c r="B268" s="37"/>
      <c r="C268" s="46"/>
      <c r="D268" s="78"/>
      <c r="E268" s="37"/>
      <c r="F268" s="78"/>
      <c r="G268" s="40"/>
      <c r="H268" s="40"/>
      <c r="I268" s="93"/>
      <c r="J268" s="64">
        <f>SUM(H265:H268)</f>
        <v>2.22</v>
      </c>
      <c r="K268" s="255"/>
    </row>
    <row r="269" ht="19.5" customHeight="1">
      <c r="A269" s="74" t="s">
        <v>1</v>
      </c>
      <c r="B269" s="74" t="s">
        <v>91</v>
      </c>
      <c r="C269" s="74" t="s">
        <v>92</v>
      </c>
      <c r="D269" s="76" t="s">
        <v>93</v>
      </c>
      <c r="E269" s="50" t="s">
        <v>97</v>
      </c>
      <c r="F269" s="53" t="s">
        <v>121</v>
      </c>
      <c r="G269" s="53" t="s">
        <v>99</v>
      </c>
      <c r="H269" s="75" t="s">
        <v>100</v>
      </c>
      <c r="I269" s="75" t="s">
        <v>101</v>
      </c>
      <c r="J269" s="76" t="s">
        <v>95</v>
      </c>
      <c r="K269" s="247" t="s">
        <v>96</v>
      </c>
    </row>
    <row r="270" ht="19.5" customHeight="1">
      <c r="A270" s="154" t="s">
        <v>859</v>
      </c>
      <c r="B270" s="49" t="s">
        <v>860</v>
      </c>
      <c r="C270" s="46" t="s">
        <v>103</v>
      </c>
      <c r="D270" s="39">
        <v>1.0</v>
      </c>
      <c r="E270" s="49">
        <v>2.0</v>
      </c>
      <c r="F270" s="78">
        <f>0.825+1.13+0.04</f>
        <v>1.995</v>
      </c>
      <c r="G270" s="40"/>
      <c r="H270" s="40">
        <f t="shared" ref="H270:H271" si="60">D270*E270*F270</f>
        <v>3.99</v>
      </c>
      <c r="I270" s="42"/>
      <c r="J270" s="109">
        <f>SUM(H270:H271)</f>
        <v>14.41</v>
      </c>
      <c r="K270" s="251"/>
    </row>
    <row r="271" ht="19.5" customHeight="1">
      <c r="A271" s="154" t="s">
        <v>859</v>
      </c>
      <c r="B271" s="49" t="s">
        <v>861</v>
      </c>
      <c r="C271" s="46" t="s">
        <v>103</v>
      </c>
      <c r="D271" s="39">
        <v>1.0</v>
      </c>
      <c r="E271" s="49">
        <v>2.0</v>
      </c>
      <c r="F271" s="78">
        <f>0.45+0.1+0.25+4.41</f>
        <v>5.21</v>
      </c>
      <c r="G271" s="40"/>
      <c r="H271" s="40">
        <f t="shared" si="60"/>
        <v>10.42</v>
      </c>
      <c r="I271" s="42"/>
      <c r="J271" s="32"/>
      <c r="K271" s="251"/>
    </row>
    <row r="272" ht="19.5" hidden="1" customHeight="1">
      <c r="A272" s="74" t="s">
        <v>1</v>
      </c>
      <c r="B272" s="74" t="s">
        <v>91</v>
      </c>
      <c r="C272" s="74" t="s">
        <v>92</v>
      </c>
      <c r="D272" s="76" t="s">
        <v>93</v>
      </c>
      <c r="E272" s="50" t="s">
        <v>161</v>
      </c>
      <c r="F272" s="53"/>
      <c r="G272" s="53"/>
      <c r="H272" s="75" t="s">
        <v>100</v>
      </c>
      <c r="I272" s="75" t="s">
        <v>101</v>
      </c>
      <c r="J272" s="76" t="s">
        <v>95</v>
      </c>
      <c r="K272" s="247" t="s">
        <v>96</v>
      </c>
    </row>
    <row r="273" ht="19.5" hidden="1" customHeight="1">
      <c r="A273" s="150">
        <v>1.0</v>
      </c>
      <c r="B273" s="37" t="s">
        <v>245</v>
      </c>
      <c r="C273" s="46" t="s">
        <v>106</v>
      </c>
      <c r="D273" s="78">
        <v>20.0</v>
      </c>
      <c r="E273" s="37">
        <v>1.0</v>
      </c>
      <c r="F273" s="78"/>
      <c r="G273" s="40"/>
      <c r="H273" s="40">
        <f>E273*D273+6</f>
        <v>26</v>
      </c>
      <c r="I273" s="42"/>
      <c r="J273" s="64">
        <f t="shared" ref="J273:J295" si="61">H273</f>
        <v>26</v>
      </c>
      <c r="K273" s="251"/>
    </row>
    <row r="274" ht="19.5" hidden="1" customHeight="1">
      <c r="A274" s="150">
        <v>2.0</v>
      </c>
      <c r="B274" s="37" t="s">
        <v>862</v>
      </c>
      <c r="C274" s="46" t="s">
        <v>106</v>
      </c>
      <c r="D274" s="78">
        <v>3.0</v>
      </c>
      <c r="E274" s="37">
        <v>9.0</v>
      </c>
      <c r="F274" s="78"/>
      <c r="G274" s="40"/>
      <c r="H274" s="40">
        <f t="shared" ref="H274:H295" si="62">E274*D274</f>
        <v>27</v>
      </c>
      <c r="I274" s="42"/>
      <c r="J274" s="64">
        <f t="shared" si="61"/>
        <v>27</v>
      </c>
      <c r="K274" s="251"/>
    </row>
    <row r="275" ht="19.5" hidden="1" customHeight="1">
      <c r="A275" s="150">
        <v>3.0</v>
      </c>
      <c r="B275" s="37" t="s">
        <v>246</v>
      </c>
      <c r="C275" s="46" t="s">
        <v>106</v>
      </c>
      <c r="D275" s="78">
        <v>1.0</v>
      </c>
      <c r="E275" s="37">
        <v>40.0</v>
      </c>
      <c r="F275" s="78"/>
      <c r="G275" s="40"/>
      <c r="H275" s="40">
        <f t="shared" si="62"/>
        <v>40</v>
      </c>
      <c r="I275" s="42"/>
      <c r="J275" s="64">
        <f t="shared" si="61"/>
        <v>40</v>
      </c>
      <c r="K275" s="251"/>
    </row>
    <row r="276" ht="19.5" hidden="1" customHeight="1">
      <c r="A276" s="150">
        <v>4.0</v>
      </c>
      <c r="B276" s="37" t="s">
        <v>863</v>
      </c>
      <c r="C276" s="46" t="s">
        <v>106</v>
      </c>
      <c r="D276" s="78">
        <v>4.0</v>
      </c>
      <c r="E276" s="37">
        <v>1.0</v>
      </c>
      <c r="F276" s="78"/>
      <c r="G276" s="40"/>
      <c r="H276" s="40">
        <f t="shared" si="62"/>
        <v>4</v>
      </c>
      <c r="I276" s="42"/>
      <c r="J276" s="64">
        <f t="shared" si="61"/>
        <v>4</v>
      </c>
      <c r="K276" s="251"/>
    </row>
    <row r="277" ht="19.5" hidden="1" customHeight="1">
      <c r="A277" s="150">
        <v>5.0</v>
      </c>
      <c r="B277" s="37" t="s">
        <v>247</v>
      </c>
      <c r="C277" s="46" t="s">
        <v>106</v>
      </c>
      <c r="D277" s="78">
        <v>4.0</v>
      </c>
      <c r="E277" s="37">
        <v>1.0</v>
      </c>
      <c r="F277" s="78"/>
      <c r="G277" s="40"/>
      <c r="H277" s="40">
        <f t="shared" si="62"/>
        <v>4</v>
      </c>
      <c r="I277" s="42"/>
      <c r="J277" s="64">
        <f t="shared" si="61"/>
        <v>4</v>
      </c>
      <c r="K277" s="251"/>
    </row>
    <row r="278" ht="19.5" hidden="1" customHeight="1">
      <c r="A278" s="150">
        <v>6.0</v>
      </c>
      <c r="B278" s="37" t="s">
        <v>248</v>
      </c>
      <c r="C278" s="46" t="s">
        <v>106</v>
      </c>
      <c r="D278" s="78">
        <v>4.0</v>
      </c>
      <c r="E278" s="37">
        <v>1.0</v>
      </c>
      <c r="F278" s="78"/>
      <c r="G278" s="40"/>
      <c r="H278" s="40">
        <f t="shared" si="62"/>
        <v>4</v>
      </c>
      <c r="I278" s="42"/>
      <c r="J278" s="64">
        <f t="shared" si="61"/>
        <v>4</v>
      </c>
      <c r="K278" s="251"/>
    </row>
    <row r="279" ht="19.5" hidden="1" customHeight="1">
      <c r="A279" s="150">
        <v>7.0</v>
      </c>
      <c r="B279" s="37" t="s">
        <v>249</v>
      </c>
      <c r="C279" s="46" t="s">
        <v>106</v>
      </c>
      <c r="D279" s="78">
        <v>10.0</v>
      </c>
      <c r="E279" s="37">
        <v>1.0</v>
      </c>
      <c r="F279" s="78"/>
      <c r="G279" s="40"/>
      <c r="H279" s="40">
        <f t="shared" si="62"/>
        <v>10</v>
      </c>
      <c r="I279" s="42"/>
      <c r="J279" s="64">
        <f t="shared" si="61"/>
        <v>10</v>
      </c>
      <c r="K279" s="251"/>
    </row>
    <row r="280" ht="19.5" hidden="1" customHeight="1">
      <c r="A280" s="150">
        <v>8.0</v>
      </c>
      <c r="B280" s="37" t="s">
        <v>250</v>
      </c>
      <c r="C280" s="46" t="s">
        <v>106</v>
      </c>
      <c r="D280" s="123">
        <f>H279+H278+H277+H276+H275</f>
        <v>62</v>
      </c>
      <c r="E280" s="37">
        <v>1.0</v>
      </c>
      <c r="F280" s="40"/>
      <c r="G280" s="40"/>
      <c r="H280" s="40">
        <f t="shared" si="62"/>
        <v>62</v>
      </c>
      <c r="I280" s="40"/>
      <c r="J280" s="64">
        <f t="shared" si="61"/>
        <v>62</v>
      </c>
      <c r="K280" s="251"/>
    </row>
    <row r="281" ht="19.5" hidden="1" customHeight="1">
      <c r="A281" s="150">
        <v>9.0</v>
      </c>
      <c r="B281" s="37" t="s">
        <v>251</v>
      </c>
      <c r="C281" s="46" t="s">
        <v>106</v>
      </c>
      <c r="D281" s="123">
        <f>H274+H273</f>
        <v>53</v>
      </c>
      <c r="E281" s="37">
        <v>1.0</v>
      </c>
      <c r="F281" s="40"/>
      <c r="G281" s="40"/>
      <c r="H281" s="40">
        <f t="shared" si="62"/>
        <v>53</v>
      </c>
      <c r="I281" s="40"/>
      <c r="J281" s="64">
        <f t="shared" si="61"/>
        <v>53</v>
      </c>
      <c r="K281" s="251"/>
    </row>
    <row r="282" ht="19.5" hidden="1" customHeight="1">
      <c r="A282" s="150">
        <v>10.0</v>
      </c>
      <c r="B282" s="37" t="s">
        <v>252</v>
      </c>
      <c r="C282" s="46" t="s">
        <v>108</v>
      </c>
      <c r="D282" s="123">
        <v>800.0</v>
      </c>
      <c r="E282" s="37">
        <v>1.0</v>
      </c>
      <c r="F282" s="40"/>
      <c r="G282" s="40"/>
      <c r="H282" s="40">
        <f t="shared" si="62"/>
        <v>800</v>
      </c>
      <c r="I282" s="40"/>
      <c r="J282" s="64">
        <f t="shared" si="61"/>
        <v>800</v>
      </c>
      <c r="K282" s="251"/>
    </row>
    <row r="283" ht="19.5" hidden="1" customHeight="1">
      <c r="A283" s="150">
        <v>11.0</v>
      </c>
      <c r="B283" s="37" t="s">
        <v>253</v>
      </c>
      <c r="C283" s="46" t="s">
        <v>108</v>
      </c>
      <c r="D283" s="123">
        <v>600.0</v>
      </c>
      <c r="E283" s="37">
        <v>1.0</v>
      </c>
      <c r="F283" s="40"/>
      <c r="G283" s="40"/>
      <c r="H283" s="40">
        <f t="shared" si="62"/>
        <v>600</v>
      </c>
      <c r="I283" s="40"/>
      <c r="J283" s="64">
        <f t="shared" si="61"/>
        <v>600</v>
      </c>
      <c r="K283" s="251"/>
    </row>
    <row r="284" ht="19.5" hidden="1" customHeight="1">
      <c r="A284" s="150">
        <v>12.0</v>
      </c>
      <c r="B284" s="37" t="s">
        <v>254</v>
      </c>
      <c r="C284" s="46" t="s">
        <v>108</v>
      </c>
      <c r="D284" s="123">
        <v>2000.0</v>
      </c>
      <c r="E284" s="37">
        <v>1.0</v>
      </c>
      <c r="F284" s="40"/>
      <c r="G284" s="40"/>
      <c r="H284" s="40">
        <f t="shared" si="62"/>
        <v>2000</v>
      </c>
      <c r="I284" s="40"/>
      <c r="J284" s="64">
        <f t="shared" si="61"/>
        <v>2000</v>
      </c>
      <c r="K284" s="251"/>
    </row>
    <row r="285" ht="19.5" hidden="1" customHeight="1">
      <c r="A285" s="150">
        <f t="shared" ref="A285:A295" si="63">A284+1</f>
        <v>13</v>
      </c>
      <c r="B285" s="37" t="s">
        <v>255</v>
      </c>
      <c r="C285" s="46" t="s">
        <v>108</v>
      </c>
      <c r="D285" s="123">
        <v>200.0</v>
      </c>
      <c r="E285" s="37">
        <v>19.0</v>
      </c>
      <c r="F285" s="40"/>
      <c r="G285" s="40"/>
      <c r="H285" s="40">
        <f t="shared" si="62"/>
        <v>3800</v>
      </c>
      <c r="I285" s="40"/>
      <c r="J285" s="64">
        <f t="shared" si="61"/>
        <v>3800</v>
      </c>
      <c r="K285" s="251"/>
    </row>
    <row r="286" ht="19.5" hidden="1" customHeight="1">
      <c r="A286" s="150">
        <f t="shared" si="63"/>
        <v>14</v>
      </c>
      <c r="B286" s="37" t="s">
        <v>256</v>
      </c>
      <c r="C286" s="46" t="s">
        <v>108</v>
      </c>
      <c r="D286" s="123">
        <v>100.0</v>
      </c>
      <c r="E286" s="37">
        <v>1.0</v>
      </c>
      <c r="F286" s="40"/>
      <c r="G286" s="40"/>
      <c r="H286" s="40">
        <f t="shared" si="62"/>
        <v>100</v>
      </c>
      <c r="I286" s="40"/>
      <c r="J286" s="64">
        <f t="shared" si="61"/>
        <v>100</v>
      </c>
      <c r="K286" s="251"/>
    </row>
    <row r="287" ht="19.5" hidden="1" customHeight="1">
      <c r="A287" s="150">
        <f t="shared" si="63"/>
        <v>15</v>
      </c>
      <c r="B287" s="37" t="s">
        <v>257</v>
      </c>
      <c r="C287" s="46" t="s">
        <v>106</v>
      </c>
      <c r="D287" s="123">
        <v>2.0</v>
      </c>
      <c r="E287" s="37">
        <v>1.0</v>
      </c>
      <c r="F287" s="40"/>
      <c r="G287" s="40"/>
      <c r="H287" s="40">
        <f t="shared" si="62"/>
        <v>2</v>
      </c>
      <c r="I287" s="40"/>
      <c r="J287" s="64">
        <f t="shared" si="61"/>
        <v>2</v>
      </c>
      <c r="K287" s="251"/>
    </row>
    <row r="288" ht="19.5" hidden="1" customHeight="1">
      <c r="A288" s="150">
        <f t="shared" si="63"/>
        <v>16</v>
      </c>
      <c r="B288" s="37" t="s">
        <v>258</v>
      </c>
      <c r="C288" s="46" t="s">
        <v>106</v>
      </c>
      <c r="D288" s="123">
        <v>20.0</v>
      </c>
      <c r="E288" s="37">
        <v>1.0</v>
      </c>
      <c r="F288" s="40"/>
      <c r="G288" s="40"/>
      <c r="H288" s="40">
        <f t="shared" si="62"/>
        <v>20</v>
      </c>
      <c r="I288" s="40"/>
      <c r="J288" s="64">
        <f t="shared" si="61"/>
        <v>20</v>
      </c>
      <c r="K288" s="251"/>
    </row>
    <row r="289" ht="19.5" hidden="1" customHeight="1">
      <c r="A289" s="150">
        <f t="shared" si="63"/>
        <v>17</v>
      </c>
      <c r="B289" s="37" t="s">
        <v>864</v>
      </c>
      <c r="C289" s="46" t="s">
        <v>108</v>
      </c>
      <c r="D289" s="123">
        <v>100.0</v>
      </c>
      <c r="E289" s="37">
        <v>1.0</v>
      </c>
      <c r="F289" s="40"/>
      <c r="G289" s="40"/>
      <c r="H289" s="40">
        <f t="shared" si="62"/>
        <v>100</v>
      </c>
      <c r="I289" s="40"/>
      <c r="J289" s="64">
        <f t="shared" si="61"/>
        <v>100</v>
      </c>
      <c r="K289" s="251"/>
    </row>
    <row r="290" ht="19.5" hidden="1" customHeight="1">
      <c r="A290" s="150">
        <f t="shared" si="63"/>
        <v>18</v>
      </c>
      <c r="B290" s="37" t="s">
        <v>260</v>
      </c>
      <c r="C290" s="46" t="s">
        <v>108</v>
      </c>
      <c r="D290" s="123">
        <v>25.29</v>
      </c>
      <c r="E290" s="37">
        <v>2.0</v>
      </c>
      <c r="F290" s="40"/>
      <c r="G290" s="40"/>
      <c r="H290" s="40">
        <f t="shared" si="62"/>
        <v>50.58</v>
      </c>
      <c r="I290" s="40"/>
      <c r="J290" s="64">
        <f t="shared" si="61"/>
        <v>50.58</v>
      </c>
      <c r="K290" s="251"/>
    </row>
    <row r="291" ht="19.5" hidden="1" customHeight="1">
      <c r="A291" s="150">
        <f t="shared" si="63"/>
        <v>19</v>
      </c>
      <c r="B291" s="37" t="s">
        <v>261</v>
      </c>
      <c r="C291" s="46" t="s">
        <v>106</v>
      </c>
      <c r="D291" s="123">
        <v>4.0</v>
      </c>
      <c r="E291" s="37">
        <v>1.0</v>
      </c>
      <c r="F291" s="40"/>
      <c r="G291" s="40"/>
      <c r="H291" s="40">
        <f t="shared" si="62"/>
        <v>4</v>
      </c>
      <c r="I291" s="40"/>
      <c r="J291" s="64">
        <f t="shared" si="61"/>
        <v>4</v>
      </c>
      <c r="K291" s="251"/>
    </row>
    <row r="292" ht="19.5" hidden="1" customHeight="1">
      <c r="A292" s="150">
        <f t="shared" si="63"/>
        <v>20</v>
      </c>
      <c r="B292" s="37" t="s">
        <v>865</v>
      </c>
      <c r="C292" s="46" t="s">
        <v>106</v>
      </c>
      <c r="D292" s="123">
        <v>50.0</v>
      </c>
      <c r="E292" s="37">
        <v>1.0</v>
      </c>
      <c r="F292" s="40"/>
      <c r="G292" s="40"/>
      <c r="H292" s="40">
        <f t="shared" si="62"/>
        <v>50</v>
      </c>
      <c r="I292" s="40"/>
      <c r="J292" s="64">
        <f t="shared" si="61"/>
        <v>50</v>
      </c>
      <c r="K292" s="302"/>
    </row>
    <row r="293" ht="19.5" hidden="1" customHeight="1">
      <c r="A293" s="150">
        <f t="shared" si="63"/>
        <v>21</v>
      </c>
      <c r="B293" s="37" t="s">
        <v>866</v>
      </c>
      <c r="C293" s="46" t="s">
        <v>106</v>
      </c>
      <c r="D293" s="123">
        <v>4.0</v>
      </c>
      <c r="E293" s="37">
        <v>1.0</v>
      </c>
      <c r="F293" s="40"/>
      <c r="G293" s="40"/>
      <c r="H293" s="40">
        <f t="shared" si="62"/>
        <v>4</v>
      </c>
      <c r="I293" s="40"/>
      <c r="J293" s="64">
        <f t="shared" si="61"/>
        <v>4</v>
      </c>
      <c r="K293" s="302"/>
    </row>
    <row r="294" ht="19.5" hidden="1" customHeight="1">
      <c r="A294" s="150">
        <f t="shared" si="63"/>
        <v>22</v>
      </c>
      <c r="B294" s="37" t="s">
        <v>258</v>
      </c>
      <c r="C294" s="46" t="s">
        <v>106</v>
      </c>
      <c r="D294" s="123">
        <v>4.0</v>
      </c>
      <c r="E294" s="37">
        <v>1.0</v>
      </c>
      <c r="F294" s="40"/>
      <c r="G294" s="40"/>
      <c r="H294" s="40">
        <f t="shared" si="62"/>
        <v>4</v>
      </c>
      <c r="I294" s="40"/>
      <c r="J294" s="64">
        <f t="shared" si="61"/>
        <v>4</v>
      </c>
      <c r="K294" s="302"/>
    </row>
    <row r="295" ht="19.5" hidden="1" customHeight="1">
      <c r="A295" s="150">
        <f t="shared" si="63"/>
        <v>23</v>
      </c>
      <c r="B295" s="37" t="s">
        <v>261</v>
      </c>
      <c r="C295" s="46" t="s">
        <v>106</v>
      </c>
      <c r="D295" s="123">
        <v>4.0</v>
      </c>
      <c r="E295" s="37">
        <v>1.0</v>
      </c>
      <c r="F295" s="40"/>
      <c r="G295" s="40"/>
      <c r="H295" s="40">
        <f t="shared" si="62"/>
        <v>4</v>
      </c>
      <c r="I295" s="40"/>
      <c r="J295" s="64">
        <f t="shared" si="61"/>
        <v>4</v>
      </c>
      <c r="K295" s="302"/>
    </row>
    <row r="296" ht="19.5" hidden="1" customHeight="1">
      <c r="A296" s="74" t="s">
        <v>1</v>
      </c>
      <c r="B296" s="74" t="s">
        <v>91</v>
      </c>
      <c r="C296" s="74" t="s">
        <v>92</v>
      </c>
      <c r="D296" s="76" t="s">
        <v>93</v>
      </c>
      <c r="E296" s="50" t="s">
        <v>161</v>
      </c>
      <c r="F296" s="53" t="s">
        <v>121</v>
      </c>
      <c r="G296" s="53" t="s">
        <v>99</v>
      </c>
      <c r="H296" s="53" t="s">
        <v>100</v>
      </c>
      <c r="I296" s="53" t="s">
        <v>101</v>
      </c>
      <c r="J296" s="76" t="s">
        <v>95</v>
      </c>
      <c r="K296" s="247" t="s">
        <v>96</v>
      </c>
    </row>
    <row r="297" ht="19.5" hidden="1" customHeight="1">
      <c r="A297" s="126">
        <v>1.0</v>
      </c>
      <c r="B297" s="37" t="s">
        <v>262</v>
      </c>
      <c r="C297" s="46" t="s">
        <v>108</v>
      </c>
      <c r="D297" s="78"/>
      <c r="E297" s="37"/>
      <c r="F297" s="78"/>
      <c r="G297" s="40"/>
      <c r="H297" s="40"/>
      <c r="I297" s="42"/>
      <c r="J297" s="64" t="str">
        <f t="shared" ref="J297:J315" si="64">H297</f>
        <v/>
      </c>
      <c r="K297" s="251"/>
    </row>
    <row r="298" ht="19.5" hidden="1" customHeight="1">
      <c r="A298" s="126">
        <f t="shared" ref="A298:A315" si="65">A297+1</f>
        <v>2</v>
      </c>
      <c r="B298" s="37" t="s">
        <v>263</v>
      </c>
      <c r="C298" s="46" t="s">
        <v>108</v>
      </c>
      <c r="D298" s="123"/>
      <c r="E298" s="37"/>
      <c r="F298" s="40"/>
      <c r="G298" s="40"/>
      <c r="H298" s="40"/>
      <c r="I298" s="40"/>
      <c r="J298" s="64" t="str">
        <f t="shared" si="64"/>
        <v/>
      </c>
      <c r="K298" s="251"/>
    </row>
    <row r="299" ht="19.5" hidden="1" customHeight="1">
      <c r="A299" s="126">
        <f t="shared" si="65"/>
        <v>3</v>
      </c>
      <c r="B299" s="37" t="s">
        <v>264</v>
      </c>
      <c r="C299" s="46" t="s">
        <v>108</v>
      </c>
      <c r="D299" s="123"/>
      <c r="E299" s="37"/>
      <c r="F299" s="40"/>
      <c r="G299" s="40"/>
      <c r="H299" s="40"/>
      <c r="I299" s="40"/>
      <c r="J299" s="64" t="str">
        <f t="shared" si="64"/>
        <v/>
      </c>
      <c r="K299" s="251"/>
    </row>
    <row r="300" ht="19.5" hidden="1" customHeight="1">
      <c r="A300" s="126">
        <f t="shared" si="65"/>
        <v>4</v>
      </c>
      <c r="B300" s="37" t="s">
        <v>265</v>
      </c>
      <c r="C300" s="46" t="s">
        <v>106</v>
      </c>
      <c r="D300" s="123"/>
      <c r="E300" s="37"/>
      <c r="F300" s="40"/>
      <c r="G300" s="40"/>
      <c r="H300" s="40"/>
      <c r="I300" s="40"/>
      <c r="J300" s="64" t="str">
        <f t="shared" si="64"/>
        <v/>
      </c>
      <c r="K300" s="251"/>
    </row>
    <row r="301" ht="19.5" hidden="1" customHeight="1">
      <c r="A301" s="126">
        <f t="shared" si="65"/>
        <v>5</v>
      </c>
      <c r="B301" s="37" t="s">
        <v>266</v>
      </c>
      <c r="C301" s="46" t="s">
        <v>106</v>
      </c>
      <c r="D301" s="123"/>
      <c r="E301" s="37"/>
      <c r="F301" s="40"/>
      <c r="G301" s="40"/>
      <c r="H301" s="40"/>
      <c r="I301" s="40"/>
      <c r="J301" s="64" t="str">
        <f t="shared" si="64"/>
        <v/>
      </c>
      <c r="K301" s="251"/>
    </row>
    <row r="302" ht="19.5" hidden="1" customHeight="1">
      <c r="A302" s="126">
        <f t="shared" si="65"/>
        <v>6</v>
      </c>
      <c r="B302" s="37" t="s">
        <v>267</v>
      </c>
      <c r="C302" s="46" t="s">
        <v>106</v>
      </c>
      <c r="D302" s="123"/>
      <c r="E302" s="37"/>
      <c r="F302" s="40"/>
      <c r="G302" s="40"/>
      <c r="H302" s="40"/>
      <c r="I302" s="40"/>
      <c r="J302" s="64" t="str">
        <f t="shared" si="64"/>
        <v/>
      </c>
      <c r="K302" s="251"/>
    </row>
    <row r="303" ht="19.5" hidden="1" customHeight="1">
      <c r="A303" s="126">
        <f t="shared" si="65"/>
        <v>7</v>
      </c>
      <c r="B303" s="37" t="s">
        <v>268</v>
      </c>
      <c r="C303" s="46" t="s">
        <v>106</v>
      </c>
      <c r="D303" s="123"/>
      <c r="E303" s="37"/>
      <c r="F303" s="40"/>
      <c r="G303" s="40"/>
      <c r="H303" s="40"/>
      <c r="I303" s="40"/>
      <c r="J303" s="64" t="str">
        <f t="shared" si="64"/>
        <v/>
      </c>
      <c r="K303" s="251"/>
    </row>
    <row r="304" ht="19.5" hidden="1" customHeight="1">
      <c r="A304" s="126">
        <f t="shared" si="65"/>
        <v>8</v>
      </c>
      <c r="B304" s="37" t="s">
        <v>269</v>
      </c>
      <c r="C304" s="46" t="s">
        <v>106</v>
      </c>
      <c r="D304" s="123"/>
      <c r="E304" s="37"/>
      <c r="F304" s="40"/>
      <c r="G304" s="40"/>
      <c r="H304" s="40"/>
      <c r="I304" s="40"/>
      <c r="J304" s="64" t="str">
        <f t="shared" si="64"/>
        <v/>
      </c>
      <c r="K304" s="251"/>
    </row>
    <row r="305" ht="19.5" hidden="1" customHeight="1">
      <c r="A305" s="126">
        <f t="shared" si="65"/>
        <v>9</v>
      </c>
      <c r="B305" s="37" t="s">
        <v>270</v>
      </c>
      <c r="C305" s="46" t="s">
        <v>106</v>
      </c>
      <c r="D305" s="123"/>
      <c r="E305" s="37"/>
      <c r="F305" s="40"/>
      <c r="G305" s="40"/>
      <c r="H305" s="40"/>
      <c r="I305" s="40"/>
      <c r="J305" s="64" t="str">
        <f t="shared" si="64"/>
        <v/>
      </c>
      <c r="K305" s="251"/>
    </row>
    <row r="306" ht="19.5" hidden="1" customHeight="1">
      <c r="A306" s="126">
        <f t="shared" si="65"/>
        <v>10</v>
      </c>
      <c r="B306" s="37" t="s">
        <v>271</v>
      </c>
      <c r="C306" s="46" t="s">
        <v>106</v>
      </c>
      <c r="D306" s="123"/>
      <c r="E306" s="37"/>
      <c r="F306" s="40"/>
      <c r="G306" s="40"/>
      <c r="H306" s="40"/>
      <c r="I306" s="40"/>
      <c r="J306" s="64" t="str">
        <f t="shared" si="64"/>
        <v/>
      </c>
      <c r="K306" s="251"/>
    </row>
    <row r="307" ht="19.5" hidden="1" customHeight="1">
      <c r="A307" s="126">
        <f t="shared" si="65"/>
        <v>11</v>
      </c>
      <c r="B307" s="37" t="s">
        <v>272</v>
      </c>
      <c r="C307" s="46" t="s">
        <v>106</v>
      </c>
      <c r="D307" s="123"/>
      <c r="E307" s="37"/>
      <c r="F307" s="40"/>
      <c r="G307" s="40"/>
      <c r="H307" s="40"/>
      <c r="I307" s="40"/>
      <c r="J307" s="64" t="str">
        <f t="shared" si="64"/>
        <v/>
      </c>
      <c r="K307" s="251"/>
    </row>
    <row r="308" ht="19.5" hidden="1" customHeight="1">
      <c r="A308" s="126">
        <f t="shared" si="65"/>
        <v>12</v>
      </c>
      <c r="B308" s="37" t="s">
        <v>273</v>
      </c>
      <c r="C308" s="46" t="s">
        <v>106</v>
      </c>
      <c r="D308" s="123"/>
      <c r="E308" s="37"/>
      <c r="F308" s="40"/>
      <c r="G308" s="40"/>
      <c r="H308" s="40"/>
      <c r="I308" s="40"/>
      <c r="J308" s="64" t="str">
        <f t="shared" si="64"/>
        <v/>
      </c>
      <c r="K308" s="251"/>
    </row>
    <row r="309" ht="19.5" hidden="1" customHeight="1">
      <c r="A309" s="126">
        <f t="shared" si="65"/>
        <v>13</v>
      </c>
      <c r="B309" s="37" t="s">
        <v>274</v>
      </c>
      <c r="C309" s="46" t="s">
        <v>106</v>
      </c>
      <c r="D309" s="123"/>
      <c r="E309" s="37"/>
      <c r="F309" s="40"/>
      <c r="G309" s="40"/>
      <c r="H309" s="40"/>
      <c r="I309" s="40"/>
      <c r="J309" s="64" t="str">
        <f t="shared" si="64"/>
        <v/>
      </c>
      <c r="K309" s="251"/>
    </row>
    <row r="310" ht="19.5" hidden="1" customHeight="1">
      <c r="A310" s="126">
        <f t="shared" si="65"/>
        <v>14</v>
      </c>
      <c r="B310" s="37" t="s">
        <v>275</v>
      </c>
      <c r="C310" s="46" t="s">
        <v>106</v>
      </c>
      <c r="D310" s="123"/>
      <c r="E310" s="37"/>
      <c r="F310" s="40"/>
      <c r="G310" s="40"/>
      <c r="H310" s="40"/>
      <c r="I310" s="40"/>
      <c r="J310" s="64" t="str">
        <f t="shared" si="64"/>
        <v/>
      </c>
      <c r="K310" s="251"/>
    </row>
    <row r="311" ht="19.5" hidden="1" customHeight="1">
      <c r="A311" s="126">
        <f t="shared" si="65"/>
        <v>15</v>
      </c>
      <c r="B311" s="37" t="s">
        <v>276</v>
      </c>
      <c r="C311" s="46" t="s">
        <v>106</v>
      </c>
      <c r="D311" s="123"/>
      <c r="E311" s="37"/>
      <c r="F311" s="40"/>
      <c r="G311" s="40"/>
      <c r="H311" s="40"/>
      <c r="I311" s="40"/>
      <c r="J311" s="64" t="str">
        <f t="shared" si="64"/>
        <v/>
      </c>
      <c r="K311" s="251"/>
    </row>
    <row r="312" ht="19.5" hidden="1" customHeight="1">
      <c r="A312" s="126">
        <f t="shared" si="65"/>
        <v>16</v>
      </c>
      <c r="B312" s="37" t="s">
        <v>277</v>
      </c>
      <c r="C312" s="46" t="s">
        <v>106</v>
      </c>
      <c r="D312" s="123"/>
      <c r="E312" s="37"/>
      <c r="F312" s="40"/>
      <c r="G312" s="40"/>
      <c r="H312" s="40"/>
      <c r="I312" s="40"/>
      <c r="J312" s="64" t="str">
        <f t="shared" si="64"/>
        <v/>
      </c>
      <c r="K312" s="251"/>
    </row>
    <row r="313" ht="19.5" hidden="1" customHeight="1">
      <c r="A313" s="126">
        <f t="shared" si="65"/>
        <v>17</v>
      </c>
      <c r="B313" s="37" t="s">
        <v>278</v>
      </c>
      <c r="C313" s="46" t="s">
        <v>106</v>
      </c>
      <c r="D313" s="123"/>
      <c r="E313" s="37"/>
      <c r="F313" s="40"/>
      <c r="G313" s="40"/>
      <c r="H313" s="40"/>
      <c r="I313" s="40"/>
      <c r="J313" s="64" t="str">
        <f t="shared" si="64"/>
        <v/>
      </c>
      <c r="K313" s="251"/>
    </row>
    <row r="314" ht="19.5" hidden="1" customHeight="1">
      <c r="A314" s="126">
        <f t="shared" si="65"/>
        <v>18</v>
      </c>
      <c r="B314" s="37" t="s">
        <v>279</v>
      </c>
      <c r="C314" s="46" t="s">
        <v>106</v>
      </c>
      <c r="D314" s="123"/>
      <c r="E314" s="37"/>
      <c r="F314" s="40"/>
      <c r="G314" s="40"/>
      <c r="H314" s="40"/>
      <c r="I314" s="40"/>
      <c r="J314" s="64" t="str">
        <f t="shared" si="64"/>
        <v/>
      </c>
      <c r="K314" s="251"/>
    </row>
    <row r="315" ht="19.5" hidden="1" customHeight="1">
      <c r="A315" s="126">
        <f t="shared" si="65"/>
        <v>19</v>
      </c>
      <c r="B315" s="37" t="s">
        <v>280</v>
      </c>
      <c r="C315" s="46" t="s">
        <v>106</v>
      </c>
      <c r="D315" s="123"/>
      <c r="E315" s="37"/>
      <c r="F315" s="40"/>
      <c r="G315" s="40"/>
      <c r="H315" s="40"/>
      <c r="I315" s="40"/>
      <c r="J315" s="64" t="str">
        <f t="shared" si="64"/>
        <v/>
      </c>
      <c r="K315" s="251"/>
    </row>
    <row r="316" ht="19.5" customHeight="1">
      <c r="A316" s="74" t="s">
        <v>1</v>
      </c>
      <c r="B316" s="74" t="s">
        <v>91</v>
      </c>
      <c r="C316" s="74" t="s">
        <v>92</v>
      </c>
      <c r="D316" s="76" t="s">
        <v>93</v>
      </c>
      <c r="E316" s="50" t="s">
        <v>97</v>
      </c>
      <c r="F316" s="53" t="s">
        <v>121</v>
      </c>
      <c r="G316" s="53" t="s">
        <v>99</v>
      </c>
      <c r="H316" s="75" t="s">
        <v>100</v>
      </c>
      <c r="I316" s="75" t="s">
        <v>101</v>
      </c>
      <c r="J316" s="76" t="s">
        <v>95</v>
      </c>
      <c r="K316" s="247" t="s">
        <v>96</v>
      </c>
    </row>
    <row r="317" ht="19.5" customHeight="1">
      <c r="A317" s="154" t="s">
        <v>867</v>
      </c>
      <c r="B317" s="49" t="s">
        <v>868</v>
      </c>
      <c r="C317" s="46" t="s">
        <v>106</v>
      </c>
      <c r="D317" s="123"/>
      <c r="E317" s="37"/>
      <c r="F317" s="40"/>
      <c r="G317" s="40"/>
      <c r="H317" s="40"/>
      <c r="I317" s="40"/>
      <c r="J317" s="303">
        <v>4.0</v>
      </c>
      <c r="K317" s="251"/>
    </row>
    <row r="318" ht="19.5" customHeight="1">
      <c r="A318" s="154" t="s">
        <v>869</v>
      </c>
      <c r="B318" s="49" t="s">
        <v>282</v>
      </c>
      <c r="C318" s="46" t="s">
        <v>106</v>
      </c>
      <c r="D318" s="123"/>
      <c r="E318" s="37"/>
      <c r="F318" s="40"/>
      <c r="G318" s="40"/>
      <c r="H318" s="40"/>
      <c r="I318" s="40"/>
      <c r="J318" s="303">
        <v>1.0</v>
      </c>
      <c r="K318" s="251"/>
    </row>
    <row r="319" ht="19.5" customHeight="1">
      <c r="A319" s="154" t="s">
        <v>870</v>
      </c>
      <c r="B319" s="37" t="s">
        <v>284</v>
      </c>
      <c r="C319" s="46" t="s">
        <v>106</v>
      </c>
      <c r="D319" s="123"/>
      <c r="E319" s="37"/>
      <c r="F319" s="40"/>
      <c r="G319" s="40"/>
      <c r="H319" s="40"/>
      <c r="I319" s="40"/>
      <c r="J319" s="303">
        <v>3.0</v>
      </c>
      <c r="K319" s="251"/>
    </row>
    <row r="320" ht="19.5" customHeight="1">
      <c r="A320" s="154" t="s">
        <v>871</v>
      </c>
      <c r="B320" s="37" t="s">
        <v>285</v>
      </c>
      <c r="C320" s="46" t="s">
        <v>106</v>
      </c>
      <c r="D320" s="123"/>
      <c r="E320" s="37"/>
      <c r="F320" s="40"/>
      <c r="G320" s="40"/>
      <c r="H320" s="40"/>
      <c r="I320" s="40"/>
      <c r="J320" s="303">
        <v>1.0</v>
      </c>
      <c r="K320" s="255"/>
    </row>
    <row r="321" ht="19.5" customHeight="1">
      <c r="A321" s="154" t="s">
        <v>872</v>
      </c>
      <c r="B321" s="37" t="s">
        <v>286</v>
      </c>
      <c r="C321" s="46" t="s">
        <v>106</v>
      </c>
      <c r="D321" s="123"/>
      <c r="E321" s="37"/>
      <c r="F321" s="40"/>
      <c r="G321" s="40"/>
      <c r="H321" s="40"/>
      <c r="I321" s="40"/>
      <c r="J321" s="303">
        <v>1.0</v>
      </c>
      <c r="K321" s="255"/>
    </row>
    <row r="322" ht="19.5" hidden="1" customHeight="1">
      <c r="A322" s="74" t="s">
        <v>1</v>
      </c>
      <c r="B322" s="74" t="s">
        <v>91</v>
      </c>
      <c r="C322" s="74" t="s">
        <v>92</v>
      </c>
      <c r="D322" s="76" t="s">
        <v>93</v>
      </c>
      <c r="E322" s="50" t="s">
        <v>161</v>
      </c>
      <c r="F322" s="53" t="s">
        <v>121</v>
      </c>
      <c r="G322" s="53" t="s">
        <v>99</v>
      </c>
      <c r="H322" s="53" t="s">
        <v>100</v>
      </c>
      <c r="I322" s="53" t="s">
        <v>101</v>
      </c>
      <c r="J322" s="76" t="s">
        <v>95</v>
      </c>
      <c r="K322" s="247" t="s">
        <v>96</v>
      </c>
    </row>
    <row r="323" ht="19.5" hidden="1" customHeight="1">
      <c r="A323" s="126">
        <v>1.0</v>
      </c>
      <c r="B323" s="37" t="s">
        <v>287</v>
      </c>
      <c r="C323" s="46" t="s">
        <v>108</v>
      </c>
      <c r="D323" s="78"/>
      <c r="E323" s="37"/>
      <c r="F323" s="78"/>
      <c r="G323" s="40"/>
      <c r="H323" s="40"/>
      <c r="I323" s="42"/>
      <c r="J323" s="64" t="str">
        <f t="shared" ref="J323:J355" si="66">H323</f>
        <v/>
      </c>
      <c r="K323" s="251"/>
    </row>
    <row r="324" ht="19.5" hidden="1" customHeight="1">
      <c r="A324" s="126">
        <f t="shared" ref="A324:A358" si="67">A323+1</f>
        <v>2</v>
      </c>
      <c r="B324" s="37" t="s">
        <v>288</v>
      </c>
      <c r="C324" s="46" t="s">
        <v>108</v>
      </c>
      <c r="D324" s="78"/>
      <c r="E324" s="37"/>
      <c r="F324" s="78"/>
      <c r="G324" s="40"/>
      <c r="H324" s="40"/>
      <c r="I324" s="42"/>
      <c r="J324" s="64" t="str">
        <f t="shared" si="66"/>
        <v/>
      </c>
      <c r="K324" s="251"/>
    </row>
    <row r="325" ht="19.5" hidden="1" customHeight="1">
      <c r="A325" s="126">
        <f t="shared" si="67"/>
        <v>3</v>
      </c>
      <c r="B325" s="37" t="s">
        <v>289</v>
      </c>
      <c r="C325" s="46" t="s">
        <v>108</v>
      </c>
      <c r="D325" s="78"/>
      <c r="E325" s="37"/>
      <c r="F325" s="78"/>
      <c r="G325" s="40"/>
      <c r="H325" s="40"/>
      <c r="I325" s="42"/>
      <c r="J325" s="64" t="str">
        <f t="shared" si="66"/>
        <v/>
      </c>
      <c r="K325" s="251"/>
    </row>
    <row r="326" ht="19.5" hidden="1" customHeight="1">
      <c r="A326" s="126">
        <f t="shared" si="67"/>
        <v>4</v>
      </c>
      <c r="B326" s="37" t="s">
        <v>263</v>
      </c>
      <c r="C326" s="46" t="s">
        <v>108</v>
      </c>
      <c r="D326" s="78"/>
      <c r="E326" s="37"/>
      <c r="F326" s="78"/>
      <c r="G326" s="40"/>
      <c r="H326" s="40"/>
      <c r="I326" s="42"/>
      <c r="J326" s="64" t="str">
        <f t="shared" si="66"/>
        <v/>
      </c>
      <c r="K326" s="251"/>
    </row>
    <row r="327" ht="19.5" hidden="1" customHeight="1">
      <c r="A327" s="126">
        <f t="shared" si="67"/>
        <v>5</v>
      </c>
      <c r="B327" s="37" t="s">
        <v>264</v>
      </c>
      <c r="C327" s="46" t="s">
        <v>108</v>
      </c>
      <c r="D327" s="123"/>
      <c r="E327" s="37"/>
      <c r="F327" s="40"/>
      <c r="G327" s="40"/>
      <c r="H327" s="40"/>
      <c r="I327" s="40"/>
      <c r="J327" s="64" t="str">
        <f t="shared" si="66"/>
        <v/>
      </c>
      <c r="K327" s="251"/>
    </row>
    <row r="328" ht="19.5" hidden="1" customHeight="1">
      <c r="A328" s="126">
        <f t="shared" si="67"/>
        <v>6</v>
      </c>
      <c r="B328" s="37" t="s">
        <v>290</v>
      </c>
      <c r="C328" s="46" t="s">
        <v>108</v>
      </c>
      <c r="D328" s="123"/>
      <c r="E328" s="37"/>
      <c r="F328" s="40"/>
      <c r="G328" s="40"/>
      <c r="H328" s="40"/>
      <c r="I328" s="40"/>
      <c r="J328" s="64" t="str">
        <f t="shared" si="66"/>
        <v/>
      </c>
      <c r="K328" s="251"/>
    </row>
    <row r="329" ht="19.5" hidden="1" customHeight="1">
      <c r="A329" s="126">
        <f t="shared" si="67"/>
        <v>7</v>
      </c>
      <c r="B329" s="37" t="s">
        <v>291</v>
      </c>
      <c r="C329" s="46" t="s">
        <v>108</v>
      </c>
      <c r="D329" s="123"/>
      <c r="E329" s="37"/>
      <c r="F329" s="40"/>
      <c r="G329" s="40"/>
      <c r="H329" s="40"/>
      <c r="I329" s="40"/>
      <c r="J329" s="64" t="str">
        <f t="shared" si="66"/>
        <v/>
      </c>
      <c r="K329" s="251"/>
    </row>
    <row r="330" ht="19.5" hidden="1" customHeight="1">
      <c r="A330" s="126">
        <f t="shared" si="67"/>
        <v>8</v>
      </c>
      <c r="B330" s="37" t="s">
        <v>292</v>
      </c>
      <c r="C330" s="46" t="s">
        <v>106</v>
      </c>
      <c r="D330" s="123"/>
      <c r="E330" s="37"/>
      <c r="F330" s="40"/>
      <c r="G330" s="40"/>
      <c r="H330" s="40"/>
      <c r="I330" s="40"/>
      <c r="J330" s="64" t="str">
        <f t="shared" si="66"/>
        <v/>
      </c>
      <c r="K330" s="251"/>
    </row>
    <row r="331" ht="19.5" hidden="1" customHeight="1">
      <c r="A331" s="126">
        <f t="shared" si="67"/>
        <v>9</v>
      </c>
      <c r="B331" s="37" t="s">
        <v>293</v>
      </c>
      <c r="C331" s="46" t="s">
        <v>106</v>
      </c>
      <c r="D331" s="123"/>
      <c r="E331" s="37"/>
      <c r="F331" s="40"/>
      <c r="G331" s="40"/>
      <c r="H331" s="40"/>
      <c r="I331" s="40"/>
      <c r="J331" s="64" t="str">
        <f t="shared" si="66"/>
        <v/>
      </c>
      <c r="K331" s="251"/>
    </row>
    <row r="332" ht="19.5" hidden="1" customHeight="1">
      <c r="A332" s="126">
        <f t="shared" si="67"/>
        <v>10</v>
      </c>
      <c r="B332" s="37" t="s">
        <v>294</v>
      </c>
      <c r="C332" s="46" t="s">
        <v>106</v>
      </c>
      <c r="D332" s="123"/>
      <c r="E332" s="37"/>
      <c r="F332" s="40"/>
      <c r="G332" s="40"/>
      <c r="H332" s="40"/>
      <c r="I332" s="40"/>
      <c r="J332" s="64" t="str">
        <f t="shared" si="66"/>
        <v/>
      </c>
      <c r="K332" s="251"/>
    </row>
    <row r="333" ht="19.5" hidden="1" customHeight="1">
      <c r="A333" s="126">
        <f t="shared" si="67"/>
        <v>11</v>
      </c>
      <c r="B333" s="37" t="s">
        <v>295</v>
      </c>
      <c r="C333" s="46" t="s">
        <v>106</v>
      </c>
      <c r="D333" s="123"/>
      <c r="E333" s="37"/>
      <c r="F333" s="40"/>
      <c r="G333" s="40"/>
      <c r="H333" s="40"/>
      <c r="I333" s="40"/>
      <c r="J333" s="64" t="str">
        <f t="shared" si="66"/>
        <v/>
      </c>
      <c r="K333" s="251"/>
    </row>
    <row r="334" ht="19.5" hidden="1" customHeight="1">
      <c r="A334" s="126">
        <f t="shared" si="67"/>
        <v>12</v>
      </c>
      <c r="B334" s="37" t="s">
        <v>270</v>
      </c>
      <c r="C334" s="46" t="s">
        <v>106</v>
      </c>
      <c r="D334" s="123"/>
      <c r="E334" s="37"/>
      <c r="F334" s="40"/>
      <c r="G334" s="40"/>
      <c r="H334" s="40"/>
      <c r="I334" s="40"/>
      <c r="J334" s="64" t="str">
        <f t="shared" si="66"/>
        <v/>
      </c>
      <c r="K334" s="251"/>
    </row>
    <row r="335" ht="19.5" hidden="1" customHeight="1">
      <c r="A335" s="126">
        <f t="shared" si="67"/>
        <v>13</v>
      </c>
      <c r="B335" s="37" t="s">
        <v>296</v>
      </c>
      <c r="C335" s="46" t="s">
        <v>106</v>
      </c>
      <c r="D335" s="123"/>
      <c r="E335" s="37"/>
      <c r="F335" s="40"/>
      <c r="G335" s="40"/>
      <c r="H335" s="40"/>
      <c r="I335" s="40"/>
      <c r="J335" s="64" t="str">
        <f t="shared" si="66"/>
        <v/>
      </c>
      <c r="K335" s="251"/>
    </row>
    <row r="336" ht="19.5" hidden="1" customHeight="1">
      <c r="A336" s="126">
        <f t="shared" si="67"/>
        <v>14</v>
      </c>
      <c r="B336" s="37" t="s">
        <v>297</v>
      </c>
      <c r="C336" s="46" t="s">
        <v>106</v>
      </c>
      <c r="D336" s="123"/>
      <c r="E336" s="37"/>
      <c r="F336" s="40"/>
      <c r="G336" s="40"/>
      <c r="H336" s="40"/>
      <c r="I336" s="40"/>
      <c r="J336" s="64" t="str">
        <f t="shared" si="66"/>
        <v/>
      </c>
      <c r="K336" s="251"/>
    </row>
    <row r="337" ht="19.5" hidden="1" customHeight="1">
      <c r="A337" s="126">
        <f t="shared" si="67"/>
        <v>15</v>
      </c>
      <c r="B337" s="37" t="s">
        <v>298</v>
      </c>
      <c r="C337" s="46" t="s">
        <v>106</v>
      </c>
      <c r="D337" s="123"/>
      <c r="E337" s="37"/>
      <c r="F337" s="40"/>
      <c r="G337" s="40"/>
      <c r="H337" s="40"/>
      <c r="I337" s="40"/>
      <c r="J337" s="64" t="str">
        <f t="shared" si="66"/>
        <v/>
      </c>
      <c r="K337" s="251"/>
    </row>
    <row r="338" ht="19.5" hidden="1" customHeight="1">
      <c r="A338" s="126">
        <f t="shared" si="67"/>
        <v>16</v>
      </c>
      <c r="B338" s="37" t="s">
        <v>299</v>
      </c>
      <c r="C338" s="46" t="s">
        <v>106</v>
      </c>
      <c r="D338" s="123"/>
      <c r="E338" s="37"/>
      <c r="F338" s="40"/>
      <c r="G338" s="40"/>
      <c r="H338" s="40"/>
      <c r="I338" s="40"/>
      <c r="J338" s="64" t="str">
        <f t="shared" si="66"/>
        <v/>
      </c>
      <c r="K338" s="251"/>
    </row>
    <row r="339" ht="19.5" hidden="1" customHeight="1">
      <c r="A339" s="126">
        <f t="shared" si="67"/>
        <v>17</v>
      </c>
      <c r="B339" s="37" t="s">
        <v>300</v>
      </c>
      <c r="C339" s="46" t="s">
        <v>106</v>
      </c>
      <c r="D339" s="123"/>
      <c r="E339" s="37"/>
      <c r="F339" s="40"/>
      <c r="G339" s="40"/>
      <c r="H339" s="40"/>
      <c r="I339" s="40"/>
      <c r="J339" s="64" t="str">
        <f t="shared" si="66"/>
        <v/>
      </c>
      <c r="K339" s="251"/>
    </row>
    <row r="340" ht="19.5" hidden="1" customHeight="1">
      <c r="A340" s="126">
        <f t="shared" si="67"/>
        <v>18</v>
      </c>
      <c r="B340" s="37" t="s">
        <v>301</v>
      </c>
      <c r="C340" s="46" t="s">
        <v>106</v>
      </c>
      <c r="D340" s="123"/>
      <c r="E340" s="37"/>
      <c r="F340" s="40"/>
      <c r="G340" s="40"/>
      <c r="H340" s="40"/>
      <c r="I340" s="40"/>
      <c r="J340" s="64" t="str">
        <f t="shared" si="66"/>
        <v/>
      </c>
      <c r="K340" s="251"/>
    </row>
    <row r="341" ht="19.5" hidden="1" customHeight="1">
      <c r="A341" s="126">
        <f t="shared" si="67"/>
        <v>19</v>
      </c>
      <c r="B341" s="37" t="s">
        <v>302</v>
      </c>
      <c r="C341" s="46" t="s">
        <v>106</v>
      </c>
      <c r="D341" s="123"/>
      <c r="E341" s="37"/>
      <c r="F341" s="40"/>
      <c r="G341" s="40"/>
      <c r="H341" s="40"/>
      <c r="I341" s="40"/>
      <c r="J341" s="64" t="str">
        <f t="shared" si="66"/>
        <v/>
      </c>
      <c r="K341" s="251"/>
    </row>
    <row r="342" ht="19.5" hidden="1" customHeight="1">
      <c r="A342" s="126">
        <f t="shared" si="67"/>
        <v>20</v>
      </c>
      <c r="B342" s="37" t="s">
        <v>303</v>
      </c>
      <c r="C342" s="46" t="s">
        <v>106</v>
      </c>
      <c r="D342" s="123"/>
      <c r="E342" s="37"/>
      <c r="F342" s="40"/>
      <c r="G342" s="40"/>
      <c r="H342" s="40"/>
      <c r="I342" s="40"/>
      <c r="J342" s="64" t="str">
        <f t="shared" si="66"/>
        <v/>
      </c>
      <c r="K342" s="251"/>
    </row>
    <row r="343" ht="19.5" hidden="1" customHeight="1">
      <c r="A343" s="126">
        <f t="shared" si="67"/>
        <v>21</v>
      </c>
      <c r="B343" s="37" t="s">
        <v>304</v>
      </c>
      <c r="C343" s="46" t="s">
        <v>106</v>
      </c>
      <c r="D343" s="123"/>
      <c r="E343" s="37"/>
      <c r="F343" s="40"/>
      <c r="G343" s="40"/>
      <c r="H343" s="40"/>
      <c r="I343" s="40"/>
      <c r="J343" s="64" t="str">
        <f t="shared" si="66"/>
        <v/>
      </c>
      <c r="K343" s="251"/>
    </row>
    <row r="344" ht="19.5" hidden="1" customHeight="1">
      <c r="A344" s="126">
        <f t="shared" si="67"/>
        <v>22</v>
      </c>
      <c r="B344" s="37" t="s">
        <v>305</v>
      </c>
      <c r="C344" s="46" t="s">
        <v>106</v>
      </c>
      <c r="D344" s="123"/>
      <c r="E344" s="37"/>
      <c r="F344" s="40"/>
      <c r="G344" s="40"/>
      <c r="H344" s="40"/>
      <c r="I344" s="40"/>
      <c r="J344" s="64" t="str">
        <f t="shared" si="66"/>
        <v/>
      </c>
      <c r="K344" s="251"/>
    </row>
    <row r="345" ht="19.5" hidden="1" customHeight="1">
      <c r="A345" s="126">
        <f t="shared" si="67"/>
        <v>23</v>
      </c>
      <c r="B345" s="37" t="s">
        <v>306</v>
      </c>
      <c r="C345" s="46" t="s">
        <v>106</v>
      </c>
      <c r="D345" s="123"/>
      <c r="E345" s="37"/>
      <c r="F345" s="40"/>
      <c r="G345" s="40"/>
      <c r="H345" s="40"/>
      <c r="I345" s="40"/>
      <c r="J345" s="64" t="str">
        <f t="shared" si="66"/>
        <v/>
      </c>
      <c r="K345" s="251"/>
    </row>
    <row r="346" ht="19.5" hidden="1" customHeight="1">
      <c r="A346" s="126">
        <f t="shared" si="67"/>
        <v>24</v>
      </c>
      <c r="B346" s="37" t="s">
        <v>307</v>
      </c>
      <c r="C346" s="46" t="s">
        <v>106</v>
      </c>
      <c r="D346" s="123"/>
      <c r="E346" s="37"/>
      <c r="F346" s="40"/>
      <c r="G346" s="40"/>
      <c r="H346" s="40"/>
      <c r="I346" s="40"/>
      <c r="J346" s="64" t="str">
        <f t="shared" si="66"/>
        <v/>
      </c>
      <c r="K346" s="251"/>
    </row>
    <row r="347" ht="19.5" hidden="1" customHeight="1">
      <c r="A347" s="126">
        <f t="shared" si="67"/>
        <v>25</v>
      </c>
      <c r="B347" s="37" t="s">
        <v>308</v>
      </c>
      <c r="C347" s="46" t="s">
        <v>106</v>
      </c>
      <c r="D347" s="123"/>
      <c r="E347" s="37"/>
      <c r="F347" s="40"/>
      <c r="G347" s="40"/>
      <c r="H347" s="40"/>
      <c r="I347" s="40"/>
      <c r="J347" s="64" t="str">
        <f t="shared" si="66"/>
        <v/>
      </c>
      <c r="K347" s="251"/>
    </row>
    <row r="348" ht="19.5" hidden="1" customHeight="1">
      <c r="A348" s="126">
        <f t="shared" si="67"/>
        <v>26</v>
      </c>
      <c r="B348" s="37" t="s">
        <v>309</v>
      </c>
      <c r="C348" s="46" t="s">
        <v>106</v>
      </c>
      <c r="D348" s="123"/>
      <c r="E348" s="37"/>
      <c r="F348" s="40"/>
      <c r="G348" s="40"/>
      <c r="H348" s="40"/>
      <c r="I348" s="40"/>
      <c r="J348" s="64" t="str">
        <f t="shared" si="66"/>
        <v/>
      </c>
      <c r="K348" s="251"/>
    </row>
    <row r="349" ht="19.5" hidden="1" customHeight="1">
      <c r="A349" s="126">
        <f t="shared" si="67"/>
        <v>27</v>
      </c>
      <c r="B349" s="37" t="s">
        <v>310</v>
      </c>
      <c r="C349" s="46" t="s">
        <v>106</v>
      </c>
      <c r="D349" s="123"/>
      <c r="E349" s="37"/>
      <c r="F349" s="40"/>
      <c r="G349" s="40"/>
      <c r="H349" s="40"/>
      <c r="I349" s="40"/>
      <c r="J349" s="64" t="str">
        <f t="shared" si="66"/>
        <v/>
      </c>
      <c r="K349" s="251"/>
    </row>
    <row r="350" ht="19.5" hidden="1" customHeight="1">
      <c r="A350" s="126">
        <f t="shared" si="67"/>
        <v>28</v>
      </c>
      <c r="B350" s="37" t="s">
        <v>311</v>
      </c>
      <c r="C350" s="46" t="s">
        <v>106</v>
      </c>
      <c r="D350" s="123"/>
      <c r="E350" s="37"/>
      <c r="F350" s="40"/>
      <c r="G350" s="40"/>
      <c r="H350" s="40"/>
      <c r="I350" s="40"/>
      <c r="J350" s="64" t="str">
        <f t="shared" si="66"/>
        <v/>
      </c>
      <c r="K350" s="251"/>
    </row>
    <row r="351" ht="19.5" hidden="1" customHeight="1">
      <c r="A351" s="126">
        <f t="shared" si="67"/>
        <v>29</v>
      </c>
      <c r="B351" s="37" t="s">
        <v>312</v>
      </c>
      <c r="C351" s="46" t="s">
        <v>106</v>
      </c>
      <c r="D351" s="123"/>
      <c r="E351" s="37"/>
      <c r="F351" s="40"/>
      <c r="G351" s="40"/>
      <c r="H351" s="40"/>
      <c r="I351" s="40"/>
      <c r="J351" s="64" t="str">
        <f t="shared" si="66"/>
        <v/>
      </c>
      <c r="K351" s="251"/>
    </row>
    <row r="352" ht="19.5" hidden="1" customHeight="1">
      <c r="A352" s="126">
        <f t="shared" si="67"/>
        <v>30</v>
      </c>
      <c r="B352" s="37" t="s">
        <v>313</v>
      </c>
      <c r="C352" s="46" t="s">
        <v>106</v>
      </c>
      <c r="D352" s="123"/>
      <c r="E352" s="37"/>
      <c r="F352" s="40"/>
      <c r="G352" s="40"/>
      <c r="H352" s="40"/>
      <c r="I352" s="40"/>
      <c r="J352" s="64" t="str">
        <f t="shared" si="66"/>
        <v/>
      </c>
      <c r="K352" s="251"/>
    </row>
    <row r="353" ht="19.5" hidden="1" customHeight="1">
      <c r="A353" s="126">
        <f t="shared" si="67"/>
        <v>31</v>
      </c>
      <c r="B353" s="37" t="s">
        <v>314</v>
      </c>
      <c r="C353" s="46" t="s">
        <v>106</v>
      </c>
      <c r="D353" s="123"/>
      <c r="E353" s="37"/>
      <c r="F353" s="40"/>
      <c r="G353" s="40"/>
      <c r="H353" s="40"/>
      <c r="I353" s="40"/>
      <c r="J353" s="64" t="str">
        <f t="shared" si="66"/>
        <v/>
      </c>
      <c r="K353" s="251"/>
    </row>
    <row r="354" ht="19.5" hidden="1" customHeight="1">
      <c r="A354" s="126">
        <f t="shared" si="67"/>
        <v>32</v>
      </c>
      <c r="B354" s="37" t="s">
        <v>315</v>
      </c>
      <c r="C354" s="46" t="s">
        <v>106</v>
      </c>
      <c r="D354" s="123"/>
      <c r="E354" s="37"/>
      <c r="F354" s="40"/>
      <c r="G354" s="40"/>
      <c r="H354" s="40"/>
      <c r="I354" s="40"/>
      <c r="J354" s="64" t="str">
        <f t="shared" si="66"/>
        <v/>
      </c>
      <c r="K354" s="251"/>
    </row>
    <row r="355" ht="19.5" hidden="1" customHeight="1">
      <c r="A355" s="126">
        <f t="shared" si="67"/>
        <v>33</v>
      </c>
      <c r="B355" s="37" t="s">
        <v>316</v>
      </c>
      <c r="C355" s="46" t="s">
        <v>106</v>
      </c>
      <c r="D355" s="123"/>
      <c r="E355" s="37"/>
      <c r="F355" s="40"/>
      <c r="G355" s="40"/>
      <c r="H355" s="40"/>
      <c r="I355" s="40"/>
      <c r="J355" s="64" t="str">
        <f t="shared" si="66"/>
        <v/>
      </c>
      <c r="K355" s="251"/>
    </row>
    <row r="356" ht="19.5" hidden="1" customHeight="1">
      <c r="A356" s="126">
        <f t="shared" si="67"/>
        <v>34</v>
      </c>
      <c r="B356" s="37" t="s">
        <v>317</v>
      </c>
      <c r="C356" s="46" t="s">
        <v>106</v>
      </c>
      <c r="D356" s="123"/>
      <c r="E356" s="37"/>
      <c r="F356" s="40"/>
      <c r="G356" s="40"/>
      <c r="H356" s="40"/>
      <c r="I356" s="40"/>
      <c r="J356" s="303">
        <v>5.0</v>
      </c>
      <c r="K356" s="251"/>
    </row>
    <row r="357" ht="19.5" hidden="1" customHeight="1">
      <c r="A357" s="126">
        <f t="shared" si="67"/>
        <v>35</v>
      </c>
      <c r="B357" s="37" t="s">
        <v>318</v>
      </c>
      <c r="C357" s="46" t="s">
        <v>106</v>
      </c>
      <c r="D357" s="123"/>
      <c r="E357" s="37"/>
      <c r="F357" s="40"/>
      <c r="G357" s="40"/>
      <c r="H357" s="40"/>
      <c r="I357" s="40"/>
      <c r="J357" s="64" t="str">
        <f t="shared" ref="J357:J358" si="68">H357</f>
        <v/>
      </c>
      <c r="K357" s="251"/>
    </row>
    <row r="358" ht="19.5" hidden="1" customHeight="1">
      <c r="A358" s="126">
        <f t="shared" si="67"/>
        <v>36</v>
      </c>
      <c r="B358" s="37" t="s">
        <v>319</v>
      </c>
      <c r="C358" s="46" t="s">
        <v>106</v>
      </c>
      <c r="D358" s="123"/>
      <c r="E358" s="37"/>
      <c r="F358" s="40"/>
      <c r="G358" s="40"/>
      <c r="H358" s="40"/>
      <c r="I358" s="40"/>
      <c r="J358" s="64" t="str">
        <f t="shared" si="68"/>
        <v/>
      </c>
      <c r="K358" s="251"/>
    </row>
    <row r="359" ht="19.5" customHeight="1">
      <c r="A359" s="154" t="s">
        <v>873</v>
      </c>
      <c r="B359" s="37" t="s">
        <v>320</v>
      </c>
      <c r="C359" s="46" t="s">
        <v>106</v>
      </c>
      <c r="D359" s="123"/>
      <c r="E359" s="37"/>
      <c r="F359" s="40"/>
      <c r="G359" s="40"/>
      <c r="H359" s="40"/>
      <c r="I359" s="40"/>
      <c r="J359" s="303">
        <v>4.0</v>
      </c>
      <c r="K359" s="251"/>
    </row>
    <row r="360" ht="19.5" customHeight="1">
      <c r="A360" s="154" t="s">
        <v>874</v>
      </c>
      <c r="B360" s="49" t="s">
        <v>875</v>
      </c>
      <c r="C360" s="46" t="s">
        <v>106</v>
      </c>
      <c r="D360" s="123"/>
      <c r="E360" s="37"/>
      <c r="F360" s="40"/>
      <c r="G360" s="40"/>
      <c r="H360" s="40"/>
      <c r="I360" s="40"/>
      <c r="J360" s="303">
        <v>1.0</v>
      </c>
      <c r="K360" s="251"/>
    </row>
    <row r="361" ht="19.5" customHeight="1">
      <c r="A361" s="154" t="s">
        <v>876</v>
      </c>
      <c r="B361" s="37" t="s">
        <v>321</v>
      </c>
      <c r="C361" s="46" t="s">
        <v>106</v>
      </c>
      <c r="D361" s="123"/>
      <c r="E361" s="37"/>
      <c r="F361" s="40"/>
      <c r="G361" s="40"/>
      <c r="H361" s="40"/>
      <c r="I361" s="40"/>
      <c r="J361" s="303">
        <v>5.0</v>
      </c>
      <c r="K361" s="251"/>
    </row>
    <row r="362" ht="19.5" customHeight="1">
      <c r="A362" s="74" t="s">
        <v>1</v>
      </c>
      <c r="B362" s="74" t="s">
        <v>91</v>
      </c>
      <c r="C362" s="74" t="s">
        <v>92</v>
      </c>
      <c r="D362" s="76" t="s">
        <v>93</v>
      </c>
      <c r="E362" s="50" t="s">
        <v>97</v>
      </c>
      <c r="F362" s="53" t="s">
        <v>121</v>
      </c>
      <c r="G362" s="53" t="s">
        <v>99</v>
      </c>
      <c r="H362" s="53" t="s">
        <v>100</v>
      </c>
      <c r="I362" s="53" t="s">
        <v>101</v>
      </c>
      <c r="J362" s="76" t="s">
        <v>95</v>
      </c>
      <c r="K362" s="247" t="s">
        <v>96</v>
      </c>
    </row>
    <row r="363" ht="19.5" customHeight="1">
      <c r="A363" s="154" t="s">
        <v>877</v>
      </c>
      <c r="B363" s="37" t="s">
        <v>326</v>
      </c>
      <c r="C363" s="46" t="s">
        <v>106</v>
      </c>
      <c r="D363" s="39">
        <v>5.0</v>
      </c>
      <c r="E363" s="37"/>
      <c r="F363" s="78"/>
      <c r="G363" s="40"/>
      <c r="H363" s="40">
        <f t="shared" ref="H363:H365" si="69">D363</f>
        <v>5</v>
      </c>
      <c r="I363" s="42"/>
      <c r="J363" s="303">
        <f t="shared" ref="J363:J365" si="70">H363</f>
        <v>5</v>
      </c>
      <c r="K363" s="251"/>
    </row>
    <row r="364" ht="19.5" customHeight="1">
      <c r="A364" s="154" t="s">
        <v>878</v>
      </c>
      <c r="B364" s="37" t="s">
        <v>327</v>
      </c>
      <c r="C364" s="46" t="s">
        <v>106</v>
      </c>
      <c r="D364" s="125">
        <v>5.0</v>
      </c>
      <c r="E364" s="37"/>
      <c r="F364" s="40"/>
      <c r="G364" s="40"/>
      <c r="H364" s="40">
        <f t="shared" si="69"/>
        <v>5</v>
      </c>
      <c r="I364" s="40"/>
      <c r="J364" s="303">
        <f t="shared" si="70"/>
        <v>5</v>
      </c>
      <c r="K364" s="251"/>
    </row>
    <row r="365" ht="19.5" customHeight="1">
      <c r="A365" s="154" t="s">
        <v>879</v>
      </c>
      <c r="B365" s="49" t="s">
        <v>880</v>
      </c>
      <c r="C365" s="46" t="s">
        <v>106</v>
      </c>
      <c r="D365" s="125">
        <v>5.0</v>
      </c>
      <c r="E365" s="37"/>
      <c r="F365" s="40"/>
      <c r="G365" s="40"/>
      <c r="H365" s="40">
        <f t="shared" si="69"/>
        <v>5</v>
      </c>
      <c r="I365" s="40"/>
      <c r="J365" s="303">
        <f t="shared" si="70"/>
        <v>5</v>
      </c>
      <c r="K365" s="251"/>
    </row>
    <row r="366" ht="19.5" customHeight="1">
      <c r="A366" s="154" t="s">
        <v>881</v>
      </c>
      <c r="B366" s="49" t="s">
        <v>882</v>
      </c>
      <c r="C366" s="46" t="s">
        <v>103</v>
      </c>
      <c r="D366" s="123">
        <v>1.0</v>
      </c>
      <c r="E366" s="49">
        <v>0.9</v>
      </c>
      <c r="F366" s="41">
        <v>0.6</v>
      </c>
      <c r="G366" s="40"/>
      <c r="H366" s="40">
        <f t="shared" ref="H366:H368" si="71">D366*E366*F366</f>
        <v>0.54</v>
      </c>
      <c r="I366" s="40"/>
      <c r="J366" s="303">
        <f>SUM(H366:H368)</f>
        <v>3.42</v>
      </c>
      <c r="K366" s="251"/>
    </row>
    <row r="367" ht="19.5" customHeight="1">
      <c r="A367" s="154" t="s">
        <v>881</v>
      </c>
      <c r="B367" s="49" t="s">
        <v>883</v>
      </c>
      <c r="C367" s="46" t="s">
        <v>103</v>
      </c>
      <c r="D367" s="125">
        <v>2.0</v>
      </c>
      <c r="E367" s="49">
        <v>0.9</v>
      </c>
      <c r="F367" s="41">
        <v>1.05</v>
      </c>
      <c r="G367" s="40"/>
      <c r="H367" s="40">
        <f t="shared" si="71"/>
        <v>1.89</v>
      </c>
      <c r="I367" s="40"/>
      <c r="J367" s="303"/>
      <c r="K367" s="251"/>
    </row>
    <row r="368" ht="19.5" customHeight="1">
      <c r="A368" s="154" t="s">
        <v>881</v>
      </c>
      <c r="B368" s="49" t="s">
        <v>884</v>
      </c>
      <c r="C368" s="46" t="s">
        <v>103</v>
      </c>
      <c r="D368" s="125">
        <v>2.0</v>
      </c>
      <c r="E368" s="49">
        <v>0.9</v>
      </c>
      <c r="F368" s="41">
        <v>0.55</v>
      </c>
      <c r="G368" s="40"/>
      <c r="H368" s="40">
        <f t="shared" si="71"/>
        <v>0.99</v>
      </c>
      <c r="I368" s="40"/>
      <c r="J368" s="303"/>
      <c r="K368" s="251"/>
    </row>
    <row r="369" ht="19.5" customHeight="1">
      <c r="A369" s="74" t="s">
        <v>1</v>
      </c>
      <c r="B369" s="74" t="s">
        <v>91</v>
      </c>
      <c r="C369" s="74" t="s">
        <v>92</v>
      </c>
      <c r="D369" s="76" t="s">
        <v>93</v>
      </c>
      <c r="E369" s="50" t="s">
        <v>97</v>
      </c>
      <c r="F369" s="53" t="s">
        <v>121</v>
      </c>
      <c r="G369" s="53" t="s">
        <v>99</v>
      </c>
      <c r="H369" s="53" t="s">
        <v>100</v>
      </c>
      <c r="I369" s="53" t="s">
        <v>101</v>
      </c>
      <c r="J369" s="285" t="s">
        <v>95</v>
      </c>
      <c r="K369" s="247" t="s">
        <v>96</v>
      </c>
    </row>
    <row r="370" ht="19.5" customHeight="1">
      <c r="A370" s="154" t="s">
        <v>885</v>
      </c>
      <c r="B370" s="49" t="s">
        <v>886</v>
      </c>
      <c r="C370" s="38" t="s">
        <v>108</v>
      </c>
      <c r="D370" s="125">
        <v>2.0</v>
      </c>
      <c r="E370" s="49"/>
      <c r="F370" s="41">
        <f>10.6</f>
        <v>10.6</v>
      </c>
      <c r="G370" s="40"/>
      <c r="H370" s="40"/>
      <c r="I370" s="40"/>
      <c r="J370" s="303">
        <f>D370*F370</f>
        <v>21.2</v>
      </c>
      <c r="K370" s="251"/>
    </row>
    <row r="371" ht="19.5" customHeight="1">
      <c r="A371" s="12"/>
      <c r="C371" s="12"/>
      <c r="D371" s="87"/>
      <c r="F371" s="14"/>
      <c r="G371" s="14"/>
      <c r="H371" s="14"/>
      <c r="I371" s="14"/>
      <c r="J371" s="14"/>
      <c r="K371" s="302"/>
    </row>
    <row r="372" ht="19.5" customHeight="1">
      <c r="A372" s="12"/>
      <c r="C372" s="12"/>
      <c r="D372" s="87"/>
      <c r="F372" s="14"/>
      <c r="G372" s="14"/>
      <c r="H372" s="14"/>
      <c r="I372" s="14"/>
      <c r="J372" s="14"/>
      <c r="K372" s="302"/>
    </row>
    <row r="373" ht="19.5" customHeight="1">
      <c r="A373" s="12"/>
      <c r="C373" s="12"/>
      <c r="D373" s="87"/>
      <c r="F373" s="14"/>
      <c r="G373" s="14"/>
      <c r="H373" s="14"/>
      <c r="I373" s="14"/>
      <c r="J373" s="14"/>
      <c r="K373" s="302"/>
    </row>
    <row r="374" ht="19.5" customHeight="1">
      <c r="A374" s="12"/>
      <c r="C374" s="12"/>
      <c r="D374" s="87"/>
      <c r="F374" s="14"/>
      <c r="G374" s="14"/>
      <c r="H374" s="14"/>
      <c r="I374" s="14"/>
      <c r="J374" s="14"/>
      <c r="K374" s="302"/>
    </row>
    <row r="375" ht="19.5" customHeight="1">
      <c r="A375" s="12"/>
      <c r="C375" s="12"/>
      <c r="D375" s="87"/>
      <c r="F375" s="14"/>
      <c r="G375" s="14"/>
      <c r="H375" s="14"/>
      <c r="I375" s="14"/>
      <c r="J375" s="14"/>
      <c r="K375" s="302"/>
    </row>
    <row r="376" ht="19.5" customHeight="1">
      <c r="A376" s="12"/>
      <c r="C376" s="12"/>
      <c r="D376" s="87"/>
      <c r="F376" s="14"/>
      <c r="G376" s="14"/>
      <c r="H376" s="14"/>
      <c r="I376" s="14"/>
      <c r="J376" s="14"/>
      <c r="K376" s="302"/>
    </row>
    <row r="377" ht="19.5" customHeight="1">
      <c r="A377" s="12"/>
      <c r="C377" s="12"/>
      <c r="D377" s="87"/>
      <c r="F377" s="14"/>
      <c r="G377" s="14"/>
      <c r="H377" s="14"/>
      <c r="I377" s="14"/>
      <c r="J377" s="14"/>
      <c r="K377" s="302"/>
    </row>
    <row r="378" ht="19.5" customHeight="1">
      <c r="A378" s="12"/>
      <c r="C378" s="12"/>
      <c r="D378" s="87"/>
      <c r="F378" s="14"/>
      <c r="G378" s="14"/>
      <c r="H378" s="14"/>
      <c r="I378" s="14"/>
      <c r="J378" s="14"/>
      <c r="K378" s="302"/>
    </row>
    <row r="379" ht="19.5" customHeight="1">
      <c r="A379" s="12"/>
      <c r="C379" s="12"/>
      <c r="D379" s="87"/>
      <c r="F379" s="14"/>
      <c r="G379" s="14"/>
      <c r="H379" s="14"/>
      <c r="I379" s="14"/>
      <c r="J379" s="14"/>
      <c r="K379" s="302"/>
    </row>
    <row r="380" ht="19.5" customHeight="1">
      <c r="A380" s="12"/>
      <c r="C380" s="12"/>
      <c r="D380" s="87"/>
      <c r="F380" s="14"/>
      <c r="G380" s="14"/>
      <c r="H380" s="14"/>
      <c r="I380" s="14"/>
      <c r="J380" s="14"/>
      <c r="K380" s="302"/>
    </row>
    <row r="381" ht="19.5" customHeight="1">
      <c r="A381" s="12"/>
      <c r="C381" s="12"/>
      <c r="D381" s="87"/>
      <c r="F381" s="14"/>
      <c r="G381" s="14"/>
      <c r="H381" s="14"/>
      <c r="I381" s="14"/>
      <c r="J381" s="14"/>
      <c r="K381" s="302"/>
    </row>
    <row r="382" ht="19.5" customHeight="1">
      <c r="A382" s="12"/>
      <c r="C382" s="12"/>
      <c r="D382" s="87"/>
      <c r="F382" s="14"/>
      <c r="G382" s="14"/>
      <c r="H382" s="14"/>
      <c r="I382" s="14"/>
      <c r="J382" s="14"/>
      <c r="K382" s="302"/>
    </row>
    <row r="383" ht="19.5" customHeight="1">
      <c r="A383" s="12"/>
      <c r="C383" s="12"/>
      <c r="D383" s="87"/>
      <c r="F383" s="14"/>
      <c r="G383" s="14"/>
      <c r="H383" s="14"/>
      <c r="I383" s="14"/>
      <c r="J383" s="14"/>
      <c r="K383" s="302"/>
    </row>
    <row r="384" ht="19.5" customHeight="1">
      <c r="A384" s="12"/>
      <c r="C384" s="12"/>
      <c r="D384" s="87"/>
      <c r="F384" s="14"/>
      <c r="G384" s="14"/>
      <c r="H384" s="14"/>
      <c r="I384" s="14"/>
      <c r="J384" s="14"/>
      <c r="K384" s="302"/>
    </row>
    <row r="385" ht="19.5" customHeight="1">
      <c r="A385" s="12"/>
      <c r="C385" s="12"/>
      <c r="D385" s="87"/>
      <c r="F385" s="14"/>
      <c r="G385" s="14"/>
      <c r="H385" s="14"/>
      <c r="I385" s="14"/>
      <c r="J385" s="14"/>
      <c r="K385" s="302"/>
    </row>
    <row r="386" ht="19.5" customHeight="1">
      <c r="A386" s="12"/>
      <c r="C386" s="12"/>
      <c r="D386" s="87"/>
      <c r="F386" s="14"/>
      <c r="G386" s="14"/>
      <c r="H386" s="14"/>
      <c r="I386" s="14"/>
      <c r="J386" s="14"/>
      <c r="K386" s="302"/>
    </row>
    <row r="387" ht="19.5" customHeight="1">
      <c r="A387" s="12"/>
      <c r="C387" s="12"/>
      <c r="D387" s="87"/>
      <c r="F387" s="14"/>
      <c r="G387" s="14"/>
      <c r="H387" s="14"/>
      <c r="I387" s="14"/>
      <c r="J387" s="14"/>
      <c r="K387" s="302"/>
    </row>
    <row r="388" ht="19.5" customHeight="1">
      <c r="A388" s="12"/>
      <c r="C388" s="12"/>
      <c r="D388" s="87"/>
      <c r="F388" s="14"/>
      <c r="G388" s="14"/>
      <c r="H388" s="14"/>
      <c r="I388" s="14"/>
      <c r="J388" s="14"/>
      <c r="K388" s="302"/>
    </row>
    <row r="389" ht="19.5" customHeight="1">
      <c r="A389" s="12"/>
      <c r="C389" s="12"/>
      <c r="D389" s="87"/>
      <c r="F389" s="14"/>
      <c r="G389" s="14"/>
      <c r="H389" s="14"/>
      <c r="I389" s="14"/>
      <c r="J389" s="14"/>
      <c r="K389" s="302"/>
    </row>
    <row r="390" ht="19.5" customHeight="1">
      <c r="A390" s="12"/>
      <c r="C390" s="12"/>
      <c r="D390" s="87"/>
      <c r="F390" s="14"/>
      <c r="G390" s="14"/>
      <c r="H390" s="14"/>
      <c r="I390" s="14"/>
      <c r="J390" s="14"/>
      <c r="K390" s="302"/>
    </row>
    <row r="391" ht="19.5" customHeight="1">
      <c r="A391" s="12"/>
      <c r="C391" s="12"/>
      <c r="D391" s="87"/>
      <c r="F391" s="14"/>
      <c r="G391" s="14"/>
      <c r="H391" s="14"/>
      <c r="I391" s="14"/>
      <c r="J391" s="14"/>
      <c r="K391" s="302"/>
    </row>
    <row r="392" ht="19.5" customHeight="1">
      <c r="A392" s="12"/>
      <c r="C392" s="12"/>
      <c r="D392" s="87"/>
      <c r="F392" s="14"/>
      <c r="G392" s="14"/>
      <c r="H392" s="14"/>
      <c r="I392" s="14"/>
      <c r="J392" s="14"/>
      <c r="K392" s="302"/>
    </row>
    <row r="393" ht="19.5" customHeight="1">
      <c r="A393" s="12"/>
      <c r="C393" s="12"/>
      <c r="D393" s="87"/>
      <c r="F393" s="14"/>
      <c r="G393" s="14"/>
      <c r="H393" s="14"/>
      <c r="I393" s="14"/>
      <c r="J393" s="14"/>
      <c r="K393" s="302"/>
    </row>
    <row r="394" ht="19.5" customHeight="1">
      <c r="A394" s="12"/>
      <c r="C394" s="12"/>
      <c r="D394" s="87"/>
      <c r="F394" s="14"/>
      <c r="G394" s="14"/>
      <c r="H394" s="14"/>
      <c r="I394" s="14"/>
      <c r="J394" s="14"/>
      <c r="K394" s="302"/>
    </row>
    <row r="395" ht="19.5" customHeight="1">
      <c r="A395" s="12"/>
      <c r="C395" s="12"/>
      <c r="D395" s="87"/>
      <c r="F395" s="14"/>
      <c r="G395" s="14"/>
      <c r="H395" s="14"/>
      <c r="I395" s="14"/>
      <c r="J395" s="14"/>
      <c r="K395" s="302"/>
    </row>
    <row r="396" ht="19.5" customHeight="1">
      <c r="A396" s="12"/>
      <c r="C396" s="12"/>
      <c r="D396" s="87"/>
      <c r="F396" s="14"/>
      <c r="G396" s="14"/>
      <c r="H396" s="14"/>
      <c r="I396" s="14"/>
      <c r="J396" s="14"/>
      <c r="K396" s="302"/>
    </row>
    <row r="397" ht="19.5" customHeight="1">
      <c r="A397" s="12"/>
      <c r="C397" s="12"/>
      <c r="D397" s="87"/>
      <c r="F397" s="14"/>
      <c r="G397" s="14"/>
      <c r="H397" s="14"/>
      <c r="I397" s="14"/>
      <c r="J397" s="14"/>
      <c r="K397" s="302"/>
    </row>
    <row r="398" ht="19.5" customHeight="1">
      <c r="A398" s="12"/>
      <c r="C398" s="12"/>
      <c r="D398" s="87"/>
      <c r="F398" s="14"/>
      <c r="G398" s="14"/>
      <c r="H398" s="14"/>
      <c r="I398" s="14"/>
      <c r="J398" s="14"/>
      <c r="K398" s="302"/>
    </row>
    <row r="399" ht="19.5" customHeight="1">
      <c r="A399" s="12"/>
      <c r="C399" s="12"/>
      <c r="D399" s="87"/>
      <c r="F399" s="14"/>
      <c r="G399" s="14"/>
      <c r="H399" s="14"/>
      <c r="I399" s="14"/>
      <c r="J399" s="14"/>
      <c r="K399" s="302"/>
    </row>
    <row r="400" ht="19.5" customHeight="1">
      <c r="A400" s="12"/>
      <c r="C400" s="12"/>
      <c r="D400" s="87"/>
      <c r="F400" s="14"/>
      <c r="G400" s="14"/>
      <c r="H400" s="14"/>
      <c r="I400" s="14"/>
      <c r="J400" s="14"/>
      <c r="K400" s="302"/>
    </row>
    <row r="401" ht="19.5" customHeight="1">
      <c r="A401" s="12"/>
      <c r="C401" s="12"/>
      <c r="D401" s="87"/>
      <c r="F401" s="14"/>
      <c r="G401" s="14"/>
      <c r="H401" s="14"/>
      <c r="I401" s="14"/>
      <c r="J401" s="14"/>
      <c r="K401" s="302"/>
    </row>
    <row r="402" ht="19.5" customHeight="1">
      <c r="A402" s="12"/>
      <c r="C402" s="12"/>
      <c r="D402" s="87"/>
      <c r="F402" s="14"/>
      <c r="G402" s="14"/>
      <c r="H402" s="14"/>
      <c r="I402" s="14"/>
      <c r="J402" s="14"/>
      <c r="K402" s="302"/>
    </row>
    <row r="403" ht="19.5" customHeight="1">
      <c r="A403" s="12"/>
      <c r="C403" s="12"/>
      <c r="D403" s="87"/>
      <c r="F403" s="14"/>
      <c r="G403" s="14"/>
      <c r="H403" s="14"/>
      <c r="I403" s="14"/>
      <c r="J403" s="14"/>
      <c r="K403" s="302"/>
    </row>
    <row r="404" ht="19.5" customHeight="1">
      <c r="A404" s="12"/>
      <c r="C404" s="12"/>
      <c r="D404" s="87"/>
      <c r="F404" s="14"/>
      <c r="G404" s="14"/>
      <c r="H404" s="14"/>
      <c r="I404" s="14"/>
      <c r="J404" s="14"/>
      <c r="K404" s="302"/>
    </row>
    <row r="405" ht="19.5" customHeight="1">
      <c r="A405" s="12"/>
      <c r="C405" s="12"/>
      <c r="D405" s="87"/>
      <c r="F405" s="14"/>
      <c r="G405" s="14"/>
      <c r="H405" s="14"/>
      <c r="I405" s="14"/>
      <c r="J405" s="14"/>
      <c r="K405" s="302"/>
    </row>
    <row r="406" ht="19.5" customHeight="1">
      <c r="A406" s="12"/>
      <c r="C406" s="12"/>
      <c r="D406" s="87"/>
      <c r="F406" s="14"/>
      <c r="G406" s="14"/>
      <c r="H406" s="14"/>
      <c r="I406" s="14"/>
      <c r="J406" s="14"/>
      <c r="K406" s="302"/>
    </row>
    <row r="407" ht="19.5" customHeight="1">
      <c r="A407" s="12"/>
      <c r="C407" s="12"/>
      <c r="D407" s="87"/>
      <c r="F407" s="14"/>
      <c r="G407" s="14"/>
      <c r="H407" s="14"/>
      <c r="I407" s="14"/>
      <c r="J407" s="14"/>
      <c r="K407" s="302"/>
    </row>
    <row r="408" ht="19.5" customHeight="1">
      <c r="A408" s="12"/>
      <c r="C408" s="12"/>
      <c r="D408" s="87"/>
      <c r="F408" s="14"/>
      <c r="G408" s="14"/>
      <c r="H408" s="14"/>
      <c r="I408" s="14"/>
      <c r="J408" s="14"/>
      <c r="K408" s="302"/>
    </row>
    <row r="409" ht="19.5" customHeight="1">
      <c r="A409" s="12"/>
      <c r="C409" s="12"/>
      <c r="D409" s="87"/>
      <c r="F409" s="14"/>
      <c r="G409" s="14"/>
      <c r="H409" s="14"/>
      <c r="I409" s="14"/>
      <c r="J409" s="14"/>
      <c r="K409" s="302"/>
    </row>
    <row r="410" ht="19.5" customHeight="1">
      <c r="A410" s="12"/>
      <c r="C410" s="12"/>
      <c r="D410" s="87"/>
      <c r="F410" s="14"/>
      <c r="G410" s="14"/>
      <c r="H410" s="14"/>
      <c r="I410" s="14"/>
      <c r="J410" s="14"/>
      <c r="K410" s="302"/>
    </row>
    <row r="411" ht="19.5" customHeight="1">
      <c r="A411" s="12"/>
      <c r="C411" s="12"/>
      <c r="D411" s="87"/>
      <c r="F411" s="14"/>
      <c r="G411" s="14"/>
      <c r="H411" s="14"/>
      <c r="I411" s="14"/>
      <c r="J411" s="14"/>
      <c r="K411" s="302"/>
    </row>
    <row r="412" ht="19.5" customHeight="1">
      <c r="A412" s="12"/>
      <c r="C412" s="12"/>
      <c r="D412" s="87"/>
      <c r="F412" s="14"/>
      <c r="G412" s="14"/>
      <c r="H412" s="14"/>
      <c r="I412" s="14"/>
      <c r="J412" s="14"/>
      <c r="K412" s="302"/>
    </row>
    <row r="413" ht="19.5" customHeight="1">
      <c r="A413" s="12"/>
      <c r="C413" s="12"/>
      <c r="D413" s="87"/>
      <c r="F413" s="14"/>
      <c r="G413" s="14"/>
      <c r="H413" s="14"/>
      <c r="I413" s="14"/>
      <c r="J413" s="14"/>
      <c r="K413" s="302"/>
    </row>
    <row r="414" ht="19.5" customHeight="1">
      <c r="A414" s="12"/>
      <c r="C414" s="12"/>
      <c r="D414" s="87"/>
      <c r="F414" s="14"/>
      <c r="G414" s="14"/>
      <c r="H414" s="14"/>
      <c r="I414" s="14"/>
      <c r="J414" s="14"/>
      <c r="K414" s="302"/>
    </row>
    <row r="415" ht="19.5" customHeight="1">
      <c r="A415" s="12"/>
      <c r="C415" s="12"/>
      <c r="D415" s="87"/>
      <c r="F415" s="14"/>
      <c r="G415" s="14"/>
      <c r="H415" s="14"/>
      <c r="I415" s="14"/>
      <c r="J415" s="14"/>
      <c r="K415" s="302"/>
    </row>
    <row r="416" ht="19.5" customHeight="1">
      <c r="A416" s="12"/>
      <c r="C416" s="12"/>
      <c r="D416" s="87"/>
      <c r="F416" s="14"/>
      <c r="G416" s="14"/>
      <c r="H416" s="14"/>
      <c r="I416" s="14"/>
      <c r="J416" s="14"/>
      <c r="K416" s="302"/>
    </row>
    <row r="417" ht="19.5" customHeight="1">
      <c r="A417" s="12"/>
      <c r="C417" s="12"/>
      <c r="D417" s="87"/>
      <c r="F417" s="14"/>
      <c r="G417" s="14"/>
      <c r="H417" s="14"/>
      <c r="I417" s="14"/>
      <c r="J417" s="14"/>
      <c r="K417" s="302"/>
    </row>
    <row r="418" ht="19.5" customHeight="1">
      <c r="A418" s="12"/>
      <c r="C418" s="12"/>
      <c r="D418" s="87"/>
      <c r="F418" s="14"/>
      <c r="G418" s="14"/>
      <c r="H418" s="14"/>
      <c r="I418" s="14"/>
      <c r="J418" s="14"/>
      <c r="K418" s="302"/>
    </row>
    <row r="419" ht="19.5" customHeight="1">
      <c r="A419" s="12"/>
      <c r="C419" s="12"/>
      <c r="D419" s="87"/>
      <c r="F419" s="14"/>
      <c r="G419" s="14"/>
      <c r="H419" s="14"/>
      <c r="I419" s="14"/>
      <c r="J419" s="14"/>
      <c r="K419" s="302"/>
    </row>
    <row r="420" ht="19.5" customHeight="1">
      <c r="A420" s="12"/>
      <c r="C420" s="12"/>
      <c r="D420" s="87"/>
      <c r="F420" s="14"/>
      <c r="G420" s="14"/>
      <c r="H420" s="14"/>
      <c r="I420" s="14"/>
      <c r="J420" s="14"/>
      <c r="K420" s="302"/>
    </row>
    <row r="421" ht="19.5" customHeight="1">
      <c r="A421" s="12"/>
      <c r="C421" s="12"/>
      <c r="D421" s="87"/>
      <c r="F421" s="14"/>
      <c r="G421" s="14"/>
      <c r="H421" s="14"/>
      <c r="I421" s="14"/>
      <c r="J421" s="14"/>
      <c r="K421" s="302"/>
    </row>
    <row r="422" ht="19.5" customHeight="1">
      <c r="A422" s="12"/>
      <c r="C422" s="12"/>
      <c r="D422" s="87"/>
      <c r="F422" s="14"/>
      <c r="G422" s="14"/>
      <c r="H422" s="14"/>
      <c r="I422" s="14"/>
      <c r="J422" s="14"/>
      <c r="K422" s="302"/>
    </row>
    <row r="423" ht="19.5" customHeight="1">
      <c r="A423" s="12"/>
      <c r="C423" s="12"/>
      <c r="D423" s="87"/>
      <c r="F423" s="14"/>
      <c r="G423" s="14"/>
      <c r="H423" s="14"/>
      <c r="I423" s="14"/>
      <c r="J423" s="14"/>
      <c r="K423" s="302"/>
    </row>
    <row r="424" ht="19.5" customHeight="1">
      <c r="A424" s="12"/>
      <c r="C424" s="12"/>
      <c r="D424" s="87"/>
      <c r="F424" s="14"/>
      <c r="G424" s="14"/>
      <c r="H424" s="14"/>
      <c r="I424" s="14"/>
      <c r="J424" s="14"/>
      <c r="K424" s="302"/>
    </row>
    <row r="425" ht="19.5" customHeight="1">
      <c r="A425" s="12"/>
      <c r="C425" s="12"/>
      <c r="D425" s="87"/>
      <c r="F425" s="14"/>
      <c r="G425" s="14"/>
      <c r="H425" s="14"/>
      <c r="I425" s="14"/>
      <c r="J425" s="14"/>
      <c r="K425" s="302"/>
    </row>
    <row r="426" ht="19.5" customHeight="1">
      <c r="A426" s="12"/>
      <c r="C426" s="12"/>
      <c r="D426" s="87"/>
      <c r="F426" s="14"/>
      <c r="G426" s="14"/>
      <c r="H426" s="14"/>
      <c r="I426" s="14"/>
      <c r="J426" s="14"/>
      <c r="K426" s="302"/>
    </row>
    <row r="427" ht="19.5" customHeight="1">
      <c r="A427" s="12"/>
      <c r="C427" s="12"/>
      <c r="D427" s="87"/>
      <c r="F427" s="14"/>
      <c r="G427" s="14"/>
      <c r="H427" s="14"/>
      <c r="I427" s="14"/>
      <c r="J427" s="14"/>
      <c r="K427" s="302"/>
    </row>
    <row r="428" ht="19.5" customHeight="1">
      <c r="A428" s="12"/>
      <c r="C428" s="12"/>
      <c r="D428" s="87"/>
      <c r="F428" s="14"/>
      <c r="G428" s="14"/>
      <c r="H428" s="14"/>
      <c r="I428" s="14"/>
      <c r="J428" s="14"/>
      <c r="K428" s="302"/>
    </row>
    <row r="429" ht="19.5" customHeight="1">
      <c r="A429" s="12"/>
      <c r="C429" s="12"/>
      <c r="D429" s="87"/>
      <c r="F429" s="14"/>
      <c r="G429" s="14"/>
      <c r="H429" s="14"/>
      <c r="I429" s="14"/>
      <c r="J429" s="14"/>
      <c r="K429" s="302"/>
    </row>
    <row r="430" ht="19.5" customHeight="1">
      <c r="A430" s="12"/>
      <c r="C430" s="12"/>
      <c r="D430" s="87"/>
      <c r="F430" s="14"/>
      <c r="G430" s="14"/>
      <c r="H430" s="14"/>
      <c r="I430" s="14"/>
      <c r="J430" s="14"/>
      <c r="K430" s="302"/>
    </row>
    <row r="431" ht="19.5" customHeight="1">
      <c r="A431" s="12"/>
      <c r="C431" s="12"/>
      <c r="D431" s="87"/>
      <c r="F431" s="14"/>
      <c r="G431" s="14"/>
      <c r="H431" s="14"/>
      <c r="I431" s="14"/>
      <c r="J431" s="14"/>
      <c r="K431" s="302"/>
    </row>
    <row r="432" ht="19.5" customHeight="1">
      <c r="A432" s="12"/>
      <c r="C432" s="12"/>
      <c r="D432" s="87"/>
      <c r="F432" s="14"/>
      <c r="G432" s="14"/>
      <c r="H432" s="14"/>
      <c r="I432" s="14"/>
      <c r="J432" s="14"/>
      <c r="K432" s="302"/>
    </row>
    <row r="433" ht="19.5" customHeight="1">
      <c r="A433" s="12"/>
      <c r="C433" s="12"/>
      <c r="D433" s="87"/>
      <c r="F433" s="14"/>
      <c r="G433" s="14"/>
      <c r="H433" s="14"/>
      <c r="I433" s="14"/>
      <c r="J433" s="14"/>
      <c r="K433" s="302"/>
    </row>
    <row r="434" ht="19.5" customHeight="1">
      <c r="A434" s="12"/>
      <c r="C434" s="12"/>
      <c r="D434" s="87"/>
      <c r="F434" s="14"/>
      <c r="G434" s="14"/>
      <c r="H434" s="14"/>
      <c r="I434" s="14"/>
      <c r="J434" s="14"/>
      <c r="K434" s="302"/>
    </row>
    <row r="435" ht="19.5" customHeight="1">
      <c r="A435" s="12"/>
      <c r="C435" s="12"/>
      <c r="D435" s="87"/>
      <c r="F435" s="14"/>
      <c r="G435" s="14"/>
      <c r="H435" s="14"/>
      <c r="I435" s="14"/>
      <c r="J435" s="14"/>
      <c r="K435" s="302"/>
    </row>
    <row r="436" ht="19.5" customHeight="1">
      <c r="A436" s="12"/>
      <c r="C436" s="12"/>
      <c r="D436" s="87"/>
      <c r="F436" s="14"/>
      <c r="G436" s="14"/>
      <c r="H436" s="14"/>
      <c r="I436" s="14"/>
      <c r="J436" s="14"/>
      <c r="K436" s="302"/>
    </row>
    <row r="437" ht="19.5" customHeight="1">
      <c r="A437" s="12"/>
      <c r="C437" s="12"/>
      <c r="D437" s="87"/>
      <c r="F437" s="14"/>
      <c r="G437" s="14"/>
      <c r="H437" s="14"/>
      <c r="I437" s="14"/>
      <c r="J437" s="14"/>
      <c r="K437" s="302"/>
    </row>
    <row r="438" ht="19.5" customHeight="1">
      <c r="A438" s="12"/>
      <c r="C438" s="12"/>
      <c r="D438" s="87"/>
      <c r="F438" s="14"/>
      <c r="G438" s="14"/>
      <c r="H438" s="14"/>
      <c r="I438" s="14"/>
      <c r="J438" s="14"/>
      <c r="K438" s="302"/>
    </row>
    <row r="439" ht="19.5" customHeight="1">
      <c r="A439" s="12"/>
      <c r="C439" s="12"/>
      <c r="D439" s="87"/>
      <c r="F439" s="14"/>
      <c r="G439" s="14"/>
      <c r="H439" s="14"/>
      <c r="I439" s="14"/>
      <c r="J439" s="14"/>
      <c r="K439" s="302"/>
    </row>
    <row r="440" ht="19.5" customHeight="1">
      <c r="A440" s="12"/>
      <c r="C440" s="12"/>
      <c r="D440" s="87"/>
      <c r="F440" s="14"/>
      <c r="G440" s="14"/>
      <c r="H440" s="14"/>
      <c r="I440" s="14"/>
      <c r="J440" s="14"/>
      <c r="K440" s="302"/>
    </row>
    <row r="441" ht="19.5" customHeight="1">
      <c r="A441" s="12"/>
      <c r="C441" s="12"/>
      <c r="D441" s="87"/>
      <c r="F441" s="14"/>
      <c r="G441" s="14"/>
      <c r="H441" s="14"/>
      <c r="I441" s="14"/>
      <c r="J441" s="14"/>
      <c r="K441" s="302"/>
    </row>
    <row r="442" ht="19.5" customHeight="1">
      <c r="A442" s="12"/>
      <c r="C442" s="12"/>
      <c r="D442" s="87"/>
      <c r="F442" s="14"/>
      <c r="G442" s="14"/>
      <c r="H442" s="14"/>
      <c r="I442" s="14"/>
      <c r="J442" s="14"/>
      <c r="K442" s="302"/>
    </row>
    <row r="443" ht="19.5" customHeight="1">
      <c r="A443" s="12"/>
      <c r="C443" s="12"/>
      <c r="D443" s="87"/>
      <c r="F443" s="14"/>
      <c r="G443" s="14"/>
      <c r="H443" s="14"/>
      <c r="I443" s="14"/>
      <c r="J443" s="14"/>
      <c r="K443" s="302"/>
    </row>
    <row r="444" ht="19.5" customHeight="1">
      <c r="A444" s="12"/>
      <c r="C444" s="12"/>
      <c r="D444" s="87"/>
      <c r="F444" s="14"/>
      <c r="G444" s="14"/>
      <c r="H444" s="14"/>
      <c r="I444" s="14"/>
      <c r="J444" s="14"/>
      <c r="K444" s="302"/>
    </row>
    <row r="445" ht="19.5" customHeight="1">
      <c r="A445" s="12"/>
      <c r="C445" s="12"/>
      <c r="D445" s="87"/>
      <c r="F445" s="14"/>
      <c r="G445" s="14"/>
      <c r="H445" s="14"/>
      <c r="I445" s="14"/>
      <c r="J445" s="14"/>
      <c r="K445" s="302"/>
    </row>
    <row r="446" ht="19.5" customHeight="1">
      <c r="A446" s="12"/>
      <c r="C446" s="12"/>
      <c r="D446" s="87"/>
      <c r="F446" s="14"/>
      <c r="G446" s="14"/>
      <c r="H446" s="14"/>
      <c r="I446" s="14"/>
      <c r="J446" s="14"/>
      <c r="K446" s="302"/>
    </row>
    <row r="447" ht="19.5" customHeight="1">
      <c r="A447" s="12"/>
      <c r="C447" s="12"/>
      <c r="D447" s="87"/>
      <c r="F447" s="14"/>
      <c r="G447" s="14"/>
      <c r="H447" s="14"/>
      <c r="I447" s="14"/>
      <c r="J447" s="14"/>
      <c r="K447" s="302"/>
    </row>
    <row r="448" ht="19.5" customHeight="1">
      <c r="A448" s="12"/>
      <c r="C448" s="12"/>
      <c r="D448" s="87"/>
      <c r="F448" s="14"/>
      <c r="G448" s="14"/>
      <c r="H448" s="14"/>
      <c r="I448" s="14"/>
      <c r="J448" s="14"/>
      <c r="K448" s="302"/>
    </row>
    <row r="449" ht="19.5" customHeight="1">
      <c r="A449" s="12"/>
      <c r="C449" s="12"/>
      <c r="D449" s="87"/>
      <c r="F449" s="14"/>
      <c r="G449" s="14"/>
      <c r="H449" s="14"/>
      <c r="I449" s="14"/>
      <c r="J449" s="14"/>
      <c r="K449" s="302"/>
    </row>
    <row r="450" ht="19.5" customHeight="1">
      <c r="A450" s="12"/>
      <c r="C450" s="12"/>
      <c r="D450" s="87"/>
      <c r="F450" s="14"/>
      <c r="G450" s="14"/>
      <c r="H450" s="14"/>
      <c r="I450" s="14"/>
      <c r="J450" s="14"/>
      <c r="K450" s="302"/>
    </row>
    <row r="451" ht="19.5" customHeight="1">
      <c r="A451" s="12"/>
      <c r="C451" s="12"/>
      <c r="D451" s="87"/>
      <c r="F451" s="14"/>
      <c r="G451" s="14"/>
      <c r="H451" s="14"/>
      <c r="I451" s="14"/>
      <c r="J451" s="14"/>
      <c r="K451" s="302"/>
    </row>
    <row r="452" ht="19.5" customHeight="1">
      <c r="A452" s="12"/>
      <c r="C452" s="12"/>
      <c r="D452" s="87"/>
      <c r="F452" s="14"/>
      <c r="G452" s="14"/>
      <c r="H452" s="14"/>
      <c r="I452" s="14"/>
      <c r="J452" s="14"/>
      <c r="K452" s="302"/>
    </row>
    <row r="453" ht="19.5" customHeight="1">
      <c r="A453" s="12"/>
      <c r="C453" s="12"/>
      <c r="D453" s="87"/>
      <c r="F453" s="14"/>
      <c r="G453" s="14"/>
      <c r="H453" s="14"/>
      <c r="I453" s="14"/>
      <c r="J453" s="14"/>
      <c r="K453" s="302"/>
    </row>
    <row r="454" ht="19.5" customHeight="1">
      <c r="A454" s="12"/>
      <c r="C454" s="12"/>
      <c r="D454" s="87"/>
      <c r="F454" s="14"/>
      <c r="G454" s="14"/>
      <c r="H454" s="14"/>
      <c r="I454" s="14"/>
      <c r="J454" s="14"/>
      <c r="K454" s="302"/>
    </row>
    <row r="455" ht="19.5" customHeight="1">
      <c r="A455" s="12"/>
      <c r="C455" s="12"/>
      <c r="D455" s="87"/>
      <c r="F455" s="14"/>
      <c r="G455" s="14"/>
      <c r="H455" s="14"/>
      <c r="I455" s="14"/>
      <c r="J455" s="14"/>
      <c r="K455" s="302"/>
    </row>
    <row r="456" ht="19.5" customHeight="1">
      <c r="A456" s="12"/>
      <c r="C456" s="12"/>
      <c r="D456" s="87"/>
      <c r="F456" s="14"/>
      <c r="G456" s="14"/>
      <c r="H456" s="14"/>
      <c r="I456" s="14"/>
      <c r="J456" s="14"/>
      <c r="K456" s="302"/>
    </row>
    <row r="457" ht="19.5" customHeight="1">
      <c r="A457" s="12"/>
      <c r="C457" s="12"/>
      <c r="D457" s="87"/>
      <c r="F457" s="14"/>
      <c r="G457" s="14"/>
      <c r="H457" s="14"/>
      <c r="I457" s="14"/>
      <c r="J457" s="14"/>
      <c r="K457" s="302"/>
    </row>
    <row r="458" ht="19.5" customHeight="1">
      <c r="A458" s="12"/>
      <c r="C458" s="12"/>
      <c r="D458" s="87"/>
      <c r="F458" s="14"/>
      <c r="G458" s="14"/>
      <c r="H458" s="14"/>
      <c r="I458" s="14"/>
      <c r="J458" s="14"/>
      <c r="K458" s="302"/>
    </row>
    <row r="459" ht="19.5" customHeight="1">
      <c r="A459" s="12"/>
      <c r="C459" s="12"/>
      <c r="D459" s="87"/>
      <c r="F459" s="14"/>
      <c r="G459" s="14"/>
      <c r="H459" s="14"/>
      <c r="I459" s="14"/>
      <c r="J459" s="14"/>
      <c r="K459" s="302"/>
    </row>
    <row r="460" ht="19.5" customHeight="1">
      <c r="A460" s="12"/>
      <c r="C460" s="12"/>
      <c r="D460" s="87"/>
      <c r="F460" s="14"/>
      <c r="G460" s="14"/>
      <c r="H460" s="14"/>
      <c r="I460" s="14"/>
      <c r="J460" s="14"/>
      <c r="K460" s="302"/>
    </row>
    <row r="461" ht="19.5" customHeight="1">
      <c r="A461" s="12"/>
      <c r="C461" s="12"/>
      <c r="D461" s="87"/>
      <c r="F461" s="14"/>
      <c r="G461" s="14"/>
      <c r="H461" s="14"/>
      <c r="I461" s="14"/>
      <c r="J461" s="14"/>
      <c r="K461" s="302"/>
    </row>
    <row r="462" ht="19.5" customHeight="1">
      <c r="A462" s="12"/>
      <c r="C462" s="12"/>
      <c r="D462" s="87"/>
      <c r="F462" s="14"/>
      <c r="G462" s="14"/>
      <c r="H462" s="14"/>
      <c r="I462" s="14"/>
      <c r="J462" s="14"/>
      <c r="K462" s="302"/>
    </row>
    <row r="463" ht="19.5" customHeight="1">
      <c r="A463" s="12"/>
      <c r="C463" s="12"/>
      <c r="D463" s="87"/>
      <c r="F463" s="14"/>
      <c r="G463" s="14"/>
      <c r="H463" s="14"/>
      <c r="I463" s="14"/>
      <c r="J463" s="14"/>
      <c r="K463" s="302"/>
    </row>
    <row r="464" ht="19.5" customHeight="1">
      <c r="A464" s="12"/>
      <c r="C464" s="12"/>
      <c r="D464" s="87"/>
      <c r="F464" s="14"/>
      <c r="G464" s="14"/>
      <c r="H464" s="14"/>
      <c r="I464" s="14"/>
      <c r="J464" s="14"/>
      <c r="K464" s="302"/>
    </row>
    <row r="465" ht="19.5" customHeight="1">
      <c r="A465" s="12"/>
      <c r="C465" s="12"/>
      <c r="D465" s="87"/>
      <c r="F465" s="14"/>
      <c r="G465" s="14"/>
      <c r="H465" s="14"/>
      <c r="I465" s="14"/>
      <c r="J465" s="14"/>
      <c r="K465" s="302"/>
    </row>
    <row r="466" ht="19.5" customHeight="1">
      <c r="A466" s="12"/>
      <c r="C466" s="12"/>
      <c r="D466" s="87"/>
      <c r="F466" s="14"/>
      <c r="G466" s="14"/>
      <c r="H466" s="14"/>
      <c r="I466" s="14"/>
      <c r="J466" s="14"/>
      <c r="K466" s="302"/>
    </row>
    <row r="467" ht="19.5" customHeight="1">
      <c r="A467" s="12"/>
      <c r="C467" s="12"/>
      <c r="D467" s="87"/>
      <c r="F467" s="14"/>
      <c r="G467" s="14"/>
      <c r="H467" s="14"/>
      <c r="I467" s="14"/>
      <c r="J467" s="14"/>
      <c r="K467" s="302"/>
    </row>
    <row r="468" ht="19.5" customHeight="1">
      <c r="A468" s="12"/>
      <c r="C468" s="12"/>
      <c r="D468" s="87"/>
      <c r="F468" s="14"/>
      <c r="G468" s="14"/>
      <c r="H468" s="14"/>
      <c r="I468" s="14"/>
      <c r="J468" s="14"/>
      <c r="K468" s="302"/>
    </row>
    <row r="469" ht="19.5" customHeight="1">
      <c r="A469" s="12"/>
      <c r="C469" s="12"/>
      <c r="D469" s="87"/>
      <c r="F469" s="14"/>
      <c r="G469" s="14"/>
      <c r="H469" s="14"/>
      <c r="I469" s="14"/>
      <c r="J469" s="14"/>
      <c r="K469" s="302"/>
    </row>
    <row r="470" ht="19.5" customHeight="1">
      <c r="A470" s="12"/>
      <c r="C470" s="12"/>
      <c r="D470" s="87"/>
      <c r="F470" s="14"/>
      <c r="G470" s="14"/>
      <c r="H470" s="14"/>
      <c r="I470" s="14"/>
      <c r="J470" s="14"/>
      <c r="K470" s="302"/>
    </row>
    <row r="471" ht="19.5" customHeight="1">
      <c r="A471" s="12"/>
      <c r="C471" s="12"/>
      <c r="D471" s="87"/>
      <c r="F471" s="14"/>
      <c r="G471" s="14"/>
      <c r="H471" s="14"/>
      <c r="I471" s="14"/>
      <c r="J471" s="14"/>
      <c r="K471" s="302"/>
    </row>
    <row r="472" ht="19.5" customHeight="1">
      <c r="A472" s="12"/>
      <c r="C472" s="12"/>
      <c r="D472" s="87"/>
      <c r="F472" s="14"/>
      <c r="G472" s="14"/>
      <c r="H472" s="14"/>
      <c r="I472" s="14"/>
      <c r="J472" s="14"/>
      <c r="K472" s="302"/>
    </row>
    <row r="473" ht="19.5" customHeight="1">
      <c r="A473" s="12"/>
      <c r="C473" s="12"/>
      <c r="D473" s="87"/>
      <c r="F473" s="14"/>
      <c r="G473" s="14"/>
      <c r="H473" s="14"/>
      <c r="I473" s="14"/>
      <c r="J473" s="14"/>
      <c r="K473" s="302"/>
    </row>
    <row r="474" ht="19.5" customHeight="1">
      <c r="A474" s="12"/>
      <c r="C474" s="12"/>
      <c r="D474" s="87"/>
      <c r="F474" s="14"/>
      <c r="G474" s="14"/>
      <c r="H474" s="14"/>
      <c r="I474" s="14"/>
      <c r="J474" s="14"/>
      <c r="K474" s="302"/>
    </row>
    <row r="475" ht="19.5" customHeight="1">
      <c r="A475" s="12"/>
      <c r="C475" s="12"/>
      <c r="D475" s="87"/>
      <c r="F475" s="14"/>
      <c r="G475" s="14"/>
      <c r="H475" s="14"/>
      <c r="I475" s="14"/>
      <c r="J475" s="14"/>
      <c r="K475" s="302"/>
    </row>
    <row r="476" ht="19.5" customHeight="1">
      <c r="A476" s="12"/>
      <c r="C476" s="12"/>
      <c r="D476" s="87"/>
      <c r="F476" s="14"/>
      <c r="G476" s="14"/>
      <c r="H476" s="14"/>
      <c r="I476" s="14"/>
      <c r="J476" s="14"/>
      <c r="K476" s="302"/>
    </row>
    <row r="477" ht="19.5" customHeight="1">
      <c r="A477" s="12"/>
      <c r="C477" s="12"/>
      <c r="D477" s="87"/>
      <c r="F477" s="14"/>
      <c r="G477" s="14"/>
      <c r="H477" s="14"/>
      <c r="I477" s="14"/>
      <c r="J477" s="14"/>
      <c r="K477" s="302"/>
    </row>
    <row r="478" ht="19.5" customHeight="1">
      <c r="A478" s="12"/>
      <c r="C478" s="12"/>
      <c r="D478" s="87"/>
      <c r="F478" s="14"/>
      <c r="G478" s="14"/>
      <c r="H478" s="14"/>
      <c r="I478" s="14"/>
      <c r="J478" s="14"/>
      <c r="K478" s="302"/>
    </row>
    <row r="479" ht="19.5" customHeight="1">
      <c r="A479" s="12"/>
      <c r="C479" s="12"/>
      <c r="D479" s="87"/>
      <c r="F479" s="14"/>
      <c r="G479" s="14"/>
      <c r="H479" s="14"/>
      <c r="I479" s="14"/>
      <c r="J479" s="14"/>
      <c r="K479" s="302"/>
    </row>
    <row r="480" ht="19.5" customHeight="1">
      <c r="A480" s="12"/>
      <c r="C480" s="12"/>
      <c r="D480" s="87"/>
      <c r="F480" s="14"/>
      <c r="G480" s="14"/>
      <c r="H480" s="14"/>
      <c r="I480" s="14"/>
      <c r="J480" s="14"/>
      <c r="K480" s="302"/>
    </row>
    <row r="481" ht="19.5" customHeight="1">
      <c r="A481" s="12"/>
      <c r="C481" s="12"/>
      <c r="D481" s="87"/>
      <c r="F481" s="14"/>
      <c r="G481" s="14"/>
      <c r="H481" s="14"/>
      <c r="I481" s="14"/>
      <c r="J481" s="14"/>
      <c r="K481" s="302"/>
    </row>
    <row r="482" ht="19.5" customHeight="1">
      <c r="A482" s="12"/>
      <c r="C482" s="12"/>
      <c r="D482" s="87"/>
      <c r="F482" s="14"/>
      <c r="G482" s="14"/>
      <c r="H482" s="14"/>
      <c r="I482" s="14"/>
      <c r="J482" s="14"/>
      <c r="K482" s="302"/>
    </row>
    <row r="483" ht="19.5" customHeight="1">
      <c r="A483" s="12"/>
      <c r="C483" s="12"/>
      <c r="D483" s="87"/>
      <c r="F483" s="14"/>
      <c r="G483" s="14"/>
      <c r="H483" s="14"/>
      <c r="I483" s="14"/>
      <c r="J483" s="14"/>
      <c r="K483" s="302"/>
    </row>
    <row r="484" ht="19.5" customHeight="1">
      <c r="A484" s="12"/>
      <c r="C484" s="12"/>
      <c r="D484" s="87"/>
      <c r="F484" s="14"/>
      <c r="G484" s="14"/>
      <c r="H484" s="14"/>
      <c r="I484" s="14"/>
      <c r="J484" s="14"/>
      <c r="K484" s="302"/>
    </row>
    <row r="485" ht="19.5" customHeight="1">
      <c r="A485" s="12"/>
      <c r="C485" s="12"/>
      <c r="D485" s="87"/>
      <c r="F485" s="14"/>
      <c r="G485" s="14"/>
      <c r="H485" s="14"/>
      <c r="I485" s="14"/>
      <c r="J485" s="14"/>
      <c r="K485" s="302"/>
    </row>
    <row r="486" ht="19.5" customHeight="1">
      <c r="A486" s="12"/>
      <c r="C486" s="12"/>
      <c r="D486" s="87"/>
      <c r="F486" s="14"/>
      <c r="G486" s="14"/>
      <c r="H486" s="14"/>
      <c r="I486" s="14"/>
      <c r="J486" s="14"/>
      <c r="K486" s="302"/>
    </row>
    <row r="487" ht="19.5" customHeight="1">
      <c r="A487" s="12"/>
      <c r="C487" s="12"/>
      <c r="D487" s="87"/>
      <c r="F487" s="14"/>
      <c r="G487" s="14"/>
      <c r="H487" s="14"/>
      <c r="I487" s="14"/>
      <c r="J487" s="14"/>
      <c r="K487" s="302"/>
    </row>
    <row r="488" ht="19.5" customHeight="1">
      <c r="A488" s="12"/>
      <c r="C488" s="12"/>
      <c r="D488" s="87"/>
      <c r="F488" s="14"/>
      <c r="G488" s="14"/>
      <c r="H488" s="14"/>
      <c r="I488" s="14"/>
      <c r="J488" s="14"/>
      <c r="K488" s="302"/>
    </row>
    <row r="489" ht="19.5" customHeight="1">
      <c r="A489" s="12"/>
      <c r="C489" s="12"/>
      <c r="D489" s="87"/>
      <c r="F489" s="14"/>
      <c r="G489" s="14"/>
      <c r="H489" s="14"/>
      <c r="I489" s="14"/>
      <c r="J489" s="14"/>
      <c r="K489" s="302"/>
    </row>
    <row r="490" ht="19.5" customHeight="1">
      <c r="A490" s="12"/>
      <c r="C490" s="12"/>
      <c r="D490" s="87"/>
      <c r="F490" s="14"/>
      <c r="G490" s="14"/>
      <c r="H490" s="14"/>
      <c r="I490" s="14"/>
      <c r="J490" s="14"/>
      <c r="K490" s="302"/>
    </row>
    <row r="491" ht="19.5" customHeight="1">
      <c r="A491" s="12"/>
      <c r="C491" s="12"/>
      <c r="D491" s="87"/>
      <c r="F491" s="14"/>
      <c r="G491" s="14"/>
      <c r="H491" s="14"/>
      <c r="I491" s="14"/>
      <c r="J491" s="14"/>
      <c r="K491" s="302"/>
    </row>
    <row r="492" ht="19.5" customHeight="1">
      <c r="A492" s="12"/>
      <c r="C492" s="12"/>
      <c r="D492" s="87"/>
      <c r="F492" s="14"/>
      <c r="G492" s="14"/>
      <c r="H492" s="14"/>
      <c r="I492" s="14"/>
      <c r="J492" s="14"/>
      <c r="K492" s="302"/>
    </row>
    <row r="493" ht="19.5" customHeight="1">
      <c r="A493" s="12"/>
      <c r="C493" s="12"/>
      <c r="D493" s="87"/>
      <c r="F493" s="14"/>
      <c r="G493" s="14"/>
      <c r="H493" s="14"/>
      <c r="I493" s="14"/>
      <c r="J493" s="14"/>
      <c r="K493" s="302"/>
    </row>
    <row r="494" ht="19.5" customHeight="1">
      <c r="A494" s="12"/>
      <c r="C494" s="12"/>
      <c r="D494" s="87"/>
      <c r="F494" s="14"/>
      <c r="G494" s="14"/>
      <c r="H494" s="14"/>
      <c r="I494" s="14"/>
      <c r="J494" s="14"/>
      <c r="K494" s="302"/>
    </row>
    <row r="495" ht="19.5" customHeight="1">
      <c r="A495" s="12"/>
      <c r="C495" s="12"/>
      <c r="D495" s="87"/>
      <c r="F495" s="14"/>
      <c r="G495" s="14"/>
      <c r="H495" s="14"/>
      <c r="I495" s="14"/>
      <c r="J495" s="14"/>
      <c r="K495" s="302"/>
    </row>
    <row r="496" ht="19.5" customHeight="1">
      <c r="A496" s="12"/>
      <c r="C496" s="12"/>
      <c r="D496" s="87"/>
      <c r="F496" s="14"/>
      <c r="G496" s="14"/>
      <c r="H496" s="14"/>
      <c r="I496" s="14"/>
      <c r="J496" s="14"/>
      <c r="K496" s="302"/>
    </row>
    <row r="497" ht="19.5" customHeight="1">
      <c r="A497" s="12"/>
      <c r="C497" s="12"/>
      <c r="D497" s="87"/>
      <c r="F497" s="14"/>
      <c r="G497" s="14"/>
      <c r="H497" s="14"/>
      <c r="I497" s="14"/>
      <c r="J497" s="14"/>
      <c r="K497" s="302"/>
    </row>
    <row r="498" ht="19.5" customHeight="1">
      <c r="A498" s="12"/>
      <c r="C498" s="12"/>
      <c r="D498" s="87"/>
      <c r="F498" s="14"/>
      <c r="G498" s="14"/>
      <c r="H498" s="14"/>
      <c r="I498" s="14"/>
      <c r="J498" s="14"/>
      <c r="K498" s="302"/>
    </row>
    <row r="499" ht="19.5" customHeight="1">
      <c r="A499" s="12"/>
      <c r="C499" s="12"/>
      <c r="D499" s="87"/>
      <c r="F499" s="14"/>
      <c r="G499" s="14"/>
      <c r="H499" s="14"/>
      <c r="I499" s="14"/>
      <c r="J499" s="14"/>
      <c r="K499" s="302"/>
    </row>
    <row r="500" ht="19.5" customHeight="1">
      <c r="A500" s="12"/>
      <c r="C500" s="12"/>
      <c r="D500" s="87"/>
      <c r="F500" s="14"/>
      <c r="G500" s="14"/>
      <c r="H500" s="14"/>
      <c r="I500" s="14"/>
      <c r="J500" s="14"/>
      <c r="K500" s="302"/>
    </row>
    <row r="501" ht="19.5" customHeight="1">
      <c r="A501" s="12"/>
      <c r="C501" s="12"/>
      <c r="D501" s="87"/>
      <c r="F501" s="14"/>
      <c r="G501" s="14"/>
      <c r="H501" s="14"/>
      <c r="I501" s="14"/>
      <c r="J501" s="14"/>
      <c r="K501" s="302"/>
    </row>
    <row r="502" ht="19.5" customHeight="1">
      <c r="A502" s="12"/>
      <c r="C502" s="12"/>
      <c r="D502" s="87"/>
      <c r="F502" s="14"/>
      <c r="G502" s="14"/>
      <c r="H502" s="14"/>
      <c r="I502" s="14"/>
      <c r="J502" s="14"/>
      <c r="K502" s="302"/>
    </row>
    <row r="503" ht="19.5" customHeight="1">
      <c r="A503" s="12"/>
      <c r="C503" s="12"/>
      <c r="D503" s="87"/>
      <c r="F503" s="14"/>
      <c r="G503" s="14"/>
      <c r="H503" s="14"/>
      <c r="I503" s="14"/>
      <c r="J503" s="14"/>
      <c r="K503" s="302"/>
    </row>
    <row r="504" ht="19.5" customHeight="1">
      <c r="A504" s="12"/>
      <c r="C504" s="12"/>
      <c r="D504" s="87"/>
      <c r="F504" s="14"/>
      <c r="G504" s="14"/>
      <c r="H504" s="14"/>
      <c r="I504" s="14"/>
      <c r="J504" s="14"/>
      <c r="K504" s="302"/>
    </row>
    <row r="505" ht="19.5" customHeight="1">
      <c r="A505" s="12"/>
      <c r="C505" s="12"/>
      <c r="D505" s="87"/>
      <c r="F505" s="14"/>
      <c r="G505" s="14"/>
      <c r="H505" s="14"/>
      <c r="I505" s="14"/>
      <c r="J505" s="14"/>
      <c r="K505" s="302"/>
    </row>
    <row r="506" ht="19.5" customHeight="1">
      <c r="A506" s="12"/>
      <c r="C506" s="12"/>
      <c r="D506" s="87"/>
      <c r="F506" s="14"/>
      <c r="G506" s="14"/>
      <c r="H506" s="14"/>
      <c r="I506" s="14"/>
      <c r="J506" s="14"/>
      <c r="K506" s="302"/>
    </row>
    <row r="507" ht="19.5" customHeight="1">
      <c r="A507" s="12"/>
      <c r="C507" s="12"/>
      <c r="D507" s="87"/>
      <c r="F507" s="14"/>
      <c r="G507" s="14"/>
      <c r="H507" s="14"/>
      <c r="I507" s="14"/>
      <c r="J507" s="14"/>
      <c r="K507" s="302"/>
    </row>
    <row r="508" ht="19.5" customHeight="1">
      <c r="A508" s="12"/>
      <c r="C508" s="12"/>
      <c r="D508" s="87"/>
      <c r="F508" s="14"/>
      <c r="G508" s="14"/>
      <c r="H508" s="14"/>
      <c r="I508" s="14"/>
      <c r="J508" s="14"/>
      <c r="K508" s="302"/>
    </row>
    <row r="509" ht="19.5" customHeight="1">
      <c r="A509" s="12"/>
      <c r="C509" s="12"/>
      <c r="D509" s="87"/>
      <c r="F509" s="14"/>
      <c r="G509" s="14"/>
      <c r="H509" s="14"/>
      <c r="I509" s="14"/>
      <c r="J509" s="14"/>
      <c r="K509" s="302"/>
    </row>
    <row r="510" ht="19.5" customHeight="1">
      <c r="A510" s="12"/>
      <c r="C510" s="12"/>
      <c r="D510" s="87"/>
      <c r="F510" s="14"/>
      <c r="G510" s="14"/>
      <c r="H510" s="14"/>
      <c r="I510" s="14"/>
      <c r="J510" s="14"/>
      <c r="K510" s="302"/>
    </row>
    <row r="511" ht="19.5" customHeight="1">
      <c r="A511" s="12"/>
      <c r="C511" s="12"/>
      <c r="D511" s="87"/>
      <c r="F511" s="14"/>
      <c r="G511" s="14"/>
      <c r="H511" s="14"/>
      <c r="I511" s="14"/>
      <c r="J511" s="14"/>
      <c r="K511" s="302"/>
    </row>
    <row r="512" ht="19.5" customHeight="1">
      <c r="A512" s="12"/>
      <c r="C512" s="12"/>
      <c r="D512" s="87"/>
      <c r="F512" s="14"/>
      <c r="G512" s="14"/>
      <c r="H512" s="14"/>
      <c r="I512" s="14"/>
      <c r="J512" s="14"/>
      <c r="K512" s="302"/>
    </row>
    <row r="513" ht="19.5" customHeight="1">
      <c r="A513" s="12"/>
      <c r="C513" s="12"/>
      <c r="D513" s="87"/>
      <c r="F513" s="14"/>
      <c r="G513" s="14"/>
      <c r="H513" s="14"/>
      <c r="I513" s="14"/>
      <c r="J513" s="14"/>
      <c r="K513" s="302"/>
    </row>
    <row r="514" ht="19.5" customHeight="1">
      <c r="A514" s="12"/>
      <c r="C514" s="12"/>
      <c r="D514" s="87"/>
      <c r="F514" s="14"/>
      <c r="G514" s="14"/>
      <c r="H514" s="14"/>
      <c r="I514" s="14"/>
      <c r="J514" s="14"/>
      <c r="K514" s="302"/>
    </row>
    <row r="515" ht="19.5" customHeight="1">
      <c r="A515" s="12"/>
      <c r="C515" s="12"/>
      <c r="D515" s="87"/>
      <c r="F515" s="14"/>
      <c r="G515" s="14"/>
      <c r="H515" s="14"/>
      <c r="I515" s="14"/>
      <c r="J515" s="14"/>
      <c r="K515" s="302"/>
    </row>
    <row r="516" ht="19.5" customHeight="1">
      <c r="A516" s="12"/>
      <c r="C516" s="12"/>
      <c r="D516" s="87"/>
      <c r="F516" s="14"/>
      <c r="G516" s="14"/>
      <c r="H516" s="14"/>
      <c r="I516" s="14"/>
      <c r="J516" s="14"/>
      <c r="K516" s="302"/>
    </row>
    <row r="517" ht="19.5" customHeight="1">
      <c r="A517" s="12"/>
      <c r="C517" s="12"/>
      <c r="D517" s="87"/>
      <c r="F517" s="14"/>
      <c r="G517" s="14"/>
      <c r="H517" s="14"/>
      <c r="I517" s="14"/>
      <c r="J517" s="14"/>
      <c r="K517" s="302"/>
    </row>
    <row r="518" ht="19.5" customHeight="1">
      <c r="A518" s="12"/>
      <c r="C518" s="12"/>
      <c r="D518" s="87"/>
      <c r="F518" s="14"/>
      <c r="G518" s="14"/>
      <c r="H518" s="14"/>
      <c r="I518" s="14"/>
      <c r="J518" s="14"/>
      <c r="K518" s="302"/>
    </row>
    <row r="519" ht="19.5" customHeight="1">
      <c r="A519" s="12"/>
      <c r="C519" s="12"/>
      <c r="D519" s="87"/>
      <c r="F519" s="14"/>
      <c r="G519" s="14"/>
      <c r="H519" s="14"/>
      <c r="I519" s="14"/>
      <c r="J519" s="14"/>
      <c r="K519" s="302"/>
    </row>
    <row r="520" ht="19.5" customHeight="1">
      <c r="A520" s="12"/>
      <c r="C520" s="12"/>
      <c r="D520" s="87"/>
      <c r="F520" s="14"/>
      <c r="G520" s="14"/>
      <c r="H520" s="14"/>
      <c r="I520" s="14"/>
      <c r="J520" s="14"/>
      <c r="K520" s="302"/>
    </row>
    <row r="521" ht="19.5" customHeight="1">
      <c r="A521" s="12"/>
      <c r="C521" s="12"/>
      <c r="D521" s="87"/>
      <c r="F521" s="14"/>
      <c r="G521" s="14"/>
      <c r="H521" s="14"/>
      <c r="I521" s="14"/>
      <c r="J521" s="14"/>
      <c r="K521" s="302"/>
    </row>
    <row r="522" ht="19.5" customHeight="1">
      <c r="A522" s="12"/>
      <c r="C522" s="12"/>
      <c r="D522" s="87"/>
      <c r="F522" s="14"/>
      <c r="G522" s="14"/>
      <c r="H522" s="14"/>
      <c r="I522" s="14"/>
      <c r="J522" s="14"/>
      <c r="K522" s="302"/>
    </row>
    <row r="523" ht="19.5" customHeight="1">
      <c r="A523" s="12"/>
      <c r="C523" s="12"/>
      <c r="D523" s="87"/>
      <c r="F523" s="14"/>
      <c r="G523" s="14"/>
      <c r="H523" s="14"/>
      <c r="I523" s="14"/>
      <c r="J523" s="14"/>
      <c r="K523" s="302"/>
    </row>
    <row r="524" ht="19.5" customHeight="1">
      <c r="A524" s="12"/>
      <c r="C524" s="12"/>
      <c r="D524" s="87"/>
      <c r="F524" s="14"/>
      <c r="G524" s="14"/>
      <c r="H524" s="14"/>
      <c r="I524" s="14"/>
      <c r="J524" s="14"/>
      <c r="K524" s="302"/>
    </row>
    <row r="525" ht="19.5" customHeight="1">
      <c r="A525" s="12"/>
      <c r="C525" s="12"/>
      <c r="D525" s="87"/>
      <c r="F525" s="14"/>
      <c r="G525" s="14"/>
      <c r="H525" s="14"/>
      <c r="I525" s="14"/>
      <c r="J525" s="14"/>
      <c r="K525" s="302"/>
    </row>
    <row r="526" ht="19.5" customHeight="1">
      <c r="A526" s="12"/>
      <c r="C526" s="12"/>
      <c r="D526" s="87"/>
      <c r="F526" s="14"/>
      <c r="G526" s="14"/>
      <c r="H526" s="14"/>
      <c r="I526" s="14"/>
      <c r="J526" s="14"/>
      <c r="K526" s="302"/>
    </row>
    <row r="527" ht="19.5" customHeight="1">
      <c r="A527" s="12"/>
      <c r="C527" s="12"/>
      <c r="D527" s="87"/>
      <c r="F527" s="14"/>
      <c r="G527" s="14"/>
      <c r="H527" s="14"/>
      <c r="I527" s="14"/>
      <c r="J527" s="14"/>
      <c r="K527" s="302"/>
    </row>
    <row r="528" ht="19.5" customHeight="1">
      <c r="A528" s="12"/>
      <c r="C528" s="12"/>
      <c r="D528" s="87"/>
      <c r="F528" s="14"/>
      <c r="G528" s="14"/>
      <c r="H528" s="14"/>
      <c r="I528" s="14"/>
      <c r="J528" s="14"/>
      <c r="K528" s="302"/>
    </row>
    <row r="529" ht="19.5" customHeight="1">
      <c r="A529" s="12"/>
      <c r="C529" s="12"/>
      <c r="D529" s="87"/>
      <c r="F529" s="14"/>
      <c r="G529" s="14"/>
      <c r="H529" s="14"/>
      <c r="I529" s="14"/>
      <c r="J529" s="14"/>
      <c r="K529" s="302"/>
    </row>
    <row r="530" ht="19.5" customHeight="1">
      <c r="A530" s="12"/>
      <c r="C530" s="12"/>
      <c r="D530" s="87"/>
      <c r="F530" s="14"/>
      <c r="G530" s="14"/>
      <c r="H530" s="14"/>
      <c r="I530" s="14"/>
      <c r="J530" s="14"/>
      <c r="K530" s="302"/>
    </row>
    <row r="531" ht="19.5" customHeight="1">
      <c r="A531" s="12"/>
      <c r="C531" s="12"/>
      <c r="D531" s="87"/>
      <c r="F531" s="14"/>
      <c r="G531" s="14"/>
      <c r="H531" s="14"/>
      <c r="I531" s="14"/>
      <c r="J531" s="14"/>
      <c r="K531" s="302"/>
    </row>
    <row r="532" ht="19.5" customHeight="1">
      <c r="A532" s="12"/>
      <c r="C532" s="12"/>
      <c r="D532" s="87"/>
      <c r="F532" s="14"/>
      <c r="G532" s="14"/>
      <c r="H532" s="14"/>
      <c r="I532" s="14"/>
      <c r="J532" s="14"/>
      <c r="K532" s="302"/>
    </row>
    <row r="533" ht="19.5" customHeight="1">
      <c r="A533" s="12"/>
      <c r="C533" s="12"/>
      <c r="D533" s="87"/>
      <c r="F533" s="14"/>
      <c r="G533" s="14"/>
      <c r="H533" s="14"/>
      <c r="I533" s="14"/>
      <c r="J533" s="14"/>
      <c r="K533" s="302"/>
    </row>
    <row r="534" ht="19.5" customHeight="1">
      <c r="A534" s="12"/>
      <c r="C534" s="12"/>
      <c r="D534" s="87"/>
      <c r="F534" s="14"/>
      <c r="G534" s="14"/>
      <c r="H534" s="14"/>
      <c r="I534" s="14"/>
      <c r="J534" s="14"/>
      <c r="K534" s="302"/>
    </row>
    <row r="535" ht="19.5" customHeight="1">
      <c r="A535" s="12"/>
      <c r="C535" s="12"/>
      <c r="D535" s="87"/>
      <c r="F535" s="14"/>
      <c r="G535" s="14"/>
      <c r="H535" s="14"/>
      <c r="I535" s="14"/>
      <c r="J535" s="14"/>
      <c r="K535" s="302"/>
    </row>
    <row r="536" ht="19.5" customHeight="1">
      <c r="A536" s="12"/>
      <c r="C536" s="12"/>
      <c r="D536" s="87"/>
      <c r="F536" s="14"/>
      <c r="G536" s="14"/>
      <c r="H536" s="14"/>
      <c r="I536" s="14"/>
      <c r="J536" s="14"/>
      <c r="K536" s="302"/>
    </row>
    <row r="537" ht="19.5" customHeight="1">
      <c r="A537" s="12"/>
      <c r="C537" s="12"/>
      <c r="D537" s="87"/>
      <c r="F537" s="14"/>
      <c r="G537" s="14"/>
      <c r="H537" s="14"/>
      <c r="I537" s="14"/>
      <c r="J537" s="14"/>
      <c r="K537" s="302"/>
    </row>
    <row r="538" ht="19.5" customHeight="1">
      <c r="A538" s="12"/>
      <c r="C538" s="12"/>
      <c r="D538" s="87"/>
      <c r="F538" s="14"/>
      <c r="G538" s="14"/>
      <c r="H538" s="14"/>
      <c r="I538" s="14"/>
      <c r="J538" s="14"/>
      <c r="K538" s="302"/>
    </row>
    <row r="539" ht="19.5" customHeight="1">
      <c r="A539" s="12"/>
      <c r="C539" s="12"/>
      <c r="D539" s="87"/>
      <c r="F539" s="14"/>
      <c r="G539" s="14"/>
      <c r="H539" s="14"/>
      <c r="I539" s="14"/>
      <c r="J539" s="14"/>
      <c r="K539" s="302"/>
    </row>
    <row r="540" ht="19.5" customHeight="1">
      <c r="A540" s="12"/>
      <c r="C540" s="12"/>
      <c r="D540" s="87"/>
      <c r="F540" s="14"/>
      <c r="G540" s="14"/>
      <c r="H540" s="14"/>
      <c r="I540" s="14"/>
      <c r="J540" s="14"/>
      <c r="K540" s="302"/>
    </row>
    <row r="541" ht="19.5" customHeight="1">
      <c r="A541" s="12"/>
      <c r="C541" s="12"/>
      <c r="D541" s="87"/>
      <c r="F541" s="14"/>
      <c r="G541" s="14"/>
      <c r="H541" s="14"/>
      <c r="I541" s="14"/>
      <c r="J541" s="14"/>
      <c r="K541" s="302"/>
    </row>
    <row r="542" ht="19.5" customHeight="1">
      <c r="A542" s="12"/>
      <c r="C542" s="12"/>
      <c r="D542" s="87"/>
      <c r="F542" s="14"/>
      <c r="G542" s="14"/>
      <c r="H542" s="14"/>
      <c r="I542" s="14"/>
      <c r="J542" s="14"/>
      <c r="K542" s="302"/>
    </row>
    <row r="543" ht="19.5" customHeight="1">
      <c r="A543" s="12"/>
      <c r="C543" s="12"/>
      <c r="D543" s="87"/>
      <c r="F543" s="14"/>
      <c r="G543" s="14"/>
      <c r="H543" s="14"/>
      <c r="I543" s="14"/>
      <c r="J543" s="14"/>
      <c r="K543" s="302"/>
    </row>
    <row r="544" ht="19.5" customHeight="1">
      <c r="A544" s="12"/>
      <c r="C544" s="12"/>
      <c r="D544" s="87"/>
      <c r="F544" s="14"/>
      <c r="G544" s="14"/>
      <c r="H544" s="14"/>
      <c r="I544" s="14"/>
      <c r="J544" s="14"/>
      <c r="K544" s="302"/>
    </row>
    <row r="545" ht="19.5" customHeight="1">
      <c r="A545" s="12"/>
      <c r="C545" s="12"/>
      <c r="D545" s="87"/>
      <c r="F545" s="14"/>
      <c r="G545" s="14"/>
      <c r="H545" s="14"/>
      <c r="I545" s="14"/>
      <c r="J545" s="14"/>
      <c r="K545" s="302"/>
    </row>
    <row r="546" ht="19.5" customHeight="1">
      <c r="A546" s="12"/>
      <c r="C546" s="12"/>
      <c r="D546" s="87"/>
      <c r="F546" s="14"/>
      <c r="G546" s="14"/>
      <c r="H546" s="14"/>
      <c r="I546" s="14"/>
      <c r="J546" s="14"/>
      <c r="K546" s="302"/>
    </row>
    <row r="547" ht="19.5" customHeight="1">
      <c r="A547" s="12"/>
      <c r="C547" s="12"/>
      <c r="D547" s="87"/>
      <c r="F547" s="14"/>
      <c r="G547" s="14"/>
      <c r="H547" s="14"/>
      <c r="I547" s="14"/>
      <c r="J547" s="14"/>
      <c r="K547" s="302"/>
    </row>
    <row r="548" ht="19.5" customHeight="1">
      <c r="A548" s="12"/>
      <c r="C548" s="12"/>
      <c r="D548" s="87"/>
      <c r="F548" s="14"/>
      <c r="G548" s="14"/>
      <c r="H548" s="14"/>
      <c r="I548" s="14"/>
      <c r="J548" s="14"/>
      <c r="K548" s="302"/>
    </row>
    <row r="549" ht="19.5" customHeight="1">
      <c r="A549" s="12"/>
      <c r="C549" s="12"/>
      <c r="D549" s="87"/>
      <c r="F549" s="14"/>
      <c r="G549" s="14"/>
      <c r="H549" s="14"/>
      <c r="I549" s="14"/>
      <c r="J549" s="14"/>
      <c r="K549" s="302"/>
    </row>
    <row r="550" ht="19.5" customHeight="1">
      <c r="A550" s="12"/>
      <c r="C550" s="12"/>
      <c r="D550" s="87"/>
      <c r="F550" s="14"/>
      <c r="G550" s="14"/>
      <c r="H550" s="14"/>
      <c r="I550" s="14"/>
      <c r="J550" s="14"/>
      <c r="K550" s="302"/>
    </row>
    <row r="551" ht="19.5" customHeight="1">
      <c r="A551" s="12"/>
      <c r="C551" s="12"/>
      <c r="D551" s="87"/>
      <c r="F551" s="14"/>
      <c r="G551" s="14"/>
      <c r="H551" s="14"/>
      <c r="I551" s="14"/>
      <c r="J551" s="14"/>
      <c r="K551" s="302"/>
    </row>
    <row r="552" ht="19.5" customHeight="1">
      <c r="A552" s="12"/>
      <c r="C552" s="12"/>
      <c r="D552" s="87"/>
      <c r="F552" s="14"/>
      <c r="G552" s="14"/>
      <c r="H552" s="14"/>
      <c r="I552" s="14"/>
      <c r="J552" s="14"/>
      <c r="K552" s="302"/>
    </row>
    <row r="553" ht="19.5" customHeight="1">
      <c r="A553" s="12"/>
      <c r="C553" s="12"/>
      <c r="D553" s="87"/>
      <c r="F553" s="14"/>
      <c r="G553" s="14"/>
      <c r="H553" s="14"/>
      <c r="I553" s="14"/>
      <c r="J553" s="14"/>
      <c r="K553" s="302"/>
    </row>
    <row r="554" ht="19.5" customHeight="1">
      <c r="A554" s="12"/>
      <c r="C554" s="12"/>
      <c r="D554" s="87"/>
      <c r="F554" s="14"/>
      <c r="G554" s="14"/>
      <c r="H554" s="14"/>
      <c r="I554" s="14"/>
      <c r="J554" s="14"/>
      <c r="K554" s="302"/>
    </row>
    <row r="555" ht="19.5" customHeight="1">
      <c r="A555" s="12"/>
      <c r="C555" s="12"/>
      <c r="D555" s="87"/>
      <c r="F555" s="14"/>
      <c r="G555" s="14"/>
      <c r="H555" s="14"/>
      <c r="I555" s="14"/>
      <c r="J555" s="14"/>
      <c r="K555" s="302"/>
    </row>
    <row r="556" ht="19.5" customHeight="1">
      <c r="A556" s="12"/>
      <c r="C556" s="12"/>
      <c r="D556" s="87"/>
      <c r="F556" s="14"/>
      <c r="G556" s="14"/>
      <c r="H556" s="14"/>
      <c r="I556" s="14"/>
      <c r="J556" s="14"/>
      <c r="K556" s="302"/>
    </row>
    <row r="557" ht="19.5" customHeight="1">
      <c r="A557" s="12"/>
      <c r="C557" s="12"/>
      <c r="D557" s="87"/>
      <c r="F557" s="14"/>
      <c r="G557" s="14"/>
      <c r="H557" s="14"/>
      <c r="I557" s="14"/>
      <c r="J557" s="14"/>
      <c r="K557" s="302"/>
    </row>
    <row r="558" ht="19.5" customHeight="1">
      <c r="A558" s="12"/>
      <c r="C558" s="12"/>
      <c r="D558" s="87"/>
      <c r="F558" s="14"/>
      <c r="G558" s="14"/>
      <c r="H558" s="14"/>
      <c r="I558" s="14"/>
      <c r="J558" s="14"/>
      <c r="K558" s="302"/>
    </row>
    <row r="559" ht="19.5" customHeight="1">
      <c r="A559" s="12"/>
      <c r="C559" s="12"/>
      <c r="D559" s="87"/>
      <c r="F559" s="14"/>
      <c r="G559" s="14"/>
      <c r="H559" s="14"/>
      <c r="I559" s="14"/>
      <c r="J559" s="14"/>
      <c r="K559" s="302"/>
    </row>
    <row r="560" ht="19.5" customHeight="1">
      <c r="A560" s="12"/>
      <c r="C560" s="12"/>
      <c r="D560" s="87"/>
      <c r="F560" s="14"/>
      <c r="G560" s="14"/>
      <c r="H560" s="14"/>
      <c r="I560" s="14"/>
      <c r="J560" s="14"/>
      <c r="K560" s="302"/>
    </row>
    <row r="561" ht="19.5" customHeight="1">
      <c r="A561" s="12"/>
      <c r="C561" s="12"/>
      <c r="D561" s="87"/>
      <c r="F561" s="14"/>
      <c r="G561" s="14"/>
      <c r="H561" s="14"/>
      <c r="I561" s="14"/>
      <c r="J561" s="14"/>
      <c r="K561" s="302"/>
    </row>
    <row r="562" ht="19.5" customHeight="1">
      <c r="A562" s="12"/>
      <c r="C562" s="12"/>
      <c r="D562" s="87"/>
      <c r="F562" s="14"/>
      <c r="G562" s="14"/>
      <c r="H562" s="14"/>
      <c r="I562" s="14"/>
      <c r="J562" s="14"/>
      <c r="K562" s="302"/>
    </row>
    <row r="563" ht="19.5" customHeight="1">
      <c r="A563" s="12"/>
      <c r="C563" s="12"/>
      <c r="D563" s="87"/>
      <c r="F563" s="14"/>
      <c r="G563" s="14"/>
      <c r="H563" s="14"/>
      <c r="I563" s="14"/>
      <c r="J563" s="14"/>
      <c r="K563" s="302"/>
    </row>
    <row r="564" ht="19.5" customHeight="1">
      <c r="A564" s="12"/>
      <c r="C564" s="12"/>
      <c r="D564" s="87"/>
      <c r="F564" s="14"/>
      <c r="G564" s="14"/>
      <c r="H564" s="14"/>
      <c r="I564" s="14"/>
      <c r="J564" s="14"/>
      <c r="K564" s="302"/>
    </row>
    <row r="565" ht="19.5" customHeight="1">
      <c r="A565" s="12"/>
      <c r="C565" s="12"/>
      <c r="D565" s="87"/>
      <c r="F565" s="14"/>
      <c r="G565" s="14"/>
      <c r="H565" s="14"/>
      <c r="I565" s="14"/>
      <c r="J565" s="14"/>
      <c r="K565" s="302"/>
    </row>
    <row r="566" ht="19.5" customHeight="1">
      <c r="A566" s="12"/>
      <c r="C566" s="12"/>
      <c r="D566" s="87"/>
      <c r="F566" s="14"/>
      <c r="G566" s="14"/>
      <c r="H566" s="14"/>
      <c r="I566" s="14"/>
      <c r="J566" s="14"/>
      <c r="K566" s="302"/>
    </row>
    <row r="567" ht="19.5" customHeight="1">
      <c r="A567" s="12"/>
      <c r="C567" s="12"/>
      <c r="D567" s="87"/>
      <c r="F567" s="14"/>
      <c r="G567" s="14"/>
      <c r="H567" s="14"/>
      <c r="I567" s="14"/>
      <c r="J567" s="14"/>
      <c r="K567" s="302"/>
    </row>
    <row r="568" ht="19.5" customHeight="1">
      <c r="A568" s="12"/>
      <c r="C568" s="12"/>
      <c r="D568" s="87"/>
      <c r="F568" s="14"/>
      <c r="G568" s="14"/>
      <c r="H568" s="14"/>
      <c r="I568" s="14"/>
      <c r="J568" s="14"/>
      <c r="K568" s="302"/>
    </row>
    <row r="569" ht="19.5" customHeight="1">
      <c r="A569" s="12"/>
      <c r="C569" s="12"/>
      <c r="D569" s="87"/>
      <c r="F569" s="14"/>
      <c r="G569" s="14"/>
      <c r="H569" s="14"/>
      <c r="I569" s="14"/>
      <c r="J569" s="14"/>
      <c r="K569" s="302"/>
    </row>
    <row r="570" ht="19.5" customHeight="1">
      <c r="A570" s="12"/>
      <c r="C570" s="12"/>
      <c r="D570" s="87"/>
      <c r="F570" s="14"/>
      <c r="G570" s="14"/>
      <c r="H570" s="14"/>
      <c r="I570" s="14"/>
      <c r="J570" s="14"/>
      <c r="K570" s="302"/>
    </row>
    <row r="571" ht="19.5" customHeight="1">
      <c r="A571" s="12"/>
      <c r="C571" s="12"/>
      <c r="D571" s="87"/>
      <c r="F571" s="14"/>
      <c r="G571" s="14"/>
      <c r="H571" s="14"/>
      <c r="I571" s="14"/>
      <c r="J571" s="14"/>
      <c r="K571" s="302"/>
    </row>
    <row r="572" ht="19.5" customHeight="1">
      <c r="A572" s="12"/>
      <c r="C572" s="12"/>
      <c r="D572" s="87"/>
      <c r="F572" s="14"/>
      <c r="G572" s="14"/>
      <c r="H572" s="14"/>
      <c r="I572" s="14"/>
      <c r="J572" s="14"/>
      <c r="K572" s="302"/>
    </row>
    <row r="573" ht="19.5" customHeight="1">
      <c r="A573" s="12"/>
      <c r="C573" s="12"/>
      <c r="D573" s="87"/>
      <c r="F573" s="14"/>
      <c r="G573" s="14"/>
      <c r="H573" s="14"/>
      <c r="I573" s="14"/>
      <c r="J573" s="14"/>
      <c r="K573" s="302"/>
    </row>
    <row r="574" ht="19.5" customHeight="1">
      <c r="A574" s="12"/>
      <c r="C574" s="12"/>
      <c r="D574" s="87"/>
      <c r="F574" s="14"/>
      <c r="G574" s="14"/>
      <c r="H574" s="14"/>
      <c r="I574" s="14"/>
      <c r="J574" s="14"/>
      <c r="K574" s="302"/>
    </row>
    <row r="575" ht="19.5" customHeight="1">
      <c r="A575" s="12"/>
      <c r="C575" s="12"/>
      <c r="D575" s="87"/>
      <c r="F575" s="14"/>
      <c r="G575" s="14"/>
      <c r="H575" s="14"/>
      <c r="I575" s="14"/>
      <c r="J575" s="14"/>
      <c r="K575" s="302"/>
    </row>
    <row r="576" ht="19.5" customHeight="1">
      <c r="A576" s="12"/>
      <c r="C576" s="12"/>
      <c r="D576" s="87"/>
      <c r="F576" s="14"/>
      <c r="G576" s="14"/>
      <c r="H576" s="14"/>
      <c r="I576" s="14"/>
      <c r="J576" s="14"/>
      <c r="K576" s="302"/>
    </row>
    <row r="577" ht="19.5" customHeight="1">
      <c r="A577" s="12"/>
      <c r="C577" s="12"/>
      <c r="D577" s="87"/>
      <c r="F577" s="14"/>
      <c r="G577" s="14"/>
      <c r="H577" s="14"/>
      <c r="I577" s="14"/>
      <c r="J577" s="14"/>
      <c r="K577" s="302"/>
    </row>
    <row r="578" ht="19.5" customHeight="1">
      <c r="A578" s="12"/>
      <c r="C578" s="12"/>
      <c r="D578" s="87"/>
      <c r="F578" s="14"/>
      <c r="G578" s="14"/>
      <c r="H578" s="14"/>
      <c r="I578" s="14"/>
      <c r="J578" s="14"/>
      <c r="K578" s="302"/>
    </row>
    <row r="579" ht="19.5" customHeight="1">
      <c r="A579" s="12"/>
      <c r="C579" s="12"/>
      <c r="D579" s="87"/>
      <c r="F579" s="14"/>
      <c r="G579" s="14"/>
      <c r="H579" s="14"/>
      <c r="I579" s="14"/>
      <c r="J579" s="14"/>
      <c r="K579" s="302"/>
    </row>
    <row r="580" ht="19.5" customHeight="1">
      <c r="A580" s="12"/>
      <c r="C580" s="12"/>
      <c r="D580" s="87"/>
      <c r="F580" s="14"/>
      <c r="G580" s="14"/>
      <c r="H580" s="14"/>
      <c r="I580" s="14"/>
      <c r="J580" s="14"/>
      <c r="K580" s="302"/>
    </row>
    <row r="581" ht="19.5" customHeight="1">
      <c r="A581" s="12"/>
      <c r="C581" s="12"/>
      <c r="D581" s="87"/>
      <c r="F581" s="14"/>
      <c r="G581" s="14"/>
      <c r="H581" s="14"/>
      <c r="I581" s="14"/>
      <c r="J581" s="14"/>
      <c r="K581" s="302"/>
    </row>
    <row r="582" ht="19.5" customHeight="1">
      <c r="A582" s="12"/>
      <c r="C582" s="12"/>
      <c r="D582" s="87"/>
      <c r="F582" s="14"/>
      <c r="G582" s="14"/>
      <c r="H582" s="14"/>
      <c r="I582" s="14"/>
      <c r="J582" s="14"/>
      <c r="K582" s="302"/>
    </row>
    <row r="583" ht="19.5" customHeight="1">
      <c r="A583" s="12"/>
      <c r="C583" s="12"/>
      <c r="D583" s="87"/>
      <c r="F583" s="14"/>
      <c r="G583" s="14"/>
      <c r="H583" s="14"/>
      <c r="I583" s="14"/>
      <c r="J583" s="14"/>
      <c r="K583" s="302"/>
    </row>
    <row r="584" ht="19.5" customHeight="1">
      <c r="A584" s="12"/>
      <c r="C584" s="12"/>
      <c r="D584" s="87"/>
      <c r="F584" s="14"/>
      <c r="G584" s="14"/>
      <c r="H584" s="14"/>
      <c r="I584" s="14"/>
      <c r="J584" s="14"/>
      <c r="K584" s="302"/>
    </row>
    <row r="585" ht="19.5" customHeight="1">
      <c r="A585" s="12"/>
      <c r="C585" s="12"/>
      <c r="D585" s="87"/>
      <c r="F585" s="14"/>
      <c r="G585" s="14"/>
      <c r="H585" s="14"/>
      <c r="I585" s="14"/>
      <c r="J585" s="14"/>
      <c r="K585" s="302"/>
    </row>
    <row r="586" ht="19.5" customHeight="1">
      <c r="A586" s="12"/>
      <c r="C586" s="12"/>
      <c r="D586" s="87"/>
      <c r="F586" s="14"/>
      <c r="G586" s="14"/>
      <c r="H586" s="14"/>
      <c r="I586" s="14"/>
      <c r="J586" s="14"/>
      <c r="K586" s="302"/>
    </row>
    <row r="587" ht="19.5" customHeight="1">
      <c r="A587" s="12"/>
      <c r="C587" s="12"/>
      <c r="D587" s="87"/>
      <c r="F587" s="14"/>
      <c r="G587" s="14"/>
      <c r="H587" s="14"/>
      <c r="I587" s="14"/>
      <c r="J587" s="14"/>
      <c r="K587" s="302"/>
    </row>
    <row r="588" ht="19.5" customHeight="1">
      <c r="A588" s="12"/>
      <c r="C588" s="12"/>
      <c r="D588" s="87"/>
      <c r="F588" s="14"/>
      <c r="G588" s="14"/>
      <c r="H588" s="14"/>
      <c r="I588" s="14"/>
      <c r="J588" s="14"/>
      <c r="K588" s="302"/>
    </row>
    <row r="589" ht="19.5" customHeight="1">
      <c r="A589" s="12"/>
      <c r="C589" s="12"/>
      <c r="D589" s="87"/>
      <c r="F589" s="14"/>
      <c r="G589" s="14"/>
      <c r="H589" s="14"/>
      <c r="I589" s="14"/>
      <c r="J589" s="14"/>
      <c r="K589" s="302"/>
    </row>
    <row r="590" ht="19.5" customHeight="1">
      <c r="A590" s="12"/>
      <c r="C590" s="12"/>
      <c r="D590" s="87"/>
      <c r="F590" s="14"/>
      <c r="G590" s="14"/>
      <c r="H590" s="14"/>
      <c r="I590" s="14"/>
      <c r="J590" s="14"/>
      <c r="K590" s="302"/>
    </row>
    <row r="591" ht="19.5" customHeight="1">
      <c r="A591" s="12"/>
      <c r="C591" s="12"/>
      <c r="D591" s="87"/>
      <c r="F591" s="14"/>
      <c r="G591" s="14"/>
      <c r="H591" s="14"/>
      <c r="I591" s="14"/>
      <c r="J591" s="14"/>
      <c r="K591" s="302"/>
    </row>
    <row r="592" ht="19.5" customHeight="1">
      <c r="A592" s="12"/>
      <c r="C592" s="12"/>
      <c r="D592" s="87"/>
      <c r="F592" s="14"/>
      <c r="G592" s="14"/>
      <c r="H592" s="14"/>
      <c r="I592" s="14"/>
      <c r="J592" s="14"/>
      <c r="K592" s="302"/>
    </row>
    <row r="593" ht="19.5" customHeight="1">
      <c r="A593" s="12"/>
      <c r="C593" s="12"/>
      <c r="D593" s="87"/>
      <c r="F593" s="14"/>
      <c r="G593" s="14"/>
      <c r="H593" s="14"/>
      <c r="I593" s="14"/>
      <c r="J593" s="14"/>
      <c r="K593" s="302"/>
    </row>
    <row r="594" ht="19.5" customHeight="1">
      <c r="A594" s="12"/>
      <c r="C594" s="12"/>
      <c r="D594" s="87"/>
      <c r="F594" s="14"/>
      <c r="G594" s="14"/>
      <c r="H594" s="14"/>
      <c r="I594" s="14"/>
      <c r="J594" s="14"/>
      <c r="K594" s="302"/>
    </row>
    <row r="595" ht="19.5" customHeight="1">
      <c r="A595" s="12"/>
      <c r="C595" s="12"/>
      <c r="D595" s="87"/>
      <c r="F595" s="14"/>
      <c r="G595" s="14"/>
      <c r="H595" s="14"/>
      <c r="I595" s="14"/>
      <c r="J595" s="14"/>
      <c r="K595" s="302"/>
    </row>
    <row r="596" ht="19.5" customHeight="1">
      <c r="A596" s="12"/>
      <c r="C596" s="12"/>
      <c r="D596" s="87"/>
      <c r="F596" s="14"/>
      <c r="G596" s="14"/>
      <c r="H596" s="14"/>
      <c r="I596" s="14"/>
      <c r="J596" s="14"/>
      <c r="K596" s="302"/>
    </row>
    <row r="597" ht="19.5" customHeight="1">
      <c r="A597" s="12"/>
      <c r="C597" s="12"/>
      <c r="D597" s="87"/>
      <c r="F597" s="14"/>
      <c r="G597" s="14"/>
      <c r="H597" s="14"/>
      <c r="I597" s="14"/>
      <c r="J597" s="14"/>
      <c r="K597" s="302"/>
    </row>
    <row r="598" ht="19.5" customHeight="1">
      <c r="A598" s="12"/>
      <c r="C598" s="12"/>
      <c r="D598" s="87"/>
      <c r="F598" s="14"/>
      <c r="G598" s="14"/>
      <c r="H598" s="14"/>
      <c r="I598" s="14"/>
      <c r="J598" s="14"/>
      <c r="K598" s="302"/>
    </row>
    <row r="599" ht="19.5" customHeight="1">
      <c r="A599" s="12"/>
      <c r="C599" s="12"/>
      <c r="D599" s="87"/>
      <c r="F599" s="14"/>
      <c r="G599" s="14"/>
      <c r="H599" s="14"/>
      <c r="I599" s="14"/>
      <c r="J599" s="14"/>
      <c r="K599" s="302"/>
    </row>
    <row r="600" ht="19.5" customHeight="1">
      <c r="A600" s="12"/>
      <c r="C600" s="12"/>
      <c r="D600" s="87"/>
      <c r="F600" s="14"/>
      <c r="G600" s="14"/>
      <c r="H600" s="14"/>
      <c r="I600" s="14"/>
      <c r="J600" s="14"/>
      <c r="K600" s="302"/>
    </row>
    <row r="601" ht="19.5" customHeight="1">
      <c r="A601" s="12"/>
      <c r="C601" s="12"/>
      <c r="D601" s="87"/>
      <c r="F601" s="14"/>
      <c r="G601" s="14"/>
      <c r="H601" s="14"/>
      <c r="I601" s="14"/>
      <c r="J601" s="14"/>
      <c r="K601" s="302"/>
    </row>
    <row r="602" ht="19.5" customHeight="1">
      <c r="A602" s="12"/>
      <c r="C602" s="12"/>
      <c r="D602" s="87"/>
      <c r="F602" s="14"/>
      <c r="G602" s="14"/>
      <c r="H602" s="14"/>
      <c r="I602" s="14"/>
      <c r="J602" s="14"/>
      <c r="K602" s="302"/>
    </row>
    <row r="603" ht="19.5" customHeight="1">
      <c r="A603" s="12"/>
      <c r="C603" s="12"/>
      <c r="D603" s="87"/>
      <c r="F603" s="14"/>
      <c r="G603" s="14"/>
      <c r="H603" s="14"/>
      <c r="I603" s="14"/>
      <c r="J603" s="14"/>
      <c r="K603" s="302"/>
    </row>
    <row r="604" ht="19.5" customHeight="1">
      <c r="A604" s="12"/>
      <c r="C604" s="12"/>
      <c r="D604" s="87"/>
      <c r="F604" s="14"/>
      <c r="G604" s="14"/>
      <c r="H604" s="14"/>
      <c r="I604" s="14"/>
      <c r="J604" s="14"/>
      <c r="K604" s="302"/>
    </row>
    <row r="605" ht="19.5" customHeight="1">
      <c r="A605" s="12"/>
      <c r="C605" s="12"/>
      <c r="D605" s="87"/>
      <c r="F605" s="14"/>
      <c r="G605" s="14"/>
      <c r="H605" s="14"/>
      <c r="I605" s="14"/>
      <c r="J605" s="14"/>
      <c r="K605" s="302"/>
    </row>
    <row r="606" ht="19.5" customHeight="1">
      <c r="A606" s="12"/>
      <c r="C606" s="12"/>
      <c r="D606" s="87"/>
      <c r="F606" s="14"/>
      <c r="G606" s="14"/>
      <c r="H606" s="14"/>
      <c r="I606" s="14"/>
      <c r="J606" s="14"/>
      <c r="K606" s="302"/>
    </row>
    <row r="607" ht="19.5" customHeight="1">
      <c r="A607" s="12"/>
      <c r="C607" s="12"/>
      <c r="D607" s="87"/>
      <c r="F607" s="14"/>
      <c r="G607" s="14"/>
      <c r="H607" s="14"/>
      <c r="I607" s="14"/>
      <c r="J607" s="14"/>
      <c r="K607" s="302"/>
    </row>
    <row r="608" ht="19.5" customHeight="1">
      <c r="A608" s="12"/>
      <c r="C608" s="12"/>
      <c r="D608" s="87"/>
      <c r="F608" s="14"/>
      <c r="G608" s="14"/>
      <c r="H608" s="14"/>
      <c r="I608" s="14"/>
      <c r="J608" s="14"/>
      <c r="K608" s="302"/>
    </row>
    <row r="609" ht="19.5" customHeight="1">
      <c r="A609" s="12"/>
      <c r="C609" s="12"/>
      <c r="D609" s="87"/>
      <c r="F609" s="14"/>
      <c r="G609" s="14"/>
      <c r="H609" s="14"/>
      <c r="I609" s="14"/>
      <c r="J609" s="14"/>
      <c r="K609" s="302"/>
    </row>
    <row r="610" ht="19.5" customHeight="1">
      <c r="A610" s="12"/>
      <c r="C610" s="12"/>
      <c r="D610" s="87"/>
      <c r="F610" s="14"/>
      <c r="G610" s="14"/>
      <c r="H610" s="14"/>
      <c r="I610" s="14"/>
      <c r="J610" s="14"/>
      <c r="K610" s="302"/>
    </row>
    <row r="611" ht="19.5" customHeight="1">
      <c r="A611" s="12"/>
      <c r="C611" s="12"/>
      <c r="D611" s="87"/>
      <c r="F611" s="14"/>
      <c r="G611" s="14"/>
      <c r="H611" s="14"/>
      <c r="I611" s="14"/>
      <c r="J611" s="14"/>
      <c r="K611" s="302"/>
    </row>
    <row r="612" ht="19.5" customHeight="1">
      <c r="A612" s="12"/>
      <c r="C612" s="12"/>
      <c r="D612" s="87"/>
      <c r="F612" s="14"/>
      <c r="G612" s="14"/>
      <c r="H612" s="14"/>
      <c r="I612" s="14"/>
      <c r="J612" s="14"/>
      <c r="K612" s="302"/>
    </row>
    <row r="613" ht="19.5" customHeight="1">
      <c r="A613" s="12"/>
      <c r="C613" s="12"/>
      <c r="D613" s="87"/>
      <c r="F613" s="14"/>
      <c r="G613" s="14"/>
      <c r="H613" s="14"/>
      <c r="I613" s="14"/>
      <c r="J613" s="14"/>
      <c r="K613" s="302"/>
    </row>
    <row r="614" ht="19.5" customHeight="1">
      <c r="A614" s="12"/>
      <c r="C614" s="12"/>
      <c r="D614" s="87"/>
      <c r="F614" s="14"/>
      <c r="G614" s="14"/>
      <c r="H614" s="14"/>
      <c r="I614" s="14"/>
      <c r="J614" s="14"/>
      <c r="K614" s="302"/>
    </row>
    <row r="615" ht="19.5" customHeight="1">
      <c r="A615" s="12"/>
      <c r="C615" s="12"/>
      <c r="D615" s="87"/>
      <c r="F615" s="14"/>
      <c r="G615" s="14"/>
      <c r="H615" s="14"/>
      <c r="I615" s="14"/>
      <c r="J615" s="14"/>
      <c r="K615" s="302"/>
    </row>
    <row r="616" ht="19.5" customHeight="1">
      <c r="A616" s="12"/>
      <c r="C616" s="12"/>
      <c r="D616" s="87"/>
      <c r="F616" s="14"/>
      <c r="G616" s="14"/>
      <c r="H616" s="14"/>
      <c r="I616" s="14"/>
      <c r="J616" s="14"/>
      <c r="K616" s="302"/>
    </row>
    <row r="617" ht="19.5" customHeight="1">
      <c r="A617" s="12"/>
      <c r="C617" s="12"/>
      <c r="D617" s="87"/>
      <c r="F617" s="14"/>
      <c r="G617" s="14"/>
      <c r="H617" s="14"/>
      <c r="I617" s="14"/>
      <c r="J617" s="14"/>
      <c r="K617" s="302"/>
    </row>
    <row r="618" ht="19.5" customHeight="1">
      <c r="A618" s="12"/>
      <c r="C618" s="12"/>
      <c r="D618" s="87"/>
      <c r="F618" s="14"/>
      <c r="G618" s="14"/>
      <c r="H618" s="14"/>
      <c r="I618" s="14"/>
      <c r="J618" s="14"/>
      <c r="K618" s="302"/>
    </row>
    <row r="619" ht="19.5" customHeight="1">
      <c r="A619" s="12"/>
      <c r="C619" s="12"/>
      <c r="D619" s="87"/>
      <c r="F619" s="14"/>
      <c r="G619" s="14"/>
      <c r="H619" s="14"/>
      <c r="I619" s="14"/>
      <c r="J619" s="14"/>
      <c r="K619" s="302"/>
    </row>
    <row r="620" ht="19.5" customHeight="1">
      <c r="A620" s="12"/>
      <c r="C620" s="12"/>
      <c r="D620" s="87"/>
      <c r="F620" s="14"/>
      <c r="G620" s="14"/>
      <c r="H620" s="14"/>
      <c r="I620" s="14"/>
      <c r="J620" s="14"/>
      <c r="K620" s="302"/>
    </row>
    <row r="621" ht="19.5" customHeight="1">
      <c r="A621" s="12"/>
      <c r="C621" s="12"/>
      <c r="D621" s="87"/>
      <c r="F621" s="14"/>
      <c r="G621" s="14"/>
      <c r="H621" s="14"/>
      <c r="I621" s="14"/>
      <c r="J621" s="14"/>
      <c r="K621" s="302"/>
    </row>
    <row r="622" ht="19.5" customHeight="1">
      <c r="A622" s="12"/>
      <c r="C622" s="12"/>
      <c r="D622" s="87"/>
      <c r="F622" s="14"/>
      <c r="G622" s="14"/>
      <c r="H622" s="14"/>
      <c r="I622" s="14"/>
      <c r="J622" s="14"/>
      <c r="K622" s="302"/>
    </row>
    <row r="623" ht="19.5" customHeight="1">
      <c r="A623" s="12"/>
      <c r="C623" s="12"/>
      <c r="D623" s="87"/>
      <c r="F623" s="14"/>
      <c r="G623" s="14"/>
      <c r="H623" s="14"/>
      <c r="I623" s="14"/>
      <c r="J623" s="14"/>
      <c r="K623" s="302"/>
    </row>
    <row r="624" ht="19.5" customHeight="1">
      <c r="A624" s="12"/>
      <c r="C624" s="12"/>
      <c r="D624" s="87"/>
      <c r="F624" s="14"/>
      <c r="G624" s="14"/>
      <c r="H624" s="14"/>
      <c r="I624" s="14"/>
      <c r="J624" s="14"/>
      <c r="K624" s="302"/>
    </row>
    <row r="625" ht="19.5" customHeight="1">
      <c r="A625" s="12"/>
      <c r="C625" s="12"/>
      <c r="D625" s="87"/>
      <c r="F625" s="14"/>
      <c r="G625" s="14"/>
      <c r="H625" s="14"/>
      <c r="I625" s="14"/>
      <c r="J625" s="14"/>
      <c r="K625" s="302"/>
    </row>
    <row r="626" ht="19.5" customHeight="1">
      <c r="A626" s="12"/>
      <c r="C626" s="12"/>
      <c r="D626" s="87"/>
      <c r="F626" s="14"/>
      <c r="G626" s="14"/>
      <c r="H626" s="14"/>
      <c r="I626" s="14"/>
      <c r="J626" s="14"/>
      <c r="K626" s="302"/>
    </row>
    <row r="627" ht="19.5" customHeight="1">
      <c r="A627" s="12"/>
      <c r="C627" s="12"/>
      <c r="D627" s="87"/>
      <c r="F627" s="14"/>
      <c r="G627" s="14"/>
      <c r="H627" s="14"/>
      <c r="I627" s="14"/>
      <c r="J627" s="14"/>
      <c r="K627" s="302"/>
    </row>
    <row r="628" ht="19.5" customHeight="1">
      <c r="A628" s="12"/>
      <c r="C628" s="12"/>
      <c r="D628" s="87"/>
      <c r="F628" s="14"/>
      <c r="G628" s="14"/>
      <c r="H628" s="14"/>
      <c r="I628" s="14"/>
      <c r="J628" s="14"/>
      <c r="K628" s="302"/>
    </row>
    <row r="629" ht="19.5" customHeight="1">
      <c r="A629" s="12"/>
      <c r="C629" s="12"/>
      <c r="D629" s="87"/>
      <c r="F629" s="14"/>
      <c r="G629" s="14"/>
      <c r="H629" s="14"/>
      <c r="I629" s="14"/>
      <c r="J629" s="14"/>
      <c r="K629" s="302"/>
    </row>
    <row r="630" ht="19.5" customHeight="1">
      <c r="A630" s="12"/>
      <c r="C630" s="12"/>
      <c r="D630" s="87"/>
      <c r="F630" s="14"/>
      <c r="G630" s="14"/>
      <c r="H630" s="14"/>
      <c r="I630" s="14"/>
      <c r="J630" s="14"/>
      <c r="K630" s="302"/>
    </row>
    <row r="631" ht="19.5" customHeight="1">
      <c r="A631" s="12"/>
      <c r="C631" s="12"/>
      <c r="D631" s="87"/>
      <c r="F631" s="14"/>
      <c r="G631" s="14"/>
      <c r="H631" s="14"/>
      <c r="I631" s="14"/>
      <c r="J631" s="14"/>
      <c r="K631" s="302"/>
    </row>
    <row r="632" ht="19.5" customHeight="1">
      <c r="A632" s="12"/>
      <c r="C632" s="12"/>
      <c r="D632" s="87"/>
      <c r="F632" s="14"/>
      <c r="G632" s="14"/>
      <c r="H632" s="14"/>
      <c r="I632" s="14"/>
      <c r="J632" s="14"/>
      <c r="K632" s="302"/>
    </row>
    <row r="633" ht="19.5" customHeight="1">
      <c r="A633" s="12"/>
      <c r="C633" s="12"/>
      <c r="D633" s="87"/>
      <c r="F633" s="14"/>
      <c r="G633" s="14"/>
      <c r="H633" s="14"/>
      <c r="I633" s="14"/>
      <c r="J633" s="14"/>
      <c r="K633" s="302"/>
    </row>
    <row r="634" ht="19.5" customHeight="1">
      <c r="A634" s="12"/>
      <c r="C634" s="12"/>
      <c r="D634" s="87"/>
      <c r="F634" s="14"/>
      <c r="G634" s="14"/>
      <c r="H634" s="14"/>
      <c r="I634" s="14"/>
      <c r="J634" s="14"/>
      <c r="K634" s="302"/>
    </row>
    <row r="635" ht="19.5" customHeight="1">
      <c r="A635" s="12"/>
      <c r="C635" s="12"/>
      <c r="D635" s="87"/>
      <c r="F635" s="14"/>
      <c r="G635" s="14"/>
      <c r="H635" s="14"/>
      <c r="I635" s="14"/>
      <c r="J635" s="14"/>
      <c r="K635" s="302"/>
    </row>
    <row r="636" ht="19.5" customHeight="1">
      <c r="A636" s="12"/>
      <c r="C636" s="12"/>
      <c r="D636" s="87"/>
      <c r="F636" s="14"/>
      <c r="G636" s="14"/>
      <c r="H636" s="14"/>
      <c r="I636" s="14"/>
      <c r="J636" s="14"/>
      <c r="K636" s="302"/>
    </row>
    <row r="637" ht="19.5" customHeight="1">
      <c r="A637" s="12"/>
      <c r="C637" s="12"/>
      <c r="D637" s="87"/>
      <c r="F637" s="14"/>
      <c r="G637" s="14"/>
      <c r="H637" s="14"/>
      <c r="I637" s="14"/>
      <c r="J637" s="14"/>
      <c r="K637" s="302"/>
    </row>
    <row r="638" ht="19.5" customHeight="1">
      <c r="A638" s="12"/>
      <c r="C638" s="12"/>
      <c r="D638" s="87"/>
      <c r="F638" s="14"/>
      <c r="G638" s="14"/>
      <c r="H638" s="14"/>
      <c r="I638" s="14"/>
      <c r="J638" s="14"/>
      <c r="K638" s="302"/>
    </row>
    <row r="639" ht="19.5" customHeight="1">
      <c r="A639" s="12"/>
      <c r="C639" s="12"/>
      <c r="D639" s="87"/>
      <c r="F639" s="14"/>
      <c r="G639" s="14"/>
      <c r="H639" s="14"/>
      <c r="I639" s="14"/>
      <c r="J639" s="14"/>
      <c r="K639" s="302"/>
    </row>
    <row r="640" ht="19.5" customHeight="1">
      <c r="A640" s="12"/>
      <c r="C640" s="12"/>
      <c r="D640" s="87"/>
      <c r="F640" s="14"/>
      <c r="G640" s="14"/>
      <c r="H640" s="14"/>
      <c r="I640" s="14"/>
      <c r="J640" s="14"/>
      <c r="K640" s="302"/>
    </row>
    <row r="641" ht="19.5" customHeight="1">
      <c r="A641" s="12"/>
      <c r="C641" s="12"/>
      <c r="D641" s="87"/>
      <c r="F641" s="14"/>
      <c r="G641" s="14"/>
      <c r="H641" s="14"/>
      <c r="I641" s="14"/>
      <c r="J641" s="14"/>
      <c r="K641" s="302"/>
    </row>
    <row r="642" ht="19.5" customHeight="1">
      <c r="A642" s="12"/>
      <c r="C642" s="12"/>
      <c r="D642" s="87"/>
      <c r="F642" s="14"/>
      <c r="G642" s="14"/>
      <c r="H642" s="14"/>
      <c r="I642" s="14"/>
      <c r="J642" s="14"/>
      <c r="K642" s="302"/>
    </row>
    <row r="643" ht="19.5" customHeight="1">
      <c r="A643" s="12"/>
      <c r="C643" s="12"/>
      <c r="D643" s="87"/>
      <c r="F643" s="14"/>
      <c r="G643" s="14"/>
      <c r="H643" s="14"/>
      <c r="I643" s="14"/>
      <c r="J643" s="14"/>
      <c r="K643" s="302"/>
    </row>
    <row r="644" ht="19.5" customHeight="1">
      <c r="A644" s="12"/>
      <c r="C644" s="12"/>
      <c r="D644" s="87"/>
      <c r="F644" s="14"/>
      <c r="G644" s="14"/>
      <c r="H644" s="14"/>
      <c r="I644" s="14"/>
      <c r="J644" s="14"/>
      <c r="K644" s="302"/>
    </row>
    <row r="645" ht="19.5" customHeight="1">
      <c r="A645" s="12"/>
      <c r="C645" s="12"/>
      <c r="D645" s="87"/>
      <c r="F645" s="14"/>
      <c r="G645" s="14"/>
      <c r="H645" s="14"/>
      <c r="I645" s="14"/>
      <c r="J645" s="14"/>
      <c r="K645" s="302"/>
    </row>
    <row r="646" ht="19.5" customHeight="1">
      <c r="A646" s="12"/>
      <c r="C646" s="12"/>
      <c r="D646" s="87"/>
      <c r="F646" s="14"/>
      <c r="G646" s="14"/>
      <c r="H646" s="14"/>
      <c r="I646" s="14"/>
      <c r="J646" s="14"/>
      <c r="K646" s="302"/>
    </row>
    <row r="647" ht="19.5" customHeight="1">
      <c r="A647" s="12"/>
      <c r="C647" s="12"/>
      <c r="D647" s="87"/>
      <c r="F647" s="14"/>
      <c r="G647" s="14"/>
      <c r="H647" s="14"/>
      <c r="I647" s="14"/>
      <c r="J647" s="14"/>
      <c r="K647" s="302"/>
    </row>
    <row r="648" ht="19.5" customHeight="1">
      <c r="A648" s="12"/>
      <c r="C648" s="12"/>
      <c r="D648" s="87"/>
      <c r="F648" s="14"/>
      <c r="G648" s="14"/>
      <c r="H648" s="14"/>
      <c r="I648" s="14"/>
      <c r="J648" s="14"/>
      <c r="K648" s="302"/>
    </row>
    <row r="649" ht="19.5" customHeight="1">
      <c r="A649" s="12"/>
      <c r="C649" s="12"/>
      <c r="D649" s="87"/>
      <c r="F649" s="14"/>
      <c r="G649" s="14"/>
      <c r="H649" s="14"/>
      <c r="I649" s="14"/>
      <c r="J649" s="14"/>
      <c r="K649" s="302"/>
    </row>
    <row r="650" ht="19.5" customHeight="1">
      <c r="A650" s="12"/>
      <c r="C650" s="12"/>
      <c r="D650" s="87"/>
      <c r="F650" s="14"/>
      <c r="G650" s="14"/>
      <c r="H650" s="14"/>
      <c r="I650" s="14"/>
      <c r="J650" s="14"/>
      <c r="K650" s="302"/>
    </row>
    <row r="651" ht="19.5" customHeight="1">
      <c r="A651" s="12"/>
      <c r="C651" s="12"/>
      <c r="D651" s="87"/>
      <c r="F651" s="14"/>
      <c r="G651" s="14"/>
      <c r="H651" s="14"/>
      <c r="I651" s="14"/>
      <c r="J651" s="14"/>
      <c r="K651" s="302"/>
    </row>
    <row r="652" ht="19.5" customHeight="1">
      <c r="A652" s="12"/>
      <c r="C652" s="12"/>
      <c r="D652" s="87"/>
      <c r="F652" s="14"/>
      <c r="G652" s="14"/>
      <c r="H652" s="14"/>
      <c r="I652" s="14"/>
      <c r="J652" s="14"/>
      <c r="K652" s="302"/>
    </row>
    <row r="653" ht="19.5" customHeight="1">
      <c r="A653" s="12"/>
      <c r="C653" s="12"/>
      <c r="D653" s="87"/>
      <c r="F653" s="14"/>
      <c r="G653" s="14"/>
      <c r="H653" s="14"/>
      <c r="I653" s="14"/>
      <c r="J653" s="14"/>
      <c r="K653" s="302"/>
    </row>
    <row r="654" ht="19.5" customHeight="1">
      <c r="A654" s="12"/>
      <c r="C654" s="12"/>
      <c r="D654" s="87"/>
      <c r="F654" s="14"/>
      <c r="G654" s="14"/>
      <c r="H654" s="14"/>
      <c r="I654" s="14"/>
      <c r="J654" s="14"/>
      <c r="K654" s="302"/>
    </row>
    <row r="655" ht="19.5" customHeight="1">
      <c r="A655" s="12"/>
      <c r="C655" s="12"/>
      <c r="D655" s="87"/>
      <c r="F655" s="14"/>
      <c r="G655" s="14"/>
      <c r="H655" s="14"/>
      <c r="I655" s="14"/>
      <c r="J655" s="14"/>
      <c r="K655" s="302"/>
    </row>
    <row r="656" ht="19.5" customHeight="1">
      <c r="A656" s="12"/>
      <c r="C656" s="12"/>
      <c r="D656" s="87"/>
      <c r="F656" s="14"/>
      <c r="G656" s="14"/>
      <c r="H656" s="14"/>
      <c r="I656" s="14"/>
      <c r="J656" s="14"/>
      <c r="K656" s="302"/>
    </row>
    <row r="657" ht="19.5" customHeight="1">
      <c r="A657" s="12"/>
      <c r="C657" s="12"/>
      <c r="D657" s="87"/>
      <c r="F657" s="14"/>
      <c r="G657" s="14"/>
      <c r="H657" s="14"/>
      <c r="I657" s="14"/>
      <c r="J657" s="14"/>
      <c r="K657" s="302"/>
    </row>
    <row r="658" ht="19.5" customHeight="1">
      <c r="A658" s="12"/>
      <c r="C658" s="12"/>
      <c r="D658" s="87"/>
      <c r="F658" s="14"/>
      <c r="G658" s="14"/>
      <c r="H658" s="14"/>
      <c r="I658" s="14"/>
      <c r="J658" s="14"/>
      <c r="K658" s="302"/>
    </row>
    <row r="659" ht="19.5" customHeight="1">
      <c r="A659" s="12"/>
      <c r="C659" s="12"/>
      <c r="D659" s="87"/>
      <c r="F659" s="14"/>
      <c r="G659" s="14"/>
      <c r="H659" s="14"/>
      <c r="I659" s="14"/>
      <c r="J659" s="14"/>
      <c r="K659" s="302"/>
    </row>
    <row r="660" ht="19.5" customHeight="1">
      <c r="A660" s="12"/>
      <c r="C660" s="12"/>
      <c r="D660" s="87"/>
      <c r="F660" s="14"/>
      <c r="G660" s="14"/>
      <c r="H660" s="14"/>
      <c r="I660" s="14"/>
      <c r="J660" s="14"/>
      <c r="K660" s="302"/>
    </row>
    <row r="661" ht="19.5" customHeight="1">
      <c r="A661" s="12"/>
      <c r="C661" s="12"/>
      <c r="D661" s="87"/>
      <c r="F661" s="14"/>
      <c r="G661" s="14"/>
      <c r="H661" s="14"/>
      <c r="I661" s="14"/>
      <c r="J661" s="14"/>
      <c r="K661" s="302"/>
    </row>
    <row r="662" ht="19.5" customHeight="1">
      <c r="A662" s="12"/>
      <c r="C662" s="12"/>
      <c r="D662" s="87"/>
      <c r="F662" s="14"/>
      <c r="G662" s="14"/>
      <c r="H662" s="14"/>
      <c r="I662" s="14"/>
      <c r="J662" s="14"/>
      <c r="K662" s="302"/>
    </row>
    <row r="663" ht="19.5" customHeight="1">
      <c r="A663" s="12"/>
      <c r="C663" s="12"/>
      <c r="D663" s="87"/>
      <c r="F663" s="14"/>
      <c r="G663" s="14"/>
      <c r="H663" s="14"/>
      <c r="I663" s="14"/>
      <c r="J663" s="14"/>
      <c r="K663" s="302"/>
    </row>
    <row r="664" ht="19.5" customHeight="1">
      <c r="A664" s="12"/>
      <c r="C664" s="12"/>
      <c r="D664" s="87"/>
      <c r="F664" s="14"/>
      <c r="G664" s="14"/>
      <c r="H664" s="14"/>
      <c r="I664" s="14"/>
      <c r="J664" s="14"/>
      <c r="K664" s="302"/>
    </row>
    <row r="665" ht="19.5" customHeight="1">
      <c r="A665" s="12"/>
      <c r="C665" s="12"/>
      <c r="D665" s="87"/>
      <c r="F665" s="14"/>
      <c r="G665" s="14"/>
      <c r="H665" s="14"/>
      <c r="I665" s="14"/>
      <c r="J665" s="14"/>
      <c r="K665" s="302"/>
    </row>
    <row r="666" ht="19.5" customHeight="1">
      <c r="A666" s="12"/>
      <c r="C666" s="12"/>
      <c r="D666" s="87"/>
      <c r="F666" s="14"/>
      <c r="G666" s="14"/>
      <c r="H666" s="14"/>
      <c r="I666" s="14"/>
      <c r="J666" s="14"/>
      <c r="K666" s="302"/>
    </row>
    <row r="667" ht="19.5" customHeight="1">
      <c r="A667" s="12"/>
      <c r="C667" s="12"/>
      <c r="D667" s="87"/>
      <c r="F667" s="14"/>
      <c r="G667" s="14"/>
      <c r="H667" s="14"/>
      <c r="I667" s="14"/>
      <c r="J667" s="14"/>
      <c r="K667" s="302"/>
    </row>
    <row r="668" ht="19.5" customHeight="1">
      <c r="A668" s="12"/>
      <c r="C668" s="12"/>
      <c r="D668" s="87"/>
      <c r="F668" s="14"/>
      <c r="G668" s="14"/>
      <c r="H668" s="14"/>
      <c r="I668" s="14"/>
      <c r="J668" s="14"/>
      <c r="K668" s="302"/>
    </row>
    <row r="669" ht="19.5" customHeight="1">
      <c r="A669" s="12"/>
      <c r="C669" s="12"/>
      <c r="D669" s="87"/>
      <c r="F669" s="14"/>
      <c r="G669" s="14"/>
      <c r="H669" s="14"/>
      <c r="I669" s="14"/>
      <c r="J669" s="14"/>
      <c r="K669" s="302"/>
    </row>
    <row r="670" ht="19.5" customHeight="1">
      <c r="A670" s="12"/>
      <c r="C670" s="12"/>
      <c r="D670" s="87"/>
      <c r="F670" s="14"/>
      <c r="G670" s="14"/>
      <c r="H670" s="14"/>
      <c r="I670" s="14"/>
      <c r="J670" s="14"/>
      <c r="K670" s="302"/>
    </row>
    <row r="671" ht="19.5" customHeight="1">
      <c r="A671" s="12"/>
      <c r="C671" s="12"/>
      <c r="D671" s="87"/>
      <c r="F671" s="14"/>
      <c r="G671" s="14"/>
      <c r="H671" s="14"/>
      <c r="I671" s="14"/>
      <c r="J671" s="14"/>
      <c r="K671" s="302"/>
    </row>
    <row r="672" ht="19.5" customHeight="1">
      <c r="A672" s="12"/>
      <c r="C672" s="12"/>
      <c r="D672" s="87"/>
      <c r="F672" s="14"/>
      <c r="G672" s="14"/>
      <c r="H672" s="14"/>
      <c r="I672" s="14"/>
      <c r="J672" s="14"/>
      <c r="K672" s="302"/>
    </row>
    <row r="673" ht="19.5" customHeight="1">
      <c r="A673" s="12"/>
      <c r="C673" s="12"/>
      <c r="D673" s="87"/>
      <c r="F673" s="14"/>
      <c r="G673" s="14"/>
      <c r="H673" s="14"/>
      <c r="I673" s="14"/>
      <c r="J673" s="14"/>
      <c r="K673" s="302"/>
    </row>
    <row r="674" ht="19.5" customHeight="1">
      <c r="A674" s="12"/>
      <c r="C674" s="12"/>
      <c r="D674" s="87"/>
      <c r="F674" s="14"/>
      <c r="G674" s="14"/>
      <c r="H674" s="14"/>
      <c r="I674" s="14"/>
      <c r="J674" s="14"/>
      <c r="K674" s="302"/>
    </row>
    <row r="675" ht="19.5" customHeight="1">
      <c r="A675" s="12"/>
      <c r="C675" s="12"/>
      <c r="D675" s="87"/>
      <c r="F675" s="14"/>
      <c r="G675" s="14"/>
      <c r="H675" s="14"/>
      <c r="I675" s="14"/>
      <c r="J675" s="14"/>
      <c r="K675" s="302"/>
    </row>
    <row r="676" ht="19.5" customHeight="1">
      <c r="A676" s="12"/>
      <c r="C676" s="12"/>
      <c r="D676" s="87"/>
      <c r="F676" s="14"/>
      <c r="G676" s="14"/>
      <c r="H676" s="14"/>
      <c r="I676" s="14"/>
      <c r="J676" s="14"/>
      <c r="K676" s="302"/>
    </row>
    <row r="677" ht="19.5" customHeight="1">
      <c r="A677" s="12"/>
      <c r="C677" s="12"/>
      <c r="D677" s="87"/>
      <c r="F677" s="14"/>
      <c r="G677" s="14"/>
      <c r="H677" s="14"/>
      <c r="I677" s="14"/>
      <c r="J677" s="14"/>
      <c r="K677" s="302"/>
    </row>
    <row r="678" ht="19.5" customHeight="1">
      <c r="A678" s="12"/>
      <c r="C678" s="12"/>
      <c r="D678" s="87"/>
      <c r="F678" s="14"/>
      <c r="G678" s="14"/>
      <c r="H678" s="14"/>
      <c r="I678" s="14"/>
      <c r="J678" s="14"/>
      <c r="K678" s="302"/>
    </row>
    <row r="679" ht="19.5" customHeight="1">
      <c r="A679" s="12"/>
      <c r="C679" s="12"/>
      <c r="D679" s="87"/>
      <c r="F679" s="14"/>
      <c r="G679" s="14"/>
      <c r="H679" s="14"/>
      <c r="I679" s="14"/>
      <c r="J679" s="14"/>
      <c r="K679" s="302"/>
    </row>
    <row r="680" ht="19.5" customHeight="1">
      <c r="A680" s="12"/>
      <c r="C680" s="12"/>
      <c r="D680" s="87"/>
      <c r="F680" s="14"/>
      <c r="G680" s="14"/>
      <c r="H680" s="14"/>
      <c r="I680" s="14"/>
      <c r="J680" s="14"/>
      <c r="K680" s="302"/>
    </row>
    <row r="681" ht="19.5" customHeight="1">
      <c r="A681" s="12"/>
      <c r="C681" s="12"/>
      <c r="D681" s="87"/>
      <c r="F681" s="14"/>
      <c r="G681" s="14"/>
      <c r="H681" s="14"/>
      <c r="I681" s="14"/>
      <c r="J681" s="14"/>
      <c r="K681" s="302"/>
    </row>
    <row r="682" ht="19.5" customHeight="1">
      <c r="A682" s="12"/>
      <c r="C682" s="12"/>
      <c r="D682" s="87"/>
      <c r="F682" s="14"/>
      <c r="G682" s="14"/>
      <c r="H682" s="14"/>
      <c r="I682" s="14"/>
      <c r="J682" s="14"/>
      <c r="K682" s="302"/>
    </row>
    <row r="683" ht="19.5" customHeight="1">
      <c r="A683" s="12"/>
      <c r="C683" s="12"/>
      <c r="D683" s="87"/>
      <c r="F683" s="14"/>
      <c r="G683" s="14"/>
      <c r="H683" s="14"/>
      <c r="I683" s="14"/>
      <c r="J683" s="14"/>
      <c r="K683" s="302"/>
    </row>
    <row r="684" ht="19.5" customHeight="1">
      <c r="A684" s="12"/>
      <c r="C684" s="12"/>
      <c r="D684" s="87"/>
      <c r="F684" s="14"/>
      <c r="G684" s="14"/>
      <c r="H684" s="14"/>
      <c r="I684" s="14"/>
      <c r="J684" s="14"/>
      <c r="K684" s="302"/>
    </row>
    <row r="685" ht="19.5" customHeight="1">
      <c r="A685" s="12"/>
      <c r="C685" s="12"/>
      <c r="D685" s="87"/>
      <c r="F685" s="14"/>
      <c r="G685" s="14"/>
      <c r="H685" s="14"/>
      <c r="I685" s="14"/>
      <c r="J685" s="14"/>
      <c r="K685" s="302"/>
    </row>
    <row r="686" ht="19.5" customHeight="1">
      <c r="A686" s="12"/>
      <c r="C686" s="12"/>
      <c r="D686" s="87"/>
      <c r="F686" s="14"/>
      <c r="G686" s="14"/>
      <c r="H686" s="14"/>
      <c r="I686" s="14"/>
      <c r="J686" s="14"/>
      <c r="K686" s="302"/>
    </row>
    <row r="687" ht="19.5" customHeight="1">
      <c r="A687" s="12"/>
      <c r="C687" s="12"/>
      <c r="D687" s="87"/>
      <c r="F687" s="14"/>
      <c r="G687" s="14"/>
      <c r="H687" s="14"/>
      <c r="I687" s="14"/>
      <c r="J687" s="14"/>
      <c r="K687" s="302"/>
    </row>
    <row r="688" ht="19.5" customHeight="1">
      <c r="A688" s="12"/>
      <c r="C688" s="12"/>
      <c r="D688" s="87"/>
      <c r="F688" s="14"/>
      <c r="G688" s="14"/>
      <c r="H688" s="14"/>
      <c r="I688" s="14"/>
      <c r="J688" s="14"/>
      <c r="K688" s="302"/>
    </row>
    <row r="689" ht="19.5" customHeight="1">
      <c r="A689" s="12"/>
      <c r="C689" s="12"/>
      <c r="D689" s="87"/>
      <c r="F689" s="14"/>
      <c r="G689" s="14"/>
      <c r="H689" s="14"/>
      <c r="I689" s="14"/>
      <c r="J689" s="14"/>
      <c r="K689" s="302"/>
    </row>
    <row r="690" ht="19.5" customHeight="1">
      <c r="A690" s="12"/>
      <c r="C690" s="12"/>
      <c r="D690" s="87"/>
      <c r="F690" s="14"/>
      <c r="G690" s="14"/>
      <c r="H690" s="14"/>
      <c r="I690" s="14"/>
      <c r="J690" s="14"/>
      <c r="K690" s="302"/>
    </row>
    <row r="691" ht="19.5" customHeight="1">
      <c r="A691" s="12"/>
      <c r="C691" s="12"/>
      <c r="D691" s="87"/>
      <c r="F691" s="14"/>
      <c r="G691" s="14"/>
      <c r="H691" s="14"/>
      <c r="I691" s="14"/>
      <c r="J691" s="14"/>
      <c r="K691" s="302"/>
    </row>
    <row r="692" ht="19.5" customHeight="1">
      <c r="A692" s="12"/>
      <c r="C692" s="12"/>
      <c r="D692" s="87"/>
      <c r="F692" s="14"/>
      <c r="G692" s="14"/>
      <c r="H692" s="14"/>
      <c r="I692" s="14"/>
      <c r="J692" s="14"/>
      <c r="K692" s="302"/>
    </row>
    <row r="693" ht="19.5" customHeight="1">
      <c r="A693" s="12"/>
      <c r="C693" s="12"/>
      <c r="D693" s="87"/>
      <c r="F693" s="14"/>
      <c r="G693" s="14"/>
      <c r="H693" s="14"/>
      <c r="I693" s="14"/>
      <c r="J693" s="14"/>
      <c r="K693" s="302"/>
    </row>
    <row r="694" ht="19.5" customHeight="1">
      <c r="A694" s="12"/>
      <c r="C694" s="12"/>
      <c r="D694" s="87"/>
      <c r="F694" s="14"/>
      <c r="G694" s="14"/>
      <c r="H694" s="14"/>
      <c r="I694" s="14"/>
      <c r="J694" s="14"/>
      <c r="K694" s="302"/>
    </row>
    <row r="695" ht="19.5" customHeight="1">
      <c r="A695" s="12"/>
      <c r="C695" s="12"/>
      <c r="D695" s="87"/>
      <c r="F695" s="14"/>
      <c r="G695" s="14"/>
      <c r="H695" s="14"/>
      <c r="I695" s="14"/>
      <c r="J695" s="14"/>
      <c r="K695" s="302"/>
    </row>
    <row r="696" ht="19.5" customHeight="1">
      <c r="A696" s="12"/>
      <c r="C696" s="12"/>
      <c r="D696" s="87"/>
      <c r="F696" s="14"/>
      <c r="G696" s="14"/>
      <c r="H696" s="14"/>
      <c r="I696" s="14"/>
      <c r="J696" s="14"/>
      <c r="K696" s="302"/>
    </row>
    <row r="697" ht="19.5" customHeight="1">
      <c r="A697" s="12"/>
      <c r="C697" s="12"/>
      <c r="D697" s="87"/>
      <c r="F697" s="14"/>
      <c r="G697" s="14"/>
      <c r="H697" s="14"/>
      <c r="I697" s="14"/>
      <c r="J697" s="14"/>
      <c r="K697" s="302"/>
    </row>
    <row r="698" ht="19.5" customHeight="1">
      <c r="A698" s="12"/>
      <c r="C698" s="12"/>
      <c r="D698" s="87"/>
      <c r="F698" s="14"/>
      <c r="G698" s="14"/>
      <c r="H698" s="14"/>
      <c r="I698" s="14"/>
      <c r="J698" s="14"/>
      <c r="K698" s="302"/>
    </row>
    <row r="699" ht="19.5" customHeight="1">
      <c r="A699" s="12"/>
      <c r="C699" s="12"/>
      <c r="D699" s="87"/>
      <c r="F699" s="14"/>
      <c r="G699" s="14"/>
      <c r="H699" s="14"/>
      <c r="I699" s="14"/>
      <c r="J699" s="14"/>
      <c r="K699" s="302"/>
    </row>
    <row r="700" ht="19.5" customHeight="1">
      <c r="A700" s="12"/>
      <c r="C700" s="12"/>
      <c r="D700" s="87"/>
      <c r="F700" s="14"/>
      <c r="G700" s="14"/>
      <c r="H700" s="14"/>
      <c r="I700" s="14"/>
      <c r="J700" s="14"/>
      <c r="K700" s="302"/>
    </row>
    <row r="701" ht="19.5" customHeight="1">
      <c r="A701" s="12"/>
      <c r="C701" s="12"/>
      <c r="D701" s="87"/>
      <c r="F701" s="14"/>
      <c r="G701" s="14"/>
      <c r="H701" s="14"/>
      <c r="I701" s="14"/>
      <c r="J701" s="14"/>
      <c r="K701" s="302"/>
    </row>
    <row r="702" ht="19.5" customHeight="1">
      <c r="A702" s="12"/>
      <c r="C702" s="12"/>
      <c r="D702" s="87"/>
      <c r="F702" s="14"/>
      <c r="G702" s="14"/>
      <c r="H702" s="14"/>
      <c r="I702" s="14"/>
      <c r="J702" s="14"/>
      <c r="K702" s="302"/>
    </row>
    <row r="703" ht="19.5" customHeight="1">
      <c r="A703" s="12"/>
      <c r="C703" s="12"/>
      <c r="D703" s="87"/>
      <c r="F703" s="14"/>
      <c r="G703" s="14"/>
      <c r="H703" s="14"/>
      <c r="I703" s="14"/>
      <c r="J703" s="14"/>
      <c r="K703" s="302"/>
    </row>
    <row r="704" ht="19.5" customHeight="1">
      <c r="A704" s="12"/>
      <c r="C704" s="12"/>
      <c r="D704" s="87"/>
      <c r="F704" s="14"/>
      <c r="G704" s="14"/>
      <c r="H704" s="14"/>
      <c r="I704" s="14"/>
      <c r="J704" s="14"/>
      <c r="K704" s="302"/>
    </row>
    <row r="705" ht="19.5" customHeight="1">
      <c r="A705" s="12"/>
      <c r="C705" s="12"/>
      <c r="D705" s="87"/>
      <c r="F705" s="14"/>
      <c r="G705" s="14"/>
      <c r="H705" s="14"/>
      <c r="I705" s="14"/>
      <c r="J705" s="14"/>
      <c r="K705" s="302"/>
    </row>
    <row r="706" ht="19.5" customHeight="1">
      <c r="A706" s="12"/>
      <c r="C706" s="12"/>
      <c r="D706" s="87"/>
      <c r="F706" s="14"/>
      <c r="G706" s="14"/>
      <c r="H706" s="14"/>
      <c r="I706" s="14"/>
      <c r="J706" s="14"/>
      <c r="K706" s="302"/>
    </row>
    <row r="707" ht="19.5" customHeight="1">
      <c r="A707" s="12"/>
      <c r="C707" s="12"/>
      <c r="D707" s="87"/>
      <c r="F707" s="14"/>
      <c r="G707" s="14"/>
      <c r="H707" s="14"/>
      <c r="I707" s="14"/>
      <c r="J707" s="14"/>
      <c r="K707" s="302"/>
    </row>
    <row r="708" ht="19.5" customHeight="1">
      <c r="A708" s="12"/>
      <c r="C708" s="12"/>
      <c r="D708" s="87"/>
      <c r="F708" s="14"/>
      <c r="G708" s="14"/>
      <c r="H708" s="14"/>
      <c r="I708" s="14"/>
      <c r="J708" s="14"/>
      <c r="K708" s="302"/>
    </row>
    <row r="709" ht="19.5" customHeight="1">
      <c r="A709" s="12"/>
      <c r="C709" s="12"/>
      <c r="D709" s="87"/>
      <c r="F709" s="14"/>
      <c r="G709" s="14"/>
      <c r="H709" s="14"/>
      <c r="I709" s="14"/>
      <c r="J709" s="14"/>
      <c r="K709" s="302"/>
    </row>
    <row r="710" ht="19.5" customHeight="1">
      <c r="A710" s="12"/>
      <c r="C710" s="12"/>
      <c r="D710" s="87"/>
      <c r="F710" s="14"/>
      <c r="G710" s="14"/>
      <c r="H710" s="14"/>
      <c r="I710" s="14"/>
      <c r="J710" s="14"/>
      <c r="K710" s="302"/>
    </row>
    <row r="711" ht="19.5" customHeight="1">
      <c r="A711" s="12"/>
      <c r="C711" s="12"/>
      <c r="D711" s="87"/>
      <c r="F711" s="14"/>
      <c r="G711" s="14"/>
      <c r="H711" s="14"/>
      <c r="I711" s="14"/>
      <c r="J711" s="14"/>
      <c r="K711" s="302"/>
    </row>
    <row r="712" ht="19.5" customHeight="1">
      <c r="A712" s="12"/>
      <c r="C712" s="12"/>
      <c r="D712" s="87"/>
      <c r="F712" s="14"/>
      <c r="G712" s="14"/>
      <c r="H712" s="14"/>
      <c r="I712" s="14"/>
      <c r="J712" s="14"/>
      <c r="K712" s="302"/>
    </row>
    <row r="713" ht="19.5" customHeight="1">
      <c r="A713" s="12"/>
      <c r="C713" s="12"/>
      <c r="D713" s="87"/>
      <c r="F713" s="14"/>
      <c r="G713" s="14"/>
      <c r="H713" s="14"/>
      <c r="I713" s="14"/>
      <c r="J713" s="14"/>
      <c r="K713" s="302"/>
    </row>
    <row r="714" ht="19.5" customHeight="1">
      <c r="A714" s="12"/>
      <c r="C714" s="12"/>
      <c r="D714" s="87"/>
      <c r="F714" s="14"/>
      <c r="G714" s="14"/>
      <c r="H714" s="14"/>
      <c r="I714" s="14"/>
      <c r="J714" s="14"/>
      <c r="K714" s="302"/>
    </row>
    <row r="715" ht="19.5" customHeight="1">
      <c r="A715" s="12"/>
      <c r="C715" s="12"/>
      <c r="D715" s="87"/>
      <c r="F715" s="14"/>
      <c r="G715" s="14"/>
      <c r="H715" s="14"/>
      <c r="I715" s="14"/>
      <c r="J715" s="14"/>
      <c r="K715" s="302"/>
    </row>
    <row r="716" ht="19.5" customHeight="1">
      <c r="A716" s="12"/>
      <c r="C716" s="12"/>
      <c r="D716" s="87"/>
      <c r="F716" s="14"/>
      <c r="G716" s="14"/>
      <c r="H716" s="14"/>
      <c r="I716" s="14"/>
      <c r="J716" s="14"/>
      <c r="K716" s="302"/>
    </row>
    <row r="717" ht="19.5" customHeight="1">
      <c r="A717" s="12"/>
      <c r="C717" s="12"/>
      <c r="D717" s="87"/>
      <c r="F717" s="14"/>
      <c r="G717" s="14"/>
      <c r="H717" s="14"/>
      <c r="I717" s="14"/>
      <c r="J717" s="14"/>
      <c r="K717" s="302"/>
    </row>
    <row r="718" ht="19.5" customHeight="1">
      <c r="A718" s="12"/>
      <c r="C718" s="12"/>
      <c r="D718" s="87"/>
      <c r="F718" s="14"/>
      <c r="G718" s="14"/>
      <c r="H718" s="14"/>
      <c r="I718" s="14"/>
      <c r="J718" s="14"/>
      <c r="K718" s="302"/>
    </row>
    <row r="719" ht="19.5" customHeight="1">
      <c r="A719" s="12"/>
      <c r="C719" s="12"/>
      <c r="D719" s="87"/>
      <c r="F719" s="14"/>
      <c r="G719" s="14"/>
      <c r="H719" s="14"/>
      <c r="I719" s="14"/>
      <c r="J719" s="14"/>
      <c r="K719" s="302"/>
    </row>
    <row r="720" ht="19.5" customHeight="1">
      <c r="A720" s="12"/>
      <c r="C720" s="12"/>
      <c r="D720" s="87"/>
      <c r="F720" s="14"/>
      <c r="G720" s="14"/>
      <c r="H720" s="14"/>
      <c r="I720" s="14"/>
      <c r="J720" s="14"/>
      <c r="K720" s="302"/>
    </row>
    <row r="721" ht="19.5" customHeight="1">
      <c r="A721" s="12"/>
      <c r="C721" s="12"/>
      <c r="D721" s="87"/>
      <c r="F721" s="14"/>
      <c r="G721" s="14"/>
      <c r="H721" s="14"/>
      <c r="I721" s="14"/>
      <c r="J721" s="14"/>
      <c r="K721" s="302"/>
    </row>
    <row r="722" ht="19.5" customHeight="1">
      <c r="A722" s="12"/>
      <c r="C722" s="12"/>
      <c r="D722" s="87"/>
      <c r="F722" s="14"/>
      <c r="G722" s="14"/>
      <c r="H722" s="14"/>
      <c r="I722" s="14"/>
      <c r="J722" s="14"/>
      <c r="K722" s="302"/>
    </row>
    <row r="723" ht="19.5" customHeight="1">
      <c r="A723" s="12"/>
      <c r="C723" s="12"/>
      <c r="D723" s="87"/>
      <c r="F723" s="14"/>
      <c r="G723" s="14"/>
      <c r="H723" s="14"/>
      <c r="I723" s="14"/>
      <c r="J723" s="14"/>
      <c r="K723" s="302"/>
    </row>
    <row r="724" ht="19.5" customHeight="1">
      <c r="A724" s="12"/>
      <c r="C724" s="12"/>
      <c r="D724" s="87"/>
      <c r="F724" s="14"/>
      <c r="G724" s="14"/>
      <c r="H724" s="14"/>
      <c r="I724" s="14"/>
      <c r="J724" s="14"/>
      <c r="K724" s="302"/>
    </row>
    <row r="725" ht="19.5" customHeight="1">
      <c r="A725" s="12"/>
      <c r="C725" s="12"/>
      <c r="D725" s="87"/>
      <c r="F725" s="14"/>
      <c r="G725" s="14"/>
      <c r="H725" s="14"/>
      <c r="I725" s="14"/>
      <c r="J725" s="14"/>
      <c r="K725" s="302"/>
    </row>
    <row r="726" ht="19.5" customHeight="1">
      <c r="A726" s="12"/>
      <c r="C726" s="12"/>
      <c r="D726" s="87"/>
      <c r="F726" s="14"/>
      <c r="G726" s="14"/>
      <c r="H726" s="14"/>
      <c r="I726" s="14"/>
      <c r="J726" s="14"/>
      <c r="K726" s="302"/>
    </row>
    <row r="727" ht="19.5" customHeight="1">
      <c r="A727" s="12"/>
      <c r="C727" s="12"/>
      <c r="D727" s="87"/>
      <c r="F727" s="14"/>
      <c r="G727" s="14"/>
      <c r="H727" s="14"/>
      <c r="I727" s="14"/>
      <c r="J727" s="14"/>
      <c r="K727" s="302"/>
    </row>
    <row r="728" ht="19.5" customHeight="1">
      <c r="A728" s="12"/>
      <c r="C728" s="12"/>
      <c r="D728" s="87"/>
      <c r="F728" s="14"/>
      <c r="G728" s="14"/>
      <c r="H728" s="14"/>
      <c r="I728" s="14"/>
      <c r="J728" s="14"/>
      <c r="K728" s="302"/>
    </row>
    <row r="729" ht="19.5" customHeight="1">
      <c r="A729" s="12"/>
      <c r="C729" s="12"/>
      <c r="D729" s="87"/>
      <c r="F729" s="14"/>
      <c r="G729" s="14"/>
      <c r="H729" s="14"/>
      <c r="I729" s="14"/>
      <c r="J729" s="14"/>
      <c r="K729" s="302"/>
    </row>
    <row r="730" ht="19.5" customHeight="1">
      <c r="A730" s="12"/>
      <c r="C730" s="12"/>
      <c r="D730" s="87"/>
      <c r="F730" s="14"/>
      <c r="G730" s="14"/>
      <c r="H730" s="14"/>
      <c r="I730" s="14"/>
      <c r="J730" s="14"/>
      <c r="K730" s="302"/>
    </row>
    <row r="731" ht="19.5" customHeight="1">
      <c r="A731" s="12"/>
      <c r="C731" s="12"/>
      <c r="D731" s="87"/>
      <c r="F731" s="14"/>
      <c r="G731" s="14"/>
      <c r="H731" s="14"/>
      <c r="I731" s="14"/>
      <c r="J731" s="14"/>
      <c r="K731" s="302"/>
    </row>
    <row r="732" ht="19.5" customHeight="1">
      <c r="A732" s="12"/>
      <c r="C732" s="12"/>
      <c r="D732" s="87"/>
      <c r="F732" s="14"/>
      <c r="G732" s="14"/>
      <c r="H732" s="14"/>
      <c r="I732" s="14"/>
      <c r="J732" s="14"/>
      <c r="K732" s="302"/>
    </row>
    <row r="733" ht="19.5" customHeight="1">
      <c r="A733" s="12"/>
      <c r="C733" s="12"/>
      <c r="D733" s="87"/>
      <c r="F733" s="14"/>
      <c r="G733" s="14"/>
      <c r="H733" s="14"/>
      <c r="I733" s="14"/>
      <c r="J733" s="14"/>
      <c r="K733" s="302"/>
    </row>
    <row r="734" ht="19.5" customHeight="1">
      <c r="A734" s="12"/>
      <c r="C734" s="12"/>
      <c r="D734" s="87"/>
      <c r="F734" s="14"/>
      <c r="G734" s="14"/>
      <c r="H734" s="14"/>
      <c r="I734" s="14"/>
      <c r="J734" s="14"/>
      <c r="K734" s="302"/>
    </row>
    <row r="735" ht="19.5" customHeight="1">
      <c r="A735" s="12"/>
      <c r="C735" s="12"/>
      <c r="D735" s="87"/>
      <c r="F735" s="14"/>
      <c r="G735" s="14"/>
      <c r="H735" s="14"/>
      <c r="I735" s="14"/>
      <c r="J735" s="14"/>
      <c r="K735" s="302"/>
    </row>
    <row r="736" ht="19.5" customHeight="1">
      <c r="A736" s="12"/>
      <c r="C736" s="12"/>
      <c r="D736" s="87"/>
      <c r="F736" s="14"/>
      <c r="G736" s="14"/>
      <c r="H736" s="14"/>
      <c r="I736" s="14"/>
      <c r="J736" s="14"/>
      <c r="K736" s="302"/>
    </row>
    <row r="737" ht="19.5" customHeight="1">
      <c r="A737" s="12"/>
      <c r="C737" s="12"/>
      <c r="D737" s="87"/>
      <c r="F737" s="14"/>
      <c r="G737" s="14"/>
      <c r="H737" s="14"/>
      <c r="I737" s="14"/>
      <c r="J737" s="14"/>
      <c r="K737" s="302"/>
    </row>
    <row r="738" ht="19.5" customHeight="1">
      <c r="A738" s="12"/>
      <c r="C738" s="12"/>
      <c r="D738" s="87"/>
      <c r="F738" s="14"/>
      <c r="G738" s="14"/>
      <c r="H738" s="14"/>
      <c r="I738" s="14"/>
      <c r="J738" s="14"/>
      <c r="K738" s="302"/>
    </row>
    <row r="739" ht="19.5" customHeight="1">
      <c r="A739" s="12"/>
      <c r="C739" s="12"/>
      <c r="D739" s="87"/>
      <c r="F739" s="14"/>
      <c r="G739" s="14"/>
      <c r="H739" s="14"/>
      <c r="I739" s="14"/>
      <c r="J739" s="14"/>
      <c r="K739" s="302"/>
    </row>
    <row r="740" ht="19.5" customHeight="1">
      <c r="A740" s="12"/>
      <c r="C740" s="12"/>
      <c r="D740" s="87"/>
      <c r="F740" s="14"/>
      <c r="G740" s="14"/>
      <c r="H740" s="14"/>
      <c r="I740" s="14"/>
      <c r="J740" s="14"/>
      <c r="K740" s="302"/>
    </row>
    <row r="741" ht="19.5" customHeight="1">
      <c r="A741" s="12"/>
      <c r="C741" s="12"/>
      <c r="D741" s="87"/>
      <c r="F741" s="14"/>
      <c r="G741" s="14"/>
      <c r="H741" s="14"/>
      <c r="I741" s="14"/>
      <c r="J741" s="14"/>
      <c r="K741" s="302"/>
    </row>
    <row r="742" ht="19.5" customHeight="1">
      <c r="A742" s="12"/>
      <c r="C742" s="12"/>
      <c r="D742" s="87"/>
      <c r="F742" s="14"/>
      <c r="G742" s="14"/>
      <c r="H742" s="14"/>
      <c r="I742" s="14"/>
      <c r="J742" s="14"/>
      <c r="K742" s="302"/>
    </row>
    <row r="743" ht="19.5" customHeight="1">
      <c r="A743" s="12"/>
      <c r="C743" s="12"/>
      <c r="D743" s="87"/>
      <c r="F743" s="14"/>
      <c r="G743" s="14"/>
      <c r="H743" s="14"/>
      <c r="I743" s="14"/>
      <c r="J743" s="14"/>
      <c r="K743" s="302"/>
    </row>
    <row r="744" ht="19.5" customHeight="1">
      <c r="A744" s="12"/>
      <c r="C744" s="12"/>
      <c r="D744" s="87"/>
      <c r="F744" s="14"/>
      <c r="G744" s="14"/>
      <c r="H744" s="14"/>
      <c r="I744" s="14"/>
      <c r="J744" s="14"/>
      <c r="K744" s="302"/>
    </row>
    <row r="745" ht="19.5" customHeight="1">
      <c r="A745" s="12"/>
      <c r="C745" s="12"/>
      <c r="D745" s="87"/>
      <c r="F745" s="14"/>
      <c r="G745" s="14"/>
      <c r="H745" s="14"/>
      <c r="I745" s="14"/>
      <c r="J745" s="14"/>
      <c r="K745" s="302"/>
    </row>
    <row r="746" ht="19.5" customHeight="1">
      <c r="A746" s="12"/>
      <c r="C746" s="12"/>
      <c r="D746" s="87"/>
      <c r="F746" s="14"/>
      <c r="G746" s="14"/>
      <c r="H746" s="14"/>
      <c r="I746" s="14"/>
      <c r="J746" s="14"/>
      <c r="K746" s="302"/>
    </row>
    <row r="747" ht="19.5" customHeight="1">
      <c r="A747" s="12"/>
      <c r="C747" s="12"/>
      <c r="D747" s="87"/>
      <c r="F747" s="14"/>
      <c r="G747" s="14"/>
      <c r="H747" s="14"/>
      <c r="I747" s="14"/>
      <c r="J747" s="14"/>
      <c r="K747" s="302"/>
    </row>
    <row r="748" ht="19.5" customHeight="1">
      <c r="A748" s="12"/>
      <c r="C748" s="12"/>
      <c r="D748" s="87"/>
      <c r="F748" s="14"/>
      <c r="G748" s="14"/>
      <c r="H748" s="14"/>
      <c r="I748" s="14"/>
      <c r="J748" s="14"/>
      <c r="K748" s="302"/>
    </row>
    <row r="749" ht="19.5" customHeight="1">
      <c r="A749" s="12"/>
      <c r="C749" s="12"/>
      <c r="D749" s="87"/>
      <c r="F749" s="14"/>
      <c r="G749" s="14"/>
      <c r="H749" s="14"/>
      <c r="I749" s="14"/>
      <c r="J749" s="14"/>
      <c r="K749" s="302"/>
    </row>
    <row r="750" ht="19.5" customHeight="1">
      <c r="A750" s="12"/>
      <c r="C750" s="12"/>
      <c r="D750" s="87"/>
      <c r="F750" s="14"/>
      <c r="G750" s="14"/>
      <c r="H750" s="14"/>
      <c r="I750" s="14"/>
      <c r="J750" s="14"/>
      <c r="K750" s="302"/>
    </row>
    <row r="751" ht="19.5" customHeight="1">
      <c r="A751" s="12"/>
      <c r="C751" s="12"/>
      <c r="D751" s="87"/>
      <c r="F751" s="14"/>
      <c r="G751" s="14"/>
      <c r="H751" s="14"/>
      <c r="I751" s="14"/>
      <c r="J751" s="14"/>
      <c r="K751" s="302"/>
    </row>
    <row r="752" ht="19.5" customHeight="1">
      <c r="A752" s="12"/>
      <c r="C752" s="12"/>
      <c r="D752" s="87"/>
      <c r="F752" s="14"/>
      <c r="G752" s="14"/>
      <c r="H752" s="14"/>
      <c r="I752" s="14"/>
      <c r="J752" s="14"/>
      <c r="K752" s="302"/>
    </row>
    <row r="753" ht="19.5" customHeight="1">
      <c r="A753" s="12"/>
      <c r="C753" s="12"/>
      <c r="D753" s="87"/>
      <c r="F753" s="14"/>
      <c r="G753" s="14"/>
      <c r="H753" s="14"/>
      <c r="I753" s="14"/>
      <c r="J753" s="14"/>
      <c r="K753" s="302"/>
    </row>
    <row r="754" ht="19.5" customHeight="1">
      <c r="A754" s="12"/>
      <c r="C754" s="12"/>
      <c r="D754" s="87"/>
      <c r="F754" s="14"/>
      <c r="G754" s="14"/>
      <c r="H754" s="14"/>
      <c r="I754" s="14"/>
      <c r="J754" s="14"/>
      <c r="K754" s="302"/>
    </row>
    <row r="755" ht="19.5" customHeight="1">
      <c r="A755" s="12"/>
      <c r="C755" s="12"/>
      <c r="D755" s="87"/>
      <c r="F755" s="14"/>
      <c r="G755" s="14"/>
      <c r="H755" s="14"/>
      <c r="I755" s="14"/>
      <c r="J755" s="14"/>
      <c r="K755" s="302"/>
    </row>
    <row r="756" ht="19.5" customHeight="1">
      <c r="A756" s="12"/>
      <c r="C756" s="12"/>
      <c r="D756" s="87"/>
      <c r="F756" s="14"/>
      <c r="G756" s="14"/>
      <c r="H756" s="14"/>
      <c r="I756" s="14"/>
      <c r="J756" s="14"/>
      <c r="K756" s="302"/>
    </row>
    <row r="757" ht="19.5" customHeight="1">
      <c r="A757" s="12"/>
      <c r="C757" s="12"/>
      <c r="D757" s="87"/>
      <c r="F757" s="14"/>
      <c r="G757" s="14"/>
      <c r="H757" s="14"/>
      <c r="I757" s="14"/>
      <c r="J757" s="14"/>
      <c r="K757" s="302"/>
    </row>
    <row r="758" ht="19.5" customHeight="1">
      <c r="A758" s="12"/>
      <c r="C758" s="12"/>
      <c r="D758" s="87"/>
      <c r="F758" s="14"/>
      <c r="G758" s="14"/>
      <c r="H758" s="14"/>
      <c r="I758" s="14"/>
      <c r="J758" s="14"/>
      <c r="K758" s="302"/>
    </row>
    <row r="759" ht="19.5" customHeight="1">
      <c r="A759" s="12"/>
      <c r="C759" s="12"/>
      <c r="D759" s="87"/>
      <c r="F759" s="14"/>
      <c r="G759" s="14"/>
      <c r="H759" s="14"/>
      <c r="I759" s="14"/>
      <c r="J759" s="14"/>
      <c r="K759" s="302"/>
    </row>
    <row r="760" ht="19.5" customHeight="1">
      <c r="A760" s="12"/>
      <c r="C760" s="12"/>
      <c r="D760" s="87"/>
      <c r="F760" s="14"/>
      <c r="G760" s="14"/>
      <c r="H760" s="14"/>
      <c r="I760" s="14"/>
      <c r="J760" s="14"/>
      <c r="K760" s="302"/>
    </row>
    <row r="761" ht="19.5" customHeight="1">
      <c r="A761" s="12"/>
      <c r="C761" s="12"/>
      <c r="D761" s="87"/>
      <c r="F761" s="14"/>
      <c r="G761" s="14"/>
      <c r="H761" s="14"/>
      <c r="I761" s="14"/>
      <c r="J761" s="14"/>
      <c r="K761" s="302"/>
    </row>
    <row r="762" ht="19.5" customHeight="1">
      <c r="A762" s="12"/>
      <c r="C762" s="12"/>
      <c r="D762" s="87"/>
      <c r="F762" s="14"/>
      <c r="G762" s="14"/>
      <c r="H762" s="14"/>
      <c r="I762" s="14"/>
      <c r="J762" s="14"/>
      <c r="K762" s="302"/>
    </row>
    <row r="763" ht="19.5" customHeight="1">
      <c r="A763" s="12"/>
      <c r="C763" s="12"/>
      <c r="D763" s="87"/>
      <c r="F763" s="14"/>
      <c r="G763" s="14"/>
      <c r="H763" s="14"/>
      <c r="I763" s="14"/>
      <c r="J763" s="14"/>
      <c r="K763" s="302"/>
    </row>
    <row r="764" ht="19.5" customHeight="1">
      <c r="A764" s="12"/>
      <c r="C764" s="12"/>
      <c r="D764" s="87"/>
      <c r="F764" s="14"/>
      <c r="G764" s="14"/>
      <c r="H764" s="14"/>
      <c r="I764" s="14"/>
      <c r="J764" s="14"/>
      <c r="K764" s="302"/>
    </row>
    <row r="765" ht="19.5" customHeight="1">
      <c r="A765" s="12"/>
      <c r="C765" s="12"/>
      <c r="D765" s="87"/>
      <c r="F765" s="14"/>
      <c r="G765" s="14"/>
      <c r="H765" s="14"/>
      <c r="I765" s="14"/>
      <c r="J765" s="14"/>
      <c r="K765" s="302"/>
    </row>
    <row r="766" ht="19.5" customHeight="1">
      <c r="A766" s="12"/>
      <c r="C766" s="12"/>
      <c r="D766" s="87"/>
      <c r="F766" s="14"/>
      <c r="G766" s="14"/>
      <c r="H766" s="14"/>
      <c r="I766" s="14"/>
      <c r="J766" s="14"/>
      <c r="K766" s="302"/>
    </row>
    <row r="767" ht="19.5" customHeight="1">
      <c r="A767" s="12"/>
      <c r="C767" s="12"/>
      <c r="D767" s="87"/>
      <c r="F767" s="14"/>
      <c r="G767" s="14"/>
      <c r="H767" s="14"/>
      <c r="I767" s="14"/>
      <c r="J767" s="14"/>
      <c r="K767" s="302"/>
    </row>
    <row r="768" ht="19.5" customHeight="1">
      <c r="A768" s="12"/>
      <c r="C768" s="12"/>
      <c r="D768" s="87"/>
      <c r="F768" s="14"/>
      <c r="G768" s="14"/>
      <c r="H768" s="14"/>
      <c r="I768" s="14"/>
      <c r="J768" s="14"/>
      <c r="K768" s="302"/>
    </row>
    <row r="769" ht="19.5" customHeight="1">
      <c r="A769" s="12"/>
      <c r="C769" s="12"/>
      <c r="D769" s="87"/>
      <c r="F769" s="14"/>
      <c r="G769" s="14"/>
      <c r="H769" s="14"/>
      <c r="I769" s="14"/>
      <c r="J769" s="14"/>
      <c r="K769" s="302"/>
    </row>
    <row r="770" ht="19.5" customHeight="1">
      <c r="A770" s="12"/>
      <c r="C770" s="12"/>
      <c r="D770" s="87"/>
      <c r="F770" s="14"/>
      <c r="G770" s="14"/>
      <c r="H770" s="14"/>
      <c r="I770" s="14"/>
      <c r="J770" s="14"/>
      <c r="K770" s="302"/>
    </row>
    <row r="771" ht="19.5" customHeight="1">
      <c r="A771" s="12"/>
      <c r="C771" s="12"/>
      <c r="D771" s="87"/>
      <c r="F771" s="14"/>
      <c r="G771" s="14"/>
      <c r="H771" s="14"/>
      <c r="I771" s="14"/>
      <c r="J771" s="14"/>
      <c r="K771" s="302"/>
    </row>
    <row r="772" ht="19.5" customHeight="1">
      <c r="A772" s="12"/>
      <c r="C772" s="12"/>
      <c r="D772" s="87"/>
      <c r="F772" s="14"/>
      <c r="G772" s="14"/>
      <c r="H772" s="14"/>
      <c r="I772" s="14"/>
      <c r="J772" s="14"/>
      <c r="K772" s="302"/>
    </row>
    <row r="773" ht="19.5" customHeight="1">
      <c r="A773" s="12"/>
      <c r="C773" s="12"/>
      <c r="D773" s="87"/>
      <c r="F773" s="14"/>
      <c r="G773" s="14"/>
      <c r="H773" s="14"/>
      <c r="I773" s="14"/>
      <c r="J773" s="14"/>
      <c r="K773" s="302"/>
    </row>
    <row r="774" ht="19.5" customHeight="1">
      <c r="A774" s="12"/>
      <c r="C774" s="12"/>
      <c r="D774" s="87"/>
      <c r="F774" s="14"/>
      <c r="G774" s="14"/>
      <c r="H774" s="14"/>
      <c r="I774" s="14"/>
      <c r="J774" s="14"/>
      <c r="K774" s="302"/>
    </row>
    <row r="775" ht="19.5" customHeight="1">
      <c r="A775" s="12"/>
      <c r="C775" s="12"/>
      <c r="D775" s="87"/>
      <c r="F775" s="14"/>
      <c r="G775" s="14"/>
      <c r="H775" s="14"/>
      <c r="I775" s="14"/>
      <c r="J775" s="14"/>
      <c r="K775" s="302"/>
    </row>
    <row r="776" ht="19.5" customHeight="1">
      <c r="A776" s="12"/>
      <c r="C776" s="12"/>
      <c r="D776" s="87"/>
      <c r="F776" s="14"/>
      <c r="G776" s="14"/>
      <c r="H776" s="14"/>
      <c r="I776" s="14"/>
      <c r="J776" s="14"/>
      <c r="K776" s="302"/>
    </row>
    <row r="777" ht="19.5" customHeight="1">
      <c r="A777" s="12"/>
      <c r="C777" s="12"/>
      <c r="D777" s="87"/>
      <c r="F777" s="14"/>
      <c r="G777" s="14"/>
      <c r="H777" s="14"/>
      <c r="I777" s="14"/>
      <c r="J777" s="14"/>
      <c r="K777" s="302"/>
    </row>
    <row r="778" ht="19.5" customHeight="1">
      <c r="A778" s="12"/>
      <c r="C778" s="12"/>
      <c r="D778" s="87"/>
      <c r="F778" s="14"/>
      <c r="G778" s="14"/>
      <c r="H778" s="14"/>
      <c r="I778" s="14"/>
      <c r="J778" s="14"/>
      <c r="K778" s="302"/>
    </row>
    <row r="779" ht="19.5" customHeight="1">
      <c r="A779" s="12"/>
      <c r="C779" s="12"/>
      <c r="D779" s="87"/>
      <c r="F779" s="14"/>
      <c r="G779" s="14"/>
      <c r="H779" s="14"/>
      <c r="I779" s="14"/>
      <c r="J779" s="14"/>
      <c r="K779" s="302"/>
    </row>
    <row r="780" ht="19.5" customHeight="1">
      <c r="A780" s="12"/>
      <c r="C780" s="12"/>
      <c r="D780" s="87"/>
      <c r="F780" s="14"/>
      <c r="G780" s="14"/>
      <c r="H780" s="14"/>
      <c r="I780" s="14"/>
      <c r="J780" s="14"/>
      <c r="K780" s="302"/>
    </row>
    <row r="781" ht="19.5" customHeight="1">
      <c r="A781" s="12"/>
      <c r="C781" s="12"/>
      <c r="D781" s="87"/>
      <c r="F781" s="14"/>
      <c r="G781" s="14"/>
      <c r="H781" s="14"/>
      <c r="I781" s="14"/>
      <c r="J781" s="14"/>
      <c r="K781" s="302"/>
    </row>
    <row r="782" ht="19.5" customHeight="1">
      <c r="A782" s="12"/>
      <c r="C782" s="12"/>
      <c r="D782" s="87"/>
      <c r="F782" s="14"/>
      <c r="G782" s="14"/>
      <c r="H782" s="14"/>
      <c r="I782" s="14"/>
      <c r="J782" s="14"/>
      <c r="K782" s="302"/>
    </row>
    <row r="783" ht="19.5" customHeight="1">
      <c r="A783" s="12"/>
      <c r="C783" s="12"/>
      <c r="D783" s="87"/>
      <c r="F783" s="14"/>
      <c r="G783" s="14"/>
      <c r="H783" s="14"/>
      <c r="I783" s="14"/>
      <c r="J783" s="14"/>
      <c r="K783" s="302"/>
    </row>
    <row r="784" ht="19.5" customHeight="1">
      <c r="A784" s="12"/>
      <c r="C784" s="12"/>
      <c r="D784" s="87"/>
      <c r="F784" s="14"/>
      <c r="G784" s="14"/>
      <c r="H784" s="14"/>
      <c r="I784" s="14"/>
      <c r="J784" s="14"/>
      <c r="K784" s="302"/>
    </row>
    <row r="785" ht="19.5" customHeight="1">
      <c r="A785" s="12"/>
      <c r="C785" s="12"/>
      <c r="D785" s="87"/>
      <c r="F785" s="14"/>
      <c r="G785" s="14"/>
      <c r="H785" s="14"/>
      <c r="I785" s="14"/>
      <c r="J785" s="14"/>
      <c r="K785" s="302"/>
    </row>
    <row r="786" ht="19.5" customHeight="1">
      <c r="A786" s="12"/>
      <c r="C786" s="12"/>
      <c r="D786" s="87"/>
      <c r="F786" s="14"/>
      <c r="G786" s="14"/>
      <c r="H786" s="14"/>
      <c r="I786" s="14"/>
      <c r="J786" s="14"/>
      <c r="K786" s="302"/>
    </row>
    <row r="787" ht="19.5" customHeight="1">
      <c r="A787" s="12"/>
      <c r="C787" s="12"/>
      <c r="D787" s="87"/>
      <c r="F787" s="14"/>
      <c r="G787" s="14"/>
      <c r="H787" s="14"/>
      <c r="I787" s="14"/>
      <c r="J787" s="14"/>
      <c r="K787" s="302"/>
    </row>
    <row r="788" ht="19.5" customHeight="1">
      <c r="A788" s="12"/>
      <c r="C788" s="12"/>
      <c r="D788" s="87"/>
      <c r="F788" s="14"/>
      <c r="G788" s="14"/>
      <c r="H788" s="14"/>
      <c r="I788" s="14"/>
      <c r="J788" s="14"/>
      <c r="K788" s="302"/>
    </row>
    <row r="789" ht="19.5" customHeight="1">
      <c r="A789" s="12"/>
      <c r="C789" s="12"/>
      <c r="D789" s="87"/>
      <c r="F789" s="14"/>
      <c r="G789" s="14"/>
      <c r="H789" s="14"/>
      <c r="I789" s="14"/>
      <c r="J789" s="14"/>
      <c r="K789" s="302"/>
    </row>
    <row r="790" ht="19.5" customHeight="1">
      <c r="A790" s="12"/>
      <c r="C790" s="12"/>
      <c r="D790" s="87"/>
      <c r="F790" s="14"/>
      <c r="G790" s="14"/>
      <c r="H790" s="14"/>
      <c r="I790" s="14"/>
      <c r="J790" s="14"/>
      <c r="K790" s="302"/>
    </row>
    <row r="791" ht="19.5" customHeight="1">
      <c r="A791" s="12"/>
      <c r="C791" s="12"/>
      <c r="D791" s="87"/>
      <c r="F791" s="14"/>
      <c r="G791" s="14"/>
      <c r="H791" s="14"/>
      <c r="I791" s="14"/>
      <c r="J791" s="14"/>
      <c r="K791" s="302"/>
    </row>
    <row r="792" ht="19.5" customHeight="1">
      <c r="A792" s="12"/>
      <c r="C792" s="12"/>
      <c r="D792" s="87"/>
      <c r="F792" s="14"/>
      <c r="G792" s="14"/>
      <c r="H792" s="14"/>
      <c r="I792" s="14"/>
      <c r="J792" s="14"/>
      <c r="K792" s="302"/>
    </row>
    <row r="793" ht="19.5" customHeight="1">
      <c r="A793" s="12"/>
      <c r="C793" s="12"/>
      <c r="D793" s="87"/>
      <c r="F793" s="14"/>
      <c r="G793" s="14"/>
      <c r="H793" s="14"/>
      <c r="I793" s="14"/>
      <c r="J793" s="14"/>
      <c r="K793" s="302"/>
    </row>
    <row r="794" ht="19.5" customHeight="1">
      <c r="A794" s="12"/>
      <c r="C794" s="12"/>
      <c r="D794" s="87"/>
      <c r="F794" s="14"/>
      <c r="G794" s="14"/>
      <c r="H794" s="14"/>
      <c r="I794" s="14"/>
      <c r="J794" s="14"/>
      <c r="K794" s="302"/>
    </row>
    <row r="795" ht="19.5" customHeight="1">
      <c r="A795" s="12"/>
      <c r="C795" s="12"/>
      <c r="D795" s="87"/>
      <c r="F795" s="14"/>
      <c r="G795" s="14"/>
      <c r="H795" s="14"/>
      <c r="I795" s="14"/>
      <c r="J795" s="14"/>
      <c r="K795" s="302"/>
    </row>
    <row r="796" ht="19.5" customHeight="1">
      <c r="A796" s="12"/>
      <c r="C796" s="12"/>
      <c r="D796" s="87"/>
      <c r="F796" s="14"/>
      <c r="G796" s="14"/>
      <c r="H796" s="14"/>
      <c r="I796" s="14"/>
      <c r="J796" s="14"/>
      <c r="K796" s="302"/>
    </row>
    <row r="797" ht="19.5" customHeight="1">
      <c r="A797" s="12"/>
      <c r="C797" s="12"/>
      <c r="D797" s="87"/>
      <c r="F797" s="14"/>
      <c r="G797" s="14"/>
      <c r="H797" s="14"/>
      <c r="I797" s="14"/>
      <c r="J797" s="14"/>
      <c r="K797" s="302"/>
    </row>
    <row r="798" ht="19.5" customHeight="1">
      <c r="A798" s="12"/>
      <c r="C798" s="12"/>
      <c r="D798" s="87"/>
      <c r="F798" s="14"/>
      <c r="G798" s="14"/>
      <c r="H798" s="14"/>
      <c r="I798" s="14"/>
      <c r="J798" s="14"/>
      <c r="K798" s="302"/>
    </row>
    <row r="799" ht="19.5" customHeight="1">
      <c r="A799" s="12"/>
      <c r="C799" s="12"/>
      <c r="D799" s="87"/>
      <c r="F799" s="14"/>
      <c r="G799" s="14"/>
      <c r="H799" s="14"/>
      <c r="I799" s="14"/>
      <c r="J799" s="14"/>
      <c r="K799" s="302"/>
    </row>
    <row r="800" ht="19.5" customHeight="1">
      <c r="A800" s="12"/>
      <c r="C800" s="12"/>
      <c r="D800" s="87"/>
      <c r="F800" s="14"/>
      <c r="G800" s="14"/>
      <c r="H800" s="14"/>
      <c r="I800" s="14"/>
      <c r="J800" s="14"/>
      <c r="K800" s="302"/>
    </row>
    <row r="801" ht="19.5" customHeight="1">
      <c r="A801" s="12"/>
      <c r="C801" s="12"/>
      <c r="D801" s="87"/>
      <c r="F801" s="14"/>
      <c r="G801" s="14"/>
      <c r="H801" s="14"/>
      <c r="I801" s="14"/>
      <c r="J801" s="14"/>
      <c r="K801" s="302"/>
    </row>
    <row r="802" ht="19.5" customHeight="1">
      <c r="A802" s="12"/>
      <c r="C802" s="12"/>
      <c r="D802" s="87"/>
      <c r="F802" s="14"/>
      <c r="G802" s="14"/>
      <c r="H802" s="14"/>
      <c r="I802" s="14"/>
      <c r="J802" s="14"/>
      <c r="K802" s="302"/>
    </row>
    <row r="803" ht="19.5" customHeight="1">
      <c r="A803" s="12"/>
      <c r="C803" s="12"/>
      <c r="D803" s="87"/>
      <c r="F803" s="14"/>
      <c r="G803" s="14"/>
      <c r="H803" s="14"/>
      <c r="I803" s="14"/>
      <c r="J803" s="14"/>
      <c r="K803" s="302"/>
    </row>
    <row r="804" ht="19.5" customHeight="1">
      <c r="A804" s="12"/>
      <c r="C804" s="12"/>
      <c r="D804" s="87"/>
      <c r="F804" s="14"/>
      <c r="G804" s="14"/>
      <c r="H804" s="14"/>
      <c r="I804" s="14"/>
      <c r="J804" s="14"/>
      <c r="K804" s="302"/>
    </row>
    <row r="805" ht="19.5" customHeight="1">
      <c r="A805" s="12"/>
      <c r="C805" s="12"/>
      <c r="D805" s="87"/>
      <c r="F805" s="14"/>
      <c r="G805" s="14"/>
      <c r="H805" s="14"/>
      <c r="I805" s="14"/>
      <c r="J805" s="14"/>
      <c r="K805" s="302"/>
    </row>
    <row r="806" ht="19.5" customHeight="1">
      <c r="A806" s="12"/>
      <c r="C806" s="12"/>
      <c r="D806" s="87"/>
      <c r="F806" s="14"/>
      <c r="G806" s="14"/>
      <c r="H806" s="14"/>
      <c r="I806" s="14"/>
      <c r="J806" s="14"/>
      <c r="K806" s="302"/>
    </row>
    <row r="807" ht="19.5" customHeight="1">
      <c r="A807" s="12"/>
      <c r="C807" s="12"/>
      <c r="D807" s="87"/>
      <c r="F807" s="14"/>
      <c r="G807" s="14"/>
      <c r="H807" s="14"/>
      <c r="I807" s="14"/>
      <c r="J807" s="14"/>
      <c r="K807" s="302"/>
    </row>
    <row r="808" ht="19.5" customHeight="1">
      <c r="A808" s="12"/>
      <c r="C808" s="12"/>
      <c r="D808" s="87"/>
      <c r="F808" s="14"/>
      <c r="G808" s="14"/>
      <c r="H808" s="14"/>
      <c r="I808" s="14"/>
      <c r="J808" s="14"/>
      <c r="K808" s="302"/>
    </row>
    <row r="809" ht="19.5" customHeight="1">
      <c r="A809" s="12"/>
      <c r="C809" s="12"/>
      <c r="D809" s="87"/>
      <c r="F809" s="14"/>
      <c r="G809" s="14"/>
      <c r="H809" s="14"/>
      <c r="I809" s="14"/>
      <c r="J809" s="14"/>
      <c r="K809" s="302"/>
    </row>
    <row r="810" ht="19.5" customHeight="1">
      <c r="A810" s="12"/>
      <c r="C810" s="12"/>
      <c r="D810" s="87"/>
      <c r="F810" s="14"/>
      <c r="G810" s="14"/>
      <c r="H810" s="14"/>
      <c r="I810" s="14"/>
      <c r="J810" s="14"/>
      <c r="K810" s="302"/>
    </row>
    <row r="811" ht="19.5" customHeight="1">
      <c r="A811" s="12"/>
      <c r="C811" s="12"/>
      <c r="D811" s="87"/>
      <c r="F811" s="14"/>
      <c r="G811" s="14"/>
      <c r="H811" s="14"/>
      <c r="I811" s="14"/>
      <c r="J811" s="14"/>
      <c r="K811" s="302"/>
    </row>
    <row r="812" ht="19.5" customHeight="1">
      <c r="A812" s="12"/>
      <c r="C812" s="12"/>
      <c r="D812" s="87"/>
      <c r="F812" s="14"/>
      <c r="G812" s="14"/>
      <c r="H812" s="14"/>
      <c r="I812" s="14"/>
      <c r="J812" s="14"/>
      <c r="K812" s="302"/>
    </row>
    <row r="813" ht="19.5" customHeight="1">
      <c r="A813" s="12"/>
      <c r="C813" s="12"/>
      <c r="D813" s="87"/>
      <c r="F813" s="14"/>
      <c r="G813" s="14"/>
      <c r="H813" s="14"/>
      <c r="I813" s="14"/>
      <c r="J813" s="14"/>
      <c r="K813" s="302"/>
    </row>
    <row r="814" ht="19.5" customHeight="1">
      <c r="A814" s="12"/>
      <c r="C814" s="12"/>
      <c r="D814" s="87"/>
      <c r="F814" s="14"/>
      <c r="G814" s="14"/>
      <c r="H814" s="14"/>
      <c r="I814" s="14"/>
      <c r="J814" s="14"/>
      <c r="K814" s="302"/>
    </row>
    <row r="815" ht="19.5" customHeight="1">
      <c r="A815" s="12"/>
      <c r="C815" s="12"/>
      <c r="D815" s="87"/>
      <c r="F815" s="14"/>
      <c r="G815" s="14"/>
      <c r="H815" s="14"/>
      <c r="I815" s="14"/>
      <c r="J815" s="14"/>
      <c r="K815" s="302"/>
    </row>
    <row r="816" ht="19.5" customHeight="1">
      <c r="A816" s="12"/>
      <c r="C816" s="12"/>
      <c r="D816" s="87"/>
      <c r="F816" s="14"/>
      <c r="G816" s="14"/>
      <c r="H816" s="14"/>
      <c r="I816" s="14"/>
      <c r="J816" s="14"/>
      <c r="K816" s="302"/>
    </row>
    <row r="817" ht="19.5" customHeight="1">
      <c r="A817" s="12"/>
      <c r="C817" s="12"/>
      <c r="D817" s="87"/>
      <c r="F817" s="14"/>
      <c r="G817" s="14"/>
      <c r="H817" s="14"/>
      <c r="I817" s="14"/>
      <c r="J817" s="14"/>
      <c r="K817" s="302"/>
    </row>
    <row r="818" ht="19.5" customHeight="1">
      <c r="A818" s="12"/>
      <c r="C818" s="12"/>
      <c r="D818" s="87"/>
      <c r="F818" s="14"/>
      <c r="G818" s="14"/>
      <c r="H818" s="14"/>
      <c r="I818" s="14"/>
      <c r="J818" s="14"/>
      <c r="K818" s="302"/>
    </row>
    <row r="819" ht="19.5" customHeight="1">
      <c r="A819" s="12"/>
      <c r="C819" s="12"/>
      <c r="D819" s="87"/>
      <c r="F819" s="14"/>
      <c r="G819" s="14"/>
      <c r="H819" s="14"/>
      <c r="I819" s="14"/>
      <c r="J819" s="14"/>
      <c r="K819" s="302"/>
    </row>
    <row r="820" ht="19.5" customHeight="1">
      <c r="A820" s="12"/>
      <c r="C820" s="12"/>
      <c r="D820" s="87"/>
      <c r="F820" s="14"/>
      <c r="G820" s="14"/>
      <c r="H820" s="14"/>
      <c r="I820" s="14"/>
      <c r="J820" s="14"/>
      <c r="K820" s="302"/>
    </row>
    <row r="821" ht="19.5" customHeight="1">
      <c r="A821" s="12"/>
      <c r="C821" s="12"/>
      <c r="D821" s="87"/>
      <c r="F821" s="14"/>
      <c r="G821" s="14"/>
      <c r="H821" s="14"/>
      <c r="I821" s="14"/>
      <c r="J821" s="14"/>
      <c r="K821" s="302"/>
    </row>
    <row r="822" ht="19.5" customHeight="1">
      <c r="A822" s="12"/>
      <c r="C822" s="12"/>
      <c r="D822" s="87"/>
      <c r="F822" s="14"/>
      <c r="G822" s="14"/>
      <c r="H822" s="14"/>
      <c r="I822" s="14"/>
      <c r="J822" s="14"/>
      <c r="K822" s="302"/>
    </row>
    <row r="823" ht="19.5" customHeight="1">
      <c r="A823" s="12"/>
      <c r="C823" s="12"/>
      <c r="D823" s="87"/>
      <c r="F823" s="14"/>
      <c r="G823" s="14"/>
      <c r="H823" s="14"/>
      <c r="I823" s="14"/>
      <c r="J823" s="14"/>
      <c r="K823" s="302"/>
    </row>
    <row r="824" ht="19.5" customHeight="1">
      <c r="A824" s="12"/>
      <c r="C824" s="12"/>
      <c r="D824" s="87"/>
      <c r="F824" s="14"/>
      <c r="G824" s="14"/>
      <c r="H824" s="14"/>
      <c r="I824" s="14"/>
      <c r="J824" s="14"/>
      <c r="K824" s="302"/>
    </row>
    <row r="825" ht="19.5" customHeight="1">
      <c r="A825" s="12"/>
      <c r="C825" s="12"/>
      <c r="D825" s="87"/>
      <c r="F825" s="14"/>
      <c r="G825" s="14"/>
      <c r="H825" s="14"/>
      <c r="I825" s="14"/>
      <c r="J825" s="14"/>
      <c r="K825" s="302"/>
    </row>
    <row r="826" ht="19.5" customHeight="1">
      <c r="A826" s="12"/>
      <c r="C826" s="12"/>
      <c r="D826" s="87"/>
      <c r="F826" s="14"/>
      <c r="G826" s="14"/>
      <c r="H826" s="14"/>
      <c r="I826" s="14"/>
      <c r="J826" s="14"/>
      <c r="K826" s="302"/>
    </row>
    <row r="827" ht="19.5" customHeight="1">
      <c r="A827" s="12"/>
      <c r="C827" s="12"/>
      <c r="D827" s="87"/>
      <c r="F827" s="14"/>
      <c r="G827" s="14"/>
      <c r="H827" s="14"/>
      <c r="I827" s="14"/>
      <c r="J827" s="14"/>
      <c r="K827" s="302"/>
    </row>
    <row r="828" ht="19.5" customHeight="1">
      <c r="A828" s="12"/>
      <c r="C828" s="12"/>
      <c r="D828" s="87"/>
      <c r="F828" s="14"/>
      <c r="G828" s="14"/>
      <c r="H828" s="14"/>
      <c r="I828" s="14"/>
      <c r="J828" s="14"/>
      <c r="K828" s="302"/>
    </row>
    <row r="829" ht="19.5" customHeight="1">
      <c r="A829" s="12"/>
      <c r="C829" s="12"/>
      <c r="D829" s="87"/>
      <c r="F829" s="14"/>
      <c r="G829" s="14"/>
      <c r="H829" s="14"/>
      <c r="I829" s="14"/>
      <c r="J829" s="14"/>
      <c r="K829" s="302"/>
    </row>
    <row r="830" ht="19.5" customHeight="1">
      <c r="A830" s="12"/>
      <c r="C830" s="12"/>
      <c r="D830" s="87"/>
      <c r="F830" s="14"/>
      <c r="G830" s="14"/>
      <c r="H830" s="14"/>
      <c r="I830" s="14"/>
      <c r="J830" s="14"/>
      <c r="K830" s="302"/>
    </row>
    <row r="831" ht="19.5" customHeight="1">
      <c r="A831" s="12"/>
      <c r="C831" s="12"/>
      <c r="D831" s="87"/>
      <c r="F831" s="14"/>
      <c r="G831" s="14"/>
      <c r="H831" s="14"/>
      <c r="I831" s="14"/>
      <c r="J831" s="14"/>
      <c r="K831" s="302"/>
    </row>
    <row r="832" ht="19.5" customHeight="1">
      <c r="A832" s="12"/>
      <c r="C832" s="12"/>
      <c r="D832" s="87"/>
      <c r="F832" s="14"/>
      <c r="G832" s="14"/>
      <c r="H832" s="14"/>
      <c r="I832" s="14"/>
      <c r="J832" s="14"/>
      <c r="K832" s="302"/>
    </row>
    <row r="833" ht="19.5" customHeight="1">
      <c r="A833" s="12"/>
      <c r="C833" s="12"/>
      <c r="D833" s="87"/>
      <c r="F833" s="14"/>
      <c r="G833" s="14"/>
      <c r="H833" s="14"/>
      <c r="I833" s="14"/>
      <c r="J833" s="14"/>
      <c r="K833" s="302"/>
    </row>
    <row r="834" ht="19.5" customHeight="1">
      <c r="A834" s="12"/>
      <c r="C834" s="12"/>
      <c r="D834" s="87"/>
      <c r="F834" s="14"/>
      <c r="G834" s="14"/>
      <c r="H834" s="14"/>
      <c r="I834" s="14"/>
      <c r="J834" s="14"/>
      <c r="K834" s="302"/>
    </row>
    <row r="835" ht="19.5" customHeight="1">
      <c r="A835" s="12"/>
      <c r="C835" s="12"/>
      <c r="D835" s="87"/>
      <c r="F835" s="14"/>
      <c r="G835" s="14"/>
      <c r="H835" s="14"/>
      <c r="I835" s="14"/>
      <c r="J835" s="14"/>
      <c r="K835" s="302"/>
    </row>
    <row r="836" ht="19.5" customHeight="1">
      <c r="A836" s="12"/>
      <c r="C836" s="12"/>
      <c r="D836" s="87"/>
      <c r="F836" s="14"/>
      <c r="G836" s="14"/>
      <c r="H836" s="14"/>
      <c r="I836" s="14"/>
      <c r="J836" s="14"/>
      <c r="K836" s="302"/>
    </row>
    <row r="837" ht="19.5" customHeight="1">
      <c r="A837" s="12"/>
      <c r="C837" s="12"/>
      <c r="D837" s="87"/>
      <c r="F837" s="14"/>
      <c r="G837" s="14"/>
      <c r="H837" s="14"/>
      <c r="I837" s="14"/>
      <c r="J837" s="14"/>
      <c r="K837" s="302"/>
    </row>
    <row r="838" ht="19.5" customHeight="1">
      <c r="A838" s="12"/>
      <c r="C838" s="12"/>
      <c r="D838" s="87"/>
      <c r="F838" s="14"/>
      <c r="G838" s="14"/>
      <c r="H838" s="14"/>
      <c r="I838" s="14"/>
      <c r="J838" s="14"/>
      <c r="K838" s="302"/>
    </row>
    <row r="839" ht="19.5" customHeight="1">
      <c r="A839" s="12"/>
      <c r="C839" s="12"/>
      <c r="D839" s="87"/>
      <c r="F839" s="14"/>
      <c r="G839" s="14"/>
      <c r="H839" s="14"/>
      <c r="I839" s="14"/>
      <c r="J839" s="14"/>
      <c r="K839" s="302"/>
    </row>
    <row r="840" ht="19.5" customHeight="1">
      <c r="A840" s="12"/>
      <c r="C840" s="12"/>
      <c r="D840" s="87"/>
      <c r="F840" s="14"/>
      <c r="G840" s="14"/>
      <c r="H840" s="14"/>
      <c r="I840" s="14"/>
      <c r="J840" s="14"/>
      <c r="K840" s="302"/>
    </row>
    <row r="841" ht="19.5" customHeight="1">
      <c r="A841" s="12"/>
      <c r="C841" s="12"/>
      <c r="D841" s="87"/>
      <c r="F841" s="14"/>
      <c r="G841" s="14"/>
      <c r="H841" s="14"/>
      <c r="I841" s="14"/>
      <c r="J841" s="14"/>
      <c r="K841" s="302"/>
    </row>
    <row r="842" ht="19.5" customHeight="1">
      <c r="A842" s="12"/>
      <c r="C842" s="12"/>
      <c r="D842" s="87"/>
      <c r="F842" s="14"/>
      <c r="G842" s="14"/>
      <c r="H842" s="14"/>
      <c r="I842" s="14"/>
      <c r="J842" s="14"/>
      <c r="K842" s="302"/>
    </row>
    <row r="843" ht="19.5" customHeight="1">
      <c r="A843" s="12"/>
      <c r="C843" s="12"/>
      <c r="D843" s="87"/>
      <c r="F843" s="14"/>
      <c r="G843" s="14"/>
      <c r="H843" s="14"/>
      <c r="I843" s="14"/>
      <c r="J843" s="14"/>
      <c r="K843" s="302"/>
    </row>
    <row r="844" ht="19.5" customHeight="1">
      <c r="A844" s="12"/>
      <c r="C844" s="12"/>
      <c r="D844" s="87"/>
      <c r="F844" s="14"/>
      <c r="G844" s="14"/>
      <c r="H844" s="14"/>
      <c r="I844" s="14"/>
      <c r="J844" s="14"/>
      <c r="K844" s="302"/>
    </row>
    <row r="845" ht="19.5" customHeight="1">
      <c r="A845" s="12"/>
      <c r="C845" s="12"/>
      <c r="D845" s="87"/>
      <c r="F845" s="14"/>
      <c r="G845" s="14"/>
      <c r="H845" s="14"/>
      <c r="I845" s="14"/>
      <c r="J845" s="14"/>
      <c r="K845" s="302"/>
    </row>
    <row r="846" ht="19.5" customHeight="1">
      <c r="A846" s="12"/>
      <c r="C846" s="12"/>
      <c r="D846" s="87"/>
      <c r="F846" s="14"/>
      <c r="G846" s="14"/>
      <c r="H846" s="14"/>
      <c r="I846" s="14"/>
      <c r="J846" s="14"/>
      <c r="K846" s="302"/>
    </row>
    <row r="847" ht="19.5" customHeight="1">
      <c r="A847" s="12"/>
      <c r="C847" s="12"/>
      <c r="D847" s="87"/>
      <c r="F847" s="14"/>
      <c r="G847" s="14"/>
      <c r="H847" s="14"/>
      <c r="I847" s="14"/>
      <c r="J847" s="14"/>
      <c r="K847" s="302"/>
    </row>
    <row r="848" ht="19.5" customHeight="1">
      <c r="A848" s="12"/>
      <c r="C848" s="12"/>
      <c r="D848" s="87"/>
      <c r="F848" s="14"/>
      <c r="G848" s="14"/>
      <c r="H848" s="14"/>
      <c r="I848" s="14"/>
      <c r="J848" s="14"/>
      <c r="K848" s="302"/>
    </row>
    <row r="849" ht="19.5" customHeight="1">
      <c r="A849" s="12"/>
      <c r="C849" s="12"/>
      <c r="D849" s="87"/>
      <c r="F849" s="14"/>
      <c r="G849" s="14"/>
      <c r="H849" s="14"/>
      <c r="I849" s="14"/>
      <c r="J849" s="14"/>
      <c r="K849" s="302"/>
    </row>
    <row r="850" ht="19.5" customHeight="1">
      <c r="A850" s="12"/>
      <c r="C850" s="12"/>
      <c r="D850" s="87"/>
      <c r="F850" s="14"/>
      <c r="G850" s="14"/>
      <c r="H850" s="14"/>
      <c r="I850" s="14"/>
      <c r="J850" s="14"/>
      <c r="K850" s="302"/>
    </row>
    <row r="851" ht="19.5" customHeight="1">
      <c r="A851" s="12"/>
      <c r="C851" s="12"/>
      <c r="D851" s="87"/>
      <c r="F851" s="14"/>
      <c r="G851" s="14"/>
      <c r="H851" s="14"/>
      <c r="I851" s="14"/>
      <c r="J851" s="14"/>
      <c r="K851" s="302"/>
    </row>
    <row r="852" ht="19.5" customHeight="1">
      <c r="A852" s="12"/>
      <c r="C852" s="12"/>
      <c r="D852" s="87"/>
      <c r="F852" s="14"/>
      <c r="G852" s="14"/>
      <c r="H852" s="14"/>
      <c r="I852" s="14"/>
      <c r="J852" s="14"/>
      <c r="K852" s="302"/>
    </row>
    <row r="853" ht="19.5" customHeight="1">
      <c r="A853" s="12"/>
      <c r="C853" s="12"/>
      <c r="D853" s="87"/>
      <c r="F853" s="14"/>
      <c r="G853" s="14"/>
      <c r="H853" s="14"/>
      <c r="I853" s="14"/>
      <c r="J853" s="14"/>
      <c r="K853" s="302"/>
    </row>
    <row r="854" ht="19.5" customHeight="1">
      <c r="A854" s="12"/>
      <c r="C854" s="12"/>
      <c r="D854" s="87"/>
      <c r="F854" s="14"/>
      <c r="G854" s="14"/>
      <c r="H854" s="14"/>
      <c r="I854" s="14"/>
      <c r="J854" s="14"/>
      <c r="K854" s="302"/>
    </row>
    <row r="855" ht="19.5" customHeight="1">
      <c r="A855" s="12"/>
      <c r="C855" s="12"/>
      <c r="D855" s="87"/>
      <c r="F855" s="14"/>
      <c r="G855" s="14"/>
      <c r="H855" s="14"/>
      <c r="I855" s="14"/>
      <c r="J855" s="14"/>
      <c r="K855" s="302"/>
    </row>
    <row r="856" ht="19.5" customHeight="1">
      <c r="A856" s="12"/>
      <c r="C856" s="12"/>
      <c r="D856" s="87"/>
      <c r="F856" s="14"/>
      <c r="G856" s="14"/>
      <c r="H856" s="14"/>
      <c r="I856" s="14"/>
      <c r="J856" s="14"/>
      <c r="K856" s="302"/>
    </row>
    <row r="857" ht="19.5" customHeight="1">
      <c r="A857" s="12"/>
      <c r="C857" s="12"/>
      <c r="D857" s="87"/>
      <c r="F857" s="14"/>
      <c r="G857" s="14"/>
      <c r="H857" s="14"/>
      <c r="I857" s="14"/>
      <c r="J857" s="14"/>
      <c r="K857" s="302"/>
    </row>
    <row r="858" ht="19.5" customHeight="1">
      <c r="A858" s="12"/>
      <c r="C858" s="12"/>
      <c r="D858" s="87"/>
      <c r="F858" s="14"/>
      <c r="G858" s="14"/>
      <c r="H858" s="14"/>
      <c r="I858" s="14"/>
      <c r="J858" s="14"/>
      <c r="K858" s="302"/>
    </row>
    <row r="859" ht="19.5" customHeight="1">
      <c r="A859" s="12"/>
      <c r="C859" s="12"/>
      <c r="D859" s="87"/>
      <c r="F859" s="14"/>
      <c r="G859" s="14"/>
      <c r="H859" s="14"/>
      <c r="I859" s="14"/>
      <c r="J859" s="14"/>
      <c r="K859" s="302"/>
    </row>
    <row r="860" ht="19.5" customHeight="1">
      <c r="A860" s="12"/>
      <c r="C860" s="12"/>
      <c r="D860" s="87"/>
      <c r="F860" s="14"/>
      <c r="G860" s="14"/>
      <c r="H860" s="14"/>
      <c r="I860" s="14"/>
      <c r="J860" s="14"/>
      <c r="K860" s="302"/>
    </row>
    <row r="861" ht="19.5" customHeight="1">
      <c r="A861" s="12"/>
      <c r="C861" s="12"/>
      <c r="D861" s="87"/>
      <c r="F861" s="14"/>
      <c r="G861" s="14"/>
      <c r="H861" s="14"/>
      <c r="I861" s="14"/>
      <c r="J861" s="14"/>
      <c r="K861" s="302"/>
    </row>
    <row r="862" ht="19.5" customHeight="1">
      <c r="A862" s="12"/>
      <c r="C862" s="12"/>
      <c r="D862" s="87"/>
      <c r="F862" s="14"/>
      <c r="G862" s="14"/>
      <c r="H862" s="14"/>
      <c r="I862" s="14"/>
      <c r="J862" s="14"/>
      <c r="K862" s="302"/>
    </row>
    <row r="863" ht="19.5" customHeight="1">
      <c r="A863" s="12"/>
      <c r="C863" s="12"/>
      <c r="D863" s="87"/>
      <c r="F863" s="14"/>
      <c r="G863" s="14"/>
      <c r="H863" s="14"/>
      <c r="I863" s="14"/>
      <c r="J863" s="14"/>
      <c r="K863" s="302"/>
    </row>
    <row r="864" ht="19.5" customHeight="1">
      <c r="A864" s="12"/>
      <c r="C864" s="12"/>
      <c r="D864" s="87"/>
      <c r="F864" s="14"/>
      <c r="G864" s="14"/>
      <c r="H864" s="14"/>
      <c r="I864" s="14"/>
      <c r="J864" s="14"/>
      <c r="K864" s="302"/>
    </row>
    <row r="865" ht="19.5" customHeight="1">
      <c r="A865" s="12"/>
      <c r="C865" s="12"/>
      <c r="D865" s="87"/>
      <c r="F865" s="14"/>
      <c r="G865" s="14"/>
      <c r="H865" s="14"/>
      <c r="I865" s="14"/>
      <c r="J865" s="14"/>
      <c r="K865" s="302"/>
    </row>
    <row r="866" ht="19.5" customHeight="1">
      <c r="A866" s="12"/>
      <c r="C866" s="12"/>
      <c r="D866" s="87"/>
      <c r="F866" s="14"/>
      <c r="G866" s="14"/>
      <c r="H866" s="14"/>
      <c r="I866" s="14"/>
      <c r="J866" s="14"/>
      <c r="K866" s="302"/>
    </row>
    <row r="867" ht="19.5" customHeight="1">
      <c r="A867" s="12"/>
      <c r="C867" s="12"/>
      <c r="D867" s="87"/>
      <c r="F867" s="14"/>
      <c r="G867" s="14"/>
      <c r="H867" s="14"/>
      <c r="I867" s="14"/>
      <c r="J867" s="14"/>
      <c r="K867" s="302"/>
    </row>
    <row r="868" ht="19.5" customHeight="1">
      <c r="A868" s="12"/>
      <c r="C868" s="12"/>
      <c r="D868" s="87"/>
      <c r="F868" s="14"/>
      <c r="G868" s="14"/>
      <c r="H868" s="14"/>
      <c r="I868" s="14"/>
      <c r="J868" s="14"/>
      <c r="K868" s="302"/>
    </row>
    <row r="869" ht="19.5" customHeight="1">
      <c r="A869" s="12"/>
      <c r="C869" s="12"/>
      <c r="D869" s="87"/>
      <c r="F869" s="14"/>
      <c r="G869" s="14"/>
      <c r="H869" s="14"/>
      <c r="I869" s="14"/>
      <c r="J869" s="14"/>
      <c r="K869" s="302"/>
    </row>
    <row r="870" ht="19.5" customHeight="1">
      <c r="A870" s="12"/>
      <c r="C870" s="12"/>
      <c r="D870" s="87"/>
      <c r="F870" s="14"/>
      <c r="G870" s="14"/>
      <c r="H870" s="14"/>
      <c r="I870" s="14"/>
      <c r="J870" s="14"/>
      <c r="K870" s="302"/>
    </row>
    <row r="871" ht="19.5" customHeight="1">
      <c r="A871" s="12"/>
      <c r="C871" s="12"/>
      <c r="D871" s="87"/>
      <c r="F871" s="14"/>
      <c r="G871" s="14"/>
      <c r="H871" s="14"/>
      <c r="I871" s="14"/>
      <c r="J871" s="14"/>
      <c r="K871" s="302"/>
    </row>
    <row r="872" ht="19.5" customHeight="1">
      <c r="A872" s="12"/>
      <c r="C872" s="12"/>
      <c r="D872" s="87"/>
      <c r="F872" s="14"/>
      <c r="G872" s="14"/>
      <c r="H872" s="14"/>
      <c r="I872" s="14"/>
      <c r="J872" s="14"/>
      <c r="K872" s="302"/>
    </row>
    <row r="873" ht="19.5" customHeight="1">
      <c r="A873" s="12"/>
      <c r="C873" s="12"/>
      <c r="D873" s="87"/>
      <c r="F873" s="14"/>
      <c r="G873" s="14"/>
      <c r="H873" s="14"/>
      <c r="I873" s="14"/>
      <c r="J873" s="14"/>
      <c r="K873" s="302"/>
    </row>
    <row r="874" ht="19.5" customHeight="1">
      <c r="A874" s="12"/>
      <c r="C874" s="12"/>
      <c r="D874" s="87"/>
      <c r="F874" s="14"/>
      <c r="G874" s="14"/>
      <c r="H874" s="14"/>
      <c r="I874" s="14"/>
      <c r="J874" s="14"/>
      <c r="K874" s="302"/>
    </row>
    <row r="875" ht="19.5" customHeight="1">
      <c r="A875" s="12"/>
      <c r="C875" s="12"/>
      <c r="D875" s="87"/>
      <c r="F875" s="14"/>
      <c r="G875" s="14"/>
      <c r="H875" s="14"/>
      <c r="I875" s="14"/>
      <c r="J875" s="14"/>
      <c r="K875" s="302"/>
    </row>
    <row r="876" ht="19.5" customHeight="1">
      <c r="A876" s="12"/>
      <c r="C876" s="12"/>
      <c r="D876" s="87"/>
      <c r="F876" s="14"/>
      <c r="G876" s="14"/>
      <c r="H876" s="14"/>
      <c r="I876" s="14"/>
      <c r="J876" s="14"/>
      <c r="K876" s="302"/>
    </row>
    <row r="877" ht="19.5" customHeight="1">
      <c r="A877" s="12"/>
      <c r="C877" s="12"/>
      <c r="D877" s="87"/>
      <c r="F877" s="14"/>
      <c r="G877" s="14"/>
      <c r="H877" s="14"/>
      <c r="I877" s="14"/>
      <c r="J877" s="14"/>
      <c r="K877" s="302"/>
    </row>
    <row r="878" ht="19.5" customHeight="1">
      <c r="A878" s="12"/>
      <c r="C878" s="12"/>
      <c r="D878" s="87"/>
      <c r="F878" s="14"/>
      <c r="G878" s="14"/>
      <c r="H878" s="14"/>
      <c r="I878" s="14"/>
      <c r="J878" s="14"/>
      <c r="K878" s="302"/>
    </row>
    <row r="879" ht="19.5" customHeight="1">
      <c r="A879" s="12"/>
      <c r="C879" s="12"/>
      <c r="D879" s="87"/>
      <c r="F879" s="14"/>
      <c r="G879" s="14"/>
      <c r="H879" s="14"/>
      <c r="I879" s="14"/>
      <c r="J879" s="14"/>
      <c r="K879" s="302"/>
    </row>
    <row r="880" ht="19.5" customHeight="1">
      <c r="A880" s="12"/>
      <c r="C880" s="12"/>
      <c r="D880" s="87"/>
      <c r="F880" s="14"/>
      <c r="G880" s="14"/>
      <c r="H880" s="14"/>
      <c r="I880" s="14"/>
      <c r="J880" s="14"/>
      <c r="K880" s="302"/>
    </row>
    <row r="881" ht="19.5" customHeight="1">
      <c r="A881" s="12"/>
      <c r="C881" s="12"/>
      <c r="D881" s="87"/>
      <c r="F881" s="14"/>
      <c r="G881" s="14"/>
      <c r="H881" s="14"/>
      <c r="I881" s="14"/>
      <c r="J881" s="14"/>
      <c r="K881" s="302"/>
    </row>
    <row r="882" ht="19.5" customHeight="1">
      <c r="A882" s="12"/>
      <c r="C882" s="12"/>
      <c r="D882" s="87"/>
      <c r="F882" s="14"/>
      <c r="G882" s="14"/>
      <c r="H882" s="14"/>
      <c r="I882" s="14"/>
      <c r="J882" s="14"/>
      <c r="K882" s="302"/>
    </row>
    <row r="883" ht="19.5" customHeight="1">
      <c r="A883" s="12"/>
      <c r="C883" s="12"/>
      <c r="D883" s="87"/>
      <c r="F883" s="14"/>
      <c r="G883" s="14"/>
      <c r="H883" s="14"/>
      <c r="I883" s="14"/>
      <c r="J883" s="14"/>
      <c r="K883" s="302"/>
    </row>
    <row r="884" ht="19.5" customHeight="1">
      <c r="A884" s="12"/>
      <c r="C884" s="12"/>
      <c r="D884" s="87"/>
      <c r="F884" s="14"/>
      <c r="G884" s="14"/>
      <c r="H884" s="14"/>
      <c r="I884" s="14"/>
      <c r="J884" s="14"/>
      <c r="K884" s="302"/>
    </row>
    <row r="885" ht="19.5" customHeight="1">
      <c r="A885" s="12"/>
      <c r="C885" s="12"/>
      <c r="D885" s="87"/>
      <c r="F885" s="14"/>
      <c r="G885" s="14"/>
      <c r="H885" s="14"/>
      <c r="I885" s="14"/>
      <c r="J885" s="14"/>
      <c r="K885" s="302"/>
    </row>
    <row r="886" ht="19.5" customHeight="1">
      <c r="A886" s="12"/>
      <c r="C886" s="12"/>
      <c r="D886" s="87"/>
      <c r="F886" s="14"/>
      <c r="G886" s="14"/>
      <c r="H886" s="14"/>
      <c r="I886" s="14"/>
      <c r="J886" s="14"/>
      <c r="K886" s="302"/>
    </row>
    <row r="887" ht="19.5" customHeight="1">
      <c r="A887" s="12"/>
      <c r="C887" s="12"/>
      <c r="D887" s="87"/>
      <c r="F887" s="14"/>
      <c r="G887" s="14"/>
      <c r="H887" s="14"/>
      <c r="I887" s="14"/>
      <c r="J887" s="14"/>
      <c r="K887" s="302"/>
    </row>
    <row r="888" ht="19.5" customHeight="1">
      <c r="A888" s="12"/>
      <c r="C888" s="12"/>
      <c r="D888" s="87"/>
      <c r="F888" s="14"/>
      <c r="G888" s="14"/>
      <c r="H888" s="14"/>
      <c r="I888" s="14"/>
      <c r="J888" s="14"/>
      <c r="K888" s="302"/>
    </row>
    <row r="889" ht="19.5" customHeight="1">
      <c r="A889" s="12"/>
      <c r="C889" s="12"/>
      <c r="D889" s="87"/>
      <c r="F889" s="14"/>
      <c r="G889" s="14"/>
      <c r="H889" s="14"/>
      <c r="I889" s="14"/>
      <c r="J889" s="14"/>
      <c r="K889" s="302"/>
    </row>
    <row r="890" ht="19.5" customHeight="1">
      <c r="A890" s="12"/>
      <c r="C890" s="12"/>
      <c r="D890" s="87"/>
      <c r="F890" s="14"/>
      <c r="G890" s="14"/>
      <c r="H890" s="14"/>
      <c r="I890" s="14"/>
      <c r="J890" s="14"/>
      <c r="K890" s="302"/>
    </row>
    <row r="891" ht="19.5" customHeight="1">
      <c r="A891" s="12"/>
      <c r="C891" s="12"/>
      <c r="D891" s="87"/>
      <c r="F891" s="14"/>
      <c r="G891" s="14"/>
      <c r="H891" s="14"/>
      <c r="I891" s="14"/>
      <c r="J891" s="14"/>
      <c r="K891" s="302"/>
    </row>
    <row r="892" ht="19.5" customHeight="1">
      <c r="A892" s="12"/>
      <c r="C892" s="12"/>
      <c r="D892" s="87"/>
      <c r="F892" s="14"/>
      <c r="G892" s="14"/>
      <c r="H892" s="14"/>
      <c r="I892" s="14"/>
      <c r="J892" s="14"/>
      <c r="K892" s="302"/>
    </row>
    <row r="893" ht="19.5" customHeight="1">
      <c r="A893" s="12"/>
      <c r="C893" s="12"/>
      <c r="D893" s="87"/>
      <c r="F893" s="14"/>
      <c r="G893" s="14"/>
      <c r="H893" s="14"/>
      <c r="I893" s="14"/>
      <c r="J893" s="14"/>
      <c r="K893" s="302"/>
    </row>
    <row r="894" ht="19.5" customHeight="1">
      <c r="A894" s="12"/>
      <c r="C894" s="12"/>
      <c r="D894" s="87"/>
      <c r="F894" s="14"/>
      <c r="G894" s="14"/>
      <c r="H894" s="14"/>
      <c r="I894" s="14"/>
      <c r="J894" s="14"/>
      <c r="K894" s="302"/>
    </row>
    <row r="895" ht="19.5" customHeight="1">
      <c r="A895" s="12"/>
      <c r="C895" s="12"/>
      <c r="D895" s="87"/>
      <c r="F895" s="14"/>
      <c r="G895" s="14"/>
      <c r="H895" s="14"/>
      <c r="I895" s="14"/>
      <c r="J895" s="14"/>
      <c r="K895" s="302"/>
    </row>
    <row r="896" ht="19.5" customHeight="1">
      <c r="A896" s="12"/>
      <c r="C896" s="12"/>
      <c r="D896" s="87"/>
      <c r="F896" s="14"/>
      <c r="G896" s="14"/>
      <c r="H896" s="14"/>
      <c r="I896" s="14"/>
      <c r="J896" s="14"/>
      <c r="K896" s="302"/>
    </row>
    <row r="897" ht="19.5" customHeight="1">
      <c r="A897" s="12"/>
      <c r="C897" s="12"/>
      <c r="D897" s="87"/>
      <c r="F897" s="14"/>
      <c r="G897" s="14"/>
      <c r="H897" s="14"/>
      <c r="I897" s="14"/>
      <c r="J897" s="14"/>
      <c r="K897" s="302"/>
    </row>
    <row r="898" ht="19.5" customHeight="1">
      <c r="A898" s="12"/>
      <c r="C898" s="12"/>
      <c r="D898" s="87"/>
      <c r="F898" s="14"/>
      <c r="G898" s="14"/>
      <c r="H898" s="14"/>
      <c r="I898" s="14"/>
      <c r="J898" s="14"/>
      <c r="K898" s="302"/>
    </row>
    <row r="899" ht="19.5" customHeight="1">
      <c r="A899" s="12"/>
      <c r="C899" s="12"/>
      <c r="D899" s="87"/>
      <c r="F899" s="14"/>
      <c r="G899" s="14"/>
      <c r="H899" s="14"/>
      <c r="I899" s="14"/>
      <c r="J899" s="14"/>
      <c r="K899" s="302"/>
    </row>
    <row r="900" ht="19.5" customHeight="1">
      <c r="A900" s="12"/>
      <c r="C900" s="12"/>
      <c r="D900" s="87"/>
      <c r="F900" s="14"/>
      <c r="G900" s="14"/>
      <c r="H900" s="14"/>
      <c r="I900" s="14"/>
      <c r="J900" s="14"/>
      <c r="K900" s="302"/>
    </row>
    <row r="901" ht="19.5" customHeight="1">
      <c r="A901" s="12"/>
      <c r="C901" s="12"/>
      <c r="D901" s="87"/>
      <c r="F901" s="14"/>
      <c r="G901" s="14"/>
      <c r="H901" s="14"/>
      <c r="I901" s="14"/>
      <c r="J901" s="14"/>
      <c r="K901" s="302"/>
    </row>
    <row r="902" ht="19.5" customHeight="1">
      <c r="A902" s="12"/>
      <c r="C902" s="12"/>
      <c r="D902" s="87"/>
      <c r="F902" s="14"/>
      <c r="G902" s="14"/>
      <c r="H902" s="14"/>
      <c r="I902" s="14"/>
      <c r="J902" s="14"/>
      <c r="K902" s="302"/>
    </row>
    <row r="903" ht="19.5" customHeight="1">
      <c r="A903" s="12"/>
      <c r="C903" s="12"/>
      <c r="D903" s="87"/>
      <c r="F903" s="14"/>
      <c r="G903" s="14"/>
      <c r="H903" s="14"/>
      <c r="I903" s="14"/>
      <c r="J903" s="14"/>
      <c r="K903" s="302"/>
    </row>
    <row r="904" ht="19.5" customHeight="1">
      <c r="A904" s="12"/>
      <c r="C904" s="12"/>
      <c r="D904" s="87"/>
      <c r="F904" s="14"/>
      <c r="G904" s="14"/>
      <c r="H904" s="14"/>
      <c r="I904" s="14"/>
      <c r="J904" s="14"/>
      <c r="K904" s="302"/>
    </row>
    <row r="905" ht="19.5" customHeight="1">
      <c r="A905" s="12"/>
      <c r="C905" s="12"/>
      <c r="D905" s="87"/>
      <c r="F905" s="14"/>
      <c r="G905" s="14"/>
      <c r="H905" s="14"/>
      <c r="I905" s="14"/>
      <c r="J905" s="14"/>
      <c r="K905" s="302"/>
    </row>
    <row r="906" ht="19.5" customHeight="1">
      <c r="A906" s="12"/>
      <c r="C906" s="12"/>
      <c r="D906" s="87"/>
      <c r="F906" s="14"/>
      <c r="G906" s="14"/>
      <c r="H906" s="14"/>
      <c r="I906" s="14"/>
      <c r="J906" s="14"/>
      <c r="K906" s="302"/>
    </row>
    <row r="907" ht="19.5" customHeight="1">
      <c r="A907" s="12"/>
      <c r="C907" s="12"/>
      <c r="D907" s="87"/>
      <c r="F907" s="14"/>
      <c r="G907" s="14"/>
      <c r="H907" s="14"/>
      <c r="I907" s="14"/>
      <c r="J907" s="14"/>
      <c r="K907" s="302"/>
    </row>
    <row r="908" ht="19.5" customHeight="1">
      <c r="A908" s="12"/>
      <c r="C908" s="12"/>
      <c r="D908" s="87"/>
      <c r="F908" s="14"/>
      <c r="G908" s="14"/>
      <c r="H908" s="14"/>
      <c r="I908" s="14"/>
      <c r="J908" s="14"/>
      <c r="K908" s="302"/>
    </row>
    <row r="909" ht="19.5" customHeight="1">
      <c r="A909" s="12"/>
      <c r="C909" s="12"/>
      <c r="D909" s="87"/>
      <c r="F909" s="14"/>
      <c r="G909" s="14"/>
      <c r="H909" s="14"/>
      <c r="I909" s="14"/>
      <c r="J909" s="14"/>
      <c r="K909" s="302"/>
    </row>
    <row r="910" ht="19.5" customHeight="1">
      <c r="A910" s="12"/>
      <c r="C910" s="12"/>
      <c r="D910" s="87"/>
      <c r="F910" s="14"/>
      <c r="G910" s="14"/>
      <c r="H910" s="14"/>
      <c r="I910" s="14"/>
      <c r="J910" s="14"/>
      <c r="K910" s="302"/>
    </row>
    <row r="911" ht="19.5" customHeight="1">
      <c r="A911" s="12"/>
      <c r="C911" s="12"/>
      <c r="D911" s="87"/>
      <c r="F911" s="14"/>
      <c r="G911" s="14"/>
      <c r="H911" s="14"/>
      <c r="I911" s="14"/>
      <c r="J911" s="14"/>
      <c r="K911" s="302"/>
    </row>
    <row r="912" ht="19.5" customHeight="1">
      <c r="A912" s="12"/>
      <c r="C912" s="12"/>
      <c r="D912" s="87"/>
      <c r="F912" s="14"/>
      <c r="G912" s="14"/>
      <c r="H912" s="14"/>
      <c r="I912" s="14"/>
      <c r="J912" s="14"/>
      <c r="K912" s="302"/>
    </row>
    <row r="913" ht="19.5" customHeight="1">
      <c r="A913" s="12"/>
      <c r="C913" s="12"/>
      <c r="D913" s="87"/>
      <c r="F913" s="14"/>
      <c r="G913" s="14"/>
      <c r="H913" s="14"/>
      <c r="I913" s="14"/>
      <c r="J913" s="14"/>
      <c r="K913" s="302"/>
    </row>
    <row r="914" ht="19.5" customHeight="1">
      <c r="A914" s="12"/>
      <c r="C914" s="12"/>
      <c r="D914" s="87"/>
      <c r="F914" s="14"/>
      <c r="G914" s="14"/>
      <c r="H914" s="14"/>
      <c r="I914" s="14"/>
      <c r="J914" s="14"/>
      <c r="K914" s="302"/>
    </row>
    <row r="915" ht="19.5" customHeight="1">
      <c r="A915" s="12"/>
      <c r="C915" s="12"/>
      <c r="D915" s="87"/>
      <c r="F915" s="14"/>
      <c r="G915" s="14"/>
      <c r="H915" s="14"/>
      <c r="I915" s="14"/>
      <c r="J915" s="14"/>
      <c r="K915" s="302"/>
    </row>
    <row r="916" ht="19.5" customHeight="1">
      <c r="A916" s="12"/>
      <c r="C916" s="12"/>
      <c r="D916" s="87"/>
      <c r="F916" s="14"/>
      <c r="G916" s="14"/>
      <c r="H916" s="14"/>
      <c r="I916" s="14"/>
      <c r="J916" s="14"/>
      <c r="K916" s="302"/>
    </row>
    <row r="917" ht="19.5" customHeight="1">
      <c r="A917" s="12"/>
      <c r="C917" s="12"/>
      <c r="D917" s="87"/>
      <c r="F917" s="14"/>
      <c r="G917" s="14"/>
      <c r="H917" s="14"/>
      <c r="I917" s="14"/>
      <c r="J917" s="14"/>
      <c r="K917" s="302"/>
    </row>
    <row r="918" ht="19.5" customHeight="1">
      <c r="A918" s="12"/>
      <c r="C918" s="12"/>
      <c r="D918" s="87"/>
      <c r="F918" s="14"/>
      <c r="G918" s="14"/>
      <c r="H918" s="14"/>
      <c r="I918" s="14"/>
      <c r="J918" s="14"/>
      <c r="K918" s="302"/>
    </row>
    <row r="919" ht="19.5" customHeight="1">
      <c r="A919" s="12"/>
      <c r="C919" s="12"/>
      <c r="D919" s="87"/>
      <c r="F919" s="14"/>
      <c r="G919" s="14"/>
      <c r="H919" s="14"/>
      <c r="I919" s="14"/>
      <c r="J919" s="14"/>
      <c r="K919" s="302"/>
    </row>
    <row r="920" ht="19.5" customHeight="1">
      <c r="A920" s="12"/>
      <c r="C920" s="12"/>
      <c r="D920" s="87"/>
      <c r="F920" s="14"/>
      <c r="G920" s="14"/>
      <c r="H920" s="14"/>
      <c r="I920" s="14"/>
      <c r="J920" s="14"/>
      <c r="K920" s="302"/>
    </row>
    <row r="921" ht="19.5" customHeight="1">
      <c r="A921" s="12"/>
      <c r="C921" s="12"/>
      <c r="D921" s="87"/>
      <c r="F921" s="14"/>
      <c r="G921" s="14"/>
      <c r="H921" s="14"/>
      <c r="I921" s="14"/>
      <c r="J921" s="14"/>
      <c r="K921" s="302"/>
    </row>
    <row r="922" ht="19.5" customHeight="1">
      <c r="A922" s="12"/>
      <c r="C922" s="12"/>
      <c r="D922" s="87"/>
      <c r="F922" s="14"/>
      <c r="G922" s="14"/>
      <c r="H922" s="14"/>
      <c r="I922" s="14"/>
      <c r="J922" s="14"/>
      <c r="K922" s="302"/>
    </row>
    <row r="923" ht="19.5" customHeight="1">
      <c r="A923" s="12"/>
      <c r="C923" s="12"/>
      <c r="D923" s="87"/>
      <c r="F923" s="14"/>
      <c r="G923" s="14"/>
      <c r="H923" s="14"/>
      <c r="I923" s="14"/>
      <c r="J923" s="14"/>
      <c r="K923" s="302"/>
    </row>
    <row r="924" ht="19.5" customHeight="1">
      <c r="A924" s="12"/>
      <c r="C924" s="12"/>
      <c r="D924" s="87"/>
      <c r="F924" s="14"/>
      <c r="G924" s="14"/>
      <c r="H924" s="14"/>
      <c r="I924" s="14"/>
      <c r="J924" s="14"/>
      <c r="K924" s="302"/>
    </row>
    <row r="925" ht="19.5" customHeight="1">
      <c r="A925" s="12"/>
      <c r="C925" s="12"/>
      <c r="D925" s="87"/>
      <c r="F925" s="14"/>
      <c r="G925" s="14"/>
      <c r="H925" s="14"/>
      <c r="I925" s="14"/>
      <c r="J925" s="14"/>
      <c r="K925" s="302"/>
    </row>
    <row r="926" ht="19.5" customHeight="1">
      <c r="A926" s="12"/>
      <c r="C926" s="12"/>
      <c r="D926" s="87"/>
      <c r="F926" s="14"/>
      <c r="G926" s="14"/>
      <c r="H926" s="14"/>
      <c r="I926" s="14"/>
      <c r="J926" s="14"/>
      <c r="K926" s="302"/>
    </row>
    <row r="927" ht="19.5" customHeight="1">
      <c r="A927" s="12"/>
      <c r="C927" s="12"/>
      <c r="D927" s="87"/>
      <c r="F927" s="14"/>
      <c r="G927" s="14"/>
      <c r="H927" s="14"/>
      <c r="I927" s="14"/>
      <c r="J927" s="14"/>
      <c r="K927" s="302"/>
    </row>
    <row r="928" ht="19.5" customHeight="1">
      <c r="A928" s="12"/>
      <c r="C928" s="12"/>
      <c r="D928" s="87"/>
      <c r="F928" s="14"/>
      <c r="G928" s="14"/>
      <c r="H928" s="14"/>
      <c r="I928" s="14"/>
      <c r="J928" s="14"/>
      <c r="K928" s="302"/>
    </row>
    <row r="929" ht="19.5" customHeight="1">
      <c r="A929" s="12"/>
      <c r="C929" s="12"/>
      <c r="D929" s="87"/>
      <c r="F929" s="14"/>
      <c r="G929" s="14"/>
      <c r="H929" s="14"/>
      <c r="I929" s="14"/>
      <c r="J929" s="14"/>
      <c r="K929" s="302"/>
    </row>
    <row r="930" ht="19.5" customHeight="1">
      <c r="A930" s="12"/>
      <c r="C930" s="12"/>
      <c r="D930" s="87"/>
      <c r="F930" s="14"/>
      <c r="G930" s="14"/>
      <c r="H930" s="14"/>
      <c r="I930" s="14"/>
      <c r="J930" s="14"/>
      <c r="K930" s="302"/>
    </row>
    <row r="931" ht="19.5" customHeight="1">
      <c r="A931" s="12"/>
      <c r="C931" s="12"/>
      <c r="D931" s="87"/>
      <c r="F931" s="14"/>
      <c r="G931" s="14"/>
      <c r="H931" s="14"/>
      <c r="I931" s="14"/>
      <c r="J931" s="14"/>
      <c r="K931" s="302"/>
    </row>
    <row r="932" ht="19.5" customHeight="1">
      <c r="A932" s="12"/>
      <c r="C932" s="12"/>
      <c r="D932" s="87"/>
      <c r="F932" s="14"/>
      <c r="G932" s="14"/>
      <c r="H932" s="14"/>
      <c r="I932" s="14"/>
      <c r="J932" s="14"/>
      <c r="K932" s="302"/>
    </row>
    <row r="933" ht="19.5" customHeight="1">
      <c r="A933" s="12"/>
      <c r="C933" s="12"/>
      <c r="D933" s="87"/>
      <c r="F933" s="14"/>
      <c r="G933" s="14"/>
      <c r="H933" s="14"/>
      <c r="I933" s="14"/>
      <c r="J933" s="14"/>
      <c r="K933" s="302"/>
    </row>
    <row r="934" ht="19.5" customHeight="1">
      <c r="A934" s="12"/>
      <c r="C934" s="12"/>
      <c r="D934" s="87"/>
      <c r="F934" s="14"/>
      <c r="G934" s="14"/>
      <c r="H934" s="14"/>
      <c r="I934" s="14"/>
      <c r="J934" s="14"/>
      <c r="K934" s="302"/>
    </row>
    <row r="935" ht="19.5" customHeight="1">
      <c r="A935" s="12"/>
      <c r="C935" s="12"/>
      <c r="D935" s="87"/>
      <c r="F935" s="14"/>
      <c r="G935" s="14"/>
      <c r="H935" s="14"/>
      <c r="I935" s="14"/>
      <c r="J935" s="14"/>
      <c r="K935" s="302"/>
    </row>
    <row r="936" ht="19.5" customHeight="1">
      <c r="A936" s="12"/>
      <c r="C936" s="12"/>
      <c r="D936" s="87"/>
      <c r="F936" s="14"/>
      <c r="G936" s="14"/>
      <c r="H936" s="14"/>
      <c r="I936" s="14"/>
      <c r="J936" s="14"/>
      <c r="K936" s="302"/>
    </row>
    <row r="937" ht="19.5" customHeight="1">
      <c r="A937" s="12"/>
      <c r="C937" s="12"/>
      <c r="D937" s="87"/>
      <c r="F937" s="14"/>
      <c r="G937" s="14"/>
      <c r="H937" s="14"/>
      <c r="I937" s="14"/>
      <c r="J937" s="14"/>
      <c r="K937" s="302"/>
    </row>
    <row r="938" ht="19.5" customHeight="1">
      <c r="A938" s="12"/>
      <c r="C938" s="12"/>
      <c r="D938" s="87"/>
      <c r="F938" s="14"/>
      <c r="G938" s="14"/>
      <c r="H938" s="14"/>
      <c r="I938" s="14"/>
      <c r="J938" s="14"/>
      <c r="K938" s="302"/>
    </row>
    <row r="939" ht="19.5" customHeight="1">
      <c r="A939" s="12"/>
      <c r="C939" s="12"/>
      <c r="D939" s="87"/>
      <c r="F939" s="14"/>
      <c r="G939" s="14"/>
      <c r="H939" s="14"/>
      <c r="I939" s="14"/>
      <c r="J939" s="14"/>
      <c r="K939" s="302"/>
    </row>
    <row r="940" ht="19.5" customHeight="1">
      <c r="A940" s="12"/>
      <c r="C940" s="12"/>
      <c r="D940" s="87"/>
      <c r="F940" s="14"/>
      <c r="G940" s="14"/>
      <c r="H940" s="14"/>
      <c r="I940" s="14"/>
      <c r="J940" s="14"/>
      <c r="K940" s="302"/>
    </row>
    <row r="941" ht="19.5" customHeight="1">
      <c r="A941" s="12"/>
      <c r="C941" s="12"/>
      <c r="D941" s="87"/>
      <c r="F941" s="14"/>
      <c r="G941" s="14"/>
      <c r="H941" s="14"/>
      <c r="I941" s="14"/>
      <c r="J941" s="14"/>
      <c r="K941" s="302"/>
    </row>
    <row r="942" ht="19.5" customHeight="1">
      <c r="A942" s="12"/>
      <c r="C942" s="12"/>
      <c r="D942" s="87"/>
      <c r="F942" s="14"/>
      <c r="G942" s="14"/>
      <c r="H942" s="14"/>
      <c r="I942" s="14"/>
      <c r="J942" s="14"/>
      <c r="K942" s="302"/>
    </row>
    <row r="943" ht="19.5" customHeight="1">
      <c r="A943" s="12"/>
      <c r="C943" s="12"/>
      <c r="D943" s="87"/>
      <c r="F943" s="14"/>
      <c r="G943" s="14"/>
      <c r="H943" s="14"/>
      <c r="I943" s="14"/>
      <c r="J943" s="14"/>
      <c r="K943" s="302"/>
    </row>
    <row r="944" ht="19.5" customHeight="1">
      <c r="A944" s="12"/>
      <c r="C944" s="12"/>
      <c r="D944" s="87"/>
      <c r="F944" s="14"/>
      <c r="G944" s="14"/>
      <c r="H944" s="14"/>
      <c r="I944" s="14"/>
      <c r="J944" s="14"/>
      <c r="K944" s="302"/>
    </row>
    <row r="945" ht="19.5" customHeight="1">
      <c r="A945" s="12"/>
      <c r="C945" s="12"/>
      <c r="D945" s="87"/>
      <c r="F945" s="14"/>
      <c r="G945" s="14"/>
      <c r="H945" s="14"/>
      <c r="I945" s="14"/>
      <c r="J945" s="14"/>
      <c r="K945" s="302"/>
    </row>
    <row r="946" ht="19.5" customHeight="1">
      <c r="A946" s="12"/>
      <c r="C946" s="12"/>
      <c r="D946" s="87"/>
      <c r="F946" s="14"/>
      <c r="G946" s="14"/>
      <c r="H946" s="14"/>
      <c r="I946" s="14"/>
      <c r="J946" s="14"/>
      <c r="K946" s="302"/>
    </row>
    <row r="947" ht="19.5" customHeight="1">
      <c r="A947" s="12"/>
      <c r="C947" s="12"/>
      <c r="D947" s="87"/>
      <c r="F947" s="14"/>
      <c r="G947" s="14"/>
      <c r="H947" s="14"/>
      <c r="I947" s="14"/>
      <c r="J947" s="14"/>
      <c r="K947" s="302"/>
    </row>
    <row r="948" ht="19.5" customHeight="1">
      <c r="A948" s="12"/>
      <c r="C948" s="12"/>
      <c r="D948" s="87"/>
      <c r="F948" s="14"/>
      <c r="G948" s="14"/>
      <c r="H948" s="14"/>
      <c r="I948" s="14"/>
      <c r="J948" s="14"/>
      <c r="K948" s="302"/>
    </row>
    <row r="949" ht="19.5" customHeight="1">
      <c r="A949" s="12"/>
      <c r="C949" s="12"/>
      <c r="D949" s="87"/>
      <c r="F949" s="14"/>
      <c r="G949" s="14"/>
      <c r="H949" s="14"/>
      <c r="I949" s="14"/>
      <c r="J949" s="14"/>
      <c r="K949" s="302"/>
    </row>
    <row r="950" ht="19.5" customHeight="1">
      <c r="A950" s="12"/>
      <c r="C950" s="12"/>
      <c r="D950" s="87"/>
      <c r="F950" s="14"/>
      <c r="G950" s="14"/>
      <c r="H950" s="14"/>
      <c r="I950" s="14"/>
      <c r="J950" s="14"/>
      <c r="K950" s="302"/>
    </row>
    <row r="951" ht="19.5" customHeight="1">
      <c r="A951" s="12"/>
      <c r="C951" s="12"/>
      <c r="D951" s="87"/>
      <c r="F951" s="14"/>
      <c r="G951" s="14"/>
      <c r="H951" s="14"/>
      <c r="I951" s="14"/>
      <c r="J951" s="14"/>
      <c r="K951" s="302"/>
    </row>
    <row r="952" ht="19.5" customHeight="1">
      <c r="A952" s="12"/>
      <c r="C952" s="12"/>
      <c r="D952" s="87"/>
      <c r="F952" s="14"/>
      <c r="G952" s="14"/>
      <c r="H952" s="14"/>
      <c r="I952" s="14"/>
      <c r="J952" s="14"/>
      <c r="K952" s="302"/>
    </row>
    <row r="953" ht="19.5" customHeight="1">
      <c r="A953" s="12"/>
      <c r="C953" s="12"/>
      <c r="D953" s="87"/>
      <c r="F953" s="14"/>
      <c r="G953" s="14"/>
      <c r="H953" s="14"/>
      <c r="I953" s="14"/>
      <c r="J953" s="14"/>
      <c r="K953" s="302"/>
    </row>
    <row r="954" ht="19.5" customHeight="1">
      <c r="A954" s="12"/>
      <c r="C954" s="12"/>
      <c r="D954" s="87"/>
      <c r="F954" s="14"/>
      <c r="G954" s="14"/>
      <c r="H954" s="14"/>
      <c r="I954" s="14"/>
      <c r="J954" s="14"/>
      <c r="K954" s="302"/>
    </row>
    <row r="955" ht="19.5" customHeight="1">
      <c r="A955" s="12"/>
      <c r="C955" s="12"/>
      <c r="D955" s="87"/>
      <c r="F955" s="14"/>
      <c r="G955" s="14"/>
      <c r="H955" s="14"/>
      <c r="I955" s="14"/>
      <c r="J955" s="14"/>
      <c r="K955" s="302"/>
    </row>
    <row r="956" ht="19.5" customHeight="1">
      <c r="A956" s="12"/>
      <c r="C956" s="12"/>
      <c r="D956" s="87"/>
      <c r="F956" s="14"/>
      <c r="G956" s="14"/>
      <c r="H956" s="14"/>
      <c r="I956" s="14"/>
      <c r="J956" s="14"/>
      <c r="K956" s="302"/>
    </row>
    <row r="957" ht="19.5" customHeight="1">
      <c r="A957" s="12"/>
      <c r="C957" s="12"/>
      <c r="D957" s="87"/>
      <c r="F957" s="14"/>
      <c r="G957" s="14"/>
      <c r="H957" s="14"/>
      <c r="I957" s="14"/>
      <c r="J957" s="14"/>
      <c r="K957" s="302"/>
    </row>
    <row r="958" ht="19.5" customHeight="1">
      <c r="A958" s="12"/>
      <c r="C958" s="12"/>
      <c r="D958" s="87"/>
      <c r="F958" s="14"/>
      <c r="G958" s="14"/>
      <c r="H958" s="14"/>
      <c r="I958" s="14"/>
      <c r="J958" s="14"/>
      <c r="K958" s="302"/>
    </row>
    <row r="959" ht="19.5" customHeight="1">
      <c r="A959" s="12"/>
      <c r="C959" s="12"/>
      <c r="D959" s="87"/>
      <c r="F959" s="14"/>
      <c r="G959" s="14"/>
      <c r="H959" s="14"/>
      <c r="I959" s="14"/>
      <c r="J959" s="14"/>
      <c r="K959" s="302"/>
    </row>
    <row r="960" ht="19.5" customHeight="1">
      <c r="A960" s="12"/>
      <c r="C960" s="12"/>
      <c r="D960" s="87"/>
      <c r="F960" s="14"/>
      <c r="G960" s="14"/>
      <c r="H960" s="14"/>
      <c r="I960" s="14"/>
      <c r="J960" s="14"/>
      <c r="K960" s="302"/>
    </row>
    <row r="961" ht="19.5" customHeight="1">
      <c r="A961" s="12"/>
      <c r="C961" s="12"/>
      <c r="D961" s="87"/>
      <c r="F961" s="14"/>
      <c r="G961" s="14"/>
      <c r="H961" s="14"/>
      <c r="I961" s="14"/>
      <c r="J961" s="14"/>
      <c r="K961" s="302"/>
    </row>
    <row r="962" ht="19.5" customHeight="1">
      <c r="A962" s="12"/>
      <c r="C962" s="12"/>
      <c r="D962" s="87"/>
      <c r="F962" s="14"/>
      <c r="G962" s="14"/>
      <c r="H962" s="14"/>
      <c r="I962" s="14"/>
      <c r="J962" s="14"/>
      <c r="K962" s="302"/>
    </row>
    <row r="963" ht="19.5" customHeight="1">
      <c r="A963" s="12"/>
      <c r="C963" s="12"/>
      <c r="D963" s="87"/>
      <c r="F963" s="14"/>
      <c r="G963" s="14"/>
      <c r="H963" s="14"/>
      <c r="I963" s="14"/>
      <c r="J963" s="14"/>
      <c r="K963" s="302"/>
    </row>
    <row r="964" ht="19.5" customHeight="1">
      <c r="A964" s="12"/>
      <c r="C964" s="12"/>
      <c r="D964" s="87"/>
      <c r="F964" s="14"/>
      <c r="G964" s="14"/>
      <c r="H964" s="14"/>
      <c r="I964" s="14"/>
      <c r="J964" s="14"/>
      <c r="K964" s="302"/>
    </row>
    <row r="965" ht="19.5" customHeight="1">
      <c r="A965" s="12"/>
      <c r="C965" s="12"/>
      <c r="D965" s="87"/>
      <c r="F965" s="14"/>
      <c r="G965" s="14"/>
      <c r="H965" s="14"/>
      <c r="I965" s="14"/>
      <c r="J965" s="14"/>
      <c r="K965" s="302"/>
    </row>
    <row r="966" ht="19.5" customHeight="1">
      <c r="A966" s="12"/>
      <c r="C966" s="12"/>
      <c r="D966" s="87"/>
      <c r="F966" s="14"/>
      <c r="G966" s="14"/>
      <c r="H966" s="14"/>
      <c r="I966" s="14"/>
      <c r="J966" s="14"/>
      <c r="K966" s="302"/>
    </row>
    <row r="967" ht="19.5" customHeight="1">
      <c r="A967" s="12"/>
      <c r="C967" s="12"/>
      <c r="D967" s="87"/>
      <c r="F967" s="14"/>
      <c r="G967" s="14"/>
      <c r="H967" s="14"/>
      <c r="I967" s="14"/>
      <c r="J967" s="14"/>
      <c r="K967" s="302"/>
    </row>
    <row r="968" ht="19.5" customHeight="1">
      <c r="A968" s="12"/>
      <c r="C968" s="12"/>
      <c r="D968" s="87"/>
      <c r="F968" s="14"/>
      <c r="G968" s="14"/>
      <c r="H968" s="14"/>
      <c r="I968" s="14"/>
      <c r="J968" s="14"/>
      <c r="K968" s="302"/>
    </row>
    <row r="969" ht="19.5" customHeight="1">
      <c r="A969" s="12"/>
      <c r="C969" s="12"/>
      <c r="D969" s="87"/>
      <c r="F969" s="14"/>
      <c r="G969" s="14"/>
      <c r="H969" s="14"/>
      <c r="I969" s="14"/>
      <c r="J969" s="14"/>
      <c r="K969" s="302"/>
    </row>
    <row r="970" ht="19.5" customHeight="1">
      <c r="A970" s="12"/>
      <c r="C970" s="12"/>
      <c r="D970" s="87"/>
      <c r="F970" s="14"/>
      <c r="G970" s="14"/>
      <c r="H970" s="14"/>
      <c r="I970" s="14"/>
      <c r="J970" s="14"/>
      <c r="K970" s="302"/>
    </row>
    <row r="971" ht="19.5" customHeight="1">
      <c r="A971" s="12"/>
      <c r="C971" s="12"/>
      <c r="D971" s="87"/>
      <c r="F971" s="14"/>
      <c r="G971" s="14"/>
      <c r="H971" s="14"/>
      <c r="I971" s="14"/>
      <c r="J971" s="14"/>
      <c r="K971" s="302"/>
    </row>
    <row r="972" ht="19.5" customHeight="1">
      <c r="A972" s="12"/>
      <c r="C972" s="12"/>
      <c r="D972" s="87"/>
      <c r="F972" s="14"/>
      <c r="G972" s="14"/>
      <c r="H972" s="14"/>
      <c r="I972" s="14"/>
      <c r="J972" s="14"/>
      <c r="K972" s="302"/>
    </row>
    <row r="973" ht="19.5" customHeight="1">
      <c r="A973" s="12"/>
      <c r="C973" s="12"/>
      <c r="D973" s="87"/>
      <c r="F973" s="14"/>
      <c r="G973" s="14"/>
      <c r="H973" s="14"/>
      <c r="I973" s="14"/>
      <c r="J973" s="14"/>
      <c r="K973" s="302"/>
    </row>
    <row r="974" ht="19.5" customHeight="1">
      <c r="A974" s="12"/>
      <c r="C974" s="12"/>
      <c r="D974" s="87"/>
      <c r="F974" s="14"/>
      <c r="G974" s="14"/>
      <c r="H974" s="14"/>
      <c r="I974" s="14"/>
      <c r="J974" s="14"/>
      <c r="K974" s="302"/>
    </row>
    <row r="975" ht="19.5" customHeight="1">
      <c r="A975" s="12"/>
      <c r="C975" s="12"/>
      <c r="D975" s="87"/>
      <c r="F975" s="14"/>
      <c r="G975" s="14"/>
      <c r="H975" s="14"/>
      <c r="I975" s="14"/>
      <c r="J975" s="14"/>
      <c r="K975" s="302"/>
    </row>
    <row r="976" ht="19.5" customHeight="1">
      <c r="A976" s="12"/>
      <c r="C976" s="12"/>
      <c r="D976" s="87"/>
      <c r="F976" s="14"/>
      <c r="G976" s="14"/>
      <c r="H976" s="14"/>
      <c r="I976" s="14"/>
      <c r="J976" s="14"/>
      <c r="K976" s="302"/>
    </row>
    <row r="977" ht="19.5" customHeight="1">
      <c r="A977" s="12"/>
      <c r="C977" s="12"/>
      <c r="D977" s="87"/>
      <c r="F977" s="14"/>
      <c r="G977" s="14"/>
      <c r="H977" s="14"/>
      <c r="I977" s="14"/>
      <c r="J977" s="14"/>
      <c r="K977" s="302"/>
    </row>
    <row r="978" ht="19.5" customHeight="1">
      <c r="A978" s="12"/>
      <c r="C978" s="12"/>
      <c r="D978" s="87"/>
      <c r="F978" s="14"/>
      <c r="G978" s="14"/>
      <c r="H978" s="14"/>
      <c r="I978" s="14"/>
      <c r="J978" s="14"/>
      <c r="K978" s="302"/>
    </row>
    <row r="979" ht="19.5" customHeight="1">
      <c r="A979" s="12"/>
      <c r="C979" s="12"/>
      <c r="D979" s="87"/>
      <c r="F979" s="14"/>
      <c r="G979" s="14"/>
      <c r="H979" s="14"/>
      <c r="I979" s="14"/>
      <c r="J979" s="14"/>
      <c r="K979" s="302"/>
    </row>
    <row r="980" ht="19.5" customHeight="1">
      <c r="A980" s="12"/>
      <c r="C980" s="12"/>
      <c r="D980" s="87"/>
      <c r="F980" s="14"/>
      <c r="G980" s="14"/>
      <c r="H980" s="14"/>
      <c r="I980" s="14"/>
      <c r="J980" s="14"/>
      <c r="K980" s="302"/>
    </row>
    <row r="981" ht="19.5" customHeight="1">
      <c r="A981" s="12"/>
      <c r="C981" s="12"/>
      <c r="D981" s="87"/>
      <c r="F981" s="14"/>
      <c r="G981" s="14"/>
      <c r="H981" s="14"/>
      <c r="I981" s="14"/>
      <c r="J981" s="14"/>
      <c r="K981" s="302"/>
    </row>
    <row r="982" ht="19.5" customHeight="1">
      <c r="A982" s="12"/>
      <c r="C982" s="12"/>
      <c r="D982" s="87"/>
      <c r="F982" s="14"/>
      <c r="G982" s="14"/>
      <c r="H982" s="14"/>
      <c r="I982" s="14"/>
      <c r="J982" s="14"/>
      <c r="K982" s="302"/>
    </row>
    <row r="983" ht="19.5" customHeight="1">
      <c r="A983" s="12"/>
      <c r="C983" s="12"/>
      <c r="D983" s="87"/>
      <c r="F983" s="14"/>
      <c r="G983" s="14"/>
      <c r="H983" s="14"/>
      <c r="I983" s="14"/>
      <c r="J983" s="14"/>
      <c r="K983" s="302"/>
    </row>
    <row r="984" ht="19.5" customHeight="1">
      <c r="A984" s="12"/>
      <c r="C984" s="12"/>
      <c r="D984" s="87"/>
      <c r="F984" s="14"/>
      <c r="G984" s="14"/>
      <c r="H984" s="14"/>
      <c r="I984" s="14"/>
      <c r="J984" s="14"/>
      <c r="K984" s="302"/>
    </row>
    <row r="985" ht="19.5" customHeight="1">
      <c r="A985" s="12"/>
      <c r="C985" s="12"/>
      <c r="D985" s="87"/>
      <c r="F985" s="14"/>
      <c r="G985" s="14"/>
      <c r="H985" s="14"/>
      <c r="I985" s="14"/>
      <c r="J985" s="14"/>
      <c r="K985" s="302"/>
    </row>
    <row r="986" ht="19.5" customHeight="1">
      <c r="A986" s="12"/>
      <c r="C986" s="12"/>
      <c r="D986" s="87"/>
      <c r="F986" s="14"/>
      <c r="G986" s="14"/>
      <c r="H986" s="14"/>
      <c r="I986" s="14"/>
      <c r="J986" s="14"/>
      <c r="K986" s="302"/>
    </row>
    <row r="987" ht="19.5" customHeight="1">
      <c r="A987" s="12"/>
      <c r="C987" s="12"/>
      <c r="D987" s="87"/>
      <c r="F987" s="14"/>
      <c r="G987" s="14"/>
      <c r="H987" s="14"/>
      <c r="I987" s="14"/>
      <c r="J987" s="14"/>
      <c r="K987" s="302"/>
    </row>
    <row r="988" ht="19.5" customHeight="1">
      <c r="A988" s="12"/>
      <c r="C988" s="12"/>
      <c r="D988" s="87"/>
      <c r="F988" s="14"/>
      <c r="G988" s="14"/>
      <c r="H988" s="14"/>
      <c r="I988" s="14"/>
      <c r="J988" s="14"/>
      <c r="K988" s="302"/>
    </row>
    <row r="989" ht="19.5" customHeight="1">
      <c r="A989" s="12"/>
      <c r="C989" s="12"/>
      <c r="D989" s="87"/>
      <c r="F989" s="14"/>
      <c r="G989" s="14"/>
      <c r="H989" s="14"/>
      <c r="I989" s="14"/>
      <c r="J989" s="14"/>
      <c r="K989" s="302"/>
    </row>
    <row r="990" ht="19.5" customHeight="1">
      <c r="A990" s="12"/>
      <c r="C990" s="12"/>
      <c r="D990" s="87"/>
      <c r="F990" s="14"/>
      <c r="G990" s="14"/>
      <c r="H990" s="14"/>
      <c r="I990" s="14"/>
      <c r="J990" s="14"/>
      <c r="K990" s="302"/>
    </row>
    <row r="991" ht="19.5" customHeight="1">
      <c r="A991" s="12"/>
      <c r="C991" s="12"/>
      <c r="D991" s="87"/>
      <c r="F991" s="14"/>
      <c r="G991" s="14"/>
      <c r="H991" s="14"/>
      <c r="I991" s="14"/>
      <c r="J991" s="14"/>
      <c r="K991" s="302"/>
    </row>
    <row r="992" ht="19.5" customHeight="1">
      <c r="A992" s="12"/>
      <c r="C992" s="12"/>
      <c r="D992" s="87"/>
      <c r="F992" s="14"/>
      <c r="G992" s="14"/>
      <c r="H992" s="14"/>
      <c r="I992" s="14"/>
      <c r="J992" s="14"/>
      <c r="K992" s="302"/>
    </row>
    <row r="993" ht="19.5" customHeight="1">
      <c r="A993" s="12"/>
      <c r="C993" s="12"/>
      <c r="D993" s="87"/>
      <c r="F993" s="14"/>
      <c r="G993" s="14"/>
      <c r="H993" s="14"/>
      <c r="I993" s="14"/>
      <c r="J993" s="14"/>
      <c r="K993" s="302"/>
    </row>
    <row r="994" ht="19.5" customHeight="1">
      <c r="A994" s="12"/>
      <c r="C994" s="12"/>
      <c r="D994" s="87"/>
      <c r="F994" s="14"/>
      <c r="G994" s="14"/>
      <c r="H994" s="14"/>
      <c r="I994" s="14"/>
      <c r="J994" s="14"/>
      <c r="K994" s="302"/>
    </row>
    <row r="995" ht="19.5" customHeight="1">
      <c r="A995" s="12"/>
      <c r="C995" s="12"/>
      <c r="D995" s="87"/>
      <c r="F995" s="14"/>
      <c r="G995" s="14"/>
      <c r="H995" s="14"/>
      <c r="I995" s="14"/>
      <c r="J995" s="14"/>
      <c r="K995" s="302"/>
    </row>
    <row r="996" ht="19.5" customHeight="1">
      <c r="A996" s="12"/>
      <c r="C996" s="12"/>
      <c r="D996" s="87"/>
      <c r="F996" s="14"/>
      <c r="G996" s="14"/>
      <c r="H996" s="14"/>
      <c r="I996" s="14"/>
      <c r="J996" s="14"/>
      <c r="K996" s="302"/>
    </row>
    <row r="997" ht="19.5" customHeight="1">
      <c r="A997" s="12"/>
      <c r="C997" s="12"/>
      <c r="D997" s="87"/>
      <c r="F997" s="14"/>
      <c r="G997" s="14"/>
      <c r="H997" s="14"/>
      <c r="I997" s="14"/>
      <c r="J997" s="14"/>
      <c r="K997" s="302"/>
    </row>
    <row r="998" ht="19.5" customHeight="1">
      <c r="A998" s="12"/>
      <c r="C998" s="12"/>
      <c r="D998" s="87"/>
      <c r="F998" s="14"/>
      <c r="G998" s="14"/>
      <c r="H998" s="14"/>
      <c r="I998" s="14"/>
      <c r="J998" s="14"/>
      <c r="K998" s="302"/>
    </row>
    <row r="999" ht="19.5" customHeight="1">
      <c r="A999" s="12"/>
      <c r="C999" s="12"/>
      <c r="D999" s="87"/>
      <c r="F999" s="14"/>
      <c r="G999" s="14"/>
      <c r="H999" s="14"/>
      <c r="I999" s="14"/>
      <c r="J999" s="14"/>
      <c r="K999" s="302"/>
    </row>
    <row r="1000" ht="19.5" customHeight="1">
      <c r="A1000" s="12"/>
      <c r="C1000" s="12"/>
      <c r="D1000" s="87"/>
      <c r="F1000" s="14"/>
      <c r="G1000" s="14"/>
      <c r="H1000" s="14"/>
      <c r="I1000" s="14"/>
      <c r="J1000" s="14"/>
      <c r="K1000" s="302"/>
    </row>
    <row r="1001" ht="19.5" customHeight="1">
      <c r="A1001" s="12"/>
      <c r="C1001" s="12"/>
      <c r="D1001" s="87"/>
      <c r="F1001" s="14"/>
      <c r="G1001" s="14"/>
      <c r="H1001" s="14"/>
      <c r="I1001" s="14"/>
      <c r="J1001" s="14"/>
      <c r="K1001" s="302"/>
    </row>
    <row r="1002" ht="19.5" customHeight="1">
      <c r="A1002" s="12"/>
      <c r="C1002" s="12"/>
      <c r="D1002" s="87"/>
      <c r="F1002" s="14"/>
      <c r="G1002" s="14"/>
      <c r="H1002" s="14"/>
      <c r="I1002" s="14"/>
      <c r="J1002" s="14"/>
      <c r="K1002" s="302"/>
    </row>
    <row r="1003" ht="19.5" customHeight="1">
      <c r="A1003" s="12"/>
      <c r="C1003" s="12"/>
      <c r="D1003" s="87"/>
      <c r="F1003" s="14"/>
      <c r="G1003" s="14"/>
      <c r="H1003" s="14"/>
      <c r="I1003" s="14"/>
      <c r="J1003" s="14"/>
      <c r="K1003" s="302"/>
    </row>
    <row r="1004" ht="19.5" customHeight="1">
      <c r="A1004" s="12"/>
      <c r="C1004" s="12"/>
      <c r="D1004" s="87"/>
      <c r="F1004" s="14"/>
      <c r="G1004" s="14"/>
      <c r="H1004" s="14"/>
      <c r="I1004" s="14"/>
      <c r="J1004" s="14"/>
      <c r="K1004" s="302"/>
    </row>
    <row r="1005" ht="19.5" customHeight="1">
      <c r="A1005" s="12"/>
      <c r="C1005" s="12"/>
      <c r="D1005" s="87"/>
      <c r="F1005" s="14"/>
      <c r="G1005" s="14"/>
      <c r="H1005" s="14"/>
      <c r="I1005" s="14"/>
      <c r="J1005" s="14"/>
      <c r="K1005" s="302"/>
    </row>
    <row r="1006" ht="19.5" customHeight="1">
      <c r="A1006" s="12"/>
      <c r="C1006" s="12"/>
      <c r="D1006" s="87"/>
      <c r="F1006" s="14"/>
      <c r="G1006" s="14"/>
      <c r="H1006" s="14"/>
      <c r="I1006" s="14"/>
      <c r="J1006" s="14"/>
      <c r="K1006" s="302"/>
    </row>
    <row r="1007" ht="19.5" customHeight="1">
      <c r="A1007" s="12"/>
      <c r="C1007" s="12"/>
      <c r="D1007" s="87"/>
      <c r="F1007" s="14"/>
      <c r="G1007" s="14"/>
      <c r="H1007" s="14"/>
      <c r="I1007" s="14"/>
      <c r="J1007" s="14"/>
      <c r="K1007" s="302"/>
    </row>
    <row r="1008" ht="19.5" customHeight="1">
      <c r="A1008" s="12"/>
      <c r="C1008" s="12"/>
      <c r="D1008" s="87"/>
      <c r="F1008" s="14"/>
      <c r="G1008" s="14"/>
      <c r="H1008" s="14"/>
      <c r="I1008" s="14"/>
      <c r="J1008" s="14"/>
      <c r="K1008" s="302"/>
    </row>
    <row r="1009" ht="19.5" customHeight="1">
      <c r="A1009" s="12"/>
      <c r="C1009" s="12"/>
      <c r="D1009" s="87"/>
      <c r="F1009" s="14"/>
      <c r="G1009" s="14"/>
      <c r="H1009" s="14"/>
      <c r="I1009" s="14"/>
      <c r="J1009" s="14"/>
      <c r="K1009" s="302"/>
    </row>
    <row r="1010" ht="19.5" customHeight="1">
      <c r="A1010" s="12"/>
      <c r="C1010" s="12"/>
      <c r="D1010" s="87"/>
      <c r="F1010" s="14"/>
      <c r="G1010" s="14"/>
      <c r="H1010" s="14"/>
      <c r="I1010" s="14"/>
      <c r="J1010" s="14"/>
      <c r="K1010" s="302"/>
    </row>
    <row r="1011" ht="19.5" customHeight="1">
      <c r="A1011" s="12"/>
      <c r="C1011" s="12"/>
      <c r="D1011" s="87"/>
      <c r="F1011" s="14"/>
      <c r="G1011" s="14"/>
      <c r="H1011" s="14"/>
      <c r="I1011" s="14"/>
      <c r="J1011" s="14"/>
      <c r="K1011" s="302"/>
    </row>
    <row r="1012" ht="19.5" customHeight="1">
      <c r="A1012" s="12"/>
      <c r="C1012" s="12"/>
      <c r="D1012" s="87"/>
      <c r="F1012" s="14"/>
      <c r="G1012" s="14"/>
      <c r="H1012" s="14"/>
      <c r="I1012" s="14"/>
      <c r="J1012" s="14"/>
      <c r="K1012" s="302"/>
    </row>
    <row r="1013" ht="19.5" customHeight="1">
      <c r="A1013" s="12"/>
      <c r="C1013" s="12"/>
      <c r="D1013" s="87"/>
      <c r="F1013" s="14"/>
      <c r="G1013" s="14"/>
      <c r="H1013" s="14"/>
      <c r="I1013" s="14"/>
      <c r="J1013" s="14"/>
      <c r="K1013" s="302"/>
    </row>
    <row r="1014" ht="19.5" customHeight="1">
      <c r="A1014" s="12"/>
      <c r="C1014" s="12"/>
      <c r="D1014" s="87"/>
      <c r="F1014" s="14"/>
      <c r="G1014" s="14"/>
      <c r="H1014" s="14"/>
      <c r="I1014" s="14"/>
      <c r="J1014" s="14"/>
      <c r="K1014" s="302"/>
    </row>
    <row r="1015" ht="19.5" customHeight="1">
      <c r="A1015" s="12"/>
      <c r="C1015" s="12"/>
      <c r="D1015" s="87"/>
      <c r="F1015" s="14"/>
      <c r="G1015" s="14"/>
      <c r="H1015" s="14"/>
      <c r="I1015" s="14"/>
      <c r="J1015" s="14"/>
      <c r="K1015" s="302"/>
    </row>
    <row r="1016" ht="19.5" customHeight="1">
      <c r="A1016" s="12"/>
      <c r="C1016" s="12"/>
      <c r="D1016" s="87"/>
      <c r="F1016" s="14"/>
      <c r="G1016" s="14"/>
      <c r="H1016" s="14"/>
      <c r="I1016" s="14"/>
      <c r="J1016" s="14"/>
      <c r="K1016" s="302"/>
    </row>
    <row r="1017" ht="19.5" customHeight="1">
      <c r="A1017" s="12"/>
      <c r="C1017" s="12"/>
      <c r="D1017" s="87"/>
      <c r="F1017" s="14"/>
      <c r="G1017" s="14"/>
      <c r="H1017" s="14"/>
      <c r="I1017" s="14"/>
      <c r="J1017" s="14"/>
      <c r="K1017" s="302"/>
    </row>
    <row r="1018" ht="19.5" customHeight="1">
      <c r="A1018" s="12"/>
      <c r="C1018" s="12"/>
      <c r="D1018" s="87"/>
      <c r="F1018" s="14"/>
      <c r="G1018" s="14"/>
      <c r="H1018" s="14"/>
      <c r="I1018" s="14"/>
      <c r="J1018" s="14"/>
      <c r="K1018" s="302"/>
    </row>
    <row r="1019" ht="19.5" customHeight="1">
      <c r="A1019" s="12"/>
      <c r="C1019" s="12"/>
      <c r="D1019" s="87"/>
      <c r="F1019" s="14"/>
      <c r="G1019" s="14"/>
      <c r="H1019" s="14"/>
      <c r="I1019" s="14"/>
      <c r="J1019" s="14"/>
      <c r="K1019" s="302"/>
    </row>
    <row r="1020" ht="19.5" customHeight="1">
      <c r="A1020" s="12"/>
      <c r="C1020" s="12"/>
      <c r="D1020" s="87"/>
      <c r="F1020" s="14"/>
      <c r="G1020" s="14"/>
      <c r="H1020" s="14"/>
      <c r="I1020" s="14"/>
      <c r="J1020" s="14"/>
      <c r="K1020" s="302"/>
    </row>
    <row r="1021" ht="19.5" customHeight="1">
      <c r="A1021" s="12"/>
      <c r="C1021" s="12"/>
      <c r="D1021" s="87"/>
      <c r="F1021" s="14"/>
      <c r="G1021" s="14"/>
      <c r="H1021" s="14"/>
      <c r="I1021" s="14"/>
      <c r="J1021" s="14"/>
      <c r="K1021" s="302"/>
    </row>
    <row r="1022" ht="19.5" customHeight="1">
      <c r="A1022" s="12"/>
      <c r="C1022" s="12"/>
      <c r="D1022" s="87"/>
      <c r="F1022" s="14"/>
      <c r="G1022" s="14"/>
      <c r="H1022" s="14"/>
      <c r="I1022" s="14"/>
      <c r="J1022" s="14"/>
      <c r="K1022" s="302"/>
    </row>
    <row r="1023" ht="19.5" customHeight="1">
      <c r="A1023" s="12"/>
      <c r="C1023" s="12"/>
      <c r="D1023" s="87"/>
      <c r="F1023" s="14"/>
      <c r="G1023" s="14"/>
      <c r="H1023" s="14"/>
      <c r="I1023" s="14"/>
      <c r="J1023" s="14"/>
      <c r="K1023" s="302"/>
    </row>
    <row r="1024" ht="19.5" customHeight="1">
      <c r="A1024" s="12"/>
      <c r="C1024" s="12"/>
      <c r="D1024" s="87"/>
      <c r="F1024" s="14"/>
      <c r="G1024" s="14"/>
      <c r="H1024" s="14"/>
      <c r="I1024" s="14"/>
      <c r="J1024" s="14"/>
      <c r="K1024" s="302"/>
    </row>
    <row r="1025" ht="19.5" customHeight="1">
      <c r="A1025" s="12"/>
      <c r="C1025" s="12"/>
      <c r="D1025" s="87"/>
      <c r="F1025" s="14"/>
      <c r="G1025" s="14"/>
      <c r="H1025" s="14"/>
      <c r="I1025" s="14"/>
      <c r="J1025" s="14"/>
      <c r="K1025" s="302"/>
    </row>
    <row r="1026" ht="19.5" customHeight="1">
      <c r="A1026" s="12"/>
      <c r="C1026" s="12"/>
      <c r="D1026" s="87"/>
      <c r="F1026" s="14"/>
      <c r="G1026" s="14"/>
      <c r="H1026" s="14"/>
      <c r="I1026" s="14"/>
      <c r="J1026" s="14"/>
      <c r="K1026" s="302"/>
    </row>
    <row r="1027" ht="19.5" customHeight="1">
      <c r="A1027" s="12"/>
      <c r="C1027" s="12"/>
      <c r="D1027" s="87"/>
      <c r="F1027" s="14"/>
      <c r="G1027" s="14"/>
      <c r="H1027" s="14"/>
      <c r="I1027" s="14"/>
      <c r="J1027" s="14"/>
      <c r="K1027" s="302"/>
    </row>
    <row r="1028" ht="19.5" customHeight="1">
      <c r="A1028" s="12"/>
      <c r="C1028" s="12"/>
      <c r="D1028" s="87"/>
      <c r="F1028" s="14"/>
      <c r="G1028" s="14"/>
      <c r="H1028" s="14"/>
      <c r="I1028" s="14"/>
      <c r="J1028" s="14"/>
      <c r="K1028" s="302"/>
    </row>
    <row r="1029" ht="19.5" customHeight="1">
      <c r="A1029" s="12"/>
      <c r="C1029" s="12"/>
      <c r="D1029" s="87"/>
      <c r="F1029" s="14"/>
      <c r="G1029" s="14"/>
      <c r="H1029" s="14"/>
      <c r="I1029" s="14"/>
      <c r="J1029" s="14"/>
      <c r="K1029" s="302"/>
    </row>
    <row r="1030" ht="19.5" customHeight="1">
      <c r="A1030" s="12"/>
      <c r="C1030" s="12"/>
      <c r="D1030" s="87"/>
      <c r="F1030" s="14"/>
      <c r="G1030" s="14"/>
      <c r="H1030" s="14"/>
      <c r="I1030" s="14"/>
      <c r="J1030" s="14"/>
      <c r="K1030" s="302"/>
    </row>
    <row r="1031" ht="19.5" customHeight="1">
      <c r="A1031" s="12"/>
      <c r="C1031" s="12"/>
      <c r="D1031" s="87"/>
      <c r="F1031" s="14"/>
      <c r="G1031" s="14"/>
      <c r="H1031" s="14"/>
      <c r="I1031" s="14"/>
      <c r="J1031" s="14"/>
      <c r="K1031" s="302"/>
    </row>
    <row r="1032" ht="19.5" customHeight="1">
      <c r="A1032" s="12"/>
      <c r="C1032" s="12"/>
      <c r="D1032" s="87"/>
      <c r="F1032" s="14"/>
      <c r="G1032" s="14"/>
      <c r="H1032" s="14"/>
      <c r="I1032" s="14"/>
      <c r="J1032" s="14"/>
      <c r="K1032" s="302"/>
    </row>
    <row r="1033" ht="19.5" customHeight="1">
      <c r="A1033" s="12"/>
      <c r="C1033" s="12"/>
      <c r="D1033" s="87"/>
      <c r="F1033" s="14"/>
      <c r="G1033" s="14"/>
      <c r="H1033" s="14"/>
      <c r="I1033" s="14"/>
      <c r="J1033" s="14"/>
      <c r="K1033" s="302"/>
    </row>
    <row r="1034" ht="19.5" customHeight="1">
      <c r="A1034" s="12"/>
      <c r="C1034" s="12"/>
      <c r="D1034" s="87"/>
      <c r="F1034" s="14"/>
      <c r="G1034" s="14"/>
      <c r="H1034" s="14"/>
      <c r="I1034" s="14"/>
      <c r="J1034" s="14"/>
      <c r="K1034" s="302"/>
    </row>
    <row r="1035" ht="19.5" customHeight="1">
      <c r="A1035" s="12"/>
      <c r="C1035" s="12"/>
      <c r="D1035" s="87"/>
      <c r="F1035" s="14"/>
      <c r="G1035" s="14"/>
      <c r="H1035" s="14"/>
      <c r="I1035" s="14"/>
      <c r="J1035" s="14"/>
      <c r="K1035" s="302"/>
    </row>
    <row r="1036" ht="19.5" customHeight="1">
      <c r="A1036" s="12"/>
      <c r="C1036" s="12"/>
      <c r="D1036" s="87"/>
      <c r="F1036" s="14"/>
      <c r="G1036" s="14"/>
      <c r="H1036" s="14"/>
      <c r="I1036" s="14"/>
      <c r="J1036" s="14"/>
      <c r="K1036" s="302"/>
    </row>
    <row r="1037" ht="19.5" customHeight="1">
      <c r="A1037" s="12"/>
      <c r="C1037" s="12"/>
      <c r="D1037" s="87"/>
      <c r="F1037" s="14"/>
      <c r="G1037" s="14"/>
      <c r="H1037" s="14"/>
      <c r="I1037" s="14"/>
      <c r="J1037" s="14"/>
      <c r="K1037" s="302"/>
    </row>
    <row r="1038" ht="19.5" customHeight="1">
      <c r="A1038" s="12"/>
      <c r="C1038" s="12"/>
      <c r="D1038" s="87"/>
      <c r="F1038" s="14"/>
      <c r="G1038" s="14"/>
      <c r="H1038" s="14"/>
      <c r="I1038" s="14"/>
      <c r="J1038" s="14"/>
      <c r="K1038" s="302"/>
    </row>
    <row r="1039" ht="19.5" customHeight="1">
      <c r="A1039" s="12"/>
      <c r="C1039" s="12"/>
      <c r="D1039" s="87"/>
      <c r="F1039" s="14"/>
      <c r="G1039" s="14"/>
      <c r="H1039" s="14"/>
      <c r="I1039" s="14"/>
      <c r="J1039" s="14"/>
      <c r="K1039" s="302"/>
    </row>
    <row r="1040" ht="19.5" customHeight="1">
      <c r="A1040" s="12"/>
      <c r="C1040" s="12"/>
      <c r="D1040" s="87"/>
      <c r="F1040" s="14"/>
      <c r="G1040" s="14"/>
      <c r="H1040" s="14"/>
      <c r="I1040" s="14"/>
      <c r="J1040" s="14"/>
      <c r="K1040" s="302"/>
    </row>
    <row r="1041" ht="19.5" customHeight="1">
      <c r="A1041" s="12"/>
      <c r="C1041" s="12"/>
      <c r="D1041" s="87"/>
      <c r="F1041" s="14"/>
      <c r="G1041" s="14"/>
      <c r="H1041" s="14"/>
      <c r="I1041" s="14"/>
      <c r="J1041" s="14"/>
      <c r="K1041" s="302"/>
    </row>
    <row r="1042" ht="19.5" customHeight="1">
      <c r="A1042" s="12"/>
      <c r="C1042" s="12"/>
      <c r="D1042" s="87"/>
      <c r="F1042" s="14"/>
      <c r="G1042" s="14"/>
      <c r="H1042" s="14"/>
      <c r="I1042" s="14"/>
      <c r="J1042" s="14"/>
      <c r="K1042" s="302"/>
    </row>
    <row r="1043" ht="19.5" customHeight="1">
      <c r="A1043" s="12"/>
      <c r="C1043" s="12"/>
      <c r="D1043" s="87"/>
      <c r="F1043" s="14"/>
      <c r="G1043" s="14"/>
      <c r="H1043" s="14"/>
      <c r="I1043" s="14"/>
      <c r="J1043" s="14"/>
      <c r="K1043" s="302"/>
    </row>
    <row r="1044" ht="19.5" customHeight="1">
      <c r="A1044" s="12"/>
      <c r="C1044" s="12"/>
      <c r="D1044" s="87"/>
      <c r="F1044" s="14"/>
      <c r="G1044" s="14"/>
      <c r="H1044" s="14"/>
      <c r="I1044" s="14"/>
      <c r="J1044" s="14"/>
      <c r="K1044" s="302"/>
    </row>
    <row r="1045" ht="19.5" customHeight="1">
      <c r="A1045" s="12"/>
      <c r="C1045" s="12"/>
      <c r="D1045" s="87"/>
      <c r="F1045" s="14"/>
      <c r="G1045" s="14"/>
      <c r="H1045" s="14"/>
      <c r="I1045" s="14"/>
      <c r="J1045" s="14"/>
      <c r="K1045" s="302"/>
    </row>
    <row r="1046" ht="19.5" customHeight="1">
      <c r="A1046" s="12"/>
      <c r="C1046" s="12"/>
      <c r="D1046" s="87"/>
      <c r="F1046" s="14"/>
      <c r="G1046" s="14"/>
      <c r="H1046" s="14"/>
      <c r="I1046" s="14"/>
      <c r="J1046" s="14"/>
      <c r="K1046" s="302"/>
    </row>
    <row r="1047" ht="19.5" customHeight="1">
      <c r="A1047" s="12"/>
      <c r="C1047" s="12"/>
      <c r="D1047" s="87"/>
      <c r="F1047" s="14"/>
      <c r="G1047" s="14"/>
      <c r="H1047" s="14"/>
      <c r="I1047" s="14"/>
      <c r="J1047" s="14"/>
      <c r="K1047" s="302"/>
    </row>
    <row r="1048" ht="19.5" customHeight="1">
      <c r="A1048" s="12"/>
      <c r="C1048" s="12"/>
      <c r="D1048" s="87"/>
      <c r="F1048" s="14"/>
      <c r="G1048" s="14"/>
      <c r="H1048" s="14"/>
      <c r="I1048" s="14"/>
      <c r="J1048" s="14"/>
      <c r="K1048" s="302"/>
    </row>
    <row r="1049" ht="19.5" customHeight="1">
      <c r="A1049" s="12"/>
      <c r="C1049" s="12"/>
      <c r="D1049" s="87"/>
      <c r="F1049" s="14"/>
      <c r="G1049" s="14"/>
      <c r="H1049" s="14"/>
      <c r="I1049" s="14"/>
      <c r="J1049" s="14"/>
      <c r="K1049" s="302"/>
    </row>
    <row r="1050" ht="19.5" customHeight="1">
      <c r="A1050" s="12"/>
      <c r="C1050" s="12"/>
      <c r="D1050" s="87"/>
      <c r="F1050" s="14"/>
      <c r="G1050" s="14"/>
      <c r="H1050" s="14"/>
      <c r="I1050" s="14"/>
      <c r="J1050" s="14"/>
      <c r="K1050" s="302"/>
    </row>
    <row r="1051" ht="19.5" customHeight="1">
      <c r="A1051" s="12"/>
      <c r="C1051" s="12"/>
      <c r="D1051" s="87"/>
      <c r="F1051" s="14"/>
      <c r="G1051" s="14"/>
      <c r="H1051" s="14"/>
      <c r="I1051" s="14"/>
      <c r="J1051" s="14"/>
      <c r="K1051" s="302"/>
    </row>
    <row r="1052" ht="19.5" customHeight="1">
      <c r="A1052" s="12"/>
      <c r="C1052" s="12"/>
      <c r="D1052" s="87"/>
      <c r="F1052" s="14"/>
      <c r="G1052" s="14"/>
      <c r="H1052" s="14"/>
      <c r="I1052" s="14"/>
      <c r="J1052" s="14"/>
      <c r="K1052" s="302"/>
    </row>
    <row r="1053" ht="19.5" customHeight="1">
      <c r="A1053" s="12"/>
      <c r="C1053" s="12"/>
      <c r="D1053" s="87"/>
      <c r="F1053" s="14"/>
      <c r="G1053" s="14"/>
      <c r="H1053" s="14"/>
      <c r="I1053" s="14"/>
      <c r="J1053" s="14"/>
      <c r="K1053" s="302"/>
    </row>
    <row r="1054" ht="19.5" customHeight="1">
      <c r="A1054" s="12"/>
      <c r="C1054" s="12"/>
      <c r="D1054" s="87"/>
      <c r="F1054" s="14"/>
      <c r="G1054" s="14"/>
      <c r="H1054" s="14"/>
      <c r="I1054" s="14"/>
      <c r="J1054" s="14"/>
      <c r="K1054" s="302"/>
    </row>
    <row r="1055" ht="19.5" customHeight="1">
      <c r="A1055" s="12"/>
      <c r="C1055" s="12"/>
      <c r="D1055" s="87"/>
      <c r="F1055" s="14"/>
      <c r="G1055" s="14"/>
      <c r="H1055" s="14"/>
      <c r="I1055" s="14"/>
      <c r="J1055" s="14"/>
      <c r="K1055" s="302"/>
    </row>
    <row r="1056" ht="19.5" customHeight="1">
      <c r="A1056" s="12"/>
      <c r="C1056" s="12"/>
      <c r="D1056" s="87"/>
      <c r="F1056" s="14"/>
      <c r="G1056" s="14"/>
      <c r="H1056" s="14"/>
      <c r="I1056" s="14"/>
      <c r="J1056" s="14"/>
      <c r="K1056" s="302"/>
    </row>
    <row r="1057" ht="19.5" customHeight="1">
      <c r="A1057" s="12"/>
      <c r="C1057" s="12"/>
      <c r="D1057" s="87"/>
      <c r="F1057" s="14"/>
      <c r="G1057" s="14"/>
      <c r="H1057" s="14"/>
      <c r="I1057" s="14"/>
      <c r="J1057" s="14"/>
      <c r="K1057" s="302"/>
    </row>
    <row r="1058" ht="19.5" customHeight="1">
      <c r="A1058" s="12"/>
      <c r="C1058" s="12"/>
      <c r="D1058" s="87"/>
      <c r="F1058" s="14"/>
      <c r="G1058" s="14"/>
      <c r="H1058" s="14"/>
      <c r="I1058" s="14"/>
      <c r="J1058" s="14"/>
      <c r="K1058" s="302"/>
    </row>
    <row r="1059" ht="19.5" customHeight="1">
      <c r="A1059" s="12"/>
      <c r="C1059" s="12"/>
      <c r="D1059" s="87"/>
      <c r="F1059" s="14"/>
      <c r="G1059" s="14"/>
      <c r="H1059" s="14"/>
      <c r="I1059" s="14"/>
      <c r="J1059" s="14"/>
      <c r="K1059" s="302"/>
    </row>
    <row r="1060" ht="19.5" customHeight="1">
      <c r="A1060" s="12"/>
      <c r="C1060" s="12"/>
      <c r="D1060" s="87"/>
      <c r="F1060" s="14"/>
      <c r="G1060" s="14"/>
      <c r="H1060" s="14"/>
      <c r="I1060" s="14"/>
      <c r="J1060" s="14"/>
      <c r="K1060" s="302"/>
    </row>
    <row r="1061" ht="19.5" customHeight="1">
      <c r="A1061" s="12"/>
      <c r="C1061" s="12"/>
      <c r="D1061" s="87"/>
      <c r="F1061" s="14"/>
      <c r="G1061" s="14"/>
      <c r="H1061" s="14"/>
      <c r="I1061" s="14"/>
      <c r="J1061" s="14"/>
      <c r="K1061" s="302"/>
    </row>
    <row r="1062" ht="19.5" customHeight="1">
      <c r="A1062" s="12"/>
      <c r="C1062" s="12"/>
      <c r="D1062" s="87"/>
      <c r="F1062" s="14"/>
      <c r="G1062" s="14"/>
      <c r="H1062" s="14"/>
      <c r="I1062" s="14"/>
      <c r="J1062" s="14"/>
      <c r="K1062" s="302"/>
    </row>
    <row r="1063" ht="19.5" customHeight="1">
      <c r="A1063" s="12"/>
      <c r="C1063" s="12"/>
      <c r="D1063" s="87"/>
      <c r="F1063" s="14"/>
      <c r="G1063" s="14"/>
      <c r="H1063" s="14"/>
      <c r="I1063" s="14"/>
      <c r="J1063" s="14"/>
      <c r="K1063" s="302"/>
    </row>
    <row r="1064" ht="19.5" customHeight="1">
      <c r="A1064" s="12"/>
      <c r="C1064" s="12"/>
      <c r="D1064" s="87"/>
      <c r="F1064" s="14"/>
      <c r="G1064" s="14"/>
      <c r="H1064" s="14"/>
      <c r="I1064" s="14"/>
      <c r="J1064" s="14"/>
      <c r="K1064" s="302"/>
    </row>
    <row r="1065" ht="19.5" customHeight="1">
      <c r="A1065" s="12"/>
      <c r="C1065" s="12"/>
      <c r="D1065" s="87"/>
      <c r="F1065" s="14"/>
      <c r="G1065" s="14"/>
      <c r="H1065" s="14"/>
      <c r="I1065" s="14"/>
      <c r="J1065" s="14"/>
      <c r="K1065" s="302"/>
    </row>
    <row r="1066" ht="19.5" customHeight="1">
      <c r="A1066" s="12"/>
      <c r="C1066" s="12"/>
      <c r="D1066" s="87"/>
      <c r="F1066" s="14"/>
      <c r="G1066" s="14"/>
      <c r="H1066" s="14"/>
      <c r="I1066" s="14"/>
      <c r="J1066" s="14"/>
      <c r="K1066" s="302"/>
    </row>
    <row r="1067" ht="19.5" customHeight="1">
      <c r="A1067" s="12"/>
      <c r="C1067" s="12"/>
      <c r="D1067" s="87"/>
      <c r="F1067" s="14"/>
      <c r="G1067" s="14"/>
      <c r="H1067" s="14"/>
      <c r="I1067" s="14"/>
      <c r="J1067" s="14"/>
      <c r="K1067" s="302"/>
    </row>
    <row r="1068" ht="19.5" customHeight="1">
      <c r="A1068" s="12"/>
      <c r="C1068" s="12"/>
      <c r="D1068" s="87"/>
      <c r="F1068" s="14"/>
      <c r="G1068" s="14"/>
      <c r="H1068" s="14"/>
      <c r="I1068" s="14"/>
      <c r="J1068" s="14"/>
      <c r="K1068" s="302"/>
    </row>
    <row r="1069" ht="19.5" customHeight="1">
      <c r="A1069" s="12"/>
      <c r="C1069" s="12"/>
      <c r="D1069" s="87"/>
      <c r="F1069" s="14"/>
      <c r="G1069" s="14"/>
      <c r="H1069" s="14"/>
      <c r="I1069" s="14"/>
      <c r="J1069" s="14"/>
      <c r="K1069" s="302"/>
    </row>
    <row r="1070" ht="19.5" customHeight="1">
      <c r="A1070" s="12"/>
      <c r="C1070" s="12"/>
      <c r="D1070" s="87"/>
      <c r="F1070" s="14"/>
      <c r="G1070" s="14"/>
      <c r="H1070" s="14"/>
      <c r="I1070" s="14"/>
      <c r="J1070" s="14"/>
      <c r="K1070" s="302"/>
    </row>
    <row r="1071" ht="19.5" customHeight="1">
      <c r="A1071" s="12"/>
      <c r="C1071" s="12"/>
      <c r="D1071" s="87"/>
      <c r="F1071" s="14"/>
      <c r="G1071" s="14"/>
      <c r="H1071" s="14"/>
      <c r="I1071" s="14"/>
      <c r="J1071" s="14"/>
      <c r="K1071" s="302"/>
    </row>
    <row r="1072" ht="19.5" customHeight="1">
      <c r="A1072" s="12"/>
      <c r="C1072" s="12"/>
      <c r="D1072" s="87"/>
      <c r="F1072" s="14"/>
      <c r="G1072" s="14"/>
      <c r="H1072" s="14"/>
      <c r="I1072" s="14"/>
      <c r="J1072" s="14"/>
      <c r="K1072" s="302"/>
    </row>
    <row r="1073" ht="19.5" customHeight="1">
      <c r="A1073" s="12"/>
      <c r="C1073" s="12"/>
      <c r="D1073" s="87"/>
      <c r="F1073" s="14"/>
      <c r="G1073" s="14"/>
      <c r="H1073" s="14"/>
      <c r="I1073" s="14"/>
      <c r="J1073" s="14"/>
      <c r="K1073" s="302"/>
    </row>
    <row r="1074" ht="19.5" customHeight="1">
      <c r="A1074" s="12"/>
      <c r="C1074" s="12"/>
      <c r="D1074" s="87"/>
      <c r="F1074" s="14"/>
      <c r="G1074" s="14"/>
      <c r="H1074" s="14"/>
      <c r="I1074" s="14"/>
      <c r="J1074" s="14"/>
      <c r="K1074" s="302"/>
    </row>
    <row r="1075" ht="19.5" customHeight="1">
      <c r="A1075" s="12"/>
      <c r="C1075" s="12"/>
      <c r="D1075" s="87"/>
      <c r="F1075" s="14"/>
      <c r="G1075" s="14"/>
      <c r="H1075" s="14"/>
      <c r="I1075" s="14"/>
      <c r="J1075" s="14"/>
      <c r="K1075" s="302"/>
    </row>
    <row r="1076" ht="19.5" customHeight="1">
      <c r="A1076" s="12"/>
      <c r="C1076" s="12"/>
      <c r="D1076" s="87"/>
      <c r="F1076" s="14"/>
      <c r="G1076" s="14"/>
      <c r="H1076" s="14"/>
      <c r="I1076" s="14"/>
      <c r="J1076" s="14"/>
      <c r="K1076" s="302"/>
    </row>
    <row r="1077" ht="19.5" customHeight="1">
      <c r="A1077" s="12"/>
      <c r="C1077" s="12"/>
      <c r="D1077" s="87"/>
      <c r="F1077" s="14"/>
      <c r="G1077" s="14"/>
      <c r="H1077" s="14"/>
      <c r="I1077" s="14"/>
      <c r="J1077" s="14"/>
      <c r="K1077" s="302"/>
    </row>
    <row r="1078" ht="19.5" customHeight="1">
      <c r="A1078" s="12"/>
      <c r="C1078" s="12"/>
      <c r="D1078" s="87"/>
      <c r="F1078" s="14"/>
      <c r="G1078" s="14"/>
      <c r="H1078" s="14"/>
      <c r="I1078" s="14"/>
      <c r="J1078" s="14"/>
      <c r="K1078" s="302"/>
    </row>
    <row r="1079" ht="19.5" customHeight="1">
      <c r="A1079" s="12"/>
      <c r="C1079" s="12"/>
      <c r="D1079" s="87"/>
      <c r="F1079" s="14"/>
      <c r="G1079" s="14"/>
      <c r="H1079" s="14"/>
      <c r="I1079" s="14"/>
      <c r="J1079" s="14"/>
      <c r="K1079" s="302"/>
    </row>
    <row r="1080" ht="19.5" customHeight="1">
      <c r="A1080" s="12"/>
      <c r="C1080" s="12"/>
      <c r="D1080" s="87"/>
      <c r="F1080" s="14"/>
      <c r="G1080" s="14"/>
      <c r="H1080" s="14"/>
      <c r="I1080" s="14"/>
      <c r="J1080" s="14"/>
      <c r="K1080" s="302"/>
    </row>
    <row r="1081" ht="19.5" customHeight="1">
      <c r="A1081" s="12"/>
      <c r="C1081" s="12"/>
      <c r="D1081" s="87"/>
      <c r="F1081" s="14"/>
      <c r="G1081" s="14"/>
      <c r="H1081" s="14"/>
      <c r="I1081" s="14"/>
      <c r="J1081" s="14"/>
      <c r="K1081" s="302"/>
    </row>
    <row r="1082" ht="19.5" customHeight="1">
      <c r="A1082" s="12"/>
      <c r="C1082" s="12"/>
      <c r="D1082" s="87"/>
      <c r="F1082" s="14"/>
      <c r="G1082" s="14"/>
      <c r="H1082" s="14"/>
      <c r="I1082" s="14"/>
      <c r="J1082" s="14"/>
      <c r="K1082" s="302"/>
    </row>
    <row r="1083" ht="19.5" customHeight="1">
      <c r="A1083" s="12"/>
      <c r="C1083" s="12"/>
      <c r="D1083" s="87"/>
      <c r="F1083" s="14"/>
      <c r="G1083" s="14"/>
      <c r="H1083" s="14"/>
      <c r="I1083" s="14"/>
      <c r="J1083" s="14"/>
      <c r="K1083" s="302"/>
    </row>
    <row r="1084" ht="19.5" customHeight="1">
      <c r="A1084" s="12"/>
      <c r="C1084" s="12"/>
      <c r="D1084" s="87"/>
      <c r="F1084" s="14"/>
      <c r="G1084" s="14"/>
      <c r="H1084" s="14"/>
      <c r="I1084" s="14"/>
      <c r="J1084" s="14"/>
      <c r="K1084" s="302"/>
    </row>
    <row r="1085" ht="19.5" customHeight="1">
      <c r="A1085" s="12"/>
      <c r="C1085" s="12"/>
      <c r="D1085" s="87"/>
      <c r="F1085" s="14"/>
      <c r="G1085" s="14"/>
      <c r="H1085" s="14"/>
      <c r="I1085" s="14"/>
      <c r="J1085" s="14"/>
      <c r="K1085" s="302"/>
    </row>
    <row r="1086" ht="19.5" customHeight="1">
      <c r="A1086" s="12"/>
      <c r="C1086" s="12"/>
      <c r="D1086" s="87"/>
      <c r="F1086" s="14"/>
      <c r="G1086" s="14"/>
      <c r="H1086" s="14"/>
      <c r="I1086" s="14"/>
      <c r="J1086" s="14"/>
      <c r="K1086" s="302"/>
    </row>
    <row r="1087" ht="19.5" customHeight="1">
      <c r="A1087" s="12"/>
      <c r="C1087" s="12"/>
      <c r="D1087" s="87"/>
      <c r="F1087" s="14"/>
      <c r="G1087" s="14"/>
      <c r="H1087" s="14"/>
      <c r="I1087" s="14"/>
      <c r="J1087" s="14"/>
      <c r="K1087" s="302"/>
    </row>
    <row r="1088" ht="19.5" customHeight="1">
      <c r="A1088" s="12"/>
      <c r="C1088" s="12"/>
      <c r="D1088" s="87"/>
      <c r="F1088" s="14"/>
      <c r="G1088" s="14"/>
      <c r="H1088" s="14"/>
      <c r="I1088" s="14"/>
      <c r="J1088" s="14"/>
      <c r="K1088" s="302"/>
    </row>
    <row r="1089" ht="19.5" customHeight="1">
      <c r="A1089" s="12"/>
      <c r="C1089" s="12"/>
      <c r="D1089" s="87"/>
      <c r="F1089" s="14"/>
      <c r="G1089" s="14"/>
      <c r="H1089" s="14"/>
      <c r="I1089" s="14"/>
      <c r="J1089" s="14"/>
      <c r="K1089" s="302"/>
    </row>
    <row r="1090" ht="19.5" customHeight="1">
      <c r="A1090" s="12"/>
      <c r="C1090" s="12"/>
      <c r="D1090" s="87"/>
      <c r="F1090" s="14"/>
      <c r="G1090" s="14"/>
      <c r="H1090" s="14"/>
      <c r="I1090" s="14"/>
      <c r="J1090" s="14"/>
      <c r="K1090" s="302"/>
    </row>
    <row r="1091" ht="19.5" customHeight="1">
      <c r="A1091" s="12"/>
      <c r="C1091" s="12"/>
      <c r="D1091" s="87"/>
      <c r="F1091" s="14"/>
      <c r="G1091" s="14"/>
      <c r="H1091" s="14"/>
      <c r="I1091" s="14"/>
      <c r="J1091" s="14"/>
      <c r="K1091" s="302"/>
    </row>
    <row r="1092" ht="19.5" customHeight="1">
      <c r="A1092" s="12"/>
      <c r="C1092" s="12"/>
      <c r="D1092" s="87"/>
      <c r="F1092" s="14"/>
      <c r="G1092" s="14"/>
      <c r="H1092" s="14"/>
      <c r="I1092" s="14"/>
      <c r="J1092" s="14"/>
      <c r="K1092" s="302"/>
    </row>
    <row r="1093" ht="19.5" customHeight="1">
      <c r="A1093" s="12"/>
      <c r="C1093" s="12"/>
      <c r="D1093" s="87"/>
      <c r="F1093" s="14"/>
      <c r="G1093" s="14"/>
      <c r="H1093" s="14"/>
      <c r="I1093" s="14"/>
      <c r="J1093" s="14"/>
      <c r="K1093" s="302"/>
    </row>
    <row r="1094" ht="19.5" customHeight="1">
      <c r="A1094" s="12"/>
      <c r="C1094" s="12"/>
      <c r="D1094" s="87"/>
      <c r="F1094" s="14"/>
      <c r="G1094" s="14"/>
      <c r="H1094" s="14"/>
      <c r="I1094" s="14"/>
      <c r="J1094" s="14"/>
      <c r="K1094" s="302"/>
    </row>
    <row r="1095" ht="19.5" customHeight="1">
      <c r="A1095" s="12"/>
      <c r="C1095" s="12"/>
      <c r="D1095" s="87"/>
      <c r="F1095" s="14"/>
      <c r="G1095" s="14"/>
      <c r="H1095" s="14"/>
      <c r="I1095" s="14"/>
      <c r="J1095" s="14"/>
      <c r="K1095" s="302"/>
    </row>
    <row r="1096" ht="19.5" customHeight="1">
      <c r="A1096" s="12"/>
      <c r="C1096" s="12"/>
      <c r="D1096" s="87"/>
      <c r="F1096" s="14"/>
      <c r="G1096" s="14"/>
      <c r="H1096" s="14"/>
      <c r="I1096" s="14"/>
      <c r="J1096" s="14"/>
      <c r="K1096" s="302"/>
    </row>
    <row r="1097" ht="19.5" customHeight="1">
      <c r="A1097" s="12"/>
      <c r="C1097" s="12"/>
      <c r="D1097" s="87"/>
      <c r="F1097" s="14"/>
      <c r="G1097" s="14"/>
      <c r="H1097" s="14"/>
      <c r="I1097" s="14"/>
      <c r="J1097" s="14"/>
      <c r="K1097" s="302"/>
    </row>
    <row r="1098" ht="19.5" customHeight="1">
      <c r="A1098" s="12"/>
      <c r="C1098" s="12"/>
      <c r="D1098" s="87"/>
      <c r="F1098" s="14"/>
      <c r="G1098" s="14"/>
      <c r="H1098" s="14"/>
      <c r="I1098" s="14"/>
      <c r="J1098" s="14"/>
      <c r="K1098" s="302"/>
    </row>
    <row r="1099" ht="19.5" customHeight="1">
      <c r="A1099" s="12"/>
      <c r="C1099" s="12"/>
      <c r="D1099" s="87"/>
      <c r="F1099" s="14"/>
      <c r="G1099" s="14"/>
      <c r="H1099" s="14"/>
      <c r="I1099" s="14"/>
      <c r="J1099" s="14"/>
      <c r="K1099" s="302"/>
    </row>
    <row r="1100" ht="19.5" customHeight="1">
      <c r="A1100" s="12"/>
      <c r="C1100" s="12"/>
      <c r="D1100" s="87"/>
      <c r="F1100" s="14"/>
      <c r="G1100" s="14"/>
      <c r="H1100" s="14"/>
      <c r="I1100" s="14"/>
      <c r="J1100" s="14"/>
      <c r="K1100" s="302"/>
    </row>
    <row r="1101" ht="19.5" customHeight="1">
      <c r="A1101" s="12"/>
      <c r="C1101" s="12"/>
      <c r="D1101" s="87"/>
      <c r="F1101" s="14"/>
      <c r="G1101" s="14"/>
      <c r="H1101" s="14"/>
      <c r="I1101" s="14"/>
      <c r="J1101" s="14"/>
      <c r="K1101" s="302"/>
    </row>
    <row r="1102" ht="19.5" customHeight="1">
      <c r="A1102" s="12"/>
      <c r="C1102" s="12"/>
      <c r="D1102" s="87"/>
      <c r="F1102" s="14"/>
      <c r="G1102" s="14"/>
      <c r="H1102" s="14"/>
      <c r="I1102" s="14"/>
      <c r="J1102" s="14"/>
      <c r="K1102" s="302"/>
    </row>
    <row r="1103" ht="19.5" customHeight="1">
      <c r="A1103" s="12"/>
      <c r="C1103" s="12"/>
      <c r="D1103" s="87"/>
      <c r="F1103" s="14"/>
      <c r="G1103" s="14"/>
      <c r="H1103" s="14"/>
      <c r="I1103" s="14"/>
      <c r="J1103" s="14"/>
      <c r="K1103" s="302"/>
    </row>
  </sheetData>
  <mergeCells count="12">
    <mergeCell ref="J162:J163"/>
    <mergeCell ref="J166:J167"/>
    <mergeCell ref="J178:J179"/>
    <mergeCell ref="J180:J184"/>
    <mergeCell ref="J270:J271"/>
    <mergeCell ref="A6:K6"/>
    <mergeCell ref="A7:K7"/>
    <mergeCell ref="A8:K8"/>
    <mergeCell ref="A9:K9"/>
    <mergeCell ref="A89:K89"/>
    <mergeCell ref="J135:J141"/>
    <mergeCell ref="J143:J150"/>
  </mergeCells>
  <printOptions/>
  <pageMargins bottom="0.787401575" footer="0.0" header="0.0" left="0.511811024" right="0.511811024" top="0.787401575"/>
  <pageSetup paperSize="9" scale="80"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/>
  </sheetPr>
  <sheetViews>
    <sheetView workbookViewId="0"/>
  </sheetViews>
  <sheetFormatPr customHeight="1" defaultColWidth="12.63" defaultRowHeight="15.0"/>
  <cols>
    <col customWidth="1" min="1" max="1" width="19.38"/>
    <col customWidth="1" min="2" max="2" width="46.75"/>
    <col customWidth="1" min="3" max="3" width="12.88"/>
    <col customWidth="1" min="4" max="4" width="15.75"/>
    <col customWidth="1" min="5" max="5" width="19.75"/>
    <col customWidth="1" min="6" max="6" width="15.25"/>
    <col customWidth="1" min="7" max="7" width="14.88"/>
    <col customWidth="1" min="8" max="8" width="15.63"/>
    <col customWidth="1" min="9" max="9" width="13.75"/>
    <col customWidth="1" min="10" max="10" width="12.38"/>
    <col customWidth="1" min="11" max="11" width="32.38"/>
    <col customWidth="1" min="12" max="26" width="8.63"/>
  </cols>
  <sheetData>
    <row r="1" ht="19.5" customHeight="1">
      <c r="A1" s="4"/>
      <c r="B1" s="5"/>
      <c r="C1" s="6"/>
      <c r="D1" s="86"/>
      <c r="E1" s="5"/>
      <c r="F1" s="8"/>
      <c r="G1" s="8"/>
      <c r="H1" s="8"/>
      <c r="I1" s="8"/>
      <c r="J1" s="8"/>
      <c r="K1" s="222"/>
    </row>
    <row r="2" ht="19.5" customHeight="1">
      <c r="A2" s="10" t="s">
        <v>83</v>
      </c>
      <c r="B2" s="11" t="s">
        <v>84</v>
      </c>
      <c r="C2" s="12"/>
      <c r="D2" s="87"/>
      <c r="F2" s="14"/>
      <c r="G2" s="14"/>
      <c r="H2" s="14"/>
      <c r="I2" s="14"/>
      <c r="J2" s="17" t="s">
        <v>144</v>
      </c>
      <c r="K2" s="223"/>
    </row>
    <row r="3" ht="19.5" customHeight="1">
      <c r="A3" s="10" t="s">
        <v>86</v>
      </c>
      <c r="B3" s="11" t="s">
        <v>87</v>
      </c>
      <c r="C3" s="12"/>
      <c r="D3" s="87"/>
      <c r="F3" s="14"/>
      <c r="G3" s="14"/>
      <c r="H3" s="14"/>
      <c r="I3" s="14"/>
      <c r="J3" s="14"/>
      <c r="K3" s="223"/>
    </row>
    <row r="4" ht="19.5" customHeight="1">
      <c r="A4" s="19"/>
      <c r="C4" s="12"/>
      <c r="D4" s="87"/>
      <c r="F4" s="14"/>
      <c r="G4" s="14"/>
      <c r="H4" s="14"/>
      <c r="I4" s="14"/>
      <c r="J4" s="14"/>
      <c r="K4" s="223"/>
    </row>
    <row r="5" ht="19.5" customHeight="1">
      <c r="A5" s="19"/>
      <c r="C5" s="12"/>
      <c r="D5" s="87"/>
      <c r="F5" s="14"/>
      <c r="G5" s="14"/>
      <c r="H5" s="14"/>
      <c r="I5" s="14"/>
      <c r="J5" s="14"/>
      <c r="K5" s="223"/>
    </row>
    <row r="6" ht="200.25" customHeight="1">
      <c r="A6" s="20" t="s">
        <v>702</v>
      </c>
      <c r="K6" s="21"/>
    </row>
    <row r="7" ht="64.5" customHeight="1">
      <c r="A7" s="22" t="s">
        <v>900</v>
      </c>
      <c r="K7" s="21"/>
    </row>
    <row r="8" ht="37.5" customHeight="1">
      <c r="A8" s="224" t="s">
        <v>90</v>
      </c>
      <c r="B8" s="225"/>
      <c r="C8" s="225"/>
      <c r="D8" s="225"/>
      <c r="E8" s="225"/>
      <c r="F8" s="225"/>
      <c r="G8" s="225"/>
      <c r="H8" s="225"/>
      <c r="I8" s="225"/>
      <c r="J8" s="225"/>
      <c r="K8" s="226"/>
    </row>
    <row r="9" ht="19.5" customHeight="1">
      <c r="A9" s="227" t="s">
        <v>643</v>
      </c>
      <c r="B9" s="28"/>
      <c r="C9" s="28"/>
      <c r="D9" s="28"/>
      <c r="E9" s="28"/>
      <c r="F9" s="28"/>
      <c r="G9" s="28"/>
      <c r="H9" s="28"/>
      <c r="I9" s="28"/>
      <c r="J9" s="28"/>
      <c r="K9" s="29"/>
    </row>
    <row r="10" ht="19.5" customHeight="1">
      <c r="A10" s="99" t="s">
        <v>1</v>
      </c>
      <c r="B10" s="99" t="s">
        <v>644</v>
      </c>
      <c r="C10" s="99" t="s">
        <v>645</v>
      </c>
      <c r="D10" s="177" t="s">
        <v>646</v>
      </c>
      <c r="E10" s="51" t="s">
        <v>99</v>
      </c>
      <c r="F10" s="52" t="s">
        <v>648</v>
      </c>
      <c r="G10" s="52" t="s">
        <v>649</v>
      </c>
      <c r="H10" s="178" t="s">
        <v>650</v>
      </c>
      <c r="I10" s="178" t="s">
        <v>651</v>
      </c>
      <c r="J10" s="177" t="s">
        <v>652</v>
      </c>
      <c r="K10" s="179" t="s">
        <v>888</v>
      </c>
    </row>
    <row r="11" ht="19.5" customHeight="1">
      <c r="A11" s="203"/>
      <c r="B11" s="194" t="s">
        <v>398</v>
      </c>
      <c r="C11" s="228">
        <v>1.0</v>
      </c>
      <c r="D11" s="229">
        <v>0.65</v>
      </c>
      <c r="E11" s="228">
        <v>0.65</v>
      </c>
      <c r="F11" s="228">
        <v>0.3</v>
      </c>
      <c r="G11" s="228">
        <v>0.85</v>
      </c>
      <c r="H11" s="230">
        <f t="shared" ref="H11:H16" si="1">C11*(D11+0.4)*(E11+0.4)*G11</f>
        <v>0.937125</v>
      </c>
      <c r="I11" s="230">
        <f t="shared" ref="I11:I16" si="2">C11*D11*E11</f>
        <v>0.4225</v>
      </c>
      <c r="J11" s="230">
        <f t="shared" ref="J11:J16" si="3">C11*((D11+E11)*2)*F11</f>
        <v>0.78</v>
      </c>
      <c r="K11" s="23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</row>
    <row r="12" ht="19.5" customHeight="1">
      <c r="A12" s="203"/>
      <c r="B12" s="195" t="s">
        <v>401</v>
      </c>
      <c r="C12" s="231">
        <v>1.0</v>
      </c>
      <c r="D12" s="232">
        <v>0.6</v>
      </c>
      <c r="E12" s="233">
        <v>0.6</v>
      </c>
      <c r="F12" s="234">
        <v>0.2</v>
      </c>
      <c r="G12" s="228">
        <v>0.85</v>
      </c>
      <c r="H12" s="230">
        <f t="shared" si="1"/>
        <v>0.85</v>
      </c>
      <c r="I12" s="230">
        <f t="shared" si="2"/>
        <v>0.36</v>
      </c>
      <c r="J12" s="230">
        <f t="shared" si="3"/>
        <v>0.48</v>
      </c>
      <c r="K12" s="235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85"/>
      <c r="Z12" s="185"/>
    </row>
    <row r="13" ht="19.5" customHeight="1">
      <c r="A13" s="203"/>
      <c r="B13" s="195" t="s">
        <v>889</v>
      </c>
      <c r="C13" s="231">
        <v>2.0</v>
      </c>
      <c r="D13" s="232">
        <v>0.8</v>
      </c>
      <c r="E13" s="233">
        <v>0.8</v>
      </c>
      <c r="F13" s="234">
        <v>0.2</v>
      </c>
      <c r="G13" s="228">
        <v>0.85</v>
      </c>
      <c r="H13" s="230">
        <f t="shared" si="1"/>
        <v>2.448</v>
      </c>
      <c r="I13" s="230">
        <f t="shared" si="2"/>
        <v>1.28</v>
      </c>
      <c r="J13" s="230">
        <f t="shared" si="3"/>
        <v>1.28</v>
      </c>
      <c r="K13" s="235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Y13" s="185"/>
      <c r="Z13" s="185"/>
    </row>
    <row r="14" ht="19.5" customHeight="1">
      <c r="A14" s="203"/>
      <c r="B14" s="195" t="s">
        <v>406</v>
      </c>
      <c r="C14" s="231">
        <v>1.0</v>
      </c>
      <c r="D14" s="232">
        <v>0.9</v>
      </c>
      <c r="E14" s="233">
        <v>0.9</v>
      </c>
      <c r="F14" s="234">
        <v>0.2</v>
      </c>
      <c r="G14" s="228">
        <v>0.85</v>
      </c>
      <c r="H14" s="230">
        <f t="shared" si="1"/>
        <v>1.4365</v>
      </c>
      <c r="I14" s="230">
        <f t="shared" si="2"/>
        <v>0.81</v>
      </c>
      <c r="J14" s="230">
        <f t="shared" si="3"/>
        <v>0.72</v>
      </c>
      <c r="K14" s="23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</row>
    <row r="15" ht="19.5" customHeight="1">
      <c r="A15" s="203"/>
      <c r="B15" s="195" t="s">
        <v>409</v>
      </c>
      <c r="C15" s="231">
        <v>1.0</v>
      </c>
      <c r="D15" s="232">
        <v>0.6</v>
      </c>
      <c r="E15" s="233">
        <v>0.6</v>
      </c>
      <c r="F15" s="234">
        <v>0.3</v>
      </c>
      <c r="G15" s="228">
        <v>0.85</v>
      </c>
      <c r="H15" s="230">
        <f t="shared" si="1"/>
        <v>0.85</v>
      </c>
      <c r="I15" s="230">
        <f t="shared" si="2"/>
        <v>0.36</v>
      </c>
      <c r="J15" s="230">
        <f t="shared" si="3"/>
        <v>0.72</v>
      </c>
      <c r="K15" s="235"/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5"/>
    </row>
    <row r="16" ht="19.5" customHeight="1">
      <c r="A16" s="203"/>
      <c r="B16" s="195" t="s">
        <v>890</v>
      </c>
      <c r="C16" s="231">
        <v>11.0</v>
      </c>
      <c r="D16" s="232">
        <v>1.5</v>
      </c>
      <c r="E16" s="233">
        <v>0.6</v>
      </c>
      <c r="F16" s="234">
        <v>0.6</v>
      </c>
      <c r="G16" s="228">
        <v>0.65</v>
      </c>
      <c r="H16" s="230">
        <f t="shared" si="1"/>
        <v>13.585</v>
      </c>
      <c r="I16" s="230">
        <f t="shared" si="2"/>
        <v>9.9</v>
      </c>
      <c r="J16" s="230">
        <f t="shared" si="3"/>
        <v>27.72</v>
      </c>
      <c r="K16" s="235">
        <f>C16*D16*E16*F16</f>
        <v>5.94</v>
      </c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</row>
    <row r="17" ht="19.5" customHeight="1">
      <c r="A17" s="203"/>
      <c r="B17" s="195"/>
      <c r="C17" s="231"/>
      <c r="D17" s="232"/>
      <c r="E17" s="233"/>
      <c r="F17" s="234"/>
      <c r="G17" s="228"/>
      <c r="H17" s="230"/>
      <c r="I17" s="230"/>
      <c r="J17" s="230"/>
      <c r="K17" s="23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</row>
    <row r="18" ht="19.5" customHeight="1">
      <c r="A18" s="203"/>
      <c r="B18" s="195" t="s">
        <v>666</v>
      </c>
      <c r="C18" s="231">
        <v>5.0</v>
      </c>
      <c r="D18" s="232">
        <v>0.2</v>
      </c>
      <c r="E18" s="233">
        <v>0.2</v>
      </c>
      <c r="F18" s="234">
        <v>0.5</v>
      </c>
      <c r="G18" s="228"/>
      <c r="H18" s="230"/>
      <c r="I18" s="230"/>
      <c r="J18" s="230">
        <f>C18*((D18+E18)*2)*F18</f>
        <v>2</v>
      </c>
      <c r="K18" s="23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</row>
    <row r="19" ht="19.5" customHeight="1">
      <c r="A19" s="203"/>
      <c r="B19" s="190"/>
      <c r="C19" s="237"/>
      <c r="D19" s="238"/>
      <c r="E19" s="239"/>
      <c r="F19" s="240"/>
      <c r="G19" s="228"/>
      <c r="H19" s="230"/>
      <c r="I19" s="230"/>
      <c r="J19" s="230"/>
      <c r="K19" s="235"/>
      <c r="L19" s="185"/>
      <c r="M19" s="185"/>
      <c r="N19" s="185"/>
      <c r="O19" s="185"/>
      <c r="P19" s="185"/>
      <c r="Q19" s="185"/>
      <c r="R19" s="185"/>
      <c r="S19" s="185"/>
      <c r="T19" s="185"/>
      <c r="U19" s="185"/>
      <c r="V19" s="185"/>
      <c r="W19" s="185"/>
      <c r="X19" s="185"/>
      <c r="Y19" s="185"/>
      <c r="Z19" s="185"/>
    </row>
    <row r="20" ht="19.5" customHeight="1">
      <c r="A20" s="151"/>
      <c r="B20" s="194" t="s">
        <v>891</v>
      </c>
      <c r="C20" s="237"/>
      <c r="D20" s="238"/>
      <c r="E20" s="239"/>
      <c r="F20" s="240"/>
      <c r="G20" s="228"/>
      <c r="H20" s="230"/>
      <c r="I20" s="230"/>
      <c r="J20" s="230">
        <f>SUM(I11:I17)</f>
        <v>13.1325</v>
      </c>
      <c r="K20" s="23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5"/>
      <c r="X20" s="185"/>
      <c r="Y20" s="185"/>
      <c r="Z20" s="185"/>
    </row>
    <row r="21" ht="19.5" customHeight="1">
      <c r="A21" s="151"/>
      <c r="B21" s="194" t="s">
        <v>892</v>
      </c>
      <c r="C21" s="237"/>
      <c r="D21" s="238"/>
      <c r="E21" s="239"/>
      <c r="F21" s="240"/>
      <c r="G21" s="228"/>
      <c r="H21" s="230"/>
      <c r="I21" s="230"/>
      <c r="J21" s="230">
        <f>SUM(H11:H17)</f>
        <v>20.106625</v>
      </c>
      <c r="K21" s="235"/>
      <c r="L21" s="185"/>
      <c r="M21" s="185"/>
      <c r="N21" s="185"/>
      <c r="O21" s="185"/>
      <c r="P21" s="185"/>
      <c r="Q21" s="185"/>
      <c r="R21" s="185"/>
      <c r="S21" s="185"/>
      <c r="T21" s="185"/>
      <c r="U21" s="185"/>
      <c r="V21" s="185"/>
      <c r="W21" s="185"/>
      <c r="X21" s="185"/>
      <c r="Y21" s="185"/>
      <c r="Z21" s="185"/>
    </row>
    <row r="22" ht="19.5" customHeight="1">
      <c r="A22" s="151"/>
      <c r="B22" s="194" t="s">
        <v>893</v>
      </c>
      <c r="C22" s="237"/>
      <c r="D22" s="238"/>
      <c r="E22" s="239"/>
      <c r="F22" s="240"/>
      <c r="G22" s="228"/>
      <c r="H22" s="230">
        <f>J20</f>
        <v>13.1325</v>
      </c>
      <c r="I22" s="229">
        <v>0.05</v>
      </c>
      <c r="J22" s="230">
        <f>H22*I22</f>
        <v>0.656625</v>
      </c>
      <c r="K22" s="235"/>
      <c r="L22" s="185"/>
      <c r="M22" s="185"/>
      <c r="N22" s="185"/>
      <c r="O22" s="185"/>
      <c r="P22" s="185"/>
      <c r="Q22" s="185"/>
      <c r="R22" s="185"/>
      <c r="S22" s="185"/>
      <c r="T22" s="185"/>
      <c r="U22" s="185"/>
      <c r="V22" s="185"/>
      <c r="W22" s="185"/>
      <c r="X22" s="185"/>
      <c r="Y22" s="185"/>
      <c r="Z22" s="185"/>
    </row>
    <row r="23" ht="19.5" customHeight="1">
      <c r="A23" s="241"/>
      <c r="B23" s="194" t="s">
        <v>894</v>
      </c>
      <c r="C23" s="237"/>
      <c r="D23" s="238"/>
      <c r="E23" s="239"/>
      <c r="F23" s="240"/>
      <c r="G23" s="228"/>
      <c r="H23" s="242"/>
      <c r="I23" s="242"/>
      <c r="J23" s="238">
        <f>J16</f>
        <v>27.72</v>
      </c>
      <c r="K23" s="235"/>
      <c r="L23" s="185"/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5"/>
    </row>
    <row r="24" ht="19.5" customHeight="1">
      <c r="A24" s="241"/>
      <c r="B24" s="194" t="s">
        <v>716</v>
      </c>
      <c r="C24" s="237"/>
      <c r="D24" s="238"/>
      <c r="E24" s="239"/>
      <c r="F24" s="240"/>
      <c r="G24" s="228"/>
      <c r="H24" s="242"/>
      <c r="I24" s="242"/>
      <c r="J24" s="238">
        <f>SUM(J11:J15)</f>
        <v>3.98</v>
      </c>
      <c r="K24" s="23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5"/>
      <c r="Z24" s="185"/>
    </row>
    <row r="25" ht="19.5" customHeight="1">
      <c r="A25" s="241"/>
      <c r="B25" s="190" t="s">
        <v>895</v>
      </c>
      <c r="C25" s="237"/>
      <c r="D25" s="238"/>
      <c r="E25" s="239"/>
      <c r="F25" s="240"/>
      <c r="G25" s="228"/>
      <c r="H25" s="242"/>
      <c r="I25" s="242"/>
      <c r="J25" s="238">
        <f>(15.98+18.06)-J23-J24</f>
        <v>2.34</v>
      </c>
      <c r="K25" s="235"/>
      <c r="L25" s="185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  <c r="Z25" s="185"/>
    </row>
    <row r="26" ht="19.5" customHeight="1">
      <c r="A26" s="144"/>
      <c r="B26" s="195" t="s">
        <v>896</v>
      </c>
      <c r="C26" s="237"/>
      <c r="D26" s="238"/>
      <c r="E26" s="239"/>
      <c r="F26" s="240"/>
      <c r="G26" s="240"/>
      <c r="H26" s="242"/>
      <c r="I26" s="242"/>
      <c r="J26" s="238">
        <f>K16</f>
        <v>5.94</v>
      </c>
      <c r="K26" s="235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5"/>
      <c r="Z26" s="185"/>
    </row>
    <row r="27" ht="19.5" customHeight="1">
      <c r="A27" s="144"/>
      <c r="B27" s="195" t="s">
        <v>897</v>
      </c>
      <c r="C27" s="237"/>
      <c r="D27" s="238"/>
      <c r="E27" s="239"/>
      <c r="F27" s="240"/>
      <c r="G27" s="240"/>
      <c r="H27" s="242"/>
      <c r="I27" s="242"/>
      <c r="J27" s="238">
        <f>(3+3.72)-J26</f>
        <v>0.78</v>
      </c>
      <c r="K27" s="235"/>
      <c r="L27" s="185"/>
      <c r="M27" s="185"/>
      <c r="N27" s="185"/>
      <c r="O27" s="185"/>
      <c r="P27" s="185"/>
      <c r="Q27" s="185"/>
      <c r="R27" s="185"/>
      <c r="S27" s="185"/>
      <c r="T27" s="185"/>
      <c r="U27" s="185"/>
      <c r="V27" s="185"/>
      <c r="W27" s="185"/>
      <c r="X27" s="185"/>
      <c r="Y27" s="185"/>
      <c r="Z27" s="185"/>
    </row>
    <row r="28" ht="19.5" customHeight="1">
      <c r="A28" s="203"/>
      <c r="B28" s="190"/>
      <c r="C28" s="187"/>
      <c r="D28" s="192"/>
      <c r="E28" s="67"/>
      <c r="F28" s="243"/>
      <c r="G28" s="67"/>
      <c r="H28" s="244"/>
      <c r="I28" s="244"/>
      <c r="J28" s="192"/>
      <c r="K28" s="235"/>
      <c r="L28" s="185"/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185"/>
      <c r="Z28" s="185"/>
    </row>
    <row r="29" ht="19.5" customHeight="1">
      <c r="A29" s="203"/>
      <c r="B29" s="194"/>
      <c r="C29" s="67" t="s">
        <v>683</v>
      </c>
      <c r="D29" s="189" t="s">
        <v>108</v>
      </c>
      <c r="E29" s="67" t="s">
        <v>684</v>
      </c>
      <c r="F29" s="189" t="s">
        <v>718</v>
      </c>
      <c r="G29" s="67"/>
      <c r="H29" s="189"/>
      <c r="I29" s="189"/>
      <c r="J29" s="189"/>
      <c r="K29" s="23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5"/>
    </row>
    <row r="30" ht="19.5" customHeight="1">
      <c r="A30" s="304"/>
      <c r="B30" s="194" t="s">
        <v>898</v>
      </c>
      <c r="C30" s="209" t="s">
        <v>686</v>
      </c>
      <c r="D30" s="189">
        <f>(210.1-13.5-29.48)+320.4</f>
        <v>487.52</v>
      </c>
      <c r="E30" s="67">
        <v>0.154</v>
      </c>
      <c r="F30" s="182">
        <f t="shared" ref="F30:F33" si="4">D30*E30</f>
        <v>75.07808</v>
      </c>
      <c r="G30" s="243"/>
      <c r="H30" s="182"/>
      <c r="I30" s="182"/>
      <c r="J30" s="182"/>
      <c r="K30" s="235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5"/>
      <c r="W30" s="185"/>
      <c r="X30" s="185"/>
      <c r="Y30" s="185"/>
      <c r="Z30" s="185"/>
    </row>
    <row r="31" ht="19.5" customHeight="1">
      <c r="A31" s="202"/>
      <c r="B31" s="194"/>
      <c r="C31" s="208">
        <v>45357.0</v>
      </c>
      <c r="D31" s="189">
        <f>20.3+63.2</f>
        <v>83.5</v>
      </c>
      <c r="E31" s="67">
        <v>0.245</v>
      </c>
      <c r="F31" s="182">
        <f t="shared" si="4"/>
        <v>20.4575</v>
      </c>
      <c r="G31" s="243"/>
      <c r="H31" s="182"/>
      <c r="I31" s="182"/>
      <c r="J31" s="182"/>
      <c r="K31" s="235"/>
      <c r="L31" s="185"/>
      <c r="M31" s="185"/>
      <c r="N31" s="185"/>
      <c r="O31" s="185"/>
      <c r="P31" s="185"/>
      <c r="Q31" s="185"/>
      <c r="R31" s="185"/>
      <c r="S31" s="185"/>
      <c r="T31" s="185"/>
      <c r="U31" s="185"/>
      <c r="V31" s="185"/>
      <c r="W31" s="185"/>
      <c r="X31" s="185"/>
      <c r="Y31" s="185"/>
      <c r="Z31" s="185"/>
    </row>
    <row r="32" ht="19.5" customHeight="1">
      <c r="A32" s="202"/>
      <c r="B32" s="194"/>
      <c r="C32" s="67" t="s">
        <v>720</v>
      </c>
      <c r="D32" s="189">
        <v>33.28</v>
      </c>
      <c r="E32" s="243">
        <f>0.395</f>
        <v>0.395</v>
      </c>
      <c r="F32" s="182">
        <f t="shared" si="4"/>
        <v>13.1456</v>
      </c>
      <c r="G32" s="243"/>
      <c r="H32" s="182"/>
      <c r="I32" s="182"/>
      <c r="J32" s="182"/>
      <c r="K32" s="235"/>
      <c r="L32" s="185"/>
      <c r="M32" s="185"/>
      <c r="N32" s="185"/>
      <c r="O32" s="185"/>
      <c r="P32" s="185"/>
      <c r="Q32" s="185"/>
      <c r="R32" s="185"/>
      <c r="S32" s="185"/>
      <c r="T32" s="185"/>
      <c r="U32" s="185"/>
      <c r="V32" s="185"/>
      <c r="W32" s="185"/>
      <c r="X32" s="185"/>
      <c r="Y32" s="185"/>
      <c r="Z32" s="185"/>
    </row>
    <row r="33" ht="19.5" customHeight="1">
      <c r="A33" s="202"/>
      <c r="B33" s="194"/>
      <c r="C33" s="67" t="s">
        <v>899</v>
      </c>
      <c r="D33" s="189">
        <v>19.2</v>
      </c>
      <c r="E33" s="67">
        <v>0.617</v>
      </c>
      <c r="F33" s="182">
        <f t="shared" si="4"/>
        <v>11.8464</v>
      </c>
      <c r="G33" s="243"/>
      <c r="H33" s="182"/>
      <c r="I33" s="182"/>
      <c r="J33" s="182"/>
      <c r="K33" s="235"/>
      <c r="L33" s="185"/>
      <c r="M33" s="185"/>
      <c r="N33" s="185"/>
      <c r="O33" s="185"/>
      <c r="P33" s="185"/>
      <c r="Q33" s="185"/>
      <c r="R33" s="185"/>
      <c r="S33" s="185"/>
      <c r="T33" s="185"/>
      <c r="U33" s="185"/>
      <c r="V33" s="185"/>
      <c r="W33" s="185"/>
      <c r="X33" s="185"/>
      <c r="Y33" s="185"/>
      <c r="Z33" s="185"/>
    </row>
    <row r="34" ht="19.5" customHeight="1">
      <c r="A34" s="202"/>
      <c r="B34" s="194"/>
      <c r="C34" s="67" t="s">
        <v>683</v>
      </c>
      <c r="D34" s="189" t="s">
        <v>108</v>
      </c>
      <c r="E34" s="67" t="s">
        <v>684</v>
      </c>
      <c r="F34" s="189" t="s">
        <v>718</v>
      </c>
      <c r="G34" s="243"/>
      <c r="H34" s="182"/>
      <c r="I34" s="182"/>
      <c r="J34" s="182"/>
      <c r="K34" s="235"/>
      <c r="L34" s="185"/>
      <c r="M34" s="185"/>
      <c r="N34" s="185"/>
      <c r="O34" s="185"/>
      <c r="P34" s="185"/>
      <c r="Q34" s="185"/>
      <c r="R34" s="185"/>
      <c r="S34" s="185"/>
      <c r="T34" s="185"/>
      <c r="U34" s="185"/>
      <c r="V34" s="185"/>
      <c r="W34" s="185"/>
      <c r="X34" s="185"/>
      <c r="Y34" s="185"/>
      <c r="Z34" s="185"/>
    </row>
    <row r="35" ht="19.5" customHeight="1">
      <c r="A35" s="144"/>
      <c r="B35" s="194" t="s">
        <v>719</v>
      </c>
      <c r="C35" s="67" t="s">
        <v>686</v>
      </c>
      <c r="D35" s="189">
        <f>13.5</f>
        <v>13.5</v>
      </c>
      <c r="E35" s="67">
        <v>0.154</v>
      </c>
      <c r="F35" s="182">
        <f t="shared" ref="F35:F36" si="5">D35*E35</f>
        <v>2.079</v>
      </c>
      <c r="G35" s="243"/>
      <c r="H35" s="182"/>
      <c r="I35" s="182"/>
      <c r="J35" s="182"/>
      <c r="K35" s="235"/>
      <c r="L35" s="185"/>
      <c r="M35" s="185"/>
      <c r="N35" s="185"/>
      <c r="O35" s="185"/>
      <c r="P35" s="185"/>
      <c r="Q35" s="185"/>
      <c r="R35" s="185"/>
      <c r="S35" s="185"/>
      <c r="T35" s="185"/>
      <c r="U35" s="185"/>
      <c r="V35" s="185"/>
      <c r="W35" s="185"/>
      <c r="X35" s="185"/>
      <c r="Y35" s="185"/>
      <c r="Z35" s="185"/>
    </row>
    <row r="36" ht="19.5" customHeight="1">
      <c r="A36" s="202"/>
      <c r="B36" s="194"/>
      <c r="C36" s="67" t="s">
        <v>720</v>
      </c>
      <c r="D36" s="189">
        <v>65.22</v>
      </c>
      <c r="E36" s="243">
        <f>0.395</f>
        <v>0.395</v>
      </c>
      <c r="F36" s="182">
        <f t="shared" si="5"/>
        <v>25.7619</v>
      </c>
      <c r="G36" s="243"/>
      <c r="H36" s="182"/>
      <c r="I36" s="182"/>
      <c r="J36" s="182"/>
      <c r="K36" s="235"/>
      <c r="L36" s="185"/>
      <c r="M36" s="185"/>
      <c r="N36" s="185"/>
      <c r="O36" s="185"/>
      <c r="P36" s="185"/>
      <c r="Q36" s="185"/>
      <c r="R36" s="185"/>
      <c r="S36" s="185"/>
      <c r="T36" s="185"/>
      <c r="U36" s="185"/>
      <c r="V36" s="185"/>
      <c r="W36" s="185"/>
      <c r="X36" s="185"/>
      <c r="Y36" s="185"/>
      <c r="Z36" s="185"/>
    </row>
    <row r="37" ht="19.5" customHeight="1">
      <c r="A37" s="297"/>
      <c r="B37" s="194"/>
      <c r="C37" s="67" t="s">
        <v>683</v>
      </c>
      <c r="D37" s="189" t="s">
        <v>108</v>
      </c>
      <c r="E37" s="67" t="s">
        <v>684</v>
      </c>
      <c r="F37" s="189" t="s">
        <v>718</v>
      </c>
      <c r="G37" s="243"/>
      <c r="H37" s="182"/>
      <c r="I37" s="182"/>
      <c r="J37" s="182"/>
      <c r="K37" s="235"/>
      <c r="L37" s="185"/>
      <c r="M37" s="185"/>
      <c r="N37" s="185"/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5"/>
      <c r="Z37" s="185"/>
    </row>
    <row r="38" ht="19.5" customHeight="1">
      <c r="A38" s="151"/>
      <c r="B38" s="194" t="s">
        <v>722</v>
      </c>
      <c r="C38" s="67" t="s">
        <v>686</v>
      </c>
      <c r="D38" s="189">
        <v>29.48</v>
      </c>
      <c r="E38" s="67">
        <v>0.154</v>
      </c>
      <c r="F38" s="182">
        <f t="shared" ref="F38:F39" si="6">D38*E38</f>
        <v>4.53992</v>
      </c>
      <c r="G38" s="243"/>
      <c r="H38" s="182"/>
      <c r="I38" s="182"/>
      <c r="J38" s="182"/>
      <c r="K38" s="23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</row>
    <row r="39" ht="19.5" customHeight="1">
      <c r="A39" s="203"/>
      <c r="B39" s="194"/>
      <c r="C39" s="209">
        <v>10.0</v>
      </c>
      <c r="D39" s="182">
        <f>(38.4-19.2)+40.9</f>
        <v>60.1</v>
      </c>
      <c r="E39" s="67">
        <v>0.617</v>
      </c>
      <c r="F39" s="182">
        <f t="shared" si="6"/>
        <v>37.0817</v>
      </c>
      <c r="G39" s="243"/>
      <c r="H39" s="182"/>
      <c r="I39" s="182"/>
      <c r="J39" s="182"/>
      <c r="K39" s="23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5"/>
    </row>
    <row r="40" ht="19.5" customHeight="1">
      <c r="A40" s="186"/>
      <c r="B40" s="190"/>
      <c r="C40" s="210"/>
      <c r="D40" s="192"/>
      <c r="E40" s="67"/>
      <c r="F40" s="207"/>
      <c r="G40" s="205"/>
      <c r="H40" s="206"/>
      <c r="I40" s="206"/>
      <c r="J40" s="196"/>
      <c r="K40" s="203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</row>
    <row r="41" ht="19.5" customHeight="1">
      <c r="A41" s="186"/>
      <c r="B41" s="190"/>
      <c r="C41" s="210" t="s">
        <v>106</v>
      </c>
      <c r="D41" s="192" t="s">
        <v>691</v>
      </c>
      <c r="E41" s="67" t="s">
        <v>692</v>
      </c>
      <c r="F41" s="207" t="s">
        <v>693</v>
      </c>
      <c r="G41" s="205"/>
      <c r="H41" s="206"/>
      <c r="I41" s="206"/>
      <c r="J41" s="196"/>
      <c r="K41" s="203"/>
      <c r="L41" s="185"/>
      <c r="M41" s="185"/>
      <c r="N41" s="185"/>
      <c r="O41" s="185"/>
      <c r="P41" s="185"/>
      <c r="Q41" s="185"/>
      <c r="R41" s="185"/>
      <c r="S41" s="185"/>
      <c r="T41" s="185"/>
      <c r="U41" s="185"/>
      <c r="V41" s="185"/>
      <c r="W41" s="185"/>
      <c r="X41" s="185"/>
      <c r="Y41" s="185"/>
      <c r="Z41" s="185"/>
    </row>
    <row r="42" ht="19.5" customHeight="1">
      <c r="A42" s="213"/>
      <c r="B42" s="190" t="s">
        <v>694</v>
      </c>
      <c r="C42" s="210">
        <v>52.0</v>
      </c>
      <c r="D42" s="192">
        <v>0.3</v>
      </c>
      <c r="E42" s="67">
        <v>10.0</v>
      </c>
      <c r="F42" s="205">
        <f>C42*E42</f>
        <v>520</v>
      </c>
      <c r="G42" s="205"/>
      <c r="H42" s="206"/>
      <c r="I42" s="206"/>
      <c r="J42" s="196"/>
      <c r="K42" s="203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</row>
    <row r="43" ht="19.5" customHeight="1">
      <c r="A43" s="186"/>
      <c r="B43" s="190"/>
      <c r="C43" s="210" t="s">
        <v>106</v>
      </c>
      <c r="D43" s="192" t="s">
        <v>695</v>
      </c>
      <c r="E43" s="67" t="s">
        <v>683</v>
      </c>
      <c r="F43" s="207" t="s">
        <v>696</v>
      </c>
      <c r="G43" s="67" t="s">
        <v>684</v>
      </c>
      <c r="H43" s="214" t="s">
        <v>697</v>
      </c>
      <c r="I43" s="206"/>
      <c r="J43" s="196"/>
      <c r="K43" s="203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</row>
    <row r="44" ht="19.5" customHeight="1">
      <c r="A44" s="213"/>
      <c r="B44" s="190" t="s">
        <v>698</v>
      </c>
      <c r="C44" s="210">
        <v>52.0</v>
      </c>
      <c r="D44" s="192">
        <v>35.0</v>
      </c>
      <c r="E44" s="67" t="s">
        <v>686</v>
      </c>
      <c r="F44" s="207">
        <v>0.75</v>
      </c>
      <c r="G44" s="67">
        <v>0.154</v>
      </c>
      <c r="H44" s="206">
        <f t="shared" ref="H44:H45" si="7">C44*D44*F44*G44</f>
        <v>210.21</v>
      </c>
      <c r="I44" s="206"/>
      <c r="J44" s="196"/>
      <c r="K44" s="203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</row>
    <row r="45" ht="19.5" customHeight="1">
      <c r="A45" s="186"/>
      <c r="B45" s="190"/>
      <c r="C45" s="210">
        <v>52.0</v>
      </c>
      <c r="D45" s="192">
        <v>6.0</v>
      </c>
      <c r="E45" s="215">
        <v>45424.0</v>
      </c>
      <c r="F45" s="207">
        <v>7.42</v>
      </c>
      <c r="G45" s="67">
        <v>0.963</v>
      </c>
      <c r="H45" s="206">
        <f t="shared" si="7"/>
        <v>2229.38352</v>
      </c>
      <c r="I45" s="206"/>
      <c r="J45" s="196"/>
      <c r="K45" s="203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</row>
    <row r="46" ht="19.5" customHeight="1">
      <c r="A46" s="186"/>
      <c r="B46" s="190"/>
      <c r="C46" s="212"/>
      <c r="D46" s="192"/>
      <c r="E46" s="67"/>
      <c r="F46" s="205"/>
      <c r="G46" s="205"/>
      <c r="H46" s="206"/>
      <c r="I46" s="206"/>
      <c r="J46" s="196"/>
      <c r="K46" s="203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</row>
    <row r="47" ht="19.5" customHeight="1">
      <c r="A47" s="99" t="s">
        <v>1</v>
      </c>
      <c r="B47" s="99" t="s">
        <v>644</v>
      </c>
      <c r="C47" s="99" t="s">
        <v>645</v>
      </c>
      <c r="D47" s="177" t="s">
        <v>646</v>
      </c>
      <c r="E47" s="51" t="s">
        <v>99</v>
      </c>
      <c r="F47" s="52" t="s">
        <v>648</v>
      </c>
      <c r="G47" s="52" t="s">
        <v>649</v>
      </c>
      <c r="H47" s="178" t="s">
        <v>650</v>
      </c>
      <c r="I47" s="178" t="s">
        <v>651</v>
      </c>
      <c r="J47" s="177" t="s">
        <v>652</v>
      </c>
      <c r="K47" s="179" t="s">
        <v>653</v>
      </c>
    </row>
    <row r="48" ht="19.5" customHeight="1">
      <c r="A48" s="203"/>
      <c r="B48" s="67" t="s">
        <v>723</v>
      </c>
      <c r="C48" s="67">
        <v>1.0</v>
      </c>
      <c r="D48" s="189">
        <f>4.535+4.3+1.985</f>
        <v>10.82</v>
      </c>
      <c r="E48" s="67">
        <v>0.14</v>
      </c>
      <c r="F48" s="67">
        <v>0.45</v>
      </c>
      <c r="G48" s="67">
        <f t="shared" ref="G48:G66" si="8">F48+0.05</f>
        <v>0.5</v>
      </c>
      <c r="H48" s="182">
        <f t="shared" ref="H48:H66" si="9">D48*(E48+0.4)*G48</f>
        <v>2.9214</v>
      </c>
      <c r="I48" s="182">
        <f t="shared" ref="I48:I66" si="10">C48*D48*E48</f>
        <v>1.5148</v>
      </c>
      <c r="J48" s="182">
        <f t="shared" ref="J48:J66" si="11">2*(C48*D48*F48)</f>
        <v>9.738</v>
      </c>
      <c r="K48" s="182">
        <f t="shared" ref="K48:K66" si="12">D48*(E48+F48*2)</f>
        <v>11.2528</v>
      </c>
      <c r="L48" s="185"/>
      <c r="M48" s="185"/>
      <c r="N48" s="185"/>
      <c r="O48" s="185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</row>
    <row r="49" ht="19.5" customHeight="1">
      <c r="A49" s="203"/>
      <c r="B49" s="67" t="s">
        <v>724</v>
      </c>
      <c r="C49" s="67">
        <v>1.0</v>
      </c>
      <c r="D49" s="189">
        <v>2.0</v>
      </c>
      <c r="E49" s="67">
        <v>0.14</v>
      </c>
      <c r="F49" s="67">
        <v>0.45</v>
      </c>
      <c r="G49" s="67">
        <f t="shared" si="8"/>
        <v>0.5</v>
      </c>
      <c r="H49" s="182">
        <f t="shared" si="9"/>
        <v>0.54</v>
      </c>
      <c r="I49" s="182">
        <f t="shared" si="10"/>
        <v>0.28</v>
      </c>
      <c r="J49" s="182">
        <f t="shared" si="11"/>
        <v>1.8</v>
      </c>
      <c r="K49" s="182">
        <f t="shared" si="12"/>
        <v>2.08</v>
      </c>
      <c r="L49" s="185"/>
      <c r="M49" s="185"/>
      <c r="N49" s="185"/>
      <c r="O49" s="185"/>
      <c r="P49" s="185"/>
      <c r="Q49" s="185"/>
      <c r="R49" s="185"/>
      <c r="S49" s="185"/>
      <c r="T49" s="185"/>
      <c r="U49" s="185"/>
      <c r="V49" s="185"/>
      <c r="W49" s="185"/>
      <c r="X49" s="185"/>
      <c r="Y49" s="185"/>
      <c r="Z49" s="185"/>
    </row>
    <row r="50" ht="19.5" customHeight="1">
      <c r="A50" s="203"/>
      <c r="B50" s="67" t="s">
        <v>725</v>
      </c>
      <c r="C50" s="67">
        <v>1.0</v>
      </c>
      <c r="D50" s="189">
        <v>2.0</v>
      </c>
      <c r="E50" s="67">
        <v>0.14</v>
      </c>
      <c r="F50" s="67">
        <v>0.45</v>
      </c>
      <c r="G50" s="67">
        <f t="shared" si="8"/>
        <v>0.5</v>
      </c>
      <c r="H50" s="182">
        <f t="shared" si="9"/>
        <v>0.54</v>
      </c>
      <c r="I50" s="182">
        <f t="shared" si="10"/>
        <v>0.28</v>
      </c>
      <c r="J50" s="182">
        <f t="shared" si="11"/>
        <v>1.8</v>
      </c>
      <c r="K50" s="182">
        <f t="shared" si="12"/>
        <v>2.08</v>
      </c>
      <c r="L50" s="185"/>
      <c r="M50" s="185"/>
      <c r="N50" s="185"/>
      <c r="O50" s="185"/>
      <c r="P50" s="185"/>
      <c r="Q50" s="185"/>
      <c r="R50" s="185"/>
      <c r="S50" s="185"/>
      <c r="T50" s="185"/>
      <c r="U50" s="185"/>
      <c r="V50" s="185"/>
      <c r="W50" s="185"/>
      <c r="X50" s="185"/>
      <c r="Y50" s="185"/>
      <c r="Z50" s="185"/>
    </row>
    <row r="51" ht="19.5" customHeight="1">
      <c r="A51" s="203"/>
      <c r="B51" s="67" t="s">
        <v>726</v>
      </c>
      <c r="C51" s="67">
        <v>1.0</v>
      </c>
      <c r="D51" s="188">
        <f>2.41+1.86+2.42</f>
        <v>6.69</v>
      </c>
      <c r="E51" s="67">
        <v>0.14</v>
      </c>
      <c r="F51" s="67">
        <v>0.45</v>
      </c>
      <c r="G51" s="67">
        <f t="shared" si="8"/>
        <v>0.5</v>
      </c>
      <c r="H51" s="182">
        <f t="shared" si="9"/>
        <v>1.8063</v>
      </c>
      <c r="I51" s="182">
        <f t="shared" si="10"/>
        <v>0.9366</v>
      </c>
      <c r="J51" s="182">
        <f t="shared" si="11"/>
        <v>6.021</v>
      </c>
      <c r="K51" s="182">
        <f t="shared" si="12"/>
        <v>6.9576</v>
      </c>
      <c r="L51" s="185"/>
      <c r="M51" s="185"/>
      <c r="N51" s="185"/>
      <c r="O51" s="185"/>
      <c r="P51" s="185"/>
      <c r="Q51" s="185"/>
      <c r="R51" s="185"/>
      <c r="S51" s="185"/>
      <c r="T51" s="185"/>
      <c r="U51" s="185"/>
      <c r="V51" s="185"/>
      <c r="W51" s="185"/>
      <c r="X51" s="185"/>
      <c r="Y51" s="185"/>
      <c r="Z51" s="185"/>
    </row>
    <row r="52" ht="19.5" customHeight="1">
      <c r="A52" s="203"/>
      <c r="B52" s="67" t="s">
        <v>727</v>
      </c>
      <c r="C52" s="67">
        <v>1.0</v>
      </c>
      <c r="D52" s="188">
        <f>5.485*2</f>
        <v>10.97</v>
      </c>
      <c r="E52" s="67">
        <v>0.14</v>
      </c>
      <c r="F52" s="67">
        <v>0.45</v>
      </c>
      <c r="G52" s="67">
        <f t="shared" si="8"/>
        <v>0.5</v>
      </c>
      <c r="H52" s="182">
        <f t="shared" si="9"/>
        <v>2.9619</v>
      </c>
      <c r="I52" s="182">
        <f t="shared" si="10"/>
        <v>1.5358</v>
      </c>
      <c r="J52" s="182">
        <f t="shared" si="11"/>
        <v>9.873</v>
      </c>
      <c r="K52" s="182">
        <f t="shared" si="12"/>
        <v>11.4088</v>
      </c>
      <c r="L52" s="185"/>
      <c r="M52" s="185"/>
      <c r="N52" s="185"/>
      <c r="O52" s="185"/>
      <c r="P52" s="185"/>
      <c r="Q52" s="185"/>
      <c r="R52" s="185"/>
      <c r="S52" s="185"/>
      <c r="T52" s="185"/>
      <c r="U52" s="185"/>
      <c r="V52" s="185"/>
      <c r="W52" s="185"/>
      <c r="X52" s="185"/>
      <c r="Y52" s="185"/>
      <c r="Z52" s="185"/>
    </row>
    <row r="53" ht="19.5" customHeight="1">
      <c r="A53" s="203"/>
      <c r="B53" s="67" t="s">
        <v>728</v>
      </c>
      <c r="C53" s="67">
        <v>1.0</v>
      </c>
      <c r="D53" s="192">
        <v>5.7</v>
      </c>
      <c r="E53" s="67">
        <v>0.14</v>
      </c>
      <c r="F53" s="67">
        <v>0.45</v>
      </c>
      <c r="G53" s="67">
        <f t="shared" si="8"/>
        <v>0.5</v>
      </c>
      <c r="H53" s="182">
        <f t="shared" si="9"/>
        <v>1.539</v>
      </c>
      <c r="I53" s="182">
        <f t="shared" si="10"/>
        <v>0.798</v>
      </c>
      <c r="J53" s="182">
        <f t="shared" si="11"/>
        <v>5.13</v>
      </c>
      <c r="K53" s="182">
        <f t="shared" si="12"/>
        <v>5.928</v>
      </c>
      <c r="L53" s="185"/>
      <c r="M53" s="185"/>
      <c r="N53" s="185"/>
      <c r="O53" s="185"/>
      <c r="P53" s="185"/>
      <c r="Q53" s="185"/>
      <c r="R53" s="185"/>
      <c r="S53" s="185"/>
      <c r="T53" s="185"/>
      <c r="U53" s="185"/>
      <c r="V53" s="185"/>
      <c r="W53" s="185"/>
      <c r="X53" s="185"/>
      <c r="Y53" s="185"/>
      <c r="Z53" s="185"/>
    </row>
    <row r="54" ht="19.5" customHeight="1">
      <c r="A54" s="203"/>
      <c r="B54" s="67" t="s">
        <v>729</v>
      </c>
      <c r="C54" s="67">
        <v>1.0</v>
      </c>
      <c r="D54" s="192">
        <v>1.47</v>
      </c>
      <c r="E54" s="67">
        <v>0.14</v>
      </c>
      <c r="F54" s="67">
        <v>0.35</v>
      </c>
      <c r="G54" s="67">
        <f t="shared" si="8"/>
        <v>0.4</v>
      </c>
      <c r="H54" s="182">
        <f t="shared" si="9"/>
        <v>0.31752</v>
      </c>
      <c r="I54" s="182">
        <f t="shared" si="10"/>
        <v>0.2058</v>
      </c>
      <c r="J54" s="182">
        <f t="shared" si="11"/>
        <v>1.029</v>
      </c>
      <c r="K54" s="182">
        <f t="shared" si="12"/>
        <v>1.2348</v>
      </c>
      <c r="L54" s="185"/>
      <c r="M54" s="185"/>
      <c r="N54" s="185"/>
      <c r="O54" s="185"/>
      <c r="P54" s="185"/>
      <c r="Q54" s="185"/>
      <c r="R54" s="185"/>
      <c r="S54" s="185"/>
      <c r="T54" s="185"/>
      <c r="U54" s="185"/>
      <c r="V54" s="185"/>
      <c r="W54" s="185"/>
      <c r="X54" s="185"/>
      <c r="Y54" s="185"/>
      <c r="Z54" s="185"/>
    </row>
    <row r="55" ht="19.5" customHeight="1">
      <c r="A55" s="203"/>
      <c r="B55" s="67" t="s">
        <v>730</v>
      </c>
      <c r="C55" s="67">
        <v>1.0</v>
      </c>
      <c r="D55" s="192">
        <f>2*4.53</f>
        <v>9.06</v>
      </c>
      <c r="E55" s="67">
        <v>0.14</v>
      </c>
      <c r="F55" s="67">
        <v>0.45</v>
      </c>
      <c r="G55" s="67">
        <f t="shared" si="8"/>
        <v>0.5</v>
      </c>
      <c r="H55" s="182">
        <f t="shared" si="9"/>
        <v>2.4462</v>
      </c>
      <c r="I55" s="182">
        <f t="shared" si="10"/>
        <v>1.2684</v>
      </c>
      <c r="J55" s="182">
        <f t="shared" si="11"/>
        <v>8.154</v>
      </c>
      <c r="K55" s="182">
        <f t="shared" si="12"/>
        <v>9.4224</v>
      </c>
      <c r="L55" s="185"/>
      <c r="M55" s="185"/>
      <c r="N55" s="185"/>
      <c r="O55" s="185"/>
      <c r="P55" s="185"/>
      <c r="Q55" s="185"/>
      <c r="R55" s="185"/>
      <c r="S55" s="185"/>
      <c r="T55" s="185"/>
      <c r="U55" s="185"/>
      <c r="V55" s="185"/>
      <c r="W55" s="185"/>
      <c r="X55" s="185"/>
      <c r="Y55" s="185"/>
      <c r="Z55" s="185"/>
    </row>
    <row r="56" ht="19.5" customHeight="1">
      <c r="A56" s="203"/>
      <c r="B56" s="67" t="s">
        <v>731</v>
      </c>
      <c r="C56" s="67">
        <v>1.0</v>
      </c>
      <c r="D56" s="192">
        <v>1.465</v>
      </c>
      <c r="E56" s="67">
        <v>0.14</v>
      </c>
      <c r="F56" s="67">
        <v>0.35</v>
      </c>
      <c r="G56" s="67">
        <f t="shared" si="8"/>
        <v>0.4</v>
      </c>
      <c r="H56" s="182">
        <f t="shared" si="9"/>
        <v>0.31644</v>
      </c>
      <c r="I56" s="182">
        <f t="shared" si="10"/>
        <v>0.2051</v>
      </c>
      <c r="J56" s="182">
        <f t="shared" si="11"/>
        <v>1.0255</v>
      </c>
      <c r="K56" s="182">
        <f t="shared" si="12"/>
        <v>1.2306</v>
      </c>
      <c r="L56" s="185"/>
      <c r="M56" s="185"/>
      <c r="N56" s="185"/>
      <c r="O56" s="185"/>
      <c r="P56" s="185"/>
      <c r="Q56" s="185"/>
      <c r="R56" s="185"/>
      <c r="S56" s="185"/>
      <c r="T56" s="185"/>
      <c r="U56" s="185"/>
      <c r="V56" s="185"/>
      <c r="W56" s="185"/>
      <c r="X56" s="185"/>
      <c r="Y56" s="185"/>
      <c r="Z56" s="185"/>
    </row>
    <row r="57" ht="19.5" customHeight="1">
      <c r="A57" s="203"/>
      <c r="B57" s="67" t="s">
        <v>732</v>
      </c>
      <c r="C57" s="67">
        <v>1.0</v>
      </c>
      <c r="D57" s="188">
        <f>5.41*2</f>
        <v>10.82</v>
      </c>
      <c r="E57" s="67">
        <v>0.2</v>
      </c>
      <c r="F57" s="67">
        <v>0.35</v>
      </c>
      <c r="G57" s="67">
        <f t="shared" si="8"/>
        <v>0.4</v>
      </c>
      <c r="H57" s="182">
        <f t="shared" si="9"/>
        <v>2.5968</v>
      </c>
      <c r="I57" s="182">
        <f t="shared" si="10"/>
        <v>2.164</v>
      </c>
      <c r="J57" s="182">
        <f t="shared" si="11"/>
        <v>7.574</v>
      </c>
      <c r="K57" s="182">
        <f t="shared" si="12"/>
        <v>9.738</v>
      </c>
      <c r="L57" s="185"/>
      <c r="M57" s="185"/>
      <c r="N57" s="185"/>
      <c r="O57" s="185"/>
      <c r="P57" s="185"/>
      <c r="Q57" s="185"/>
      <c r="R57" s="185"/>
      <c r="S57" s="185"/>
      <c r="T57" s="185"/>
      <c r="U57" s="185"/>
      <c r="V57" s="185"/>
      <c r="W57" s="185"/>
      <c r="X57" s="185"/>
      <c r="Y57" s="185"/>
      <c r="Z57" s="185"/>
    </row>
    <row r="58" ht="19.5" customHeight="1">
      <c r="A58" s="203"/>
      <c r="B58" s="67" t="s">
        <v>733</v>
      </c>
      <c r="C58" s="67">
        <v>1.0</v>
      </c>
      <c r="D58" s="188">
        <f>6.23+6.97</f>
        <v>13.2</v>
      </c>
      <c r="E58" s="67">
        <v>0.14</v>
      </c>
      <c r="F58" s="67">
        <v>0.35</v>
      </c>
      <c r="G58" s="67">
        <f t="shared" si="8"/>
        <v>0.4</v>
      </c>
      <c r="H58" s="182">
        <f t="shared" si="9"/>
        <v>2.8512</v>
      </c>
      <c r="I58" s="182">
        <f t="shared" si="10"/>
        <v>1.848</v>
      </c>
      <c r="J58" s="182">
        <f t="shared" si="11"/>
        <v>9.24</v>
      </c>
      <c r="K58" s="182">
        <f t="shared" si="12"/>
        <v>11.088</v>
      </c>
      <c r="L58" s="185"/>
      <c r="M58" s="185"/>
      <c r="N58" s="185"/>
      <c r="O58" s="185"/>
      <c r="P58" s="185"/>
      <c r="Q58" s="185"/>
      <c r="R58" s="185"/>
      <c r="S58" s="185"/>
      <c r="T58" s="185"/>
      <c r="U58" s="185"/>
      <c r="V58" s="185"/>
      <c r="W58" s="185"/>
      <c r="X58" s="185"/>
      <c r="Y58" s="185"/>
      <c r="Z58" s="185"/>
    </row>
    <row r="59" ht="19.5" customHeight="1">
      <c r="A59" s="203"/>
      <c r="B59" s="67" t="s">
        <v>734</v>
      </c>
      <c r="C59" s="67">
        <v>1.0</v>
      </c>
      <c r="D59" s="188">
        <f>4.645+4.815*2+4.9+3.645</f>
        <v>22.82</v>
      </c>
      <c r="E59" s="67">
        <v>0.2</v>
      </c>
      <c r="F59" s="67">
        <v>0.45</v>
      </c>
      <c r="G59" s="67">
        <f t="shared" si="8"/>
        <v>0.5</v>
      </c>
      <c r="H59" s="182">
        <f t="shared" si="9"/>
        <v>6.846</v>
      </c>
      <c r="I59" s="182">
        <f t="shared" si="10"/>
        <v>4.564</v>
      </c>
      <c r="J59" s="182">
        <f t="shared" si="11"/>
        <v>20.538</v>
      </c>
      <c r="K59" s="182">
        <f t="shared" si="12"/>
        <v>25.102</v>
      </c>
      <c r="L59" s="185"/>
      <c r="M59" s="185"/>
      <c r="N59" s="185"/>
      <c r="O59" s="185"/>
      <c r="P59" s="185"/>
      <c r="Q59" s="185"/>
      <c r="R59" s="185"/>
      <c r="S59" s="185"/>
      <c r="T59" s="185"/>
      <c r="U59" s="185"/>
      <c r="V59" s="185"/>
      <c r="W59" s="185"/>
      <c r="X59" s="185"/>
      <c r="Y59" s="185"/>
      <c r="Z59" s="185"/>
    </row>
    <row r="60" ht="19.5" customHeight="1">
      <c r="A60" s="203"/>
      <c r="B60" s="67" t="s">
        <v>735</v>
      </c>
      <c r="C60" s="67">
        <v>1.0</v>
      </c>
      <c r="D60" s="192">
        <v>1.46</v>
      </c>
      <c r="E60" s="67">
        <v>0.14</v>
      </c>
      <c r="F60" s="67">
        <v>0.45</v>
      </c>
      <c r="G60" s="67">
        <f t="shared" si="8"/>
        <v>0.5</v>
      </c>
      <c r="H60" s="182">
        <f t="shared" si="9"/>
        <v>0.3942</v>
      </c>
      <c r="I60" s="182">
        <f t="shared" si="10"/>
        <v>0.2044</v>
      </c>
      <c r="J60" s="182">
        <f t="shared" si="11"/>
        <v>1.314</v>
      </c>
      <c r="K60" s="182">
        <f t="shared" si="12"/>
        <v>1.5184</v>
      </c>
      <c r="L60" s="185"/>
      <c r="M60" s="185"/>
      <c r="N60" s="185"/>
      <c r="O60" s="185"/>
      <c r="P60" s="185"/>
      <c r="Q60" s="185"/>
      <c r="R60" s="185"/>
      <c r="S60" s="185"/>
      <c r="T60" s="185"/>
      <c r="U60" s="185"/>
      <c r="V60" s="185"/>
      <c r="W60" s="185"/>
      <c r="X60" s="185"/>
      <c r="Y60" s="185"/>
      <c r="Z60" s="185"/>
    </row>
    <row r="61" ht="19.5" customHeight="1">
      <c r="A61" s="203"/>
      <c r="B61" s="67" t="s">
        <v>736</v>
      </c>
      <c r="C61" s="67">
        <v>1.0</v>
      </c>
      <c r="D61" s="192">
        <v>2.405</v>
      </c>
      <c r="E61" s="67">
        <v>0.14</v>
      </c>
      <c r="F61" s="67">
        <v>0.45</v>
      </c>
      <c r="G61" s="67">
        <f t="shared" si="8"/>
        <v>0.5</v>
      </c>
      <c r="H61" s="182">
        <f t="shared" si="9"/>
        <v>0.64935</v>
      </c>
      <c r="I61" s="182">
        <f t="shared" si="10"/>
        <v>0.3367</v>
      </c>
      <c r="J61" s="182">
        <f t="shared" si="11"/>
        <v>2.1645</v>
      </c>
      <c r="K61" s="182">
        <f t="shared" si="12"/>
        <v>2.5012</v>
      </c>
      <c r="L61" s="185"/>
      <c r="M61" s="185"/>
      <c r="N61" s="185"/>
      <c r="O61" s="185"/>
      <c r="P61" s="185"/>
      <c r="Q61" s="185"/>
      <c r="R61" s="185"/>
      <c r="S61" s="185"/>
      <c r="T61" s="185"/>
      <c r="U61" s="185"/>
      <c r="V61" s="185"/>
      <c r="W61" s="185"/>
      <c r="X61" s="185"/>
      <c r="Y61" s="185"/>
      <c r="Z61" s="185"/>
    </row>
    <row r="62" ht="19.5" customHeight="1">
      <c r="A62" s="203"/>
      <c r="B62" s="67" t="s">
        <v>737</v>
      </c>
      <c r="C62" s="67">
        <v>1.0</v>
      </c>
      <c r="D62" s="192">
        <v>2.345</v>
      </c>
      <c r="E62" s="67">
        <v>0.14</v>
      </c>
      <c r="F62" s="67">
        <v>0.45</v>
      </c>
      <c r="G62" s="67">
        <f t="shared" si="8"/>
        <v>0.5</v>
      </c>
      <c r="H62" s="182">
        <f t="shared" si="9"/>
        <v>0.63315</v>
      </c>
      <c r="I62" s="182">
        <f t="shared" si="10"/>
        <v>0.3283</v>
      </c>
      <c r="J62" s="182">
        <f t="shared" si="11"/>
        <v>2.1105</v>
      </c>
      <c r="K62" s="182">
        <f t="shared" si="12"/>
        <v>2.4388</v>
      </c>
      <c r="L62" s="185"/>
      <c r="M62" s="185"/>
      <c r="N62" s="185"/>
      <c r="O62" s="185"/>
      <c r="P62" s="185"/>
      <c r="Q62" s="185"/>
      <c r="R62" s="185"/>
      <c r="S62" s="185"/>
      <c r="T62" s="185"/>
      <c r="U62" s="185"/>
      <c r="V62" s="185"/>
      <c r="W62" s="185"/>
      <c r="X62" s="185"/>
      <c r="Y62" s="185"/>
      <c r="Z62" s="185"/>
    </row>
    <row r="63" ht="19.5" customHeight="1">
      <c r="A63" s="203"/>
      <c r="B63" s="67" t="s">
        <v>738</v>
      </c>
      <c r="C63" s="67">
        <v>1.0</v>
      </c>
      <c r="D63" s="192">
        <v>2.465</v>
      </c>
      <c r="E63" s="67">
        <v>0.14</v>
      </c>
      <c r="F63" s="67">
        <v>0.45</v>
      </c>
      <c r="G63" s="67">
        <f t="shared" si="8"/>
        <v>0.5</v>
      </c>
      <c r="H63" s="182">
        <f t="shared" si="9"/>
        <v>0.66555</v>
      </c>
      <c r="I63" s="182">
        <f t="shared" si="10"/>
        <v>0.3451</v>
      </c>
      <c r="J63" s="182">
        <f t="shared" si="11"/>
        <v>2.2185</v>
      </c>
      <c r="K63" s="182">
        <f t="shared" si="12"/>
        <v>2.5636</v>
      </c>
      <c r="L63" s="185"/>
      <c r="M63" s="185"/>
      <c r="N63" s="185"/>
      <c r="O63" s="185"/>
      <c r="P63" s="185"/>
      <c r="Q63" s="185"/>
      <c r="R63" s="185"/>
      <c r="S63" s="185"/>
      <c r="T63" s="185"/>
      <c r="U63" s="185"/>
      <c r="V63" s="185"/>
      <c r="W63" s="185"/>
      <c r="X63" s="185"/>
      <c r="Y63" s="185"/>
      <c r="Z63" s="185"/>
    </row>
    <row r="64" ht="19.5" customHeight="1">
      <c r="A64" s="203"/>
      <c r="B64" s="67" t="s">
        <v>739</v>
      </c>
      <c r="C64" s="67">
        <v>1.0</v>
      </c>
      <c r="D64" s="192">
        <v>1.46</v>
      </c>
      <c r="E64" s="67">
        <v>0.14</v>
      </c>
      <c r="F64" s="67">
        <v>0.45</v>
      </c>
      <c r="G64" s="67">
        <f t="shared" si="8"/>
        <v>0.5</v>
      </c>
      <c r="H64" s="182">
        <f t="shared" si="9"/>
        <v>0.3942</v>
      </c>
      <c r="I64" s="182">
        <f t="shared" si="10"/>
        <v>0.2044</v>
      </c>
      <c r="J64" s="182">
        <f t="shared" si="11"/>
        <v>1.314</v>
      </c>
      <c r="K64" s="182">
        <f t="shared" si="12"/>
        <v>1.5184</v>
      </c>
      <c r="L64" s="185"/>
      <c r="M64" s="185"/>
      <c r="N64" s="185"/>
      <c r="O64" s="185"/>
      <c r="P64" s="185"/>
      <c r="Q64" s="185"/>
      <c r="R64" s="185"/>
      <c r="S64" s="185"/>
      <c r="T64" s="185"/>
      <c r="U64" s="185"/>
      <c r="V64" s="185"/>
      <c r="W64" s="185"/>
      <c r="X64" s="185"/>
      <c r="Y64" s="185"/>
      <c r="Z64" s="185"/>
    </row>
    <row r="65" ht="19.5" customHeight="1">
      <c r="A65" s="203"/>
      <c r="B65" s="67" t="s">
        <v>740</v>
      </c>
      <c r="C65" s="67">
        <v>1.0</v>
      </c>
      <c r="D65" s="192">
        <v>2.345</v>
      </c>
      <c r="E65" s="67">
        <v>0.14</v>
      </c>
      <c r="F65" s="67">
        <v>0.45</v>
      </c>
      <c r="G65" s="67">
        <f t="shared" si="8"/>
        <v>0.5</v>
      </c>
      <c r="H65" s="182">
        <f t="shared" si="9"/>
        <v>0.63315</v>
      </c>
      <c r="I65" s="182">
        <f t="shared" si="10"/>
        <v>0.3283</v>
      </c>
      <c r="J65" s="182">
        <f t="shared" si="11"/>
        <v>2.1105</v>
      </c>
      <c r="K65" s="182">
        <f t="shared" si="12"/>
        <v>2.4388</v>
      </c>
      <c r="L65" s="185"/>
      <c r="M65" s="185"/>
      <c r="N65" s="185"/>
      <c r="O65" s="185"/>
      <c r="P65" s="185"/>
      <c r="Q65" s="185"/>
      <c r="R65" s="185"/>
      <c r="S65" s="185"/>
      <c r="T65" s="185"/>
      <c r="U65" s="185"/>
      <c r="V65" s="185"/>
      <c r="W65" s="185"/>
      <c r="X65" s="185"/>
      <c r="Y65" s="185"/>
      <c r="Z65" s="185"/>
    </row>
    <row r="66" ht="19.5" customHeight="1">
      <c r="A66" s="203"/>
      <c r="B66" s="67" t="s">
        <v>741</v>
      </c>
      <c r="C66" s="67">
        <v>1.0</v>
      </c>
      <c r="D66" s="188">
        <f>4.645+4.815*2+4.9+3.645</f>
        <v>22.82</v>
      </c>
      <c r="E66" s="67">
        <v>0.2</v>
      </c>
      <c r="F66" s="67">
        <v>0.45</v>
      </c>
      <c r="G66" s="67">
        <f t="shared" si="8"/>
        <v>0.5</v>
      </c>
      <c r="H66" s="182">
        <f t="shared" si="9"/>
        <v>6.846</v>
      </c>
      <c r="I66" s="182">
        <f t="shared" si="10"/>
        <v>4.564</v>
      </c>
      <c r="J66" s="182">
        <f t="shared" si="11"/>
        <v>20.538</v>
      </c>
      <c r="K66" s="182">
        <f t="shared" si="12"/>
        <v>25.102</v>
      </c>
      <c r="L66" s="185"/>
      <c r="M66" s="185"/>
      <c r="N66" s="185"/>
      <c r="O66" s="185"/>
      <c r="P66" s="185"/>
      <c r="Q66" s="185"/>
      <c r="R66" s="185"/>
      <c r="S66" s="185"/>
      <c r="T66" s="185"/>
      <c r="U66" s="185"/>
      <c r="V66" s="185"/>
      <c r="W66" s="185"/>
      <c r="X66" s="185"/>
      <c r="Y66" s="185"/>
      <c r="Z66" s="185"/>
    </row>
    <row r="67" ht="19.5" customHeight="1">
      <c r="A67" s="203"/>
      <c r="B67" s="190"/>
      <c r="C67" s="212"/>
      <c r="D67" s="188"/>
      <c r="E67" s="67"/>
      <c r="F67" s="243"/>
      <c r="G67" s="243"/>
      <c r="H67" s="193"/>
      <c r="I67" s="193"/>
      <c r="J67" s="188"/>
      <c r="K67" s="235"/>
      <c r="L67" s="185"/>
      <c r="M67" s="185"/>
      <c r="N67" s="185"/>
      <c r="O67" s="185"/>
      <c r="P67" s="185"/>
      <c r="Q67" s="185"/>
      <c r="R67" s="185"/>
      <c r="S67" s="185"/>
      <c r="T67" s="185"/>
      <c r="U67" s="185"/>
      <c r="V67" s="185"/>
      <c r="W67" s="185"/>
      <c r="X67" s="185"/>
      <c r="Y67" s="185"/>
      <c r="Z67" s="185"/>
    </row>
    <row r="68" ht="19.5" customHeight="1">
      <c r="A68" s="203"/>
      <c r="B68" s="67" t="s">
        <v>742</v>
      </c>
      <c r="C68" s="67">
        <v>9.0</v>
      </c>
      <c r="D68" s="67">
        <v>0.25</v>
      </c>
      <c r="E68" s="67">
        <v>0.4</v>
      </c>
      <c r="F68" s="67">
        <v>1.5</v>
      </c>
      <c r="G68" s="67"/>
      <c r="H68" s="182"/>
      <c r="I68" s="182"/>
      <c r="J68" s="182"/>
      <c r="K68" s="182">
        <f t="shared" ref="K68:K71" si="13">C68*((D68+E68)*2)*F68</f>
        <v>17.55</v>
      </c>
      <c r="L68" s="185"/>
      <c r="M68" s="185"/>
      <c r="N68" s="185"/>
      <c r="O68" s="185"/>
      <c r="P68" s="185"/>
      <c r="Q68" s="185"/>
      <c r="R68" s="185"/>
      <c r="S68" s="185"/>
      <c r="T68" s="185"/>
      <c r="U68" s="185"/>
      <c r="V68" s="185"/>
      <c r="W68" s="185"/>
      <c r="X68" s="185"/>
      <c r="Y68" s="185"/>
      <c r="Z68" s="185"/>
    </row>
    <row r="69" ht="19.5" customHeight="1">
      <c r="A69" s="203"/>
      <c r="B69" s="67" t="s">
        <v>666</v>
      </c>
      <c r="C69" s="67">
        <v>13.0</v>
      </c>
      <c r="D69" s="189">
        <v>0.2</v>
      </c>
      <c r="E69" s="67">
        <v>0.2</v>
      </c>
      <c r="F69" s="67">
        <v>1.5</v>
      </c>
      <c r="G69" s="243"/>
      <c r="H69" s="182"/>
      <c r="I69" s="182"/>
      <c r="J69" s="182"/>
      <c r="K69" s="182">
        <f t="shared" si="13"/>
        <v>15.6</v>
      </c>
      <c r="L69" s="185"/>
      <c r="M69" s="185"/>
      <c r="N69" s="185"/>
      <c r="O69" s="185"/>
      <c r="P69" s="185"/>
      <c r="Q69" s="185"/>
      <c r="R69" s="185"/>
      <c r="S69" s="185"/>
      <c r="T69" s="185"/>
      <c r="U69" s="185"/>
      <c r="V69" s="185"/>
      <c r="W69" s="185"/>
      <c r="X69" s="185"/>
      <c r="Y69" s="185"/>
      <c r="Z69" s="185"/>
    </row>
    <row r="70" ht="19.5" customHeight="1">
      <c r="A70" s="203"/>
      <c r="B70" s="67" t="s">
        <v>743</v>
      </c>
      <c r="C70" s="67">
        <v>2.0</v>
      </c>
      <c r="D70" s="189">
        <v>0.25</v>
      </c>
      <c r="E70" s="67">
        <v>0.6</v>
      </c>
      <c r="F70" s="67">
        <v>1.5</v>
      </c>
      <c r="G70" s="243"/>
      <c r="H70" s="182"/>
      <c r="I70" s="182"/>
      <c r="J70" s="182"/>
      <c r="K70" s="182">
        <f t="shared" si="13"/>
        <v>5.1</v>
      </c>
      <c r="L70" s="185"/>
      <c r="M70" s="185"/>
      <c r="N70" s="185"/>
      <c r="O70" s="185"/>
      <c r="P70" s="185"/>
      <c r="Q70" s="185"/>
      <c r="R70" s="185"/>
      <c r="S70" s="185"/>
      <c r="T70" s="185"/>
      <c r="U70" s="185"/>
      <c r="V70" s="185"/>
      <c r="W70" s="185"/>
      <c r="X70" s="185"/>
      <c r="Y70" s="185"/>
      <c r="Z70" s="185"/>
    </row>
    <row r="71" ht="19.5" customHeight="1">
      <c r="A71" s="203"/>
      <c r="B71" s="67" t="s">
        <v>671</v>
      </c>
      <c r="C71" s="67">
        <v>3.0</v>
      </c>
      <c r="D71" s="189">
        <v>0.25</v>
      </c>
      <c r="E71" s="67">
        <v>0.25</v>
      </c>
      <c r="F71" s="67">
        <v>1.5</v>
      </c>
      <c r="G71" s="243"/>
      <c r="H71" s="182"/>
      <c r="I71" s="182"/>
      <c r="J71" s="182"/>
      <c r="K71" s="182">
        <f t="shared" si="13"/>
        <v>4.5</v>
      </c>
      <c r="L71" s="185"/>
      <c r="M71" s="185"/>
      <c r="N71" s="185"/>
      <c r="O71" s="185"/>
      <c r="P71" s="185"/>
      <c r="Q71" s="185"/>
      <c r="R71" s="185"/>
      <c r="S71" s="185"/>
      <c r="T71" s="185"/>
      <c r="U71" s="185"/>
      <c r="V71" s="185"/>
      <c r="W71" s="185"/>
      <c r="X71" s="185"/>
      <c r="Y71" s="185"/>
      <c r="Z71" s="185"/>
    </row>
    <row r="72" ht="19.5" customHeight="1">
      <c r="A72" s="203"/>
      <c r="B72" s="67"/>
      <c r="C72" s="243"/>
      <c r="D72" s="182"/>
      <c r="E72" s="243"/>
      <c r="F72" s="67"/>
      <c r="G72" s="243"/>
      <c r="H72" s="182"/>
      <c r="I72" s="182"/>
      <c r="J72" s="182"/>
      <c r="K72" s="182"/>
      <c r="L72" s="185"/>
      <c r="M72" s="185"/>
      <c r="N72" s="185"/>
      <c r="O72" s="185"/>
      <c r="P72" s="185"/>
      <c r="Q72" s="185"/>
      <c r="R72" s="185"/>
      <c r="S72" s="185"/>
      <c r="T72" s="185"/>
      <c r="U72" s="185"/>
      <c r="V72" s="185"/>
      <c r="W72" s="185"/>
      <c r="X72" s="185"/>
      <c r="Y72" s="185"/>
      <c r="Z72" s="185"/>
    </row>
    <row r="73" ht="19.5" customHeight="1">
      <c r="A73" s="151"/>
      <c r="B73" s="67" t="s">
        <v>672</v>
      </c>
      <c r="C73" s="243"/>
      <c r="D73" s="182"/>
      <c r="E73" s="243"/>
      <c r="F73" s="243"/>
      <c r="G73" s="243"/>
      <c r="H73" s="182"/>
      <c r="I73" s="182"/>
      <c r="J73" s="182"/>
      <c r="K73" s="182">
        <f>SUM(K48:K71)</f>
        <v>178.3542</v>
      </c>
      <c r="L73" s="185"/>
      <c r="M73" s="185"/>
      <c r="N73" s="185"/>
      <c r="O73" s="185"/>
      <c r="P73" s="185"/>
      <c r="Q73" s="185"/>
      <c r="R73" s="185"/>
      <c r="S73" s="185"/>
      <c r="T73" s="185"/>
      <c r="U73" s="185"/>
      <c r="V73" s="185"/>
      <c r="W73" s="185"/>
      <c r="X73" s="185"/>
      <c r="Y73" s="185"/>
      <c r="Z73" s="185"/>
    </row>
    <row r="74" ht="19.5" customHeight="1">
      <c r="A74" s="151"/>
      <c r="B74" s="194" t="s">
        <v>745</v>
      </c>
      <c r="C74" s="243"/>
      <c r="D74" s="182"/>
      <c r="E74" s="243"/>
      <c r="F74" s="243"/>
      <c r="G74" s="67"/>
      <c r="H74" s="189"/>
      <c r="I74" s="189"/>
      <c r="J74" s="189"/>
      <c r="K74" s="182">
        <f>SUM(I48:I66)</f>
        <v>21.9117</v>
      </c>
      <c r="L74" s="185"/>
      <c r="M74" s="185"/>
      <c r="N74" s="185"/>
      <c r="O74" s="185"/>
      <c r="P74" s="185"/>
      <c r="Q74" s="185"/>
      <c r="R74" s="185"/>
      <c r="S74" s="185"/>
      <c r="T74" s="185"/>
      <c r="U74" s="185"/>
      <c r="V74" s="185"/>
      <c r="W74" s="185"/>
      <c r="X74" s="185"/>
      <c r="Y74" s="185"/>
      <c r="Z74" s="185"/>
    </row>
    <row r="75" ht="19.5" customHeight="1">
      <c r="A75" s="151"/>
      <c r="B75" s="194" t="s">
        <v>674</v>
      </c>
      <c r="C75" s="243"/>
      <c r="D75" s="182"/>
      <c r="E75" s="243"/>
      <c r="F75" s="243"/>
      <c r="G75" s="67"/>
      <c r="H75" s="189"/>
      <c r="I75" s="189"/>
      <c r="J75" s="189"/>
      <c r="K75" s="182">
        <f>SUM(H48:H66)</f>
        <v>35.89836</v>
      </c>
      <c r="L75" s="185"/>
      <c r="M75" s="185"/>
      <c r="N75" s="185"/>
      <c r="O75" s="185"/>
      <c r="P75" s="185"/>
      <c r="Q75" s="185"/>
      <c r="R75" s="185"/>
      <c r="S75" s="185"/>
      <c r="T75" s="185"/>
      <c r="U75" s="185"/>
      <c r="V75" s="185"/>
      <c r="W75" s="185"/>
      <c r="X75" s="185"/>
      <c r="Y75" s="185"/>
      <c r="Z75" s="185"/>
    </row>
    <row r="76" ht="19.5" customHeight="1">
      <c r="A76" s="151"/>
      <c r="B76" s="194" t="s">
        <v>746</v>
      </c>
      <c r="C76" s="243"/>
      <c r="D76" s="182"/>
      <c r="E76" s="243"/>
      <c r="F76" s="243"/>
      <c r="G76" s="243"/>
      <c r="H76" s="182" t="str">
        <f t="shared" ref="H76:I76" si="14">J74</f>
        <v/>
      </c>
      <c r="I76" s="189">
        <f t="shared" si="14"/>
        <v>21.9117</v>
      </c>
      <c r="J76" s="189">
        <v>0.05</v>
      </c>
      <c r="K76" s="182">
        <f>I76*J76</f>
        <v>1.095585</v>
      </c>
      <c r="L76" s="185"/>
      <c r="M76" s="185"/>
      <c r="N76" s="185"/>
      <c r="O76" s="185"/>
      <c r="P76" s="185"/>
      <c r="Q76" s="185"/>
      <c r="R76" s="185"/>
      <c r="S76" s="185"/>
      <c r="T76" s="185"/>
      <c r="U76" s="185"/>
      <c r="V76" s="185"/>
      <c r="W76" s="185"/>
      <c r="X76" s="185"/>
      <c r="Y76" s="185"/>
      <c r="Z76" s="185"/>
    </row>
    <row r="77" ht="19.5" customHeight="1">
      <c r="A77" s="144"/>
      <c r="B77" s="67" t="s">
        <v>747</v>
      </c>
      <c r="C77" s="243"/>
      <c r="D77" s="182"/>
      <c r="E77" s="243"/>
      <c r="F77" s="243"/>
      <c r="G77" s="243"/>
      <c r="H77" s="182"/>
      <c r="I77" s="182"/>
      <c r="J77" s="182"/>
      <c r="K77" s="182">
        <f>38.56+95.73</f>
        <v>134.29</v>
      </c>
      <c r="L77" s="185"/>
      <c r="M77" s="185"/>
      <c r="N77" s="185"/>
      <c r="O77" s="185"/>
      <c r="P77" s="185"/>
      <c r="Q77" s="185"/>
      <c r="R77" s="185"/>
      <c r="S77" s="185"/>
      <c r="T77" s="185"/>
      <c r="U77" s="185"/>
      <c r="V77" s="185"/>
      <c r="W77" s="185"/>
      <c r="X77" s="185"/>
      <c r="Y77" s="185"/>
      <c r="Z77" s="185"/>
    </row>
    <row r="78" ht="19.5" customHeight="1">
      <c r="A78" s="144"/>
      <c r="B78" s="67" t="s">
        <v>748</v>
      </c>
      <c r="C78" s="243"/>
      <c r="D78" s="182"/>
      <c r="E78" s="243"/>
      <c r="F78" s="243"/>
      <c r="G78" s="67"/>
      <c r="H78" s="189"/>
      <c r="I78" s="189"/>
      <c r="J78" s="189"/>
      <c r="K78" s="182">
        <f>6.7+2.86</f>
        <v>9.56</v>
      </c>
      <c r="L78" s="185"/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5"/>
    </row>
    <row r="79" ht="19.5" customHeight="1">
      <c r="A79" s="203"/>
      <c r="B79" s="194"/>
      <c r="C79" s="67" t="s">
        <v>683</v>
      </c>
      <c r="D79" s="189" t="s">
        <v>108</v>
      </c>
      <c r="E79" s="67" t="s">
        <v>684</v>
      </c>
      <c r="F79" s="243"/>
      <c r="G79" s="243"/>
      <c r="H79" s="182"/>
      <c r="I79" s="182"/>
      <c r="J79" s="192"/>
      <c r="K79" s="245" t="s">
        <v>749</v>
      </c>
      <c r="L79" s="185"/>
      <c r="M79" s="185"/>
      <c r="N79" s="185"/>
      <c r="O79" s="185"/>
      <c r="P79" s="185"/>
      <c r="Q79" s="185"/>
      <c r="R79" s="185"/>
      <c r="S79" s="185"/>
      <c r="T79" s="185"/>
      <c r="U79" s="185"/>
      <c r="V79" s="185"/>
      <c r="W79" s="185"/>
      <c r="X79" s="185"/>
      <c r="Y79" s="185"/>
      <c r="Z79" s="185"/>
    </row>
    <row r="80" ht="19.5" customHeight="1">
      <c r="A80" s="151"/>
      <c r="B80" s="194" t="s">
        <v>685</v>
      </c>
      <c r="C80" s="67" t="s">
        <v>686</v>
      </c>
      <c r="D80" s="189">
        <f>578+206.8</f>
        <v>784.8</v>
      </c>
      <c r="E80" s="67">
        <v>0.154</v>
      </c>
      <c r="F80" s="243"/>
      <c r="G80" s="243"/>
      <c r="H80" s="182"/>
      <c r="I80" s="182"/>
      <c r="J80" s="192"/>
      <c r="K80" s="188">
        <f t="shared" ref="K80:K85" si="15">D80*E80</f>
        <v>120.8592</v>
      </c>
      <c r="L80" s="305">
        <f>K80+F35</f>
        <v>122.9382</v>
      </c>
      <c r="M80" s="185"/>
      <c r="N80" s="185"/>
      <c r="O80" s="185"/>
      <c r="P80" s="185"/>
      <c r="Q80" s="185"/>
      <c r="R80" s="185"/>
      <c r="S80" s="185"/>
      <c r="T80" s="185"/>
      <c r="U80" s="185"/>
      <c r="V80" s="185"/>
      <c r="W80" s="185"/>
      <c r="X80" s="185"/>
      <c r="Y80" s="185"/>
      <c r="Z80" s="185"/>
    </row>
    <row r="81" ht="19.5" customHeight="1">
      <c r="A81" s="203"/>
      <c r="B81" s="194"/>
      <c r="C81" s="208">
        <v>45357.0</v>
      </c>
      <c r="D81" s="189">
        <v>3.0</v>
      </c>
      <c r="E81" s="67">
        <v>0.245</v>
      </c>
      <c r="F81" s="243"/>
      <c r="G81" s="243"/>
      <c r="H81" s="182"/>
      <c r="I81" s="182"/>
      <c r="J81" s="192"/>
      <c r="K81" s="188">
        <f t="shared" si="15"/>
        <v>0.735</v>
      </c>
      <c r="L81" s="185"/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  <c r="X81" s="185"/>
      <c r="Y81" s="185"/>
      <c r="Z81" s="185"/>
    </row>
    <row r="82" ht="19.5" customHeight="1">
      <c r="A82" s="203"/>
      <c r="B82" s="194"/>
      <c r="C82" s="209">
        <v>8.0</v>
      </c>
      <c r="D82" s="189">
        <f>506.2+211.7</f>
        <v>717.9</v>
      </c>
      <c r="E82" s="67">
        <v>0.395</v>
      </c>
      <c r="F82" s="243"/>
      <c r="G82" s="243"/>
      <c r="H82" s="182"/>
      <c r="I82" s="182"/>
      <c r="J82" s="192"/>
      <c r="K82" s="188">
        <f t="shared" si="15"/>
        <v>283.5705</v>
      </c>
      <c r="L82" s="306">
        <f>K82+F36</f>
        <v>309.3324</v>
      </c>
      <c r="M82" s="185"/>
      <c r="N82" s="185"/>
      <c r="O82" s="185"/>
      <c r="P82" s="185"/>
      <c r="Q82" s="185"/>
      <c r="R82" s="185"/>
      <c r="S82" s="185"/>
      <c r="T82" s="185"/>
      <c r="U82" s="185"/>
      <c r="V82" s="185"/>
      <c r="W82" s="185"/>
      <c r="X82" s="185"/>
      <c r="Y82" s="185"/>
      <c r="Z82" s="185"/>
    </row>
    <row r="83" ht="19.5" customHeight="1">
      <c r="A83" s="203"/>
      <c r="B83" s="194"/>
      <c r="C83" s="209">
        <v>10.0</v>
      </c>
      <c r="D83" s="189">
        <f>4+36.4</f>
        <v>40.4</v>
      </c>
      <c r="E83" s="67">
        <v>0.617</v>
      </c>
      <c r="F83" s="243"/>
      <c r="G83" s="243"/>
      <c r="H83" s="182"/>
      <c r="I83" s="182"/>
      <c r="J83" s="192"/>
      <c r="K83" s="188">
        <f t="shared" si="15"/>
        <v>24.9268</v>
      </c>
      <c r="L83" s="307"/>
      <c r="M83" s="185"/>
      <c r="N83" s="185"/>
      <c r="O83" s="185"/>
      <c r="P83" s="185"/>
      <c r="Q83" s="185"/>
      <c r="R83" s="185"/>
      <c r="S83" s="185"/>
      <c r="T83" s="185"/>
      <c r="U83" s="185"/>
      <c r="V83" s="185"/>
      <c r="W83" s="185"/>
      <c r="X83" s="185"/>
      <c r="Y83" s="185"/>
      <c r="Z83" s="185"/>
    </row>
    <row r="84" ht="19.5" customHeight="1">
      <c r="A84" s="203"/>
      <c r="B84" s="194"/>
      <c r="C84" s="208">
        <v>45424.0</v>
      </c>
      <c r="D84" s="189">
        <v>0.0</v>
      </c>
      <c r="E84" s="67">
        <v>0.963</v>
      </c>
      <c r="F84" s="243"/>
      <c r="G84" s="243"/>
      <c r="H84" s="182"/>
      <c r="I84" s="182"/>
      <c r="J84" s="192"/>
      <c r="K84" s="188">
        <f t="shared" si="15"/>
        <v>0</v>
      </c>
      <c r="L84" s="185"/>
      <c r="M84" s="185"/>
      <c r="N84" s="185"/>
      <c r="O84" s="185"/>
      <c r="P84" s="185"/>
      <c r="Q84" s="185"/>
      <c r="R84" s="185"/>
      <c r="S84" s="185"/>
      <c r="T84" s="185"/>
      <c r="U84" s="185"/>
      <c r="V84" s="185"/>
      <c r="W84" s="185"/>
      <c r="X84" s="185"/>
      <c r="Y84" s="185"/>
      <c r="Z84" s="185"/>
    </row>
    <row r="85" ht="19.5" customHeight="1">
      <c r="A85" s="203"/>
      <c r="B85" s="190"/>
      <c r="C85" s="212"/>
      <c r="D85" s="192"/>
      <c r="E85" s="67"/>
      <c r="F85" s="243"/>
      <c r="G85" s="243"/>
      <c r="H85" s="193"/>
      <c r="I85" s="193"/>
      <c r="J85" s="192"/>
      <c r="K85" s="188">
        <f t="shared" si="15"/>
        <v>0</v>
      </c>
      <c r="L85" s="185"/>
      <c r="M85" s="185"/>
      <c r="N85" s="185"/>
      <c r="O85" s="185"/>
      <c r="P85" s="185"/>
      <c r="Q85" s="185"/>
      <c r="R85" s="185"/>
      <c r="S85" s="185"/>
      <c r="T85" s="185"/>
      <c r="U85" s="185"/>
      <c r="V85" s="185"/>
      <c r="W85" s="185"/>
      <c r="X85" s="185"/>
      <c r="Y85" s="185"/>
      <c r="Z85" s="185"/>
    </row>
    <row r="86" ht="19.5" customHeight="1">
      <c r="A86" s="203"/>
      <c r="B86" s="67"/>
      <c r="C86" s="67" t="s">
        <v>751</v>
      </c>
      <c r="D86" s="189" t="s">
        <v>752</v>
      </c>
      <c r="E86" s="67" t="s">
        <v>212</v>
      </c>
      <c r="F86" s="243"/>
      <c r="G86" s="243"/>
      <c r="H86" s="193"/>
      <c r="I86" s="193"/>
      <c r="J86" s="192"/>
      <c r="K86" s="188"/>
      <c r="L86" s="185"/>
      <c r="M86" s="185"/>
      <c r="N86" s="185"/>
      <c r="O86" s="185"/>
      <c r="P86" s="185"/>
      <c r="Q86" s="185"/>
      <c r="R86" s="185"/>
      <c r="S86" s="185"/>
      <c r="T86" s="185"/>
      <c r="U86" s="185"/>
      <c r="V86" s="185"/>
      <c r="W86" s="185"/>
      <c r="X86" s="185"/>
      <c r="Y86" s="185"/>
      <c r="Z86" s="185"/>
    </row>
    <row r="87" ht="19.5" customHeight="1">
      <c r="A87" s="151"/>
      <c r="B87" s="67" t="s">
        <v>339</v>
      </c>
      <c r="C87" s="182">
        <f>J21+K75</f>
        <v>56.004985</v>
      </c>
      <c r="D87" s="182">
        <f>K78+K76+J26+J22</f>
        <v>17.25221</v>
      </c>
      <c r="E87" s="182">
        <f>C87-D87</f>
        <v>38.752775</v>
      </c>
      <c r="F87" s="243"/>
      <c r="G87" s="243"/>
      <c r="H87" s="193"/>
      <c r="I87" s="193"/>
      <c r="J87" s="192"/>
      <c r="K87" s="188"/>
      <c r="L87" s="185"/>
      <c r="M87" s="185"/>
      <c r="N87" s="185"/>
      <c r="O87" s="185"/>
      <c r="P87" s="185"/>
      <c r="Q87" s="185"/>
      <c r="R87" s="185"/>
      <c r="S87" s="185"/>
      <c r="T87" s="185"/>
      <c r="U87" s="185"/>
      <c r="V87" s="185"/>
      <c r="W87" s="185"/>
      <c r="X87" s="185"/>
      <c r="Y87" s="185"/>
      <c r="Z87" s="185"/>
    </row>
    <row r="88" ht="19.5" customHeight="1">
      <c r="A88" s="246"/>
      <c r="B88" s="187" t="s">
        <v>755</v>
      </c>
      <c r="C88" s="188">
        <f>K78+J26+J27</f>
        <v>16.28</v>
      </c>
      <c r="D88" s="188"/>
      <c r="E88" s="243"/>
      <c r="F88" s="243"/>
      <c r="G88" s="243"/>
      <c r="H88" s="193"/>
      <c r="I88" s="193"/>
      <c r="J88" s="192"/>
      <c r="K88" s="188"/>
      <c r="L88" s="185"/>
      <c r="M88" s="185"/>
      <c r="N88" s="185"/>
      <c r="O88" s="185"/>
      <c r="P88" s="185"/>
      <c r="Q88" s="185"/>
      <c r="R88" s="185"/>
      <c r="S88" s="185"/>
      <c r="T88" s="185"/>
      <c r="U88" s="185"/>
      <c r="V88" s="185"/>
      <c r="W88" s="185"/>
      <c r="X88" s="185"/>
      <c r="Y88" s="185"/>
      <c r="Z88" s="185"/>
    </row>
    <row r="89" ht="19.5" customHeight="1">
      <c r="A89" s="227" t="s">
        <v>756</v>
      </c>
      <c r="B89" s="28"/>
      <c r="C89" s="28"/>
      <c r="D89" s="28"/>
      <c r="E89" s="28"/>
      <c r="F89" s="28"/>
      <c r="G89" s="28"/>
      <c r="H89" s="28"/>
      <c r="I89" s="28"/>
      <c r="J89" s="28"/>
      <c r="K89" s="29"/>
    </row>
    <row r="90" ht="19.5" customHeight="1">
      <c r="A90" s="74"/>
      <c r="B90" s="99" t="s">
        <v>757</v>
      </c>
      <c r="C90" s="74"/>
      <c r="D90" s="76"/>
      <c r="E90" s="50"/>
      <c r="F90" s="53"/>
      <c r="G90" s="53"/>
      <c r="H90" s="75"/>
      <c r="I90" s="75"/>
      <c r="J90" s="76"/>
      <c r="K90" s="247"/>
    </row>
    <row r="91" ht="19.5" customHeight="1">
      <c r="A91" s="246">
        <v>37351.0</v>
      </c>
      <c r="B91" s="67" t="s">
        <v>758</v>
      </c>
      <c r="C91" s="243"/>
      <c r="D91" s="243"/>
      <c r="E91" s="243"/>
      <c r="F91" s="243">
        <f>43.01+80.58</f>
        <v>123.59</v>
      </c>
      <c r="G91" s="67" t="s">
        <v>103</v>
      </c>
      <c r="H91" s="193"/>
      <c r="I91" s="193"/>
      <c r="J91" s="192"/>
      <c r="K91" s="188"/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  <c r="X91" s="185"/>
      <c r="Y91" s="185"/>
      <c r="Z91" s="185"/>
    </row>
    <row r="92" ht="19.5" customHeight="1">
      <c r="A92" s="246">
        <v>36986.0</v>
      </c>
      <c r="B92" s="67" t="s">
        <v>759</v>
      </c>
      <c r="C92" s="243"/>
      <c r="D92" s="243"/>
      <c r="E92" s="67"/>
      <c r="F92" s="67">
        <f>5.67+3.23</f>
        <v>8.9</v>
      </c>
      <c r="G92" s="67" t="s">
        <v>148</v>
      </c>
      <c r="H92" s="193"/>
      <c r="I92" s="193"/>
      <c r="J92" s="192"/>
      <c r="K92" s="188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185"/>
      <c r="Y92" s="185"/>
      <c r="Z92" s="185"/>
    </row>
    <row r="93" ht="19.5" customHeight="1">
      <c r="A93" s="151" t="s">
        <v>760</v>
      </c>
      <c r="B93" s="67" t="s">
        <v>761</v>
      </c>
      <c r="C93" s="67" t="s">
        <v>686</v>
      </c>
      <c r="D93" s="67">
        <f>423.4</f>
        <v>423.4</v>
      </c>
      <c r="E93" s="67">
        <v>0.154</v>
      </c>
      <c r="F93" s="182">
        <f t="shared" ref="F93:F95" si="16">D93*E93</f>
        <v>65.2036</v>
      </c>
      <c r="G93" s="67" t="s">
        <v>158</v>
      </c>
      <c r="H93" s="193"/>
      <c r="I93" s="193"/>
      <c r="J93" s="192"/>
      <c r="K93" s="188"/>
      <c r="L93" s="185"/>
      <c r="M93" s="185"/>
      <c r="N93" s="185"/>
      <c r="O93" s="185"/>
      <c r="P93" s="185"/>
      <c r="Q93" s="185"/>
      <c r="R93" s="185"/>
      <c r="S93" s="185"/>
      <c r="T93" s="185"/>
      <c r="U93" s="185"/>
      <c r="V93" s="185"/>
      <c r="W93" s="185"/>
      <c r="X93" s="185"/>
      <c r="Y93" s="185"/>
      <c r="Z93" s="185"/>
    </row>
    <row r="94" ht="19.5" customHeight="1">
      <c r="A94" s="203"/>
      <c r="B94" s="243"/>
      <c r="C94" s="209" t="s">
        <v>720</v>
      </c>
      <c r="D94" s="67"/>
      <c r="E94" s="67">
        <v>0.395</v>
      </c>
      <c r="F94" s="182">
        <f t="shared" si="16"/>
        <v>0</v>
      </c>
      <c r="G94" s="67" t="s">
        <v>158</v>
      </c>
      <c r="H94" s="193"/>
      <c r="I94" s="193"/>
      <c r="J94" s="192"/>
      <c r="K94" s="188"/>
      <c r="L94" s="185"/>
      <c r="M94" s="185"/>
      <c r="N94" s="185"/>
      <c r="O94" s="185"/>
      <c r="P94" s="185"/>
      <c r="Q94" s="185"/>
      <c r="R94" s="185"/>
      <c r="S94" s="185"/>
      <c r="T94" s="185"/>
      <c r="U94" s="185"/>
      <c r="V94" s="185"/>
      <c r="W94" s="185"/>
      <c r="X94" s="185"/>
      <c r="Y94" s="185"/>
      <c r="Z94" s="185"/>
    </row>
    <row r="95" ht="19.5" customHeight="1">
      <c r="A95" s="203"/>
      <c r="B95" s="243"/>
      <c r="C95" s="209">
        <v>10.0</v>
      </c>
      <c r="D95" s="243">
        <f>195.2</f>
        <v>195.2</v>
      </c>
      <c r="E95" s="67">
        <v>0.617</v>
      </c>
      <c r="F95" s="182">
        <f t="shared" si="16"/>
        <v>120.4384</v>
      </c>
      <c r="G95" s="67" t="s">
        <v>158</v>
      </c>
      <c r="H95" s="193"/>
      <c r="I95" s="193"/>
      <c r="J95" s="192"/>
      <c r="K95" s="188"/>
      <c r="L95" s="185"/>
      <c r="M95" s="185"/>
      <c r="N95" s="185"/>
      <c r="O95" s="185"/>
      <c r="P95" s="185"/>
      <c r="Q95" s="185"/>
      <c r="R95" s="185"/>
      <c r="S95" s="185"/>
      <c r="T95" s="185"/>
      <c r="U95" s="185"/>
      <c r="V95" s="185"/>
      <c r="W95" s="185"/>
      <c r="X95" s="185"/>
      <c r="Y95" s="185"/>
      <c r="Z95" s="185"/>
    </row>
    <row r="96" ht="19.5" customHeight="1">
      <c r="A96" s="74"/>
      <c r="B96" s="99" t="s">
        <v>762</v>
      </c>
      <c r="C96" s="74"/>
      <c r="D96" s="76"/>
      <c r="E96" s="50"/>
      <c r="F96" s="53"/>
      <c r="G96" s="53"/>
      <c r="H96" s="75"/>
      <c r="I96" s="75"/>
      <c r="J96" s="76"/>
      <c r="K96" s="247"/>
    </row>
    <row r="97" ht="19.5" customHeight="1">
      <c r="A97" s="246">
        <v>37716.0</v>
      </c>
      <c r="B97" s="67" t="s">
        <v>758</v>
      </c>
      <c r="C97" s="243"/>
      <c r="D97" s="243"/>
      <c r="E97" s="243"/>
      <c r="F97" s="182">
        <f>29.6+106.81</f>
        <v>136.41</v>
      </c>
      <c r="G97" s="67" t="s">
        <v>103</v>
      </c>
      <c r="H97" s="193"/>
      <c r="I97" s="193"/>
      <c r="J97" s="192"/>
      <c r="K97" s="188"/>
      <c r="L97" s="185"/>
      <c r="M97" s="185"/>
      <c r="N97" s="185"/>
      <c r="O97" s="185"/>
      <c r="P97" s="185"/>
      <c r="Q97" s="185"/>
      <c r="R97" s="185"/>
      <c r="S97" s="185"/>
      <c r="T97" s="185"/>
      <c r="U97" s="185"/>
      <c r="V97" s="185"/>
      <c r="W97" s="185"/>
      <c r="X97" s="185"/>
      <c r="Y97" s="185"/>
      <c r="Z97" s="185"/>
    </row>
    <row r="98" ht="19.5" customHeight="1">
      <c r="A98" s="246">
        <v>36986.0</v>
      </c>
      <c r="B98" s="67" t="s">
        <v>759</v>
      </c>
      <c r="C98" s="243"/>
      <c r="D98" s="243"/>
      <c r="E98" s="67"/>
      <c r="F98" s="189">
        <f>6.46</f>
        <v>6.46</v>
      </c>
      <c r="G98" s="67" t="s">
        <v>148</v>
      </c>
      <c r="H98" s="193"/>
      <c r="I98" s="193"/>
      <c r="J98" s="192"/>
      <c r="K98" s="188"/>
      <c r="L98" s="185"/>
      <c r="M98" s="185"/>
      <c r="N98" s="185"/>
      <c r="O98" s="185"/>
      <c r="P98" s="185"/>
      <c r="Q98" s="185"/>
      <c r="R98" s="185"/>
      <c r="S98" s="185"/>
      <c r="T98" s="185"/>
      <c r="U98" s="185"/>
      <c r="V98" s="185"/>
      <c r="W98" s="185"/>
      <c r="X98" s="185"/>
      <c r="Y98" s="185"/>
      <c r="Z98" s="185"/>
    </row>
    <row r="99" ht="19.5" customHeight="1">
      <c r="A99" s="151" t="s">
        <v>760</v>
      </c>
      <c r="B99" s="67" t="s">
        <v>761</v>
      </c>
      <c r="C99" s="67" t="s">
        <v>686</v>
      </c>
      <c r="D99" s="67">
        <f>525.2+785.3</f>
        <v>1310.5</v>
      </c>
      <c r="E99" s="67">
        <v>0.154</v>
      </c>
      <c r="F99" s="182">
        <f t="shared" ref="F99:F101" si="17">D99*E99</f>
        <v>201.817</v>
      </c>
      <c r="G99" s="67" t="s">
        <v>158</v>
      </c>
      <c r="H99" s="193"/>
      <c r="I99" s="193"/>
      <c r="J99" s="192"/>
      <c r="K99" s="188"/>
      <c r="L99" s="185"/>
      <c r="M99" s="185"/>
      <c r="N99" s="185"/>
      <c r="O99" s="185"/>
      <c r="P99" s="185"/>
      <c r="Q99" s="185"/>
      <c r="R99" s="185"/>
      <c r="S99" s="185"/>
      <c r="T99" s="185"/>
      <c r="U99" s="185"/>
      <c r="V99" s="185"/>
      <c r="W99" s="185"/>
      <c r="X99" s="185"/>
      <c r="Y99" s="185"/>
      <c r="Z99" s="185"/>
    </row>
    <row r="100" ht="19.5" customHeight="1">
      <c r="A100" s="203"/>
      <c r="B100" s="243"/>
      <c r="C100" s="209" t="s">
        <v>720</v>
      </c>
      <c r="D100" s="67">
        <f>155.7+415.9</f>
        <v>571.6</v>
      </c>
      <c r="E100" s="67">
        <v>0.395</v>
      </c>
      <c r="F100" s="182">
        <f t="shared" si="17"/>
        <v>225.782</v>
      </c>
      <c r="G100" s="67" t="s">
        <v>158</v>
      </c>
      <c r="H100" s="193"/>
      <c r="I100" s="193"/>
      <c r="J100" s="192"/>
      <c r="K100" s="188"/>
      <c r="L100" s="185"/>
      <c r="M100" s="185"/>
      <c r="N100" s="185"/>
      <c r="O100" s="185"/>
      <c r="P100" s="185"/>
      <c r="Q100" s="185"/>
      <c r="R100" s="185"/>
      <c r="S100" s="185"/>
      <c r="T100" s="185"/>
      <c r="U100" s="185"/>
      <c r="V100" s="185"/>
      <c r="W100" s="185"/>
      <c r="X100" s="185"/>
      <c r="Y100" s="185"/>
      <c r="Z100" s="185"/>
    </row>
    <row r="101" ht="19.5" customHeight="1">
      <c r="A101" s="203"/>
      <c r="B101" s="243"/>
      <c r="C101" s="209">
        <v>10.0</v>
      </c>
      <c r="D101" s="67">
        <v>6.2</v>
      </c>
      <c r="E101" s="67">
        <v>0.617</v>
      </c>
      <c r="F101" s="182">
        <f t="shared" si="17"/>
        <v>3.8254</v>
      </c>
      <c r="G101" s="67" t="s">
        <v>158</v>
      </c>
      <c r="H101" s="193"/>
      <c r="I101" s="193"/>
      <c r="J101" s="192"/>
      <c r="K101" s="188"/>
      <c r="L101" s="185"/>
      <c r="M101" s="185"/>
      <c r="N101" s="185"/>
      <c r="O101" s="185"/>
      <c r="P101" s="185"/>
      <c r="Q101" s="185"/>
      <c r="R101" s="185"/>
      <c r="S101" s="185"/>
      <c r="T101" s="185"/>
      <c r="U101" s="185"/>
      <c r="V101" s="185"/>
      <c r="W101" s="185"/>
      <c r="X101" s="185"/>
      <c r="Y101" s="185"/>
      <c r="Z101" s="185"/>
    </row>
    <row r="102" ht="19.5" customHeight="1">
      <c r="A102" s="201"/>
      <c r="B102" s="201"/>
      <c r="C102" s="201"/>
      <c r="D102" s="200"/>
      <c r="E102" s="197"/>
      <c r="F102" s="198"/>
      <c r="G102" s="198"/>
      <c r="H102" s="199"/>
      <c r="I102" s="199"/>
      <c r="J102" s="200"/>
      <c r="K102" s="248"/>
      <c r="L102" s="185"/>
      <c r="M102" s="185"/>
      <c r="N102" s="185"/>
      <c r="O102" s="185"/>
      <c r="P102" s="185"/>
      <c r="Q102" s="185"/>
      <c r="R102" s="185"/>
      <c r="S102" s="185"/>
      <c r="T102" s="185"/>
      <c r="U102" s="185"/>
      <c r="V102" s="185"/>
      <c r="W102" s="185"/>
      <c r="X102" s="185"/>
      <c r="Y102" s="185"/>
      <c r="Z102" s="185"/>
    </row>
    <row r="103" ht="19.5" customHeight="1">
      <c r="A103" s="246">
        <v>36986.0</v>
      </c>
      <c r="B103" s="195" t="s">
        <v>763</v>
      </c>
      <c r="C103" s="203"/>
      <c r="D103" s="249">
        <f t="shared" ref="D103:D106" si="18">F98+F92</f>
        <v>15.36</v>
      </c>
      <c r="E103" s="250" t="s">
        <v>148</v>
      </c>
      <c r="F103" s="198"/>
      <c r="G103" s="198"/>
      <c r="H103" s="199"/>
      <c r="I103" s="199"/>
      <c r="J103" s="200"/>
      <c r="K103" s="248"/>
      <c r="L103" s="185"/>
      <c r="M103" s="185"/>
      <c r="N103" s="185"/>
      <c r="O103" s="185"/>
      <c r="P103" s="185"/>
      <c r="Q103" s="185"/>
      <c r="R103" s="185"/>
      <c r="S103" s="185"/>
      <c r="T103" s="185"/>
      <c r="U103" s="185"/>
      <c r="V103" s="185"/>
      <c r="W103" s="185"/>
      <c r="X103" s="185"/>
      <c r="Y103" s="185"/>
      <c r="Z103" s="185"/>
    </row>
    <row r="104" ht="19.5" customHeight="1">
      <c r="A104" s="151" t="s">
        <v>760</v>
      </c>
      <c r="B104" s="195" t="s">
        <v>764</v>
      </c>
      <c r="C104" s="67" t="s">
        <v>686</v>
      </c>
      <c r="D104" s="249">
        <f t="shared" si="18"/>
        <v>267.0206</v>
      </c>
      <c r="E104" s="250" t="s">
        <v>158</v>
      </c>
      <c r="F104" s="198"/>
      <c r="G104" s="198"/>
      <c r="H104" s="199"/>
      <c r="I104" s="199"/>
      <c r="J104" s="200"/>
      <c r="K104" s="248"/>
      <c r="L104" s="185"/>
      <c r="M104" s="185"/>
      <c r="N104" s="185"/>
      <c r="O104" s="185"/>
      <c r="P104" s="185"/>
      <c r="Q104" s="185"/>
      <c r="R104" s="185"/>
      <c r="S104" s="185"/>
      <c r="T104" s="185"/>
      <c r="U104" s="185"/>
      <c r="V104" s="185"/>
      <c r="W104" s="185"/>
      <c r="X104" s="185"/>
      <c r="Y104" s="185"/>
      <c r="Z104" s="185"/>
    </row>
    <row r="105" ht="19.5" customHeight="1">
      <c r="A105" s="201"/>
      <c r="B105" s="201"/>
      <c r="C105" s="209" t="s">
        <v>720</v>
      </c>
      <c r="D105" s="196">
        <f t="shared" si="18"/>
        <v>225.782</v>
      </c>
      <c r="E105" s="250" t="s">
        <v>158</v>
      </c>
      <c r="F105" s="198"/>
      <c r="G105" s="198"/>
      <c r="H105" s="199"/>
      <c r="I105" s="199"/>
      <c r="J105" s="200"/>
      <c r="K105" s="248"/>
      <c r="L105" s="185"/>
      <c r="M105" s="185"/>
      <c r="N105" s="185"/>
      <c r="O105" s="185"/>
      <c r="P105" s="185"/>
      <c r="Q105" s="185"/>
      <c r="R105" s="185"/>
      <c r="S105" s="185"/>
      <c r="T105" s="185"/>
      <c r="U105" s="185"/>
      <c r="V105" s="185"/>
      <c r="W105" s="185"/>
      <c r="X105" s="185"/>
      <c r="Y105" s="185"/>
      <c r="Z105" s="185"/>
    </row>
    <row r="106" ht="19.5" customHeight="1">
      <c r="A106" s="201"/>
      <c r="B106" s="201"/>
      <c r="C106" s="209">
        <v>10.0</v>
      </c>
      <c r="D106" s="196">
        <f t="shared" si="18"/>
        <v>124.2638</v>
      </c>
      <c r="E106" s="250" t="s">
        <v>158</v>
      </c>
      <c r="F106" s="198"/>
      <c r="G106" s="198"/>
      <c r="H106" s="199"/>
      <c r="I106" s="199"/>
      <c r="J106" s="200"/>
      <c r="K106" s="248"/>
      <c r="L106" s="185"/>
      <c r="M106" s="185"/>
      <c r="N106" s="185"/>
      <c r="O106" s="185"/>
      <c r="P106" s="185"/>
      <c r="Q106" s="185"/>
      <c r="R106" s="185"/>
      <c r="S106" s="185"/>
      <c r="T106" s="185"/>
      <c r="U106" s="185"/>
      <c r="V106" s="185"/>
      <c r="W106" s="185"/>
      <c r="X106" s="185"/>
      <c r="Y106" s="185"/>
      <c r="Z106" s="185"/>
    </row>
    <row r="107" ht="19.5" customHeight="1">
      <c r="A107" s="201"/>
      <c r="B107" s="201"/>
      <c r="C107" s="208"/>
      <c r="D107" s="200"/>
      <c r="E107" s="197"/>
      <c r="F107" s="198"/>
      <c r="G107" s="198"/>
      <c r="H107" s="199"/>
      <c r="I107" s="199"/>
      <c r="J107" s="200"/>
      <c r="K107" s="248"/>
      <c r="L107" s="185"/>
      <c r="M107" s="185"/>
      <c r="N107" s="185"/>
      <c r="O107" s="185"/>
      <c r="P107" s="185"/>
      <c r="Q107" s="185"/>
      <c r="R107" s="185"/>
      <c r="S107" s="185"/>
      <c r="T107" s="185"/>
      <c r="U107" s="185"/>
      <c r="V107" s="185"/>
      <c r="W107" s="185"/>
      <c r="X107" s="185"/>
      <c r="Y107" s="185"/>
      <c r="Z107" s="185"/>
    </row>
    <row r="108" ht="19.5" customHeight="1">
      <c r="A108" s="74" t="s">
        <v>1</v>
      </c>
      <c r="B108" s="74" t="s">
        <v>91</v>
      </c>
      <c r="C108" s="74" t="s">
        <v>92</v>
      </c>
      <c r="D108" s="76" t="s">
        <v>93</v>
      </c>
      <c r="E108" s="50" t="s">
        <v>97</v>
      </c>
      <c r="F108" s="53" t="s">
        <v>121</v>
      </c>
      <c r="G108" s="53" t="s">
        <v>99</v>
      </c>
      <c r="H108" s="75" t="s">
        <v>100</v>
      </c>
      <c r="I108" s="75" t="s">
        <v>101</v>
      </c>
      <c r="J108" s="76" t="s">
        <v>95</v>
      </c>
      <c r="K108" s="247" t="s">
        <v>96</v>
      </c>
    </row>
    <row r="109" ht="19.5" customHeight="1">
      <c r="A109" s="154" t="s">
        <v>765</v>
      </c>
      <c r="B109" s="37" t="s">
        <v>150</v>
      </c>
      <c r="C109" s="38" t="s">
        <v>766</v>
      </c>
      <c r="D109" s="78">
        <v>2.0</v>
      </c>
      <c r="E109" s="37"/>
      <c r="F109" s="41">
        <v>29.3</v>
      </c>
      <c r="G109" s="41">
        <v>15.75</v>
      </c>
      <c r="H109" s="40">
        <f>(G109+F109)*D109</f>
        <v>90.1</v>
      </c>
      <c r="I109" s="42"/>
      <c r="J109" s="43">
        <f>H109</f>
        <v>90.1</v>
      </c>
      <c r="K109" s="251"/>
    </row>
    <row r="110" ht="19.5" customHeight="1">
      <c r="A110" s="74" t="s">
        <v>1</v>
      </c>
      <c r="B110" s="74" t="s">
        <v>91</v>
      </c>
      <c r="C110" s="74" t="s">
        <v>92</v>
      </c>
      <c r="D110" s="76" t="s">
        <v>93</v>
      </c>
      <c r="E110" s="50" t="s">
        <v>97</v>
      </c>
      <c r="F110" s="53" t="s">
        <v>121</v>
      </c>
      <c r="G110" s="53" t="s">
        <v>99</v>
      </c>
      <c r="H110" s="252" t="s">
        <v>100</v>
      </c>
      <c r="I110" s="75" t="s">
        <v>101</v>
      </c>
      <c r="J110" s="76" t="s">
        <v>95</v>
      </c>
      <c r="K110" s="247" t="s">
        <v>96</v>
      </c>
    </row>
    <row r="111" ht="19.5" customHeight="1">
      <c r="A111" s="154" t="s">
        <v>767</v>
      </c>
      <c r="B111" s="37" t="s">
        <v>340</v>
      </c>
      <c r="C111" s="46" t="s">
        <v>148</v>
      </c>
      <c r="D111" s="78"/>
      <c r="E111" s="49">
        <v>0.4</v>
      </c>
      <c r="F111" s="39">
        <v>302.8</v>
      </c>
      <c r="G111" s="41">
        <v>1.0</v>
      </c>
      <c r="H111" s="40">
        <f>E111*F111*G111</f>
        <v>121.12</v>
      </c>
      <c r="I111" s="42"/>
      <c r="J111" s="43">
        <f>H111</f>
        <v>121.12</v>
      </c>
      <c r="K111" s="251"/>
    </row>
    <row r="112" ht="19.5" customHeight="1">
      <c r="A112" s="74" t="s">
        <v>1</v>
      </c>
      <c r="B112" s="74" t="s">
        <v>91</v>
      </c>
      <c r="C112" s="74" t="s">
        <v>92</v>
      </c>
      <c r="D112" s="76" t="s">
        <v>93</v>
      </c>
      <c r="E112" s="50" t="s">
        <v>97</v>
      </c>
      <c r="F112" s="53" t="s">
        <v>121</v>
      </c>
      <c r="G112" s="53" t="s">
        <v>99</v>
      </c>
      <c r="H112" s="252" t="s">
        <v>100</v>
      </c>
      <c r="I112" s="75" t="s">
        <v>101</v>
      </c>
      <c r="J112" s="76" t="s">
        <v>95</v>
      </c>
      <c r="K112" s="247" t="s">
        <v>96</v>
      </c>
      <c r="L112" s="14" t="str">
        <f>#REF!+#REF!</f>
        <v>#REF!</v>
      </c>
    </row>
    <row r="113" ht="19.5" customHeight="1">
      <c r="A113" s="253"/>
      <c r="B113" s="49" t="s">
        <v>768</v>
      </c>
      <c r="C113" s="46" t="s">
        <v>148</v>
      </c>
      <c r="D113" s="78">
        <v>1.0</v>
      </c>
      <c r="E113" s="37">
        <v>0.05</v>
      </c>
      <c r="F113" s="39">
        <v>302.8</v>
      </c>
      <c r="G113" s="41">
        <v>1.0</v>
      </c>
      <c r="H113" s="40">
        <f t="shared" ref="H113:H114" si="19">G113*F113*E113*D113</f>
        <v>15.14</v>
      </c>
      <c r="I113" s="42"/>
      <c r="J113" s="168">
        <f t="shared" ref="J113:J114" si="20">H113</f>
        <v>15.14</v>
      </c>
      <c r="K113" s="251"/>
    </row>
    <row r="114" ht="19.5" customHeight="1">
      <c r="A114" s="253"/>
      <c r="B114" s="37" t="s">
        <v>769</v>
      </c>
      <c r="C114" s="46" t="s">
        <v>148</v>
      </c>
      <c r="D114" s="78">
        <v>1.0</v>
      </c>
      <c r="E114" s="37">
        <v>0.05</v>
      </c>
      <c r="F114" s="78">
        <v>11.75</v>
      </c>
      <c r="G114" s="40">
        <v>4.02</v>
      </c>
      <c r="H114" s="40">
        <f t="shared" si="19"/>
        <v>2.36175</v>
      </c>
      <c r="I114" s="93"/>
      <c r="J114" s="254">
        <f t="shared" si="20"/>
        <v>2.36175</v>
      </c>
      <c r="K114" s="255"/>
    </row>
    <row r="115" ht="19.5" customHeight="1">
      <c r="A115" s="141">
        <v>37077.0</v>
      </c>
      <c r="B115" s="49"/>
      <c r="C115" s="46"/>
      <c r="D115" s="78"/>
      <c r="E115" s="37"/>
      <c r="F115" s="78"/>
      <c r="G115" s="78"/>
      <c r="H115" s="41"/>
      <c r="I115" s="42"/>
      <c r="J115" s="43">
        <f>SUM(J113:J114)</f>
        <v>17.50175</v>
      </c>
      <c r="K115" s="251"/>
    </row>
    <row r="116" ht="19.5" customHeight="1">
      <c r="A116" s="204"/>
      <c r="B116" s="49" t="s">
        <v>770</v>
      </c>
      <c r="C116" s="46" t="s">
        <v>103</v>
      </c>
      <c r="D116" s="78">
        <v>1.0</v>
      </c>
      <c r="E116" s="37"/>
      <c r="F116" s="39">
        <v>302.8</v>
      </c>
      <c r="G116" s="78">
        <f>G113</f>
        <v>1</v>
      </c>
      <c r="H116" s="41">
        <f>D116*F116</f>
        <v>302.8</v>
      </c>
      <c r="I116" s="42"/>
      <c r="J116" s="168">
        <f t="shared" ref="J116:J117" si="21">H116</f>
        <v>302.8</v>
      </c>
      <c r="K116" s="251"/>
    </row>
    <row r="117" ht="19.5" customHeight="1">
      <c r="A117" s="204"/>
      <c r="B117" s="37" t="s">
        <v>771</v>
      </c>
      <c r="C117" s="46" t="s">
        <v>103</v>
      </c>
      <c r="D117" s="78">
        <v>1.0</v>
      </c>
      <c r="E117" s="37"/>
      <c r="F117" s="78">
        <v>11.75</v>
      </c>
      <c r="G117" s="40">
        <v>4.02</v>
      </c>
      <c r="H117" s="40">
        <f>D117*F117*G117</f>
        <v>47.235</v>
      </c>
      <c r="I117" s="93"/>
      <c r="J117" s="254">
        <f t="shared" si="21"/>
        <v>47.235</v>
      </c>
      <c r="K117" s="255"/>
    </row>
    <row r="118" ht="19.5" customHeight="1">
      <c r="A118" s="141">
        <v>37442.0</v>
      </c>
      <c r="B118" s="256"/>
      <c r="C118" s="46"/>
      <c r="D118" s="78"/>
      <c r="E118" s="37"/>
      <c r="F118" s="78"/>
      <c r="G118" s="78"/>
      <c r="H118" s="40"/>
      <c r="I118" s="42"/>
      <c r="J118" s="43">
        <f>SUM(J116:J117)</f>
        <v>350.035</v>
      </c>
      <c r="K118" s="251"/>
    </row>
    <row r="119" ht="19.5" customHeight="1">
      <c r="A119" s="204"/>
      <c r="B119" s="256" t="s">
        <v>772</v>
      </c>
      <c r="C119" s="46" t="s">
        <v>103</v>
      </c>
      <c r="D119" s="78">
        <v>1.0</v>
      </c>
      <c r="E119" s="37"/>
      <c r="F119" s="39">
        <v>20.64</v>
      </c>
      <c r="G119" s="39">
        <v>11.26</v>
      </c>
      <c r="H119" s="40">
        <f>D119*F119*G119</f>
        <v>232.4064</v>
      </c>
      <c r="I119" s="42"/>
      <c r="J119" s="168">
        <f t="shared" ref="J119:J121" si="22">H119</f>
        <v>232.4064</v>
      </c>
      <c r="K119" s="251"/>
    </row>
    <row r="120" ht="19.5" customHeight="1">
      <c r="A120" s="204"/>
      <c r="B120" s="256" t="s">
        <v>773</v>
      </c>
      <c r="C120" s="46" t="s">
        <v>103</v>
      </c>
      <c r="D120" s="39">
        <v>10.0</v>
      </c>
      <c r="E120" s="49">
        <v>0.2</v>
      </c>
      <c r="F120" s="39">
        <v>11.26</v>
      </c>
      <c r="G120" s="39">
        <v>1.0</v>
      </c>
      <c r="H120" s="40">
        <f>D120*E120*F120*G120</f>
        <v>22.52</v>
      </c>
      <c r="I120" s="82"/>
      <c r="J120" s="168">
        <f t="shared" si="22"/>
        <v>22.52</v>
      </c>
      <c r="K120" s="255"/>
    </row>
    <row r="121" ht="19.5" customHeight="1">
      <c r="A121" s="204"/>
      <c r="B121" s="256" t="s">
        <v>774</v>
      </c>
      <c r="C121" s="46" t="s">
        <v>103</v>
      </c>
      <c r="D121" s="39">
        <v>1.0</v>
      </c>
      <c r="E121" s="37"/>
      <c r="F121" s="39">
        <v>5.8</v>
      </c>
      <c r="G121" s="39">
        <v>1.5</v>
      </c>
      <c r="H121" s="40">
        <f>D121*F121*G121</f>
        <v>8.7</v>
      </c>
      <c r="I121" s="82"/>
      <c r="J121" s="168">
        <f t="shared" si="22"/>
        <v>8.7</v>
      </c>
      <c r="K121" s="255"/>
    </row>
    <row r="122" ht="19.5" customHeight="1">
      <c r="A122" s="141">
        <v>37807.0</v>
      </c>
      <c r="B122" s="256"/>
      <c r="C122" s="46"/>
      <c r="D122" s="39"/>
      <c r="E122" s="37"/>
      <c r="F122" s="39"/>
      <c r="G122" s="78"/>
      <c r="H122" s="40"/>
      <c r="I122" s="82"/>
      <c r="J122" s="43">
        <f>SUM(J119:J121)</f>
        <v>263.6264</v>
      </c>
      <c r="K122" s="255"/>
    </row>
    <row r="123" ht="19.5" customHeight="1">
      <c r="A123" s="204"/>
      <c r="B123" s="256" t="s">
        <v>775</v>
      </c>
      <c r="C123" s="46" t="s">
        <v>103</v>
      </c>
      <c r="D123" s="39">
        <v>1.0</v>
      </c>
      <c r="E123" s="37"/>
      <c r="F123" s="39">
        <v>1.8</v>
      </c>
      <c r="G123" s="39">
        <v>1.0</v>
      </c>
      <c r="H123" s="40">
        <f t="shared" ref="H123:H128" si="23">D123*F123*G123</f>
        <v>1.8</v>
      </c>
      <c r="I123" s="82"/>
      <c r="J123" s="257">
        <f t="shared" ref="J123:J128" si="24">H123</f>
        <v>1.8</v>
      </c>
      <c r="K123" s="255"/>
    </row>
    <row r="124" ht="19.5" customHeight="1">
      <c r="A124" s="204"/>
      <c r="B124" s="256" t="s">
        <v>776</v>
      </c>
      <c r="C124" s="46" t="s">
        <v>103</v>
      </c>
      <c r="D124" s="39">
        <v>1.0</v>
      </c>
      <c r="E124" s="37"/>
      <c r="F124" s="39">
        <v>25.1</v>
      </c>
      <c r="G124" s="39">
        <v>1.0</v>
      </c>
      <c r="H124" s="40">
        <f t="shared" si="23"/>
        <v>25.1</v>
      </c>
      <c r="I124" s="82"/>
      <c r="J124" s="257">
        <f t="shared" si="24"/>
        <v>25.1</v>
      </c>
      <c r="K124" s="255"/>
    </row>
    <row r="125" ht="19.5" customHeight="1">
      <c r="A125" s="204"/>
      <c r="B125" s="256" t="s">
        <v>777</v>
      </c>
      <c r="C125" s="46" t="s">
        <v>103</v>
      </c>
      <c r="D125" s="39">
        <v>1.0</v>
      </c>
      <c r="E125" s="37"/>
      <c r="F125" s="39">
        <v>2.46</v>
      </c>
      <c r="G125" s="39">
        <v>2.4</v>
      </c>
      <c r="H125" s="40">
        <f t="shared" si="23"/>
        <v>5.904</v>
      </c>
      <c r="I125" s="82"/>
      <c r="J125" s="257">
        <f t="shared" si="24"/>
        <v>5.904</v>
      </c>
      <c r="K125" s="255"/>
    </row>
    <row r="126" ht="19.5" customHeight="1">
      <c r="A126" s="204"/>
      <c r="B126" s="256" t="s">
        <v>778</v>
      </c>
      <c r="C126" s="46" t="s">
        <v>103</v>
      </c>
      <c r="D126" s="39">
        <v>1.0</v>
      </c>
      <c r="E126" s="37"/>
      <c r="F126" s="39">
        <v>2.46</v>
      </c>
      <c r="G126" s="39">
        <v>1.85</v>
      </c>
      <c r="H126" s="40">
        <f t="shared" si="23"/>
        <v>4.551</v>
      </c>
      <c r="I126" s="82"/>
      <c r="J126" s="257">
        <f t="shared" si="24"/>
        <v>4.551</v>
      </c>
      <c r="K126" s="255"/>
    </row>
    <row r="127" ht="19.5" customHeight="1">
      <c r="A127" s="204"/>
      <c r="B127" s="256" t="s">
        <v>779</v>
      </c>
      <c r="C127" s="46" t="s">
        <v>103</v>
      </c>
      <c r="D127" s="39">
        <v>1.0</v>
      </c>
      <c r="E127" s="37"/>
      <c r="F127" s="39">
        <v>2.46</v>
      </c>
      <c r="G127" s="39">
        <v>2.4</v>
      </c>
      <c r="H127" s="40">
        <f t="shared" si="23"/>
        <v>5.904</v>
      </c>
      <c r="I127" s="82"/>
      <c r="J127" s="257">
        <f t="shared" si="24"/>
        <v>5.904</v>
      </c>
      <c r="K127" s="255"/>
    </row>
    <row r="128" ht="19.5" customHeight="1">
      <c r="A128" s="204"/>
      <c r="B128" s="256" t="s">
        <v>780</v>
      </c>
      <c r="C128" s="46" t="s">
        <v>103</v>
      </c>
      <c r="D128" s="39">
        <v>1.0</v>
      </c>
      <c r="E128" s="37"/>
      <c r="F128" s="78">
        <v>11.75</v>
      </c>
      <c r="G128" s="40">
        <v>4.02</v>
      </c>
      <c r="H128" s="40">
        <f t="shared" si="23"/>
        <v>47.235</v>
      </c>
      <c r="I128" s="93"/>
      <c r="J128" s="257">
        <f t="shared" si="24"/>
        <v>47.235</v>
      </c>
      <c r="K128" s="255"/>
    </row>
    <row r="129" ht="19.5" customHeight="1">
      <c r="A129" s="141">
        <v>38173.0</v>
      </c>
      <c r="B129" s="258"/>
      <c r="C129" s="79"/>
      <c r="D129" s="122"/>
      <c r="E129" s="37"/>
      <c r="F129" s="78"/>
      <c r="G129" s="78"/>
      <c r="H129" s="59"/>
      <c r="I129" s="93"/>
      <c r="J129" s="43">
        <f>SUM(J123:J128)</f>
        <v>90.494</v>
      </c>
      <c r="K129" s="255"/>
    </row>
    <row r="130" ht="19.5" customHeight="1">
      <c r="A130" s="203"/>
      <c r="B130" s="258" t="s">
        <v>781</v>
      </c>
      <c r="C130" s="83" t="s">
        <v>108</v>
      </c>
      <c r="D130" s="115">
        <v>3.0</v>
      </c>
      <c r="E130" s="37"/>
      <c r="F130" s="39">
        <v>0.8</v>
      </c>
      <c r="G130" s="78"/>
      <c r="H130" s="59">
        <f t="shared" ref="H130:H132" si="25">D130*F130</f>
        <v>2.4</v>
      </c>
      <c r="I130" s="93"/>
      <c r="J130" s="257">
        <f t="shared" ref="J130:J132" si="26">H130</f>
        <v>2.4</v>
      </c>
      <c r="K130" s="255"/>
    </row>
    <row r="131" ht="19.5" customHeight="1">
      <c r="A131" s="203"/>
      <c r="B131" s="258" t="s">
        <v>782</v>
      </c>
      <c r="C131" s="83" t="s">
        <v>108</v>
      </c>
      <c r="D131" s="115">
        <v>6.0</v>
      </c>
      <c r="E131" s="37"/>
      <c r="F131" s="39">
        <v>0.9</v>
      </c>
      <c r="G131" s="78"/>
      <c r="H131" s="59">
        <f t="shared" si="25"/>
        <v>5.4</v>
      </c>
      <c r="I131" s="93"/>
      <c r="J131" s="257">
        <f t="shared" si="26"/>
        <v>5.4</v>
      </c>
      <c r="K131" s="255"/>
    </row>
    <row r="132" ht="19.5" customHeight="1">
      <c r="A132" s="203"/>
      <c r="B132" s="258" t="s">
        <v>783</v>
      </c>
      <c r="C132" s="83" t="s">
        <v>108</v>
      </c>
      <c r="D132" s="115">
        <v>4.0</v>
      </c>
      <c r="E132" s="37"/>
      <c r="F132" s="39">
        <v>2.0</v>
      </c>
      <c r="G132" s="78"/>
      <c r="H132" s="59">
        <f t="shared" si="25"/>
        <v>8</v>
      </c>
      <c r="I132" s="93"/>
      <c r="J132" s="257">
        <f t="shared" si="26"/>
        <v>8</v>
      </c>
      <c r="K132" s="255"/>
    </row>
    <row r="133" ht="19.5" customHeight="1">
      <c r="A133" s="141">
        <v>38538.0</v>
      </c>
      <c r="B133" s="258"/>
      <c r="C133" s="79"/>
      <c r="D133" s="122"/>
      <c r="E133" s="37"/>
      <c r="F133" s="78"/>
      <c r="G133" s="78"/>
      <c r="H133" s="59"/>
      <c r="I133" s="93"/>
      <c r="J133" s="143">
        <f>SUM(J130:J132)</f>
        <v>15.8</v>
      </c>
      <c r="K133" s="255"/>
    </row>
    <row r="134" ht="19.5" customHeight="1">
      <c r="A134" s="74" t="s">
        <v>1</v>
      </c>
      <c r="B134" s="74" t="s">
        <v>91</v>
      </c>
      <c r="C134" s="74" t="s">
        <v>92</v>
      </c>
      <c r="D134" s="76" t="s">
        <v>93</v>
      </c>
      <c r="E134" s="50" t="s">
        <v>97</v>
      </c>
      <c r="F134" s="53" t="s">
        <v>121</v>
      </c>
      <c r="G134" s="53" t="s">
        <v>99</v>
      </c>
      <c r="H134" s="75" t="s">
        <v>100</v>
      </c>
      <c r="I134" s="75" t="s">
        <v>101</v>
      </c>
      <c r="J134" s="76" t="s">
        <v>95</v>
      </c>
      <c r="K134" s="247" t="s">
        <v>96</v>
      </c>
    </row>
    <row r="135" ht="19.5" customHeight="1">
      <c r="A135" s="150"/>
      <c r="B135" s="259" t="s">
        <v>345</v>
      </c>
      <c r="C135" s="260" t="s">
        <v>148</v>
      </c>
      <c r="D135" s="261">
        <v>2.0</v>
      </c>
      <c r="E135" s="262">
        <v>0.5</v>
      </c>
      <c r="F135" s="261">
        <v>25.29</v>
      </c>
      <c r="G135" s="263">
        <v>0.14</v>
      </c>
      <c r="H135" s="263">
        <v>3.54</v>
      </c>
      <c r="I135" s="42"/>
      <c r="J135" s="264">
        <f>SUM(H135:H141)</f>
        <v>20.32</v>
      </c>
      <c r="K135" s="251"/>
    </row>
    <row r="136" ht="19.5" customHeight="1">
      <c r="A136" s="150"/>
      <c r="B136" s="265" t="s">
        <v>345</v>
      </c>
      <c r="C136" s="266" t="s">
        <v>148</v>
      </c>
      <c r="D136" s="267">
        <v>5.0</v>
      </c>
      <c r="E136" s="268">
        <v>0.5</v>
      </c>
      <c r="F136" s="267">
        <v>11.75</v>
      </c>
      <c r="G136" s="269">
        <v>0.14</v>
      </c>
      <c r="H136" s="269">
        <v>4.11</v>
      </c>
      <c r="I136" s="42"/>
      <c r="J136" s="147"/>
      <c r="K136" s="251"/>
    </row>
    <row r="137" ht="19.5" customHeight="1">
      <c r="A137" s="150"/>
      <c r="B137" s="265" t="s">
        <v>345</v>
      </c>
      <c r="C137" s="266" t="s">
        <v>148</v>
      </c>
      <c r="D137" s="267">
        <v>1.0</v>
      </c>
      <c r="E137" s="268">
        <v>0.5</v>
      </c>
      <c r="F137" s="267">
        <v>1.75</v>
      </c>
      <c r="G137" s="269">
        <v>1.14</v>
      </c>
      <c r="H137" s="269">
        <v>1.0</v>
      </c>
      <c r="I137" s="42"/>
      <c r="J137" s="147"/>
      <c r="K137" s="255"/>
    </row>
    <row r="138" ht="19.5" customHeight="1">
      <c r="A138" s="150"/>
      <c r="B138" s="265" t="s">
        <v>345</v>
      </c>
      <c r="C138" s="266" t="s">
        <v>148</v>
      </c>
      <c r="D138" s="267">
        <v>1.0</v>
      </c>
      <c r="E138" s="268">
        <v>0.5</v>
      </c>
      <c r="F138" s="267">
        <v>2.76</v>
      </c>
      <c r="G138" s="269">
        <v>0.14</v>
      </c>
      <c r="H138" s="269">
        <v>0.19</v>
      </c>
      <c r="I138" s="42"/>
      <c r="J138" s="147"/>
      <c r="K138" s="255"/>
    </row>
    <row r="139" ht="19.5" customHeight="1">
      <c r="A139" s="150"/>
      <c r="B139" s="265" t="s">
        <v>345</v>
      </c>
      <c r="C139" s="266" t="s">
        <v>148</v>
      </c>
      <c r="D139" s="267">
        <v>1.0</v>
      </c>
      <c r="E139" s="268">
        <v>0.5</v>
      </c>
      <c r="F139" s="267">
        <v>1.65</v>
      </c>
      <c r="G139" s="269">
        <v>0.14</v>
      </c>
      <c r="H139" s="269">
        <v>0.12</v>
      </c>
      <c r="I139" s="42"/>
      <c r="J139" s="147"/>
      <c r="K139" s="255"/>
    </row>
    <row r="140" ht="19.5" customHeight="1">
      <c r="A140" s="150"/>
      <c r="B140" s="265" t="s">
        <v>345</v>
      </c>
      <c r="C140" s="266" t="s">
        <v>148</v>
      </c>
      <c r="D140" s="267">
        <v>2.0</v>
      </c>
      <c r="E140" s="268">
        <v>0.5</v>
      </c>
      <c r="F140" s="267">
        <v>2.5</v>
      </c>
      <c r="G140" s="269">
        <v>0.14</v>
      </c>
      <c r="H140" s="269">
        <v>0.35</v>
      </c>
      <c r="I140" s="42"/>
      <c r="J140" s="147"/>
      <c r="K140" s="255"/>
    </row>
    <row r="141" ht="19.5" customHeight="1">
      <c r="A141" s="150"/>
      <c r="B141" s="265" t="s">
        <v>345</v>
      </c>
      <c r="C141" s="266" t="s">
        <v>148</v>
      </c>
      <c r="D141" s="267">
        <v>1.0</v>
      </c>
      <c r="E141" s="268">
        <v>0.7</v>
      </c>
      <c r="F141" s="267">
        <v>13.8</v>
      </c>
      <c r="G141" s="269">
        <v>1.14</v>
      </c>
      <c r="H141" s="269">
        <v>11.01</v>
      </c>
      <c r="I141" s="42"/>
      <c r="J141" s="32"/>
      <c r="K141" s="255"/>
    </row>
    <row r="142" ht="19.5" customHeight="1">
      <c r="A142" s="74" t="s">
        <v>1</v>
      </c>
      <c r="B142" s="74" t="s">
        <v>91</v>
      </c>
      <c r="C142" s="74" t="s">
        <v>92</v>
      </c>
      <c r="D142" s="76" t="s">
        <v>93</v>
      </c>
      <c r="E142" s="50" t="s">
        <v>97</v>
      </c>
      <c r="F142" s="53" t="s">
        <v>121</v>
      </c>
      <c r="G142" s="53" t="s">
        <v>99</v>
      </c>
      <c r="H142" s="75" t="s">
        <v>100</v>
      </c>
      <c r="I142" s="75" t="s">
        <v>101</v>
      </c>
      <c r="J142" s="76" t="s">
        <v>95</v>
      </c>
      <c r="K142" s="247" t="s">
        <v>96</v>
      </c>
    </row>
    <row r="143" ht="19.5" customHeight="1">
      <c r="A143" s="246">
        <v>37320.0</v>
      </c>
      <c r="B143" s="37" t="s">
        <v>177</v>
      </c>
      <c r="C143" s="46" t="s">
        <v>103</v>
      </c>
      <c r="D143" s="270">
        <v>2.0</v>
      </c>
      <c r="E143" s="271">
        <v>6.0</v>
      </c>
      <c r="F143" s="272">
        <v>25.3</v>
      </c>
      <c r="G143" s="263"/>
      <c r="H143" s="273">
        <f t="shared" ref="H143:H150" si="27">D143*E143*F143</f>
        <v>303.6</v>
      </c>
      <c r="I143" s="42"/>
      <c r="J143" s="264">
        <f>SUM(H143:H150)</f>
        <v>611.51</v>
      </c>
      <c r="K143" s="251"/>
    </row>
    <row r="144" ht="19.5" customHeight="1">
      <c r="A144" s="246">
        <v>37320.0</v>
      </c>
      <c r="B144" s="37" t="s">
        <v>177</v>
      </c>
      <c r="C144" s="46" t="s">
        <v>103</v>
      </c>
      <c r="D144" s="274">
        <v>2.0</v>
      </c>
      <c r="E144" s="275">
        <v>6.0</v>
      </c>
      <c r="F144" s="267">
        <v>11.75</v>
      </c>
      <c r="G144" s="269"/>
      <c r="H144" s="273">
        <f t="shared" si="27"/>
        <v>141</v>
      </c>
      <c r="I144" s="42"/>
      <c r="J144" s="147"/>
      <c r="K144" s="251"/>
    </row>
    <row r="145" ht="19.5" customHeight="1">
      <c r="A145" s="246">
        <v>37320.0</v>
      </c>
      <c r="B145" s="37" t="s">
        <v>177</v>
      </c>
      <c r="C145" s="46" t="s">
        <v>103</v>
      </c>
      <c r="D145" s="276">
        <v>3.0</v>
      </c>
      <c r="E145" s="275">
        <v>3.0</v>
      </c>
      <c r="F145" s="277">
        <v>11.75</v>
      </c>
      <c r="G145" s="269"/>
      <c r="H145" s="273">
        <f t="shared" si="27"/>
        <v>105.75</v>
      </c>
      <c r="I145" s="82"/>
      <c r="J145" s="147"/>
      <c r="K145" s="255"/>
    </row>
    <row r="146" ht="19.5" customHeight="1">
      <c r="A146" s="246">
        <v>37320.0</v>
      </c>
      <c r="B146" s="37" t="s">
        <v>177</v>
      </c>
      <c r="C146" s="46" t="s">
        <v>103</v>
      </c>
      <c r="D146" s="278">
        <v>4.0</v>
      </c>
      <c r="E146" s="268">
        <v>3.0</v>
      </c>
      <c r="F146" s="267">
        <v>2.76</v>
      </c>
      <c r="G146" s="269"/>
      <c r="H146" s="273">
        <f t="shared" si="27"/>
        <v>33.12</v>
      </c>
      <c r="I146" s="93"/>
      <c r="J146" s="147"/>
      <c r="K146" s="255"/>
    </row>
    <row r="147" ht="19.5" customHeight="1">
      <c r="A147" s="246">
        <v>37320.0</v>
      </c>
      <c r="B147" s="37" t="s">
        <v>177</v>
      </c>
      <c r="C147" s="46" t="s">
        <v>103</v>
      </c>
      <c r="D147" s="279">
        <v>2.0</v>
      </c>
      <c r="E147" s="268">
        <v>3.0</v>
      </c>
      <c r="F147" s="267">
        <v>1.45</v>
      </c>
      <c r="G147" s="269"/>
      <c r="H147" s="273">
        <f t="shared" si="27"/>
        <v>8.7</v>
      </c>
      <c r="I147" s="93"/>
      <c r="J147" s="147"/>
      <c r="K147" s="255"/>
    </row>
    <row r="148" ht="19.5" customHeight="1">
      <c r="A148" s="246">
        <v>37320.0</v>
      </c>
      <c r="B148" s="37" t="s">
        <v>177</v>
      </c>
      <c r="C148" s="46" t="s">
        <v>103</v>
      </c>
      <c r="D148" s="280">
        <v>1.0</v>
      </c>
      <c r="E148" s="268">
        <v>3.0</v>
      </c>
      <c r="F148" s="267">
        <v>1.35</v>
      </c>
      <c r="G148" s="269"/>
      <c r="H148" s="273">
        <f t="shared" si="27"/>
        <v>4.05</v>
      </c>
      <c r="I148" s="93"/>
      <c r="J148" s="147"/>
      <c r="K148" s="255"/>
    </row>
    <row r="149" ht="19.5" customHeight="1">
      <c r="A149" s="246">
        <v>37320.0</v>
      </c>
      <c r="B149" s="37" t="s">
        <v>177</v>
      </c>
      <c r="C149" s="46" t="s">
        <v>103</v>
      </c>
      <c r="D149" s="279">
        <v>1.0</v>
      </c>
      <c r="E149" s="275">
        <v>1.1</v>
      </c>
      <c r="F149" s="277">
        <v>10.6</v>
      </c>
      <c r="G149" s="269"/>
      <c r="H149" s="273">
        <f t="shared" si="27"/>
        <v>11.66</v>
      </c>
      <c r="I149" s="93"/>
      <c r="J149" s="147"/>
      <c r="K149" s="255"/>
    </row>
    <row r="150" ht="19.5" customHeight="1">
      <c r="A150" s="246">
        <v>37320.0</v>
      </c>
      <c r="B150" s="37" t="s">
        <v>177</v>
      </c>
      <c r="C150" s="46" t="s">
        <v>103</v>
      </c>
      <c r="D150" s="279">
        <v>1.0</v>
      </c>
      <c r="E150" s="275">
        <v>1.1</v>
      </c>
      <c r="F150" s="277">
        <v>3.3</v>
      </c>
      <c r="G150" s="269"/>
      <c r="H150" s="273">
        <f t="shared" si="27"/>
        <v>3.63</v>
      </c>
      <c r="I150" s="93"/>
      <c r="J150" s="32"/>
      <c r="K150" s="255"/>
    </row>
    <row r="151" ht="19.5" customHeight="1">
      <c r="A151" s="246">
        <v>37685.0</v>
      </c>
      <c r="B151" s="114" t="s">
        <v>72</v>
      </c>
      <c r="C151" s="83" t="s">
        <v>108</v>
      </c>
      <c r="D151" s="279"/>
      <c r="E151" s="275"/>
      <c r="F151" s="277">
        <f>D143*F143+D144*F144+D145*F145+D146*F146+D147*F147+D148*F148+D149*F149+D150*F150</f>
        <v>138.54</v>
      </c>
      <c r="G151" s="269"/>
      <c r="H151" s="281"/>
      <c r="I151" s="93"/>
      <c r="J151" s="264">
        <f>F151</f>
        <v>138.54</v>
      </c>
      <c r="K151" s="255"/>
    </row>
    <row r="152" ht="19.5" customHeight="1">
      <c r="A152" s="246">
        <v>38051.0</v>
      </c>
      <c r="B152" s="195" t="s">
        <v>784</v>
      </c>
      <c r="C152" s="46" t="s">
        <v>103</v>
      </c>
      <c r="D152" s="279">
        <v>1.0</v>
      </c>
      <c r="E152" s="268">
        <v>3.0</v>
      </c>
      <c r="F152" s="282">
        <v>7.75</v>
      </c>
      <c r="G152" s="283"/>
      <c r="H152" s="283">
        <f>F152*E152*D152</f>
        <v>23.25</v>
      </c>
      <c r="I152" s="284"/>
      <c r="J152" s="264">
        <f>H152</f>
        <v>23.25</v>
      </c>
      <c r="K152" s="235"/>
      <c r="L152" s="185"/>
      <c r="M152" s="185"/>
      <c r="N152" s="185"/>
      <c r="O152" s="185"/>
      <c r="P152" s="185"/>
      <c r="Q152" s="185"/>
      <c r="R152" s="185"/>
      <c r="S152" s="185"/>
      <c r="T152" s="185"/>
      <c r="U152" s="185"/>
      <c r="V152" s="185"/>
      <c r="W152" s="185"/>
      <c r="X152" s="185"/>
      <c r="Y152" s="185"/>
      <c r="Z152" s="185"/>
    </row>
    <row r="153" ht="19.5" customHeight="1">
      <c r="A153" s="74" t="s">
        <v>1</v>
      </c>
      <c r="B153" s="74" t="s">
        <v>91</v>
      </c>
      <c r="C153" s="74" t="s">
        <v>92</v>
      </c>
      <c r="D153" s="76" t="s">
        <v>93</v>
      </c>
      <c r="E153" s="50" t="s">
        <v>97</v>
      </c>
      <c r="F153" s="53" t="s">
        <v>121</v>
      </c>
      <c r="G153" s="53" t="s">
        <v>99</v>
      </c>
      <c r="H153" s="75" t="s">
        <v>100</v>
      </c>
      <c r="I153" s="75" t="s">
        <v>101</v>
      </c>
      <c r="J153" s="76" t="s">
        <v>95</v>
      </c>
      <c r="K153" s="247" t="s">
        <v>96</v>
      </c>
    </row>
    <row r="154" ht="19.5" customHeight="1">
      <c r="A154" s="246">
        <v>37777.0</v>
      </c>
      <c r="B154" s="49" t="s">
        <v>785</v>
      </c>
      <c r="C154" s="46" t="s">
        <v>108</v>
      </c>
      <c r="D154" s="78">
        <v>2.0</v>
      </c>
      <c r="E154" s="37"/>
      <c r="F154" s="40">
        <f>F143</f>
        <v>25.3</v>
      </c>
      <c r="G154" s="41">
        <v>11.75</v>
      </c>
      <c r="H154" s="40">
        <f>D154*(F154+G154)</f>
        <v>74.1</v>
      </c>
      <c r="I154" s="42"/>
      <c r="J154" s="77"/>
      <c r="K154" s="251"/>
    </row>
    <row r="155" ht="19.5" customHeight="1">
      <c r="A155" s="246">
        <v>37777.0</v>
      </c>
      <c r="B155" s="49" t="s">
        <v>786</v>
      </c>
      <c r="C155" s="46" t="s">
        <v>108</v>
      </c>
      <c r="D155" s="78">
        <v>2.0</v>
      </c>
      <c r="E155" s="37"/>
      <c r="F155" s="40"/>
      <c r="G155" s="40">
        <f>G154</f>
        <v>11.75</v>
      </c>
      <c r="H155" s="40">
        <f>G155*D155</f>
        <v>23.5</v>
      </c>
      <c r="I155" s="42"/>
      <c r="J155" s="168"/>
      <c r="K155" s="251"/>
    </row>
    <row r="156" ht="19.5" customHeight="1">
      <c r="A156" s="246">
        <v>37777.0</v>
      </c>
      <c r="B156" s="49" t="s">
        <v>787</v>
      </c>
      <c r="C156" s="46" t="s">
        <v>108</v>
      </c>
      <c r="D156" s="115">
        <v>2.0</v>
      </c>
      <c r="E156" s="37"/>
      <c r="F156" s="41">
        <v>11.45</v>
      </c>
      <c r="G156" s="41">
        <v>4.0</v>
      </c>
      <c r="H156" s="59">
        <f>D156*G156+F156</f>
        <v>19.45</v>
      </c>
      <c r="I156" s="82"/>
      <c r="J156" s="257"/>
      <c r="K156" s="255"/>
    </row>
    <row r="157" ht="19.5" customHeight="1">
      <c r="A157" s="246">
        <v>37777.0</v>
      </c>
      <c r="B157" s="49" t="s">
        <v>788</v>
      </c>
      <c r="C157" s="46" t="s">
        <v>108</v>
      </c>
      <c r="D157" s="115">
        <v>2.0</v>
      </c>
      <c r="E157" s="37"/>
      <c r="F157" s="40"/>
      <c r="G157" s="41">
        <v>4.0</v>
      </c>
      <c r="H157" s="59">
        <f>D157*G157</f>
        <v>8</v>
      </c>
      <c r="I157" s="82"/>
      <c r="J157" s="143">
        <f>SUM(H154:H157)</f>
        <v>125.05</v>
      </c>
      <c r="K157" s="255"/>
    </row>
    <row r="158" ht="19.5" customHeight="1">
      <c r="A158" s="74" t="s">
        <v>1</v>
      </c>
      <c r="B158" s="74" t="s">
        <v>91</v>
      </c>
      <c r="C158" s="74" t="s">
        <v>92</v>
      </c>
      <c r="D158" s="76" t="s">
        <v>93</v>
      </c>
      <c r="E158" s="50" t="s">
        <v>97</v>
      </c>
      <c r="F158" s="53" t="s">
        <v>121</v>
      </c>
      <c r="G158" s="53" t="s">
        <v>99</v>
      </c>
      <c r="H158" s="75" t="s">
        <v>100</v>
      </c>
      <c r="I158" s="75" t="s">
        <v>101</v>
      </c>
      <c r="J158" s="76" t="s">
        <v>95</v>
      </c>
      <c r="K158" s="247" t="s">
        <v>96</v>
      </c>
    </row>
    <row r="159" ht="19.5" customHeight="1">
      <c r="A159" s="246">
        <v>37047.0</v>
      </c>
      <c r="B159" s="49" t="s">
        <v>789</v>
      </c>
      <c r="C159" s="38" t="s">
        <v>158</v>
      </c>
      <c r="D159" s="78">
        <f>'39 ESTRUTURAL ADM, LAB E BIBLIO'!Y13+'39 ESTRUTURAL ADM, LAB E BIBLIO'!Y14</f>
        <v>4445.854</v>
      </c>
      <c r="E159" s="37"/>
      <c r="F159" s="40"/>
      <c r="G159" s="40"/>
      <c r="H159" s="40"/>
      <c r="I159" s="42"/>
      <c r="J159" s="43">
        <f t="shared" ref="J159:J160" si="28">D159</f>
        <v>4445.854</v>
      </c>
      <c r="K159" s="251"/>
    </row>
    <row r="160" ht="19.5" customHeight="1">
      <c r="A160" s="151" t="s">
        <v>790</v>
      </c>
      <c r="B160" s="114" t="s">
        <v>791</v>
      </c>
      <c r="C160" s="46" t="s">
        <v>103</v>
      </c>
      <c r="D160" s="122">
        <f>'39 ESTRUTURAL ADM, LAB E BIBLIO'!AA13+'39 ESTRUTURAL ADM, LAB E BIBLIO'!AA14</f>
        <v>389.987193</v>
      </c>
      <c r="E160" s="37"/>
      <c r="F160" s="40"/>
      <c r="G160" s="40"/>
      <c r="H160" s="59"/>
      <c r="I160" s="82"/>
      <c r="J160" s="43">
        <f t="shared" si="28"/>
        <v>389.987193</v>
      </c>
      <c r="K160" s="255"/>
    </row>
    <row r="161" ht="19.5" customHeight="1">
      <c r="A161" s="74" t="s">
        <v>1</v>
      </c>
      <c r="B161" s="74" t="s">
        <v>91</v>
      </c>
      <c r="C161" s="74" t="s">
        <v>92</v>
      </c>
      <c r="D161" s="76" t="s">
        <v>93</v>
      </c>
      <c r="E161" s="50" t="s">
        <v>97</v>
      </c>
      <c r="F161" s="53" t="s">
        <v>121</v>
      </c>
      <c r="G161" s="53" t="s">
        <v>99</v>
      </c>
      <c r="H161" s="75" t="s">
        <v>100</v>
      </c>
      <c r="I161" s="75" t="s">
        <v>101</v>
      </c>
      <c r="J161" s="76" t="s">
        <v>95</v>
      </c>
      <c r="K161" s="247" t="s">
        <v>96</v>
      </c>
    </row>
    <row r="162" ht="19.5" customHeight="1">
      <c r="A162" s="246">
        <v>37412.0</v>
      </c>
      <c r="B162" s="49" t="s">
        <v>792</v>
      </c>
      <c r="C162" s="46" t="s">
        <v>103</v>
      </c>
      <c r="D162" s="78">
        <v>1.0</v>
      </c>
      <c r="E162" s="37"/>
      <c r="F162" s="41">
        <v>25.0</v>
      </c>
      <c r="G162" s="41">
        <v>11.45</v>
      </c>
      <c r="H162" s="40">
        <f t="shared" ref="H162:H163" si="29">G162*F162</f>
        <v>286.25</v>
      </c>
      <c r="I162" s="42"/>
      <c r="J162" s="143">
        <f>H162-I162</f>
        <v>286.25</v>
      </c>
      <c r="K162" s="251"/>
    </row>
    <row r="163" ht="19.5" customHeight="1">
      <c r="A163" s="246">
        <v>37412.0</v>
      </c>
      <c r="B163" s="49" t="s">
        <v>793</v>
      </c>
      <c r="C163" s="46" t="s">
        <v>103</v>
      </c>
      <c r="D163" s="249">
        <v>1.0</v>
      </c>
      <c r="E163" s="204"/>
      <c r="F163" s="207">
        <v>4.0</v>
      </c>
      <c r="G163" s="207">
        <v>11.45</v>
      </c>
      <c r="H163" s="40">
        <f t="shared" si="29"/>
        <v>45.8</v>
      </c>
      <c r="I163" s="206"/>
      <c r="J163" s="32"/>
      <c r="K163" s="235"/>
      <c r="L163" s="185"/>
      <c r="M163" s="185"/>
      <c r="N163" s="185"/>
      <c r="O163" s="185"/>
      <c r="P163" s="185"/>
      <c r="Q163" s="185"/>
      <c r="R163" s="185"/>
      <c r="S163" s="185"/>
      <c r="T163" s="185"/>
      <c r="U163" s="185"/>
      <c r="V163" s="185"/>
      <c r="W163" s="185"/>
      <c r="X163" s="185"/>
      <c r="Y163" s="185"/>
      <c r="Z163" s="185"/>
    </row>
    <row r="164" ht="19.5" customHeight="1">
      <c r="A164" s="246">
        <v>38508.0</v>
      </c>
      <c r="B164" s="114" t="s">
        <v>583</v>
      </c>
      <c r="C164" s="83" t="s">
        <v>108</v>
      </c>
      <c r="D164" s="249">
        <v>1.0</v>
      </c>
      <c r="E164" s="204"/>
      <c r="F164" s="207">
        <f>25+10.85</f>
        <v>35.85</v>
      </c>
      <c r="G164" s="207"/>
      <c r="H164" s="59">
        <f>F164*D164</f>
        <v>35.85</v>
      </c>
      <c r="I164" s="206"/>
      <c r="J164" s="143">
        <f>H164</f>
        <v>35.85</v>
      </c>
      <c r="K164" s="235"/>
      <c r="L164" s="185"/>
      <c r="M164" s="185"/>
      <c r="N164" s="185"/>
      <c r="O164" s="185"/>
      <c r="P164" s="185"/>
      <c r="Q164" s="185"/>
      <c r="R164" s="185"/>
      <c r="S164" s="185"/>
      <c r="T164" s="185"/>
      <c r="U164" s="185"/>
      <c r="V164" s="185"/>
      <c r="W164" s="185"/>
      <c r="X164" s="185"/>
      <c r="Y164" s="185"/>
      <c r="Z164" s="185"/>
    </row>
    <row r="165" ht="19.5" customHeight="1">
      <c r="A165" s="74" t="s">
        <v>1</v>
      </c>
      <c r="B165" s="74" t="s">
        <v>91</v>
      </c>
      <c r="C165" s="74" t="s">
        <v>92</v>
      </c>
      <c r="D165" s="76" t="s">
        <v>93</v>
      </c>
      <c r="E165" s="50" t="s">
        <v>97</v>
      </c>
      <c r="F165" s="53" t="s">
        <v>121</v>
      </c>
      <c r="G165" s="53" t="s">
        <v>99</v>
      </c>
      <c r="H165" s="75" t="s">
        <v>100</v>
      </c>
      <c r="I165" s="75" t="s">
        <v>101</v>
      </c>
      <c r="J165" s="76" t="s">
        <v>95</v>
      </c>
      <c r="K165" s="247" t="s">
        <v>96</v>
      </c>
    </row>
    <row r="166" ht="19.5" customHeight="1">
      <c r="A166" s="246">
        <v>37777.0</v>
      </c>
      <c r="B166" s="49" t="s">
        <v>794</v>
      </c>
      <c r="C166" s="38" t="s">
        <v>108</v>
      </c>
      <c r="D166" s="39">
        <v>2.0</v>
      </c>
      <c r="E166" s="37"/>
      <c r="F166" s="41">
        <v>25.0</v>
      </c>
      <c r="G166" s="40"/>
      <c r="H166" s="40">
        <f t="shared" ref="H166:H167" si="30">D166*F166</f>
        <v>50</v>
      </c>
      <c r="I166" s="42"/>
      <c r="J166" s="143">
        <f>SUM(H166:H167)</f>
        <v>72.9</v>
      </c>
      <c r="K166" s="251"/>
    </row>
    <row r="167" ht="19.5" customHeight="1">
      <c r="A167" s="246">
        <v>37777.0</v>
      </c>
      <c r="B167" s="49" t="s">
        <v>795</v>
      </c>
      <c r="C167" s="83" t="s">
        <v>108</v>
      </c>
      <c r="D167" s="39">
        <v>2.0</v>
      </c>
      <c r="E167" s="37"/>
      <c r="F167" s="40">
        <f>G163</f>
        <v>11.45</v>
      </c>
      <c r="G167" s="40"/>
      <c r="H167" s="40">
        <f t="shared" si="30"/>
        <v>22.9</v>
      </c>
      <c r="I167" s="82"/>
      <c r="J167" s="32"/>
      <c r="K167" s="255"/>
    </row>
    <row r="168" ht="19.5" customHeight="1">
      <c r="A168" s="74" t="s">
        <v>1</v>
      </c>
      <c r="B168" s="74" t="s">
        <v>91</v>
      </c>
      <c r="C168" s="74" t="s">
        <v>92</v>
      </c>
      <c r="D168" s="76" t="s">
        <v>93</v>
      </c>
      <c r="E168" s="50" t="s">
        <v>97</v>
      </c>
      <c r="F168" s="53" t="s">
        <v>121</v>
      </c>
      <c r="G168" s="53" t="s">
        <v>99</v>
      </c>
      <c r="H168" s="75" t="s">
        <v>100</v>
      </c>
      <c r="I168" s="75" t="s">
        <v>101</v>
      </c>
      <c r="J168" s="285">
        <f>SUM(J166:J167)</f>
        <v>72.9</v>
      </c>
      <c r="K168" s="247" t="s">
        <v>96</v>
      </c>
    </row>
    <row r="169" ht="19.5" customHeight="1">
      <c r="A169" s="154" t="s">
        <v>796</v>
      </c>
      <c r="B169" s="49" t="s">
        <v>797</v>
      </c>
      <c r="C169" s="46" t="s">
        <v>103</v>
      </c>
      <c r="D169" s="39">
        <v>1.0</v>
      </c>
      <c r="E169" s="41">
        <v>3.0</v>
      </c>
      <c r="F169" s="39">
        <v>9.72</v>
      </c>
      <c r="G169" s="40"/>
      <c r="H169" s="40">
        <f t="shared" ref="H169:H172" si="31">D169*E169*F169</f>
        <v>29.16</v>
      </c>
      <c r="I169" s="152">
        <v>1.89</v>
      </c>
      <c r="J169" s="142">
        <f t="shared" ref="J169:J175" si="32">H169-I169</f>
        <v>27.27</v>
      </c>
      <c r="K169" s="251"/>
    </row>
    <row r="170" ht="19.5" customHeight="1">
      <c r="A170" s="154" t="s">
        <v>796</v>
      </c>
      <c r="B170" s="49" t="s">
        <v>798</v>
      </c>
      <c r="C170" s="46" t="s">
        <v>103</v>
      </c>
      <c r="D170" s="39">
        <v>1.0</v>
      </c>
      <c r="E170" s="41">
        <v>3.0</v>
      </c>
      <c r="F170" s="39">
        <v>8.62</v>
      </c>
      <c r="G170" s="40"/>
      <c r="H170" s="40">
        <f t="shared" si="31"/>
        <v>25.86</v>
      </c>
      <c r="I170" s="152">
        <v>1.89</v>
      </c>
      <c r="J170" s="142">
        <f t="shared" si="32"/>
        <v>23.97</v>
      </c>
      <c r="K170" s="255"/>
    </row>
    <row r="171" ht="19.5" customHeight="1">
      <c r="A171" s="154" t="s">
        <v>796</v>
      </c>
      <c r="B171" s="49" t="s">
        <v>799</v>
      </c>
      <c r="C171" s="46" t="s">
        <v>103</v>
      </c>
      <c r="D171" s="39">
        <v>1.0</v>
      </c>
      <c r="E171" s="41">
        <v>3.0</v>
      </c>
      <c r="F171" s="39">
        <v>9.72</v>
      </c>
      <c r="G171" s="40"/>
      <c r="H171" s="40">
        <f t="shared" si="31"/>
        <v>29.16</v>
      </c>
      <c r="I171" s="152">
        <v>1.89</v>
      </c>
      <c r="J171" s="142">
        <f t="shared" si="32"/>
        <v>27.27</v>
      </c>
      <c r="K171" s="255"/>
    </row>
    <row r="172" ht="19.5" customHeight="1">
      <c r="A172" s="154" t="s">
        <v>796</v>
      </c>
      <c r="B172" s="49" t="s">
        <v>800</v>
      </c>
      <c r="C172" s="46" t="s">
        <v>103</v>
      </c>
      <c r="D172" s="39">
        <v>1.0</v>
      </c>
      <c r="E172" s="41">
        <v>3.0</v>
      </c>
      <c r="F172" s="39">
        <v>5.4</v>
      </c>
      <c r="G172" s="40"/>
      <c r="H172" s="40">
        <f t="shared" si="31"/>
        <v>16.2</v>
      </c>
      <c r="I172" s="152">
        <v>1.89</v>
      </c>
      <c r="J172" s="142">
        <f t="shared" si="32"/>
        <v>14.31</v>
      </c>
      <c r="K172" s="255"/>
    </row>
    <row r="173" ht="19.5" customHeight="1">
      <c r="A173" s="154" t="s">
        <v>796</v>
      </c>
      <c r="B173" s="157" t="s">
        <v>797</v>
      </c>
      <c r="C173" s="46" t="s">
        <v>103</v>
      </c>
      <c r="D173" s="39">
        <v>1.0</v>
      </c>
      <c r="E173" s="37"/>
      <c r="F173" s="39">
        <v>2.46</v>
      </c>
      <c r="G173" s="39">
        <v>2.4</v>
      </c>
      <c r="H173" s="40">
        <f t="shared" ref="H173:H176" si="33">D173*F173*G173</f>
        <v>5.904</v>
      </c>
      <c r="I173" s="286"/>
      <c r="J173" s="142">
        <f t="shared" si="32"/>
        <v>5.904</v>
      </c>
      <c r="K173" s="255"/>
    </row>
    <row r="174" ht="19.5" customHeight="1">
      <c r="A174" s="154" t="s">
        <v>796</v>
      </c>
      <c r="B174" s="157" t="s">
        <v>798</v>
      </c>
      <c r="C174" s="46" t="s">
        <v>103</v>
      </c>
      <c r="D174" s="39">
        <v>1.0</v>
      </c>
      <c r="E174" s="37"/>
      <c r="F174" s="39">
        <v>2.46</v>
      </c>
      <c r="G174" s="39">
        <v>1.85</v>
      </c>
      <c r="H174" s="40">
        <f t="shared" si="33"/>
        <v>4.551</v>
      </c>
      <c r="I174" s="286"/>
      <c r="J174" s="142">
        <f t="shared" si="32"/>
        <v>4.551</v>
      </c>
      <c r="K174" s="255"/>
    </row>
    <row r="175" ht="19.5" customHeight="1">
      <c r="A175" s="154" t="s">
        <v>796</v>
      </c>
      <c r="B175" s="157" t="s">
        <v>799</v>
      </c>
      <c r="C175" s="46" t="s">
        <v>103</v>
      </c>
      <c r="D175" s="39">
        <v>1.0</v>
      </c>
      <c r="E175" s="37"/>
      <c r="F175" s="39">
        <v>2.46</v>
      </c>
      <c r="G175" s="39">
        <v>2.4</v>
      </c>
      <c r="H175" s="40">
        <f t="shared" si="33"/>
        <v>5.904</v>
      </c>
      <c r="I175" s="286"/>
      <c r="J175" s="142">
        <f t="shared" si="32"/>
        <v>5.904</v>
      </c>
      <c r="K175" s="255"/>
    </row>
    <row r="176" ht="19.5" customHeight="1">
      <c r="A176" s="154" t="s">
        <v>796</v>
      </c>
      <c r="B176" s="157" t="s">
        <v>800</v>
      </c>
      <c r="C176" s="46" t="s">
        <v>103</v>
      </c>
      <c r="D176" s="39">
        <v>1.0</v>
      </c>
      <c r="E176" s="37"/>
      <c r="F176" s="39">
        <v>1.8</v>
      </c>
      <c r="G176" s="39">
        <v>1.0</v>
      </c>
      <c r="H176" s="40">
        <f t="shared" si="33"/>
        <v>1.8</v>
      </c>
      <c r="I176" s="286"/>
      <c r="J176" s="287">
        <f>SUM(J169:J175)</f>
        <v>109.179</v>
      </c>
      <c r="K176" s="255"/>
    </row>
    <row r="177" ht="19.5" customHeight="1">
      <c r="A177" s="74" t="s">
        <v>1</v>
      </c>
      <c r="B177" s="74" t="s">
        <v>91</v>
      </c>
      <c r="C177" s="74" t="s">
        <v>92</v>
      </c>
      <c r="D177" s="76" t="s">
        <v>93</v>
      </c>
      <c r="E177" s="50" t="s">
        <v>97</v>
      </c>
      <c r="F177" s="53" t="s">
        <v>121</v>
      </c>
      <c r="G177" s="53" t="s">
        <v>99</v>
      </c>
      <c r="H177" s="75" t="s">
        <v>100</v>
      </c>
      <c r="I177" s="75" t="s">
        <v>101</v>
      </c>
      <c r="J177" s="76" t="s">
        <v>95</v>
      </c>
      <c r="K177" s="247" t="s">
        <v>96</v>
      </c>
    </row>
    <row r="178" ht="19.5" customHeight="1">
      <c r="A178" s="246">
        <v>37473.0</v>
      </c>
      <c r="B178" s="49" t="s">
        <v>801</v>
      </c>
      <c r="C178" s="46" t="s">
        <v>103</v>
      </c>
      <c r="D178" s="39">
        <v>1.0</v>
      </c>
      <c r="E178" s="37"/>
      <c r="F178" s="41">
        <v>220.1</v>
      </c>
      <c r="G178" s="41">
        <v>1.0</v>
      </c>
      <c r="H178" s="40">
        <f t="shared" ref="H178:H184" si="34">G178*F178</f>
        <v>220.1</v>
      </c>
      <c r="I178" s="42"/>
      <c r="J178" s="143">
        <f>SUM(H178:H179)</f>
        <v>228.8</v>
      </c>
      <c r="K178" s="251"/>
    </row>
    <row r="179" ht="19.5" customHeight="1">
      <c r="A179" s="246">
        <v>37473.0</v>
      </c>
      <c r="B179" s="49" t="s">
        <v>802</v>
      </c>
      <c r="C179" s="46" t="s">
        <v>103</v>
      </c>
      <c r="D179" s="39">
        <v>1.0</v>
      </c>
      <c r="E179" s="204"/>
      <c r="F179" s="207">
        <v>8.7</v>
      </c>
      <c r="G179" s="207">
        <v>1.0</v>
      </c>
      <c r="H179" s="40">
        <f t="shared" si="34"/>
        <v>8.7</v>
      </c>
      <c r="I179" s="206"/>
      <c r="J179" s="32"/>
      <c r="K179" s="235"/>
      <c r="L179" s="185"/>
      <c r="M179" s="185"/>
      <c r="N179" s="185"/>
      <c r="O179" s="185"/>
      <c r="P179" s="185"/>
      <c r="Q179" s="185"/>
      <c r="R179" s="185"/>
      <c r="S179" s="185"/>
      <c r="T179" s="185"/>
      <c r="U179" s="185"/>
      <c r="V179" s="185"/>
      <c r="W179" s="185"/>
      <c r="X179" s="185"/>
      <c r="Y179" s="185"/>
      <c r="Z179" s="185"/>
    </row>
    <row r="180" ht="19.5" customHeight="1">
      <c r="A180" s="246">
        <v>37108.0</v>
      </c>
      <c r="B180" s="195" t="s">
        <v>803</v>
      </c>
      <c r="C180" s="46" t="s">
        <v>103</v>
      </c>
      <c r="D180" s="39">
        <v>1.0</v>
      </c>
      <c r="E180" s="204"/>
      <c r="F180" s="207">
        <v>1.8</v>
      </c>
      <c r="G180" s="207">
        <v>1.0</v>
      </c>
      <c r="H180" s="40">
        <f t="shared" si="34"/>
        <v>1.8</v>
      </c>
      <c r="I180" s="206"/>
      <c r="J180" s="143">
        <f>SUM(H180:H184)</f>
        <v>43.22</v>
      </c>
      <c r="K180" s="235"/>
      <c r="L180" s="185"/>
      <c r="M180" s="185"/>
      <c r="N180" s="185"/>
      <c r="O180" s="185"/>
      <c r="P180" s="185"/>
      <c r="Q180" s="185"/>
      <c r="R180" s="185"/>
      <c r="S180" s="185"/>
      <c r="T180" s="185"/>
      <c r="U180" s="185"/>
      <c r="V180" s="185"/>
      <c r="W180" s="185"/>
      <c r="X180" s="185"/>
      <c r="Y180" s="185"/>
      <c r="Z180" s="185"/>
    </row>
    <row r="181" ht="19.5" customHeight="1">
      <c r="A181" s="246">
        <v>37108.0</v>
      </c>
      <c r="B181" s="195" t="s">
        <v>804</v>
      </c>
      <c r="C181" s="46" t="s">
        <v>103</v>
      </c>
      <c r="D181" s="39">
        <v>1.0</v>
      </c>
      <c r="E181" s="204"/>
      <c r="F181" s="207">
        <v>25.07</v>
      </c>
      <c r="G181" s="207">
        <v>1.0</v>
      </c>
      <c r="H181" s="40">
        <f t="shared" si="34"/>
        <v>25.07</v>
      </c>
      <c r="I181" s="206"/>
      <c r="J181" s="147"/>
      <c r="K181" s="235"/>
      <c r="L181" s="185"/>
      <c r="M181" s="185"/>
      <c r="N181" s="185"/>
      <c r="O181" s="185"/>
      <c r="P181" s="185"/>
      <c r="Q181" s="185"/>
      <c r="R181" s="185"/>
      <c r="S181" s="185"/>
      <c r="T181" s="185"/>
      <c r="U181" s="185"/>
      <c r="V181" s="185"/>
      <c r="W181" s="185"/>
      <c r="X181" s="185"/>
      <c r="Y181" s="185"/>
      <c r="Z181" s="185"/>
    </row>
    <row r="182" ht="19.5" customHeight="1">
      <c r="A182" s="246">
        <v>37108.0</v>
      </c>
      <c r="B182" s="195" t="s">
        <v>805</v>
      </c>
      <c r="C182" s="46" t="s">
        <v>103</v>
      </c>
      <c r="D182" s="39">
        <v>1.0</v>
      </c>
      <c r="E182" s="204"/>
      <c r="F182" s="207">
        <v>5.9</v>
      </c>
      <c r="G182" s="207">
        <v>1.0</v>
      </c>
      <c r="H182" s="40">
        <f t="shared" si="34"/>
        <v>5.9</v>
      </c>
      <c r="I182" s="206"/>
      <c r="J182" s="147"/>
      <c r="K182" s="235"/>
      <c r="L182" s="185"/>
      <c r="M182" s="185"/>
      <c r="N182" s="185"/>
      <c r="O182" s="185"/>
      <c r="P182" s="185"/>
      <c r="Q182" s="185"/>
      <c r="R182" s="185"/>
      <c r="S182" s="185"/>
      <c r="T182" s="185"/>
      <c r="U182" s="185"/>
      <c r="V182" s="185"/>
      <c r="W182" s="185"/>
      <c r="X182" s="185"/>
      <c r="Y182" s="185"/>
      <c r="Z182" s="185"/>
    </row>
    <row r="183" ht="19.5" customHeight="1">
      <c r="A183" s="246">
        <v>37108.0</v>
      </c>
      <c r="B183" s="195" t="s">
        <v>806</v>
      </c>
      <c r="C183" s="46" t="s">
        <v>103</v>
      </c>
      <c r="D183" s="39">
        <v>1.0</v>
      </c>
      <c r="E183" s="204"/>
      <c r="F183" s="207">
        <v>4.55</v>
      </c>
      <c r="G183" s="207">
        <v>1.0</v>
      </c>
      <c r="H183" s="40">
        <f t="shared" si="34"/>
        <v>4.55</v>
      </c>
      <c r="I183" s="206"/>
      <c r="J183" s="147"/>
      <c r="K183" s="235"/>
      <c r="L183" s="185"/>
      <c r="M183" s="185"/>
      <c r="N183" s="185"/>
      <c r="O183" s="185"/>
      <c r="P183" s="185"/>
      <c r="Q183" s="185"/>
      <c r="R183" s="185"/>
      <c r="S183" s="185"/>
      <c r="T183" s="185"/>
      <c r="U183" s="185"/>
      <c r="V183" s="185"/>
      <c r="W183" s="185"/>
      <c r="X183" s="185"/>
      <c r="Y183" s="185"/>
      <c r="Z183" s="185"/>
    </row>
    <row r="184" ht="19.5" customHeight="1">
      <c r="A184" s="246">
        <v>37108.0</v>
      </c>
      <c r="B184" s="195" t="s">
        <v>807</v>
      </c>
      <c r="C184" s="46" t="s">
        <v>103</v>
      </c>
      <c r="D184" s="39">
        <v>1.0</v>
      </c>
      <c r="E184" s="204"/>
      <c r="F184" s="207">
        <v>5.9</v>
      </c>
      <c r="G184" s="207">
        <v>1.0</v>
      </c>
      <c r="H184" s="40">
        <f t="shared" si="34"/>
        <v>5.9</v>
      </c>
      <c r="I184" s="206"/>
      <c r="J184" s="32"/>
      <c r="K184" s="235"/>
      <c r="L184" s="185"/>
      <c r="M184" s="185"/>
      <c r="N184" s="185"/>
      <c r="O184" s="185"/>
      <c r="P184" s="185"/>
      <c r="Q184" s="185"/>
      <c r="R184" s="185"/>
      <c r="S184" s="185"/>
      <c r="T184" s="185"/>
      <c r="U184" s="185"/>
      <c r="V184" s="185"/>
      <c r="W184" s="185"/>
      <c r="X184" s="185"/>
      <c r="Y184" s="185"/>
      <c r="Z184" s="185"/>
    </row>
    <row r="185" ht="19.5" customHeight="1">
      <c r="A185" s="74" t="s">
        <v>1</v>
      </c>
      <c r="B185" s="74" t="s">
        <v>91</v>
      </c>
      <c r="C185" s="74" t="s">
        <v>92</v>
      </c>
      <c r="D185" s="76" t="s">
        <v>93</v>
      </c>
      <c r="E185" s="50" t="s">
        <v>97</v>
      </c>
      <c r="F185" s="53" t="s">
        <v>121</v>
      </c>
      <c r="G185" s="53" t="s">
        <v>198</v>
      </c>
      <c r="H185" s="75" t="s">
        <v>100</v>
      </c>
      <c r="I185" s="75" t="s">
        <v>101</v>
      </c>
      <c r="J185" s="285" t="s">
        <v>95</v>
      </c>
      <c r="K185" s="247" t="s">
        <v>96</v>
      </c>
    </row>
    <row r="186" ht="19.5" customHeight="1">
      <c r="A186" s="246">
        <v>37016.0</v>
      </c>
      <c r="B186" s="49" t="s">
        <v>808</v>
      </c>
      <c r="C186" s="46" t="s">
        <v>103</v>
      </c>
      <c r="D186" s="39">
        <v>1.0</v>
      </c>
      <c r="E186" s="41">
        <v>3.0</v>
      </c>
      <c r="F186" s="39">
        <v>9.72</v>
      </c>
      <c r="G186" s="40"/>
      <c r="H186" s="40">
        <f t="shared" ref="H186:H193" si="35">D186*E186*F186</f>
        <v>29.16</v>
      </c>
      <c r="I186" s="152">
        <v>1.89</v>
      </c>
      <c r="J186" s="205">
        <f t="shared" ref="J186:J193" si="36">H186-I186</f>
        <v>27.27</v>
      </c>
      <c r="K186" s="251"/>
    </row>
    <row r="187" ht="19.5" customHeight="1">
      <c r="A187" s="246">
        <v>37016.0</v>
      </c>
      <c r="B187" s="49" t="s">
        <v>809</v>
      </c>
      <c r="C187" s="46" t="s">
        <v>103</v>
      </c>
      <c r="D187" s="39">
        <v>1.0</v>
      </c>
      <c r="E187" s="41">
        <v>3.0</v>
      </c>
      <c r="F187" s="39">
        <v>8.62</v>
      </c>
      <c r="G187" s="40"/>
      <c r="H187" s="40">
        <f t="shared" si="35"/>
        <v>25.86</v>
      </c>
      <c r="I187" s="152">
        <v>1.89</v>
      </c>
      <c r="J187" s="205">
        <f t="shared" si="36"/>
        <v>23.97</v>
      </c>
      <c r="K187" s="251"/>
    </row>
    <row r="188" ht="19.5" customHeight="1">
      <c r="A188" s="246">
        <v>37016.0</v>
      </c>
      <c r="B188" s="49" t="s">
        <v>810</v>
      </c>
      <c r="C188" s="46" t="s">
        <v>103</v>
      </c>
      <c r="D188" s="39">
        <v>1.0</v>
      </c>
      <c r="E188" s="41">
        <v>3.0</v>
      </c>
      <c r="F188" s="39">
        <v>9.72</v>
      </c>
      <c r="G188" s="40"/>
      <c r="H188" s="40">
        <f t="shared" si="35"/>
        <v>29.16</v>
      </c>
      <c r="I188" s="152">
        <v>1.89</v>
      </c>
      <c r="J188" s="205">
        <f t="shared" si="36"/>
        <v>27.27</v>
      </c>
      <c r="K188" s="255"/>
    </row>
    <row r="189" ht="19.5" customHeight="1">
      <c r="A189" s="246">
        <v>37016.0</v>
      </c>
      <c r="B189" s="49" t="s">
        <v>811</v>
      </c>
      <c r="C189" s="46" t="s">
        <v>103</v>
      </c>
      <c r="D189" s="39">
        <v>1.0</v>
      </c>
      <c r="E189" s="41">
        <v>3.0</v>
      </c>
      <c r="F189" s="39">
        <v>32.76</v>
      </c>
      <c r="G189" s="40"/>
      <c r="H189" s="40">
        <f t="shared" si="35"/>
        <v>98.28</v>
      </c>
      <c r="I189" s="42">
        <f>3*1.89+4*4.2</f>
        <v>22.47</v>
      </c>
      <c r="J189" s="205">
        <f t="shared" si="36"/>
        <v>75.81</v>
      </c>
      <c r="K189" s="255"/>
    </row>
    <row r="190" ht="19.5" customHeight="1">
      <c r="A190" s="246">
        <v>37016.0</v>
      </c>
      <c r="B190" s="49" t="s">
        <v>812</v>
      </c>
      <c r="C190" s="46" t="s">
        <v>103</v>
      </c>
      <c r="D190" s="39">
        <v>1.0</v>
      </c>
      <c r="E190" s="41">
        <v>3.0</v>
      </c>
      <c r="F190" s="39">
        <v>14.6</v>
      </c>
      <c r="G190" s="40"/>
      <c r="H190" s="40">
        <f t="shared" si="35"/>
        <v>43.8</v>
      </c>
      <c r="I190" s="42">
        <f>1.89</f>
        <v>1.89</v>
      </c>
      <c r="J190" s="205">
        <f t="shared" si="36"/>
        <v>41.91</v>
      </c>
      <c r="K190" s="255"/>
    </row>
    <row r="191" ht="19.5" customHeight="1">
      <c r="A191" s="246">
        <v>37016.0</v>
      </c>
      <c r="B191" s="49" t="s">
        <v>813</v>
      </c>
      <c r="C191" s="46" t="s">
        <v>103</v>
      </c>
      <c r="D191" s="39">
        <v>1.0</v>
      </c>
      <c r="E191" s="41">
        <v>3.0</v>
      </c>
      <c r="F191" s="39">
        <v>5.4</v>
      </c>
      <c r="G191" s="40"/>
      <c r="H191" s="40">
        <f t="shared" si="35"/>
        <v>16.2</v>
      </c>
      <c r="I191" s="152">
        <v>1.89</v>
      </c>
      <c r="J191" s="205">
        <f t="shared" si="36"/>
        <v>14.31</v>
      </c>
      <c r="K191" s="255"/>
    </row>
    <row r="192" ht="19.5" customHeight="1">
      <c r="A192" s="246">
        <v>37016.0</v>
      </c>
      <c r="B192" s="49" t="s">
        <v>814</v>
      </c>
      <c r="C192" s="46" t="s">
        <v>103</v>
      </c>
      <c r="D192" s="39">
        <v>1.0</v>
      </c>
      <c r="E192" s="41">
        <v>4.0</v>
      </c>
      <c r="F192" s="39">
        <v>70.0</v>
      </c>
      <c r="G192" s="40"/>
      <c r="H192" s="40">
        <f t="shared" si="35"/>
        <v>280</v>
      </c>
      <c r="I192" s="42">
        <f>2*4.2+2*1.89</f>
        <v>12.18</v>
      </c>
      <c r="J192" s="205">
        <f t="shared" si="36"/>
        <v>267.82</v>
      </c>
      <c r="K192" s="255"/>
    </row>
    <row r="193" ht="19.5" customHeight="1">
      <c r="A193" s="246">
        <v>37016.0</v>
      </c>
      <c r="B193" s="49" t="s">
        <v>815</v>
      </c>
      <c r="C193" s="46" t="s">
        <v>103</v>
      </c>
      <c r="D193" s="39">
        <v>1.0</v>
      </c>
      <c r="E193" s="41">
        <v>3.0</v>
      </c>
      <c r="F193" s="78">
        <f>11.6*2+25*2</f>
        <v>73.2</v>
      </c>
      <c r="G193" s="40"/>
      <c r="H193" s="40">
        <f t="shared" si="35"/>
        <v>219.6</v>
      </c>
      <c r="I193" s="42"/>
      <c r="J193" s="205">
        <f t="shared" si="36"/>
        <v>219.6</v>
      </c>
      <c r="K193" s="255"/>
    </row>
    <row r="194" ht="19.5" customHeight="1">
      <c r="A194" s="288"/>
      <c r="B194" s="49"/>
      <c r="C194" s="46"/>
      <c r="D194" s="78"/>
      <c r="E194" s="40"/>
      <c r="F194" s="78"/>
      <c r="G194" s="40"/>
      <c r="H194" s="40"/>
      <c r="I194" s="42"/>
      <c r="J194" s="289">
        <f>SUM(J186:J193)</f>
        <v>697.96</v>
      </c>
      <c r="K194" s="255"/>
    </row>
    <row r="195" ht="19.5" customHeight="1">
      <c r="A195" s="246">
        <v>37381.0</v>
      </c>
      <c r="B195" s="49" t="s">
        <v>602</v>
      </c>
      <c r="C195" s="46" t="s">
        <v>103</v>
      </c>
      <c r="D195" s="39">
        <v>1.0</v>
      </c>
      <c r="E195" s="41">
        <v>6.0</v>
      </c>
      <c r="F195" s="78">
        <f>11.75*2+25.3*2</f>
        <v>74.1</v>
      </c>
      <c r="G195" s="40"/>
      <c r="H195" s="40">
        <f t="shared" ref="H195:H198" si="37">D195*E195*F195</f>
        <v>444.6</v>
      </c>
      <c r="I195" s="42">
        <f>4.2*2+1.89</f>
        <v>10.29</v>
      </c>
      <c r="J195" s="205">
        <f t="shared" ref="J195:J198" si="38">H195-I195</f>
        <v>434.31</v>
      </c>
      <c r="K195" s="255"/>
    </row>
    <row r="196" ht="19.5" customHeight="1">
      <c r="A196" s="246">
        <v>37381.0</v>
      </c>
      <c r="B196" s="49" t="s">
        <v>816</v>
      </c>
      <c r="C196" s="46" t="s">
        <v>103</v>
      </c>
      <c r="D196" s="39">
        <v>5.0</v>
      </c>
      <c r="E196" s="41">
        <v>3.0</v>
      </c>
      <c r="F196" s="39">
        <v>1.1</v>
      </c>
      <c r="G196" s="40"/>
      <c r="H196" s="40">
        <f t="shared" si="37"/>
        <v>16.5</v>
      </c>
      <c r="I196" s="42"/>
      <c r="J196" s="205">
        <f t="shared" si="38"/>
        <v>16.5</v>
      </c>
      <c r="K196" s="255"/>
    </row>
    <row r="197" ht="19.5" customHeight="1">
      <c r="A197" s="246">
        <v>37381.0</v>
      </c>
      <c r="B197" s="49" t="s">
        <v>817</v>
      </c>
      <c r="C197" s="46" t="s">
        <v>103</v>
      </c>
      <c r="D197" s="39">
        <v>1.0</v>
      </c>
      <c r="E197" s="41">
        <v>0.9</v>
      </c>
      <c r="F197" s="39">
        <v>25.5</v>
      </c>
      <c r="G197" s="40"/>
      <c r="H197" s="40">
        <f t="shared" si="37"/>
        <v>22.95</v>
      </c>
      <c r="I197" s="42"/>
      <c r="J197" s="205">
        <f t="shared" si="38"/>
        <v>22.95</v>
      </c>
      <c r="K197" s="255"/>
    </row>
    <row r="198" ht="19.5" customHeight="1">
      <c r="A198" s="246">
        <v>37381.0</v>
      </c>
      <c r="B198" s="49" t="s">
        <v>818</v>
      </c>
      <c r="C198" s="46" t="s">
        <v>103</v>
      </c>
      <c r="D198" s="39">
        <v>2.0</v>
      </c>
      <c r="E198" s="41">
        <v>1.1</v>
      </c>
      <c r="F198" s="39">
        <v>10.75</v>
      </c>
      <c r="G198" s="40"/>
      <c r="H198" s="40">
        <f t="shared" si="37"/>
        <v>23.65</v>
      </c>
      <c r="I198" s="42"/>
      <c r="J198" s="205">
        <f t="shared" si="38"/>
        <v>23.65</v>
      </c>
      <c r="K198" s="255"/>
    </row>
    <row r="199" ht="19.5" customHeight="1">
      <c r="A199" s="288"/>
      <c r="B199" s="49"/>
      <c r="C199" s="46" t="s">
        <v>103</v>
      </c>
      <c r="D199" s="78"/>
      <c r="E199" s="40"/>
      <c r="F199" s="78"/>
      <c r="G199" s="40"/>
      <c r="H199" s="40"/>
      <c r="I199" s="42"/>
      <c r="J199" s="290">
        <f>SUM(J195:J198)</f>
        <v>497.41</v>
      </c>
      <c r="K199" s="255"/>
    </row>
    <row r="200" ht="19.5" customHeight="1">
      <c r="A200" s="74"/>
      <c r="B200" s="74" t="s">
        <v>91</v>
      </c>
      <c r="C200" s="74" t="s">
        <v>92</v>
      </c>
      <c r="D200" s="76" t="s">
        <v>93</v>
      </c>
      <c r="E200" s="50" t="s">
        <v>97</v>
      </c>
      <c r="F200" s="53" t="s">
        <v>121</v>
      </c>
      <c r="G200" s="53" t="s">
        <v>198</v>
      </c>
      <c r="H200" s="75" t="s">
        <v>100</v>
      </c>
      <c r="I200" s="75" t="s">
        <v>101</v>
      </c>
      <c r="J200" s="285" t="s">
        <v>95</v>
      </c>
      <c r="K200" s="247" t="s">
        <v>96</v>
      </c>
    </row>
    <row r="201" ht="19.5" customHeight="1">
      <c r="A201" s="246">
        <v>37746.0</v>
      </c>
      <c r="B201" s="49" t="s">
        <v>819</v>
      </c>
      <c r="C201" s="46" t="s">
        <v>103</v>
      </c>
      <c r="D201" s="39">
        <v>1.0</v>
      </c>
      <c r="E201" s="41">
        <v>3.0</v>
      </c>
      <c r="F201" s="39">
        <v>9.72</v>
      </c>
      <c r="G201" s="40"/>
      <c r="H201" s="40">
        <f t="shared" ref="H201:H208" si="39">D201*E201*F201</f>
        <v>29.16</v>
      </c>
      <c r="I201" s="152">
        <v>1.89</v>
      </c>
      <c r="J201" s="205">
        <f t="shared" ref="J201:J208" si="40">H201-I201</f>
        <v>27.27</v>
      </c>
      <c r="K201" s="255"/>
    </row>
    <row r="202" ht="19.5" customHeight="1">
      <c r="A202" s="246">
        <v>37746.0</v>
      </c>
      <c r="B202" s="49" t="s">
        <v>820</v>
      </c>
      <c r="C202" s="46" t="s">
        <v>103</v>
      </c>
      <c r="D202" s="39">
        <v>1.0</v>
      </c>
      <c r="E202" s="41">
        <v>3.0</v>
      </c>
      <c r="F202" s="39">
        <v>8.62</v>
      </c>
      <c r="G202" s="40"/>
      <c r="H202" s="40">
        <f t="shared" si="39"/>
        <v>25.86</v>
      </c>
      <c r="I202" s="152">
        <v>1.89</v>
      </c>
      <c r="J202" s="205">
        <f t="shared" si="40"/>
        <v>23.97</v>
      </c>
      <c r="K202" s="255"/>
    </row>
    <row r="203" ht="19.5" customHeight="1">
      <c r="A203" s="246">
        <v>37746.0</v>
      </c>
      <c r="B203" s="49" t="s">
        <v>821</v>
      </c>
      <c r="C203" s="46" t="s">
        <v>103</v>
      </c>
      <c r="D203" s="39">
        <v>1.0</v>
      </c>
      <c r="E203" s="41">
        <v>3.0</v>
      </c>
      <c r="F203" s="39">
        <v>9.72</v>
      </c>
      <c r="G203" s="40"/>
      <c r="H203" s="40">
        <f t="shared" si="39"/>
        <v>29.16</v>
      </c>
      <c r="I203" s="152">
        <v>1.89</v>
      </c>
      <c r="J203" s="205">
        <f t="shared" si="40"/>
        <v>27.27</v>
      </c>
      <c r="K203" s="255"/>
    </row>
    <row r="204" ht="19.5" customHeight="1">
      <c r="A204" s="246">
        <v>37746.0</v>
      </c>
      <c r="B204" s="49" t="s">
        <v>822</v>
      </c>
      <c r="C204" s="46" t="s">
        <v>103</v>
      </c>
      <c r="D204" s="39">
        <v>1.0</v>
      </c>
      <c r="E204" s="41">
        <v>3.0</v>
      </c>
      <c r="F204" s="39">
        <v>32.76</v>
      </c>
      <c r="G204" s="40"/>
      <c r="H204" s="40">
        <f t="shared" si="39"/>
        <v>98.28</v>
      </c>
      <c r="I204" s="42">
        <f>3*1.89+4*4.2</f>
        <v>22.47</v>
      </c>
      <c r="J204" s="205">
        <f t="shared" si="40"/>
        <v>75.81</v>
      </c>
      <c r="K204" s="255"/>
    </row>
    <row r="205" ht="19.5" customHeight="1">
      <c r="A205" s="246">
        <v>37746.0</v>
      </c>
      <c r="B205" s="49" t="s">
        <v>823</v>
      </c>
      <c r="C205" s="46" t="s">
        <v>103</v>
      </c>
      <c r="D205" s="39">
        <v>1.0</v>
      </c>
      <c r="E205" s="41">
        <v>3.0</v>
      </c>
      <c r="F205" s="39">
        <v>14.6</v>
      </c>
      <c r="G205" s="40"/>
      <c r="H205" s="40">
        <f t="shared" si="39"/>
        <v>43.8</v>
      </c>
      <c r="I205" s="42">
        <f>1.89</f>
        <v>1.89</v>
      </c>
      <c r="J205" s="205">
        <f t="shared" si="40"/>
        <v>41.91</v>
      </c>
      <c r="K205" s="255"/>
    </row>
    <row r="206" ht="19.5" customHeight="1">
      <c r="A206" s="246">
        <v>37746.0</v>
      </c>
      <c r="B206" s="49" t="s">
        <v>824</v>
      </c>
      <c r="C206" s="46" t="s">
        <v>103</v>
      </c>
      <c r="D206" s="39">
        <v>1.0</v>
      </c>
      <c r="E206" s="41">
        <v>3.0</v>
      </c>
      <c r="F206" s="39">
        <v>5.4</v>
      </c>
      <c r="G206" s="40"/>
      <c r="H206" s="40">
        <f t="shared" si="39"/>
        <v>16.2</v>
      </c>
      <c r="I206" s="152">
        <v>1.89</v>
      </c>
      <c r="J206" s="205">
        <f t="shared" si="40"/>
        <v>14.31</v>
      </c>
      <c r="K206" s="255"/>
    </row>
    <row r="207" ht="19.5" customHeight="1">
      <c r="A207" s="246">
        <v>37746.0</v>
      </c>
      <c r="B207" s="49" t="s">
        <v>825</v>
      </c>
      <c r="C207" s="46" t="s">
        <v>103</v>
      </c>
      <c r="D207" s="39">
        <v>1.0</v>
      </c>
      <c r="E207" s="41">
        <v>4.0</v>
      </c>
      <c r="F207" s="39">
        <v>70.0</v>
      </c>
      <c r="G207" s="40"/>
      <c r="H207" s="40">
        <f t="shared" si="39"/>
        <v>280</v>
      </c>
      <c r="I207" s="42">
        <f>2*4.2+2*1.89</f>
        <v>12.18</v>
      </c>
      <c r="J207" s="205">
        <f t="shared" si="40"/>
        <v>267.82</v>
      </c>
      <c r="K207" s="255"/>
    </row>
    <row r="208" ht="19.5" customHeight="1">
      <c r="A208" s="246">
        <v>37746.0</v>
      </c>
      <c r="B208" s="49" t="s">
        <v>826</v>
      </c>
      <c r="C208" s="46" t="s">
        <v>103</v>
      </c>
      <c r="D208" s="39">
        <v>1.0</v>
      </c>
      <c r="E208" s="41">
        <v>3.0</v>
      </c>
      <c r="F208" s="78">
        <f>11.6*2+25*2</f>
        <v>73.2</v>
      </c>
      <c r="G208" s="40"/>
      <c r="H208" s="40">
        <f t="shared" si="39"/>
        <v>219.6</v>
      </c>
      <c r="I208" s="42"/>
      <c r="J208" s="205">
        <f t="shared" si="40"/>
        <v>219.6</v>
      </c>
      <c r="K208" s="255"/>
    </row>
    <row r="209" ht="19.5" customHeight="1">
      <c r="A209" s="288"/>
      <c r="B209" s="49"/>
      <c r="C209" s="46"/>
      <c r="D209" s="78"/>
      <c r="E209" s="40"/>
      <c r="F209" s="78"/>
      <c r="G209" s="40"/>
      <c r="H209" s="40"/>
      <c r="I209" s="42"/>
      <c r="J209" s="289">
        <f>SUM(J201:J208)</f>
        <v>697.96</v>
      </c>
      <c r="K209" s="251"/>
    </row>
    <row r="210" ht="19.5" customHeight="1">
      <c r="A210" s="246">
        <v>38112.0</v>
      </c>
      <c r="B210" s="49" t="s">
        <v>614</v>
      </c>
      <c r="C210" s="46" t="s">
        <v>103</v>
      </c>
      <c r="D210" s="39">
        <v>1.0</v>
      </c>
      <c r="E210" s="41">
        <v>6.0</v>
      </c>
      <c r="F210" s="78">
        <f>11.75*2+25.3*2</f>
        <v>74.1</v>
      </c>
      <c r="G210" s="40"/>
      <c r="H210" s="40">
        <f t="shared" ref="H210:H213" si="41">D210*E210*F210</f>
        <v>444.6</v>
      </c>
      <c r="I210" s="42">
        <f>4.2*2+1.89</f>
        <v>10.29</v>
      </c>
      <c r="J210" s="205">
        <f t="shared" ref="J210:J213" si="42">H210-I210</f>
        <v>434.31</v>
      </c>
      <c r="K210" s="251"/>
    </row>
    <row r="211" ht="19.5" customHeight="1">
      <c r="A211" s="246">
        <v>38112.0</v>
      </c>
      <c r="B211" s="49" t="s">
        <v>827</v>
      </c>
      <c r="C211" s="46" t="s">
        <v>103</v>
      </c>
      <c r="D211" s="39">
        <v>5.0</v>
      </c>
      <c r="E211" s="41">
        <v>3.0</v>
      </c>
      <c r="F211" s="39">
        <v>1.1</v>
      </c>
      <c r="G211" s="40"/>
      <c r="H211" s="40">
        <f t="shared" si="41"/>
        <v>16.5</v>
      </c>
      <c r="I211" s="42"/>
      <c r="J211" s="205">
        <f t="shared" si="42"/>
        <v>16.5</v>
      </c>
      <c r="K211" s="251"/>
    </row>
    <row r="212" ht="19.5" customHeight="1">
      <c r="A212" s="246">
        <v>38112.0</v>
      </c>
      <c r="B212" s="49" t="s">
        <v>828</v>
      </c>
      <c r="C212" s="46" t="s">
        <v>103</v>
      </c>
      <c r="D212" s="39">
        <v>1.0</v>
      </c>
      <c r="E212" s="41">
        <v>0.9</v>
      </c>
      <c r="F212" s="39">
        <v>25.5</v>
      </c>
      <c r="G212" s="40"/>
      <c r="H212" s="40">
        <f t="shared" si="41"/>
        <v>22.95</v>
      </c>
      <c r="I212" s="42"/>
      <c r="J212" s="205">
        <f t="shared" si="42"/>
        <v>22.95</v>
      </c>
      <c r="K212" s="251"/>
    </row>
    <row r="213" ht="19.5" customHeight="1">
      <c r="A213" s="246">
        <v>38112.0</v>
      </c>
      <c r="B213" s="49" t="s">
        <v>829</v>
      </c>
      <c r="C213" s="46" t="s">
        <v>103</v>
      </c>
      <c r="D213" s="39">
        <v>2.0</v>
      </c>
      <c r="E213" s="41">
        <v>1.1</v>
      </c>
      <c r="F213" s="39">
        <v>10.75</v>
      </c>
      <c r="G213" s="40"/>
      <c r="H213" s="40">
        <f t="shared" si="41"/>
        <v>23.65</v>
      </c>
      <c r="I213" s="42"/>
      <c r="J213" s="205">
        <f t="shared" si="42"/>
        <v>23.65</v>
      </c>
      <c r="K213" s="251"/>
    </row>
    <row r="214" ht="19.5" customHeight="1">
      <c r="A214" s="288"/>
      <c r="B214" s="49"/>
      <c r="C214" s="46" t="s">
        <v>103</v>
      </c>
      <c r="D214" s="78"/>
      <c r="E214" s="40"/>
      <c r="F214" s="78"/>
      <c r="G214" s="40"/>
      <c r="H214" s="40"/>
      <c r="I214" s="42"/>
      <c r="J214" s="290">
        <f>SUM(J210:J213)</f>
        <v>497.41</v>
      </c>
      <c r="K214" s="251"/>
    </row>
    <row r="215" ht="19.5" customHeight="1">
      <c r="A215" s="74" t="s">
        <v>1</v>
      </c>
      <c r="B215" s="74" t="s">
        <v>91</v>
      </c>
      <c r="C215" s="74" t="s">
        <v>92</v>
      </c>
      <c r="D215" s="76" t="s">
        <v>93</v>
      </c>
      <c r="E215" s="50" t="s">
        <v>97</v>
      </c>
      <c r="F215" s="53" t="s">
        <v>121</v>
      </c>
      <c r="G215" s="53" t="s">
        <v>198</v>
      </c>
      <c r="H215" s="75" t="s">
        <v>100</v>
      </c>
      <c r="I215" s="75" t="s">
        <v>101</v>
      </c>
      <c r="J215" s="76" t="s">
        <v>95</v>
      </c>
      <c r="K215" s="247" t="s">
        <v>96</v>
      </c>
    </row>
    <row r="216" ht="19.5" customHeight="1">
      <c r="A216" s="291" t="s">
        <v>830</v>
      </c>
      <c r="B216" s="49" t="s">
        <v>831</v>
      </c>
      <c r="C216" s="46" t="s">
        <v>103</v>
      </c>
      <c r="D216" s="39">
        <v>1.0</v>
      </c>
      <c r="E216" s="41">
        <v>3.0</v>
      </c>
      <c r="F216" s="39">
        <v>32.76</v>
      </c>
      <c r="G216" s="40"/>
      <c r="H216" s="40">
        <f t="shared" ref="H216:H218" si="43">D216*E216*F216</f>
        <v>98.28</v>
      </c>
      <c r="I216" s="42">
        <f>3*1.89+4*4.2</f>
        <v>22.47</v>
      </c>
      <c r="J216" s="40">
        <f t="shared" ref="J216:J218" si="44">H216-I216</f>
        <v>75.81</v>
      </c>
      <c r="K216" s="251"/>
    </row>
    <row r="217" ht="19.5" customHeight="1">
      <c r="A217" s="291" t="s">
        <v>830</v>
      </c>
      <c r="B217" s="49" t="s">
        <v>832</v>
      </c>
      <c r="C217" s="46" t="s">
        <v>103</v>
      </c>
      <c r="D217" s="39">
        <v>1.0</v>
      </c>
      <c r="E217" s="41">
        <v>3.0</v>
      </c>
      <c r="F217" s="39">
        <v>14.6</v>
      </c>
      <c r="G217" s="40"/>
      <c r="H217" s="40">
        <f t="shared" si="43"/>
        <v>43.8</v>
      </c>
      <c r="I217" s="42">
        <f>1.89</f>
        <v>1.89</v>
      </c>
      <c r="J217" s="40">
        <f t="shared" si="44"/>
        <v>41.91</v>
      </c>
      <c r="K217" s="251"/>
    </row>
    <row r="218" ht="19.5" customHeight="1">
      <c r="A218" s="291" t="s">
        <v>830</v>
      </c>
      <c r="B218" s="49" t="s">
        <v>833</v>
      </c>
      <c r="C218" s="46" t="s">
        <v>103</v>
      </c>
      <c r="D218" s="39">
        <v>1.0</v>
      </c>
      <c r="E218" s="41">
        <v>4.0</v>
      </c>
      <c r="F218" s="39">
        <v>70.0</v>
      </c>
      <c r="G218" s="40"/>
      <c r="H218" s="40">
        <f t="shared" si="43"/>
        <v>280</v>
      </c>
      <c r="I218" s="42">
        <f>2*4.2+2*1.89</f>
        <v>12.18</v>
      </c>
      <c r="J218" s="40">
        <f t="shared" si="44"/>
        <v>267.82</v>
      </c>
      <c r="K218" s="255" t="s">
        <v>95</v>
      </c>
    </row>
    <row r="219" ht="19.5" customHeight="1">
      <c r="A219" s="291" t="s">
        <v>830</v>
      </c>
      <c r="B219" s="195" t="s">
        <v>834</v>
      </c>
      <c r="C219" s="46" t="s">
        <v>103</v>
      </c>
      <c r="D219" s="279">
        <v>2.0</v>
      </c>
      <c r="E219" s="268">
        <v>3.0</v>
      </c>
      <c r="F219" s="282">
        <v>7.75</v>
      </c>
      <c r="G219" s="283"/>
      <c r="H219" s="283">
        <f>F219*E219*D219</f>
        <v>46.5</v>
      </c>
      <c r="I219" s="284"/>
      <c r="J219" s="205">
        <f>H219</f>
        <v>46.5</v>
      </c>
      <c r="K219" s="235"/>
      <c r="L219" s="185"/>
      <c r="M219" s="185"/>
      <c r="N219" s="185"/>
      <c r="O219" s="185"/>
      <c r="P219" s="185"/>
      <c r="Q219" s="185"/>
      <c r="R219" s="185"/>
      <c r="S219" s="185"/>
      <c r="T219" s="185"/>
      <c r="U219" s="185"/>
      <c r="V219" s="185"/>
      <c r="W219" s="185"/>
      <c r="X219" s="185"/>
      <c r="Y219" s="185"/>
      <c r="Z219" s="185"/>
    </row>
    <row r="220" ht="19.5" customHeight="1">
      <c r="A220" s="79"/>
      <c r="B220" s="114"/>
      <c r="C220" s="79"/>
      <c r="D220" s="115"/>
      <c r="E220" s="41"/>
      <c r="F220" s="39"/>
      <c r="G220" s="40"/>
      <c r="H220" s="59"/>
      <c r="I220" s="82"/>
      <c r="J220" s="290">
        <f>SUM(J216:J219)</f>
        <v>432.04</v>
      </c>
      <c r="K220" s="255"/>
    </row>
    <row r="221" ht="19.5" customHeight="1">
      <c r="A221" s="74" t="s">
        <v>1</v>
      </c>
      <c r="B221" s="74" t="s">
        <v>91</v>
      </c>
      <c r="C221" s="74" t="s">
        <v>92</v>
      </c>
      <c r="D221" s="76" t="s">
        <v>93</v>
      </c>
      <c r="E221" s="50" t="s">
        <v>97</v>
      </c>
      <c r="F221" s="53" t="s">
        <v>121</v>
      </c>
      <c r="G221" s="53" t="s">
        <v>99</v>
      </c>
      <c r="H221" s="75" t="s">
        <v>100</v>
      </c>
      <c r="I221" s="75" t="s">
        <v>101</v>
      </c>
      <c r="J221" s="76" t="s">
        <v>95</v>
      </c>
      <c r="K221" s="247" t="s">
        <v>96</v>
      </c>
    </row>
    <row r="222" ht="19.5" customHeight="1">
      <c r="A222" s="246">
        <v>38477.0</v>
      </c>
      <c r="B222" s="49" t="s">
        <v>835</v>
      </c>
      <c r="C222" s="46" t="s">
        <v>103</v>
      </c>
      <c r="D222" s="39">
        <v>1.0</v>
      </c>
      <c r="E222" s="41">
        <v>3.0</v>
      </c>
      <c r="F222" s="39">
        <v>9.72</v>
      </c>
      <c r="G222" s="40"/>
      <c r="H222" s="40">
        <f t="shared" ref="H222:H225" si="45">D222*E222*F222</f>
        <v>29.16</v>
      </c>
      <c r="I222" s="152">
        <v>1.89</v>
      </c>
      <c r="J222" s="205">
        <f t="shared" ref="J222:J225" si="46">H222-I222</f>
        <v>27.27</v>
      </c>
      <c r="K222" s="251"/>
    </row>
    <row r="223" ht="19.5" customHeight="1">
      <c r="A223" s="246">
        <v>38477.0</v>
      </c>
      <c r="B223" s="49" t="s">
        <v>836</v>
      </c>
      <c r="C223" s="46" t="s">
        <v>103</v>
      </c>
      <c r="D223" s="39">
        <v>1.0</v>
      </c>
      <c r="E223" s="41">
        <v>3.0</v>
      </c>
      <c r="F223" s="39">
        <v>8.62</v>
      </c>
      <c r="G223" s="40"/>
      <c r="H223" s="40">
        <f t="shared" si="45"/>
        <v>25.86</v>
      </c>
      <c r="I223" s="152">
        <v>1.89</v>
      </c>
      <c r="J223" s="205">
        <f t="shared" si="46"/>
        <v>23.97</v>
      </c>
      <c r="K223" s="251"/>
    </row>
    <row r="224" ht="19.5" customHeight="1">
      <c r="A224" s="246">
        <v>38477.0</v>
      </c>
      <c r="B224" s="49" t="s">
        <v>837</v>
      </c>
      <c r="C224" s="46" t="s">
        <v>103</v>
      </c>
      <c r="D224" s="39">
        <v>1.0</v>
      </c>
      <c r="E224" s="41">
        <v>3.0</v>
      </c>
      <c r="F224" s="39">
        <v>9.72</v>
      </c>
      <c r="G224" s="40"/>
      <c r="H224" s="40">
        <f t="shared" si="45"/>
        <v>29.16</v>
      </c>
      <c r="I224" s="152">
        <v>1.89</v>
      </c>
      <c r="J224" s="205">
        <f t="shared" si="46"/>
        <v>27.27</v>
      </c>
      <c r="K224" s="255"/>
    </row>
    <row r="225" ht="19.5" customHeight="1">
      <c r="A225" s="246">
        <v>38477.0</v>
      </c>
      <c r="B225" s="49" t="s">
        <v>838</v>
      </c>
      <c r="C225" s="46" t="s">
        <v>103</v>
      </c>
      <c r="D225" s="39">
        <v>1.0</v>
      </c>
      <c r="E225" s="41">
        <v>3.0</v>
      </c>
      <c r="F225" s="39">
        <v>5.4</v>
      </c>
      <c r="G225" s="40"/>
      <c r="H225" s="40">
        <f t="shared" si="45"/>
        <v>16.2</v>
      </c>
      <c r="I225" s="152">
        <v>1.89</v>
      </c>
      <c r="J225" s="40">
        <f t="shared" si="46"/>
        <v>14.31</v>
      </c>
      <c r="K225" s="255"/>
    </row>
    <row r="226" ht="19.5" customHeight="1">
      <c r="A226" s="246"/>
      <c r="B226" s="37"/>
      <c r="C226" s="46"/>
      <c r="D226" s="78"/>
      <c r="E226" s="37"/>
      <c r="F226" s="78"/>
      <c r="G226" s="40"/>
      <c r="H226" s="40"/>
      <c r="I226" s="42"/>
      <c r="J226" s="290">
        <f>SUM(J222:J225)</f>
        <v>92.82</v>
      </c>
      <c r="K226" s="255"/>
    </row>
    <row r="227" ht="19.5" customHeight="1">
      <c r="A227" s="246">
        <v>39207.0</v>
      </c>
      <c r="B227" s="49" t="s">
        <v>839</v>
      </c>
      <c r="C227" s="46" t="s">
        <v>103</v>
      </c>
      <c r="D227" s="39">
        <v>1.0</v>
      </c>
      <c r="E227" s="41">
        <v>2.35</v>
      </c>
      <c r="F227" s="78">
        <f>11.75*2+25.3*2</f>
        <v>74.1</v>
      </c>
      <c r="G227" s="40"/>
      <c r="H227" s="40">
        <f t="shared" ref="H227:H229" si="47">D227*E227*F227</f>
        <v>174.135</v>
      </c>
      <c r="I227" s="42"/>
      <c r="J227" s="205">
        <f t="shared" ref="J227:J229" si="48">H227-I227</f>
        <v>174.135</v>
      </c>
      <c r="K227" s="251"/>
    </row>
    <row r="228" ht="19.5" customHeight="1">
      <c r="A228" s="246">
        <v>39207.0</v>
      </c>
      <c r="B228" s="49" t="s">
        <v>839</v>
      </c>
      <c r="C228" s="46" t="s">
        <v>103</v>
      </c>
      <c r="D228" s="39">
        <v>1.0</v>
      </c>
      <c r="E228" s="41">
        <f>6-E227</f>
        <v>3.65</v>
      </c>
      <c r="F228" s="39">
        <v>19.35</v>
      </c>
      <c r="G228" s="40"/>
      <c r="H228" s="40">
        <f t="shared" si="47"/>
        <v>70.6275</v>
      </c>
      <c r="I228" s="42"/>
      <c r="J228" s="205">
        <f t="shared" si="48"/>
        <v>70.6275</v>
      </c>
      <c r="K228" s="255"/>
    </row>
    <row r="229" ht="19.5" customHeight="1">
      <c r="A229" s="246">
        <v>39207.0</v>
      </c>
      <c r="B229" s="49" t="s">
        <v>840</v>
      </c>
      <c r="C229" s="46" t="s">
        <v>103</v>
      </c>
      <c r="D229" s="39">
        <v>5.0</v>
      </c>
      <c r="E229" s="41">
        <v>3.0</v>
      </c>
      <c r="F229" s="39">
        <v>1.1</v>
      </c>
      <c r="G229" s="40"/>
      <c r="H229" s="40">
        <f t="shared" si="47"/>
        <v>16.5</v>
      </c>
      <c r="I229" s="42"/>
      <c r="J229" s="205">
        <f t="shared" si="48"/>
        <v>16.5</v>
      </c>
      <c r="K229" s="255"/>
    </row>
    <row r="230" ht="19.5" customHeight="1">
      <c r="A230" s="246"/>
      <c r="B230" s="49"/>
      <c r="C230" s="46"/>
      <c r="D230" s="39"/>
      <c r="E230" s="41"/>
      <c r="F230" s="39"/>
      <c r="G230" s="40"/>
      <c r="H230" s="40"/>
      <c r="I230" s="82"/>
      <c r="J230" s="290">
        <f>SUM(J227:J229)</f>
        <v>261.2625</v>
      </c>
      <c r="K230" s="255"/>
    </row>
    <row r="231" ht="19.5" customHeight="1">
      <c r="A231" s="246">
        <v>38842.0</v>
      </c>
      <c r="B231" s="49" t="s">
        <v>841</v>
      </c>
      <c r="C231" s="46" t="s">
        <v>103</v>
      </c>
      <c r="D231" s="39">
        <v>1.0</v>
      </c>
      <c r="E231" s="41">
        <v>0.9</v>
      </c>
      <c r="F231" s="39">
        <v>25.5</v>
      </c>
      <c r="G231" s="40"/>
      <c r="H231" s="40">
        <f t="shared" ref="H231:H233" si="49">D231*E231*F231</f>
        <v>22.95</v>
      </c>
      <c r="I231" s="93"/>
      <c r="J231" s="40">
        <f t="shared" ref="J231:J233" si="50">H231-I231</f>
        <v>22.95</v>
      </c>
      <c r="K231" s="255"/>
    </row>
    <row r="232" ht="19.5" customHeight="1">
      <c r="A232" s="246">
        <v>38842.0</v>
      </c>
      <c r="B232" s="49" t="s">
        <v>842</v>
      </c>
      <c r="C232" s="79" t="s">
        <v>103</v>
      </c>
      <c r="D232" s="39">
        <v>2.0</v>
      </c>
      <c r="E232" s="41">
        <v>1.1</v>
      </c>
      <c r="F232" s="39">
        <v>10.75</v>
      </c>
      <c r="G232" s="40"/>
      <c r="H232" s="40">
        <f t="shared" si="49"/>
        <v>23.65</v>
      </c>
      <c r="I232" s="93"/>
      <c r="J232" s="40">
        <f t="shared" si="50"/>
        <v>23.65</v>
      </c>
      <c r="K232" s="255"/>
    </row>
    <row r="233" ht="19.5" customHeight="1">
      <c r="A233" s="246">
        <v>38842.0</v>
      </c>
      <c r="B233" s="49" t="s">
        <v>614</v>
      </c>
      <c r="C233" s="46" t="s">
        <v>103</v>
      </c>
      <c r="D233" s="39">
        <v>1.0</v>
      </c>
      <c r="E233" s="41">
        <v>3.65</v>
      </c>
      <c r="F233" s="78">
        <f>(11.75*2+25.3*2)-F228</f>
        <v>54.75</v>
      </c>
      <c r="G233" s="40"/>
      <c r="H233" s="40">
        <f t="shared" si="49"/>
        <v>199.8375</v>
      </c>
      <c r="I233" s="93"/>
      <c r="J233" s="40">
        <f t="shared" si="50"/>
        <v>199.8375</v>
      </c>
      <c r="K233" s="255"/>
    </row>
    <row r="234" ht="19.5" customHeight="1">
      <c r="A234" s="246"/>
      <c r="B234" s="114"/>
      <c r="C234" s="79"/>
      <c r="D234" s="115"/>
      <c r="E234" s="41"/>
      <c r="F234" s="39"/>
      <c r="G234" s="40"/>
      <c r="H234" s="59"/>
      <c r="I234" s="93"/>
      <c r="J234" s="133">
        <f>SUM(J231:J233)</f>
        <v>246.4375</v>
      </c>
      <c r="K234" s="255"/>
    </row>
    <row r="235" ht="19.5" customHeight="1">
      <c r="A235" s="74" t="s">
        <v>1</v>
      </c>
      <c r="B235" s="74" t="s">
        <v>91</v>
      </c>
      <c r="C235" s="74" t="s">
        <v>92</v>
      </c>
      <c r="D235" s="76" t="s">
        <v>93</v>
      </c>
      <c r="E235" s="50" t="s">
        <v>97</v>
      </c>
      <c r="F235" s="53" t="s">
        <v>121</v>
      </c>
      <c r="G235" s="52" t="s">
        <v>632</v>
      </c>
      <c r="H235" s="75" t="s">
        <v>100</v>
      </c>
      <c r="I235" s="75" t="s">
        <v>101</v>
      </c>
      <c r="J235" s="76" t="s">
        <v>95</v>
      </c>
      <c r="K235" s="247" t="s">
        <v>96</v>
      </c>
    </row>
    <row r="236" ht="19.5" customHeight="1">
      <c r="A236" s="292">
        <v>37869.0</v>
      </c>
      <c r="B236" s="49" t="s">
        <v>843</v>
      </c>
      <c r="C236" s="46" t="s">
        <v>103</v>
      </c>
      <c r="D236" s="39">
        <v>3.0</v>
      </c>
      <c r="E236" s="49">
        <v>1.65</v>
      </c>
      <c r="F236" s="39">
        <v>0.8</v>
      </c>
      <c r="G236" s="41"/>
      <c r="H236" s="40">
        <f t="shared" ref="H236:H238" si="51">D236*E236*F236</f>
        <v>3.96</v>
      </c>
      <c r="I236" s="42"/>
      <c r="J236" s="168"/>
      <c r="K236" s="251"/>
    </row>
    <row r="237" ht="19.5" customHeight="1">
      <c r="A237" s="292">
        <v>37869.0</v>
      </c>
      <c r="B237" s="49" t="s">
        <v>844</v>
      </c>
      <c r="C237" s="46" t="s">
        <v>103</v>
      </c>
      <c r="D237" s="39">
        <v>4.0</v>
      </c>
      <c r="E237" s="49">
        <v>2.1</v>
      </c>
      <c r="F237" s="39">
        <v>0.9</v>
      </c>
      <c r="G237" s="41"/>
      <c r="H237" s="40">
        <f t="shared" si="51"/>
        <v>7.56</v>
      </c>
      <c r="I237" s="42"/>
      <c r="J237" s="168"/>
      <c r="K237" s="251"/>
    </row>
    <row r="238" ht="19.5" customHeight="1">
      <c r="A238" s="292">
        <v>37869.0</v>
      </c>
      <c r="B238" s="49" t="s">
        <v>845</v>
      </c>
      <c r="C238" s="46" t="s">
        <v>103</v>
      </c>
      <c r="D238" s="39">
        <v>1.0</v>
      </c>
      <c r="E238" s="49">
        <v>2.1</v>
      </c>
      <c r="F238" s="39">
        <v>0.9</v>
      </c>
      <c r="G238" s="41"/>
      <c r="H238" s="40">
        <f t="shared" si="51"/>
        <v>1.89</v>
      </c>
      <c r="I238" s="42"/>
      <c r="J238" s="64">
        <f>SUM(H236:H238)</f>
        <v>13.41</v>
      </c>
      <c r="K238" s="251"/>
    </row>
    <row r="239" ht="19.5" customHeight="1">
      <c r="A239" s="292">
        <v>38235.0</v>
      </c>
      <c r="B239" s="49" t="s">
        <v>846</v>
      </c>
      <c r="C239" s="38" t="s">
        <v>92</v>
      </c>
      <c r="D239" s="39">
        <v>5.0</v>
      </c>
      <c r="E239" s="49"/>
      <c r="F239" s="39"/>
      <c r="G239" s="41"/>
      <c r="H239" s="40"/>
      <c r="I239" s="42"/>
      <c r="J239" s="64">
        <f t="shared" ref="J239:J240" si="52">D239</f>
        <v>5</v>
      </c>
      <c r="K239" s="251"/>
    </row>
    <row r="240" ht="19.5" customHeight="1">
      <c r="A240" s="292">
        <v>38600.0</v>
      </c>
      <c r="B240" s="49" t="s">
        <v>847</v>
      </c>
      <c r="C240" s="38" t="s">
        <v>92</v>
      </c>
      <c r="D240" s="39">
        <v>1.0</v>
      </c>
      <c r="E240" s="49"/>
      <c r="F240" s="39"/>
      <c r="G240" s="41"/>
      <c r="H240" s="40"/>
      <c r="I240" s="42"/>
      <c r="J240" s="64">
        <f t="shared" si="52"/>
        <v>1</v>
      </c>
      <c r="K240" s="251"/>
    </row>
    <row r="241" ht="19.5" customHeight="1">
      <c r="A241" s="293"/>
      <c r="B241" s="37"/>
      <c r="C241" s="46"/>
      <c r="D241" s="78"/>
      <c r="E241" s="37"/>
      <c r="F241" s="78"/>
      <c r="G241" s="41"/>
      <c r="H241" s="40"/>
      <c r="I241" s="42"/>
      <c r="J241" s="294"/>
      <c r="K241" s="251"/>
    </row>
    <row r="242" ht="19.5" customHeight="1">
      <c r="A242" s="292">
        <v>37139.0</v>
      </c>
      <c r="B242" s="49" t="s">
        <v>848</v>
      </c>
      <c r="C242" s="46" t="s">
        <v>103</v>
      </c>
      <c r="D242" s="39">
        <v>4.0</v>
      </c>
      <c r="E242" s="49">
        <v>0.5</v>
      </c>
      <c r="F242" s="39">
        <v>0.62</v>
      </c>
      <c r="G242" s="41">
        <f t="shared" ref="G242:G244" si="53">(E242+F242)*2</f>
        <v>2.24</v>
      </c>
      <c r="H242" s="40">
        <f t="shared" ref="H242:H244" si="54">D242*E242*F242</f>
        <v>1.24</v>
      </c>
      <c r="I242" s="42"/>
      <c r="J242" s="64">
        <f>H242</f>
        <v>1.24</v>
      </c>
      <c r="K242" s="251"/>
    </row>
    <row r="243" ht="19.5" customHeight="1">
      <c r="A243" s="292">
        <v>37504.0</v>
      </c>
      <c r="B243" s="49" t="s">
        <v>849</v>
      </c>
      <c r="C243" s="46" t="s">
        <v>103</v>
      </c>
      <c r="D243" s="39">
        <v>6.0</v>
      </c>
      <c r="E243" s="49">
        <v>0.5</v>
      </c>
      <c r="F243" s="39">
        <v>2.0</v>
      </c>
      <c r="G243" s="41">
        <f t="shared" si="53"/>
        <v>5</v>
      </c>
      <c r="H243" s="40">
        <f t="shared" si="54"/>
        <v>6</v>
      </c>
      <c r="I243" s="42"/>
      <c r="J243" s="168"/>
      <c r="K243" s="251"/>
    </row>
    <row r="244" ht="19.5" customHeight="1">
      <c r="A244" s="292">
        <v>37504.0</v>
      </c>
      <c r="B244" s="49" t="s">
        <v>850</v>
      </c>
      <c r="C244" s="46" t="s">
        <v>103</v>
      </c>
      <c r="D244" s="39">
        <v>1.0</v>
      </c>
      <c r="E244" s="49">
        <v>1.1</v>
      </c>
      <c r="F244" s="39">
        <v>3.15</v>
      </c>
      <c r="G244" s="41">
        <f t="shared" si="53"/>
        <v>8.5</v>
      </c>
      <c r="H244" s="40">
        <f t="shared" si="54"/>
        <v>3.465</v>
      </c>
      <c r="I244" s="42"/>
      <c r="J244" s="64">
        <f>SUM(H243:H244)</f>
        <v>9.465</v>
      </c>
      <c r="K244" s="251"/>
    </row>
    <row r="245" ht="19.5" customHeight="1">
      <c r="A245" s="293"/>
      <c r="B245" s="37"/>
      <c r="C245" s="46"/>
      <c r="D245" s="78"/>
      <c r="E245" s="37"/>
      <c r="F245" s="78"/>
      <c r="G245" s="40"/>
      <c r="H245" s="40"/>
      <c r="I245" s="42"/>
      <c r="J245" s="168"/>
      <c r="K245" s="251"/>
    </row>
    <row r="246" ht="19.5" customHeight="1">
      <c r="A246" s="292">
        <v>38965.0</v>
      </c>
      <c r="B246" s="114" t="s">
        <v>636</v>
      </c>
      <c r="C246" s="83" t="s">
        <v>108</v>
      </c>
      <c r="D246" s="122"/>
      <c r="E246" s="37"/>
      <c r="F246" s="78"/>
      <c r="G246" s="40">
        <f>SUM(G242:G244)</f>
        <v>15.74</v>
      </c>
      <c r="H246" s="59"/>
      <c r="I246" s="82"/>
      <c r="J246" s="64">
        <f>G246</f>
        <v>15.74</v>
      </c>
      <c r="K246" s="255"/>
    </row>
    <row r="247" ht="19.5" customHeight="1">
      <c r="A247" s="295"/>
      <c r="B247" s="296"/>
      <c r="C247" s="297"/>
      <c r="D247" s="238"/>
      <c r="E247" s="298"/>
      <c r="F247" s="240"/>
      <c r="G247" s="142"/>
      <c r="H247" s="299"/>
      <c r="I247" s="299"/>
      <c r="J247" s="257"/>
      <c r="K247" s="235"/>
      <c r="L247" s="185"/>
      <c r="M247" s="185"/>
      <c r="N247" s="185"/>
      <c r="O247" s="185"/>
      <c r="P247" s="185"/>
      <c r="Q247" s="185"/>
      <c r="R247" s="185"/>
      <c r="S247" s="185"/>
      <c r="T247" s="185"/>
      <c r="U247" s="185"/>
      <c r="V247" s="185"/>
      <c r="W247" s="185"/>
      <c r="X247" s="185"/>
      <c r="Y247" s="185"/>
      <c r="Z247" s="185"/>
    </row>
    <row r="248" ht="19.5" customHeight="1">
      <c r="A248" s="300">
        <v>38781.0</v>
      </c>
      <c r="B248" s="114" t="s">
        <v>851</v>
      </c>
      <c r="C248" s="83"/>
      <c r="D248" s="122"/>
      <c r="E248" s="37"/>
      <c r="F248" s="78"/>
      <c r="G248" s="40"/>
      <c r="H248" s="59"/>
      <c r="I248" s="82"/>
      <c r="J248" s="64">
        <f>SUM(J249:J251)</f>
        <v>24.83</v>
      </c>
      <c r="K248" s="255"/>
    </row>
    <row r="249" ht="19.5" customHeight="1">
      <c r="A249" s="300">
        <v>38416.0</v>
      </c>
      <c r="B249" s="114" t="s">
        <v>231</v>
      </c>
      <c r="C249" s="83" t="s">
        <v>108</v>
      </c>
      <c r="D249" s="39">
        <v>4.0</v>
      </c>
      <c r="E249" s="37"/>
      <c r="F249" s="39">
        <f>0.62+0.4</f>
        <v>1.02</v>
      </c>
      <c r="G249" s="40"/>
      <c r="H249" s="59"/>
      <c r="I249" s="82"/>
      <c r="J249" s="301">
        <f t="shared" ref="J249:J255" si="55">D249*F249</f>
        <v>4.08</v>
      </c>
      <c r="K249" s="255"/>
    </row>
    <row r="250" ht="19.5" customHeight="1">
      <c r="A250" s="300">
        <v>38416.0</v>
      </c>
      <c r="B250" s="114" t="s">
        <v>232</v>
      </c>
      <c r="C250" s="83" t="s">
        <v>108</v>
      </c>
      <c r="D250" s="39">
        <v>6.0</v>
      </c>
      <c r="E250" s="37"/>
      <c r="F250" s="39">
        <f>2+0.8</f>
        <v>2.8</v>
      </c>
      <c r="G250" s="40"/>
      <c r="H250" s="59"/>
      <c r="I250" s="82"/>
      <c r="J250" s="301">
        <f t="shared" si="55"/>
        <v>16.8</v>
      </c>
      <c r="K250" s="255"/>
    </row>
    <row r="251" ht="19.5" customHeight="1">
      <c r="A251" s="300">
        <v>38416.0</v>
      </c>
      <c r="B251" s="114" t="s">
        <v>233</v>
      </c>
      <c r="C251" s="83" t="s">
        <v>108</v>
      </c>
      <c r="D251" s="39">
        <v>1.0</v>
      </c>
      <c r="E251" s="37"/>
      <c r="F251" s="39">
        <f>3.15+0.8</f>
        <v>3.95</v>
      </c>
      <c r="G251" s="40"/>
      <c r="H251" s="59"/>
      <c r="I251" s="82"/>
      <c r="J251" s="301">
        <f t="shared" si="55"/>
        <v>3.95</v>
      </c>
      <c r="K251" s="255"/>
    </row>
    <row r="252" ht="19.5" customHeight="1">
      <c r="A252" s="300">
        <v>38416.0</v>
      </c>
      <c r="B252" s="114" t="s">
        <v>227</v>
      </c>
      <c r="C252" s="83" t="s">
        <v>108</v>
      </c>
      <c r="D252" s="39">
        <v>3.0</v>
      </c>
      <c r="E252" s="37"/>
      <c r="F252" s="39">
        <f>0.8+0.8</f>
        <v>1.6</v>
      </c>
      <c r="G252" s="40"/>
      <c r="H252" s="59"/>
      <c r="I252" s="82"/>
      <c r="J252" s="301">
        <f t="shared" si="55"/>
        <v>4.8</v>
      </c>
      <c r="K252" s="255"/>
    </row>
    <row r="253" ht="19.5" customHeight="1">
      <c r="A253" s="300">
        <v>38416.0</v>
      </c>
      <c r="B253" s="114" t="s">
        <v>852</v>
      </c>
      <c r="C253" s="83" t="s">
        <v>108</v>
      </c>
      <c r="D253" s="39">
        <v>4.0</v>
      </c>
      <c r="E253" s="37"/>
      <c r="F253" s="39">
        <f t="shared" ref="F253:F254" si="56">0.9+0.8</f>
        <v>1.7</v>
      </c>
      <c r="G253" s="40"/>
      <c r="H253" s="59"/>
      <c r="I253" s="82"/>
      <c r="J253" s="301">
        <f t="shared" si="55"/>
        <v>6.8</v>
      </c>
      <c r="K253" s="255"/>
    </row>
    <row r="254" ht="19.5" customHeight="1">
      <c r="A254" s="300">
        <v>38416.0</v>
      </c>
      <c r="B254" s="114" t="s">
        <v>229</v>
      </c>
      <c r="C254" s="83" t="s">
        <v>108</v>
      </c>
      <c r="D254" s="39">
        <v>1.0</v>
      </c>
      <c r="E254" s="37"/>
      <c r="F254" s="39">
        <f t="shared" si="56"/>
        <v>1.7</v>
      </c>
      <c r="G254" s="40"/>
      <c r="H254" s="59"/>
      <c r="I254" s="82"/>
      <c r="J254" s="301">
        <f t="shared" si="55"/>
        <v>1.7</v>
      </c>
      <c r="K254" s="255"/>
    </row>
    <row r="255" ht="19.5" customHeight="1">
      <c r="A255" s="300">
        <v>38416.0</v>
      </c>
      <c r="B255" s="114" t="s">
        <v>230</v>
      </c>
      <c r="C255" s="83" t="s">
        <v>108</v>
      </c>
      <c r="D255" s="39">
        <v>5.0</v>
      </c>
      <c r="E255" s="37"/>
      <c r="F255" s="39">
        <v>2.0</v>
      </c>
      <c r="G255" s="40"/>
      <c r="H255" s="59"/>
      <c r="I255" s="82"/>
      <c r="J255" s="301">
        <f t="shared" si="55"/>
        <v>10</v>
      </c>
      <c r="K255" s="255"/>
    </row>
    <row r="256" ht="19.5" customHeight="1">
      <c r="A256" s="300">
        <v>38416.0</v>
      </c>
      <c r="B256" s="114" t="s">
        <v>228</v>
      </c>
      <c r="C256" s="83" t="s">
        <v>108</v>
      </c>
      <c r="D256" s="39">
        <v>1.0</v>
      </c>
      <c r="E256" s="37"/>
      <c r="F256" s="78">
        <f>0.9+0.8</f>
        <v>1.7</v>
      </c>
      <c r="G256" s="40"/>
      <c r="H256" s="59"/>
      <c r="I256" s="82"/>
      <c r="J256" s="109">
        <f>SUM(J249:J255)</f>
        <v>48.13</v>
      </c>
      <c r="K256" s="255"/>
    </row>
    <row r="257" ht="19.5" customHeight="1">
      <c r="A257" s="74" t="s">
        <v>1</v>
      </c>
      <c r="B257" s="74" t="s">
        <v>91</v>
      </c>
      <c r="C257" s="74" t="s">
        <v>92</v>
      </c>
      <c r="D257" s="76" t="s">
        <v>93</v>
      </c>
      <c r="E257" s="50" t="s">
        <v>161</v>
      </c>
      <c r="F257" s="53" t="s">
        <v>121</v>
      </c>
      <c r="G257" s="53" t="s">
        <v>99</v>
      </c>
      <c r="H257" s="75" t="s">
        <v>100</v>
      </c>
      <c r="I257" s="75" t="s">
        <v>101</v>
      </c>
      <c r="J257" s="76" t="s">
        <v>95</v>
      </c>
      <c r="K257" s="247" t="s">
        <v>96</v>
      </c>
    </row>
    <row r="258" ht="19.5" customHeight="1">
      <c r="A258" s="150">
        <v>1.0</v>
      </c>
      <c r="B258" s="37" t="s">
        <v>162</v>
      </c>
      <c r="C258" s="46" t="s">
        <v>103</v>
      </c>
      <c r="D258" s="78">
        <v>1.0</v>
      </c>
      <c r="E258" s="37">
        <v>2.0</v>
      </c>
      <c r="F258" s="78">
        <v>25.29</v>
      </c>
      <c r="G258" s="40">
        <v>11.75</v>
      </c>
      <c r="H258" s="40">
        <f>(G258+F258)*E258*D258</f>
        <v>74.08</v>
      </c>
      <c r="I258" s="42"/>
      <c r="J258" s="40"/>
      <c r="K258" s="251"/>
    </row>
    <row r="259" ht="19.5" customHeight="1">
      <c r="A259" s="150">
        <v>2.0</v>
      </c>
      <c r="B259" s="37" t="s">
        <v>162</v>
      </c>
      <c r="C259" s="46" t="s">
        <v>103</v>
      </c>
      <c r="D259" s="78"/>
      <c r="E259" s="37"/>
      <c r="F259" s="78"/>
      <c r="G259" s="40"/>
      <c r="H259" s="40"/>
      <c r="I259" s="42"/>
      <c r="J259" s="64">
        <f>SUM(H258:H259)</f>
        <v>74.08</v>
      </c>
      <c r="K259" s="251"/>
    </row>
    <row r="260" ht="19.5" customHeight="1">
      <c r="A260" s="74" t="s">
        <v>1</v>
      </c>
      <c r="B260" s="74" t="s">
        <v>91</v>
      </c>
      <c r="C260" s="74" t="s">
        <v>92</v>
      </c>
      <c r="D260" s="76" t="s">
        <v>93</v>
      </c>
      <c r="E260" s="50" t="s">
        <v>161</v>
      </c>
      <c r="F260" s="53" t="s">
        <v>121</v>
      </c>
      <c r="G260" s="53" t="s">
        <v>99</v>
      </c>
      <c r="H260" s="75" t="s">
        <v>100</v>
      </c>
      <c r="I260" s="75" t="s">
        <v>101</v>
      </c>
      <c r="J260" s="76" t="s">
        <v>95</v>
      </c>
      <c r="K260" s="247" t="s">
        <v>96</v>
      </c>
    </row>
    <row r="261" ht="19.5" customHeight="1">
      <c r="A261" s="126">
        <v>1.0</v>
      </c>
      <c r="B261" s="37" t="s">
        <v>853</v>
      </c>
      <c r="C261" s="46" t="s">
        <v>106</v>
      </c>
      <c r="D261" s="78">
        <v>1.0</v>
      </c>
      <c r="E261" s="37">
        <v>1.0</v>
      </c>
      <c r="F261" s="78"/>
      <c r="G261" s="40">
        <v>1.0</v>
      </c>
      <c r="H261" s="40">
        <f t="shared" ref="H261:H263" si="57">G261*E261*D261</f>
        <v>1</v>
      </c>
      <c r="I261" s="42"/>
      <c r="J261" s="64">
        <f t="shared" ref="J261:J263" si="58">H261</f>
        <v>1</v>
      </c>
      <c r="K261" s="251"/>
    </row>
    <row r="262" ht="19.5" customHeight="1">
      <c r="A262" s="126">
        <v>2.0</v>
      </c>
      <c r="B262" s="37" t="s">
        <v>854</v>
      </c>
      <c r="C262" s="46" t="s">
        <v>106</v>
      </c>
      <c r="D262" s="78">
        <v>4.0</v>
      </c>
      <c r="E262" s="37">
        <v>1.0</v>
      </c>
      <c r="F262" s="78"/>
      <c r="G262" s="40">
        <v>1.0</v>
      </c>
      <c r="H262" s="40">
        <f t="shared" si="57"/>
        <v>4</v>
      </c>
      <c r="I262" s="42"/>
      <c r="J262" s="64">
        <f t="shared" si="58"/>
        <v>4</v>
      </c>
      <c r="K262" s="251"/>
    </row>
    <row r="263" ht="19.5" customHeight="1">
      <c r="A263" s="126">
        <v>3.0</v>
      </c>
      <c r="B263" s="37" t="s">
        <v>376</v>
      </c>
      <c r="C263" s="46" t="s">
        <v>106</v>
      </c>
      <c r="D263" s="78">
        <v>10.0</v>
      </c>
      <c r="E263" s="37">
        <v>1.0</v>
      </c>
      <c r="F263" s="78"/>
      <c r="G263" s="40">
        <v>1.0</v>
      </c>
      <c r="H263" s="40">
        <f t="shared" si="57"/>
        <v>10</v>
      </c>
      <c r="I263" s="42"/>
      <c r="J263" s="64">
        <f t="shared" si="58"/>
        <v>10</v>
      </c>
      <c r="K263" s="255"/>
    </row>
    <row r="264" ht="19.5" customHeight="1">
      <c r="A264" s="74" t="s">
        <v>1</v>
      </c>
      <c r="B264" s="74" t="s">
        <v>91</v>
      </c>
      <c r="C264" s="74" t="s">
        <v>92</v>
      </c>
      <c r="D264" s="76" t="s">
        <v>93</v>
      </c>
      <c r="E264" s="50" t="s">
        <v>97</v>
      </c>
      <c r="F264" s="53" t="s">
        <v>121</v>
      </c>
      <c r="G264" s="53" t="s">
        <v>99</v>
      </c>
      <c r="H264" s="75" t="s">
        <v>100</v>
      </c>
      <c r="I264" s="75" t="s">
        <v>101</v>
      </c>
      <c r="J264" s="76" t="s">
        <v>95</v>
      </c>
      <c r="K264" s="247" t="s">
        <v>96</v>
      </c>
    </row>
    <row r="265" ht="19.5" customHeight="1">
      <c r="A265" s="154" t="s">
        <v>855</v>
      </c>
      <c r="B265" s="37" t="s">
        <v>856</v>
      </c>
      <c r="C265" s="46" t="s">
        <v>103</v>
      </c>
      <c r="D265" s="39">
        <v>2.0</v>
      </c>
      <c r="E265" s="37"/>
      <c r="F265" s="39">
        <v>1.1</v>
      </c>
      <c r="G265" s="41">
        <v>0.6</v>
      </c>
      <c r="H265" s="40">
        <f t="shared" ref="H265:H267" si="59">D265*F265*G265</f>
        <v>1.32</v>
      </c>
      <c r="I265" s="42"/>
      <c r="J265" s="40"/>
      <c r="K265" s="251"/>
    </row>
    <row r="266" ht="19.5" customHeight="1">
      <c r="A266" s="154" t="s">
        <v>855</v>
      </c>
      <c r="B266" s="37" t="s">
        <v>857</v>
      </c>
      <c r="C266" s="46" t="s">
        <v>103</v>
      </c>
      <c r="D266" s="78">
        <v>1.0</v>
      </c>
      <c r="E266" s="37"/>
      <c r="F266" s="39">
        <v>0.55</v>
      </c>
      <c r="G266" s="41">
        <v>0.6</v>
      </c>
      <c r="H266" s="40">
        <f t="shared" si="59"/>
        <v>0.33</v>
      </c>
      <c r="I266" s="42"/>
      <c r="J266" s="40"/>
      <c r="K266" s="251"/>
    </row>
    <row r="267" ht="19.5" customHeight="1">
      <c r="A267" s="154" t="s">
        <v>858</v>
      </c>
      <c r="B267" s="49" t="s">
        <v>640</v>
      </c>
      <c r="C267" s="46" t="s">
        <v>103</v>
      </c>
      <c r="D267" s="39">
        <v>1.0</v>
      </c>
      <c r="E267" s="37"/>
      <c r="F267" s="39">
        <f>1.7+1.15</f>
        <v>2.85</v>
      </c>
      <c r="G267" s="41">
        <v>0.2</v>
      </c>
      <c r="H267" s="40">
        <f t="shared" si="59"/>
        <v>0.57</v>
      </c>
      <c r="I267" s="82"/>
      <c r="J267" s="40"/>
      <c r="K267" s="255"/>
    </row>
    <row r="268" ht="19.5" customHeight="1">
      <c r="A268" s="288"/>
      <c r="B268" s="37"/>
      <c r="C268" s="46"/>
      <c r="D268" s="78"/>
      <c r="E268" s="37"/>
      <c r="F268" s="78"/>
      <c r="G268" s="40"/>
      <c r="H268" s="40"/>
      <c r="I268" s="93"/>
      <c r="J268" s="64">
        <f>SUM(H265:H268)</f>
        <v>2.22</v>
      </c>
      <c r="K268" s="255"/>
    </row>
    <row r="269" ht="19.5" customHeight="1">
      <c r="A269" s="74" t="s">
        <v>1</v>
      </c>
      <c r="B269" s="74" t="s">
        <v>91</v>
      </c>
      <c r="C269" s="74" t="s">
        <v>92</v>
      </c>
      <c r="D269" s="76" t="s">
        <v>93</v>
      </c>
      <c r="E269" s="50" t="s">
        <v>97</v>
      </c>
      <c r="F269" s="53" t="s">
        <v>121</v>
      </c>
      <c r="G269" s="53" t="s">
        <v>99</v>
      </c>
      <c r="H269" s="75" t="s">
        <v>100</v>
      </c>
      <c r="I269" s="75" t="s">
        <v>101</v>
      </c>
      <c r="J269" s="76" t="s">
        <v>95</v>
      </c>
      <c r="K269" s="247" t="s">
        <v>96</v>
      </c>
    </row>
    <row r="270" ht="19.5" customHeight="1">
      <c r="A270" s="154" t="s">
        <v>859</v>
      </c>
      <c r="B270" s="49" t="s">
        <v>860</v>
      </c>
      <c r="C270" s="46" t="s">
        <v>103</v>
      </c>
      <c r="D270" s="39">
        <v>1.0</v>
      </c>
      <c r="E270" s="49">
        <v>2.0</v>
      </c>
      <c r="F270" s="78">
        <f>0.825+1.13+0.04</f>
        <v>1.995</v>
      </c>
      <c r="G270" s="40"/>
      <c r="H270" s="40">
        <f t="shared" ref="H270:H271" si="60">D270*E270*F270</f>
        <v>3.99</v>
      </c>
      <c r="I270" s="42"/>
      <c r="J270" s="109">
        <f>SUM(H270:H271)</f>
        <v>14.41</v>
      </c>
      <c r="K270" s="251"/>
    </row>
    <row r="271" ht="19.5" customHeight="1">
      <c r="A271" s="154" t="s">
        <v>859</v>
      </c>
      <c r="B271" s="49" t="s">
        <v>861</v>
      </c>
      <c r="C271" s="46" t="s">
        <v>103</v>
      </c>
      <c r="D271" s="39">
        <v>1.0</v>
      </c>
      <c r="E271" s="49">
        <v>2.0</v>
      </c>
      <c r="F271" s="78">
        <f>0.45+0.1+0.25+4.41</f>
        <v>5.21</v>
      </c>
      <c r="G271" s="40"/>
      <c r="H271" s="40">
        <f t="shared" si="60"/>
        <v>10.42</v>
      </c>
      <c r="I271" s="42"/>
      <c r="J271" s="32"/>
      <c r="K271" s="251"/>
    </row>
    <row r="272" ht="19.5" hidden="1" customHeight="1">
      <c r="A272" s="74" t="s">
        <v>1</v>
      </c>
      <c r="B272" s="74" t="s">
        <v>91</v>
      </c>
      <c r="C272" s="74" t="s">
        <v>92</v>
      </c>
      <c r="D272" s="76" t="s">
        <v>93</v>
      </c>
      <c r="E272" s="50" t="s">
        <v>161</v>
      </c>
      <c r="F272" s="53"/>
      <c r="G272" s="53"/>
      <c r="H272" s="75" t="s">
        <v>100</v>
      </c>
      <c r="I272" s="75" t="s">
        <v>101</v>
      </c>
      <c r="J272" s="76" t="s">
        <v>95</v>
      </c>
      <c r="K272" s="247" t="s">
        <v>96</v>
      </c>
    </row>
    <row r="273" ht="19.5" hidden="1" customHeight="1">
      <c r="A273" s="150">
        <v>1.0</v>
      </c>
      <c r="B273" s="37" t="s">
        <v>245</v>
      </c>
      <c r="C273" s="46" t="s">
        <v>106</v>
      </c>
      <c r="D273" s="78">
        <v>20.0</v>
      </c>
      <c r="E273" s="37">
        <v>1.0</v>
      </c>
      <c r="F273" s="78"/>
      <c r="G273" s="40"/>
      <c r="H273" s="40">
        <f>E273*D273+6</f>
        <v>26</v>
      </c>
      <c r="I273" s="42"/>
      <c r="J273" s="64">
        <f t="shared" ref="J273:J295" si="61">H273</f>
        <v>26</v>
      </c>
      <c r="K273" s="251"/>
    </row>
    <row r="274" ht="19.5" hidden="1" customHeight="1">
      <c r="A274" s="150">
        <v>2.0</v>
      </c>
      <c r="B274" s="37" t="s">
        <v>862</v>
      </c>
      <c r="C274" s="46" t="s">
        <v>106</v>
      </c>
      <c r="D274" s="78">
        <v>3.0</v>
      </c>
      <c r="E274" s="37">
        <v>9.0</v>
      </c>
      <c r="F274" s="78"/>
      <c r="G274" s="40"/>
      <c r="H274" s="40">
        <f t="shared" ref="H274:H295" si="62">E274*D274</f>
        <v>27</v>
      </c>
      <c r="I274" s="42"/>
      <c r="J274" s="64">
        <f t="shared" si="61"/>
        <v>27</v>
      </c>
      <c r="K274" s="251"/>
    </row>
    <row r="275" ht="19.5" hidden="1" customHeight="1">
      <c r="A275" s="150">
        <v>3.0</v>
      </c>
      <c r="B275" s="37" t="s">
        <v>246</v>
      </c>
      <c r="C275" s="46" t="s">
        <v>106</v>
      </c>
      <c r="D275" s="78">
        <v>1.0</v>
      </c>
      <c r="E275" s="37">
        <v>40.0</v>
      </c>
      <c r="F275" s="78"/>
      <c r="G275" s="40"/>
      <c r="H275" s="40">
        <f t="shared" si="62"/>
        <v>40</v>
      </c>
      <c r="I275" s="42"/>
      <c r="J275" s="64">
        <f t="shared" si="61"/>
        <v>40</v>
      </c>
      <c r="K275" s="251"/>
    </row>
    <row r="276" ht="19.5" hidden="1" customHeight="1">
      <c r="A276" s="150">
        <v>4.0</v>
      </c>
      <c r="B276" s="37" t="s">
        <v>863</v>
      </c>
      <c r="C276" s="46" t="s">
        <v>106</v>
      </c>
      <c r="D276" s="78">
        <v>4.0</v>
      </c>
      <c r="E276" s="37">
        <v>1.0</v>
      </c>
      <c r="F276" s="78"/>
      <c r="G276" s="40"/>
      <c r="H276" s="40">
        <f t="shared" si="62"/>
        <v>4</v>
      </c>
      <c r="I276" s="42"/>
      <c r="J276" s="64">
        <f t="shared" si="61"/>
        <v>4</v>
      </c>
      <c r="K276" s="251"/>
    </row>
    <row r="277" ht="19.5" hidden="1" customHeight="1">
      <c r="A277" s="150">
        <v>5.0</v>
      </c>
      <c r="B277" s="37" t="s">
        <v>247</v>
      </c>
      <c r="C277" s="46" t="s">
        <v>106</v>
      </c>
      <c r="D277" s="78">
        <v>4.0</v>
      </c>
      <c r="E277" s="37">
        <v>1.0</v>
      </c>
      <c r="F277" s="78"/>
      <c r="G277" s="40"/>
      <c r="H277" s="40">
        <f t="shared" si="62"/>
        <v>4</v>
      </c>
      <c r="I277" s="42"/>
      <c r="J277" s="64">
        <f t="shared" si="61"/>
        <v>4</v>
      </c>
      <c r="K277" s="251"/>
    </row>
    <row r="278" ht="19.5" hidden="1" customHeight="1">
      <c r="A278" s="150">
        <v>6.0</v>
      </c>
      <c r="B278" s="37" t="s">
        <v>248</v>
      </c>
      <c r="C278" s="46" t="s">
        <v>106</v>
      </c>
      <c r="D278" s="78">
        <v>4.0</v>
      </c>
      <c r="E278" s="37">
        <v>1.0</v>
      </c>
      <c r="F278" s="78"/>
      <c r="G278" s="40"/>
      <c r="H278" s="40">
        <f t="shared" si="62"/>
        <v>4</v>
      </c>
      <c r="I278" s="42"/>
      <c r="J278" s="64">
        <f t="shared" si="61"/>
        <v>4</v>
      </c>
      <c r="K278" s="251"/>
    </row>
    <row r="279" ht="19.5" hidden="1" customHeight="1">
      <c r="A279" s="150">
        <v>7.0</v>
      </c>
      <c r="B279" s="37" t="s">
        <v>249</v>
      </c>
      <c r="C279" s="46" t="s">
        <v>106</v>
      </c>
      <c r="D279" s="78">
        <v>10.0</v>
      </c>
      <c r="E279" s="37">
        <v>1.0</v>
      </c>
      <c r="F279" s="78"/>
      <c r="G279" s="40"/>
      <c r="H279" s="40">
        <f t="shared" si="62"/>
        <v>10</v>
      </c>
      <c r="I279" s="42"/>
      <c r="J279" s="64">
        <f t="shared" si="61"/>
        <v>10</v>
      </c>
      <c r="K279" s="251"/>
    </row>
    <row r="280" ht="19.5" hidden="1" customHeight="1">
      <c r="A280" s="150">
        <v>8.0</v>
      </c>
      <c r="B280" s="37" t="s">
        <v>250</v>
      </c>
      <c r="C280" s="46" t="s">
        <v>106</v>
      </c>
      <c r="D280" s="123">
        <f>H279+H278+H277+H276+H275</f>
        <v>62</v>
      </c>
      <c r="E280" s="37">
        <v>1.0</v>
      </c>
      <c r="F280" s="40"/>
      <c r="G280" s="40"/>
      <c r="H280" s="40">
        <f t="shared" si="62"/>
        <v>62</v>
      </c>
      <c r="I280" s="40"/>
      <c r="J280" s="64">
        <f t="shared" si="61"/>
        <v>62</v>
      </c>
      <c r="K280" s="251"/>
    </row>
    <row r="281" ht="19.5" hidden="1" customHeight="1">
      <c r="A281" s="150">
        <v>9.0</v>
      </c>
      <c r="B281" s="37" t="s">
        <v>251</v>
      </c>
      <c r="C281" s="46" t="s">
        <v>106</v>
      </c>
      <c r="D281" s="123">
        <f>H274+H273</f>
        <v>53</v>
      </c>
      <c r="E281" s="37">
        <v>1.0</v>
      </c>
      <c r="F281" s="40"/>
      <c r="G281" s="40"/>
      <c r="H281" s="40">
        <f t="shared" si="62"/>
        <v>53</v>
      </c>
      <c r="I281" s="40"/>
      <c r="J281" s="64">
        <f t="shared" si="61"/>
        <v>53</v>
      </c>
      <c r="K281" s="251"/>
    </row>
    <row r="282" ht="19.5" hidden="1" customHeight="1">
      <c r="A282" s="150">
        <v>10.0</v>
      </c>
      <c r="B282" s="37" t="s">
        <v>252</v>
      </c>
      <c r="C282" s="46" t="s">
        <v>108</v>
      </c>
      <c r="D282" s="123">
        <v>800.0</v>
      </c>
      <c r="E282" s="37">
        <v>1.0</v>
      </c>
      <c r="F282" s="40"/>
      <c r="G282" s="40"/>
      <c r="H282" s="40">
        <f t="shared" si="62"/>
        <v>800</v>
      </c>
      <c r="I282" s="40"/>
      <c r="J282" s="64">
        <f t="shared" si="61"/>
        <v>800</v>
      </c>
      <c r="K282" s="251"/>
    </row>
    <row r="283" ht="19.5" hidden="1" customHeight="1">
      <c r="A283" s="150">
        <v>11.0</v>
      </c>
      <c r="B283" s="37" t="s">
        <v>253</v>
      </c>
      <c r="C283" s="46" t="s">
        <v>108</v>
      </c>
      <c r="D283" s="123">
        <v>600.0</v>
      </c>
      <c r="E283" s="37">
        <v>1.0</v>
      </c>
      <c r="F283" s="40"/>
      <c r="G283" s="40"/>
      <c r="H283" s="40">
        <f t="shared" si="62"/>
        <v>600</v>
      </c>
      <c r="I283" s="40"/>
      <c r="J283" s="64">
        <f t="shared" si="61"/>
        <v>600</v>
      </c>
      <c r="K283" s="251"/>
    </row>
    <row r="284" ht="19.5" hidden="1" customHeight="1">
      <c r="A284" s="150">
        <v>12.0</v>
      </c>
      <c r="B284" s="37" t="s">
        <v>254</v>
      </c>
      <c r="C284" s="46" t="s">
        <v>108</v>
      </c>
      <c r="D284" s="123">
        <v>2000.0</v>
      </c>
      <c r="E284" s="37">
        <v>1.0</v>
      </c>
      <c r="F284" s="40"/>
      <c r="G284" s="40"/>
      <c r="H284" s="40">
        <f t="shared" si="62"/>
        <v>2000</v>
      </c>
      <c r="I284" s="40"/>
      <c r="J284" s="64">
        <f t="shared" si="61"/>
        <v>2000</v>
      </c>
      <c r="K284" s="251"/>
    </row>
    <row r="285" ht="19.5" hidden="1" customHeight="1">
      <c r="A285" s="150">
        <f t="shared" ref="A285:A295" si="63">A284+1</f>
        <v>13</v>
      </c>
      <c r="B285" s="37" t="s">
        <v>255</v>
      </c>
      <c r="C285" s="46" t="s">
        <v>108</v>
      </c>
      <c r="D285" s="123">
        <v>200.0</v>
      </c>
      <c r="E285" s="37">
        <v>19.0</v>
      </c>
      <c r="F285" s="40"/>
      <c r="G285" s="40"/>
      <c r="H285" s="40">
        <f t="shared" si="62"/>
        <v>3800</v>
      </c>
      <c r="I285" s="40"/>
      <c r="J285" s="64">
        <f t="shared" si="61"/>
        <v>3800</v>
      </c>
      <c r="K285" s="251"/>
    </row>
    <row r="286" ht="19.5" hidden="1" customHeight="1">
      <c r="A286" s="150">
        <f t="shared" si="63"/>
        <v>14</v>
      </c>
      <c r="B286" s="37" t="s">
        <v>256</v>
      </c>
      <c r="C286" s="46" t="s">
        <v>108</v>
      </c>
      <c r="D286" s="123">
        <v>100.0</v>
      </c>
      <c r="E286" s="37">
        <v>1.0</v>
      </c>
      <c r="F286" s="40"/>
      <c r="G286" s="40"/>
      <c r="H286" s="40">
        <f t="shared" si="62"/>
        <v>100</v>
      </c>
      <c r="I286" s="40"/>
      <c r="J286" s="64">
        <f t="shared" si="61"/>
        <v>100</v>
      </c>
      <c r="K286" s="251"/>
    </row>
    <row r="287" ht="19.5" hidden="1" customHeight="1">
      <c r="A287" s="150">
        <f t="shared" si="63"/>
        <v>15</v>
      </c>
      <c r="B287" s="37" t="s">
        <v>257</v>
      </c>
      <c r="C287" s="46" t="s">
        <v>106</v>
      </c>
      <c r="D287" s="123">
        <v>2.0</v>
      </c>
      <c r="E287" s="37">
        <v>1.0</v>
      </c>
      <c r="F287" s="40"/>
      <c r="G287" s="40"/>
      <c r="H287" s="40">
        <f t="shared" si="62"/>
        <v>2</v>
      </c>
      <c r="I287" s="40"/>
      <c r="J287" s="64">
        <f t="shared" si="61"/>
        <v>2</v>
      </c>
      <c r="K287" s="251"/>
    </row>
    <row r="288" ht="19.5" hidden="1" customHeight="1">
      <c r="A288" s="150">
        <f t="shared" si="63"/>
        <v>16</v>
      </c>
      <c r="B288" s="37" t="s">
        <v>258</v>
      </c>
      <c r="C288" s="46" t="s">
        <v>106</v>
      </c>
      <c r="D288" s="123">
        <v>20.0</v>
      </c>
      <c r="E288" s="37">
        <v>1.0</v>
      </c>
      <c r="F288" s="40"/>
      <c r="G288" s="40"/>
      <c r="H288" s="40">
        <f t="shared" si="62"/>
        <v>20</v>
      </c>
      <c r="I288" s="40"/>
      <c r="J288" s="64">
        <f t="shared" si="61"/>
        <v>20</v>
      </c>
      <c r="K288" s="251"/>
    </row>
    <row r="289" ht="19.5" hidden="1" customHeight="1">
      <c r="A289" s="150">
        <f t="shared" si="63"/>
        <v>17</v>
      </c>
      <c r="B289" s="37" t="s">
        <v>864</v>
      </c>
      <c r="C289" s="46" t="s">
        <v>108</v>
      </c>
      <c r="D289" s="123">
        <v>100.0</v>
      </c>
      <c r="E289" s="37">
        <v>1.0</v>
      </c>
      <c r="F289" s="40"/>
      <c r="G289" s="40"/>
      <c r="H289" s="40">
        <f t="shared" si="62"/>
        <v>100</v>
      </c>
      <c r="I289" s="40"/>
      <c r="J289" s="64">
        <f t="shared" si="61"/>
        <v>100</v>
      </c>
      <c r="K289" s="251"/>
    </row>
    <row r="290" ht="19.5" hidden="1" customHeight="1">
      <c r="A290" s="150">
        <f t="shared" si="63"/>
        <v>18</v>
      </c>
      <c r="B290" s="37" t="s">
        <v>260</v>
      </c>
      <c r="C290" s="46" t="s">
        <v>108</v>
      </c>
      <c r="D290" s="123">
        <v>25.29</v>
      </c>
      <c r="E290" s="37">
        <v>2.0</v>
      </c>
      <c r="F290" s="40"/>
      <c r="G290" s="40"/>
      <c r="H290" s="40">
        <f t="shared" si="62"/>
        <v>50.58</v>
      </c>
      <c r="I290" s="40"/>
      <c r="J290" s="64">
        <f t="shared" si="61"/>
        <v>50.58</v>
      </c>
      <c r="K290" s="251"/>
    </row>
    <row r="291" ht="19.5" hidden="1" customHeight="1">
      <c r="A291" s="150">
        <f t="shared" si="63"/>
        <v>19</v>
      </c>
      <c r="B291" s="37" t="s">
        <v>261</v>
      </c>
      <c r="C291" s="46" t="s">
        <v>106</v>
      </c>
      <c r="D291" s="123">
        <v>4.0</v>
      </c>
      <c r="E291" s="37">
        <v>1.0</v>
      </c>
      <c r="F291" s="40"/>
      <c r="G291" s="40"/>
      <c r="H291" s="40">
        <f t="shared" si="62"/>
        <v>4</v>
      </c>
      <c r="I291" s="40"/>
      <c r="J291" s="64">
        <f t="shared" si="61"/>
        <v>4</v>
      </c>
      <c r="K291" s="251"/>
    </row>
    <row r="292" ht="19.5" hidden="1" customHeight="1">
      <c r="A292" s="150">
        <f t="shared" si="63"/>
        <v>20</v>
      </c>
      <c r="B292" s="37" t="s">
        <v>865</v>
      </c>
      <c r="C292" s="46" t="s">
        <v>106</v>
      </c>
      <c r="D292" s="123">
        <v>50.0</v>
      </c>
      <c r="E292" s="37">
        <v>1.0</v>
      </c>
      <c r="F292" s="40"/>
      <c r="G292" s="40"/>
      <c r="H292" s="40">
        <f t="shared" si="62"/>
        <v>50</v>
      </c>
      <c r="I292" s="40"/>
      <c r="J292" s="64">
        <f t="shared" si="61"/>
        <v>50</v>
      </c>
      <c r="K292" s="302"/>
    </row>
    <row r="293" ht="19.5" hidden="1" customHeight="1">
      <c r="A293" s="150">
        <f t="shared" si="63"/>
        <v>21</v>
      </c>
      <c r="B293" s="37" t="s">
        <v>866</v>
      </c>
      <c r="C293" s="46" t="s">
        <v>106</v>
      </c>
      <c r="D293" s="123">
        <v>4.0</v>
      </c>
      <c r="E293" s="37">
        <v>1.0</v>
      </c>
      <c r="F293" s="40"/>
      <c r="G293" s="40"/>
      <c r="H293" s="40">
        <f t="shared" si="62"/>
        <v>4</v>
      </c>
      <c r="I293" s="40"/>
      <c r="J293" s="64">
        <f t="shared" si="61"/>
        <v>4</v>
      </c>
      <c r="K293" s="302"/>
    </row>
    <row r="294" ht="19.5" hidden="1" customHeight="1">
      <c r="A294" s="150">
        <f t="shared" si="63"/>
        <v>22</v>
      </c>
      <c r="B294" s="37" t="s">
        <v>258</v>
      </c>
      <c r="C294" s="46" t="s">
        <v>106</v>
      </c>
      <c r="D294" s="123">
        <v>4.0</v>
      </c>
      <c r="E294" s="37">
        <v>1.0</v>
      </c>
      <c r="F294" s="40"/>
      <c r="G294" s="40"/>
      <c r="H294" s="40">
        <f t="shared" si="62"/>
        <v>4</v>
      </c>
      <c r="I294" s="40"/>
      <c r="J294" s="64">
        <f t="shared" si="61"/>
        <v>4</v>
      </c>
      <c r="K294" s="302"/>
    </row>
    <row r="295" ht="19.5" hidden="1" customHeight="1">
      <c r="A295" s="150">
        <f t="shared" si="63"/>
        <v>23</v>
      </c>
      <c r="B295" s="37" t="s">
        <v>261</v>
      </c>
      <c r="C295" s="46" t="s">
        <v>106</v>
      </c>
      <c r="D295" s="123">
        <v>4.0</v>
      </c>
      <c r="E295" s="37">
        <v>1.0</v>
      </c>
      <c r="F295" s="40"/>
      <c r="G295" s="40"/>
      <c r="H295" s="40">
        <f t="shared" si="62"/>
        <v>4</v>
      </c>
      <c r="I295" s="40"/>
      <c r="J295" s="64">
        <f t="shared" si="61"/>
        <v>4</v>
      </c>
      <c r="K295" s="302"/>
    </row>
    <row r="296" ht="19.5" hidden="1" customHeight="1">
      <c r="A296" s="74" t="s">
        <v>1</v>
      </c>
      <c r="B296" s="74" t="s">
        <v>91</v>
      </c>
      <c r="C296" s="74" t="s">
        <v>92</v>
      </c>
      <c r="D296" s="76" t="s">
        <v>93</v>
      </c>
      <c r="E296" s="50" t="s">
        <v>161</v>
      </c>
      <c r="F296" s="53" t="s">
        <v>121</v>
      </c>
      <c r="G296" s="53" t="s">
        <v>99</v>
      </c>
      <c r="H296" s="53" t="s">
        <v>100</v>
      </c>
      <c r="I296" s="53" t="s">
        <v>101</v>
      </c>
      <c r="J296" s="76" t="s">
        <v>95</v>
      </c>
      <c r="K296" s="247" t="s">
        <v>96</v>
      </c>
    </row>
    <row r="297" ht="19.5" hidden="1" customHeight="1">
      <c r="A297" s="126">
        <v>1.0</v>
      </c>
      <c r="B297" s="37" t="s">
        <v>262</v>
      </c>
      <c r="C297" s="46" t="s">
        <v>108</v>
      </c>
      <c r="D297" s="78"/>
      <c r="E297" s="37"/>
      <c r="F297" s="78"/>
      <c r="G297" s="40"/>
      <c r="H297" s="40"/>
      <c r="I297" s="42"/>
      <c r="J297" s="64" t="str">
        <f t="shared" ref="J297:J315" si="64">H297</f>
        <v/>
      </c>
      <c r="K297" s="251"/>
    </row>
    <row r="298" ht="19.5" hidden="1" customHeight="1">
      <c r="A298" s="126">
        <f t="shared" ref="A298:A315" si="65">A297+1</f>
        <v>2</v>
      </c>
      <c r="B298" s="37" t="s">
        <v>263</v>
      </c>
      <c r="C298" s="46" t="s">
        <v>108</v>
      </c>
      <c r="D298" s="123"/>
      <c r="E298" s="37"/>
      <c r="F298" s="40"/>
      <c r="G298" s="40"/>
      <c r="H298" s="40"/>
      <c r="I298" s="40"/>
      <c r="J298" s="64" t="str">
        <f t="shared" si="64"/>
        <v/>
      </c>
      <c r="K298" s="251"/>
    </row>
    <row r="299" ht="19.5" hidden="1" customHeight="1">
      <c r="A299" s="126">
        <f t="shared" si="65"/>
        <v>3</v>
      </c>
      <c r="B299" s="37" t="s">
        <v>264</v>
      </c>
      <c r="C299" s="46" t="s">
        <v>108</v>
      </c>
      <c r="D299" s="123"/>
      <c r="E299" s="37"/>
      <c r="F299" s="40"/>
      <c r="G299" s="40"/>
      <c r="H299" s="40"/>
      <c r="I299" s="40"/>
      <c r="J299" s="64" t="str">
        <f t="shared" si="64"/>
        <v/>
      </c>
      <c r="K299" s="251"/>
    </row>
    <row r="300" ht="19.5" hidden="1" customHeight="1">
      <c r="A300" s="126">
        <f t="shared" si="65"/>
        <v>4</v>
      </c>
      <c r="B300" s="37" t="s">
        <v>265</v>
      </c>
      <c r="C300" s="46" t="s">
        <v>106</v>
      </c>
      <c r="D300" s="123"/>
      <c r="E300" s="37"/>
      <c r="F300" s="40"/>
      <c r="G300" s="40"/>
      <c r="H300" s="40"/>
      <c r="I300" s="40"/>
      <c r="J300" s="64" t="str">
        <f t="shared" si="64"/>
        <v/>
      </c>
      <c r="K300" s="251"/>
    </row>
    <row r="301" ht="19.5" hidden="1" customHeight="1">
      <c r="A301" s="126">
        <f t="shared" si="65"/>
        <v>5</v>
      </c>
      <c r="B301" s="37" t="s">
        <v>266</v>
      </c>
      <c r="C301" s="46" t="s">
        <v>106</v>
      </c>
      <c r="D301" s="123"/>
      <c r="E301" s="37"/>
      <c r="F301" s="40"/>
      <c r="G301" s="40"/>
      <c r="H301" s="40"/>
      <c r="I301" s="40"/>
      <c r="J301" s="64" t="str">
        <f t="shared" si="64"/>
        <v/>
      </c>
      <c r="K301" s="251"/>
    </row>
    <row r="302" ht="19.5" hidden="1" customHeight="1">
      <c r="A302" s="126">
        <f t="shared" si="65"/>
        <v>6</v>
      </c>
      <c r="B302" s="37" t="s">
        <v>267</v>
      </c>
      <c r="C302" s="46" t="s">
        <v>106</v>
      </c>
      <c r="D302" s="123"/>
      <c r="E302" s="37"/>
      <c r="F302" s="40"/>
      <c r="G302" s="40"/>
      <c r="H302" s="40"/>
      <c r="I302" s="40"/>
      <c r="J302" s="64" t="str">
        <f t="shared" si="64"/>
        <v/>
      </c>
      <c r="K302" s="251"/>
    </row>
    <row r="303" ht="19.5" hidden="1" customHeight="1">
      <c r="A303" s="126">
        <f t="shared" si="65"/>
        <v>7</v>
      </c>
      <c r="B303" s="37" t="s">
        <v>268</v>
      </c>
      <c r="C303" s="46" t="s">
        <v>106</v>
      </c>
      <c r="D303" s="123"/>
      <c r="E303" s="37"/>
      <c r="F303" s="40"/>
      <c r="G303" s="40"/>
      <c r="H303" s="40"/>
      <c r="I303" s="40"/>
      <c r="J303" s="64" t="str">
        <f t="shared" si="64"/>
        <v/>
      </c>
      <c r="K303" s="251"/>
    </row>
    <row r="304" ht="19.5" hidden="1" customHeight="1">
      <c r="A304" s="126">
        <f t="shared" si="65"/>
        <v>8</v>
      </c>
      <c r="B304" s="37" t="s">
        <v>269</v>
      </c>
      <c r="C304" s="46" t="s">
        <v>106</v>
      </c>
      <c r="D304" s="123"/>
      <c r="E304" s="37"/>
      <c r="F304" s="40"/>
      <c r="G304" s="40"/>
      <c r="H304" s="40"/>
      <c r="I304" s="40"/>
      <c r="J304" s="64" t="str">
        <f t="shared" si="64"/>
        <v/>
      </c>
      <c r="K304" s="251"/>
    </row>
    <row r="305" ht="19.5" hidden="1" customHeight="1">
      <c r="A305" s="126">
        <f t="shared" si="65"/>
        <v>9</v>
      </c>
      <c r="B305" s="37" t="s">
        <v>270</v>
      </c>
      <c r="C305" s="46" t="s">
        <v>106</v>
      </c>
      <c r="D305" s="123"/>
      <c r="E305" s="37"/>
      <c r="F305" s="40"/>
      <c r="G305" s="40"/>
      <c r="H305" s="40"/>
      <c r="I305" s="40"/>
      <c r="J305" s="64" t="str">
        <f t="shared" si="64"/>
        <v/>
      </c>
      <c r="K305" s="251"/>
    </row>
    <row r="306" ht="19.5" hidden="1" customHeight="1">
      <c r="A306" s="126">
        <f t="shared" si="65"/>
        <v>10</v>
      </c>
      <c r="B306" s="37" t="s">
        <v>271</v>
      </c>
      <c r="C306" s="46" t="s">
        <v>106</v>
      </c>
      <c r="D306" s="123"/>
      <c r="E306" s="37"/>
      <c r="F306" s="40"/>
      <c r="G306" s="40"/>
      <c r="H306" s="40"/>
      <c r="I306" s="40"/>
      <c r="J306" s="64" t="str">
        <f t="shared" si="64"/>
        <v/>
      </c>
      <c r="K306" s="251"/>
    </row>
    <row r="307" ht="19.5" hidden="1" customHeight="1">
      <c r="A307" s="126">
        <f t="shared" si="65"/>
        <v>11</v>
      </c>
      <c r="B307" s="37" t="s">
        <v>272</v>
      </c>
      <c r="C307" s="46" t="s">
        <v>106</v>
      </c>
      <c r="D307" s="123"/>
      <c r="E307" s="37"/>
      <c r="F307" s="40"/>
      <c r="G307" s="40"/>
      <c r="H307" s="40"/>
      <c r="I307" s="40"/>
      <c r="J307" s="64" t="str">
        <f t="shared" si="64"/>
        <v/>
      </c>
      <c r="K307" s="251"/>
    </row>
    <row r="308" ht="19.5" hidden="1" customHeight="1">
      <c r="A308" s="126">
        <f t="shared" si="65"/>
        <v>12</v>
      </c>
      <c r="B308" s="37" t="s">
        <v>273</v>
      </c>
      <c r="C308" s="46" t="s">
        <v>106</v>
      </c>
      <c r="D308" s="123"/>
      <c r="E308" s="37"/>
      <c r="F308" s="40"/>
      <c r="G308" s="40"/>
      <c r="H308" s="40"/>
      <c r="I308" s="40"/>
      <c r="J308" s="64" t="str">
        <f t="shared" si="64"/>
        <v/>
      </c>
      <c r="K308" s="251"/>
    </row>
    <row r="309" ht="19.5" hidden="1" customHeight="1">
      <c r="A309" s="126">
        <f t="shared" si="65"/>
        <v>13</v>
      </c>
      <c r="B309" s="37" t="s">
        <v>274</v>
      </c>
      <c r="C309" s="46" t="s">
        <v>106</v>
      </c>
      <c r="D309" s="123"/>
      <c r="E309" s="37"/>
      <c r="F309" s="40"/>
      <c r="G309" s="40"/>
      <c r="H309" s="40"/>
      <c r="I309" s="40"/>
      <c r="J309" s="64" t="str">
        <f t="shared" si="64"/>
        <v/>
      </c>
      <c r="K309" s="251"/>
    </row>
    <row r="310" ht="19.5" hidden="1" customHeight="1">
      <c r="A310" s="126">
        <f t="shared" si="65"/>
        <v>14</v>
      </c>
      <c r="B310" s="37" t="s">
        <v>275</v>
      </c>
      <c r="C310" s="46" t="s">
        <v>106</v>
      </c>
      <c r="D310" s="123"/>
      <c r="E310" s="37"/>
      <c r="F310" s="40"/>
      <c r="G310" s="40"/>
      <c r="H310" s="40"/>
      <c r="I310" s="40"/>
      <c r="J310" s="64" t="str">
        <f t="shared" si="64"/>
        <v/>
      </c>
      <c r="K310" s="251"/>
    </row>
    <row r="311" ht="19.5" hidden="1" customHeight="1">
      <c r="A311" s="126">
        <f t="shared" si="65"/>
        <v>15</v>
      </c>
      <c r="B311" s="37" t="s">
        <v>276</v>
      </c>
      <c r="C311" s="46" t="s">
        <v>106</v>
      </c>
      <c r="D311" s="123"/>
      <c r="E311" s="37"/>
      <c r="F311" s="40"/>
      <c r="G311" s="40"/>
      <c r="H311" s="40"/>
      <c r="I311" s="40"/>
      <c r="J311" s="64" t="str">
        <f t="shared" si="64"/>
        <v/>
      </c>
      <c r="K311" s="251"/>
    </row>
    <row r="312" ht="19.5" hidden="1" customHeight="1">
      <c r="A312" s="126">
        <f t="shared" si="65"/>
        <v>16</v>
      </c>
      <c r="B312" s="37" t="s">
        <v>277</v>
      </c>
      <c r="C312" s="46" t="s">
        <v>106</v>
      </c>
      <c r="D312" s="123"/>
      <c r="E312" s="37"/>
      <c r="F312" s="40"/>
      <c r="G312" s="40"/>
      <c r="H312" s="40"/>
      <c r="I312" s="40"/>
      <c r="J312" s="64" t="str">
        <f t="shared" si="64"/>
        <v/>
      </c>
      <c r="K312" s="251"/>
    </row>
    <row r="313" ht="19.5" hidden="1" customHeight="1">
      <c r="A313" s="126">
        <f t="shared" si="65"/>
        <v>17</v>
      </c>
      <c r="B313" s="37" t="s">
        <v>278</v>
      </c>
      <c r="C313" s="46" t="s">
        <v>106</v>
      </c>
      <c r="D313" s="123"/>
      <c r="E313" s="37"/>
      <c r="F313" s="40"/>
      <c r="G313" s="40"/>
      <c r="H313" s="40"/>
      <c r="I313" s="40"/>
      <c r="J313" s="64" t="str">
        <f t="shared" si="64"/>
        <v/>
      </c>
      <c r="K313" s="251"/>
    </row>
    <row r="314" ht="19.5" hidden="1" customHeight="1">
      <c r="A314" s="126">
        <f t="shared" si="65"/>
        <v>18</v>
      </c>
      <c r="B314" s="37" t="s">
        <v>279</v>
      </c>
      <c r="C314" s="46" t="s">
        <v>106</v>
      </c>
      <c r="D314" s="123"/>
      <c r="E314" s="37"/>
      <c r="F314" s="40"/>
      <c r="G314" s="40"/>
      <c r="H314" s="40"/>
      <c r="I314" s="40"/>
      <c r="J314" s="64" t="str">
        <f t="shared" si="64"/>
        <v/>
      </c>
      <c r="K314" s="251"/>
    </row>
    <row r="315" ht="19.5" hidden="1" customHeight="1">
      <c r="A315" s="126">
        <f t="shared" si="65"/>
        <v>19</v>
      </c>
      <c r="B315" s="37" t="s">
        <v>280</v>
      </c>
      <c r="C315" s="46" t="s">
        <v>106</v>
      </c>
      <c r="D315" s="123"/>
      <c r="E315" s="37"/>
      <c r="F315" s="40"/>
      <c r="G315" s="40"/>
      <c r="H315" s="40"/>
      <c r="I315" s="40"/>
      <c r="J315" s="64" t="str">
        <f t="shared" si="64"/>
        <v/>
      </c>
      <c r="K315" s="251"/>
    </row>
    <row r="316" ht="19.5" customHeight="1">
      <c r="A316" s="74" t="s">
        <v>1</v>
      </c>
      <c r="B316" s="74" t="s">
        <v>91</v>
      </c>
      <c r="C316" s="74" t="s">
        <v>92</v>
      </c>
      <c r="D316" s="76" t="s">
        <v>93</v>
      </c>
      <c r="E316" s="50" t="s">
        <v>97</v>
      </c>
      <c r="F316" s="53" t="s">
        <v>121</v>
      </c>
      <c r="G316" s="53" t="s">
        <v>99</v>
      </c>
      <c r="H316" s="75" t="s">
        <v>100</v>
      </c>
      <c r="I316" s="75" t="s">
        <v>101</v>
      </c>
      <c r="J316" s="76" t="s">
        <v>95</v>
      </c>
      <c r="K316" s="247" t="s">
        <v>96</v>
      </c>
    </row>
    <row r="317" ht="19.5" customHeight="1">
      <c r="A317" s="154" t="s">
        <v>867</v>
      </c>
      <c r="B317" s="49" t="s">
        <v>868</v>
      </c>
      <c r="C317" s="46" t="s">
        <v>106</v>
      </c>
      <c r="D317" s="123"/>
      <c r="E317" s="37"/>
      <c r="F317" s="40"/>
      <c r="G317" s="40"/>
      <c r="H317" s="40"/>
      <c r="I317" s="40"/>
      <c r="J317" s="303">
        <v>4.0</v>
      </c>
      <c r="K317" s="251"/>
    </row>
    <row r="318" ht="19.5" customHeight="1">
      <c r="A318" s="154" t="s">
        <v>869</v>
      </c>
      <c r="B318" s="49" t="s">
        <v>282</v>
      </c>
      <c r="C318" s="46" t="s">
        <v>106</v>
      </c>
      <c r="D318" s="123"/>
      <c r="E318" s="37"/>
      <c r="F318" s="40"/>
      <c r="G318" s="40"/>
      <c r="H318" s="40"/>
      <c r="I318" s="40"/>
      <c r="J318" s="303">
        <v>1.0</v>
      </c>
      <c r="K318" s="251"/>
    </row>
    <row r="319" ht="19.5" customHeight="1">
      <c r="A319" s="154" t="s">
        <v>870</v>
      </c>
      <c r="B319" s="37" t="s">
        <v>284</v>
      </c>
      <c r="C319" s="46" t="s">
        <v>106</v>
      </c>
      <c r="D319" s="123"/>
      <c r="E319" s="37"/>
      <c r="F319" s="40"/>
      <c r="G319" s="40"/>
      <c r="H319" s="40"/>
      <c r="I319" s="40"/>
      <c r="J319" s="303">
        <v>3.0</v>
      </c>
      <c r="K319" s="251"/>
    </row>
    <row r="320" ht="19.5" customHeight="1">
      <c r="A320" s="154" t="s">
        <v>871</v>
      </c>
      <c r="B320" s="37" t="s">
        <v>285</v>
      </c>
      <c r="C320" s="46" t="s">
        <v>106</v>
      </c>
      <c r="D320" s="123"/>
      <c r="E320" s="37"/>
      <c r="F320" s="40"/>
      <c r="G320" s="40"/>
      <c r="H320" s="40"/>
      <c r="I320" s="40"/>
      <c r="J320" s="303">
        <v>1.0</v>
      </c>
      <c r="K320" s="255"/>
    </row>
    <row r="321" ht="19.5" customHeight="1">
      <c r="A321" s="154" t="s">
        <v>872</v>
      </c>
      <c r="B321" s="37" t="s">
        <v>286</v>
      </c>
      <c r="C321" s="46" t="s">
        <v>106</v>
      </c>
      <c r="D321" s="123"/>
      <c r="E321" s="37"/>
      <c r="F321" s="40"/>
      <c r="G321" s="40"/>
      <c r="H321" s="40"/>
      <c r="I321" s="40"/>
      <c r="J321" s="303">
        <v>1.0</v>
      </c>
      <c r="K321" s="255"/>
    </row>
    <row r="322" ht="19.5" hidden="1" customHeight="1">
      <c r="A322" s="74" t="s">
        <v>1</v>
      </c>
      <c r="B322" s="74" t="s">
        <v>91</v>
      </c>
      <c r="C322" s="74" t="s">
        <v>92</v>
      </c>
      <c r="D322" s="76" t="s">
        <v>93</v>
      </c>
      <c r="E322" s="50" t="s">
        <v>161</v>
      </c>
      <c r="F322" s="53" t="s">
        <v>121</v>
      </c>
      <c r="G322" s="53" t="s">
        <v>99</v>
      </c>
      <c r="H322" s="53" t="s">
        <v>100</v>
      </c>
      <c r="I322" s="53" t="s">
        <v>101</v>
      </c>
      <c r="J322" s="76" t="s">
        <v>95</v>
      </c>
      <c r="K322" s="247" t="s">
        <v>96</v>
      </c>
    </row>
    <row r="323" ht="19.5" hidden="1" customHeight="1">
      <c r="A323" s="126">
        <v>1.0</v>
      </c>
      <c r="B323" s="37" t="s">
        <v>287</v>
      </c>
      <c r="C323" s="46" t="s">
        <v>108</v>
      </c>
      <c r="D323" s="78"/>
      <c r="E323" s="37"/>
      <c r="F323" s="78"/>
      <c r="G323" s="40"/>
      <c r="H323" s="40"/>
      <c r="I323" s="42"/>
      <c r="J323" s="64" t="str">
        <f t="shared" ref="J323:J355" si="66">H323</f>
        <v/>
      </c>
      <c r="K323" s="251"/>
    </row>
    <row r="324" ht="19.5" hidden="1" customHeight="1">
      <c r="A324" s="126">
        <f t="shared" ref="A324:A358" si="67">A323+1</f>
        <v>2</v>
      </c>
      <c r="B324" s="37" t="s">
        <v>288</v>
      </c>
      <c r="C324" s="46" t="s">
        <v>108</v>
      </c>
      <c r="D324" s="78"/>
      <c r="E324" s="37"/>
      <c r="F324" s="78"/>
      <c r="G324" s="40"/>
      <c r="H324" s="40"/>
      <c r="I324" s="42"/>
      <c r="J324" s="64" t="str">
        <f t="shared" si="66"/>
        <v/>
      </c>
      <c r="K324" s="251"/>
    </row>
    <row r="325" ht="19.5" hidden="1" customHeight="1">
      <c r="A325" s="126">
        <f t="shared" si="67"/>
        <v>3</v>
      </c>
      <c r="B325" s="37" t="s">
        <v>289</v>
      </c>
      <c r="C325" s="46" t="s">
        <v>108</v>
      </c>
      <c r="D325" s="78"/>
      <c r="E325" s="37"/>
      <c r="F325" s="78"/>
      <c r="G325" s="40"/>
      <c r="H325" s="40"/>
      <c r="I325" s="42"/>
      <c r="J325" s="64" t="str">
        <f t="shared" si="66"/>
        <v/>
      </c>
      <c r="K325" s="251"/>
    </row>
    <row r="326" ht="19.5" hidden="1" customHeight="1">
      <c r="A326" s="126">
        <f t="shared" si="67"/>
        <v>4</v>
      </c>
      <c r="B326" s="37" t="s">
        <v>263</v>
      </c>
      <c r="C326" s="46" t="s">
        <v>108</v>
      </c>
      <c r="D326" s="78"/>
      <c r="E326" s="37"/>
      <c r="F326" s="78"/>
      <c r="G326" s="40"/>
      <c r="H326" s="40"/>
      <c r="I326" s="42"/>
      <c r="J326" s="64" t="str">
        <f t="shared" si="66"/>
        <v/>
      </c>
      <c r="K326" s="251"/>
    </row>
    <row r="327" ht="19.5" hidden="1" customHeight="1">
      <c r="A327" s="126">
        <f t="shared" si="67"/>
        <v>5</v>
      </c>
      <c r="B327" s="37" t="s">
        <v>264</v>
      </c>
      <c r="C327" s="46" t="s">
        <v>108</v>
      </c>
      <c r="D327" s="123"/>
      <c r="E327" s="37"/>
      <c r="F327" s="40"/>
      <c r="G327" s="40"/>
      <c r="H327" s="40"/>
      <c r="I327" s="40"/>
      <c r="J327" s="64" t="str">
        <f t="shared" si="66"/>
        <v/>
      </c>
      <c r="K327" s="251"/>
    </row>
    <row r="328" ht="19.5" hidden="1" customHeight="1">
      <c r="A328" s="126">
        <f t="shared" si="67"/>
        <v>6</v>
      </c>
      <c r="B328" s="37" t="s">
        <v>290</v>
      </c>
      <c r="C328" s="46" t="s">
        <v>108</v>
      </c>
      <c r="D328" s="123"/>
      <c r="E328" s="37"/>
      <c r="F328" s="40"/>
      <c r="G328" s="40"/>
      <c r="H328" s="40"/>
      <c r="I328" s="40"/>
      <c r="J328" s="64" t="str">
        <f t="shared" si="66"/>
        <v/>
      </c>
      <c r="K328" s="251"/>
    </row>
    <row r="329" ht="19.5" hidden="1" customHeight="1">
      <c r="A329" s="126">
        <f t="shared" si="67"/>
        <v>7</v>
      </c>
      <c r="B329" s="37" t="s">
        <v>291</v>
      </c>
      <c r="C329" s="46" t="s">
        <v>108</v>
      </c>
      <c r="D329" s="123"/>
      <c r="E329" s="37"/>
      <c r="F329" s="40"/>
      <c r="G329" s="40"/>
      <c r="H329" s="40"/>
      <c r="I329" s="40"/>
      <c r="J329" s="64" t="str">
        <f t="shared" si="66"/>
        <v/>
      </c>
      <c r="K329" s="251"/>
    </row>
    <row r="330" ht="19.5" hidden="1" customHeight="1">
      <c r="A330" s="126">
        <f t="shared" si="67"/>
        <v>8</v>
      </c>
      <c r="B330" s="37" t="s">
        <v>292</v>
      </c>
      <c r="C330" s="46" t="s">
        <v>106</v>
      </c>
      <c r="D330" s="123"/>
      <c r="E330" s="37"/>
      <c r="F330" s="40"/>
      <c r="G330" s="40"/>
      <c r="H330" s="40"/>
      <c r="I330" s="40"/>
      <c r="J330" s="64" t="str">
        <f t="shared" si="66"/>
        <v/>
      </c>
      <c r="K330" s="251"/>
    </row>
    <row r="331" ht="19.5" hidden="1" customHeight="1">
      <c r="A331" s="126">
        <f t="shared" si="67"/>
        <v>9</v>
      </c>
      <c r="B331" s="37" t="s">
        <v>293</v>
      </c>
      <c r="C331" s="46" t="s">
        <v>106</v>
      </c>
      <c r="D331" s="123"/>
      <c r="E331" s="37"/>
      <c r="F331" s="40"/>
      <c r="G331" s="40"/>
      <c r="H331" s="40"/>
      <c r="I331" s="40"/>
      <c r="J331" s="64" t="str">
        <f t="shared" si="66"/>
        <v/>
      </c>
      <c r="K331" s="251"/>
    </row>
    <row r="332" ht="19.5" hidden="1" customHeight="1">
      <c r="A332" s="126">
        <f t="shared" si="67"/>
        <v>10</v>
      </c>
      <c r="B332" s="37" t="s">
        <v>294</v>
      </c>
      <c r="C332" s="46" t="s">
        <v>106</v>
      </c>
      <c r="D332" s="123"/>
      <c r="E332" s="37"/>
      <c r="F332" s="40"/>
      <c r="G332" s="40"/>
      <c r="H332" s="40"/>
      <c r="I332" s="40"/>
      <c r="J332" s="64" t="str">
        <f t="shared" si="66"/>
        <v/>
      </c>
      <c r="K332" s="251"/>
    </row>
    <row r="333" ht="19.5" hidden="1" customHeight="1">
      <c r="A333" s="126">
        <f t="shared" si="67"/>
        <v>11</v>
      </c>
      <c r="B333" s="37" t="s">
        <v>295</v>
      </c>
      <c r="C333" s="46" t="s">
        <v>106</v>
      </c>
      <c r="D333" s="123"/>
      <c r="E333" s="37"/>
      <c r="F333" s="40"/>
      <c r="G333" s="40"/>
      <c r="H333" s="40"/>
      <c r="I333" s="40"/>
      <c r="J333" s="64" t="str">
        <f t="shared" si="66"/>
        <v/>
      </c>
      <c r="K333" s="251"/>
    </row>
    <row r="334" ht="19.5" hidden="1" customHeight="1">
      <c r="A334" s="126">
        <f t="shared" si="67"/>
        <v>12</v>
      </c>
      <c r="B334" s="37" t="s">
        <v>270</v>
      </c>
      <c r="C334" s="46" t="s">
        <v>106</v>
      </c>
      <c r="D334" s="123"/>
      <c r="E334" s="37"/>
      <c r="F334" s="40"/>
      <c r="G334" s="40"/>
      <c r="H334" s="40"/>
      <c r="I334" s="40"/>
      <c r="J334" s="64" t="str">
        <f t="shared" si="66"/>
        <v/>
      </c>
      <c r="K334" s="251"/>
    </row>
    <row r="335" ht="19.5" hidden="1" customHeight="1">
      <c r="A335" s="126">
        <f t="shared" si="67"/>
        <v>13</v>
      </c>
      <c r="B335" s="37" t="s">
        <v>296</v>
      </c>
      <c r="C335" s="46" t="s">
        <v>106</v>
      </c>
      <c r="D335" s="123"/>
      <c r="E335" s="37"/>
      <c r="F335" s="40"/>
      <c r="G335" s="40"/>
      <c r="H335" s="40"/>
      <c r="I335" s="40"/>
      <c r="J335" s="64" t="str">
        <f t="shared" si="66"/>
        <v/>
      </c>
      <c r="K335" s="251"/>
    </row>
    <row r="336" ht="19.5" hidden="1" customHeight="1">
      <c r="A336" s="126">
        <f t="shared" si="67"/>
        <v>14</v>
      </c>
      <c r="B336" s="37" t="s">
        <v>297</v>
      </c>
      <c r="C336" s="46" t="s">
        <v>106</v>
      </c>
      <c r="D336" s="123"/>
      <c r="E336" s="37"/>
      <c r="F336" s="40"/>
      <c r="G336" s="40"/>
      <c r="H336" s="40"/>
      <c r="I336" s="40"/>
      <c r="J336" s="64" t="str">
        <f t="shared" si="66"/>
        <v/>
      </c>
      <c r="K336" s="251"/>
    </row>
    <row r="337" ht="19.5" hidden="1" customHeight="1">
      <c r="A337" s="126">
        <f t="shared" si="67"/>
        <v>15</v>
      </c>
      <c r="B337" s="37" t="s">
        <v>298</v>
      </c>
      <c r="C337" s="46" t="s">
        <v>106</v>
      </c>
      <c r="D337" s="123"/>
      <c r="E337" s="37"/>
      <c r="F337" s="40"/>
      <c r="G337" s="40"/>
      <c r="H337" s="40"/>
      <c r="I337" s="40"/>
      <c r="J337" s="64" t="str">
        <f t="shared" si="66"/>
        <v/>
      </c>
      <c r="K337" s="251"/>
    </row>
    <row r="338" ht="19.5" hidden="1" customHeight="1">
      <c r="A338" s="126">
        <f t="shared" si="67"/>
        <v>16</v>
      </c>
      <c r="B338" s="37" t="s">
        <v>299</v>
      </c>
      <c r="C338" s="46" t="s">
        <v>106</v>
      </c>
      <c r="D338" s="123"/>
      <c r="E338" s="37"/>
      <c r="F338" s="40"/>
      <c r="G338" s="40"/>
      <c r="H338" s="40"/>
      <c r="I338" s="40"/>
      <c r="J338" s="64" t="str">
        <f t="shared" si="66"/>
        <v/>
      </c>
      <c r="K338" s="251"/>
    </row>
    <row r="339" ht="19.5" hidden="1" customHeight="1">
      <c r="A339" s="126">
        <f t="shared" si="67"/>
        <v>17</v>
      </c>
      <c r="B339" s="37" t="s">
        <v>300</v>
      </c>
      <c r="C339" s="46" t="s">
        <v>106</v>
      </c>
      <c r="D339" s="123"/>
      <c r="E339" s="37"/>
      <c r="F339" s="40"/>
      <c r="G339" s="40"/>
      <c r="H339" s="40"/>
      <c r="I339" s="40"/>
      <c r="J339" s="64" t="str">
        <f t="shared" si="66"/>
        <v/>
      </c>
      <c r="K339" s="251"/>
    </row>
    <row r="340" ht="19.5" hidden="1" customHeight="1">
      <c r="A340" s="126">
        <f t="shared" si="67"/>
        <v>18</v>
      </c>
      <c r="B340" s="37" t="s">
        <v>301</v>
      </c>
      <c r="C340" s="46" t="s">
        <v>106</v>
      </c>
      <c r="D340" s="123"/>
      <c r="E340" s="37"/>
      <c r="F340" s="40"/>
      <c r="G340" s="40"/>
      <c r="H340" s="40"/>
      <c r="I340" s="40"/>
      <c r="J340" s="64" t="str">
        <f t="shared" si="66"/>
        <v/>
      </c>
      <c r="K340" s="251"/>
    </row>
    <row r="341" ht="19.5" hidden="1" customHeight="1">
      <c r="A341" s="126">
        <f t="shared" si="67"/>
        <v>19</v>
      </c>
      <c r="B341" s="37" t="s">
        <v>302</v>
      </c>
      <c r="C341" s="46" t="s">
        <v>106</v>
      </c>
      <c r="D341" s="123"/>
      <c r="E341" s="37"/>
      <c r="F341" s="40"/>
      <c r="G341" s="40"/>
      <c r="H341" s="40"/>
      <c r="I341" s="40"/>
      <c r="J341" s="64" t="str">
        <f t="shared" si="66"/>
        <v/>
      </c>
      <c r="K341" s="251"/>
    </row>
    <row r="342" ht="19.5" hidden="1" customHeight="1">
      <c r="A342" s="126">
        <f t="shared" si="67"/>
        <v>20</v>
      </c>
      <c r="B342" s="37" t="s">
        <v>303</v>
      </c>
      <c r="C342" s="46" t="s">
        <v>106</v>
      </c>
      <c r="D342" s="123"/>
      <c r="E342" s="37"/>
      <c r="F342" s="40"/>
      <c r="G342" s="40"/>
      <c r="H342" s="40"/>
      <c r="I342" s="40"/>
      <c r="J342" s="64" t="str">
        <f t="shared" si="66"/>
        <v/>
      </c>
      <c r="K342" s="251"/>
    </row>
    <row r="343" ht="19.5" hidden="1" customHeight="1">
      <c r="A343" s="126">
        <f t="shared" si="67"/>
        <v>21</v>
      </c>
      <c r="B343" s="37" t="s">
        <v>304</v>
      </c>
      <c r="C343" s="46" t="s">
        <v>106</v>
      </c>
      <c r="D343" s="123"/>
      <c r="E343" s="37"/>
      <c r="F343" s="40"/>
      <c r="G343" s="40"/>
      <c r="H343" s="40"/>
      <c r="I343" s="40"/>
      <c r="J343" s="64" t="str">
        <f t="shared" si="66"/>
        <v/>
      </c>
      <c r="K343" s="251"/>
    </row>
    <row r="344" ht="19.5" hidden="1" customHeight="1">
      <c r="A344" s="126">
        <f t="shared" si="67"/>
        <v>22</v>
      </c>
      <c r="B344" s="37" t="s">
        <v>305</v>
      </c>
      <c r="C344" s="46" t="s">
        <v>106</v>
      </c>
      <c r="D344" s="123"/>
      <c r="E344" s="37"/>
      <c r="F344" s="40"/>
      <c r="G344" s="40"/>
      <c r="H344" s="40"/>
      <c r="I344" s="40"/>
      <c r="J344" s="64" t="str">
        <f t="shared" si="66"/>
        <v/>
      </c>
      <c r="K344" s="251"/>
    </row>
    <row r="345" ht="19.5" hidden="1" customHeight="1">
      <c r="A345" s="126">
        <f t="shared" si="67"/>
        <v>23</v>
      </c>
      <c r="B345" s="37" t="s">
        <v>306</v>
      </c>
      <c r="C345" s="46" t="s">
        <v>106</v>
      </c>
      <c r="D345" s="123"/>
      <c r="E345" s="37"/>
      <c r="F345" s="40"/>
      <c r="G345" s="40"/>
      <c r="H345" s="40"/>
      <c r="I345" s="40"/>
      <c r="J345" s="64" t="str">
        <f t="shared" si="66"/>
        <v/>
      </c>
      <c r="K345" s="251"/>
    </row>
    <row r="346" ht="19.5" hidden="1" customHeight="1">
      <c r="A346" s="126">
        <f t="shared" si="67"/>
        <v>24</v>
      </c>
      <c r="B346" s="37" t="s">
        <v>307</v>
      </c>
      <c r="C346" s="46" t="s">
        <v>106</v>
      </c>
      <c r="D346" s="123"/>
      <c r="E346" s="37"/>
      <c r="F346" s="40"/>
      <c r="G346" s="40"/>
      <c r="H346" s="40"/>
      <c r="I346" s="40"/>
      <c r="J346" s="64" t="str">
        <f t="shared" si="66"/>
        <v/>
      </c>
      <c r="K346" s="251"/>
    </row>
    <row r="347" ht="19.5" hidden="1" customHeight="1">
      <c r="A347" s="126">
        <f t="shared" si="67"/>
        <v>25</v>
      </c>
      <c r="B347" s="37" t="s">
        <v>308</v>
      </c>
      <c r="C347" s="46" t="s">
        <v>106</v>
      </c>
      <c r="D347" s="123"/>
      <c r="E347" s="37"/>
      <c r="F347" s="40"/>
      <c r="G347" s="40"/>
      <c r="H347" s="40"/>
      <c r="I347" s="40"/>
      <c r="J347" s="64" t="str">
        <f t="shared" si="66"/>
        <v/>
      </c>
      <c r="K347" s="251"/>
    </row>
    <row r="348" ht="19.5" hidden="1" customHeight="1">
      <c r="A348" s="126">
        <f t="shared" si="67"/>
        <v>26</v>
      </c>
      <c r="B348" s="37" t="s">
        <v>309</v>
      </c>
      <c r="C348" s="46" t="s">
        <v>106</v>
      </c>
      <c r="D348" s="123"/>
      <c r="E348" s="37"/>
      <c r="F348" s="40"/>
      <c r="G348" s="40"/>
      <c r="H348" s="40"/>
      <c r="I348" s="40"/>
      <c r="J348" s="64" t="str">
        <f t="shared" si="66"/>
        <v/>
      </c>
      <c r="K348" s="251"/>
    </row>
    <row r="349" ht="19.5" hidden="1" customHeight="1">
      <c r="A349" s="126">
        <f t="shared" si="67"/>
        <v>27</v>
      </c>
      <c r="B349" s="37" t="s">
        <v>310</v>
      </c>
      <c r="C349" s="46" t="s">
        <v>106</v>
      </c>
      <c r="D349" s="123"/>
      <c r="E349" s="37"/>
      <c r="F349" s="40"/>
      <c r="G349" s="40"/>
      <c r="H349" s="40"/>
      <c r="I349" s="40"/>
      <c r="J349" s="64" t="str">
        <f t="shared" si="66"/>
        <v/>
      </c>
      <c r="K349" s="251"/>
    </row>
    <row r="350" ht="19.5" hidden="1" customHeight="1">
      <c r="A350" s="126">
        <f t="shared" si="67"/>
        <v>28</v>
      </c>
      <c r="B350" s="37" t="s">
        <v>311</v>
      </c>
      <c r="C350" s="46" t="s">
        <v>106</v>
      </c>
      <c r="D350" s="123"/>
      <c r="E350" s="37"/>
      <c r="F350" s="40"/>
      <c r="G350" s="40"/>
      <c r="H350" s="40"/>
      <c r="I350" s="40"/>
      <c r="J350" s="64" t="str">
        <f t="shared" si="66"/>
        <v/>
      </c>
      <c r="K350" s="251"/>
    </row>
    <row r="351" ht="19.5" hidden="1" customHeight="1">
      <c r="A351" s="126">
        <f t="shared" si="67"/>
        <v>29</v>
      </c>
      <c r="B351" s="37" t="s">
        <v>312</v>
      </c>
      <c r="C351" s="46" t="s">
        <v>106</v>
      </c>
      <c r="D351" s="123"/>
      <c r="E351" s="37"/>
      <c r="F351" s="40"/>
      <c r="G351" s="40"/>
      <c r="H351" s="40"/>
      <c r="I351" s="40"/>
      <c r="J351" s="64" t="str">
        <f t="shared" si="66"/>
        <v/>
      </c>
      <c r="K351" s="251"/>
    </row>
    <row r="352" ht="19.5" hidden="1" customHeight="1">
      <c r="A352" s="126">
        <f t="shared" si="67"/>
        <v>30</v>
      </c>
      <c r="B352" s="37" t="s">
        <v>313</v>
      </c>
      <c r="C352" s="46" t="s">
        <v>106</v>
      </c>
      <c r="D352" s="123"/>
      <c r="E352" s="37"/>
      <c r="F352" s="40"/>
      <c r="G352" s="40"/>
      <c r="H352" s="40"/>
      <c r="I352" s="40"/>
      <c r="J352" s="64" t="str">
        <f t="shared" si="66"/>
        <v/>
      </c>
      <c r="K352" s="251"/>
    </row>
    <row r="353" ht="19.5" hidden="1" customHeight="1">
      <c r="A353" s="126">
        <f t="shared" si="67"/>
        <v>31</v>
      </c>
      <c r="B353" s="37" t="s">
        <v>314</v>
      </c>
      <c r="C353" s="46" t="s">
        <v>106</v>
      </c>
      <c r="D353" s="123"/>
      <c r="E353" s="37"/>
      <c r="F353" s="40"/>
      <c r="G353" s="40"/>
      <c r="H353" s="40"/>
      <c r="I353" s="40"/>
      <c r="J353" s="64" t="str">
        <f t="shared" si="66"/>
        <v/>
      </c>
      <c r="K353" s="251"/>
    </row>
    <row r="354" ht="19.5" hidden="1" customHeight="1">
      <c r="A354" s="126">
        <f t="shared" si="67"/>
        <v>32</v>
      </c>
      <c r="B354" s="37" t="s">
        <v>315</v>
      </c>
      <c r="C354" s="46" t="s">
        <v>106</v>
      </c>
      <c r="D354" s="123"/>
      <c r="E354" s="37"/>
      <c r="F354" s="40"/>
      <c r="G354" s="40"/>
      <c r="H354" s="40"/>
      <c r="I354" s="40"/>
      <c r="J354" s="64" t="str">
        <f t="shared" si="66"/>
        <v/>
      </c>
      <c r="K354" s="251"/>
    </row>
    <row r="355" ht="19.5" hidden="1" customHeight="1">
      <c r="A355" s="126">
        <f t="shared" si="67"/>
        <v>33</v>
      </c>
      <c r="B355" s="37" t="s">
        <v>316</v>
      </c>
      <c r="C355" s="46" t="s">
        <v>106</v>
      </c>
      <c r="D355" s="123"/>
      <c r="E355" s="37"/>
      <c r="F355" s="40"/>
      <c r="G355" s="40"/>
      <c r="H355" s="40"/>
      <c r="I355" s="40"/>
      <c r="J355" s="64" t="str">
        <f t="shared" si="66"/>
        <v/>
      </c>
      <c r="K355" s="251"/>
    </row>
    <row r="356" ht="19.5" hidden="1" customHeight="1">
      <c r="A356" s="126">
        <f t="shared" si="67"/>
        <v>34</v>
      </c>
      <c r="B356" s="37" t="s">
        <v>317</v>
      </c>
      <c r="C356" s="46" t="s">
        <v>106</v>
      </c>
      <c r="D356" s="123"/>
      <c r="E356" s="37"/>
      <c r="F356" s="40"/>
      <c r="G356" s="40"/>
      <c r="H356" s="40"/>
      <c r="I356" s="40"/>
      <c r="J356" s="303">
        <v>5.0</v>
      </c>
      <c r="K356" s="251"/>
    </row>
    <row r="357" ht="19.5" hidden="1" customHeight="1">
      <c r="A357" s="126">
        <f t="shared" si="67"/>
        <v>35</v>
      </c>
      <c r="B357" s="37" t="s">
        <v>318</v>
      </c>
      <c r="C357" s="46" t="s">
        <v>106</v>
      </c>
      <c r="D357" s="123"/>
      <c r="E357" s="37"/>
      <c r="F357" s="40"/>
      <c r="G357" s="40"/>
      <c r="H357" s="40"/>
      <c r="I357" s="40"/>
      <c r="J357" s="64" t="str">
        <f t="shared" ref="J357:J358" si="68">H357</f>
        <v/>
      </c>
      <c r="K357" s="251"/>
    </row>
    <row r="358" ht="19.5" hidden="1" customHeight="1">
      <c r="A358" s="126">
        <f t="shared" si="67"/>
        <v>36</v>
      </c>
      <c r="B358" s="37" t="s">
        <v>319</v>
      </c>
      <c r="C358" s="46" t="s">
        <v>106</v>
      </c>
      <c r="D358" s="123"/>
      <c r="E358" s="37"/>
      <c r="F358" s="40"/>
      <c r="G358" s="40"/>
      <c r="H358" s="40"/>
      <c r="I358" s="40"/>
      <c r="J358" s="64" t="str">
        <f t="shared" si="68"/>
        <v/>
      </c>
      <c r="K358" s="251"/>
    </row>
    <row r="359" ht="19.5" customHeight="1">
      <c r="A359" s="154" t="s">
        <v>873</v>
      </c>
      <c r="B359" s="37" t="s">
        <v>320</v>
      </c>
      <c r="C359" s="46" t="s">
        <v>106</v>
      </c>
      <c r="D359" s="123"/>
      <c r="E359" s="37"/>
      <c r="F359" s="40"/>
      <c r="G359" s="40"/>
      <c r="H359" s="40"/>
      <c r="I359" s="40"/>
      <c r="J359" s="303">
        <v>4.0</v>
      </c>
      <c r="K359" s="251"/>
    </row>
    <row r="360" ht="19.5" customHeight="1">
      <c r="A360" s="154" t="s">
        <v>874</v>
      </c>
      <c r="B360" s="49" t="s">
        <v>875</v>
      </c>
      <c r="C360" s="46" t="s">
        <v>106</v>
      </c>
      <c r="D360" s="123"/>
      <c r="E360" s="37"/>
      <c r="F360" s="40"/>
      <c r="G360" s="40"/>
      <c r="H360" s="40"/>
      <c r="I360" s="40"/>
      <c r="J360" s="303">
        <v>1.0</v>
      </c>
      <c r="K360" s="251"/>
    </row>
    <row r="361" ht="19.5" customHeight="1">
      <c r="A361" s="154" t="s">
        <v>876</v>
      </c>
      <c r="B361" s="37" t="s">
        <v>321</v>
      </c>
      <c r="C361" s="46" t="s">
        <v>106</v>
      </c>
      <c r="D361" s="123"/>
      <c r="E361" s="37"/>
      <c r="F361" s="40"/>
      <c r="G361" s="40"/>
      <c r="H361" s="40"/>
      <c r="I361" s="40"/>
      <c r="J361" s="303">
        <v>5.0</v>
      </c>
      <c r="K361" s="251"/>
    </row>
    <row r="362" ht="19.5" customHeight="1">
      <c r="A362" s="74" t="s">
        <v>1</v>
      </c>
      <c r="B362" s="74" t="s">
        <v>91</v>
      </c>
      <c r="C362" s="74" t="s">
        <v>92</v>
      </c>
      <c r="D362" s="76" t="s">
        <v>93</v>
      </c>
      <c r="E362" s="50" t="s">
        <v>97</v>
      </c>
      <c r="F362" s="53" t="s">
        <v>121</v>
      </c>
      <c r="G362" s="53" t="s">
        <v>99</v>
      </c>
      <c r="H362" s="53" t="s">
        <v>100</v>
      </c>
      <c r="I362" s="53" t="s">
        <v>101</v>
      </c>
      <c r="J362" s="76" t="s">
        <v>95</v>
      </c>
      <c r="K362" s="247" t="s">
        <v>96</v>
      </c>
    </row>
    <row r="363" ht="19.5" customHeight="1">
      <c r="A363" s="154" t="s">
        <v>877</v>
      </c>
      <c r="B363" s="37" t="s">
        <v>326</v>
      </c>
      <c r="C363" s="46" t="s">
        <v>106</v>
      </c>
      <c r="D363" s="39">
        <v>5.0</v>
      </c>
      <c r="E363" s="37"/>
      <c r="F363" s="78"/>
      <c r="G363" s="40"/>
      <c r="H363" s="40">
        <f t="shared" ref="H363:H365" si="69">D363</f>
        <v>5</v>
      </c>
      <c r="I363" s="42"/>
      <c r="J363" s="303">
        <f t="shared" ref="J363:J365" si="70">H363</f>
        <v>5</v>
      </c>
      <c r="K363" s="251"/>
    </row>
    <row r="364" ht="19.5" customHeight="1">
      <c r="A364" s="154" t="s">
        <v>878</v>
      </c>
      <c r="B364" s="37" t="s">
        <v>327</v>
      </c>
      <c r="C364" s="46" t="s">
        <v>106</v>
      </c>
      <c r="D364" s="125">
        <v>5.0</v>
      </c>
      <c r="E364" s="37"/>
      <c r="F364" s="40"/>
      <c r="G364" s="40"/>
      <c r="H364" s="40">
        <f t="shared" si="69"/>
        <v>5</v>
      </c>
      <c r="I364" s="40"/>
      <c r="J364" s="303">
        <f t="shared" si="70"/>
        <v>5</v>
      </c>
      <c r="K364" s="251"/>
    </row>
    <row r="365" ht="19.5" customHeight="1">
      <c r="A365" s="154" t="s">
        <v>879</v>
      </c>
      <c r="B365" s="49" t="s">
        <v>880</v>
      </c>
      <c r="C365" s="46" t="s">
        <v>106</v>
      </c>
      <c r="D365" s="125">
        <v>5.0</v>
      </c>
      <c r="E365" s="37"/>
      <c r="F365" s="40"/>
      <c r="G365" s="40"/>
      <c r="H365" s="40">
        <f t="shared" si="69"/>
        <v>5</v>
      </c>
      <c r="I365" s="40"/>
      <c r="J365" s="303">
        <f t="shared" si="70"/>
        <v>5</v>
      </c>
      <c r="K365" s="251"/>
    </row>
    <row r="366" ht="19.5" customHeight="1">
      <c r="A366" s="154" t="s">
        <v>881</v>
      </c>
      <c r="B366" s="49" t="s">
        <v>882</v>
      </c>
      <c r="C366" s="46" t="s">
        <v>103</v>
      </c>
      <c r="D366" s="123">
        <v>1.0</v>
      </c>
      <c r="E366" s="49">
        <v>0.9</v>
      </c>
      <c r="F366" s="41">
        <v>0.6</v>
      </c>
      <c r="G366" s="40"/>
      <c r="H366" s="40">
        <f t="shared" ref="H366:H368" si="71">D366*E366*F366</f>
        <v>0.54</v>
      </c>
      <c r="I366" s="40"/>
      <c r="J366" s="303">
        <f>SUM(H366:H368)</f>
        <v>3.42</v>
      </c>
      <c r="K366" s="251"/>
    </row>
    <row r="367" ht="19.5" customHeight="1">
      <c r="A367" s="154" t="s">
        <v>881</v>
      </c>
      <c r="B367" s="49" t="s">
        <v>883</v>
      </c>
      <c r="C367" s="46" t="s">
        <v>103</v>
      </c>
      <c r="D367" s="125">
        <v>2.0</v>
      </c>
      <c r="E367" s="49">
        <v>0.9</v>
      </c>
      <c r="F367" s="41">
        <v>1.05</v>
      </c>
      <c r="G367" s="40"/>
      <c r="H367" s="40">
        <f t="shared" si="71"/>
        <v>1.89</v>
      </c>
      <c r="I367" s="40"/>
      <c r="J367" s="303"/>
      <c r="K367" s="251"/>
    </row>
    <row r="368" ht="19.5" customHeight="1">
      <c r="A368" s="154" t="s">
        <v>881</v>
      </c>
      <c r="B368" s="49" t="s">
        <v>884</v>
      </c>
      <c r="C368" s="46" t="s">
        <v>103</v>
      </c>
      <c r="D368" s="125">
        <v>2.0</v>
      </c>
      <c r="E368" s="49">
        <v>0.9</v>
      </c>
      <c r="F368" s="41">
        <v>0.55</v>
      </c>
      <c r="G368" s="40"/>
      <c r="H368" s="40">
        <f t="shared" si="71"/>
        <v>0.99</v>
      </c>
      <c r="I368" s="40"/>
      <c r="J368" s="303"/>
      <c r="K368" s="251"/>
    </row>
    <row r="369" ht="19.5" customHeight="1">
      <c r="A369" s="74" t="s">
        <v>1</v>
      </c>
      <c r="B369" s="74" t="s">
        <v>91</v>
      </c>
      <c r="C369" s="74" t="s">
        <v>92</v>
      </c>
      <c r="D369" s="76" t="s">
        <v>93</v>
      </c>
      <c r="E369" s="50" t="s">
        <v>97</v>
      </c>
      <c r="F369" s="53" t="s">
        <v>121</v>
      </c>
      <c r="G369" s="53" t="s">
        <v>99</v>
      </c>
      <c r="H369" s="53" t="s">
        <v>100</v>
      </c>
      <c r="I369" s="53" t="s">
        <v>101</v>
      </c>
      <c r="J369" s="285" t="s">
        <v>95</v>
      </c>
      <c r="K369" s="247" t="s">
        <v>96</v>
      </c>
    </row>
    <row r="370" ht="19.5" customHeight="1">
      <c r="A370" s="154" t="s">
        <v>885</v>
      </c>
      <c r="B370" s="49" t="s">
        <v>886</v>
      </c>
      <c r="C370" s="38" t="s">
        <v>108</v>
      </c>
      <c r="D370" s="125">
        <v>2.0</v>
      </c>
      <c r="E370" s="49"/>
      <c r="F370" s="41">
        <f>10.6</f>
        <v>10.6</v>
      </c>
      <c r="G370" s="40"/>
      <c r="H370" s="40"/>
      <c r="I370" s="40"/>
      <c r="J370" s="303">
        <f>D370*F370</f>
        <v>21.2</v>
      </c>
      <c r="K370" s="251"/>
    </row>
    <row r="371" ht="19.5" customHeight="1">
      <c r="A371" s="12"/>
      <c r="C371" s="12"/>
      <c r="D371" s="87"/>
      <c r="F371" s="14"/>
      <c r="G371" s="14"/>
      <c r="H371" s="14"/>
      <c r="I371" s="14"/>
      <c r="J371" s="14"/>
      <c r="K371" s="302"/>
    </row>
    <row r="372" ht="19.5" customHeight="1">
      <c r="A372" s="12"/>
      <c r="C372" s="12"/>
      <c r="D372" s="87"/>
      <c r="F372" s="14"/>
      <c r="G372" s="14"/>
      <c r="H372" s="14"/>
      <c r="I372" s="14"/>
      <c r="J372" s="14"/>
      <c r="K372" s="302"/>
    </row>
    <row r="373" ht="19.5" customHeight="1">
      <c r="A373" s="12"/>
      <c r="C373" s="12"/>
      <c r="D373" s="87"/>
      <c r="F373" s="14"/>
      <c r="G373" s="14"/>
      <c r="H373" s="14"/>
      <c r="I373" s="14"/>
      <c r="J373" s="14"/>
      <c r="K373" s="302"/>
    </row>
    <row r="374" ht="19.5" customHeight="1">
      <c r="A374" s="12"/>
      <c r="C374" s="12"/>
      <c r="D374" s="87"/>
      <c r="F374" s="14"/>
      <c r="G374" s="14"/>
      <c r="H374" s="14"/>
      <c r="I374" s="14"/>
      <c r="J374" s="14"/>
      <c r="K374" s="302"/>
    </row>
    <row r="375" ht="19.5" customHeight="1">
      <c r="A375" s="12"/>
      <c r="C375" s="12"/>
      <c r="D375" s="87"/>
      <c r="F375" s="14"/>
      <c r="G375" s="14"/>
      <c r="H375" s="14"/>
      <c r="I375" s="14"/>
      <c r="J375" s="14"/>
      <c r="K375" s="302"/>
    </row>
    <row r="376" ht="19.5" customHeight="1">
      <c r="A376" s="12"/>
      <c r="C376" s="12"/>
      <c r="D376" s="87"/>
      <c r="F376" s="14"/>
      <c r="G376" s="14"/>
      <c r="H376" s="14"/>
      <c r="I376" s="14"/>
      <c r="J376" s="14"/>
      <c r="K376" s="302"/>
    </row>
    <row r="377" ht="19.5" customHeight="1">
      <c r="A377" s="12"/>
      <c r="C377" s="12"/>
      <c r="D377" s="87"/>
      <c r="F377" s="14"/>
      <c r="G377" s="14"/>
      <c r="H377" s="14"/>
      <c r="I377" s="14"/>
      <c r="J377" s="14"/>
      <c r="K377" s="302"/>
    </row>
    <row r="378" ht="19.5" customHeight="1">
      <c r="A378" s="12"/>
      <c r="C378" s="12"/>
      <c r="D378" s="87"/>
      <c r="F378" s="14"/>
      <c r="G378" s="14"/>
      <c r="H378" s="14"/>
      <c r="I378" s="14"/>
      <c r="J378" s="14"/>
      <c r="K378" s="302"/>
    </row>
    <row r="379" ht="19.5" customHeight="1">
      <c r="A379" s="12"/>
      <c r="C379" s="12"/>
      <c r="D379" s="87"/>
      <c r="F379" s="14"/>
      <c r="G379" s="14"/>
      <c r="H379" s="14"/>
      <c r="I379" s="14"/>
      <c r="J379" s="14"/>
      <c r="K379" s="302"/>
    </row>
    <row r="380" ht="19.5" customHeight="1">
      <c r="A380" s="12"/>
      <c r="C380" s="12"/>
      <c r="D380" s="87"/>
      <c r="F380" s="14"/>
      <c r="G380" s="14"/>
      <c r="H380" s="14"/>
      <c r="I380" s="14"/>
      <c r="J380" s="14"/>
      <c r="K380" s="302"/>
    </row>
    <row r="381" ht="19.5" customHeight="1">
      <c r="A381" s="12"/>
      <c r="C381" s="12"/>
      <c r="D381" s="87"/>
      <c r="F381" s="14"/>
      <c r="G381" s="14"/>
      <c r="H381" s="14"/>
      <c r="I381" s="14"/>
      <c r="J381" s="14"/>
      <c r="K381" s="302"/>
    </row>
    <row r="382" ht="19.5" customHeight="1">
      <c r="A382" s="12"/>
      <c r="C382" s="12"/>
      <c r="D382" s="87"/>
      <c r="F382" s="14"/>
      <c r="G382" s="14"/>
      <c r="H382" s="14"/>
      <c r="I382" s="14"/>
      <c r="J382" s="14"/>
      <c r="K382" s="302"/>
    </row>
    <row r="383" ht="19.5" customHeight="1">
      <c r="A383" s="12"/>
      <c r="C383" s="12"/>
      <c r="D383" s="87"/>
      <c r="F383" s="14"/>
      <c r="G383" s="14"/>
      <c r="H383" s="14"/>
      <c r="I383" s="14"/>
      <c r="J383" s="14"/>
      <c r="K383" s="302"/>
    </row>
    <row r="384" ht="19.5" customHeight="1">
      <c r="A384" s="12"/>
      <c r="C384" s="12"/>
      <c r="D384" s="87"/>
      <c r="F384" s="14"/>
      <c r="G384" s="14"/>
      <c r="H384" s="14"/>
      <c r="I384" s="14"/>
      <c r="J384" s="14"/>
      <c r="K384" s="302"/>
    </row>
    <row r="385" ht="19.5" customHeight="1">
      <c r="A385" s="12"/>
      <c r="C385" s="12"/>
      <c r="D385" s="87"/>
      <c r="F385" s="14"/>
      <c r="G385" s="14"/>
      <c r="H385" s="14"/>
      <c r="I385" s="14"/>
      <c r="J385" s="14"/>
      <c r="K385" s="302"/>
    </row>
    <row r="386" ht="19.5" customHeight="1">
      <c r="A386" s="12"/>
      <c r="C386" s="12"/>
      <c r="D386" s="87"/>
      <c r="F386" s="14"/>
      <c r="G386" s="14"/>
      <c r="H386" s="14"/>
      <c r="I386" s="14"/>
      <c r="J386" s="14"/>
      <c r="K386" s="302"/>
    </row>
    <row r="387" ht="19.5" customHeight="1">
      <c r="A387" s="12"/>
      <c r="C387" s="12"/>
      <c r="D387" s="87"/>
      <c r="F387" s="14"/>
      <c r="G387" s="14"/>
      <c r="H387" s="14"/>
      <c r="I387" s="14"/>
      <c r="J387" s="14"/>
      <c r="K387" s="302"/>
    </row>
    <row r="388" ht="19.5" customHeight="1">
      <c r="A388" s="12"/>
      <c r="C388" s="12"/>
      <c r="D388" s="87"/>
      <c r="F388" s="14"/>
      <c r="G388" s="14"/>
      <c r="H388" s="14"/>
      <c r="I388" s="14"/>
      <c r="J388" s="14"/>
      <c r="K388" s="302"/>
    </row>
    <row r="389" ht="19.5" customHeight="1">
      <c r="A389" s="12"/>
      <c r="C389" s="12"/>
      <c r="D389" s="87"/>
      <c r="F389" s="14"/>
      <c r="G389" s="14"/>
      <c r="H389" s="14"/>
      <c r="I389" s="14"/>
      <c r="J389" s="14"/>
      <c r="K389" s="302"/>
    </row>
    <row r="390" ht="19.5" customHeight="1">
      <c r="A390" s="12"/>
      <c r="C390" s="12"/>
      <c r="D390" s="87"/>
      <c r="F390" s="14"/>
      <c r="G390" s="14"/>
      <c r="H390" s="14"/>
      <c r="I390" s="14"/>
      <c r="J390" s="14"/>
      <c r="K390" s="302"/>
    </row>
    <row r="391" ht="19.5" customHeight="1">
      <c r="A391" s="12"/>
      <c r="C391" s="12"/>
      <c r="D391" s="87"/>
      <c r="F391" s="14"/>
      <c r="G391" s="14"/>
      <c r="H391" s="14"/>
      <c r="I391" s="14"/>
      <c r="J391" s="14"/>
      <c r="K391" s="302"/>
    </row>
    <row r="392" ht="19.5" customHeight="1">
      <c r="A392" s="12"/>
      <c r="C392" s="12"/>
      <c r="D392" s="87"/>
      <c r="F392" s="14"/>
      <c r="G392" s="14"/>
      <c r="H392" s="14"/>
      <c r="I392" s="14"/>
      <c r="J392" s="14"/>
      <c r="K392" s="302"/>
    </row>
    <row r="393" ht="19.5" customHeight="1">
      <c r="A393" s="12"/>
      <c r="C393" s="12"/>
      <c r="D393" s="87"/>
      <c r="F393" s="14"/>
      <c r="G393" s="14"/>
      <c r="H393" s="14"/>
      <c r="I393" s="14"/>
      <c r="J393" s="14"/>
      <c r="K393" s="302"/>
    </row>
    <row r="394" ht="19.5" customHeight="1">
      <c r="A394" s="12"/>
      <c r="C394" s="12"/>
      <c r="D394" s="87"/>
      <c r="F394" s="14"/>
      <c r="G394" s="14"/>
      <c r="H394" s="14"/>
      <c r="I394" s="14"/>
      <c r="J394" s="14"/>
      <c r="K394" s="302"/>
    </row>
    <row r="395" ht="19.5" customHeight="1">
      <c r="A395" s="12"/>
      <c r="C395" s="12"/>
      <c r="D395" s="87"/>
      <c r="F395" s="14"/>
      <c r="G395" s="14"/>
      <c r="H395" s="14"/>
      <c r="I395" s="14"/>
      <c r="J395" s="14"/>
      <c r="K395" s="302"/>
    </row>
    <row r="396" ht="19.5" customHeight="1">
      <c r="A396" s="12"/>
      <c r="C396" s="12"/>
      <c r="D396" s="87"/>
      <c r="F396" s="14"/>
      <c r="G396" s="14"/>
      <c r="H396" s="14"/>
      <c r="I396" s="14"/>
      <c r="J396" s="14"/>
      <c r="K396" s="302"/>
    </row>
    <row r="397" ht="19.5" customHeight="1">
      <c r="A397" s="12"/>
      <c r="C397" s="12"/>
      <c r="D397" s="87"/>
      <c r="F397" s="14"/>
      <c r="G397" s="14"/>
      <c r="H397" s="14"/>
      <c r="I397" s="14"/>
      <c r="J397" s="14"/>
      <c r="K397" s="302"/>
    </row>
    <row r="398" ht="19.5" customHeight="1">
      <c r="A398" s="12"/>
      <c r="C398" s="12"/>
      <c r="D398" s="87"/>
      <c r="F398" s="14"/>
      <c r="G398" s="14"/>
      <c r="H398" s="14"/>
      <c r="I398" s="14"/>
      <c r="J398" s="14"/>
      <c r="K398" s="302"/>
    </row>
    <row r="399" ht="19.5" customHeight="1">
      <c r="A399" s="12"/>
      <c r="C399" s="12"/>
      <c r="D399" s="87"/>
      <c r="F399" s="14"/>
      <c r="G399" s="14"/>
      <c r="H399" s="14"/>
      <c r="I399" s="14"/>
      <c r="J399" s="14"/>
      <c r="K399" s="302"/>
    </row>
    <row r="400" ht="19.5" customHeight="1">
      <c r="A400" s="12"/>
      <c r="C400" s="12"/>
      <c r="D400" s="87"/>
      <c r="F400" s="14"/>
      <c r="G400" s="14"/>
      <c r="H400" s="14"/>
      <c r="I400" s="14"/>
      <c r="J400" s="14"/>
      <c r="K400" s="302"/>
    </row>
    <row r="401" ht="19.5" customHeight="1">
      <c r="A401" s="12"/>
      <c r="C401" s="12"/>
      <c r="D401" s="87"/>
      <c r="F401" s="14"/>
      <c r="G401" s="14"/>
      <c r="H401" s="14"/>
      <c r="I401" s="14"/>
      <c r="J401" s="14"/>
      <c r="K401" s="302"/>
    </row>
    <row r="402" ht="19.5" customHeight="1">
      <c r="A402" s="12"/>
      <c r="C402" s="12"/>
      <c r="D402" s="87"/>
      <c r="F402" s="14"/>
      <c r="G402" s="14"/>
      <c r="H402" s="14"/>
      <c r="I402" s="14"/>
      <c r="J402" s="14"/>
      <c r="K402" s="302"/>
    </row>
    <row r="403" ht="19.5" customHeight="1">
      <c r="A403" s="12"/>
      <c r="C403" s="12"/>
      <c r="D403" s="87"/>
      <c r="F403" s="14"/>
      <c r="G403" s="14"/>
      <c r="H403" s="14"/>
      <c r="I403" s="14"/>
      <c r="J403" s="14"/>
      <c r="K403" s="302"/>
    </row>
    <row r="404" ht="19.5" customHeight="1">
      <c r="A404" s="12"/>
      <c r="C404" s="12"/>
      <c r="D404" s="87"/>
      <c r="F404" s="14"/>
      <c r="G404" s="14"/>
      <c r="H404" s="14"/>
      <c r="I404" s="14"/>
      <c r="J404" s="14"/>
      <c r="K404" s="302"/>
    </row>
    <row r="405" ht="19.5" customHeight="1">
      <c r="A405" s="12"/>
      <c r="C405" s="12"/>
      <c r="D405" s="87"/>
      <c r="F405" s="14"/>
      <c r="G405" s="14"/>
      <c r="H405" s="14"/>
      <c r="I405" s="14"/>
      <c r="J405" s="14"/>
      <c r="K405" s="302"/>
    </row>
    <row r="406" ht="19.5" customHeight="1">
      <c r="A406" s="12"/>
      <c r="C406" s="12"/>
      <c r="D406" s="87"/>
      <c r="F406" s="14"/>
      <c r="G406" s="14"/>
      <c r="H406" s="14"/>
      <c r="I406" s="14"/>
      <c r="J406" s="14"/>
      <c r="K406" s="302"/>
    </row>
    <row r="407" ht="19.5" customHeight="1">
      <c r="A407" s="12"/>
      <c r="C407" s="12"/>
      <c r="D407" s="87"/>
      <c r="F407" s="14"/>
      <c r="G407" s="14"/>
      <c r="H407" s="14"/>
      <c r="I407" s="14"/>
      <c r="J407" s="14"/>
      <c r="K407" s="302"/>
    </row>
    <row r="408" ht="19.5" customHeight="1">
      <c r="A408" s="12"/>
      <c r="C408" s="12"/>
      <c r="D408" s="87"/>
      <c r="F408" s="14"/>
      <c r="G408" s="14"/>
      <c r="H408" s="14"/>
      <c r="I408" s="14"/>
      <c r="J408" s="14"/>
      <c r="K408" s="302"/>
    </row>
    <row r="409" ht="19.5" customHeight="1">
      <c r="A409" s="12"/>
      <c r="C409" s="12"/>
      <c r="D409" s="87"/>
      <c r="F409" s="14"/>
      <c r="G409" s="14"/>
      <c r="H409" s="14"/>
      <c r="I409" s="14"/>
      <c r="J409" s="14"/>
      <c r="K409" s="302"/>
    </row>
    <row r="410" ht="19.5" customHeight="1">
      <c r="A410" s="12"/>
      <c r="C410" s="12"/>
      <c r="D410" s="87"/>
      <c r="F410" s="14"/>
      <c r="G410" s="14"/>
      <c r="H410" s="14"/>
      <c r="I410" s="14"/>
      <c r="J410" s="14"/>
      <c r="K410" s="302"/>
    </row>
    <row r="411" ht="19.5" customHeight="1">
      <c r="A411" s="12"/>
      <c r="C411" s="12"/>
      <c r="D411" s="87"/>
      <c r="F411" s="14"/>
      <c r="G411" s="14"/>
      <c r="H411" s="14"/>
      <c r="I411" s="14"/>
      <c r="J411" s="14"/>
      <c r="K411" s="302"/>
    </row>
    <row r="412" ht="19.5" customHeight="1">
      <c r="A412" s="12"/>
      <c r="C412" s="12"/>
      <c r="D412" s="87"/>
      <c r="F412" s="14"/>
      <c r="G412" s="14"/>
      <c r="H412" s="14"/>
      <c r="I412" s="14"/>
      <c r="J412" s="14"/>
      <c r="K412" s="302"/>
    </row>
    <row r="413" ht="19.5" customHeight="1">
      <c r="A413" s="12"/>
      <c r="C413" s="12"/>
      <c r="D413" s="87"/>
      <c r="F413" s="14"/>
      <c r="G413" s="14"/>
      <c r="H413" s="14"/>
      <c r="I413" s="14"/>
      <c r="J413" s="14"/>
      <c r="K413" s="302"/>
    </row>
    <row r="414" ht="19.5" customHeight="1">
      <c r="A414" s="12"/>
      <c r="C414" s="12"/>
      <c r="D414" s="87"/>
      <c r="F414" s="14"/>
      <c r="G414" s="14"/>
      <c r="H414" s="14"/>
      <c r="I414" s="14"/>
      <c r="J414" s="14"/>
      <c r="K414" s="302"/>
    </row>
    <row r="415" ht="19.5" customHeight="1">
      <c r="A415" s="12"/>
      <c r="C415" s="12"/>
      <c r="D415" s="87"/>
      <c r="F415" s="14"/>
      <c r="G415" s="14"/>
      <c r="H415" s="14"/>
      <c r="I415" s="14"/>
      <c r="J415" s="14"/>
      <c r="K415" s="302"/>
    </row>
    <row r="416" ht="19.5" customHeight="1">
      <c r="A416" s="12"/>
      <c r="C416" s="12"/>
      <c r="D416" s="87"/>
      <c r="F416" s="14"/>
      <c r="G416" s="14"/>
      <c r="H416" s="14"/>
      <c r="I416" s="14"/>
      <c r="J416" s="14"/>
      <c r="K416" s="302"/>
    </row>
    <row r="417" ht="19.5" customHeight="1">
      <c r="A417" s="12"/>
      <c r="C417" s="12"/>
      <c r="D417" s="87"/>
      <c r="F417" s="14"/>
      <c r="G417" s="14"/>
      <c r="H417" s="14"/>
      <c r="I417" s="14"/>
      <c r="J417" s="14"/>
      <c r="K417" s="302"/>
    </row>
    <row r="418" ht="19.5" customHeight="1">
      <c r="A418" s="12"/>
      <c r="C418" s="12"/>
      <c r="D418" s="87"/>
      <c r="F418" s="14"/>
      <c r="G418" s="14"/>
      <c r="H418" s="14"/>
      <c r="I418" s="14"/>
      <c r="J418" s="14"/>
      <c r="K418" s="302"/>
    </row>
    <row r="419" ht="19.5" customHeight="1">
      <c r="A419" s="12"/>
      <c r="C419" s="12"/>
      <c r="D419" s="87"/>
      <c r="F419" s="14"/>
      <c r="G419" s="14"/>
      <c r="H419" s="14"/>
      <c r="I419" s="14"/>
      <c r="J419" s="14"/>
      <c r="K419" s="302"/>
    </row>
    <row r="420" ht="19.5" customHeight="1">
      <c r="A420" s="12"/>
      <c r="C420" s="12"/>
      <c r="D420" s="87"/>
      <c r="F420" s="14"/>
      <c r="G420" s="14"/>
      <c r="H420" s="14"/>
      <c r="I420" s="14"/>
      <c r="J420" s="14"/>
      <c r="K420" s="302"/>
    </row>
    <row r="421" ht="19.5" customHeight="1">
      <c r="A421" s="12"/>
      <c r="C421" s="12"/>
      <c r="D421" s="87"/>
      <c r="F421" s="14"/>
      <c r="G421" s="14"/>
      <c r="H421" s="14"/>
      <c r="I421" s="14"/>
      <c r="J421" s="14"/>
      <c r="K421" s="302"/>
    </row>
    <row r="422" ht="19.5" customHeight="1">
      <c r="A422" s="12"/>
      <c r="C422" s="12"/>
      <c r="D422" s="87"/>
      <c r="F422" s="14"/>
      <c r="G422" s="14"/>
      <c r="H422" s="14"/>
      <c r="I422" s="14"/>
      <c r="J422" s="14"/>
      <c r="K422" s="302"/>
    </row>
    <row r="423" ht="19.5" customHeight="1">
      <c r="A423" s="12"/>
      <c r="C423" s="12"/>
      <c r="D423" s="87"/>
      <c r="F423" s="14"/>
      <c r="G423" s="14"/>
      <c r="H423" s="14"/>
      <c r="I423" s="14"/>
      <c r="J423" s="14"/>
      <c r="K423" s="302"/>
    </row>
    <row r="424" ht="19.5" customHeight="1">
      <c r="A424" s="12"/>
      <c r="C424" s="12"/>
      <c r="D424" s="87"/>
      <c r="F424" s="14"/>
      <c r="G424" s="14"/>
      <c r="H424" s="14"/>
      <c r="I424" s="14"/>
      <c r="J424" s="14"/>
      <c r="K424" s="302"/>
    </row>
    <row r="425" ht="19.5" customHeight="1">
      <c r="A425" s="12"/>
      <c r="C425" s="12"/>
      <c r="D425" s="87"/>
      <c r="F425" s="14"/>
      <c r="G425" s="14"/>
      <c r="H425" s="14"/>
      <c r="I425" s="14"/>
      <c r="J425" s="14"/>
      <c r="K425" s="302"/>
    </row>
    <row r="426" ht="19.5" customHeight="1">
      <c r="A426" s="12"/>
      <c r="C426" s="12"/>
      <c r="D426" s="87"/>
      <c r="F426" s="14"/>
      <c r="G426" s="14"/>
      <c r="H426" s="14"/>
      <c r="I426" s="14"/>
      <c r="J426" s="14"/>
      <c r="K426" s="302"/>
    </row>
    <row r="427" ht="19.5" customHeight="1">
      <c r="A427" s="12"/>
      <c r="C427" s="12"/>
      <c r="D427" s="87"/>
      <c r="F427" s="14"/>
      <c r="G427" s="14"/>
      <c r="H427" s="14"/>
      <c r="I427" s="14"/>
      <c r="J427" s="14"/>
      <c r="K427" s="302"/>
    </row>
    <row r="428" ht="19.5" customHeight="1">
      <c r="A428" s="12"/>
      <c r="C428" s="12"/>
      <c r="D428" s="87"/>
      <c r="F428" s="14"/>
      <c r="G428" s="14"/>
      <c r="H428" s="14"/>
      <c r="I428" s="14"/>
      <c r="J428" s="14"/>
      <c r="K428" s="302"/>
    </row>
    <row r="429" ht="19.5" customHeight="1">
      <c r="A429" s="12"/>
      <c r="C429" s="12"/>
      <c r="D429" s="87"/>
      <c r="F429" s="14"/>
      <c r="G429" s="14"/>
      <c r="H429" s="14"/>
      <c r="I429" s="14"/>
      <c r="J429" s="14"/>
      <c r="K429" s="302"/>
    </row>
    <row r="430" ht="19.5" customHeight="1">
      <c r="A430" s="12"/>
      <c r="C430" s="12"/>
      <c r="D430" s="87"/>
      <c r="F430" s="14"/>
      <c r="G430" s="14"/>
      <c r="H430" s="14"/>
      <c r="I430" s="14"/>
      <c r="J430" s="14"/>
      <c r="K430" s="302"/>
    </row>
    <row r="431" ht="19.5" customHeight="1">
      <c r="A431" s="12"/>
      <c r="C431" s="12"/>
      <c r="D431" s="87"/>
      <c r="F431" s="14"/>
      <c r="G431" s="14"/>
      <c r="H431" s="14"/>
      <c r="I431" s="14"/>
      <c r="J431" s="14"/>
      <c r="K431" s="302"/>
    </row>
    <row r="432" ht="19.5" customHeight="1">
      <c r="A432" s="12"/>
      <c r="C432" s="12"/>
      <c r="D432" s="87"/>
      <c r="F432" s="14"/>
      <c r="G432" s="14"/>
      <c r="H432" s="14"/>
      <c r="I432" s="14"/>
      <c r="J432" s="14"/>
      <c r="K432" s="302"/>
    </row>
    <row r="433" ht="19.5" customHeight="1">
      <c r="A433" s="12"/>
      <c r="C433" s="12"/>
      <c r="D433" s="87"/>
      <c r="F433" s="14"/>
      <c r="G433" s="14"/>
      <c r="H433" s="14"/>
      <c r="I433" s="14"/>
      <c r="J433" s="14"/>
      <c r="K433" s="302"/>
    </row>
    <row r="434" ht="19.5" customHeight="1">
      <c r="A434" s="12"/>
      <c r="C434" s="12"/>
      <c r="D434" s="87"/>
      <c r="F434" s="14"/>
      <c r="G434" s="14"/>
      <c r="H434" s="14"/>
      <c r="I434" s="14"/>
      <c r="J434" s="14"/>
      <c r="K434" s="302"/>
    </row>
    <row r="435" ht="19.5" customHeight="1">
      <c r="A435" s="12"/>
      <c r="C435" s="12"/>
      <c r="D435" s="87"/>
      <c r="F435" s="14"/>
      <c r="G435" s="14"/>
      <c r="H435" s="14"/>
      <c r="I435" s="14"/>
      <c r="J435" s="14"/>
      <c r="K435" s="302"/>
    </row>
    <row r="436" ht="19.5" customHeight="1">
      <c r="A436" s="12"/>
      <c r="C436" s="12"/>
      <c r="D436" s="87"/>
      <c r="F436" s="14"/>
      <c r="G436" s="14"/>
      <c r="H436" s="14"/>
      <c r="I436" s="14"/>
      <c r="J436" s="14"/>
      <c r="K436" s="302"/>
    </row>
    <row r="437" ht="19.5" customHeight="1">
      <c r="A437" s="12"/>
      <c r="C437" s="12"/>
      <c r="D437" s="87"/>
      <c r="F437" s="14"/>
      <c r="G437" s="14"/>
      <c r="H437" s="14"/>
      <c r="I437" s="14"/>
      <c r="J437" s="14"/>
      <c r="K437" s="302"/>
    </row>
    <row r="438" ht="19.5" customHeight="1">
      <c r="A438" s="12"/>
      <c r="C438" s="12"/>
      <c r="D438" s="87"/>
      <c r="F438" s="14"/>
      <c r="G438" s="14"/>
      <c r="H438" s="14"/>
      <c r="I438" s="14"/>
      <c r="J438" s="14"/>
      <c r="K438" s="302"/>
    </row>
    <row r="439" ht="19.5" customHeight="1">
      <c r="A439" s="12"/>
      <c r="C439" s="12"/>
      <c r="D439" s="87"/>
      <c r="F439" s="14"/>
      <c r="G439" s="14"/>
      <c r="H439" s="14"/>
      <c r="I439" s="14"/>
      <c r="J439" s="14"/>
      <c r="K439" s="302"/>
    </row>
    <row r="440" ht="19.5" customHeight="1">
      <c r="A440" s="12"/>
      <c r="C440" s="12"/>
      <c r="D440" s="87"/>
      <c r="F440" s="14"/>
      <c r="G440" s="14"/>
      <c r="H440" s="14"/>
      <c r="I440" s="14"/>
      <c r="J440" s="14"/>
      <c r="K440" s="302"/>
    </row>
    <row r="441" ht="19.5" customHeight="1">
      <c r="A441" s="12"/>
      <c r="C441" s="12"/>
      <c r="D441" s="87"/>
      <c r="F441" s="14"/>
      <c r="G441" s="14"/>
      <c r="H441" s="14"/>
      <c r="I441" s="14"/>
      <c r="J441" s="14"/>
      <c r="K441" s="302"/>
    </row>
    <row r="442" ht="19.5" customHeight="1">
      <c r="A442" s="12"/>
      <c r="C442" s="12"/>
      <c r="D442" s="87"/>
      <c r="F442" s="14"/>
      <c r="G442" s="14"/>
      <c r="H442" s="14"/>
      <c r="I442" s="14"/>
      <c r="J442" s="14"/>
      <c r="K442" s="302"/>
    </row>
    <row r="443" ht="19.5" customHeight="1">
      <c r="A443" s="12"/>
      <c r="C443" s="12"/>
      <c r="D443" s="87"/>
      <c r="F443" s="14"/>
      <c r="G443" s="14"/>
      <c r="H443" s="14"/>
      <c r="I443" s="14"/>
      <c r="J443" s="14"/>
      <c r="K443" s="302"/>
    </row>
    <row r="444" ht="19.5" customHeight="1">
      <c r="A444" s="12"/>
      <c r="C444" s="12"/>
      <c r="D444" s="87"/>
      <c r="F444" s="14"/>
      <c r="G444" s="14"/>
      <c r="H444" s="14"/>
      <c r="I444" s="14"/>
      <c r="J444" s="14"/>
      <c r="K444" s="302"/>
    </row>
    <row r="445" ht="19.5" customHeight="1">
      <c r="A445" s="12"/>
      <c r="C445" s="12"/>
      <c r="D445" s="87"/>
      <c r="F445" s="14"/>
      <c r="G445" s="14"/>
      <c r="H445" s="14"/>
      <c r="I445" s="14"/>
      <c r="J445" s="14"/>
      <c r="K445" s="302"/>
    </row>
    <row r="446" ht="19.5" customHeight="1">
      <c r="A446" s="12"/>
      <c r="C446" s="12"/>
      <c r="D446" s="87"/>
      <c r="F446" s="14"/>
      <c r="G446" s="14"/>
      <c r="H446" s="14"/>
      <c r="I446" s="14"/>
      <c r="J446" s="14"/>
      <c r="K446" s="302"/>
    </row>
    <row r="447" ht="19.5" customHeight="1">
      <c r="A447" s="12"/>
      <c r="C447" s="12"/>
      <c r="D447" s="87"/>
      <c r="F447" s="14"/>
      <c r="G447" s="14"/>
      <c r="H447" s="14"/>
      <c r="I447" s="14"/>
      <c r="J447" s="14"/>
      <c r="K447" s="302"/>
    </row>
    <row r="448" ht="19.5" customHeight="1">
      <c r="A448" s="12"/>
      <c r="C448" s="12"/>
      <c r="D448" s="87"/>
      <c r="F448" s="14"/>
      <c r="G448" s="14"/>
      <c r="H448" s="14"/>
      <c r="I448" s="14"/>
      <c r="J448" s="14"/>
      <c r="K448" s="302"/>
    </row>
    <row r="449" ht="19.5" customHeight="1">
      <c r="A449" s="12"/>
      <c r="C449" s="12"/>
      <c r="D449" s="87"/>
      <c r="F449" s="14"/>
      <c r="G449" s="14"/>
      <c r="H449" s="14"/>
      <c r="I449" s="14"/>
      <c r="J449" s="14"/>
      <c r="K449" s="302"/>
    </row>
    <row r="450" ht="19.5" customHeight="1">
      <c r="A450" s="12"/>
      <c r="C450" s="12"/>
      <c r="D450" s="87"/>
      <c r="F450" s="14"/>
      <c r="G450" s="14"/>
      <c r="H450" s="14"/>
      <c r="I450" s="14"/>
      <c r="J450" s="14"/>
      <c r="K450" s="302"/>
    </row>
    <row r="451" ht="19.5" customHeight="1">
      <c r="A451" s="12"/>
      <c r="C451" s="12"/>
      <c r="D451" s="87"/>
      <c r="F451" s="14"/>
      <c r="G451" s="14"/>
      <c r="H451" s="14"/>
      <c r="I451" s="14"/>
      <c r="J451" s="14"/>
      <c r="K451" s="302"/>
    </row>
    <row r="452" ht="19.5" customHeight="1">
      <c r="A452" s="12"/>
      <c r="C452" s="12"/>
      <c r="D452" s="87"/>
      <c r="F452" s="14"/>
      <c r="G452" s="14"/>
      <c r="H452" s="14"/>
      <c r="I452" s="14"/>
      <c r="J452" s="14"/>
      <c r="K452" s="302"/>
    </row>
    <row r="453" ht="19.5" customHeight="1">
      <c r="A453" s="12"/>
      <c r="C453" s="12"/>
      <c r="D453" s="87"/>
      <c r="F453" s="14"/>
      <c r="G453" s="14"/>
      <c r="H453" s="14"/>
      <c r="I453" s="14"/>
      <c r="J453" s="14"/>
      <c r="K453" s="302"/>
    </row>
    <row r="454" ht="19.5" customHeight="1">
      <c r="A454" s="12"/>
      <c r="C454" s="12"/>
      <c r="D454" s="87"/>
      <c r="F454" s="14"/>
      <c r="G454" s="14"/>
      <c r="H454" s="14"/>
      <c r="I454" s="14"/>
      <c r="J454" s="14"/>
      <c r="K454" s="302"/>
    </row>
    <row r="455" ht="19.5" customHeight="1">
      <c r="A455" s="12"/>
      <c r="C455" s="12"/>
      <c r="D455" s="87"/>
      <c r="F455" s="14"/>
      <c r="G455" s="14"/>
      <c r="H455" s="14"/>
      <c r="I455" s="14"/>
      <c r="J455" s="14"/>
      <c r="K455" s="302"/>
    </row>
    <row r="456" ht="19.5" customHeight="1">
      <c r="A456" s="12"/>
      <c r="C456" s="12"/>
      <c r="D456" s="87"/>
      <c r="F456" s="14"/>
      <c r="G456" s="14"/>
      <c r="H456" s="14"/>
      <c r="I456" s="14"/>
      <c r="J456" s="14"/>
      <c r="K456" s="302"/>
    </row>
    <row r="457" ht="19.5" customHeight="1">
      <c r="A457" s="12"/>
      <c r="C457" s="12"/>
      <c r="D457" s="87"/>
      <c r="F457" s="14"/>
      <c r="G457" s="14"/>
      <c r="H457" s="14"/>
      <c r="I457" s="14"/>
      <c r="J457" s="14"/>
      <c r="K457" s="302"/>
    </row>
    <row r="458" ht="19.5" customHeight="1">
      <c r="A458" s="12"/>
      <c r="C458" s="12"/>
      <c r="D458" s="87"/>
      <c r="F458" s="14"/>
      <c r="G458" s="14"/>
      <c r="H458" s="14"/>
      <c r="I458" s="14"/>
      <c r="J458" s="14"/>
      <c r="K458" s="302"/>
    </row>
    <row r="459" ht="19.5" customHeight="1">
      <c r="A459" s="12"/>
      <c r="C459" s="12"/>
      <c r="D459" s="87"/>
      <c r="F459" s="14"/>
      <c r="G459" s="14"/>
      <c r="H459" s="14"/>
      <c r="I459" s="14"/>
      <c r="J459" s="14"/>
      <c r="K459" s="302"/>
    </row>
    <row r="460" ht="19.5" customHeight="1">
      <c r="A460" s="12"/>
      <c r="C460" s="12"/>
      <c r="D460" s="87"/>
      <c r="F460" s="14"/>
      <c r="G460" s="14"/>
      <c r="H460" s="14"/>
      <c r="I460" s="14"/>
      <c r="J460" s="14"/>
      <c r="K460" s="302"/>
    </row>
    <row r="461" ht="19.5" customHeight="1">
      <c r="A461" s="12"/>
      <c r="C461" s="12"/>
      <c r="D461" s="87"/>
      <c r="F461" s="14"/>
      <c r="G461" s="14"/>
      <c r="H461" s="14"/>
      <c r="I461" s="14"/>
      <c r="J461" s="14"/>
      <c r="K461" s="302"/>
    </row>
    <row r="462" ht="19.5" customHeight="1">
      <c r="A462" s="12"/>
      <c r="C462" s="12"/>
      <c r="D462" s="87"/>
      <c r="F462" s="14"/>
      <c r="G462" s="14"/>
      <c r="H462" s="14"/>
      <c r="I462" s="14"/>
      <c r="J462" s="14"/>
      <c r="K462" s="302"/>
    </row>
    <row r="463" ht="19.5" customHeight="1">
      <c r="A463" s="12"/>
      <c r="C463" s="12"/>
      <c r="D463" s="87"/>
      <c r="F463" s="14"/>
      <c r="G463" s="14"/>
      <c r="H463" s="14"/>
      <c r="I463" s="14"/>
      <c r="J463" s="14"/>
      <c r="K463" s="302"/>
    </row>
    <row r="464" ht="19.5" customHeight="1">
      <c r="A464" s="12"/>
      <c r="C464" s="12"/>
      <c r="D464" s="87"/>
      <c r="F464" s="14"/>
      <c r="G464" s="14"/>
      <c r="H464" s="14"/>
      <c r="I464" s="14"/>
      <c r="J464" s="14"/>
      <c r="K464" s="302"/>
    </row>
    <row r="465" ht="19.5" customHeight="1">
      <c r="A465" s="12"/>
      <c r="C465" s="12"/>
      <c r="D465" s="87"/>
      <c r="F465" s="14"/>
      <c r="G465" s="14"/>
      <c r="H465" s="14"/>
      <c r="I465" s="14"/>
      <c r="J465" s="14"/>
      <c r="K465" s="302"/>
    </row>
    <row r="466" ht="19.5" customHeight="1">
      <c r="A466" s="12"/>
      <c r="C466" s="12"/>
      <c r="D466" s="87"/>
      <c r="F466" s="14"/>
      <c r="G466" s="14"/>
      <c r="H466" s="14"/>
      <c r="I466" s="14"/>
      <c r="J466" s="14"/>
      <c r="K466" s="302"/>
    </row>
    <row r="467" ht="19.5" customHeight="1">
      <c r="A467" s="12"/>
      <c r="C467" s="12"/>
      <c r="D467" s="87"/>
      <c r="F467" s="14"/>
      <c r="G467" s="14"/>
      <c r="H467" s="14"/>
      <c r="I467" s="14"/>
      <c r="J467" s="14"/>
      <c r="K467" s="302"/>
    </row>
    <row r="468" ht="19.5" customHeight="1">
      <c r="A468" s="12"/>
      <c r="C468" s="12"/>
      <c r="D468" s="87"/>
      <c r="F468" s="14"/>
      <c r="G468" s="14"/>
      <c r="H468" s="14"/>
      <c r="I468" s="14"/>
      <c r="J468" s="14"/>
      <c r="K468" s="302"/>
    </row>
    <row r="469" ht="19.5" customHeight="1">
      <c r="A469" s="12"/>
      <c r="C469" s="12"/>
      <c r="D469" s="87"/>
      <c r="F469" s="14"/>
      <c r="G469" s="14"/>
      <c r="H469" s="14"/>
      <c r="I469" s="14"/>
      <c r="J469" s="14"/>
      <c r="K469" s="302"/>
    </row>
    <row r="470" ht="19.5" customHeight="1">
      <c r="A470" s="12"/>
      <c r="C470" s="12"/>
      <c r="D470" s="87"/>
      <c r="F470" s="14"/>
      <c r="G470" s="14"/>
      <c r="H470" s="14"/>
      <c r="I470" s="14"/>
      <c r="J470" s="14"/>
      <c r="K470" s="302"/>
    </row>
    <row r="471" ht="19.5" customHeight="1">
      <c r="A471" s="12"/>
      <c r="C471" s="12"/>
      <c r="D471" s="87"/>
      <c r="F471" s="14"/>
      <c r="G471" s="14"/>
      <c r="H471" s="14"/>
      <c r="I471" s="14"/>
      <c r="J471" s="14"/>
      <c r="K471" s="302"/>
    </row>
    <row r="472" ht="19.5" customHeight="1">
      <c r="A472" s="12"/>
      <c r="C472" s="12"/>
      <c r="D472" s="87"/>
      <c r="F472" s="14"/>
      <c r="G472" s="14"/>
      <c r="H472" s="14"/>
      <c r="I472" s="14"/>
      <c r="J472" s="14"/>
      <c r="K472" s="302"/>
    </row>
    <row r="473" ht="19.5" customHeight="1">
      <c r="A473" s="12"/>
      <c r="C473" s="12"/>
      <c r="D473" s="87"/>
      <c r="F473" s="14"/>
      <c r="G473" s="14"/>
      <c r="H473" s="14"/>
      <c r="I473" s="14"/>
      <c r="J473" s="14"/>
      <c r="K473" s="302"/>
    </row>
    <row r="474" ht="19.5" customHeight="1">
      <c r="A474" s="12"/>
      <c r="C474" s="12"/>
      <c r="D474" s="87"/>
      <c r="F474" s="14"/>
      <c r="G474" s="14"/>
      <c r="H474" s="14"/>
      <c r="I474" s="14"/>
      <c r="J474" s="14"/>
      <c r="K474" s="302"/>
    </row>
    <row r="475" ht="19.5" customHeight="1">
      <c r="A475" s="12"/>
      <c r="C475" s="12"/>
      <c r="D475" s="87"/>
      <c r="F475" s="14"/>
      <c r="G475" s="14"/>
      <c r="H475" s="14"/>
      <c r="I475" s="14"/>
      <c r="J475" s="14"/>
      <c r="K475" s="302"/>
    </row>
    <row r="476" ht="19.5" customHeight="1">
      <c r="A476" s="12"/>
      <c r="C476" s="12"/>
      <c r="D476" s="87"/>
      <c r="F476" s="14"/>
      <c r="G476" s="14"/>
      <c r="H476" s="14"/>
      <c r="I476" s="14"/>
      <c r="J476" s="14"/>
      <c r="K476" s="302"/>
    </row>
    <row r="477" ht="19.5" customHeight="1">
      <c r="A477" s="12"/>
      <c r="C477" s="12"/>
      <c r="D477" s="87"/>
      <c r="F477" s="14"/>
      <c r="G477" s="14"/>
      <c r="H477" s="14"/>
      <c r="I477" s="14"/>
      <c r="J477" s="14"/>
      <c r="K477" s="302"/>
    </row>
    <row r="478" ht="19.5" customHeight="1">
      <c r="A478" s="12"/>
      <c r="C478" s="12"/>
      <c r="D478" s="87"/>
      <c r="F478" s="14"/>
      <c r="G478" s="14"/>
      <c r="H478" s="14"/>
      <c r="I478" s="14"/>
      <c r="J478" s="14"/>
      <c r="K478" s="302"/>
    </row>
    <row r="479" ht="19.5" customHeight="1">
      <c r="A479" s="12"/>
      <c r="C479" s="12"/>
      <c r="D479" s="87"/>
      <c r="F479" s="14"/>
      <c r="G479" s="14"/>
      <c r="H479" s="14"/>
      <c r="I479" s="14"/>
      <c r="J479" s="14"/>
      <c r="K479" s="302"/>
    </row>
    <row r="480" ht="19.5" customHeight="1">
      <c r="A480" s="12"/>
      <c r="C480" s="12"/>
      <c r="D480" s="87"/>
      <c r="F480" s="14"/>
      <c r="G480" s="14"/>
      <c r="H480" s="14"/>
      <c r="I480" s="14"/>
      <c r="J480" s="14"/>
      <c r="K480" s="302"/>
    </row>
    <row r="481" ht="19.5" customHeight="1">
      <c r="A481" s="12"/>
      <c r="C481" s="12"/>
      <c r="D481" s="87"/>
      <c r="F481" s="14"/>
      <c r="G481" s="14"/>
      <c r="H481" s="14"/>
      <c r="I481" s="14"/>
      <c r="J481" s="14"/>
      <c r="K481" s="302"/>
    </row>
    <row r="482" ht="19.5" customHeight="1">
      <c r="A482" s="12"/>
      <c r="C482" s="12"/>
      <c r="D482" s="87"/>
      <c r="F482" s="14"/>
      <c r="G482" s="14"/>
      <c r="H482" s="14"/>
      <c r="I482" s="14"/>
      <c r="J482" s="14"/>
      <c r="K482" s="302"/>
    </row>
    <row r="483" ht="19.5" customHeight="1">
      <c r="A483" s="12"/>
      <c r="C483" s="12"/>
      <c r="D483" s="87"/>
      <c r="F483" s="14"/>
      <c r="G483" s="14"/>
      <c r="H483" s="14"/>
      <c r="I483" s="14"/>
      <c r="J483" s="14"/>
      <c r="K483" s="302"/>
    </row>
    <row r="484" ht="19.5" customHeight="1">
      <c r="A484" s="12"/>
      <c r="C484" s="12"/>
      <c r="D484" s="87"/>
      <c r="F484" s="14"/>
      <c r="G484" s="14"/>
      <c r="H484" s="14"/>
      <c r="I484" s="14"/>
      <c r="J484" s="14"/>
      <c r="K484" s="302"/>
    </row>
    <row r="485" ht="19.5" customHeight="1">
      <c r="A485" s="12"/>
      <c r="C485" s="12"/>
      <c r="D485" s="87"/>
      <c r="F485" s="14"/>
      <c r="G485" s="14"/>
      <c r="H485" s="14"/>
      <c r="I485" s="14"/>
      <c r="J485" s="14"/>
      <c r="K485" s="302"/>
    </row>
    <row r="486" ht="19.5" customHeight="1">
      <c r="A486" s="12"/>
      <c r="C486" s="12"/>
      <c r="D486" s="87"/>
      <c r="F486" s="14"/>
      <c r="G486" s="14"/>
      <c r="H486" s="14"/>
      <c r="I486" s="14"/>
      <c r="J486" s="14"/>
      <c r="K486" s="302"/>
    </row>
    <row r="487" ht="19.5" customHeight="1">
      <c r="A487" s="12"/>
      <c r="C487" s="12"/>
      <c r="D487" s="87"/>
      <c r="F487" s="14"/>
      <c r="G487" s="14"/>
      <c r="H487" s="14"/>
      <c r="I487" s="14"/>
      <c r="J487" s="14"/>
      <c r="K487" s="302"/>
    </row>
    <row r="488" ht="19.5" customHeight="1">
      <c r="A488" s="12"/>
      <c r="C488" s="12"/>
      <c r="D488" s="87"/>
      <c r="F488" s="14"/>
      <c r="G488" s="14"/>
      <c r="H488" s="14"/>
      <c r="I488" s="14"/>
      <c r="J488" s="14"/>
      <c r="K488" s="302"/>
    </row>
    <row r="489" ht="19.5" customHeight="1">
      <c r="A489" s="12"/>
      <c r="C489" s="12"/>
      <c r="D489" s="87"/>
      <c r="F489" s="14"/>
      <c r="G489" s="14"/>
      <c r="H489" s="14"/>
      <c r="I489" s="14"/>
      <c r="J489" s="14"/>
      <c r="K489" s="302"/>
    </row>
    <row r="490" ht="19.5" customHeight="1">
      <c r="A490" s="12"/>
      <c r="C490" s="12"/>
      <c r="D490" s="87"/>
      <c r="F490" s="14"/>
      <c r="G490" s="14"/>
      <c r="H490" s="14"/>
      <c r="I490" s="14"/>
      <c r="J490" s="14"/>
      <c r="K490" s="302"/>
    </row>
    <row r="491" ht="19.5" customHeight="1">
      <c r="A491" s="12"/>
      <c r="C491" s="12"/>
      <c r="D491" s="87"/>
      <c r="F491" s="14"/>
      <c r="G491" s="14"/>
      <c r="H491" s="14"/>
      <c r="I491" s="14"/>
      <c r="J491" s="14"/>
      <c r="K491" s="302"/>
    </row>
    <row r="492" ht="19.5" customHeight="1">
      <c r="A492" s="12"/>
      <c r="C492" s="12"/>
      <c r="D492" s="87"/>
      <c r="F492" s="14"/>
      <c r="G492" s="14"/>
      <c r="H492" s="14"/>
      <c r="I492" s="14"/>
      <c r="J492" s="14"/>
      <c r="K492" s="302"/>
    </row>
    <row r="493" ht="19.5" customHeight="1">
      <c r="A493" s="12"/>
      <c r="C493" s="12"/>
      <c r="D493" s="87"/>
      <c r="F493" s="14"/>
      <c r="G493" s="14"/>
      <c r="H493" s="14"/>
      <c r="I493" s="14"/>
      <c r="J493" s="14"/>
      <c r="K493" s="302"/>
    </row>
    <row r="494" ht="19.5" customHeight="1">
      <c r="A494" s="12"/>
      <c r="C494" s="12"/>
      <c r="D494" s="87"/>
      <c r="F494" s="14"/>
      <c r="G494" s="14"/>
      <c r="H494" s="14"/>
      <c r="I494" s="14"/>
      <c r="J494" s="14"/>
      <c r="K494" s="302"/>
    </row>
    <row r="495" ht="19.5" customHeight="1">
      <c r="A495" s="12"/>
      <c r="C495" s="12"/>
      <c r="D495" s="87"/>
      <c r="F495" s="14"/>
      <c r="G495" s="14"/>
      <c r="H495" s="14"/>
      <c r="I495" s="14"/>
      <c r="J495" s="14"/>
      <c r="K495" s="302"/>
    </row>
    <row r="496" ht="19.5" customHeight="1">
      <c r="A496" s="12"/>
      <c r="C496" s="12"/>
      <c r="D496" s="87"/>
      <c r="F496" s="14"/>
      <c r="G496" s="14"/>
      <c r="H496" s="14"/>
      <c r="I496" s="14"/>
      <c r="J496" s="14"/>
      <c r="K496" s="302"/>
    </row>
    <row r="497" ht="19.5" customHeight="1">
      <c r="A497" s="12"/>
      <c r="C497" s="12"/>
      <c r="D497" s="87"/>
      <c r="F497" s="14"/>
      <c r="G497" s="14"/>
      <c r="H497" s="14"/>
      <c r="I497" s="14"/>
      <c r="J497" s="14"/>
      <c r="K497" s="302"/>
    </row>
    <row r="498" ht="19.5" customHeight="1">
      <c r="A498" s="12"/>
      <c r="C498" s="12"/>
      <c r="D498" s="87"/>
      <c r="F498" s="14"/>
      <c r="G498" s="14"/>
      <c r="H498" s="14"/>
      <c r="I498" s="14"/>
      <c r="J498" s="14"/>
      <c r="K498" s="302"/>
    </row>
    <row r="499" ht="19.5" customHeight="1">
      <c r="A499" s="12"/>
      <c r="C499" s="12"/>
      <c r="D499" s="87"/>
      <c r="F499" s="14"/>
      <c r="G499" s="14"/>
      <c r="H499" s="14"/>
      <c r="I499" s="14"/>
      <c r="J499" s="14"/>
      <c r="K499" s="302"/>
    </row>
    <row r="500" ht="19.5" customHeight="1">
      <c r="A500" s="12"/>
      <c r="C500" s="12"/>
      <c r="D500" s="87"/>
      <c r="F500" s="14"/>
      <c r="G500" s="14"/>
      <c r="H500" s="14"/>
      <c r="I500" s="14"/>
      <c r="J500" s="14"/>
      <c r="K500" s="302"/>
    </row>
    <row r="501" ht="19.5" customHeight="1">
      <c r="A501" s="12"/>
      <c r="C501" s="12"/>
      <c r="D501" s="87"/>
      <c r="F501" s="14"/>
      <c r="G501" s="14"/>
      <c r="H501" s="14"/>
      <c r="I501" s="14"/>
      <c r="J501" s="14"/>
      <c r="K501" s="302"/>
    </row>
    <row r="502" ht="19.5" customHeight="1">
      <c r="A502" s="12"/>
      <c r="C502" s="12"/>
      <c r="D502" s="87"/>
      <c r="F502" s="14"/>
      <c r="G502" s="14"/>
      <c r="H502" s="14"/>
      <c r="I502" s="14"/>
      <c r="J502" s="14"/>
      <c r="K502" s="302"/>
    </row>
    <row r="503" ht="19.5" customHeight="1">
      <c r="A503" s="12"/>
      <c r="C503" s="12"/>
      <c r="D503" s="87"/>
      <c r="F503" s="14"/>
      <c r="G503" s="14"/>
      <c r="H503" s="14"/>
      <c r="I503" s="14"/>
      <c r="J503" s="14"/>
      <c r="K503" s="302"/>
    </row>
    <row r="504" ht="19.5" customHeight="1">
      <c r="A504" s="12"/>
      <c r="C504" s="12"/>
      <c r="D504" s="87"/>
      <c r="F504" s="14"/>
      <c r="G504" s="14"/>
      <c r="H504" s="14"/>
      <c r="I504" s="14"/>
      <c r="J504" s="14"/>
      <c r="K504" s="302"/>
    </row>
    <row r="505" ht="19.5" customHeight="1">
      <c r="A505" s="12"/>
      <c r="C505" s="12"/>
      <c r="D505" s="87"/>
      <c r="F505" s="14"/>
      <c r="G505" s="14"/>
      <c r="H505" s="14"/>
      <c r="I505" s="14"/>
      <c r="J505" s="14"/>
      <c r="K505" s="302"/>
    </row>
    <row r="506" ht="19.5" customHeight="1">
      <c r="A506" s="12"/>
      <c r="C506" s="12"/>
      <c r="D506" s="87"/>
      <c r="F506" s="14"/>
      <c r="G506" s="14"/>
      <c r="H506" s="14"/>
      <c r="I506" s="14"/>
      <c r="J506" s="14"/>
      <c r="K506" s="302"/>
    </row>
    <row r="507" ht="19.5" customHeight="1">
      <c r="A507" s="12"/>
      <c r="C507" s="12"/>
      <c r="D507" s="87"/>
      <c r="F507" s="14"/>
      <c r="G507" s="14"/>
      <c r="H507" s="14"/>
      <c r="I507" s="14"/>
      <c r="J507" s="14"/>
      <c r="K507" s="302"/>
    </row>
    <row r="508" ht="19.5" customHeight="1">
      <c r="A508" s="12"/>
      <c r="C508" s="12"/>
      <c r="D508" s="87"/>
      <c r="F508" s="14"/>
      <c r="G508" s="14"/>
      <c r="H508" s="14"/>
      <c r="I508" s="14"/>
      <c r="J508" s="14"/>
      <c r="K508" s="302"/>
    </row>
    <row r="509" ht="19.5" customHeight="1">
      <c r="A509" s="12"/>
      <c r="C509" s="12"/>
      <c r="D509" s="87"/>
      <c r="F509" s="14"/>
      <c r="G509" s="14"/>
      <c r="H509" s="14"/>
      <c r="I509" s="14"/>
      <c r="J509" s="14"/>
      <c r="K509" s="302"/>
    </row>
    <row r="510" ht="19.5" customHeight="1">
      <c r="A510" s="12"/>
      <c r="C510" s="12"/>
      <c r="D510" s="87"/>
      <c r="F510" s="14"/>
      <c r="G510" s="14"/>
      <c r="H510" s="14"/>
      <c r="I510" s="14"/>
      <c r="J510" s="14"/>
      <c r="K510" s="302"/>
    </row>
    <row r="511" ht="19.5" customHeight="1">
      <c r="A511" s="12"/>
      <c r="C511" s="12"/>
      <c r="D511" s="87"/>
      <c r="F511" s="14"/>
      <c r="G511" s="14"/>
      <c r="H511" s="14"/>
      <c r="I511" s="14"/>
      <c r="J511" s="14"/>
      <c r="K511" s="302"/>
    </row>
    <row r="512" ht="19.5" customHeight="1">
      <c r="A512" s="12"/>
      <c r="C512" s="12"/>
      <c r="D512" s="87"/>
      <c r="F512" s="14"/>
      <c r="G512" s="14"/>
      <c r="H512" s="14"/>
      <c r="I512" s="14"/>
      <c r="J512" s="14"/>
      <c r="K512" s="302"/>
    </row>
    <row r="513" ht="19.5" customHeight="1">
      <c r="A513" s="12"/>
      <c r="C513" s="12"/>
      <c r="D513" s="87"/>
      <c r="F513" s="14"/>
      <c r="G513" s="14"/>
      <c r="H513" s="14"/>
      <c r="I513" s="14"/>
      <c r="J513" s="14"/>
      <c r="K513" s="302"/>
    </row>
    <row r="514" ht="19.5" customHeight="1">
      <c r="A514" s="12"/>
      <c r="C514" s="12"/>
      <c r="D514" s="87"/>
      <c r="F514" s="14"/>
      <c r="G514" s="14"/>
      <c r="H514" s="14"/>
      <c r="I514" s="14"/>
      <c r="J514" s="14"/>
      <c r="K514" s="302"/>
    </row>
    <row r="515" ht="19.5" customHeight="1">
      <c r="A515" s="12"/>
      <c r="C515" s="12"/>
      <c r="D515" s="87"/>
      <c r="F515" s="14"/>
      <c r="G515" s="14"/>
      <c r="H515" s="14"/>
      <c r="I515" s="14"/>
      <c r="J515" s="14"/>
      <c r="K515" s="302"/>
    </row>
    <row r="516" ht="19.5" customHeight="1">
      <c r="A516" s="12"/>
      <c r="C516" s="12"/>
      <c r="D516" s="87"/>
      <c r="F516" s="14"/>
      <c r="G516" s="14"/>
      <c r="H516" s="14"/>
      <c r="I516" s="14"/>
      <c r="J516" s="14"/>
      <c r="K516" s="302"/>
    </row>
    <row r="517" ht="19.5" customHeight="1">
      <c r="A517" s="12"/>
      <c r="C517" s="12"/>
      <c r="D517" s="87"/>
      <c r="F517" s="14"/>
      <c r="G517" s="14"/>
      <c r="H517" s="14"/>
      <c r="I517" s="14"/>
      <c r="J517" s="14"/>
      <c r="K517" s="302"/>
    </row>
    <row r="518" ht="19.5" customHeight="1">
      <c r="A518" s="12"/>
      <c r="C518" s="12"/>
      <c r="D518" s="87"/>
      <c r="F518" s="14"/>
      <c r="G518" s="14"/>
      <c r="H518" s="14"/>
      <c r="I518" s="14"/>
      <c r="J518" s="14"/>
      <c r="K518" s="302"/>
    </row>
    <row r="519" ht="19.5" customHeight="1">
      <c r="A519" s="12"/>
      <c r="C519" s="12"/>
      <c r="D519" s="87"/>
      <c r="F519" s="14"/>
      <c r="G519" s="14"/>
      <c r="H519" s="14"/>
      <c r="I519" s="14"/>
      <c r="J519" s="14"/>
      <c r="K519" s="302"/>
    </row>
    <row r="520" ht="19.5" customHeight="1">
      <c r="A520" s="12"/>
      <c r="C520" s="12"/>
      <c r="D520" s="87"/>
      <c r="F520" s="14"/>
      <c r="G520" s="14"/>
      <c r="H520" s="14"/>
      <c r="I520" s="14"/>
      <c r="J520" s="14"/>
      <c r="K520" s="302"/>
    </row>
    <row r="521" ht="19.5" customHeight="1">
      <c r="A521" s="12"/>
      <c r="C521" s="12"/>
      <c r="D521" s="87"/>
      <c r="F521" s="14"/>
      <c r="G521" s="14"/>
      <c r="H521" s="14"/>
      <c r="I521" s="14"/>
      <c r="J521" s="14"/>
      <c r="K521" s="302"/>
    </row>
    <row r="522" ht="19.5" customHeight="1">
      <c r="A522" s="12"/>
      <c r="C522" s="12"/>
      <c r="D522" s="87"/>
      <c r="F522" s="14"/>
      <c r="G522" s="14"/>
      <c r="H522" s="14"/>
      <c r="I522" s="14"/>
      <c r="J522" s="14"/>
      <c r="K522" s="302"/>
    </row>
    <row r="523" ht="19.5" customHeight="1">
      <c r="A523" s="12"/>
      <c r="C523" s="12"/>
      <c r="D523" s="87"/>
      <c r="F523" s="14"/>
      <c r="G523" s="14"/>
      <c r="H523" s="14"/>
      <c r="I523" s="14"/>
      <c r="J523" s="14"/>
      <c r="K523" s="302"/>
    </row>
    <row r="524" ht="19.5" customHeight="1">
      <c r="A524" s="12"/>
      <c r="C524" s="12"/>
      <c r="D524" s="87"/>
      <c r="F524" s="14"/>
      <c r="G524" s="14"/>
      <c r="H524" s="14"/>
      <c r="I524" s="14"/>
      <c r="J524" s="14"/>
      <c r="K524" s="302"/>
    </row>
    <row r="525" ht="19.5" customHeight="1">
      <c r="A525" s="12"/>
      <c r="C525" s="12"/>
      <c r="D525" s="87"/>
      <c r="F525" s="14"/>
      <c r="G525" s="14"/>
      <c r="H525" s="14"/>
      <c r="I525" s="14"/>
      <c r="J525" s="14"/>
      <c r="K525" s="302"/>
    </row>
    <row r="526" ht="19.5" customHeight="1">
      <c r="A526" s="12"/>
      <c r="C526" s="12"/>
      <c r="D526" s="87"/>
      <c r="F526" s="14"/>
      <c r="G526" s="14"/>
      <c r="H526" s="14"/>
      <c r="I526" s="14"/>
      <c r="J526" s="14"/>
      <c r="K526" s="302"/>
    </row>
    <row r="527" ht="19.5" customHeight="1">
      <c r="A527" s="12"/>
      <c r="C527" s="12"/>
      <c r="D527" s="87"/>
      <c r="F527" s="14"/>
      <c r="G527" s="14"/>
      <c r="H527" s="14"/>
      <c r="I527" s="14"/>
      <c r="J527" s="14"/>
      <c r="K527" s="302"/>
    </row>
    <row r="528" ht="19.5" customHeight="1">
      <c r="A528" s="12"/>
      <c r="C528" s="12"/>
      <c r="D528" s="87"/>
      <c r="F528" s="14"/>
      <c r="G528" s="14"/>
      <c r="H528" s="14"/>
      <c r="I528" s="14"/>
      <c r="J528" s="14"/>
      <c r="K528" s="302"/>
    </row>
    <row r="529" ht="19.5" customHeight="1">
      <c r="A529" s="12"/>
      <c r="C529" s="12"/>
      <c r="D529" s="87"/>
      <c r="F529" s="14"/>
      <c r="G529" s="14"/>
      <c r="H529" s="14"/>
      <c r="I529" s="14"/>
      <c r="J529" s="14"/>
      <c r="K529" s="302"/>
    </row>
    <row r="530" ht="19.5" customHeight="1">
      <c r="A530" s="12"/>
      <c r="C530" s="12"/>
      <c r="D530" s="87"/>
      <c r="F530" s="14"/>
      <c r="G530" s="14"/>
      <c r="H530" s="14"/>
      <c r="I530" s="14"/>
      <c r="J530" s="14"/>
      <c r="K530" s="302"/>
    </row>
    <row r="531" ht="19.5" customHeight="1">
      <c r="A531" s="12"/>
      <c r="C531" s="12"/>
      <c r="D531" s="87"/>
      <c r="F531" s="14"/>
      <c r="G531" s="14"/>
      <c r="H531" s="14"/>
      <c r="I531" s="14"/>
      <c r="J531" s="14"/>
      <c r="K531" s="302"/>
    </row>
    <row r="532" ht="19.5" customHeight="1">
      <c r="A532" s="12"/>
      <c r="C532" s="12"/>
      <c r="D532" s="87"/>
      <c r="F532" s="14"/>
      <c r="G532" s="14"/>
      <c r="H532" s="14"/>
      <c r="I532" s="14"/>
      <c r="J532" s="14"/>
      <c r="K532" s="302"/>
    </row>
    <row r="533" ht="19.5" customHeight="1">
      <c r="A533" s="12"/>
      <c r="C533" s="12"/>
      <c r="D533" s="87"/>
      <c r="F533" s="14"/>
      <c r="G533" s="14"/>
      <c r="H533" s="14"/>
      <c r="I533" s="14"/>
      <c r="J533" s="14"/>
      <c r="K533" s="302"/>
    </row>
    <row r="534" ht="19.5" customHeight="1">
      <c r="A534" s="12"/>
      <c r="C534" s="12"/>
      <c r="D534" s="87"/>
      <c r="F534" s="14"/>
      <c r="G534" s="14"/>
      <c r="H534" s="14"/>
      <c r="I534" s="14"/>
      <c r="J534" s="14"/>
      <c r="K534" s="302"/>
    </row>
    <row r="535" ht="19.5" customHeight="1">
      <c r="A535" s="12"/>
      <c r="C535" s="12"/>
      <c r="D535" s="87"/>
      <c r="F535" s="14"/>
      <c r="G535" s="14"/>
      <c r="H535" s="14"/>
      <c r="I535" s="14"/>
      <c r="J535" s="14"/>
      <c r="K535" s="302"/>
    </row>
    <row r="536" ht="19.5" customHeight="1">
      <c r="A536" s="12"/>
      <c r="C536" s="12"/>
      <c r="D536" s="87"/>
      <c r="F536" s="14"/>
      <c r="G536" s="14"/>
      <c r="H536" s="14"/>
      <c r="I536" s="14"/>
      <c r="J536" s="14"/>
      <c r="K536" s="302"/>
    </row>
    <row r="537" ht="19.5" customHeight="1">
      <c r="A537" s="12"/>
      <c r="C537" s="12"/>
      <c r="D537" s="87"/>
      <c r="F537" s="14"/>
      <c r="G537" s="14"/>
      <c r="H537" s="14"/>
      <c r="I537" s="14"/>
      <c r="J537" s="14"/>
      <c r="K537" s="302"/>
    </row>
    <row r="538" ht="19.5" customHeight="1">
      <c r="A538" s="12"/>
      <c r="C538" s="12"/>
      <c r="D538" s="87"/>
      <c r="F538" s="14"/>
      <c r="G538" s="14"/>
      <c r="H538" s="14"/>
      <c r="I538" s="14"/>
      <c r="J538" s="14"/>
      <c r="K538" s="302"/>
    </row>
    <row r="539" ht="19.5" customHeight="1">
      <c r="A539" s="12"/>
      <c r="C539" s="12"/>
      <c r="D539" s="87"/>
      <c r="F539" s="14"/>
      <c r="G539" s="14"/>
      <c r="H539" s="14"/>
      <c r="I539" s="14"/>
      <c r="J539" s="14"/>
      <c r="K539" s="302"/>
    </row>
    <row r="540" ht="19.5" customHeight="1">
      <c r="A540" s="12"/>
      <c r="C540" s="12"/>
      <c r="D540" s="87"/>
      <c r="F540" s="14"/>
      <c r="G540" s="14"/>
      <c r="H540" s="14"/>
      <c r="I540" s="14"/>
      <c r="J540" s="14"/>
      <c r="K540" s="302"/>
    </row>
    <row r="541" ht="19.5" customHeight="1">
      <c r="A541" s="12"/>
      <c r="C541" s="12"/>
      <c r="D541" s="87"/>
      <c r="F541" s="14"/>
      <c r="G541" s="14"/>
      <c r="H541" s="14"/>
      <c r="I541" s="14"/>
      <c r="J541" s="14"/>
      <c r="K541" s="302"/>
    </row>
    <row r="542" ht="19.5" customHeight="1">
      <c r="A542" s="12"/>
      <c r="C542" s="12"/>
      <c r="D542" s="87"/>
      <c r="F542" s="14"/>
      <c r="G542" s="14"/>
      <c r="H542" s="14"/>
      <c r="I542" s="14"/>
      <c r="J542" s="14"/>
      <c r="K542" s="302"/>
    </row>
    <row r="543" ht="19.5" customHeight="1">
      <c r="A543" s="12"/>
      <c r="C543" s="12"/>
      <c r="D543" s="87"/>
      <c r="F543" s="14"/>
      <c r="G543" s="14"/>
      <c r="H543" s="14"/>
      <c r="I543" s="14"/>
      <c r="J543" s="14"/>
      <c r="K543" s="302"/>
    </row>
    <row r="544" ht="19.5" customHeight="1">
      <c r="A544" s="12"/>
      <c r="C544" s="12"/>
      <c r="D544" s="87"/>
      <c r="F544" s="14"/>
      <c r="G544" s="14"/>
      <c r="H544" s="14"/>
      <c r="I544" s="14"/>
      <c r="J544" s="14"/>
      <c r="K544" s="302"/>
    </row>
    <row r="545" ht="19.5" customHeight="1">
      <c r="A545" s="12"/>
      <c r="C545" s="12"/>
      <c r="D545" s="87"/>
      <c r="F545" s="14"/>
      <c r="G545" s="14"/>
      <c r="H545" s="14"/>
      <c r="I545" s="14"/>
      <c r="J545" s="14"/>
      <c r="K545" s="302"/>
    </row>
    <row r="546" ht="19.5" customHeight="1">
      <c r="A546" s="12"/>
      <c r="C546" s="12"/>
      <c r="D546" s="87"/>
      <c r="F546" s="14"/>
      <c r="G546" s="14"/>
      <c r="H546" s="14"/>
      <c r="I546" s="14"/>
      <c r="J546" s="14"/>
      <c r="K546" s="302"/>
    </row>
    <row r="547" ht="19.5" customHeight="1">
      <c r="A547" s="12"/>
      <c r="C547" s="12"/>
      <c r="D547" s="87"/>
      <c r="F547" s="14"/>
      <c r="G547" s="14"/>
      <c r="H547" s="14"/>
      <c r="I547" s="14"/>
      <c r="J547" s="14"/>
      <c r="K547" s="302"/>
    </row>
    <row r="548" ht="19.5" customHeight="1">
      <c r="A548" s="12"/>
      <c r="C548" s="12"/>
      <c r="D548" s="87"/>
      <c r="F548" s="14"/>
      <c r="G548" s="14"/>
      <c r="H548" s="14"/>
      <c r="I548" s="14"/>
      <c r="J548" s="14"/>
      <c r="K548" s="302"/>
    </row>
    <row r="549" ht="19.5" customHeight="1">
      <c r="A549" s="12"/>
      <c r="C549" s="12"/>
      <c r="D549" s="87"/>
      <c r="F549" s="14"/>
      <c r="G549" s="14"/>
      <c r="H549" s="14"/>
      <c r="I549" s="14"/>
      <c r="J549" s="14"/>
      <c r="K549" s="302"/>
    </row>
    <row r="550" ht="19.5" customHeight="1">
      <c r="A550" s="12"/>
      <c r="C550" s="12"/>
      <c r="D550" s="87"/>
      <c r="F550" s="14"/>
      <c r="G550" s="14"/>
      <c r="H550" s="14"/>
      <c r="I550" s="14"/>
      <c r="J550" s="14"/>
      <c r="K550" s="302"/>
    </row>
    <row r="551" ht="19.5" customHeight="1">
      <c r="A551" s="12"/>
      <c r="C551" s="12"/>
      <c r="D551" s="87"/>
      <c r="F551" s="14"/>
      <c r="G551" s="14"/>
      <c r="H551" s="14"/>
      <c r="I551" s="14"/>
      <c r="J551" s="14"/>
      <c r="K551" s="302"/>
    </row>
    <row r="552" ht="19.5" customHeight="1">
      <c r="A552" s="12"/>
      <c r="C552" s="12"/>
      <c r="D552" s="87"/>
      <c r="F552" s="14"/>
      <c r="G552" s="14"/>
      <c r="H552" s="14"/>
      <c r="I552" s="14"/>
      <c r="J552" s="14"/>
      <c r="K552" s="302"/>
    </row>
    <row r="553" ht="19.5" customHeight="1">
      <c r="A553" s="12"/>
      <c r="C553" s="12"/>
      <c r="D553" s="87"/>
      <c r="F553" s="14"/>
      <c r="G553" s="14"/>
      <c r="H553" s="14"/>
      <c r="I553" s="14"/>
      <c r="J553" s="14"/>
      <c r="K553" s="302"/>
    </row>
    <row r="554" ht="19.5" customHeight="1">
      <c r="A554" s="12"/>
      <c r="C554" s="12"/>
      <c r="D554" s="87"/>
      <c r="F554" s="14"/>
      <c r="G554" s="14"/>
      <c r="H554" s="14"/>
      <c r="I554" s="14"/>
      <c r="J554" s="14"/>
      <c r="K554" s="302"/>
    </row>
    <row r="555" ht="19.5" customHeight="1">
      <c r="A555" s="12"/>
      <c r="C555" s="12"/>
      <c r="D555" s="87"/>
      <c r="F555" s="14"/>
      <c r="G555" s="14"/>
      <c r="H555" s="14"/>
      <c r="I555" s="14"/>
      <c r="J555" s="14"/>
      <c r="K555" s="302"/>
    </row>
    <row r="556" ht="19.5" customHeight="1">
      <c r="A556" s="12"/>
      <c r="C556" s="12"/>
      <c r="D556" s="87"/>
      <c r="F556" s="14"/>
      <c r="G556" s="14"/>
      <c r="H556" s="14"/>
      <c r="I556" s="14"/>
      <c r="J556" s="14"/>
      <c r="K556" s="302"/>
    </row>
    <row r="557" ht="19.5" customHeight="1">
      <c r="A557" s="12"/>
      <c r="C557" s="12"/>
      <c r="D557" s="87"/>
      <c r="F557" s="14"/>
      <c r="G557" s="14"/>
      <c r="H557" s="14"/>
      <c r="I557" s="14"/>
      <c r="J557" s="14"/>
      <c r="K557" s="302"/>
    </row>
    <row r="558" ht="19.5" customHeight="1">
      <c r="A558" s="12"/>
      <c r="C558" s="12"/>
      <c r="D558" s="87"/>
      <c r="F558" s="14"/>
      <c r="G558" s="14"/>
      <c r="H558" s="14"/>
      <c r="I558" s="14"/>
      <c r="J558" s="14"/>
      <c r="K558" s="302"/>
    </row>
    <row r="559" ht="19.5" customHeight="1">
      <c r="A559" s="12"/>
      <c r="C559" s="12"/>
      <c r="D559" s="87"/>
      <c r="F559" s="14"/>
      <c r="G559" s="14"/>
      <c r="H559" s="14"/>
      <c r="I559" s="14"/>
      <c r="J559" s="14"/>
      <c r="K559" s="302"/>
    </row>
    <row r="560" ht="19.5" customHeight="1">
      <c r="A560" s="12"/>
      <c r="C560" s="12"/>
      <c r="D560" s="87"/>
      <c r="F560" s="14"/>
      <c r="G560" s="14"/>
      <c r="H560" s="14"/>
      <c r="I560" s="14"/>
      <c r="J560" s="14"/>
      <c r="K560" s="302"/>
    </row>
    <row r="561" ht="19.5" customHeight="1">
      <c r="A561" s="12"/>
      <c r="C561" s="12"/>
      <c r="D561" s="87"/>
      <c r="F561" s="14"/>
      <c r="G561" s="14"/>
      <c r="H561" s="14"/>
      <c r="I561" s="14"/>
      <c r="J561" s="14"/>
      <c r="K561" s="302"/>
    </row>
    <row r="562" ht="19.5" customHeight="1">
      <c r="A562" s="12"/>
      <c r="C562" s="12"/>
      <c r="D562" s="87"/>
      <c r="F562" s="14"/>
      <c r="G562" s="14"/>
      <c r="H562" s="14"/>
      <c r="I562" s="14"/>
      <c r="J562" s="14"/>
      <c r="K562" s="302"/>
    </row>
    <row r="563" ht="19.5" customHeight="1">
      <c r="A563" s="12"/>
      <c r="C563" s="12"/>
      <c r="D563" s="87"/>
      <c r="F563" s="14"/>
      <c r="G563" s="14"/>
      <c r="H563" s="14"/>
      <c r="I563" s="14"/>
      <c r="J563" s="14"/>
      <c r="K563" s="302"/>
    </row>
    <row r="564" ht="19.5" customHeight="1">
      <c r="A564" s="12"/>
      <c r="C564" s="12"/>
      <c r="D564" s="87"/>
      <c r="F564" s="14"/>
      <c r="G564" s="14"/>
      <c r="H564" s="14"/>
      <c r="I564" s="14"/>
      <c r="J564" s="14"/>
      <c r="K564" s="302"/>
    </row>
    <row r="565" ht="19.5" customHeight="1">
      <c r="A565" s="12"/>
      <c r="C565" s="12"/>
      <c r="D565" s="87"/>
      <c r="F565" s="14"/>
      <c r="G565" s="14"/>
      <c r="H565" s="14"/>
      <c r="I565" s="14"/>
      <c r="J565" s="14"/>
      <c r="K565" s="302"/>
    </row>
    <row r="566" ht="19.5" customHeight="1">
      <c r="A566" s="12"/>
      <c r="C566" s="12"/>
      <c r="D566" s="87"/>
      <c r="F566" s="14"/>
      <c r="G566" s="14"/>
      <c r="H566" s="14"/>
      <c r="I566" s="14"/>
      <c r="J566" s="14"/>
      <c r="K566" s="302"/>
    </row>
    <row r="567" ht="19.5" customHeight="1">
      <c r="A567" s="12"/>
      <c r="C567" s="12"/>
      <c r="D567" s="87"/>
      <c r="F567" s="14"/>
      <c r="G567" s="14"/>
      <c r="H567" s="14"/>
      <c r="I567" s="14"/>
      <c r="J567" s="14"/>
      <c r="K567" s="302"/>
    </row>
    <row r="568" ht="19.5" customHeight="1">
      <c r="A568" s="12"/>
      <c r="C568" s="12"/>
      <c r="D568" s="87"/>
      <c r="F568" s="14"/>
      <c r="G568" s="14"/>
      <c r="H568" s="14"/>
      <c r="I568" s="14"/>
      <c r="J568" s="14"/>
      <c r="K568" s="302"/>
    </row>
    <row r="569" ht="19.5" customHeight="1">
      <c r="A569" s="12"/>
      <c r="C569" s="12"/>
      <c r="D569" s="87"/>
      <c r="F569" s="14"/>
      <c r="G569" s="14"/>
      <c r="H569" s="14"/>
      <c r="I569" s="14"/>
      <c r="J569" s="14"/>
      <c r="K569" s="302"/>
    </row>
    <row r="570" ht="19.5" customHeight="1">
      <c r="A570" s="12"/>
      <c r="C570" s="12"/>
      <c r="D570" s="87"/>
      <c r="F570" s="14"/>
      <c r="G570" s="14"/>
      <c r="H570" s="14"/>
      <c r="I570" s="14"/>
      <c r="J570" s="14"/>
      <c r="K570" s="302"/>
    </row>
    <row r="571" ht="19.5" customHeight="1">
      <c r="A571" s="12"/>
      <c r="C571" s="12"/>
      <c r="D571" s="87"/>
      <c r="F571" s="14"/>
      <c r="G571" s="14"/>
      <c r="H571" s="14"/>
      <c r="I571" s="14"/>
      <c r="J571" s="14"/>
      <c r="K571" s="302"/>
    </row>
    <row r="572" ht="19.5" customHeight="1">
      <c r="A572" s="12"/>
      <c r="C572" s="12"/>
      <c r="D572" s="87"/>
      <c r="F572" s="14"/>
      <c r="G572" s="14"/>
      <c r="H572" s="14"/>
      <c r="I572" s="14"/>
      <c r="J572" s="14"/>
      <c r="K572" s="302"/>
    </row>
    <row r="573" ht="19.5" customHeight="1">
      <c r="A573" s="12"/>
      <c r="C573" s="12"/>
      <c r="D573" s="87"/>
      <c r="F573" s="14"/>
      <c r="G573" s="14"/>
      <c r="H573" s="14"/>
      <c r="I573" s="14"/>
      <c r="J573" s="14"/>
      <c r="K573" s="302"/>
    </row>
    <row r="574" ht="19.5" customHeight="1">
      <c r="A574" s="12"/>
      <c r="C574" s="12"/>
      <c r="D574" s="87"/>
      <c r="F574" s="14"/>
      <c r="G574" s="14"/>
      <c r="H574" s="14"/>
      <c r="I574" s="14"/>
      <c r="J574" s="14"/>
      <c r="K574" s="302"/>
    </row>
    <row r="575" ht="19.5" customHeight="1">
      <c r="A575" s="12"/>
      <c r="C575" s="12"/>
      <c r="D575" s="87"/>
      <c r="F575" s="14"/>
      <c r="G575" s="14"/>
      <c r="H575" s="14"/>
      <c r="I575" s="14"/>
      <c r="J575" s="14"/>
      <c r="K575" s="302"/>
    </row>
    <row r="576" ht="19.5" customHeight="1">
      <c r="A576" s="12"/>
      <c r="C576" s="12"/>
      <c r="D576" s="87"/>
      <c r="F576" s="14"/>
      <c r="G576" s="14"/>
      <c r="H576" s="14"/>
      <c r="I576" s="14"/>
      <c r="J576" s="14"/>
      <c r="K576" s="302"/>
    </row>
    <row r="577" ht="19.5" customHeight="1">
      <c r="A577" s="12"/>
      <c r="C577" s="12"/>
      <c r="D577" s="87"/>
      <c r="F577" s="14"/>
      <c r="G577" s="14"/>
      <c r="H577" s="14"/>
      <c r="I577" s="14"/>
      <c r="J577" s="14"/>
      <c r="K577" s="302"/>
    </row>
    <row r="578" ht="19.5" customHeight="1">
      <c r="A578" s="12"/>
      <c r="C578" s="12"/>
      <c r="D578" s="87"/>
      <c r="F578" s="14"/>
      <c r="G578" s="14"/>
      <c r="H578" s="14"/>
      <c r="I578" s="14"/>
      <c r="J578" s="14"/>
      <c r="K578" s="302"/>
    </row>
    <row r="579" ht="19.5" customHeight="1">
      <c r="A579" s="12"/>
      <c r="C579" s="12"/>
      <c r="D579" s="87"/>
      <c r="F579" s="14"/>
      <c r="G579" s="14"/>
      <c r="H579" s="14"/>
      <c r="I579" s="14"/>
      <c r="J579" s="14"/>
      <c r="K579" s="302"/>
    </row>
    <row r="580" ht="19.5" customHeight="1">
      <c r="A580" s="12"/>
      <c r="C580" s="12"/>
      <c r="D580" s="87"/>
      <c r="F580" s="14"/>
      <c r="G580" s="14"/>
      <c r="H580" s="14"/>
      <c r="I580" s="14"/>
      <c r="J580" s="14"/>
      <c r="K580" s="302"/>
    </row>
    <row r="581" ht="19.5" customHeight="1">
      <c r="A581" s="12"/>
      <c r="C581" s="12"/>
      <c r="D581" s="87"/>
      <c r="F581" s="14"/>
      <c r="G581" s="14"/>
      <c r="H581" s="14"/>
      <c r="I581" s="14"/>
      <c r="J581" s="14"/>
      <c r="K581" s="302"/>
    </row>
    <row r="582" ht="19.5" customHeight="1">
      <c r="A582" s="12"/>
      <c r="C582" s="12"/>
      <c r="D582" s="87"/>
      <c r="F582" s="14"/>
      <c r="G582" s="14"/>
      <c r="H582" s="14"/>
      <c r="I582" s="14"/>
      <c r="J582" s="14"/>
      <c r="K582" s="302"/>
    </row>
    <row r="583" ht="19.5" customHeight="1">
      <c r="A583" s="12"/>
      <c r="C583" s="12"/>
      <c r="D583" s="87"/>
      <c r="F583" s="14"/>
      <c r="G583" s="14"/>
      <c r="H583" s="14"/>
      <c r="I583" s="14"/>
      <c r="J583" s="14"/>
      <c r="K583" s="302"/>
    </row>
    <row r="584" ht="19.5" customHeight="1">
      <c r="A584" s="12"/>
      <c r="C584" s="12"/>
      <c r="D584" s="87"/>
      <c r="F584" s="14"/>
      <c r="G584" s="14"/>
      <c r="H584" s="14"/>
      <c r="I584" s="14"/>
      <c r="J584" s="14"/>
      <c r="K584" s="302"/>
    </row>
    <row r="585" ht="19.5" customHeight="1">
      <c r="A585" s="12"/>
      <c r="C585" s="12"/>
      <c r="D585" s="87"/>
      <c r="F585" s="14"/>
      <c r="G585" s="14"/>
      <c r="H585" s="14"/>
      <c r="I585" s="14"/>
      <c r="J585" s="14"/>
      <c r="K585" s="302"/>
    </row>
    <row r="586" ht="19.5" customHeight="1">
      <c r="A586" s="12"/>
      <c r="C586" s="12"/>
      <c r="D586" s="87"/>
      <c r="F586" s="14"/>
      <c r="G586" s="14"/>
      <c r="H586" s="14"/>
      <c r="I586" s="14"/>
      <c r="J586" s="14"/>
      <c r="K586" s="302"/>
    </row>
    <row r="587" ht="19.5" customHeight="1">
      <c r="A587" s="12"/>
      <c r="C587" s="12"/>
      <c r="D587" s="87"/>
      <c r="F587" s="14"/>
      <c r="G587" s="14"/>
      <c r="H587" s="14"/>
      <c r="I587" s="14"/>
      <c r="J587" s="14"/>
      <c r="K587" s="302"/>
    </row>
    <row r="588" ht="19.5" customHeight="1">
      <c r="A588" s="12"/>
      <c r="C588" s="12"/>
      <c r="D588" s="87"/>
      <c r="F588" s="14"/>
      <c r="G588" s="14"/>
      <c r="H588" s="14"/>
      <c r="I588" s="14"/>
      <c r="J588" s="14"/>
      <c r="K588" s="302"/>
    </row>
    <row r="589" ht="19.5" customHeight="1">
      <c r="A589" s="12"/>
      <c r="C589" s="12"/>
      <c r="D589" s="87"/>
      <c r="F589" s="14"/>
      <c r="G589" s="14"/>
      <c r="H589" s="14"/>
      <c r="I589" s="14"/>
      <c r="J589" s="14"/>
      <c r="K589" s="302"/>
    </row>
    <row r="590" ht="19.5" customHeight="1">
      <c r="A590" s="12"/>
      <c r="C590" s="12"/>
      <c r="D590" s="87"/>
      <c r="F590" s="14"/>
      <c r="G590" s="14"/>
      <c r="H590" s="14"/>
      <c r="I590" s="14"/>
      <c r="J590" s="14"/>
      <c r="K590" s="302"/>
    </row>
    <row r="591" ht="19.5" customHeight="1">
      <c r="A591" s="12"/>
      <c r="C591" s="12"/>
      <c r="D591" s="87"/>
      <c r="F591" s="14"/>
      <c r="G591" s="14"/>
      <c r="H591" s="14"/>
      <c r="I591" s="14"/>
      <c r="J591" s="14"/>
      <c r="K591" s="302"/>
    </row>
    <row r="592" ht="19.5" customHeight="1">
      <c r="A592" s="12"/>
      <c r="C592" s="12"/>
      <c r="D592" s="87"/>
      <c r="F592" s="14"/>
      <c r="G592" s="14"/>
      <c r="H592" s="14"/>
      <c r="I592" s="14"/>
      <c r="J592" s="14"/>
      <c r="K592" s="302"/>
    </row>
    <row r="593" ht="19.5" customHeight="1">
      <c r="A593" s="12"/>
      <c r="C593" s="12"/>
      <c r="D593" s="87"/>
      <c r="F593" s="14"/>
      <c r="G593" s="14"/>
      <c r="H593" s="14"/>
      <c r="I593" s="14"/>
      <c r="J593" s="14"/>
      <c r="K593" s="302"/>
    </row>
    <row r="594" ht="19.5" customHeight="1">
      <c r="A594" s="12"/>
      <c r="C594" s="12"/>
      <c r="D594" s="87"/>
      <c r="F594" s="14"/>
      <c r="G594" s="14"/>
      <c r="H594" s="14"/>
      <c r="I594" s="14"/>
      <c r="J594" s="14"/>
      <c r="K594" s="302"/>
    </row>
    <row r="595" ht="19.5" customHeight="1">
      <c r="A595" s="12"/>
      <c r="C595" s="12"/>
      <c r="D595" s="87"/>
      <c r="F595" s="14"/>
      <c r="G595" s="14"/>
      <c r="H595" s="14"/>
      <c r="I595" s="14"/>
      <c r="J595" s="14"/>
      <c r="K595" s="302"/>
    </row>
    <row r="596" ht="19.5" customHeight="1">
      <c r="A596" s="12"/>
      <c r="C596" s="12"/>
      <c r="D596" s="87"/>
      <c r="F596" s="14"/>
      <c r="G596" s="14"/>
      <c r="H596" s="14"/>
      <c r="I596" s="14"/>
      <c r="J596" s="14"/>
      <c r="K596" s="302"/>
    </row>
    <row r="597" ht="19.5" customHeight="1">
      <c r="A597" s="12"/>
      <c r="C597" s="12"/>
      <c r="D597" s="87"/>
      <c r="F597" s="14"/>
      <c r="G597" s="14"/>
      <c r="H597" s="14"/>
      <c r="I597" s="14"/>
      <c r="J597" s="14"/>
      <c r="K597" s="302"/>
    </row>
    <row r="598" ht="19.5" customHeight="1">
      <c r="A598" s="12"/>
      <c r="C598" s="12"/>
      <c r="D598" s="87"/>
      <c r="F598" s="14"/>
      <c r="G598" s="14"/>
      <c r="H598" s="14"/>
      <c r="I598" s="14"/>
      <c r="J598" s="14"/>
      <c r="K598" s="302"/>
    </row>
    <row r="599" ht="19.5" customHeight="1">
      <c r="A599" s="12"/>
      <c r="C599" s="12"/>
      <c r="D599" s="87"/>
      <c r="F599" s="14"/>
      <c r="G599" s="14"/>
      <c r="H599" s="14"/>
      <c r="I599" s="14"/>
      <c r="J599" s="14"/>
      <c r="K599" s="302"/>
    </row>
    <row r="600" ht="19.5" customHeight="1">
      <c r="A600" s="12"/>
      <c r="C600" s="12"/>
      <c r="D600" s="87"/>
      <c r="F600" s="14"/>
      <c r="G600" s="14"/>
      <c r="H600" s="14"/>
      <c r="I600" s="14"/>
      <c r="J600" s="14"/>
      <c r="K600" s="302"/>
    </row>
    <row r="601" ht="19.5" customHeight="1">
      <c r="A601" s="12"/>
      <c r="C601" s="12"/>
      <c r="D601" s="87"/>
      <c r="F601" s="14"/>
      <c r="G601" s="14"/>
      <c r="H601" s="14"/>
      <c r="I601" s="14"/>
      <c r="J601" s="14"/>
      <c r="K601" s="302"/>
    </row>
    <row r="602" ht="19.5" customHeight="1">
      <c r="A602" s="12"/>
      <c r="C602" s="12"/>
      <c r="D602" s="87"/>
      <c r="F602" s="14"/>
      <c r="G602" s="14"/>
      <c r="H602" s="14"/>
      <c r="I602" s="14"/>
      <c r="J602" s="14"/>
      <c r="K602" s="302"/>
    </row>
    <row r="603" ht="19.5" customHeight="1">
      <c r="A603" s="12"/>
      <c r="C603" s="12"/>
      <c r="D603" s="87"/>
      <c r="F603" s="14"/>
      <c r="G603" s="14"/>
      <c r="H603" s="14"/>
      <c r="I603" s="14"/>
      <c r="J603" s="14"/>
      <c r="K603" s="302"/>
    </row>
    <row r="604" ht="19.5" customHeight="1">
      <c r="A604" s="12"/>
      <c r="C604" s="12"/>
      <c r="D604" s="87"/>
      <c r="F604" s="14"/>
      <c r="G604" s="14"/>
      <c r="H604" s="14"/>
      <c r="I604" s="14"/>
      <c r="J604" s="14"/>
      <c r="K604" s="302"/>
    </row>
    <row r="605" ht="19.5" customHeight="1">
      <c r="A605" s="12"/>
      <c r="C605" s="12"/>
      <c r="D605" s="87"/>
      <c r="F605" s="14"/>
      <c r="G605" s="14"/>
      <c r="H605" s="14"/>
      <c r="I605" s="14"/>
      <c r="J605" s="14"/>
      <c r="K605" s="302"/>
    </row>
    <row r="606" ht="19.5" customHeight="1">
      <c r="A606" s="12"/>
      <c r="C606" s="12"/>
      <c r="D606" s="87"/>
      <c r="F606" s="14"/>
      <c r="G606" s="14"/>
      <c r="H606" s="14"/>
      <c r="I606" s="14"/>
      <c r="J606" s="14"/>
      <c r="K606" s="302"/>
    </row>
    <row r="607" ht="19.5" customHeight="1">
      <c r="A607" s="12"/>
      <c r="C607" s="12"/>
      <c r="D607" s="87"/>
      <c r="F607" s="14"/>
      <c r="G607" s="14"/>
      <c r="H607" s="14"/>
      <c r="I607" s="14"/>
      <c r="J607" s="14"/>
      <c r="K607" s="302"/>
    </row>
    <row r="608" ht="19.5" customHeight="1">
      <c r="A608" s="12"/>
      <c r="C608" s="12"/>
      <c r="D608" s="87"/>
      <c r="F608" s="14"/>
      <c r="G608" s="14"/>
      <c r="H608" s="14"/>
      <c r="I608" s="14"/>
      <c r="J608" s="14"/>
      <c r="K608" s="302"/>
    </row>
    <row r="609" ht="19.5" customHeight="1">
      <c r="A609" s="12"/>
      <c r="C609" s="12"/>
      <c r="D609" s="87"/>
      <c r="F609" s="14"/>
      <c r="G609" s="14"/>
      <c r="H609" s="14"/>
      <c r="I609" s="14"/>
      <c r="J609" s="14"/>
      <c r="K609" s="302"/>
    </row>
    <row r="610" ht="19.5" customHeight="1">
      <c r="A610" s="12"/>
      <c r="C610" s="12"/>
      <c r="D610" s="87"/>
      <c r="F610" s="14"/>
      <c r="G610" s="14"/>
      <c r="H610" s="14"/>
      <c r="I610" s="14"/>
      <c r="J610" s="14"/>
      <c r="K610" s="302"/>
    </row>
    <row r="611" ht="19.5" customHeight="1">
      <c r="A611" s="12"/>
      <c r="C611" s="12"/>
      <c r="D611" s="87"/>
      <c r="F611" s="14"/>
      <c r="G611" s="14"/>
      <c r="H611" s="14"/>
      <c r="I611" s="14"/>
      <c r="J611" s="14"/>
      <c r="K611" s="302"/>
    </row>
    <row r="612" ht="19.5" customHeight="1">
      <c r="A612" s="12"/>
      <c r="C612" s="12"/>
      <c r="D612" s="87"/>
      <c r="F612" s="14"/>
      <c r="G612" s="14"/>
      <c r="H612" s="14"/>
      <c r="I612" s="14"/>
      <c r="J612" s="14"/>
      <c r="K612" s="302"/>
    </row>
    <row r="613" ht="19.5" customHeight="1">
      <c r="A613" s="12"/>
      <c r="C613" s="12"/>
      <c r="D613" s="87"/>
      <c r="F613" s="14"/>
      <c r="G613" s="14"/>
      <c r="H613" s="14"/>
      <c r="I613" s="14"/>
      <c r="J613" s="14"/>
      <c r="K613" s="302"/>
    </row>
    <row r="614" ht="19.5" customHeight="1">
      <c r="A614" s="12"/>
      <c r="C614" s="12"/>
      <c r="D614" s="87"/>
      <c r="F614" s="14"/>
      <c r="G614" s="14"/>
      <c r="H614" s="14"/>
      <c r="I614" s="14"/>
      <c r="J614" s="14"/>
      <c r="K614" s="302"/>
    </row>
    <row r="615" ht="19.5" customHeight="1">
      <c r="A615" s="12"/>
      <c r="C615" s="12"/>
      <c r="D615" s="87"/>
      <c r="F615" s="14"/>
      <c r="G615" s="14"/>
      <c r="H615" s="14"/>
      <c r="I615" s="14"/>
      <c r="J615" s="14"/>
      <c r="K615" s="302"/>
    </row>
    <row r="616" ht="19.5" customHeight="1">
      <c r="A616" s="12"/>
      <c r="C616" s="12"/>
      <c r="D616" s="87"/>
      <c r="F616" s="14"/>
      <c r="G616" s="14"/>
      <c r="H616" s="14"/>
      <c r="I616" s="14"/>
      <c r="J616" s="14"/>
      <c r="K616" s="302"/>
    </row>
    <row r="617" ht="19.5" customHeight="1">
      <c r="A617" s="12"/>
      <c r="C617" s="12"/>
      <c r="D617" s="87"/>
      <c r="F617" s="14"/>
      <c r="G617" s="14"/>
      <c r="H617" s="14"/>
      <c r="I617" s="14"/>
      <c r="J617" s="14"/>
      <c r="K617" s="302"/>
    </row>
    <row r="618" ht="19.5" customHeight="1">
      <c r="A618" s="12"/>
      <c r="C618" s="12"/>
      <c r="D618" s="87"/>
      <c r="F618" s="14"/>
      <c r="G618" s="14"/>
      <c r="H618" s="14"/>
      <c r="I618" s="14"/>
      <c r="J618" s="14"/>
      <c r="K618" s="302"/>
    </row>
    <row r="619" ht="19.5" customHeight="1">
      <c r="A619" s="12"/>
      <c r="C619" s="12"/>
      <c r="D619" s="87"/>
      <c r="F619" s="14"/>
      <c r="G619" s="14"/>
      <c r="H619" s="14"/>
      <c r="I619" s="14"/>
      <c r="J619" s="14"/>
      <c r="K619" s="302"/>
    </row>
    <row r="620" ht="19.5" customHeight="1">
      <c r="A620" s="12"/>
      <c r="C620" s="12"/>
      <c r="D620" s="87"/>
      <c r="F620" s="14"/>
      <c r="G620" s="14"/>
      <c r="H620" s="14"/>
      <c r="I620" s="14"/>
      <c r="J620" s="14"/>
      <c r="K620" s="302"/>
    </row>
    <row r="621" ht="19.5" customHeight="1">
      <c r="A621" s="12"/>
      <c r="C621" s="12"/>
      <c r="D621" s="87"/>
      <c r="F621" s="14"/>
      <c r="G621" s="14"/>
      <c r="H621" s="14"/>
      <c r="I621" s="14"/>
      <c r="J621" s="14"/>
      <c r="K621" s="302"/>
    </row>
    <row r="622" ht="19.5" customHeight="1">
      <c r="A622" s="12"/>
      <c r="C622" s="12"/>
      <c r="D622" s="87"/>
      <c r="F622" s="14"/>
      <c r="G622" s="14"/>
      <c r="H622" s="14"/>
      <c r="I622" s="14"/>
      <c r="J622" s="14"/>
      <c r="K622" s="302"/>
    </row>
    <row r="623" ht="19.5" customHeight="1">
      <c r="A623" s="12"/>
      <c r="C623" s="12"/>
      <c r="D623" s="87"/>
      <c r="F623" s="14"/>
      <c r="G623" s="14"/>
      <c r="H623" s="14"/>
      <c r="I623" s="14"/>
      <c r="J623" s="14"/>
      <c r="K623" s="302"/>
    </row>
    <row r="624" ht="19.5" customHeight="1">
      <c r="A624" s="12"/>
      <c r="C624" s="12"/>
      <c r="D624" s="87"/>
      <c r="F624" s="14"/>
      <c r="G624" s="14"/>
      <c r="H624" s="14"/>
      <c r="I624" s="14"/>
      <c r="J624" s="14"/>
      <c r="K624" s="302"/>
    </row>
    <row r="625" ht="19.5" customHeight="1">
      <c r="A625" s="12"/>
      <c r="C625" s="12"/>
      <c r="D625" s="87"/>
      <c r="F625" s="14"/>
      <c r="G625" s="14"/>
      <c r="H625" s="14"/>
      <c r="I625" s="14"/>
      <c r="J625" s="14"/>
      <c r="K625" s="302"/>
    </row>
    <row r="626" ht="19.5" customHeight="1">
      <c r="A626" s="12"/>
      <c r="C626" s="12"/>
      <c r="D626" s="87"/>
      <c r="F626" s="14"/>
      <c r="G626" s="14"/>
      <c r="H626" s="14"/>
      <c r="I626" s="14"/>
      <c r="J626" s="14"/>
      <c r="K626" s="302"/>
    </row>
    <row r="627" ht="19.5" customHeight="1">
      <c r="A627" s="12"/>
      <c r="C627" s="12"/>
      <c r="D627" s="87"/>
      <c r="F627" s="14"/>
      <c r="G627" s="14"/>
      <c r="H627" s="14"/>
      <c r="I627" s="14"/>
      <c r="J627" s="14"/>
      <c r="K627" s="302"/>
    </row>
    <row r="628" ht="19.5" customHeight="1">
      <c r="A628" s="12"/>
      <c r="C628" s="12"/>
      <c r="D628" s="87"/>
      <c r="F628" s="14"/>
      <c r="G628" s="14"/>
      <c r="H628" s="14"/>
      <c r="I628" s="14"/>
      <c r="J628" s="14"/>
      <c r="K628" s="302"/>
    </row>
    <row r="629" ht="19.5" customHeight="1">
      <c r="A629" s="12"/>
      <c r="C629" s="12"/>
      <c r="D629" s="87"/>
      <c r="F629" s="14"/>
      <c r="G629" s="14"/>
      <c r="H629" s="14"/>
      <c r="I629" s="14"/>
      <c r="J629" s="14"/>
      <c r="K629" s="302"/>
    </row>
    <row r="630" ht="19.5" customHeight="1">
      <c r="A630" s="12"/>
      <c r="C630" s="12"/>
      <c r="D630" s="87"/>
      <c r="F630" s="14"/>
      <c r="G630" s="14"/>
      <c r="H630" s="14"/>
      <c r="I630" s="14"/>
      <c r="J630" s="14"/>
      <c r="K630" s="302"/>
    </row>
    <row r="631" ht="19.5" customHeight="1">
      <c r="A631" s="12"/>
      <c r="C631" s="12"/>
      <c r="D631" s="87"/>
      <c r="F631" s="14"/>
      <c r="G631" s="14"/>
      <c r="H631" s="14"/>
      <c r="I631" s="14"/>
      <c r="J631" s="14"/>
      <c r="K631" s="302"/>
    </row>
    <row r="632" ht="19.5" customHeight="1">
      <c r="A632" s="12"/>
      <c r="C632" s="12"/>
      <c r="D632" s="87"/>
      <c r="F632" s="14"/>
      <c r="G632" s="14"/>
      <c r="H632" s="14"/>
      <c r="I632" s="14"/>
      <c r="J632" s="14"/>
      <c r="K632" s="302"/>
    </row>
    <row r="633" ht="19.5" customHeight="1">
      <c r="A633" s="12"/>
      <c r="C633" s="12"/>
      <c r="D633" s="87"/>
      <c r="F633" s="14"/>
      <c r="G633" s="14"/>
      <c r="H633" s="14"/>
      <c r="I633" s="14"/>
      <c r="J633" s="14"/>
      <c r="K633" s="302"/>
    </row>
    <row r="634" ht="19.5" customHeight="1">
      <c r="A634" s="12"/>
      <c r="C634" s="12"/>
      <c r="D634" s="87"/>
      <c r="F634" s="14"/>
      <c r="G634" s="14"/>
      <c r="H634" s="14"/>
      <c r="I634" s="14"/>
      <c r="J634" s="14"/>
      <c r="K634" s="302"/>
    </row>
    <row r="635" ht="19.5" customHeight="1">
      <c r="A635" s="12"/>
      <c r="C635" s="12"/>
      <c r="D635" s="87"/>
      <c r="F635" s="14"/>
      <c r="G635" s="14"/>
      <c r="H635" s="14"/>
      <c r="I635" s="14"/>
      <c r="J635" s="14"/>
      <c r="K635" s="302"/>
    </row>
    <row r="636" ht="19.5" customHeight="1">
      <c r="A636" s="12"/>
      <c r="C636" s="12"/>
      <c r="D636" s="87"/>
      <c r="F636" s="14"/>
      <c r="G636" s="14"/>
      <c r="H636" s="14"/>
      <c r="I636" s="14"/>
      <c r="J636" s="14"/>
      <c r="K636" s="302"/>
    </row>
    <row r="637" ht="19.5" customHeight="1">
      <c r="A637" s="12"/>
      <c r="C637" s="12"/>
      <c r="D637" s="87"/>
      <c r="F637" s="14"/>
      <c r="G637" s="14"/>
      <c r="H637" s="14"/>
      <c r="I637" s="14"/>
      <c r="J637" s="14"/>
      <c r="K637" s="302"/>
    </row>
    <row r="638" ht="19.5" customHeight="1">
      <c r="A638" s="12"/>
      <c r="C638" s="12"/>
      <c r="D638" s="87"/>
      <c r="F638" s="14"/>
      <c r="G638" s="14"/>
      <c r="H638" s="14"/>
      <c r="I638" s="14"/>
      <c r="J638" s="14"/>
      <c r="K638" s="302"/>
    </row>
    <row r="639" ht="19.5" customHeight="1">
      <c r="A639" s="12"/>
      <c r="C639" s="12"/>
      <c r="D639" s="87"/>
      <c r="F639" s="14"/>
      <c r="G639" s="14"/>
      <c r="H639" s="14"/>
      <c r="I639" s="14"/>
      <c r="J639" s="14"/>
      <c r="K639" s="302"/>
    </row>
    <row r="640" ht="19.5" customHeight="1">
      <c r="A640" s="12"/>
      <c r="C640" s="12"/>
      <c r="D640" s="87"/>
      <c r="F640" s="14"/>
      <c r="G640" s="14"/>
      <c r="H640" s="14"/>
      <c r="I640" s="14"/>
      <c r="J640" s="14"/>
      <c r="K640" s="302"/>
    </row>
    <row r="641" ht="19.5" customHeight="1">
      <c r="A641" s="12"/>
      <c r="C641" s="12"/>
      <c r="D641" s="87"/>
      <c r="F641" s="14"/>
      <c r="G641" s="14"/>
      <c r="H641" s="14"/>
      <c r="I641" s="14"/>
      <c r="J641" s="14"/>
      <c r="K641" s="302"/>
    </row>
    <row r="642" ht="19.5" customHeight="1">
      <c r="A642" s="12"/>
      <c r="C642" s="12"/>
      <c r="D642" s="87"/>
      <c r="F642" s="14"/>
      <c r="G642" s="14"/>
      <c r="H642" s="14"/>
      <c r="I642" s="14"/>
      <c r="J642" s="14"/>
      <c r="K642" s="302"/>
    </row>
    <row r="643" ht="19.5" customHeight="1">
      <c r="A643" s="12"/>
      <c r="C643" s="12"/>
      <c r="D643" s="87"/>
      <c r="F643" s="14"/>
      <c r="G643" s="14"/>
      <c r="H643" s="14"/>
      <c r="I643" s="14"/>
      <c r="J643" s="14"/>
      <c r="K643" s="302"/>
    </row>
    <row r="644" ht="19.5" customHeight="1">
      <c r="A644" s="12"/>
      <c r="C644" s="12"/>
      <c r="D644" s="87"/>
      <c r="F644" s="14"/>
      <c r="G644" s="14"/>
      <c r="H644" s="14"/>
      <c r="I644" s="14"/>
      <c r="J644" s="14"/>
      <c r="K644" s="302"/>
    </row>
    <row r="645" ht="19.5" customHeight="1">
      <c r="A645" s="12"/>
      <c r="C645" s="12"/>
      <c r="D645" s="87"/>
      <c r="F645" s="14"/>
      <c r="G645" s="14"/>
      <c r="H645" s="14"/>
      <c r="I645" s="14"/>
      <c r="J645" s="14"/>
      <c r="K645" s="302"/>
    </row>
    <row r="646" ht="19.5" customHeight="1">
      <c r="A646" s="12"/>
      <c r="C646" s="12"/>
      <c r="D646" s="87"/>
      <c r="F646" s="14"/>
      <c r="G646" s="14"/>
      <c r="H646" s="14"/>
      <c r="I646" s="14"/>
      <c r="J646" s="14"/>
      <c r="K646" s="302"/>
    </row>
    <row r="647" ht="19.5" customHeight="1">
      <c r="A647" s="12"/>
      <c r="C647" s="12"/>
      <c r="D647" s="87"/>
      <c r="F647" s="14"/>
      <c r="G647" s="14"/>
      <c r="H647" s="14"/>
      <c r="I647" s="14"/>
      <c r="J647" s="14"/>
      <c r="K647" s="302"/>
    </row>
    <row r="648" ht="19.5" customHeight="1">
      <c r="A648" s="12"/>
      <c r="C648" s="12"/>
      <c r="D648" s="87"/>
      <c r="F648" s="14"/>
      <c r="G648" s="14"/>
      <c r="H648" s="14"/>
      <c r="I648" s="14"/>
      <c r="J648" s="14"/>
      <c r="K648" s="302"/>
    </row>
    <row r="649" ht="19.5" customHeight="1">
      <c r="A649" s="12"/>
      <c r="C649" s="12"/>
      <c r="D649" s="87"/>
      <c r="F649" s="14"/>
      <c r="G649" s="14"/>
      <c r="H649" s="14"/>
      <c r="I649" s="14"/>
      <c r="J649" s="14"/>
      <c r="K649" s="302"/>
    </row>
    <row r="650" ht="19.5" customHeight="1">
      <c r="A650" s="12"/>
      <c r="C650" s="12"/>
      <c r="D650" s="87"/>
      <c r="F650" s="14"/>
      <c r="G650" s="14"/>
      <c r="H650" s="14"/>
      <c r="I650" s="14"/>
      <c r="J650" s="14"/>
      <c r="K650" s="302"/>
    </row>
    <row r="651" ht="19.5" customHeight="1">
      <c r="A651" s="12"/>
      <c r="C651" s="12"/>
      <c r="D651" s="87"/>
      <c r="F651" s="14"/>
      <c r="G651" s="14"/>
      <c r="H651" s="14"/>
      <c r="I651" s="14"/>
      <c r="J651" s="14"/>
      <c r="K651" s="302"/>
    </row>
    <row r="652" ht="19.5" customHeight="1">
      <c r="A652" s="12"/>
      <c r="C652" s="12"/>
      <c r="D652" s="87"/>
      <c r="F652" s="14"/>
      <c r="G652" s="14"/>
      <c r="H652" s="14"/>
      <c r="I652" s="14"/>
      <c r="J652" s="14"/>
      <c r="K652" s="302"/>
    </row>
    <row r="653" ht="19.5" customHeight="1">
      <c r="A653" s="12"/>
      <c r="C653" s="12"/>
      <c r="D653" s="87"/>
      <c r="F653" s="14"/>
      <c r="G653" s="14"/>
      <c r="H653" s="14"/>
      <c r="I653" s="14"/>
      <c r="J653" s="14"/>
      <c r="K653" s="302"/>
    </row>
    <row r="654" ht="19.5" customHeight="1">
      <c r="A654" s="12"/>
      <c r="C654" s="12"/>
      <c r="D654" s="87"/>
      <c r="F654" s="14"/>
      <c r="G654" s="14"/>
      <c r="H654" s="14"/>
      <c r="I654" s="14"/>
      <c r="J654" s="14"/>
      <c r="K654" s="302"/>
    </row>
    <row r="655" ht="19.5" customHeight="1">
      <c r="A655" s="12"/>
      <c r="C655" s="12"/>
      <c r="D655" s="87"/>
      <c r="F655" s="14"/>
      <c r="G655" s="14"/>
      <c r="H655" s="14"/>
      <c r="I655" s="14"/>
      <c r="J655" s="14"/>
      <c r="K655" s="302"/>
    </row>
    <row r="656" ht="19.5" customHeight="1">
      <c r="A656" s="12"/>
      <c r="C656" s="12"/>
      <c r="D656" s="87"/>
      <c r="F656" s="14"/>
      <c r="G656" s="14"/>
      <c r="H656" s="14"/>
      <c r="I656" s="14"/>
      <c r="J656" s="14"/>
      <c r="K656" s="302"/>
    </row>
    <row r="657" ht="19.5" customHeight="1">
      <c r="A657" s="12"/>
      <c r="C657" s="12"/>
      <c r="D657" s="87"/>
      <c r="F657" s="14"/>
      <c r="G657" s="14"/>
      <c r="H657" s="14"/>
      <c r="I657" s="14"/>
      <c r="J657" s="14"/>
      <c r="K657" s="302"/>
    </row>
    <row r="658" ht="19.5" customHeight="1">
      <c r="A658" s="12"/>
      <c r="C658" s="12"/>
      <c r="D658" s="87"/>
      <c r="F658" s="14"/>
      <c r="G658" s="14"/>
      <c r="H658" s="14"/>
      <c r="I658" s="14"/>
      <c r="J658" s="14"/>
      <c r="K658" s="302"/>
    </row>
    <row r="659" ht="19.5" customHeight="1">
      <c r="A659" s="12"/>
      <c r="C659" s="12"/>
      <c r="D659" s="87"/>
      <c r="F659" s="14"/>
      <c r="G659" s="14"/>
      <c r="H659" s="14"/>
      <c r="I659" s="14"/>
      <c r="J659" s="14"/>
      <c r="K659" s="302"/>
    </row>
    <row r="660" ht="19.5" customHeight="1">
      <c r="A660" s="12"/>
      <c r="C660" s="12"/>
      <c r="D660" s="87"/>
      <c r="F660" s="14"/>
      <c r="G660" s="14"/>
      <c r="H660" s="14"/>
      <c r="I660" s="14"/>
      <c r="J660" s="14"/>
      <c r="K660" s="302"/>
    </row>
    <row r="661" ht="19.5" customHeight="1">
      <c r="A661" s="12"/>
      <c r="C661" s="12"/>
      <c r="D661" s="87"/>
      <c r="F661" s="14"/>
      <c r="G661" s="14"/>
      <c r="H661" s="14"/>
      <c r="I661" s="14"/>
      <c r="J661" s="14"/>
      <c r="K661" s="302"/>
    </row>
    <row r="662" ht="19.5" customHeight="1">
      <c r="A662" s="12"/>
      <c r="C662" s="12"/>
      <c r="D662" s="87"/>
      <c r="F662" s="14"/>
      <c r="G662" s="14"/>
      <c r="H662" s="14"/>
      <c r="I662" s="14"/>
      <c r="J662" s="14"/>
      <c r="K662" s="302"/>
    </row>
    <row r="663" ht="19.5" customHeight="1">
      <c r="A663" s="12"/>
      <c r="C663" s="12"/>
      <c r="D663" s="87"/>
      <c r="F663" s="14"/>
      <c r="G663" s="14"/>
      <c r="H663" s="14"/>
      <c r="I663" s="14"/>
      <c r="J663" s="14"/>
      <c r="K663" s="302"/>
    </row>
    <row r="664" ht="19.5" customHeight="1">
      <c r="A664" s="12"/>
      <c r="C664" s="12"/>
      <c r="D664" s="87"/>
      <c r="F664" s="14"/>
      <c r="G664" s="14"/>
      <c r="H664" s="14"/>
      <c r="I664" s="14"/>
      <c r="J664" s="14"/>
      <c r="K664" s="302"/>
    </row>
    <row r="665" ht="19.5" customHeight="1">
      <c r="A665" s="12"/>
      <c r="C665" s="12"/>
      <c r="D665" s="87"/>
      <c r="F665" s="14"/>
      <c r="G665" s="14"/>
      <c r="H665" s="14"/>
      <c r="I665" s="14"/>
      <c r="J665" s="14"/>
      <c r="K665" s="302"/>
    </row>
    <row r="666" ht="19.5" customHeight="1">
      <c r="A666" s="12"/>
      <c r="C666" s="12"/>
      <c r="D666" s="87"/>
      <c r="F666" s="14"/>
      <c r="G666" s="14"/>
      <c r="H666" s="14"/>
      <c r="I666" s="14"/>
      <c r="J666" s="14"/>
      <c r="K666" s="302"/>
    </row>
    <row r="667" ht="19.5" customHeight="1">
      <c r="A667" s="12"/>
      <c r="C667" s="12"/>
      <c r="D667" s="87"/>
      <c r="F667" s="14"/>
      <c r="G667" s="14"/>
      <c r="H667" s="14"/>
      <c r="I667" s="14"/>
      <c r="J667" s="14"/>
      <c r="K667" s="302"/>
    </row>
    <row r="668" ht="19.5" customHeight="1">
      <c r="A668" s="12"/>
      <c r="C668" s="12"/>
      <c r="D668" s="87"/>
      <c r="F668" s="14"/>
      <c r="G668" s="14"/>
      <c r="H668" s="14"/>
      <c r="I668" s="14"/>
      <c r="J668" s="14"/>
      <c r="K668" s="302"/>
    </row>
    <row r="669" ht="19.5" customHeight="1">
      <c r="A669" s="12"/>
      <c r="C669" s="12"/>
      <c r="D669" s="87"/>
      <c r="F669" s="14"/>
      <c r="G669" s="14"/>
      <c r="H669" s="14"/>
      <c r="I669" s="14"/>
      <c r="J669" s="14"/>
      <c r="K669" s="302"/>
    </row>
    <row r="670" ht="19.5" customHeight="1">
      <c r="A670" s="12"/>
      <c r="C670" s="12"/>
      <c r="D670" s="87"/>
      <c r="F670" s="14"/>
      <c r="G670" s="14"/>
      <c r="H670" s="14"/>
      <c r="I670" s="14"/>
      <c r="J670" s="14"/>
      <c r="K670" s="302"/>
    </row>
    <row r="671" ht="19.5" customHeight="1">
      <c r="A671" s="12"/>
      <c r="C671" s="12"/>
      <c r="D671" s="87"/>
      <c r="F671" s="14"/>
      <c r="G671" s="14"/>
      <c r="H671" s="14"/>
      <c r="I671" s="14"/>
      <c r="J671" s="14"/>
      <c r="K671" s="302"/>
    </row>
    <row r="672" ht="19.5" customHeight="1">
      <c r="A672" s="12"/>
      <c r="C672" s="12"/>
      <c r="D672" s="87"/>
      <c r="F672" s="14"/>
      <c r="G672" s="14"/>
      <c r="H672" s="14"/>
      <c r="I672" s="14"/>
      <c r="J672" s="14"/>
      <c r="K672" s="302"/>
    </row>
    <row r="673" ht="19.5" customHeight="1">
      <c r="A673" s="12"/>
      <c r="C673" s="12"/>
      <c r="D673" s="87"/>
      <c r="F673" s="14"/>
      <c r="G673" s="14"/>
      <c r="H673" s="14"/>
      <c r="I673" s="14"/>
      <c r="J673" s="14"/>
      <c r="K673" s="302"/>
    </row>
    <row r="674" ht="19.5" customHeight="1">
      <c r="A674" s="12"/>
      <c r="C674" s="12"/>
      <c r="D674" s="87"/>
      <c r="F674" s="14"/>
      <c r="G674" s="14"/>
      <c r="H674" s="14"/>
      <c r="I674" s="14"/>
      <c r="J674" s="14"/>
      <c r="K674" s="302"/>
    </row>
    <row r="675" ht="19.5" customHeight="1">
      <c r="A675" s="12"/>
      <c r="C675" s="12"/>
      <c r="D675" s="87"/>
      <c r="F675" s="14"/>
      <c r="G675" s="14"/>
      <c r="H675" s="14"/>
      <c r="I675" s="14"/>
      <c r="J675" s="14"/>
      <c r="K675" s="302"/>
    </row>
    <row r="676" ht="19.5" customHeight="1">
      <c r="A676" s="12"/>
      <c r="C676" s="12"/>
      <c r="D676" s="87"/>
      <c r="F676" s="14"/>
      <c r="G676" s="14"/>
      <c r="H676" s="14"/>
      <c r="I676" s="14"/>
      <c r="J676" s="14"/>
      <c r="K676" s="302"/>
    </row>
    <row r="677" ht="19.5" customHeight="1">
      <c r="A677" s="12"/>
      <c r="C677" s="12"/>
      <c r="D677" s="87"/>
      <c r="F677" s="14"/>
      <c r="G677" s="14"/>
      <c r="H677" s="14"/>
      <c r="I677" s="14"/>
      <c r="J677" s="14"/>
      <c r="K677" s="302"/>
    </row>
    <row r="678" ht="19.5" customHeight="1">
      <c r="A678" s="12"/>
      <c r="C678" s="12"/>
      <c r="D678" s="87"/>
      <c r="F678" s="14"/>
      <c r="G678" s="14"/>
      <c r="H678" s="14"/>
      <c r="I678" s="14"/>
      <c r="J678" s="14"/>
      <c r="K678" s="302"/>
    </row>
    <row r="679" ht="19.5" customHeight="1">
      <c r="A679" s="12"/>
      <c r="C679" s="12"/>
      <c r="D679" s="87"/>
      <c r="F679" s="14"/>
      <c r="G679" s="14"/>
      <c r="H679" s="14"/>
      <c r="I679" s="14"/>
      <c r="J679" s="14"/>
      <c r="K679" s="302"/>
    </row>
    <row r="680" ht="19.5" customHeight="1">
      <c r="A680" s="12"/>
      <c r="C680" s="12"/>
      <c r="D680" s="87"/>
      <c r="F680" s="14"/>
      <c r="G680" s="14"/>
      <c r="H680" s="14"/>
      <c r="I680" s="14"/>
      <c r="J680" s="14"/>
      <c r="K680" s="302"/>
    </row>
    <row r="681" ht="19.5" customHeight="1">
      <c r="A681" s="12"/>
      <c r="C681" s="12"/>
      <c r="D681" s="87"/>
      <c r="F681" s="14"/>
      <c r="G681" s="14"/>
      <c r="H681" s="14"/>
      <c r="I681" s="14"/>
      <c r="J681" s="14"/>
      <c r="K681" s="302"/>
    </row>
    <row r="682" ht="19.5" customHeight="1">
      <c r="A682" s="12"/>
      <c r="C682" s="12"/>
      <c r="D682" s="87"/>
      <c r="F682" s="14"/>
      <c r="G682" s="14"/>
      <c r="H682" s="14"/>
      <c r="I682" s="14"/>
      <c r="J682" s="14"/>
      <c r="K682" s="302"/>
    </row>
    <row r="683" ht="19.5" customHeight="1">
      <c r="A683" s="12"/>
      <c r="C683" s="12"/>
      <c r="D683" s="87"/>
      <c r="F683" s="14"/>
      <c r="G683" s="14"/>
      <c r="H683" s="14"/>
      <c r="I683" s="14"/>
      <c r="J683" s="14"/>
      <c r="K683" s="302"/>
    </row>
    <row r="684" ht="19.5" customHeight="1">
      <c r="A684" s="12"/>
      <c r="C684" s="12"/>
      <c r="D684" s="87"/>
      <c r="F684" s="14"/>
      <c r="G684" s="14"/>
      <c r="H684" s="14"/>
      <c r="I684" s="14"/>
      <c r="J684" s="14"/>
      <c r="K684" s="302"/>
    </row>
    <row r="685" ht="19.5" customHeight="1">
      <c r="A685" s="12"/>
      <c r="C685" s="12"/>
      <c r="D685" s="87"/>
      <c r="F685" s="14"/>
      <c r="G685" s="14"/>
      <c r="H685" s="14"/>
      <c r="I685" s="14"/>
      <c r="J685" s="14"/>
      <c r="K685" s="302"/>
    </row>
    <row r="686" ht="19.5" customHeight="1">
      <c r="A686" s="12"/>
      <c r="C686" s="12"/>
      <c r="D686" s="87"/>
      <c r="F686" s="14"/>
      <c r="G686" s="14"/>
      <c r="H686" s="14"/>
      <c r="I686" s="14"/>
      <c r="J686" s="14"/>
      <c r="K686" s="302"/>
    </row>
    <row r="687" ht="19.5" customHeight="1">
      <c r="A687" s="12"/>
      <c r="C687" s="12"/>
      <c r="D687" s="87"/>
      <c r="F687" s="14"/>
      <c r="G687" s="14"/>
      <c r="H687" s="14"/>
      <c r="I687" s="14"/>
      <c r="J687" s="14"/>
      <c r="K687" s="302"/>
    </row>
    <row r="688" ht="19.5" customHeight="1">
      <c r="A688" s="12"/>
      <c r="C688" s="12"/>
      <c r="D688" s="87"/>
      <c r="F688" s="14"/>
      <c r="G688" s="14"/>
      <c r="H688" s="14"/>
      <c r="I688" s="14"/>
      <c r="J688" s="14"/>
      <c r="K688" s="302"/>
    </row>
    <row r="689" ht="19.5" customHeight="1">
      <c r="A689" s="12"/>
      <c r="C689" s="12"/>
      <c r="D689" s="87"/>
      <c r="F689" s="14"/>
      <c r="G689" s="14"/>
      <c r="H689" s="14"/>
      <c r="I689" s="14"/>
      <c r="J689" s="14"/>
      <c r="K689" s="302"/>
    </row>
    <row r="690" ht="19.5" customHeight="1">
      <c r="A690" s="12"/>
      <c r="C690" s="12"/>
      <c r="D690" s="87"/>
      <c r="F690" s="14"/>
      <c r="G690" s="14"/>
      <c r="H690" s="14"/>
      <c r="I690" s="14"/>
      <c r="J690" s="14"/>
      <c r="K690" s="302"/>
    </row>
    <row r="691" ht="19.5" customHeight="1">
      <c r="A691" s="12"/>
      <c r="C691" s="12"/>
      <c r="D691" s="87"/>
      <c r="F691" s="14"/>
      <c r="G691" s="14"/>
      <c r="H691" s="14"/>
      <c r="I691" s="14"/>
      <c r="J691" s="14"/>
      <c r="K691" s="302"/>
    </row>
    <row r="692" ht="19.5" customHeight="1">
      <c r="A692" s="12"/>
      <c r="C692" s="12"/>
      <c r="D692" s="87"/>
      <c r="F692" s="14"/>
      <c r="G692" s="14"/>
      <c r="H692" s="14"/>
      <c r="I692" s="14"/>
      <c r="J692" s="14"/>
      <c r="K692" s="302"/>
    </row>
    <row r="693" ht="19.5" customHeight="1">
      <c r="A693" s="12"/>
      <c r="C693" s="12"/>
      <c r="D693" s="87"/>
      <c r="F693" s="14"/>
      <c r="G693" s="14"/>
      <c r="H693" s="14"/>
      <c r="I693" s="14"/>
      <c r="J693" s="14"/>
      <c r="K693" s="302"/>
    </row>
    <row r="694" ht="19.5" customHeight="1">
      <c r="A694" s="12"/>
      <c r="C694" s="12"/>
      <c r="D694" s="87"/>
      <c r="F694" s="14"/>
      <c r="G694" s="14"/>
      <c r="H694" s="14"/>
      <c r="I694" s="14"/>
      <c r="J694" s="14"/>
      <c r="K694" s="302"/>
    </row>
    <row r="695" ht="19.5" customHeight="1">
      <c r="A695" s="12"/>
      <c r="C695" s="12"/>
      <c r="D695" s="87"/>
      <c r="F695" s="14"/>
      <c r="G695" s="14"/>
      <c r="H695" s="14"/>
      <c r="I695" s="14"/>
      <c r="J695" s="14"/>
      <c r="K695" s="302"/>
    </row>
    <row r="696" ht="19.5" customHeight="1">
      <c r="A696" s="12"/>
      <c r="C696" s="12"/>
      <c r="D696" s="87"/>
      <c r="F696" s="14"/>
      <c r="G696" s="14"/>
      <c r="H696" s="14"/>
      <c r="I696" s="14"/>
      <c r="J696" s="14"/>
      <c r="K696" s="302"/>
    </row>
    <row r="697" ht="19.5" customHeight="1">
      <c r="A697" s="12"/>
      <c r="C697" s="12"/>
      <c r="D697" s="87"/>
      <c r="F697" s="14"/>
      <c r="G697" s="14"/>
      <c r="H697" s="14"/>
      <c r="I697" s="14"/>
      <c r="J697" s="14"/>
      <c r="K697" s="302"/>
    </row>
    <row r="698" ht="19.5" customHeight="1">
      <c r="A698" s="12"/>
      <c r="C698" s="12"/>
      <c r="D698" s="87"/>
      <c r="F698" s="14"/>
      <c r="G698" s="14"/>
      <c r="H698" s="14"/>
      <c r="I698" s="14"/>
      <c r="J698" s="14"/>
      <c r="K698" s="302"/>
    </row>
    <row r="699" ht="19.5" customHeight="1">
      <c r="A699" s="12"/>
      <c r="C699" s="12"/>
      <c r="D699" s="87"/>
      <c r="F699" s="14"/>
      <c r="G699" s="14"/>
      <c r="H699" s="14"/>
      <c r="I699" s="14"/>
      <c r="J699" s="14"/>
      <c r="K699" s="302"/>
    </row>
    <row r="700" ht="19.5" customHeight="1">
      <c r="A700" s="12"/>
      <c r="C700" s="12"/>
      <c r="D700" s="87"/>
      <c r="F700" s="14"/>
      <c r="G700" s="14"/>
      <c r="H700" s="14"/>
      <c r="I700" s="14"/>
      <c r="J700" s="14"/>
      <c r="K700" s="302"/>
    </row>
    <row r="701" ht="19.5" customHeight="1">
      <c r="A701" s="12"/>
      <c r="C701" s="12"/>
      <c r="D701" s="87"/>
      <c r="F701" s="14"/>
      <c r="G701" s="14"/>
      <c r="H701" s="14"/>
      <c r="I701" s="14"/>
      <c r="J701" s="14"/>
      <c r="K701" s="302"/>
    </row>
    <row r="702" ht="19.5" customHeight="1">
      <c r="A702" s="12"/>
      <c r="C702" s="12"/>
      <c r="D702" s="87"/>
      <c r="F702" s="14"/>
      <c r="G702" s="14"/>
      <c r="H702" s="14"/>
      <c r="I702" s="14"/>
      <c r="J702" s="14"/>
      <c r="K702" s="302"/>
    </row>
    <row r="703" ht="19.5" customHeight="1">
      <c r="A703" s="12"/>
      <c r="C703" s="12"/>
      <c r="D703" s="87"/>
      <c r="F703" s="14"/>
      <c r="G703" s="14"/>
      <c r="H703" s="14"/>
      <c r="I703" s="14"/>
      <c r="J703" s="14"/>
      <c r="K703" s="302"/>
    </row>
    <row r="704" ht="19.5" customHeight="1">
      <c r="A704" s="12"/>
      <c r="C704" s="12"/>
      <c r="D704" s="87"/>
      <c r="F704" s="14"/>
      <c r="G704" s="14"/>
      <c r="H704" s="14"/>
      <c r="I704" s="14"/>
      <c r="J704" s="14"/>
      <c r="K704" s="302"/>
    </row>
    <row r="705" ht="19.5" customHeight="1">
      <c r="A705" s="12"/>
      <c r="C705" s="12"/>
      <c r="D705" s="87"/>
      <c r="F705" s="14"/>
      <c r="G705" s="14"/>
      <c r="H705" s="14"/>
      <c r="I705" s="14"/>
      <c r="J705" s="14"/>
      <c r="K705" s="302"/>
    </row>
    <row r="706" ht="19.5" customHeight="1">
      <c r="A706" s="12"/>
      <c r="C706" s="12"/>
      <c r="D706" s="87"/>
      <c r="F706" s="14"/>
      <c r="G706" s="14"/>
      <c r="H706" s="14"/>
      <c r="I706" s="14"/>
      <c r="J706" s="14"/>
      <c r="K706" s="302"/>
    </row>
    <row r="707" ht="19.5" customHeight="1">
      <c r="A707" s="12"/>
      <c r="C707" s="12"/>
      <c r="D707" s="87"/>
      <c r="F707" s="14"/>
      <c r="G707" s="14"/>
      <c r="H707" s="14"/>
      <c r="I707" s="14"/>
      <c r="J707" s="14"/>
      <c r="K707" s="302"/>
    </row>
    <row r="708" ht="19.5" customHeight="1">
      <c r="A708" s="12"/>
      <c r="C708" s="12"/>
      <c r="D708" s="87"/>
      <c r="F708" s="14"/>
      <c r="G708" s="14"/>
      <c r="H708" s="14"/>
      <c r="I708" s="14"/>
      <c r="J708" s="14"/>
      <c r="K708" s="302"/>
    </row>
    <row r="709" ht="19.5" customHeight="1">
      <c r="A709" s="12"/>
      <c r="C709" s="12"/>
      <c r="D709" s="87"/>
      <c r="F709" s="14"/>
      <c r="G709" s="14"/>
      <c r="H709" s="14"/>
      <c r="I709" s="14"/>
      <c r="J709" s="14"/>
      <c r="K709" s="302"/>
    </row>
    <row r="710" ht="19.5" customHeight="1">
      <c r="A710" s="12"/>
      <c r="C710" s="12"/>
      <c r="D710" s="87"/>
      <c r="F710" s="14"/>
      <c r="G710" s="14"/>
      <c r="H710" s="14"/>
      <c r="I710" s="14"/>
      <c r="J710" s="14"/>
      <c r="K710" s="302"/>
    </row>
    <row r="711" ht="19.5" customHeight="1">
      <c r="A711" s="12"/>
      <c r="C711" s="12"/>
      <c r="D711" s="87"/>
      <c r="F711" s="14"/>
      <c r="G711" s="14"/>
      <c r="H711" s="14"/>
      <c r="I711" s="14"/>
      <c r="J711" s="14"/>
      <c r="K711" s="302"/>
    </row>
    <row r="712" ht="19.5" customHeight="1">
      <c r="A712" s="12"/>
      <c r="C712" s="12"/>
      <c r="D712" s="87"/>
      <c r="F712" s="14"/>
      <c r="G712" s="14"/>
      <c r="H712" s="14"/>
      <c r="I712" s="14"/>
      <c r="J712" s="14"/>
      <c r="K712" s="302"/>
    </row>
    <row r="713" ht="19.5" customHeight="1">
      <c r="A713" s="12"/>
      <c r="C713" s="12"/>
      <c r="D713" s="87"/>
      <c r="F713" s="14"/>
      <c r="G713" s="14"/>
      <c r="H713" s="14"/>
      <c r="I713" s="14"/>
      <c r="J713" s="14"/>
      <c r="K713" s="302"/>
    </row>
    <row r="714" ht="19.5" customHeight="1">
      <c r="A714" s="12"/>
      <c r="C714" s="12"/>
      <c r="D714" s="87"/>
      <c r="F714" s="14"/>
      <c r="G714" s="14"/>
      <c r="H714" s="14"/>
      <c r="I714" s="14"/>
      <c r="J714" s="14"/>
      <c r="K714" s="302"/>
    </row>
    <row r="715" ht="19.5" customHeight="1">
      <c r="A715" s="12"/>
      <c r="C715" s="12"/>
      <c r="D715" s="87"/>
      <c r="F715" s="14"/>
      <c r="G715" s="14"/>
      <c r="H715" s="14"/>
      <c r="I715" s="14"/>
      <c r="J715" s="14"/>
      <c r="K715" s="302"/>
    </row>
    <row r="716" ht="19.5" customHeight="1">
      <c r="A716" s="12"/>
      <c r="C716" s="12"/>
      <c r="D716" s="87"/>
      <c r="F716" s="14"/>
      <c r="G716" s="14"/>
      <c r="H716" s="14"/>
      <c r="I716" s="14"/>
      <c r="J716" s="14"/>
      <c r="K716" s="302"/>
    </row>
    <row r="717" ht="19.5" customHeight="1">
      <c r="A717" s="12"/>
      <c r="C717" s="12"/>
      <c r="D717" s="87"/>
      <c r="F717" s="14"/>
      <c r="G717" s="14"/>
      <c r="H717" s="14"/>
      <c r="I717" s="14"/>
      <c r="J717" s="14"/>
      <c r="K717" s="302"/>
    </row>
    <row r="718" ht="19.5" customHeight="1">
      <c r="A718" s="12"/>
      <c r="C718" s="12"/>
      <c r="D718" s="87"/>
      <c r="F718" s="14"/>
      <c r="G718" s="14"/>
      <c r="H718" s="14"/>
      <c r="I718" s="14"/>
      <c r="J718" s="14"/>
      <c r="K718" s="302"/>
    </row>
    <row r="719" ht="19.5" customHeight="1">
      <c r="A719" s="12"/>
      <c r="C719" s="12"/>
      <c r="D719" s="87"/>
      <c r="F719" s="14"/>
      <c r="G719" s="14"/>
      <c r="H719" s="14"/>
      <c r="I719" s="14"/>
      <c r="J719" s="14"/>
      <c r="K719" s="302"/>
    </row>
    <row r="720" ht="19.5" customHeight="1">
      <c r="A720" s="12"/>
      <c r="C720" s="12"/>
      <c r="D720" s="87"/>
      <c r="F720" s="14"/>
      <c r="G720" s="14"/>
      <c r="H720" s="14"/>
      <c r="I720" s="14"/>
      <c r="J720" s="14"/>
      <c r="K720" s="302"/>
    </row>
    <row r="721" ht="19.5" customHeight="1">
      <c r="A721" s="12"/>
      <c r="C721" s="12"/>
      <c r="D721" s="87"/>
      <c r="F721" s="14"/>
      <c r="G721" s="14"/>
      <c r="H721" s="14"/>
      <c r="I721" s="14"/>
      <c r="J721" s="14"/>
      <c r="K721" s="302"/>
    </row>
    <row r="722" ht="19.5" customHeight="1">
      <c r="A722" s="12"/>
      <c r="C722" s="12"/>
      <c r="D722" s="87"/>
      <c r="F722" s="14"/>
      <c r="G722" s="14"/>
      <c r="H722" s="14"/>
      <c r="I722" s="14"/>
      <c r="J722" s="14"/>
      <c r="K722" s="302"/>
    </row>
    <row r="723" ht="19.5" customHeight="1">
      <c r="A723" s="12"/>
      <c r="C723" s="12"/>
      <c r="D723" s="87"/>
      <c r="F723" s="14"/>
      <c r="G723" s="14"/>
      <c r="H723" s="14"/>
      <c r="I723" s="14"/>
      <c r="J723" s="14"/>
      <c r="K723" s="302"/>
    </row>
    <row r="724" ht="19.5" customHeight="1">
      <c r="A724" s="12"/>
      <c r="C724" s="12"/>
      <c r="D724" s="87"/>
      <c r="F724" s="14"/>
      <c r="G724" s="14"/>
      <c r="H724" s="14"/>
      <c r="I724" s="14"/>
      <c r="J724" s="14"/>
      <c r="K724" s="302"/>
    </row>
    <row r="725" ht="19.5" customHeight="1">
      <c r="A725" s="12"/>
      <c r="C725" s="12"/>
      <c r="D725" s="87"/>
      <c r="F725" s="14"/>
      <c r="G725" s="14"/>
      <c r="H725" s="14"/>
      <c r="I725" s="14"/>
      <c r="J725" s="14"/>
      <c r="K725" s="302"/>
    </row>
    <row r="726" ht="19.5" customHeight="1">
      <c r="A726" s="12"/>
      <c r="C726" s="12"/>
      <c r="D726" s="87"/>
      <c r="F726" s="14"/>
      <c r="G726" s="14"/>
      <c r="H726" s="14"/>
      <c r="I726" s="14"/>
      <c r="J726" s="14"/>
      <c r="K726" s="302"/>
    </row>
    <row r="727" ht="19.5" customHeight="1">
      <c r="A727" s="12"/>
      <c r="C727" s="12"/>
      <c r="D727" s="87"/>
      <c r="F727" s="14"/>
      <c r="G727" s="14"/>
      <c r="H727" s="14"/>
      <c r="I727" s="14"/>
      <c r="J727" s="14"/>
      <c r="K727" s="302"/>
    </row>
    <row r="728" ht="19.5" customHeight="1">
      <c r="A728" s="12"/>
      <c r="C728" s="12"/>
      <c r="D728" s="87"/>
      <c r="F728" s="14"/>
      <c r="G728" s="14"/>
      <c r="H728" s="14"/>
      <c r="I728" s="14"/>
      <c r="J728" s="14"/>
      <c r="K728" s="302"/>
    </row>
    <row r="729" ht="19.5" customHeight="1">
      <c r="A729" s="12"/>
      <c r="C729" s="12"/>
      <c r="D729" s="87"/>
      <c r="F729" s="14"/>
      <c r="G729" s="14"/>
      <c r="H729" s="14"/>
      <c r="I729" s="14"/>
      <c r="J729" s="14"/>
      <c r="K729" s="302"/>
    </row>
    <row r="730" ht="19.5" customHeight="1">
      <c r="A730" s="12"/>
      <c r="C730" s="12"/>
      <c r="D730" s="87"/>
      <c r="F730" s="14"/>
      <c r="G730" s="14"/>
      <c r="H730" s="14"/>
      <c r="I730" s="14"/>
      <c r="J730" s="14"/>
      <c r="K730" s="302"/>
    </row>
    <row r="731" ht="19.5" customHeight="1">
      <c r="A731" s="12"/>
      <c r="C731" s="12"/>
      <c r="D731" s="87"/>
      <c r="F731" s="14"/>
      <c r="G731" s="14"/>
      <c r="H731" s="14"/>
      <c r="I731" s="14"/>
      <c r="J731" s="14"/>
      <c r="K731" s="302"/>
    </row>
    <row r="732" ht="19.5" customHeight="1">
      <c r="A732" s="12"/>
      <c r="C732" s="12"/>
      <c r="D732" s="87"/>
      <c r="F732" s="14"/>
      <c r="G732" s="14"/>
      <c r="H732" s="14"/>
      <c r="I732" s="14"/>
      <c r="J732" s="14"/>
      <c r="K732" s="302"/>
    </row>
    <row r="733" ht="19.5" customHeight="1">
      <c r="A733" s="12"/>
      <c r="C733" s="12"/>
      <c r="D733" s="87"/>
      <c r="F733" s="14"/>
      <c r="G733" s="14"/>
      <c r="H733" s="14"/>
      <c r="I733" s="14"/>
      <c r="J733" s="14"/>
      <c r="K733" s="302"/>
    </row>
    <row r="734" ht="19.5" customHeight="1">
      <c r="A734" s="12"/>
      <c r="C734" s="12"/>
      <c r="D734" s="87"/>
      <c r="F734" s="14"/>
      <c r="G734" s="14"/>
      <c r="H734" s="14"/>
      <c r="I734" s="14"/>
      <c r="J734" s="14"/>
      <c r="K734" s="302"/>
    </row>
    <row r="735" ht="19.5" customHeight="1">
      <c r="A735" s="12"/>
      <c r="C735" s="12"/>
      <c r="D735" s="87"/>
      <c r="F735" s="14"/>
      <c r="G735" s="14"/>
      <c r="H735" s="14"/>
      <c r="I735" s="14"/>
      <c r="J735" s="14"/>
      <c r="K735" s="302"/>
    </row>
    <row r="736" ht="19.5" customHeight="1">
      <c r="A736" s="12"/>
      <c r="C736" s="12"/>
      <c r="D736" s="87"/>
      <c r="F736" s="14"/>
      <c r="G736" s="14"/>
      <c r="H736" s="14"/>
      <c r="I736" s="14"/>
      <c r="J736" s="14"/>
      <c r="K736" s="302"/>
    </row>
    <row r="737" ht="19.5" customHeight="1">
      <c r="A737" s="12"/>
      <c r="C737" s="12"/>
      <c r="D737" s="87"/>
      <c r="F737" s="14"/>
      <c r="G737" s="14"/>
      <c r="H737" s="14"/>
      <c r="I737" s="14"/>
      <c r="J737" s="14"/>
      <c r="K737" s="302"/>
    </row>
    <row r="738" ht="19.5" customHeight="1">
      <c r="A738" s="12"/>
      <c r="C738" s="12"/>
      <c r="D738" s="87"/>
      <c r="F738" s="14"/>
      <c r="G738" s="14"/>
      <c r="H738" s="14"/>
      <c r="I738" s="14"/>
      <c r="J738" s="14"/>
      <c r="K738" s="302"/>
    </row>
    <row r="739" ht="19.5" customHeight="1">
      <c r="A739" s="12"/>
      <c r="C739" s="12"/>
      <c r="D739" s="87"/>
      <c r="F739" s="14"/>
      <c r="G739" s="14"/>
      <c r="H739" s="14"/>
      <c r="I739" s="14"/>
      <c r="J739" s="14"/>
      <c r="K739" s="302"/>
    </row>
    <row r="740" ht="19.5" customHeight="1">
      <c r="A740" s="12"/>
      <c r="C740" s="12"/>
      <c r="D740" s="87"/>
      <c r="F740" s="14"/>
      <c r="G740" s="14"/>
      <c r="H740" s="14"/>
      <c r="I740" s="14"/>
      <c r="J740" s="14"/>
      <c r="K740" s="302"/>
    </row>
    <row r="741" ht="19.5" customHeight="1">
      <c r="A741" s="12"/>
      <c r="C741" s="12"/>
      <c r="D741" s="87"/>
      <c r="F741" s="14"/>
      <c r="G741" s="14"/>
      <c r="H741" s="14"/>
      <c r="I741" s="14"/>
      <c r="J741" s="14"/>
      <c r="K741" s="302"/>
    </row>
    <row r="742" ht="19.5" customHeight="1">
      <c r="A742" s="12"/>
      <c r="C742" s="12"/>
      <c r="D742" s="87"/>
      <c r="F742" s="14"/>
      <c r="G742" s="14"/>
      <c r="H742" s="14"/>
      <c r="I742" s="14"/>
      <c r="J742" s="14"/>
      <c r="K742" s="302"/>
    </row>
    <row r="743" ht="19.5" customHeight="1">
      <c r="A743" s="12"/>
      <c r="C743" s="12"/>
      <c r="D743" s="87"/>
      <c r="F743" s="14"/>
      <c r="G743" s="14"/>
      <c r="H743" s="14"/>
      <c r="I743" s="14"/>
      <c r="J743" s="14"/>
      <c r="K743" s="302"/>
    </row>
    <row r="744" ht="19.5" customHeight="1">
      <c r="A744" s="12"/>
      <c r="C744" s="12"/>
      <c r="D744" s="87"/>
      <c r="F744" s="14"/>
      <c r="G744" s="14"/>
      <c r="H744" s="14"/>
      <c r="I744" s="14"/>
      <c r="J744" s="14"/>
      <c r="K744" s="302"/>
    </row>
    <row r="745" ht="19.5" customHeight="1">
      <c r="A745" s="12"/>
      <c r="C745" s="12"/>
      <c r="D745" s="87"/>
      <c r="F745" s="14"/>
      <c r="G745" s="14"/>
      <c r="H745" s="14"/>
      <c r="I745" s="14"/>
      <c r="J745" s="14"/>
      <c r="K745" s="302"/>
    </row>
    <row r="746" ht="19.5" customHeight="1">
      <c r="A746" s="12"/>
      <c r="C746" s="12"/>
      <c r="D746" s="87"/>
      <c r="F746" s="14"/>
      <c r="G746" s="14"/>
      <c r="H746" s="14"/>
      <c r="I746" s="14"/>
      <c r="J746" s="14"/>
      <c r="K746" s="302"/>
    </row>
    <row r="747" ht="19.5" customHeight="1">
      <c r="A747" s="12"/>
      <c r="C747" s="12"/>
      <c r="D747" s="87"/>
      <c r="F747" s="14"/>
      <c r="G747" s="14"/>
      <c r="H747" s="14"/>
      <c r="I747" s="14"/>
      <c r="J747" s="14"/>
      <c r="K747" s="302"/>
    </row>
    <row r="748" ht="19.5" customHeight="1">
      <c r="A748" s="12"/>
      <c r="C748" s="12"/>
      <c r="D748" s="87"/>
      <c r="F748" s="14"/>
      <c r="G748" s="14"/>
      <c r="H748" s="14"/>
      <c r="I748" s="14"/>
      <c r="J748" s="14"/>
      <c r="K748" s="302"/>
    </row>
    <row r="749" ht="19.5" customHeight="1">
      <c r="A749" s="12"/>
      <c r="C749" s="12"/>
      <c r="D749" s="87"/>
      <c r="F749" s="14"/>
      <c r="G749" s="14"/>
      <c r="H749" s="14"/>
      <c r="I749" s="14"/>
      <c r="J749" s="14"/>
      <c r="K749" s="302"/>
    </row>
    <row r="750" ht="19.5" customHeight="1">
      <c r="A750" s="12"/>
      <c r="C750" s="12"/>
      <c r="D750" s="87"/>
      <c r="F750" s="14"/>
      <c r="G750" s="14"/>
      <c r="H750" s="14"/>
      <c r="I750" s="14"/>
      <c r="J750" s="14"/>
      <c r="K750" s="302"/>
    </row>
    <row r="751" ht="19.5" customHeight="1">
      <c r="A751" s="12"/>
      <c r="C751" s="12"/>
      <c r="D751" s="87"/>
      <c r="F751" s="14"/>
      <c r="G751" s="14"/>
      <c r="H751" s="14"/>
      <c r="I751" s="14"/>
      <c r="J751" s="14"/>
      <c r="K751" s="302"/>
    </row>
    <row r="752" ht="19.5" customHeight="1">
      <c r="A752" s="12"/>
      <c r="C752" s="12"/>
      <c r="D752" s="87"/>
      <c r="F752" s="14"/>
      <c r="G752" s="14"/>
      <c r="H752" s="14"/>
      <c r="I752" s="14"/>
      <c r="J752" s="14"/>
      <c r="K752" s="302"/>
    </row>
    <row r="753" ht="19.5" customHeight="1">
      <c r="A753" s="12"/>
      <c r="C753" s="12"/>
      <c r="D753" s="87"/>
      <c r="F753" s="14"/>
      <c r="G753" s="14"/>
      <c r="H753" s="14"/>
      <c r="I753" s="14"/>
      <c r="J753" s="14"/>
      <c r="K753" s="302"/>
    </row>
    <row r="754" ht="19.5" customHeight="1">
      <c r="A754" s="12"/>
      <c r="C754" s="12"/>
      <c r="D754" s="87"/>
      <c r="F754" s="14"/>
      <c r="G754" s="14"/>
      <c r="H754" s="14"/>
      <c r="I754" s="14"/>
      <c r="J754" s="14"/>
      <c r="K754" s="302"/>
    </row>
    <row r="755" ht="19.5" customHeight="1">
      <c r="A755" s="12"/>
      <c r="C755" s="12"/>
      <c r="D755" s="87"/>
      <c r="F755" s="14"/>
      <c r="G755" s="14"/>
      <c r="H755" s="14"/>
      <c r="I755" s="14"/>
      <c r="J755" s="14"/>
      <c r="K755" s="302"/>
    </row>
    <row r="756" ht="19.5" customHeight="1">
      <c r="A756" s="12"/>
      <c r="C756" s="12"/>
      <c r="D756" s="87"/>
      <c r="F756" s="14"/>
      <c r="G756" s="14"/>
      <c r="H756" s="14"/>
      <c r="I756" s="14"/>
      <c r="J756" s="14"/>
      <c r="K756" s="302"/>
    </row>
    <row r="757" ht="19.5" customHeight="1">
      <c r="A757" s="12"/>
      <c r="C757" s="12"/>
      <c r="D757" s="87"/>
      <c r="F757" s="14"/>
      <c r="G757" s="14"/>
      <c r="H757" s="14"/>
      <c r="I757" s="14"/>
      <c r="J757" s="14"/>
      <c r="K757" s="302"/>
    </row>
    <row r="758" ht="19.5" customHeight="1">
      <c r="A758" s="12"/>
      <c r="C758" s="12"/>
      <c r="D758" s="87"/>
      <c r="F758" s="14"/>
      <c r="G758" s="14"/>
      <c r="H758" s="14"/>
      <c r="I758" s="14"/>
      <c r="J758" s="14"/>
      <c r="K758" s="302"/>
    </row>
    <row r="759" ht="19.5" customHeight="1">
      <c r="A759" s="12"/>
      <c r="C759" s="12"/>
      <c r="D759" s="87"/>
      <c r="F759" s="14"/>
      <c r="G759" s="14"/>
      <c r="H759" s="14"/>
      <c r="I759" s="14"/>
      <c r="J759" s="14"/>
      <c r="K759" s="302"/>
    </row>
    <row r="760" ht="19.5" customHeight="1">
      <c r="A760" s="12"/>
      <c r="C760" s="12"/>
      <c r="D760" s="87"/>
      <c r="F760" s="14"/>
      <c r="G760" s="14"/>
      <c r="H760" s="14"/>
      <c r="I760" s="14"/>
      <c r="J760" s="14"/>
      <c r="K760" s="302"/>
    </row>
    <row r="761" ht="19.5" customHeight="1">
      <c r="A761" s="12"/>
      <c r="C761" s="12"/>
      <c r="D761" s="87"/>
      <c r="F761" s="14"/>
      <c r="G761" s="14"/>
      <c r="H761" s="14"/>
      <c r="I761" s="14"/>
      <c r="J761" s="14"/>
      <c r="K761" s="302"/>
    </row>
    <row r="762" ht="19.5" customHeight="1">
      <c r="A762" s="12"/>
      <c r="C762" s="12"/>
      <c r="D762" s="87"/>
      <c r="F762" s="14"/>
      <c r="G762" s="14"/>
      <c r="H762" s="14"/>
      <c r="I762" s="14"/>
      <c r="J762" s="14"/>
      <c r="K762" s="302"/>
    </row>
    <row r="763" ht="19.5" customHeight="1">
      <c r="A763" s="12"/>
      <c r="C763" s="12"/>
      <c r="D763" s="87"/>
      <c r="F763" s="14"/>
      <c r="G763" s="14"/>
      <c r="H763" s="14"/>
      <c r="I763" s="14"/>
      <c r="J763" s="14"/>
      <c r="K763" s="302"/>
    </row>
    <row r="764" ht="19.5" customHeight="1">
      <c r="A764" s="12"/>
      <c r="C764" s="12"/>
      <c r="D764" s="87"/>
      <c r="F764" s="14"/>
      <c r="G764" s="14"/>
      <c r="H764" s="14"/>
      <c r="I764" s="14"/>
      <c r="J764" s="14"/>
      <c r="K764" s="302"/>
    </row>
    <row r="765" ht="19.5" customHeight="1">
      <c r="A765" s="12"/>
      <c r="C765" s="12"/>
      <c r="D765" s="87"/>
      <c r="F765" s="14"/>
      <c r="G765" s="14"/>
      <c r="H765" s="14"/>
      <c r="I765" s="14"/>
      <c r="J765" s="14"/>
      <c r="K765" s="302"/>
    </row>
    <row r="766" ht="19.5" customHeight="1">
      <c r="A766" s="12"/>
      <c r="C766" s="12"/>
      <c r="D766" s="87"/>
      <c r="F766" s="14"/>
      <c r="G766" s="14"/>
      <c r="H766" s="14"/>
      <c r="I766" s="14"/>
      <c r="J766" s="14"/>
      <c r="K766" s="302"/>
    </row>
    <row r="767" ht="19.5" customHeight="1">
      <c r="A767" s="12"/>
      <c r="C767" s="12"/>
      <c r="D767" s="87"/>
      <c r="F767" s="14"/>
      <c r="G767" s="14"/>
      <c r="H767" s="14"/>
      <c r="I767" s="14"/>
      <c r="J767" s="14"/>
      <c r="K767" s="302"/>
    </row>
    <row r="768" ht="19.5" customHeight="1">
      <c r="A768" s="12"/>
      <c r="C768" s="12"/>
      <c r="D768" s="87"/>
      <c r="F768" s="14"/>
      <c r="G768" s="14"/>
      <c r="H768" s="14"/>
      <c r="I768" s="14"/>
      <c r="J768" s="14"/>
      <c r="K768" s="302"/>
    </row>
    <row r="769" ht="19.5" customHeight="1">
      <c r="A769" s="12"/>
      <c r="C769" s="12"/>
      <c r="D769" s="87"/>
      <c r="F769" s="14"/>
      <c r="G769" s="14"/>
      <c r="H769" s="14"/>
      <c r="I769" s="14"/>
      <c r="J769" s="14"/>
      <c r="K769" s="302"/>
    </row>
    <row r="770" ht="19.5" customHeight="1">
      <c r="A770" s="12"/>
      <c r="C770" s="12"/>
      <c r="D770" s="87"/>
      <c r="F770" s="14"/>
      <c r="G770" s="14"/>
      <c r="H770" s="14"/>
      <c r="I770" s="14"/>
      <c r="J770" s="14"/>
      <c r="K770" s="302"/>
    </row>
    <row r="771" ht="19.5" customHeight="1">
      <c r="A771" s="12"/>
      <c r="C771" s="12"/>
      <c r="D771" s="87"/>
      <c r="F771" s="14"/>
      <c r="G771" s="14"/>
      <c r="H771" s="14"/>
      <c r="I771" s="14"/>
      <c r="J771" s="14"/>
      <c r="K771" s="302"/>
    </row>
    <row r="772" ht="19.5" customHeight="1">
      <c r="A772" s="12"/>
      <c r="C772" s="12"/>
      <c r="D772" s="87"/>
      <c r="F772" s="14"/>
      <c r="G772" s="14"/>
      <c r="H772" s="14"/>
      <c r="I772" s="14"/>
      <c r="J772" s="14"/>
      <c r="K772" s="302"/>
    </row>
    <row r="773" ht="19.5" customHeight="1">
      <c r="A773" s="12"/>
      <c r="C773" s="12"/>
      <c r="D773" s="87"/>
      <c r="F773" s="14"/>
      <c r="G773" s="14"/>
      <c r="H773" s="14"/>
      <c r="I773" s="14"/>
      <c r="J773" s="14"/>
      <c r="K773" s="302"/>
    </row>
    <row r="774" ht="19.5" customHeight="1">
      <c r="A774" s="12"/>
      <c r="C774" s="12"/>
      <c r="D774" s="87"/>
      <c r="F774" s="14"/>
      <c r="G774" s="14"/>
      <c r="H774" s="14"/>
      <c r="I774" s="14"/>
      <c r="J774" s="14"/>
      <c r="K774" s="302"/>
    </row>
    <row r="775" ht="19.5" customHeight="1">
      <c r="A775" s="12"/>
      <c r="C775" s="12"/>
      <c r="D775" s="87"/>
      <c r="F775" s="14"/>
      <c r="G775" s="14"/>
      <c r="H775" s="14"/>
      <c r="I775" s="14"/>
      <c r="J775" s="14"/>
      <c r="K775" s="302"/>
    </row>
    <row r="776" ht="19.5" customHeight="1">
      <c r="A776" s="12"/>
      <c r="C776" s="12"/>
      <c r="D776" s="87"/>
      <c r="F776" s="14"/>
      <c r="G776" s="14"/>
      <c r="H776" s="14"/>
      <c r="I776" s="14"/>
      <c r="J776" s="14"/>
      <c r="K776" s="302"/>
    </row>
    <row r="777" ht="19.5" customHeight="1">
      <c r="A777" s="12"/>
      <c r="C777" s="12"/>
      <c r="D777" s="87"/>
      <c r="F777" s="14"/>
      <c r="G777" s="14"/>
      <c r="H777" s="14"/>
      <c r="I777" s="14"/>
      <c r="J777" s="14"/>
      <c r="K777" s="302"/>
    </row>
    <row r="778" ht="19.5" customHeight="1">
      <c r="A778" s="12"/>
      <c r="C778" s="12"/>
      <c r="D778" s="87"/>
      <c r="F778" s="14"/>
      <c r="G778" s="14"/>
      <c r="H778" s="14"/>
      <c r="I778" s="14"/>
      <c r="J778" s="14"/>
      <c r="K778" s="302"/>
    </row>
    <row r="779" ht="19.5" customHeight="1">
      <c r="A779" s="12"/>
      <c r="C779" s="12"/>
      <c r="D779" s="87"/>
      <c r="F779" s="14"/>
      <c r="G779" s="14"/>
      <c r="H779" s="14"/>
      <c r="I779" s="14"/>
      <c r="J779" s="14"/>
      <c r="K779" s="302"/>
    </row>
    <row r="780" ht="19.5" customHeight="1">
      <c r="A780" s="12"/>
      <c r="C780" s="12"/>
      <c r="D780" s="87"/>
      <c r="F780" s="14"/>
      <c r="G780" s="14"/>
      <c r="H780" s="14"/>
      <c r="I780" s="14"/>
      <c r="J780" s="14"/>
      <c r="K780" s="302"/>
    </row>
    <row r="781" ht="19.5" customHeight="1">
      <c r="A781" s="12"/>
      <c r="C781" s="12"/>
      <c r="D781" s="87"/>
      <c r="F781" s="14"/>
      <c r="G781" s="14"/>
      <c r="H781" s="14"/>
      <c r="I781" s="14"/>
      <c r="J781" s="14"/>
      <c r="K781" s="302"/>
    </row>
    <row r="782" ht="19.5" customHeight="1">
      <c r="A782" s="12"/>
      <c r="C782" s="12"/>
      <c r="D782" s="87"/>
      <c r="F782" s="14"/>
      <c r="G782" s="14"/>
      <c r="H782" s="14"/>
      <c r="I782" s="14"/>
      <c r="J782" s="14"/>
      <c r="K782" s="302"/>
    </row>
    <row r="783" ht="19.5" customHeight="1">
      <c r="A783" s="12"/>
      <c r="C783" s="12"/>
      <c r="D783" s="87"/>
      <c r="F783" s="14"/>
      <c r="G783" s="14"/>
      <c r="H783" s="14"/>
      <c r="I783" s="14"/>
      <c r="J783" s="14"/>
      <c r="K783" s="302"/>
    </row>
    <row r="784" ht="19.5" customHeight="1">
      <c r="A784" s="12"/>
      <c r="C784" s="12"/>
      <c r="D784" s="87"/>
      <c r="F784" s="14"/>
      <c r="G784" s="14"/>
      <c r="H784" s="14"/>
      <c r="I784" s="14"/>
      <c r="J784" s="14"/>
      <c r="K784" s="302"/>
    </row>
    <row r="785" ht="19.5" customHeight="1">
      <c r="A785" s="12"/>
      <c r="C785" s="12"/>
      <c r="D785" s="87"/>
      <c r="F785" s="14"/>
      <c r="G785" s="14"/>
      <c r="H785" s="14"/>
      <c r="I785" s="14"/>
      <c r="J785" s="14"/>
      <c r="K785" s="302"/>
    </row>
    <row r="786" ht="19.5" customHeight="1">
      <c r="A786" s="12"/>
      <c r="C786" s="12"/>
      <c r="D786" s="87"/>
      <c r="F786" s="14"/>
      <c r="G786" s="14"/>
      <c r="H786" s="14"/>
      <c r="I786" s="14"/>
      <c r="J786" s="14"/>
      <c r="K786" s="302"/>
    </row>
    <row r="787" ht="19.5" customHeight="1">
      <c r="A787" s="12"/>
      <c r="C787" s="12"/>
      <c r="D787" s="87"/>
      <c r="F787" s="14"/>
      <c r="G787" s="14"/>
      <c r="H787" s="14"/>
      <c r="I787" s="14"/>
      <c r="J787" s="14"/>
      <c r="K787" s="302"/>
    </row>
    <row r="788" ht="19.5" customHeight="1">
      <c r="A788" s="12"/>
      <c r="C788" s="12"/>
      <c r="D788" s="87"/>
      <c r="F788" s="14"/>
      <c r="G788" s="14"/>
      <c r="H788" s="14"/>
      <c r="I788" s="14"/>
      <c r="J788" s="14"/>
      <c r="K788" s="302"/>
    </row>
    <row r="789" ht="19.5" customHeight="1">
      <c r="A789" s="12"/>
      <c r="C789" s="12"/>
      <c r="D789" s="87"/>
      <c r="F789" s="14"/>
      <c r="G789" s="14"/>
      <c r="H789" s="14"/>
      <c r="I789" s="14"/>
      <c r="J789" s="14"/>
      <c r="K789" s="302"/>
    </row>
    <row r="790" ht="19.5" customHeight="1">
      <c r="A790" s="12"/>
      <c r="C790" s="12"/>
      <c r="D790" s="87"/>
      <c r="F790" s="14"/>
      <c r="G790" s="14"/>
      <c r="H790" s="14"/>
      <c r="I790" s="14"/>
      <c r="J790" s="14"/>
      <c r="K790" s="302"/>
    </row>
    <row r="791" ht="19.5" customHeight="1">
      <c r="A791" s="12"/>
      <c r="C791" s="12"/>
      <c r="D791" s="87"/>
      <c r="F791" s="14"/>
      <c r="G791" s="14"/>
      <c r="H791" s="14"/>
      <c r="I791" s="14"/>
      <c r="J791" s="14"/>
      <c r="K791" s="302"/>
    </row>
    <row r="792" ht="19.5" customHeight="1">
      <c r="A792" s="12"/>
      <c r="C792" s="12"/>
      <c r="D792" s="87"/>
      <c r="F792" s="14"/>
      <c r="G792" s="14"/>
      <c r="H792" s="14"/>
      <c r="I792" s="14"/>
      <c r="J792" s="14"/>
      <c r="K792" s="302"/>
    </row>
    <row r="793" ht="19.5" customHeight="1">
      <c r="A793" s="12"/>
      <c r="C793" s="12"/>
      <c r="D793" s="87"/>
      <c r="F793" s="14"/>
      <c r="G793" s="14"/>
      <c r="H793" s="14"/>
      <c r="I793" s="14"/>
      <c r="J793" s="14"/>
      <c r="K793" s="302"/>
    </row>
    <row r="794" ht="19.5" customHeight="1">
      <c r="A794" s="12"/>
      <c r="C794" s="12"/>
      <c r="D794" s="87"/>
      <c r="F794" s="14"/>
      <c r="G794" s="14"/>
      <c r="H794" s="14"/>
      <c r="I794" s="14"/>
      <c r="J794" s="14"/>
      <c r="K794" s="302"/>
    </row>
    <row r="795" ht="19.5" customHeight="1">
      <c r="A795" s="12"/>
      <c r="C795" s="12"/>
      <c r="D795" s="87"/>
      <c r="F795" s="14"/>
      <c r="G795" s="14"/>
      <c r="H795" s="14"/>
      <c r="I795" s="14"/>
      <c r="J795" s="14"/>
      <c r="K795" s="302"/>
    </row>
    <row r="796" ht="19.5" customHeight="1">
      <c r="A796" s="12"/>
      <c r="C796" s="12"/>
      <c r="D796" s="87"/>
      <c r="F796" s="14"/>
      <c r="G796" s="14"/>
      <c r="H796" s="14"/>
      <c r="I796" s="14"/>
      <c r="J796" s="14"/>
      <c r="K796" s="302"/>
    </row>
    <row r="797" ht="19.5" customHeight="1">
      <c r="A797" s="12"/>
      <c r="C797" s="12"/>
      <c r="D797" s="87"/>
      <c r="F797" s="14"/>
      <c r="G797" s="14"/>
      <c r="H797" s="14"/>
      <c r="I797" s="14"/>
      <c r="J797" s="14"/>
      <c r="K797" s="302"/>
    </row>
    <row r="798" ht="19.5" customHeight="1">
      <c r="A798" s="12"/>
      <c r="C798" s="12"/>
      <c r="D798" s="87"/>
      <c r="F798" s="14"/>
      <c r="G798" s="14"/>
      <c r="H798" s="14"/>
      <c r="I798" s="14"/>
      <c r="J798" s="14"/>
      <c r="K798" s="302"/>
    </row>
    <row r="799" ht="19.5" customHeight="1">
      <c r="A799" s="12"/>
      <c r="C799" s="12"/>
      <c r="D799" s="87"/>
      <c r="F799" s="14"/>
      <c r="G799" s="14"/>
      <c r="H799" s="14"/>
      <c r="I799" s="14"/>
      <c r="J799" s="14"/>
      <c r="K799" s="302"/>
    </row>
    <row r="800" ht="19.5" customHeight="1">
      <c r="A800" s="12"/>
      <c r="C800" s="12"/>
      <c r="D800" s="87"/>
      <c r="F800" s="14"/>
      <c r="G800" s="14"/>
      <c r="H800" s="14"/>
      <c r="I800" s="14"/>
      <c r="J800" s="14"/>
      <c r="K800" s="302"/>
    </row>
    <row r="801" ht="19.5" customHeight="1">
      <c r="A801" s="12"/>
      <c r="C801" s="12"/>
      <c r="D801" s="87"/>
      <c r="F801" s="14"/>
      <c r="G801" s="14"/>
      <c r="H801" s="14"/>
      <c r="I801" s="14"/>
      <c r="J801" s="14"/>
      <c r="K801" s="302"/>
    </row>
    <row r="802" ht="19.5" customHeight="1">
      <c r="A802" s="12"/>
      <c r="C802" s="12"/>
      <c r="D802" s="87"/>
      <c r="F802" s="14"/>
      <c r="G802" s="14"/>
      <c r="H802" s="14"/>
      <c r="I802" s="14"/>
      <c r="J802" s="14"/>
      <c r="K802" s="302"/>
    </row>
    <row r="803" ht="19.5" customHeight="1">
      <c r="A803" s="12"/>
      <c r="C803" s="12"/>
      <c r="D803" s="87"/>
      <c r="F803" s="14"/>
      <c r="G803" s="14"/>
      <c r="H803" s="14"/>
      <c r="I803" s="14"/>
      <c r="J803" s="14"/>
      <c r="K803" s="302"/>
    </row>
    <row r="804" ht="19.5" customHeight="1">
      <c r="A804" s="12"/>
      <c r="C804" s="12"/>
      <c r="D804" s="87"/>
      <c r="F804" s="14"/>
      <c r="G804" s="14"/>
      <c r="H804" s="14"/>
      <c r="I804" s="14"/>
      <c r="J804" s="14"/>
      <c r="K804" s="302"/>
    </row>
    <row r="805" ht="19.5" customHeight="1">
      <c r="A805" s="12"/>
      <c r="C805" s="12"/>
      <c r="D805" s="87"/>
      <c r="F805" s="14"/>
      <c r="G805" s="14"/>
      <c r="H805" s="14"/>
      <c r="I805" s="14"/>
      <c r="J805" s="14"/>
      <c r="K805" s="302"/>
    </row>
    <row r="806" ht="19.5" customHeight="1">
      <c r="A806" s="12"/>
      <c r="C806" s="12"/>
      <c r="D806" s="87"/>
      <c r="F806" s="14"/>
      <c r="G806" s="14"/>
      <c r="H806" s="14"/>
      <c r="I806" s="14"/>
      <c r="J806" s="14"/>
      <c r="K806" s="302"/>
    </row>
    <row r="807" ht="19.5" customHeight="1">
      <c r="A807" s="12"/>
      <c r="C807" s="12"/>
      <c r="D807" s="87"/>
      <c r="F807" s="14"/>
      <c r="G807" s="14"/>
      <c r="H807" s="14"/>
      <c r="I807" s="14"/>
      <c r="J807" s="14"/>
      <c r="K807" s="302"/>
    </row>
    <row r="808" ht="19.5" customHeight="1">
      <c r="A808" s="12"/>
      <c r="C808" s="12"/>
      <c r="D808" s="87"/>
      <c r="F808" s="14"/>
      <c r="G808" s="14"/>
      <c r="H808" s="14"/>
      <c r="I808" s="14"/>
      <c r="J808" s="14"/>
      <c r="K808" s="302"/>
    </row>
    <row r="809" ht="19.5" customHeight="1">
      <c r="A809" s="12"/>
      <c r="C809" s="12"/>
      <c r="D809" s="87"/>
      <c r="F809" s="14"/>
      <c r="G809" s="14"/>
      <c r="H809" s="14"/>
      <c r="I809" s="14"/>
      <c r="J809" s="14"/>
      <c r="K809" s="302"/>
    </row>
    <row r="810" ht="19.5" customHeight="1">
      <c r="A810" s="12"/>
      <c r="C810" s="12"/>
      <c r="D810" s="87"/>
      <c r="F810" s="14"/>
      <c r="G810" s="14"/>
      <c r="H810" s="14"/>
      <c r="I810" s="14"/>
      <c r="J810" s="14"/>
      <c r="K810" s="302"/>
    </row>
    <row r="811" ht="19.5" customHeight="1">
      <c r="A811" s="12"/>
      <c r="C811" s="12"/>
      <c r="D811" s="87"/>
      <c r="F811" s="14"/>
      <c r="G811" s="14"/>
      <c r="H811" s="14"/>
      <c r="I811" s="14"/>
      <c r="J811" s="14"/>
      <c r="K811" s="302"/>
    </row>
    <row r="812" ht="19.5" customHeight="1">
      <c r="A812" s="12"/>
      <c r="C812" s="12"/>
      <c r="D812" s="87"/>
      <c r="F812" s="14"/>
      <c r="G812" s="14"/>
      <c r="H812" s="14"/>
      <c r="I812" s="14"/>
      <c r="J812" s="14"/>
      <c r="K812" s="302"/>
    </row>
    <row r="813" ht="19.5" customHeight="1">
      <c r="A813" s="12"/>
      <c r="C813" s="12"/>
      <c r="D813" s="87"/>
      <c r="F813" s="14"/>
      <c r="G813" s="14"/>
      <c r="H813" s="14"/>
      <c r="I813" s="14"/>
      <c r="J813" s="14"/>
      <c r="K813" s="302"/>
    </row>
    <row r="814" ht="19.5" customHeight="1">
      <c r="A814" s="12"/>
      <c r="C814" s="12"/>
      <c r="D814" s="87"/>
      <c r="F814" s="14"/>
      <c r="G814" s="14"/>
      <c r="H814" s="14"/>
      <c r="I814" s="14"/>
      <c r="J814" s="14"/>
      <c r="K814" s="302"/>
    </row>
    <row r="815" ht="19.5" customHeight="1">
      <c r="A815" s="12"/>
      <c r="C815" s="12"/>
      <c r="D815" s="87"/>
      <c r="F815" s="14"/>
      <c r="G815" s="14"/>
      <c r="H815" s="14"/>
      <c r="I815" s="14"/>
      <c r="J815" s="14"/>
      <c r="K815" s="302"/>
    </row>
    <row r="816" ht="19.5" customHeight="1">
      <c r="A816" s="12"/>
      <c r="C816" s="12"/>
      <c r="D816" s="87"/>
      <c r="F816" s="14"/>
      <c r="G816" s="14"/>
      <c r="H816" s="14"/>
      <c r="I816" s="14"/>
      <c r="J816" s="14"/>
      <c r="K816" s="302"/>
    </row>
    <row r="817" ht="19.5" customHeight="1">
      <c r="A817" s="12"/>
      <c r="C817" s="12"/>
      <c r="D817" s="87"/>
      <c r="F817" s="14"/>
      <c r="G817" s="14"/>
      <c r="H817" s="14"/>
      <c r="I817" s="14"/>
      <c r="J817" s="14"/>
      <c r="K817" s="302"/>
    </row>
    <row r="818" ht="19.5" customHeight="1">
      <c r="A818" s="12"/>
      <c r="C818" s="12"/>
      <c r="D818" s="87"/>
      <c r="F818" s="14"/>
      <c r="G818" s="14"/>
      <c r="H818" s="14"/>
      <c r="I818" s="14"/>
      <c r="J818" s="14"/>
      <c r="K818" s="302"/>
    </row>
    <row r="819" ht="19.5" customHeight="1">
      <c r="A819" s="12"/>
      <c r="C819" s="12"/>
      <c r="D819" s="87"/>
      <c r="F819" s="14"/>
      <c r="G819" s="14"/>
      <c r="H819" s="14"/>
      <c r="I819" s="14"/>
      <c r="J819" s="14"/>
      <c r="K819" s="302"/>
    </row>
    <row r="820" ht="19.5" customHeight="1">
      <c r="A820" s="12"/>
      <c r="C820" s="12"/>
      <c r="D820" s="87"/>
      <c r="F820" s="14"/>
      <c r="G820" s="14"/>
      <c r="H820" s="14"/>
      <c r="I820" s="14"/>
      <c r="J820" s="14"/>
      <c r="K820" s="302"/>
    </row>
    <row r="821" ht="19.5" customHeight="1">
      <c r="A821" s="12"/>
      <c r="C821" s="12"/>
      <c r="D821" s="87"/>
      <c r="F821" s="14"/>
      <c r="G821" s="14"/>
      <c r="H821" s="14"/>
      <c r="I821" s="14"/>
      <c r="J821" s="14"/>
      <c r="K821" s="302"/>
    </row>
    <row r="822" ht="19.5" customHeight="1">
      <c r="A822" s="12"/>
      <c r="C822" s="12"/>
      <c r="D822" s="87"/>
      <c r="F822" s="14"/>
      <c r="G822" s="14"/>
      <c r="H822" s="14"/>
      <c r="I822" s="14"/>
      <c r="J822" s="14"/>
      <c r="K822" s="302"/>
    </row>
    <row r="823" ht="19.5" customHeight="1">
      <c r="A823" s="12"/>
      <c r="C823" s="12"/>
      <c r="D823" s="87"/>
      <c r="F823" s="14"/>
      <c r="G823" s="14"/>
      <c r="H823" s="14"/>
      <c r="I823" s="14"/>
      <c r="J823" s="14"/>
      <c r="K823" s="302"/>
    </row>
    <row r="824" ht="19.5" customHeight="1">
      <c r="A824" s="12"/>
      <c r="C824" s="12"/>
      <c r="D824" s="87"/>
      <c r="F824" s="14"/>
      <c r="G824" s="14"/>
      <c r="H824" s="14"/>
      <c r="I824" s="14"/>
      <c r="J824" s="14"/>
      <c r="K824" s="302"/>
    </row>
    <row r="825" ht="19.5" customHeight="1">
      <c r="A825" s="12"/>
      <c r="C825" s="12"/>
      <c r="D825" s="87"/>
      <c r="F825" s="14"/>
      <c r="G825" s="14"/>
      <c r="H825" s="14"/>
      <c r="I825" s="14"/>
      <c r="J825" s="14"/>
      <c r="K825" s="302"/>
    </row>
    <row r="826" ht="19.5" customHeight="1">
      <c r="A826" s="12"/>
      <c r="C826" s="12"/>
      <c r="D826" s="87"/>
      <c r="F826" s="14"/>
      <c r="G826" s="14"/>
      <c r="H826" s="14"/>
      <c r="I826" s="14"/>
      <c r="J826" s="14"/>
      <c r="K826" s="302"/>
    </row>
    <row r="827" ht="19.5" customHeight="1">
      <c r="A827" s="12"/>
      <c r="C827" s="12"/>
      <c r="D827" s="87"/>
      <c r="F827" s="14"/>
      <c r="G827" s="14"/>
      <c r="H827" s="14"/>
      <c r="I827" s="14"/>
      <c r="J827" s="14"/>
      <c r="K827" s="302"/>
    </row>
    <row r="828" ht="19.5" customHeight="1">
      <c r="A828" s="12"/>
      <c r="C828" s="12"/>
      <c r="D828" s="87"/>
      <c r="F828" s="14"/>
      <c r="G828" s="14"/>
      <c r="H828" s="14"/>
      <c r="I828" s="14"/>
      <c r="J828" s="14"/>
      <c r="K828" s="302"/>
    </row>
    <row r="829" ht="19.5" customHeight="1">
      <c r="A829" s="12"/>
      <c r="C829" s="12"/>
      <c r="D829" s="87"/>
      <c r="F829" s="14"/>
      <c r="G829" s="14"/>
      <c r="H829" s="14"/>
      <c r="I829" s="14"/>
      <c r="J829" s="14"/>
      <c r="K829" s="302"/>
    </row>
    <row r="830" ht="19.5" customHeight="1">
      <c r="A830" s="12"/>
      <c r="C830" s="12"/>
      <c r="D830" s="87"/>
      <c r="F830" s="14"/>
      <c r="G830" s="14"/>
      <c r="H830" s="14"/>
      <c r="I830" s="14"/>
      <c r="J830" s="14"/>
      <c r="K830" s="302"/>
    </row>
    <row r="831" ht="19.5" customHeight="1">
      <c r="A831" s="12"/>
      <c r="C831" s="12"/>
      <c r="D831" s="87"/>
      <c r="F831" s="14"/>
      <c r="G831" s="14"/>
      <c r="H831" s="14"/>
      <c r="I831" s="14"/>
      <c r="J831" s="14"/>
      <c r="K831" s="302"/>
    </row>
    <row r="832" ht="19.5" customHeight="1">
      <c r="A832" s="12"/>
      <c r="C832" s="12"/>
      <c r="D832" s="87"/>
      <c r="F832" s="14"/>
      <c r="G832" s="14"/>
      <c r="H832" s="14"/>
      <c r="I832" s="14"/>
      <c r="J832" s="14"/>
      <c r="K832" s="302"/>
    </row>
    <row r="833" ht="19.5" customHeight="1">
      <c r="A833" s="12"/>
      <c r="C833" s="12"/>
      <c r="D833" s="87"/>
      <c r="F833" s="14"/>
      <c r="G833" s="14"/>
      <c r="H833" s="14"/>
      <c r="I833" s="14"/>
      <c r="J833" s="14"/>
      <c r="K833" s="302"/>
    </row>
    <row r="834" ht="19.5" customHeight="1">
      <c r="A834" s="12"/>
      <c r="C834" s="12"/>
      <c r="D834" s="87"/>
      <c r="F834" s="14"/>
      <c r="G834" s="14"/>
      <c r="H834" s="14"/>
      <c r="I834" s="14"/>
      <c r="J834" s="14"/>
      <c r="K834" s="302"/>
    </row>
    <row r="835" ht="19.5" customHeight="1">
      <c r="A835" s="12"/>
      <c r="C835" s="12"/>
      <c r="D835" s="87"/>
      <c r="F835" s="14"/>
      <c r="G835" s="14"/>
      <c r="H835" s="14"/>
      <c r="I835" s="14"/>
      <c r="J835" s="14"/>
      <c r="K835" s="302"/>
    </row>
    <row r="836" ht="19.5" customHeight="1">
      <c r="A836" s="12"/>
      <c r="C836" s="12"/>
      <c r="D836" s="87"/>
      <c r="F836" s="14"/>
      <c r="G836" s="14"/>
      <c r="H836" s="14"/>
      <c r="I836" s="14"/>
      <c r="J836" s="14"/>
      <c r="K836" s="302"/>
    </row>
    <row r="837" ht="19.5" customHeight="1">
      <c r="A837" s="12"/>
      <c r="C837" s="12"/>
      <c r="D837" s="87"/>
      <c r="F837" s="14"/>
      <c r="G837" s="14"/>
      <c r="H837" s="14"/>
      <c r="I837" s="14"/>
      <c r="J837" s="14"/>
      <c r="K837" s="302"/>
    </row>
    <row r="838" ht="19.5" customHeight="1">
      <c r="A838" s="12"/>
      <c r="C838" s="12"/>
      <c r="D838" s="87"/>
      <c r="F838" s="14"/>
      <c r="G838" s="14"/>
      <c r="H838" s="14"/>
      <c r="I838" s="14"/>
      <c r="J838" s="14"/>
      <c r="K838" s="302"/>
    </row>
    <row r="839" ht="19.5" customHeight="1">
      <c r="A839" s="12"/>
      <c r="C839" s="12"/>
      <c r="D839" s="87"/>
      <c r="F839" s="14"/>
      <c r="G839" s="14"/>
      <c r="H839" s="14"/>
      <c r="I839" s="14"/>
      <c r="J839" s="14"/>
      <c r="K839" s="302"/>
    </row>
    <row r="840" ht="19.5" customHeight="1">
      <c r="A840" s="12"/>
      <c r="C840" s="12"/>
      <c r="D840" s="87"/>
      <c r="F840" s="14"/>
      <c r="G840" s="14"/>
      <c r="H840" s="14"/>
      <c r="I840" s="14"/>
      <c r="J840" s="14"/>
      <c r="K840" s="302"/>
    </row>
    <row r="841" ht="19.5" customHeight="1">
      <c r="A841" s="12"/>
      <c r="C841" s="12"/>
      <c r="D841" s="87"/>
      <c r="F841" s="14"/>
      <c r="G841" s="14"/>
      <c r="H841" s="14"/>
      <c r="I841" s="14"/>
      <c r="J841" s="14"/>
      <c r="K841" s="302"/>
    </row>
    <row r="842" ht="19.5" customHeight="1">
      <c r="A842" s="12"/>
      <c r="C842" s="12"/>
      <c r="D842" s="87"/>
      <c r="F842" s="14"/>
      <c r="G842" s="14"/>
      <c r="H842" s="14"/>
      <c r="I842" s="14"/>
      <c r="J842" s="14"/>
      <c r="K842" s="302"/>
    </row>
    <row r="843" ht="19.5" customHeight="1">
      <c r="A843" s="12"/>
      <c r="C843" s="12"/>
      <c r="D843" s="87"/>
      <c r="F843" s="14"/>
      <c r="G843" s="14"/>
      <c r="H843" s="14"/>
      <c r="I843" s="14"/>
      <c r="J843" s="14"/>
      <c r="K843" s="302"/>
    </row>
    <row r="844" ht="19.5" customHeight="1">
      <c r="A844" s="12"/>
      <c r="C844" s="12"/>
      <c r="D844" s="87"/>
      <c r="F844" s="14"/>
      <c r="G844" s="14"/>
      <c r="H844" s="14"/>
      <c r="I844" s="14"/>
      <c r="J844" s="14"/>
      <c r="K844" s="302"/>
    </row>
    <row r="845" ht="19.5" customHeight="1">
      <c r="A845" s="12"/>
      <c r="C845" s="12"/>
      <c r="D845" s="87"/>
      <c r="F845" s="14"/>
      <c r="G845" s="14"/>
      <c r="H845" s="14"/>
      <c r="I845" s="14"/>
      <c r="J845" s="14"/>
      <c r="K845" s="302"/>
    </row>
    <row r="846" ht="19.5" customHeight="1">
      <c r="A846" s="12"/>
      <c r="C846" s="12"/>
      <c r="D846" s="87"/>
      <c r="F846" s="14"/>
      <c r="G846" s="14"/>
      <c r="H846" s="14"/>
      <c r="I846" s="14"/>
      <c r="J846" s="14"/>
      <c r="K846" s="302"/>
    </row>
    <row r="847" ht="19.5" customHeight="1">
      <c r="A847" s="12"/>
      <c r="C847" s="12"/>
      <c r="D847" s="87"/>
      <c r="F847" s="14"/>
      <c r="G847" s="14"/>
      <c r="H847" s="14"/>
      <c r="I847" s="14"/>
      <c r="J847" s="14"/>
      <c r="K847" s="302"/>
    </row>
    <row r="848" ht="19.5" customHeight="1">
      <c r="A848" s="12"/>
      <c r="C848" s="12"/>
      <c r="D848" s="87"/>
      <c r="F848" s="14"/>
      <c r="G848" s="14"/>
      <c r="H848" s="14"/>
      <c r="I848" s="14"/>
      <c r="J848" s="14"/>
      <c r="K848" s="302"/>
    </row>
    <row r="849" ht="19.5" customHeight="1">
      <c r="A849" s="12"/>
      <c r="C849" s="12"/>
      <c r="D849" s="87"/>
      <c r="F849" s="14"/>
      <c r="G849" s="14"/>
      <c r="H849" s="14"/>
      <c r="I849" s="14"/>
      <c r="J849" s="14"/>
      <c r="K849" s="302"/>
    </row>
    <row r="850" ht="19.5" customHeight="1">
      <c r="A850" s="12"/>
      <c r="C850" s="12"/>
      <c r="D850" s="87"/>
      <c r="F850" s="14"/>
      <c r="G850" s="14"/>
      <c r="H850" s="14"/>
      <c r="I850" s="14"/>
      <c r="J850" s="14"/>
      <c r="K850" s="302"/>
    </row>
    <row r="851" ht="19.5" customHeight="1">
      <c r="A851" s="12"/>
      <c r="C851" s="12"/>
      <c r="D851" s="87"/>
      <c r="F851" s="14"/>
      <c r="G851" s="14"/>
      <c r="H851" s="14"/>
      <c r="I851" s="14"/>
      <c r="J851" s="14"/>
      <c r="K851" s="302"/>
    </row>
    <row r="852" ht="19.5" customHeight="1">
      <c r="A852" s="12"/>
      <c r="C852" s="12"/>
      <c r="D852" s="87"/>
      <c r="F852" s="14"/>
      <c r="G852" s="14"/>
      <c r="H852" s="14"/>
      <c r="I852" s="14"/>
      <c r="J852" s="14"/>
      <c r="K852" s="302"/>
    </row>
    <row r="853" ht="19.5" customHeight="1">
      <c r="A853" s="12"/>
      <c r="C853" s="12"/>
      <c r="D853" s="87"/>
      <c r="F853" s="14"/>
      <c r="G853" s="14"/>
      <c r="H853" s="14"/>
      <c r="I853" s="14"/>
      <c r="J853" s="14"/>
      <c r="K853" s="302"/>
    </row>
    <row r="854" ht="19.5" customHeight="1">
      <c r="A854" s="12"/>
      <c r="C854" s="12"/>
      <c r="D854" s="87"/>
      <c r="F854" s="14"/>
      <c r="G854" s="14"/>
      <c r="H854" s="14"/>
      <c r="I854" s="14"/>
      <c r="J854" s="14"/>
      <c r="K854" s="302"/>
    </row>
    <row r="855" ht="19.5" customHeight="1">
      <c r="A855" s="12"/>
      <c r="C855" s="12"/>
      <c r="D855" s="87"/>
      <c r="F855" s="14"/>
      <c r="G855" s="14"/>
      <c r="H855" s="14"/>
      <c r="I855" s="14"/>
      <c r="J855" s="14"/>
      <c r="K855" s="302"/>
    </row>
    <row r="856" ht="19.5" customHeight="1">
      <c r="A856" s="12"/>
      <c r="C856" s="12"/>
      <c r="D856" s="87"/>
      <c r="F856" s="14"/>
      <c r="G856" s="14"/>
      <c r="H856" s="14"/>
      <c r="I856" s="14"/>
      <c r="J856" s="14"/>
      <c r="K856" s="302"/>
    </row>
    <row r="857" ht="19.5" customHeight="1">
      <c r="A857" s="12"/>
      <c r="C857" s="12"/>
      <c r="D857" s="87"/>
      <c r="F857" s="14"/>
      <c r="G857" s="14"/>
      <c r="H857" s="14"/>
      <c r="I857" s="14"/>
      <c r="J857" s="14"/>
      <c r="K857" s="302"/>
    </row>
    <row r="858" ht="19.5" customHeight="1">
      <c r="A858" s="12"/>
      <c r="C858" s="12"/>
      <c r="D858" s="87"/>
      <c r="F858" s="14"/>
      <c r="G858" s="14"/>
      <c r="H858" s="14"/>
      <c r="I858" s="14"/>
      <c r="J858" s="14"/>
      <c r="K858" s="302"/>
    </row>
    <row r="859" ht="19.5" customHeight="1">
      <c r="A859" s="12"/>
      <c r="C859" s="12"/>
      <c r="D859" s="87"/>
      <c r="F859" s="14"/>
      <c r="G859" s="14"/>
      <c r="H859" s="14"/>
      <c r="I859" s="14"/>
      <c r="J859" s="14"/>
      <c r="K859" s="302"/>
    </row>
    <row r="860" ht="19.5" customHeight="1">
      <c r="A860" s="12"/>
      <c r="C860" s="12"/>
      <c r="D860" s="87"/>
      <c r="F860" s="14"/>
      <c r="G860" s="14"/>
      <c r="H860" s="14"/>
      <c r="I860" s="14"/>
      <c r="J860" s="14"/>
      <c r="K860" s="302"/>
    </row>
    <row r="861" ht="19.5" customHeight="1">
      <c r="A861" s="12"/>
      <c r="C861" s="12"/>
      <c r="D861" s="87"/>
      <c r="F861" s="14"/>
      <c r="G861" s="14"/>
      <c r="H861" s="14"/>
      <c r="I861" s="14"/>
      <c r="J861" s="14"/>
      <c r="K861" s="302"/>
    </row>
    <row r="862" ht="19.5" customHeight="1">
      <c r="A862" s="12"/>
      <c r="C862" s="12"/>
      <c r="D862" s="87"/>
      <c r="F862" s="14"/>
      <c r="G862" s="14"/>
      <c r="H862" s="14"/>
      <c r="I862" s="14"/>
      <c r="J862" s="14"/>
      <c r="K862" s="302"/>
    </row>
    <row r="863" ht="19.5" customHeight="1">
      <c r="A863" s="12"/>
      <c r="C863" s="12"/>
      <c r="D863" s="87"/>
      <c r="F863" s="14"/>
      <c r="G863" s="14"/>
      <c r="H863" s="14"/>
      <c r="I863" s="14"/>
      <c r="J863" s="14"/>
      <c r="K863" s="302"/>
    </row>
    <row r="864" ht="19.5" customHeight="1">
      <c r="A864" s="12"/>
      <c r="C864" s="12"/>
      <c r="D864" s="87"/>
      <c r="F864" s="14"/>
      <c r="G864" s="14"/>
      <c r="H864" s="14"/>
      <c r="I864" s="14"/>
      <c r="J864" s="14"/>
      <c r="K864" s="302"/>
    </row>
    <row r="865" ht="19.5" customHeight="1">
      <c r="A865" s="12"/>
      <c r="C865" s="12"/>
      <c r="D865" s="87"/>
      <c r="F865" s="14"/>
      <c r="G865" s="14"/>
      <c r="H865" s="14"/>
      <c r="I865" s="14"/>
      <c r="J865" s="14"/>
      <c r="K865" s="302"/>
    </row>
    <row r="866" ht="19.5" customHeight="1">
      <c r="A866" s="12"/>
      <c r="C866" s="12"/>
      <c r="D866" s="87"/>
      <c r="F866" s="14"/>
      <c r="G866" s="14"/>
      <c r="H866" s="14"/>
      <c r="I866" s="14"/>
      <c r="J866" s="14"/>
      <c r="K866" s="302"/>
    </row>
    <row r="867" ht="19.5" customHeight="1">
      <c r="A867" s="12"/>
      <c r="C867" s="12"/>
      <c r="D867" s="87"/>
      <c r="F867" s="14"/>
      <c r="G867" s="14"/>
      <c r="H867" s="14"/>
      <c r="I867" s="14"/>
      <c r="J867" s="14"/>
      <c r="K867" s="302"/>
    </row>
    <row r="868" ht="19.5" customHeight="1">
      <c r="A868" s="12"/>
      <c r="C868" s="12"/>
      <c r="D868" s="87"/>
      <c r="F868" s="14"/>
      <c r="G868" s="14"/>
      <c r="H868" s="14"/>
      <c r="I868" s="14"/>
      <c r="J868" s="14"/>
      <c r="K868" s="302"/>
    </row>
    <row r="869" ht="19.5" customHeight="1">
      <c r="A869" s="12"/>
      <c r="C869" s="12"/>
      <c r="D869" s="87"/>
      <c r="F869" s="14"/>
      <c r="G869" s="14"/>
      <c r="H869" s="14"/>
      <c r="I869" s="14"/>
      <c r="J869" s="14"/>
      <c r="K869" s="302"/>
    </row>
    <row r="870" ht="19.5" customHeight="1">
      <c r="A870" s="12"/>
      <c r="C870" s="12"/>
      <c r="D870" s="87"/>
      <c r="F870" s="14"/>
      <c r="G870" s="14"/>
      <c r="H870" s="14"/>
      <c r="I870" s="14"/>
      <c r="J870" s="14"/>
      <c r="K870" s="302"/>
    </row>
    <row r="871" ht="19.5" customHeight="1">
      <c r="A871" s="12"/>
      <c r="C871" s="12"/>
      <c r="D871" s="87"/>
      <c r="F871" s="14"/>
      <c r="G871" s="14"/>
      <c r="H871" s="14"/>
      <c r="I871" s="14"/>
      <c r="J871" s="14"/>
      <c r="K871" s="302"/>
    </row>
    <row r="872" ht="19.5" customHeight="1">
      <c r="A872" s="12"/>
      <c r="C872" s="12"/>
      <c r="D872" s="87"/>
      <c r="F872" s="14"/>
      <c r="G872" s="14"/>
      <c r="H872" s="14"/>
      <c r="I872" s="14"/>
      <c r="J872" s="14"/>
      <c r="K872" s="302"/>
    </row>
    <row r="873" ht="19.5" customHeight="1">
      <c r="A873" s="12"/>
      <c r="C873" s="12"/>
      <c r="D873" s="87"/>
      <c r="F873" s="14"/>
      <c r="G873" s="14"/>
      <c r="H873" s="14"/>
      <c r="I873" s="14"/>
      <c r="J873" s="14"/>
      <c r="K873" s="302"/>
    </row>
    <row r="874" ht="19.5" customHeight="1">
      <c r="A874" s="12"/>
      <c r="C874" s="12"/>
      <c r="D874" s="87"/>
      <c r="F874" s="14"/>
      <c r="G874" s="14"/>
      <c r="H874" s="14"/>
      <c r="I874" s="14"/>
      <c r="J874" s="14"/>
      <c r="K874" s="302"/>
    </row>
    <row r="875" ht="19.5" customHeight="1">
      <c r="A875" s="12"/>
      <c r="C875" s="12"/>
      <c r="D875" s="87"/>
      <c r="F875" s="14"/>
      <c r="G875" s="14"/>
      <c r="H875" s="14"/>
      <c r="I875" s="14"/>
      <c r="J875" s="14"/>
      <c r="K875" s="302"/>
    </row>
    <row r="876" ht="19.5" customHeight="1">
      <c r="A876" s="12"/>
      <c r="C876" s="12"/>
      <c r="D876" s="87"/>
      <c r="F876" s="14"/>
      <c r="G876" s="14"/>
      <c r="H876" s="14"/>
      <c r="I876" s="14"/>
      <c r="J876" s="14"/>
      <c r="K876" s="302"/>
    </row>
    <row r="877" ht="19.5" customHeight="1">
      <c r="A877" s="12"/>
      <c r="C877" s="12"/>
      <c r="D877" s="87"/>
      <c r="F877" s="14"/>
      <c r="G877" s="14"/>
      <c r="H877" s="14"/>
      <c r="I877" s="14"/>
      <c r="J877" s="14"/>
      <c r="K877" s="302"/>
    </row>
    <row r="878" ht="19.5" customHeight="1">
      <c r="A878" s="12"/>
      <c r="C878" s="12"/>
      <c r="D878" s="87"/>
      <c r="F878" s="14"/>
      <c r="G878" s="14"/>
      <c r="H878" s="14"/>
      <c r="I878" s="14"/>
      <c r="J878" s="14"/>
      <c r="K878" s="302"/>
    </row>
    <row r="879" ht="19.5" customHeight="1">
      <c r="A879" s="12"/>
      <c r="C879" s="12"/>
      <c r="D879" s="87"/>
      <c r="F879" s="14"/>
      <c r="G879" s="14"/>
      <c r="H879" s="14"/>
      <c r="I879" s="14"/>
      <c r="J879" s="14"/>
      <c r="K879" s="302"/>
    </row>
    <row r="880" ht="19.5" customHeight="1">
      <c r="A880" s="12"/>
      <c r="C880" s="12"/>
      <c r="D880" s="87"/>
      <c r="F880" s="14"/>
      <c r="G880" s="14"/>
      <c r="H880" s="14"/>
      <c r="I880" s="14"/>
      <c r="J880" s="14"/>
      <c r="K880" s="302"/>
    </row>
    <row r="881" ht="19.5" customHeight="1">
      <c r="A881" s="12"/>
      <c r="C881" s="12"/>
      <c r="D881" s="87"/>
      <c r="F881" s="14"/>
      <c r="G881" s="14"/>
      <c r="H881" s="14"/>
      <c r="I881" s="14"/>
      <c r="J881" s="14"/>
      <c r="K881" s="302"/>
    </row>
    <row r="882" ht="19.5" customHeight="1">
      <c r="A882" s="12"/>
      <c r="C882" s="12"/>
      <c r="D882" s="87"/>
      <c r="F882" s="14"/>
      <c r="G882" s="14"/>
      <c r="H882" s="14"/>
      <c r="I882" s="14"/>
      <c r="J882" s="14"/>
      <c r="K882" s="302"/>
    </row>
    <row r="883" ht="19.5" customHeight="1">
      <c r="A883" s="12"/>
      <c r="C883" s="12"/>
      <c r="D883" s="87"/>
      <c r="F883" s="14"/>
      <c r="G883" s="14"/>
      <c r="H883" s="14"/>
      <c r="I883" s="14"/>
      <c r="J883" s="14"/>
      <c r="K883" s="302"/>
    </row>
    <row r="884" ht="19.5" customHeight="1">
      <c r="A884" s="12"/>
      <c r="C884" s="12"/>
      <c r="D884" s="87"/>
      <c r="F884" s="14"/>
      <c r="G884" s="14"/>
      <c r="H884" s="14"/>
      <c r="I884" s="14"/>
      <c r="J884" s="14"/>
      <c r="K884" s="302"/>
    </row>
    <row r="885" ht="19.5" customHeight="1">
      <c r="A885" s="12"/>
      <c r="C885" s="12"/>
      <c r="D885" s="87"/>
      <c r="F885" s="14"/>
      <c r="G885" s="14"/>
      <c r="H885" s="14"/>
      <c r="I885" s="14"/>
      <c r="J885" s="14"/>
      <c r="K885" s="302"/>
    </row>
    <row r="886" ht="19.5" customHeight="1">
      <c r="A886" s="12"/>
      <c r="C886" s="12"/>
      <c r="D886" s="87"/>
      <c r="F886" s="14"/>
      <c r="G886" s="14"/>
      <c r="H886" s="14"/>
      <c r="I886" s="14"/>
      <c r="J886" s="14"/>
      <c r="K886" s="302"/>
    </row>
    <row r="887" ht="19.5" customHeight="1">
      <c r="A887" s="12"/>
      <c r="C887" s="12"/>
      <c r="D887" s="87"/>
      <c r="F887" s="14"/>
      <c r="G887" s="14"/>
      <c r="H887" s="14"/>
      <c r="I887" s="14"/>
      <c r="J887" s="14"/>
      <c r="K887" s="302"/>
    </row>
    <row r="888" ht="19.5" customHeight="1">
      <c r="A888" s="12"/>
      <c r="C888" s="12"/>
      <c r="D888" s="87"/>
      <c r="F888" s="14"/>
      <c r="G888" s="14"/>
      <c r="H888" s="14"/>
      <c r="I888" s="14"/>
      <c r="J888" s="14"/>
      <c r="K888" s="302"/>
    </row>
    <row r="889" ht="19.5" customHeight="1">
      <c r="A889" s="12"/>
      <c r="C889" s="12"/>
      <c r="D889" s="87"/>
      <c r="F889" s="14"/>
      <c r="G889" s="14"/>
      <c r="H889" s="14"/>
      <c r="I889" s="14"/>
      <c r="J889" s="14"/>
      <c r="K889" s="302"/>
    </row>
    <row r="890" ht="19.5" customHeight="1">
      <c r="A890" s="12"/>
      <c r="C890" s="12"/>
      <c r="D890" s="87"/>
      <c r="F890" s="14"/>
      <c r="G890" s="14"/>
      <c r="H890" s="14"/>
      <c r="I890" s="14"/>
      <c r="J890" s="14"/>
      <c r="K890" s="302"/>
    </row>
    <row r="891" ht="19.5" customHeight="1">
      <c r="A891" s="12"/>
      <c r="C891" s="12"/>
      <c r="D891" s="87"/>
      <c r="F891" s="14"/>
      <c r="G891" s="14"/>
      <c r="H891" s="14"/>
      <c r="I891" s="14"/>
      <c r="J891" s="14"/>
      <c r="K891" s="302"/>
    </row>
    <row r="892" ht="19.5" customHeight="1">
      <c r="A892" s="12"/>
      <c r="C892" s="12"/>
      <c r="D892" s="87"/>
      <c r="F892" s="14"/>
      <c r="G892" s="14"/>
      <c r="H892" s="14"/>
      <c r="I892" s="14"/>
      <c r="J892" s="14"/>
      <c r="K892" s="302"/>
    </row>
    <row r="893" ht="19.5" customHeight="1">
      <c r="A893" s="12"/>
      <c r="C893" s="12"/>
      <c r="D893" s="87"/>
      <c r="F893" s="14"/>
      <c r="G893" s="14"/>
      <c r="H893" s="14"/>
      <c r="I893" s="14"/>
      <c r="J893" s="14"/>
      <c r="K893" s="302"/>
    </row>
    <row r="894" ht="19.5" customHeight="1">
      <c r="A894" s="12"/>
      <c r="C894" s="12"/>
      <c r="D894" s="87"/>
      <c r="F894" s="14"/>
      <c r="G894" s="14"/>
      <c r="H894" s="14"/>
      <c r="I894" s="14"/>
      <c r="J894" s="14"/>
      <c r="K894" s="302"/>
    </row>
    <row r="895" ht="19.5" customHeight="1">
      <c r="A895" s="12"/>
      <c r="C895" s="12"/>
      <c r="D895" s="87"/>
      <c r="F895" s="14"/>
      <c r="G895" s="14"/>
      <c r="H895" s="14"/>
      <c r="I895" s="14"/>
      <c r="J895" s="14"/>
      <c r="K895" s="302"/>
    </row>
    <row r="896" ht="19.5" customHeight="1">
      <c r="A896" s="12"/>
      <c r="C896" s="12"/>
      <c r="D896" s="87"/>
      <c r="F896" s="14"/>
      <c r="G896" s="14"/>
      <c r="H896" s="14"/>
      <c r="I896" s="14"/>
      <c r="J896" s="14"/>
      <c r="K896" s="302"/>
    </row>
    <row r="897" ht="19.5" customHeight="1">
      <c r="A897" s="12"/>
      <c r="C897" s="12"/>
      <c r="D897" s="87"/>
      <c r="F897" s="14"/>
      <c r="G897" s="14"/>
      <c r="H897" s="14"/>
      <c r="I897" s="14"/>
      <c r="J897" s="14"/>
      <c r="K897" s="302"/>
    </row>
    <row r="898" ht="19.5" customHeight="1">
      <c r="A898" s="12"/>
      <c r="C898" s="12"/>
      <c r="D898" s="87"/>
      <c r="F898" s="14"/>
      <c r="G898" s="14"/>
      <c r="H898" s="14"/>
      <c r="I898" s="14"/>
      <c r="J898" s="14"/>
      <c r="K898" s="302"/>
    </row>
    <row r="899" ht="19.5" customHeight="1">
      <c r="A899" s="12"/>
      <c r="C899" s="12"/>
      <c r="D899" s="87"/>
      <c r="F899" s="14"/>
      <c r="G899" s="14"/>
      <c r="H899" s="14"/>
      <c r="I899" s="14"/>
      <c r="J899" s="14"/>
      <c r="K899" s="302"/>
    </row>
    <row r="900" ht="19.5" customHeight="1">
      <c r="A900" s="12"/>
      <c r="C900" s="12"/>
      <c r="D900" s="87"/>
      <c r="F900" s="14"/>
      <c r="G900" s="14"/>
      <c r="H900" s="14"/>
      <c r="I900" s="14"/>
      <c r="J900" s="14"/>
      <c r="K900" s="302"/>
    </row>
    <row r="901" ht="19.5" customHeight="1">
      <c r="A901" s="12"/>
      <c r="C901" s="12"/>
      <c r="D901" s="87"/>
      <c r="F901" s="14"/>
      <c r="G901" s="14"/>
      <c r="H901" s="14"/>
      <c r="I901" s="14"/>
      <c r="J901" s="14"/>
      <c r="K901" s="302"/>
    </row>
    <row r="902" ht="19.5" customHeight="1">
      <c r="A902" s="12"/>
      <c r="C902" s="12"/>
      <c r="D902" s="87"/>
      <c r="F902" s="14"/>
      <c r="G902" s="14"/>
      <c r="H902" s="14"/>
      <c r="I902" s="14"/>
      <c r="J902" s="14"/>
      <c r="K902" s="302"/>
    </row>
    <row r="903" ht="19.5" customHeight="1">
      <c r="A903" s="12"/>
      <c r="C903" s="12"/>
      <c r="D903" s="87"/>
      <c r="F903" s="14"/>
      <c r="G903" s="14"/>
      <c r="H903" s="14"/>
      <c r="I903" s="14"/>
      <c r="J903" s="14"/>
      <c r="K903" s="302"/>
    </row>
    <row r="904" ht="19.5" customHeight="1">
      <c r="A904" s="12"/>
      <c r="C904" s="12"/>
      <c r="D904" s="87"/>
      <c r="F904" s="14"/>
      <c r="G904" s="14"/>
      <c r="H904" s="14"/>
      <c r="I904" s="14"/>
      <c r="J904" s="14"/>
      <c r="K904" s="302"/>
    </row>
    <row r="905" ht="19.5" customHeight="1">
      <c r="A905" s="12"/>
      <c r="C905" s="12"/>
      <c r="D905" s="87"/>
      <c r="F905" s="14"/>
      <c r="G905" s="14"/>
      <c r="H905" s="14"/>
      <c r="I905" s="14"/>
      <c r="J905" s="14"/>
      <c r="K905" s="302"/>
    </row>
    <row r="906" ht="19.5" customHeight="1">
      <c r="A906" s="12"/>
      <c r="C906" s="12"/>
      <c r="D906" s="87"/>
      <c r="F906" s="14"/>
      <c r="G906" s="14"/>
      <c r="H906" s="14"/>
      <c r="I906" s="14"/>
      <c r="J906" s="14"/>
      <c r="K906" s="302"/>
    </row>
    <row r="907" ht="19.5" customHeight="1">
      <c r="A907" s="12"/>
      <c r="C907" s="12"/>
      <c r="D907" s="87"/>
      <c r="F907" s="14"/>
      <c r="G907" s="14"/>
      <c r="H907" s="14"/>
      <c r="I907" s="14"/>
      <c r="J907" s="14"/>
      <c r="K907" s="302"/>
    </row>
    <row r="908" ht="19.5" customHeight="1">
      <c r="A908" s="12"/>
      <c r="C908" s="12"/>
      <c r="D908" s="87"/>
      <c r="F908" s="14"/>
      <c r="G908" s="14"/>
      <c r="H908" s="14"/>
      <c r="I908" s="14"/>
      <c r="J908" s="14"/>
      <c r="K908" s="302"/>
    </row>
    <row r="909" ht="19.5" customHeight="1">
      <c r="A909" s="12"/>
      <c r="C909" s="12"/>
      <c r="D909" s="87"/>
      <c r="F909" s="14"/>
      <c r="G909" s="14"/>
      <c r="H909" s="14"/>
      <c r="I909" s="14"/>
      <c r="J909" s="14"/>
      <c r="K909" s="302"/>
    </row>
    <row r="910" ht="19.5" customHeight="1">
      <c r="A910" s="12"/>
      <c r="C910" s="12"/>
      <c r="D910" s="87"/>
      <c r="F910" s="14"/>
      <c r="G910" s="14"/>
      <c r="H910" s="14"/>
      <c r="I910" s="14"/>
      <c r="J910" s="14"/>
      <c r="K910" s="302"/>
    </row>
    <row r="911" ht="19.5" customHeight="1">
      <c r="A911" s="12"/>
      <c r="C911" s="12"/>
      <c r="D911" s="87"/>
      <c r="F911" s="14"/>
      <c r="G911" s="14"/>
      <c r="H911" s="14"/>
      <c r="I911" s="14"/>
      <c r="J911" s="14"/>
      <c r="K911" s="302"/>
    </row>
    <row r="912" ht="19.5" customHeight="1">
      <c r="A912" s="12"/>
      <c r="C912" s="12"/>
      <c r="D912" s="87"/>
      <c r="F912" s="14"/>
      <c r="G912" s="14"/>
      <c r="H912" s="14"/>
      <c r="I912" s="14"/>
      <c r="J912" s="14"/>
      <c r="K912" s="302"/>
    </row>
    <row r="913" ht="19.5" customHeight="1">
      <c r="A913" s="12"/>
      <c r="C913" s="12"/>
      <c r="D913" s="87"/>
      <c r="F913" s="14"/>
      <c r="G913" s="14"/>
      <c r="H913" s="14"/>
      <c r="I913" s="14"/>
      <c r="J913" s="14"/>
      <c r="K913" s="302"/>
    </row>
    <row r="914" ht="19.5" customHeight="1">
      <c r="A914" s="12"/>
      <c r="C914" s="12"/>
      <c r="D914" s="87"/>
      <c r="F914" s="14"/>
      <c r="G914" s="14"/>
      <c r="H914" s="14"/>
      <c r="I914" s="14"/>
      <c r="J914" s="14"/>
      <c r="K914" s="302"/>
    </row>
    <row r="915" ht="19.5" customHeight="1">
      <c r="A915" s="12"/>
      <c r="C915" s="12"/>
      <c r="D915" s="87"/>
      <c r="F915" s="14"/>
      <c r="G915" s="14"/>
      <c r="H915" s="14"/>
      <c r="I915" s="14"/>
      <c r="J915" s="14"/>
      <c r="K915" s="302"/>
    </row>
    <row r="916" ht="19.5" customHeight="1">
      <c r="A916" s="12"/>
      <c r="C916" s="12"/>
      <c r="D916" s="87"/>
      <c r="F916" s="14"/>
      <c r="G916" s="14"/>
      <c r="H916" s="14"/>
      <c r="I916" s="14"/>
      <c r="J916" s="14"/>
      <c r="K916" s="302"/>
    </row>
    <row r="917" ht="19.5" customHeight="1">
      <c r="A917" s="12"/>
      <c r="C917" s="12"/>
      <c r="D917" s="87"/>
      <c r="F917" s="14"/>
      <c r="G917" s="14"/>
      <c r="H917" s="14"/>
      <c r="I917" s="14"/>
      <c r="J917" s="14"/>
      <c r="K917" s="302"/>
    </row>
    <row r="918" ht="19.5" customHeight="1">
      <c r="A918" s="12"/>
      <c r="C918" s="12"/>
      <c r="D918" s="87"/>
      <c r="F918" s="14"/>
      <c r="G918" s="14"/>
      <c r="H918" s="14"/>
      <c r="I918" s="14"/>
      <c r="J918" s="14"/>
      <c r="K918" s="302"/>
    </row>
    <row r="919" ht="19.5" customHeight="1">
      <c r="A919" s="12"/>
      <c r="C919" s="12"/>
      <c r="D919" s="87"/>
      <c r="F919" s="14"/>
      <c r="G919" s="14"/>
      <c r="H919" s="14"/>
      <c r="I919" s="14"/>
      <c r="J919" s="14"/>
      <c r="K919" s="302"/>
    </row>
    <row r="920" ht="19.5" customHeight="1">
      <c r="A920" s="12"/>
      <c r="C920" s="12"/>
      <c r="D920" s="87"/>
      <c r="F920" s="14"/>
      <c r="G920" s="14"/>
      <c r="H920" s="14"/>
      <c r="I920" s="14"/>
      <c r="J920" s="14"/>
      <c r="K920" s="302"/>
    </row>
    <row r="921" ht="19.5" customHeight="1">
      <c r="A921" s="12"/>
      <c r="C921" s="12"/>
      <c r="D921" s="87"/>
      <c r="F921" s="14"/>
      <c r="G921" s="14"/>
      <c r="H921" s="14"/>
      <c r="I921" s="14"/>
      <c r="J921" s="14"/>
      <c r="K921" s="302"/>
    </row>
    <row r="922" ht="19.5" customHeight="1">
      <c r="A922" s="12"/>
      <c r="C922" s="12"/>
      <c r="D922" s="87"/>
      <c r="F922" s="14"/>
      <c r="G922" s="14"/>
      <c r="H922" s="14"/>
      <c r="I922" s="14"/>
      <c r="J922" s="14"/>
      <c r="K922" s="302"/>
    </row>
    <row r="923" ht="19.5" customHeight="1">
      <c r="A923" s="12"/>
      <c r="C923" s="12"/>
      <c r="D923" s="87"/>
      <c r="F923" s="14"/>
      <c r="G923" s="14"/>
      <c r="H923" s="14"/>
      <c r="I923" s="14"/>
      <c r="J923" s="14"/>
      <c r="K923" s="302"/>
    </row>
    <row r="924" ht="19.5" customHeight="1">
      <c r="A924" s="12"/>
      <c r="C924" s="12"/>
      <c r="D924" s="87"/>
      <c r="F924" s="14"/>
      <c r="G924" s="14"/>
      <c r="H924" s="14"/>
      <c r="I924" s="14"/>
      <c r="J924" s="14"/>
      <c r="K924" s="302"/>
    </row>
    <row r="925" ht="19.5" customHeight="1">
      <c r="A925" s="12"/>
      <c r="C925" s="12"/>
      <c r="D925" s="87"/>
      <c r="F925" s="14"/>
      <c r="G925" s="14"/>
      <c r="H925" s="14"/>
      <c r="I925" s="14"/>
      <c r="J925" s="14"/>
      <c r="K925" s="302"/>
    </row>
    <row r="926" ht="19.5" customHeight="1">
      <c r="A926" s="12"/>
      <c r="C926" s="12"/>
      <c r="D926" s="87"/>
      <c r="F926" s="14"/>
      <c r="G926" s="14"/>
      <c r="H926" s="14"/>
      <c r="I926" s="14"/>
      <c r="J926" s="14"/>
      <c r="K926" s="302"/>
    </row>
    <row r="927" ht="19.5" customHeight="1">
      <c r="A927" s="12"/>
      <c r="C927" s="12"/>
      <c r="D927" s="87"/>
      <c r="F927" s="14"/>
      <c r="G927" s="14"/>
      <c r="H927" s="14"/>
      <c r="I927" s="14"/>
      <c r="J927" s="14"/>
      <c r="K927" s="302"/>
    </row>
    <row r="928" ht="19.5" customHeight="1">
      <c r="A928" s="12"/>
      <c r="C928" s="12"/>
      <c r="D928" s="87"/>
      <c r="F928" s="14"/>
      <c r="G928" s="14"/>
      <c r="H928" s="14"/>
      <c r="I928" s="14"/>
      <c r="J928" s="14"/>
      <c r="K928" s="302"/>
    </row>
    <row r="929" ht="19.5" customHeight="1">
      <c r="A929" s="12"/>
      <c r="C929" s="12"/>
      <c r="D929" s="87"/>
      <c r="F929" s="14"/>
      <c r="G929" s="14"/>
      <c r="H929" s="14"/>
      <c r="I929" s="14"/>
      <c r="J929" s="14"/>
      <c r="K929" s="302"/>
    </row>
    <row r="930" ht="19.5" customHeight="1">
      <c r="A930" s="12"/>
      <c r="C930" s="12"/>
      <c r="D930" s="87"/>
      <c r="F930" s="14"/>
      <c r="G930" s="14"/>
      <c r="H930" s="14"/>
      <c r="I930" s="14"/>
      <c r="J930" s="14"/>
      <c r="K930" s="302"/>
    </row>
    <row r="931" ht="19.5" customHeight="1">
      <c r="A931" s="12"/>
      <c r="C931" s="12"/>
      <c r="D931" s="87"/>
      <c r="F931" s="14"/>
      <c r="G931" s="14"/>
      <c r="H931" s="14"/>
      <c r="I931" s="14"/>
      <c r="J931" s="14"/>
      <c r="K931" s="302"/>
    </row>
    <row r="932" ht="19.5" customHeight="1">
      <c r="A932" s="12"/>
      <c r="C932" s="12"/>
      <c r="D932" s="87"/>
      <c r="F932" s="14"/>
      <c r="G932" s="14"/>
      <c r="H932" s="14"/>
      <c r="I932" s="14"/>
      <c r="J932" s="14"/>
      <c r="K932" s="302"/>
    </row>
    <row r="933" ht="19.5" customHeight="1">
      <c r="A933" s="12"/>
      <c r="C933" s="12"/>
      <c r="D933" s="87"/>
      <c r="F933" s="14"/>
      <c r="G933" s="14"/>
      <c r="H933" s="14"/>
      <c r="I933" s="14"/>
      <c r="J933" s="14"/>
      <c r="K933" s="302"/>
    </row>
    <row r="934" ht="19.5" customHeight="1">
      <c r="A934" s="12"/>
      <c r="C934" s="12"/>
      <c r="D934" s="87"/>
      <c r="F934" s="14"/>
      <c r="G934" s="14"/>
      <c r="H934" s="14"/>
      <c r="I934" s="14"/>
      <c r="J934" s="14"/>
      <c r="K934" s="302"/>
    </row>
    <row r="935" ht="19.5" customHeight="1">
      <c r="A935" s="12"/>
      <c r="C935" s="12"/>
      <c r="D935" s="87"/>
      <c r="F935" s="14"/>
      <c r="G935" s="14"/>
      <c r="H935" s="14"/>
      <c r="I935" s="14"/>
      <c r="J935" s="14"/>
      <c r="K935" s="302"/>
    </row>
    <row r="936" ht="19.5" customHeight="1">
      <c r="A936" s="12"/>
      <c r="C936" s="12"/>
      <c r="D936" s="87"/>
      <c r="F936" s="14"/>
      <c r="G936" s="14"/>
      <c r="H936" s="14"/>
      <c r="I936" s="14"/>
      <c r="J936" s="14"/>
      <c r="K936" s="302"/>
    </row>
    <row r="937" ht="19.5" customHeight="1">
      <c r="A937" s="12"/>
      <c r="C937" s="12"/>
      <c r="D937" s="87"/>
      <c r="F937" s="14"/>
      <c r="G937" s="14"/>
      <c r="H937" s="14"/>
      <c r="I937" s="14"/>
      <c r="J937" s="14"/>
      <c r="K937" s="302"/>
    </row>
    <row r="938" ht="19.5" customHeight="1">
      <c r="A938" s="12"/>
      <c r="C938" s="12"/>
      <c r="D938" s="87"/>
      <c r="F938" s="14"/>
      <c r="G938" s="14"/>
      <c r="H938" s="14"/>
      <c r="I938" s="14"/>
      <c r="J938" s="14"/>
      <c r="K938" s="302"/>
    </row>
    <row r="939" ht="19.5" customHeight="1">
      <c r="A939" s="12"/>
      <c r="C939" s="12"/>
      <c r="D939" s="87"/>
      <c r="F939" s="14"/>
      <c r="G939" s="14"/>
      <c r="H939" s="14"/>
      <c r="I939" s="14"/>
      <c r="J939" s="14"/>
      <c r="K939" s="302"/>
    </row>
    <row r="940" ht="19.5" customHeight="1">
      <c r="A940" s="12"/>
      <c r="C940" s="12"/>
      <c r="D940" s="87"/>
      <c r="F940" s="14"/>
      <c r="G940" s="14"/>
      <c r="H940" s="14"/>
      <c r="I940" s="14"/>
      <c r="J940" s="14"/>
      <c r="K940" s="302"/>
    </row>
    <row r="941" ht="19.5" customHeight="1">
      <c r="A941" s="12"/>
      <c r="C941" s="12"/>
      <c r="D941" s="87"/>
      <c r="F941" s="14"/>
      <c r="G941" s="14"/>
      <c r="H941" s="14"/>
      <c r="I941" s="14"/>
      <c r="J941" s="14"/>
      <c r="K941" s="302"/>
    </row>
    <row r="942" ht="19.5" customHeight="1">
      <c r="A942" s="12"/>
      <c r="C942" s="12"/>
      <c r="D942" s="87"/>
      <c r="F942" s="14"/>
      <c r="G942" s="14"/>
      <c r="H942" s="14"/>
      <c r="I942" s="14"/>
      <c r="J942" s="14"/>
      <c r="K942" s="302"/>
    </row>
    <row r="943" ht="19.5" customHeight="1">
      <c r="A943" s="12"/>
      <c r="C943" s="12"/>
      <c r="D943" s="87"/>
      <c r="F943" s="14"/>
      <c r="G943" s="14"/>
      <c r="H943" s="14"/>
      <c r="I943" s="14"/>
      <c r="J943" s="14"/>
      <c r="K943" s="302"/>
    </row>
    <row r="944" ht="19.5" customHeight="1">
      <c r="A944" s="12"/>
      <c r="C944" s="12"/>
      <c r="D944" s="87"/>
      <c r="F944" s="14"/>
      <c r="G944" s="14"/>
      <c r="H944" s="14"/>
      <c r="I944" s="14"/>
      <c r="J944" s="14"/>
      <c r="K944" s="302"/>
    </row>
    <row r="945" ht="19.5" customHeight="1">
      <c r="A945" s="12"/>
      <c r="C945" s="12"/>
      <c r="D945" s="87"/>
      <c r="F945" s="14"/>
      <c r="G945" s="14"/>
      <c r="H945" s="14"/>
      <c r="I945" s="14"/>
      <c r="J945" s="14"/>
      <c r="K945" s="302"/>
    </row>
    <row r="946" ht="19.5" customHeight="1">
      <c r="A946" s="12"/>
      <c r="C946" s="12"/>
      <c r="D946" s="87"/>
      <c r="F946" s="14"/>
      <c r="G946" s="14"/>
      <c r="H946" s="14"/>
      <c r="I946" s="14"/>
      <c r="J946" s="14"/>
      <c r="K946" s="302"/>
    </row>
    <row r="947" ht="19.5" customHeight="1">
      <c r="A947" s="12"/>
      <c r="C947" s="12"/>
      <c r="D947" s="87"/>
      <c r="F947" s="14"/>
      <c r="G947" s="14"/>
      <c r="H947" s="14"/>
      <c r="I947" s="14"/>
      <c r="J947" s="14"/>
      <c r="K947" s="302"/>
    </row>
    <row r="948" ht="19.5" customHeight="1">
      <c r="A948" s="12"/>
      <c r="C948" s="12"/>
      <c r="D948" s="87"/>
      <c r="F948" s="14"/>
      <c r="G948" s="14"/>
      <c r="H948" s="14"/>
      <c r="I948" s="14"/>
      <c r="J948" s="14"/>
      <c r="K948" s="302"/>
    </row>
    <row r="949" ht="19.5" customHeight="1">
      <c r="A949" s="12"/>
      <c r="C949" s="12"/>
      <c r="D949" s="87"/>
      <c r="F949" s="14"/>
      <c r="G949" s="14"/>
      <c r="H949" s="14"/>
      <c r="I949" s="14"/>
      <c r="J949" s="14"/>
      <c r="K949" s="302"/>
    </row>
    <row r="950" ht="19.5" customHeight="1">
      <c r="A950" s="12"/>
      <c r="C950" s="12"/>
      <c r="D950" s="87"/>
      <c r="F950" s="14"/>
      <c r="G950" s="14"/>
      <c r="H950" s="14"/>
      <c r="I950" s="14"/>
      <c r="J950" s="14"/>
      <c r="K950" s="302"/>
    </row>
    <row r="951" ht="19.5" customHeight="1">
      <c r="A951" s="12"/>
      <c r="C951" s="12"/>
      <c r="D951" s="87"/>
      <c r="F951" s="14"/>
      <c r="G951" s="14"/>
      <c r="H951" s="14"/>
      <c r="I951" s="14"/>
      <c r="J951" s="14"/>
      <c r="K951" s="302"/>
    </row>
    <row r="952" ht="19.5" customHeight="1">
      <c r="A952" s="12"/>
      <c r="C952" s="12"/>
      <c r="D952" s="87"/>
      <c r="F952" s="14"/>
      <c r="G952" s="14"/>
      <c r="H952" s="14"/>
      <c r="I952" s="14"/>
      <c r="J952" s="14"/>
      <c r="K952" s="302"/>
    </row>
    <row r="953" ht="19.5" customHeight="1">
      <c r="A953" s="12"/>
      <c r="C953" s="12"/>
      <c r="D953" s="87"/>
      <c r="F953" s="14"/>
      <c r="G953" s="14"/>
      <c r="H953" s="14"/>
      <c r="I953" s="14"/>
      <c r="J953" s="14"/>
      <c r="K953" s="302"/>
    </row>
    <row r="954" ht="19.5" customHeight="1">
      <c r="A954" s="12"/>
      <c r="C954" s="12"/>
      <c r="D954" s="87"/>
      <c r="F954" s="14"/>
      <c r="G954" s="14"/>
      <c r="H954" s="14"/>
      <c r="I954" s="14"/>
      <c r="J954" s="14"/>
      <c r="K954" s="302"/>
    </row>
    <row r="955" ht="19.5" customHeight="1">
      <c r="A955" s="12"/>
      <c r="C955" s="12"/>
      <c r="D955" s="87"/>
      <c r="F955" s="14"/>
      <c r="G955" s="14"/>
      <c r="H955" s="14"/>
      <c r="I955" s="14"/>
      <c r="J955" s="14"/>
      <c r="K955" s="302"/>
    </row>
    <row r="956" ht="19.5" customHeight="1">
      <c r="A956" s="12"/>
      <c r="C956" s="12"/>
      <c r="D956" s="87"/>
      <c r="F956" s="14"/>
      <c r="G956" s="14"/>
      <c r="H956" s="14"/>
      <c r="I956" s="14"/>
      <c r="J956" s="14"/>
      <c r="K956" s="302"/>
    </row>
    <row r="957" ht="19.5" customHeight="1">
      <c r="A957" s="12"/>
      <c r="C957" s="12"/>
      <c r="D957" s="87"/>
      <c r="F957" s="14"/>
      <c r="G957" s="14"/>
      <c r="H957" s="14"/>
      <c r="I957" s="14"/>
      <c r="J957" s="14"/>
      <c r="K957" s="302"/>
    </row>
    <row r="958" ht="19.5" customHeight="1">
      <c r="A958" s="12"/>
      <c r="C958" s="12"/>
      <c r="D958" s="87"/>
      <c r="F958" s="14"/>
      <c r="G958" s="14"/>
      <c r="H958" s="14"/>
      <c r="I958" s="14"/>
      <c r="J958" s="14"/>
      <c r="K958" s="302"/>
    </row>
    <row r="959" ht="19.5" customHeight="1">
      <c r="A959" s="12"/>
      <c r="C959" s="12"/>
      <c r="D959" s="87"/>
      <c r="F959" s="14"/>
      <c r="G959" s="14"/>
      <c r="H959" s="14"/>
      <c r="I959" s="14"/>
      <c r="J959" s="14"/>
      <c r="K959" s="302"/>
    </row>
    <row r="960" ht="19.5" customHeight="1">
      <c r="A960" s="12"/>
      <c r="C960" s="12"/>
      <c r="D960" s="87"/>
      <c r="F960" s="14"/>
      <c r="G960" s="14"/>
      <c r="H960" s="14"/>
      <c r="I960" s="14"/>
      <c r="J960" s="14"/>
      <c r="K960" s="302"/>
    </row>
    <row r="961" ht="19.5" customHeight="1">
      <c r="A961" s="12"/>
      <c r="C961" s="12"/>
      <c r="D961" s="87"/>
      <c r="F961" s="14"/>
      <c r="G961" s="14"/>
      <c r="H961" s="14"/>
      <c r="I961" s="14"/>
      <c r="J961" s="14"/>
      <c r="K961" s="302"/>
    </row>
    <row r="962" ht="19.5" customHeight="1">
      <c r="A962" s="12"/>
      <c r="C962" s="12"/>
      <c r="D962" s="87"/>
      <c r="F962" s="14"/>
      <c r="G962" s="14"/>
      <c r="H962" s="14"/>
      <c r="I962" s="14"/>
      <c r="J962" s="14"/>
      <c r="K962" s="302"/>
    </row>
    <row r="963" ht="19.5" customHeight="1">
      <c r="A963" s="12"/>
      <c r="C963" s="12"/>
      <c r="D963" s="87"/>
      <c r="F963" s="14"/>
      <c r="G963" s="14"/>
      <c r="H963" s="14"/>
      <c r="I963" s="14"/>
      <c r="J963" s="14"/>
      <c r="K963" s="302"/>
    </row>
    <row r="964" ht="19.5" customHeight="1">
      <c r="A964" s="12"/>
      <c r="C964" s="12"/>
      <c r="D964" s="87"/>
      <c r="F964" s="14"/>
      <c r="G964" s="14"/>
      <c r="H964" s="14"/>
      <c r="I964" s="14"/>
      <c r="J964" s="14"/>
      <c r="K964" s="302"/>
    </row>
    <row r="965" ht="19.5" customHeight="1">
      <c r="A965" s="12"/>
      <c r="C965" s="12"/>
      <c r="D965" s="87"/>
      <c r="F965" s="14"/>
      <c r="G965" s="14"/>
      <c r="H965" s="14"/>
      <c r="I965" s="14"/>
      <c r="J965" s="14"/>
      <c r="K965" s="302"/>
    </row>
    <row r="966" ht="19.5" customHeight="1">
      <c r="A966" s="12"/>
      <c r="C966" s="12"/>
      <c r="D966" s="87"/>
      <c r="F966" s="14"/>
      <c r="G966" s="14"/>
      <c r="H966" s="14"/>
      <c r="I966" s="14"/>
      <c r="J966" s="14"/>
      <c r="K966" s="302"/>
    </row>
    <row r="967" ht="19.5" customHeight="1">
      <c r="A967" s="12"/>
      <c r="C967" s="12"/>
      <c r="D967" s="87"/>
      <c r="F967" s="14"/>
      <c r="G967" s="14"/>
      <c r="H967" s="14"/>
      <c r="I967" s="14"/>
      <c r="J967" s="14"/>
      <c r="K967" s="302"/>
    </row>
    <row r="968" ht="19.5" customHeight="1">
      <c r="A968" s="12"/>
      <c r="C968" s="12"/>
      <c r="D968" s="87"/>
      <c r="F968" s="14"/>
      <c r="G968" s="14"/>
      <c r="H968" s="14"/>
      <c r="I968" s="14"/>
      <c r="J968" s="14"/>
      <c r="K968" s="302"/>
    </row>
    <row r="969" ht="19.5" customHeight="1">
      <c r="A969" s="12"/>
      <c r="C969" s="12"/>
      <c r="D969" s="87"/>
      <c r="F969" s="14"/>
      <c r="G969" s="14"/>
      <c r="H969" s="14"/>
      <c r="I969" s="14"/>
      <c r="J969" s="14"/>
      <c r="K969" s="302"/>
    </row>
    <row r="970" ht="19.5" customHeight="1">
      <c r="A970" s="12"/>
      <c r="C970" s="12"/>
      <c r="D970" s="87"/>
      <c r="F970" s="14"/>
      <c r="G970" s="14"/>
      <c r="H970" s="14"/>
      <c r="I970" s="14"/>
      <c r="J970" s="14"/>
      <c r="K970" s="302"/>
    </row>
    <row r="971" ht="19.5" customHeight="1">
      <c r="A971" s="12"/>
      <c r="C971" s="12"/>
      <c r="D971" s="87"/>
      <c r="F971" s="14"/>
      <c r="G971" s="14"/>
      <c r="H971" s="14"/>
      <c r="I971" s="14"/>
      <c r="J971" s="14"/>
      <c r="K971" s="302"/>
    </row>
    <row r="972" ht="19.5" customHeight="1">
      <c r="A972" s="12"/>
      <c r="C972" s="12"/>
      <c r="D972" s="87"/>
      <c r="F972" s="14"/>
      <c r="G972" s="14"/>
      <c r="H972" s="14"/>
      <c r="I972" s="14"/>
      <c r="J972" s="14"/>
      <c r="K972" s="302"/>
    </row>
    <row r="973" ht="19.5" customHeight="1">
      <c r="A973" s="12"/>
      <c r="C973" s="12"/>
      <c r="D973" s="87"/>
      <c r="F973" s="14"/>
      <c r="G973" s="14"/>
      <c r="H973" s="14"/>
      <c r="I973" s="14"/>
      <c r="J973" s="14"/>
      <c r="K973" s="302"/>
    </row>
    <row r="974" ht="19.5" customHeight="1">
      <c r="A974" s="12"/>
      <c r="C974" s="12"/>
      <c r="D974" s="87"/>
      <c r="F974" s="14"/>
      <c r="G974" s="14"/>
      <c r="H974" s="14"/>
      <c r="I974" s="14"/>
      <c r="J974" s="14"/>
      <c r="K974" s="302"/>
    </row>
    <row r="975" ht="19.5" customHeight="1">
      <c r="A975" s="12"/>
      <c r="C975" s="12"/>
      <c r="D975" s="87"/>
      <c r="F975" s="14"/>
      <c r="G975" s="14"/>
      <c r="H975" s="14"/>
      <c r="I975" s="14"/>
      <c r="J975" s="14"/>
      <c r="K975" s="302"/>
    </row>
    <row r="976" ht="19.5" customHeight="1">
      <c r="A976" s="12"/>
      <c r="C976" s="12"/>
      <c r="D976" s="87"/>
      <c r="F976" s="14"/>
      <c r="G976" s="14"/>
      <c r="H976" s="14"/>
      <c r="I976" s="14"/>
      <c r="J976" s="14"/>
      <c r="K976" s="302"/>
    </row>
    <row r="977" ht="19.5" customHeight="1">
      <c r="A977" s="12"/>
      <c r="C977" s="12"/>
      <c r="D977" s="87"/>
      <c r="F977" s="14"/>
      <c r="G977" s="14"/>
      <c r="H977" s="14"/>
      <c r="I977" s="14"/>
      <c r="J977" s="14"/>
      <c r="K977" s="302"/>
    </row>
    <row r="978" ht="19.5" customHeight="1">
      <c r="A978" s="12"/>
      <c r="C978" s="12"/>
      <c r="D978" s="87"/>
      <c r="F978" s="14"/>
      <c r="G978" s="14"/>
      <c r="H978" s="14"/>
      <c r="I978" s="14"/>
      <c r="J978" s="14"/>
      <c r="K978" s="302"/>
    </row>
    <row r="979" ht="19.5" customHeight="1">
      <c r="A979" s="12"/>
      <c r="C979" s="12"/>
      <c r="D979" s="87"/>
      <c r="F979" s="14"/>
      <c r="G979" s="14"/>
      <c r="H979" s="14"/>
      <c r="I979" s="14"/>
      <c r="J979" s="14"/>
      <c r="K979" s="302"/>
    </row>
    <row r="980" ht="19.5" customHeight="1">
      <c r="A980" s="12"/>
      <c r="C980" s="12"/>
      <c r="D980" s="87"/>
      <c r="F980" s="14"/>
      <c r="G980" s="14"/>
      <c r="H980" s="14"/>
      <c r="I980" s="14"/>
      <c r="J980" s="14"/>
      <c r="K980" s="302"/>
    </row>
    <row r="981" ht="19.5" customHeight="1">
      <c r="A981" s="12"/>
      <c r="C981" s="12"/>
      <c r="D981" s="87"/>
      <c r="F981" s="14"/>
      <c r="G981" s="14"/>
      <c r="H981" s="14"/>
      <c r="I981" s="14"/>
      <c r="J981" s="14"/>
      <c r="K981" s="302"/>
    </row>
    <row r="982" ht="19.5" customHeight="1">
      <c r="A982" s="12"/>
      <c r="C982" s="12"/>
      <c r="D982" s="87"/>
      <c r="F982" s="14"/>
      <c r="G982" s="14"/>
      <c r="H982" s="14"/>
      <c r="I982" s="14"/>
      <c r="J982" s="14"/>
      <c r="K982" s="302"/>
    </row>
    <row r="983" ht="19.5" customHeight="1">
      <c r="A983" s="12"/>
      <c r="C983" s="12"/>
      <c r="D983" s="87"/>
      <c r="F983" s="14"/>
      <c r="G983" s="14"/>
      <c r="H983" s="14"/>
      <c r="I983" s="14"/>
      <c r="J983" s="14"/>
      <c r="K983" s="302"/>
    </row>
    <row r="984" ht="19.5" customHeight="1">
      <c r="A984" s="12"/>
      <c r="C984" s="12"/>
      <c r="D984" s="87"/>
      <c r="F984" s="14"/>
      <c r="G984" s="14"/>
      <c r="H984" s="14"/>
      <c r="I984" s="14"/>
      <c r="J984" s="14"/>
      <c r="K984" s="302"/>
    </row>
    <row r="985" ht="19.5" customHeight="1">
      <c r="A985" s="12"/>
      <c r="C985" s="12"/>
      <c r="D985" s="87"/>
      <c r="F985" s="14"/>
      <c r="G985" s="14"/>
      <c r="H985" s="14"/>
      <c r="I985" s="14"/>
      <c r="J985" s="14"/>
      <c r="K985" s="302"/>
    </row>
    <row r="986" ht="19.5" customHeight="1">
      <c r="A986" s="12"/>
      <c r="C986" s="12"/>
      <c r="D986" s="87"/>
      <c r="F986" s="14"/>
      <c r="G986" s="14"/>
      <c r="H986" s="14"/>
      <c r="I986" s="14"/>
      <c r="J986" s="14"/>
      <c r="K986" s="302"/>
    </row>
    <row r="987" ht="19.5" customHeight="1">
      <c r="A987" s="12"/>
      <c r="C987" s="12"/>
      <c r="D987" s="87"/>
      <c r="F987" s="14"/>
      <c r="G987" s="14"/>
      <c r="H987" s="14"/>
      <c r="I987" s="14"/>
      <c r="J987" s="14"/>
      <c r="K987" s="302"/>
    </row>
    <row r="988" ht="19.5" customHeight="1">
      <c r="A988" s="12"/>
      <c r="C988" s="12"/>
      <c r="D988" s="87"/>
      <c r="F988" s="14"/>
      <c r="G988" s="14"/>
      <c r="H988" s="14"/>
      <c r="I988" s="14"/>
      <c r="J988" s="14"/>
      <c r="K988" s="302"/>
    </row>
    <row r="989" ht="19.5" customHeight="1">
      <c r="A989" s="12"/>
      <c r="C989" s="12"/>
      <c r="D989" s="87"/>
      <c r="F989" s="14"/>
      <c r="G989" s="14"/>
      <c r="H989" s="14"/>
      <c r="I989" s="14"/>
      <c r="J989" s="14"/>
      <c r="K989" s="302"/>
    </row>
    <row r="990" ht="19.5" customHeight="1">
      <c r="A990" s="12"/>
      <c r="C990" s="12"/>
      <c r="D990" s="87"/>
      <c r="F990" s="14"/>
      <c r="G990" s="14"/>
      <c r="H990" s="14"/>
      <c r="I990" s="14"/>
      <c r="J990" s="14"/>
      <c r="K990" s="302"/>
    </row>
    <row r="991" ht="19.5" customHeight="1">
      <c r="A991" s="12"/>
      <c r="C991" s="12"/>
      <c r="D991" s="87"/>
      <c r="F991" s="14"/>
      <c r="G991" s="14"/>
      <c r="H991" s="14"/>
      <c r="I991" s="14"/>
      <c r="J991" s="14"/>
      <c r="K991" s="302"/>
    </row>
    <row r="992" ht="19.5" customHeight="1">
      <c r="A992" s="12"/>
      <c r="C992" s="12"/>
      <c r="D992" s="87"/>
      <c r="F992" s="14"/>
      <c r="G992" s="14"/>
      <c r="H992" s="14"/>
      <c r="I992" s="14"/>
      <c r="J992" s="14"/>
      <c r="K992" s="302"/>
    </row>
    <row r="993" ht="19.5" customHeight="1">
      <c r="A993" s="12"/>
      <c r="C993" s="12"/>
      <c r="D993" s="87"/>
      <c r="F993" s="14"/>
      <c r="G993" s="14"/>
      <c r="H993" s="14"/>
      <c r="I993" s="14"/>
      <c r="J993" s="14"/>
      <c r="K993" s="302"/>
    </row>
    <row r="994" ht="19.5" customHeight="1">
      <c r="A994" s="12"/>
      <c r="C994" s="12"/>
      <c r="D994" s="87"/>
      <c r="F994" s="14"/>
      <c r="G994" s="14"/>
      <c r="H994" s="14"/>
      <c r="I994" s="14"/>
      <c r="J994" s="14"/>
      <c r="K994" s="302"/>
    </row>
    <row r="995" ht="19.5" customHeight="1">
      <c r="A995" s="12"/>
      <c r="C995" s="12"/>
      <c r="D995" s="87"/>
      <c r="F995" s="14"/>
      <c r="G995" s="14"/>
      <c r="H995" s="14"/>
      <c r="I995" s="14"/>
      <c r="J995" s="14"/>
      <c r="K995" s="302"/>
    </row>
    <row r="996" ht="19.5" customHeight="1">
      <c r="A996" s="12"/>
      <c r="C996" s="12"/>
      <c r="D996" s="87"/>
      <c r="F996" s="14"/>
      <c r="G996" s="14"/>
      <c r="H996" s="14"/>
      <c r="I996" s="14"/>
      <c r="J996" s="14"/>
      <c r="K996" s="302"/>
    </row>
    <row r="997" ht="19.5" customHeight="1">
      <c r="A997" s="12"/>
      <c r="C997" s="12"/>
      <c r="D997" s="87"/>
      <c r="F997" s="14"/>
      <c r="G997" s="14"/>
      <c r="H997" s="14"/>
      <c r="I997" s="14"/>
      <c r="J997" s="14"/>
      <c r="K997" s="302"/>
    </row>
    <row r="998" ht="19.5" customHeight="1">
      <c r="A998" s="12"/>
      <c r="C998" s="12"/>
      <c r="D998" s="87"/>
      <c r="F998" s="14"/>
      <c r="G998" s="14"/>
      <c r="H998" s="14"/>
      <c r="I998" s="14"/>
      <c r="J998" s="14"/>
      <c r="K998" s="302"/>
    </row>
    <row r="999" ht="19.5" customHeight="1">
      <c r="A999" s="12"/>
      <c r="C999" s="12"/>
      <c r="D999" s="87"/>
      <c r="F999" s="14"/>
      <c r="G999" s="14"/>
      <c r="H999" s="14"/>
      <c r="I999" s="14"/>
      <c r="J999" s="14"/>
      <c r="K999" s="302"/>
    </row>
    <row r="1000" ht="19.5" customHeight="1">
      <c r="A1000" s="12"/>
      <c r="C1000" s="12"/>
      <c r="D1000" s="87"/>
      <c r="F1000" s="14"/>
      <c r="G1000" s="14"/>
      <c r="H1000" s="14"/>
      <c r="I1000" s="14"/>
      <c r="J1000" s="14"/>
      <c r="K1000" s="302"/>
    </row>
    <row r="1001" ht="19.5" customHeight="1">
      <c r="A1001" s="12"/>
      <c r="C1001" s="12"/>
      <c r="D1001" s="87"/>
      <c r="F1001" s="14"/>
      <c r="G1001" s="14"/>
      <c r="H1001" s="14"/>
      <c r="I1001" s="14"/>
      <c r="J1001" s="14"/>
      <c r="K1001" s="302"/>
    </row>
    <row r="1002" ht="19.5" customHeight="1">
      <c r="A1002" s="12"/>
      <c r="C1002" s="12"/>
      <c r="D1002" s="87"/>
      <c r="F1002" s="14"/>
      <c r="G1002" s="14"/>
      <c r="H1002" s="14"/>
      <c r="I1002" s="14"/>
      <c r="J1002" s="14"/>
      <c r="K1002" s="302"/>
    </row>
    <row r="1003" ht="19.5" customHeight="1">
      <c r="A1003" s="12"/>
      <c r="C1003" s="12"/>
      <c r="D1003" s="87"/>
      <c r="F1003" s="14"/>
      <c r="G1003" s="14"/>
      <c r="H1003" s="14"/>
      <c r="I1003" s="14"/>
      <c r="J1003" s="14"/>
      <c r="K1003" s="302"/>
    </row>
    <row r="1004" ht="19.5" customHeight="1">
      <c r="A1004" s="12"/>
      <c r="C1004" s="12"/>
      <c r="D1004" s="87"/>
      <c r="F1004" s="14"/>
      <c r="G1004" s="14"/>
      <c r="H1004" s="14"/>
      <c r="I1004" s="14"/>
      <c r="J1004" s="14"/>
      <c r="K1004" s="302"/>
    </row>
    <row r="1005" ht="19.5" customHeight="1">
      <c r="A1005" s="12"/>
      <c r="C1005" s="12"/>
      <c r="D1005" s="87"/>
      <c r="F1005" s="14"/>
      <c r="G1005" s="14"/>
      <c r="H1005" s="14"/>
      <c r="I1005" s="14"/>
      <c r="J1005" s="14"/>
      <c r="K1005" s="302"/>
    </row>
    <row r="1006" ht="19.5" customHeight="1">
      <c r="A1006" s="12"/>
      <c r="C1006" s="12"/>
      <c r="D1006" s="87"/>
      <c r="F1006" s="14"/>
      <c r="G1006" s="14"/>
      <c r="H1006" s="14"/>
      <c r="I1006" s="14"/>
      <c r="J1006" s="14"/>
      <c r="K1006" s="302"/>
    </row>
    <row r="1007" ht="19.5" customHeight="1">
      <c r="A1007" s="12"/>
      <c r="C1007" s="12"/>
      <c r="D1007" s="87"/>
      <c r="F1007" s="14"/>
      <c r="G1007" s="14"/>
      <c r="H1007" s="14"/>
      <c r="I1007" s="14"/>
      <c r="J1007" s="14"/>
      <c r="K1007" s="302"/>
    </row>
    <row r="1008" ht="19.5" customHeight="1">
      <c r="A1008" s="12"/>
      <c r="C1008" s="12"/>
      <c r="D1008" s="87"/>
      <c r="F1008" s="14"/>
      <c r="G1008" s="14"/>
      <c r="H1008" s="14"/>
      <c r="I1008" s="14"/>
      <c r="J1008" s="14"/>
      <c r="K1008" s="302"/>
    </row>
    <row r="1009" ht="19.5" customHeight="1">
      <c r="A1009" s="12"/>
      <c r="C1009" s="12"/>
      <c r="D1009" s="87"/>
      <c r="F1009" s="14"/>
      <c r="G1009" s="14"/>
      <c r="H1009" s="14"/>
      <c r="I1009" s="14"/>
      <c r="J1009" s="14"/>
      <c r="K1009" s="302"/>
    </row>
    <row r="1010" ht="19.5" customHeight="1">
      <c r="A1010" s="12"/>
      <c r="C1010" s="12"/>
      <c r="D1010" s="87"/>
      <c r="F1010" s="14"/>
      <c r="G1010" s="14"/>
      <c r="H1010" s="14"/>
      <c r="I1010" s="14"/>
      <c r="J1010" s="14"/>
      <c r="K1010" s="302"/>
    </row>
    <row r="1011" ht="19.5" customHeight="1">
      <c r="A1011" s="12"/>
      <c r="C1011" s="12"/>
      <c r="D1011" s="87"/>
      <c r="F1011" s="14"/>
      <c r="G1011" s="14"/>
      <c r="H1011" s="14"/>
      <c r="I1011" s="14"/>
      <c r="J1011" s="14"/>
      <c r="K1011" s="302"/>
    </row>
    <row r="1012" ht="19.5" customHeight="1">
      <c r="A1012" s="12"/>
      <c r="C1012" s="12"/>
      <c r="D1012" s="87"/>
      <c r="F1012" s="14"/>
      <c r="G1012" s="14"/>
      <c r="H1012" s="14"/>
      <c r="I1012" s="14"/>
      <c r="J1012" s="14"/>
      <c r="K1012" s="302"/>
    </row>
    <row r="1013" ht="19.5" customHeight="1">
      <c r="A1013" s="12"/>
      <c r="C1013" s="12"/>
      <c r="D1013" s="87"/>
      <c r="F1013" s="14"/>
      <c r="G1013" s="14"/>
      <c r="H1013" s="14"/>
      <c r="I1013" s="14"/>
      <c r="J1013" s="14"/>
      <c r="K1013" s="302"/>
    </row>
    <row r="1014" ht="19.5" customHeight="1">
      <c r="A1014" s="12"/>
      <c r="C1014" s="12"/>
      <c r="D1014" s="87"/>
      <c r="F1014" s="14"/>
      <c r="G1014" s="14"/>
      <c r="H1014" s="14"/>
      <c r="I1014" s="14"/>
      <c r="J1014" s="14"/>
      <c r="K1014" s="302"/>
    </row>
    <row r="1015" ht="19.5" customHeight="1">
      <c r="A1015" s="12"/>
      <c r="C1015" s="12"/>
      <c r="D1015" s="87"/>
      <c r="F1015" s="14"/>
      <c r="G1015" s="14"/>
      <c r="H1015" s="14"/>
      <c r="I1015" s="14"/>
      <c r="J1015" s="14"/>
      <c r="K1015" s="302"/>
    </row>
    <row r="1016" ht="19.5" customHeight="1">
      <c r="A1016" s="12"/>
      <c r="C1016" s="12"/>
      <c r="D1016" s="87"/>
      <c r="F1016" s="14"/>
      <c r="G1016" s="14"/>
      <c r="H1016" s="14"/>
      <c r="I1016" s="14"/>
      <c r="J1016" s="14"/>
      <c r="K1016" s="302"/>
    </row>
    <row r="1017" ht="19.5" customHeight="1">
      <c r="A1017" s="12"/>
      <c r="C1017" s="12"/>
      <c r="D1017" s="87"/>
      <c r="F1017" s="14"/>
      <c r="G1017" s="14"/>
      <c r="H1017" s="14"/>
      <c r="I1017" s="14"/>
      <c r="J1017" s="14"/>
      <c r="K1017" s="302"/>
    </row>
    <row r="1018" ht="19.5" customHeight="1">
      <c r="A1018" s="12"/>
      <c r="C1018" s="12"/>
      <c r="D1018" s="87"/>
      <c r="F1018" s="14"/>
      <c r="G1018" s="14"/>
      <c r="H1018" s="14"/>
      <c r="I1018" s="14"/>
      <c r="J1018" s="14"/>
      <c r="K1018" s="302"/>
    </row>
    <row r="1019" ht="19.5" customHeight="1">
      <c r="A1019" s="12"/>
      <c r="C1019" s="12"/>
      <c r="D1019" s="87"/>
      <c r="F1019" s="14"/>
      <c r="G1019" s="14"/>
      <c r="H1019" s="14"/>
      <c r="I1019" s="14"/>
      <c r="J1019" s="14"/>
      <c r="K1019" s="302"/>
    </row>
    <row r="1020" ht="19.5" customHeight="1">
      <c r="A1020" s="12"/>
      <c r="C1020" s="12"/>
      <c r="D1020" s="87"/>
      <c r="F1020" s="14"/>
      <c r="G1020" s="14"/>
      <c r="H1020" s="14"/>
      <c r="I1020" s="14"/>
      <c r="J1020" s="14"/>
      <c r="K1020" s="302"/>
    </row>
    <row r="1021" ht="19.5" customHeight="1">
      <c r="A1021" s="12"/>
      <c r="C1021" s="12"/>
      <c r="D1021" s="87"/>
      <c r="F1021" s="14"/>
      <c r="G1021" s="14"/>
      <c r="H1021" s="14"/>
      <c r="I1021" s="14"/>
      <c r="J1021" s="14"/>
      <c r="K1021" s="302"/>
    </row>
    <row r="1022" ht="19.5" customHeight="1">
      <c r="A1022" s="12"/>
      <c r="C1022" s="12"/>
      <c r="D1022" s="87"/>
      <c r="F1022" s="14"/>
      <c r="G1022" s="14"/>
      <c r="H1022" s="14"/>
      <c r="I1022" s="14"/>
      <c r="J1022" s="14"/>
      <c r="K1022" s="302"/>
    </row>
    <row r="1023" ht="19.5" customHeight="1">
      <c r="A1023" s="12"/>
      <c r="C1023" s="12"/>
      <c r="D1023" s="87"/>
      <c r="F1023" s="14"/>
      <c r="G1023" s="14"/>
      <c r="H1023" s="14"/>
      <c r="I1023" s="14"/>
      <c r="J1023" s="14"/>
      <c r="K1023" s="302"/>
    </row>
    <row r="1024" ht="19.5" customHeight="1">
      <c r="A1024" s="12"/>
      <c r="C1024" s="12"/>
      <c r="D1024" s="87"/>
      <c r="F1024" s="14"/>
      <c r="G1024" s="14"/>
      <c r="H1024" s="14"/>
      <c r="I1024" s="14"/>
      <c r="J1024" s="14"/>
      <c r="K1024" s="302"/>
    </row>
    <row r="1025" ht="19.5" customHeight="1">
      <c r="A1025" s="12"/>
      <c r="C1025" s="12"/>
      <c r="D1025" s="87"/>
      <c r="F1025" s="14"/>
      <c r="G1025" s="14"/>
      <c r="H1025" s="14"/>
      <c r="I1025" s="14"/>
      <c r="J1025" s="14"/>
      <c r="K1025" s="302"/>
    </row>
    <row r="1026" ht="19.5" customHeight="1">
      <c r="A1026" s="12"/>
      <c r="C1026" s="12"/>
      <c r="D1026" s="87"/>
      <c r="F1026" s="14"/>
      <c r="G1026" s="14"/>
      <c r="H1026" s="14"/>
      <c r="I1026" s="14"/>
      <c r="J1026" s="14"/>
      <c r="K1026" s="302"/>
    </row>
    <row r="1027" ht="19.5" customHeight="1">
      <c r="A1027" s="12"/>
      <c r="C1027" s="12"/>
      <c r="D1027" s="87"/>
      <c r="F1027" s="14"/>
      <c r="G1027" s="14"/>
      <c r="H1027" s="14"/>
      <c r="I1027" s="14"/>
      <c r="J1027" s="14"/>
      <c r="K1027" s="302"/>
    </row>
    <row r="1028" ht="19.5" customHeight="1">
      <c r="A1028" s="12"/>
      <c r="C1028" s="12"/>
      <c r="D1028" s="87"/>
      <c r="F1028" s="14"/>
      <c r="G1028" s="14"/>
      <c r="H1028" s="14"/>
      <c r="I1028" s="14"/>
      <c r="J1028" s="14"/>
      <c r="K1028" s="302"/>
    </row>
    <row r="1029" ht="19.5" customHeight="1">
      <c r="A1029" s="12"/>
      <c r="C1029" s="12"/>
      <c r="D1029" s="87"/>
      <c r="F1029" s="14"/>
      <c r="G1029" s="14"/>
      <c r="H1029" s="14"/>
      <c r="I1029" s="14"/>
      <c r="J1029" s="14"/>
      <c r="K1029" s="302"/>
    </row>
    <row r="1030" ht="19.5" customHeight="1">
      <c r="A1030" s="12"/>
      <c r="C1030" s="12"/>
      <c r="D1030" s="87"/>
      <c r="F1030" s="14"/>
      <c r="G1030" s="14"/>
      <c r="H1030" s="14"/>
      <c r="I1030" s="14"/>
      <c r="J1030" s="14"/>
      <c r="K1030" s="302"/>
    </row>
    <row r="1031" ht="19.5" customHeight="1">
      <c r="A1031" s="12"/>
      <c r="C1031" s="12"/>
      <c r="D1031" s="87"/>
      <c r="F1031" s="14"/>
      <c r="G1031" s="14"/>
      <c r="H1031" s="14"/>
      <c r="I1031" s="14"/>
      <c r="J1031" s="14"/>
      <c r="K1031" s="302"/>
    </row>
    <row r="1032" ht="19.5" customHeight="1">
      <c r="A1032" s="12"/>
      <c r="C1032" s="12"/>
      <c r="D1032" s="87"/>
      <c r="F1032" s="14"/>
      <c r="G1032" s="14"/>
      <c r="H1032" s="14"/>
      <c r="I1032" s="14"/>
      <c r="J1032" s="14"/>
      <c r="K1032" s="302"/>
    </row>
    <row r="1033" ht="19.5" customHeight="1">
      <c r="A1033" s="12"/>
      <c r="C1033" s="12"/>
      <c r="D1033" s="87"/>
      <c r="F1033" s="14"/>
      <c r="G1033" s="14"/>
      <c r="H1033" s="14"/>
      <c r="I1033" s="14"/>
      <c r="J1033" s="14"/>
      <c r="K1033" s="302"/>
    </row>
    <row r="1034" ht="19.5" customHeight="1">
      <c r="A1034" s="12"/>
      <c r="C1034" s="12"/>
      <c r="D1034" s="87"/>
      <c r="F1034" s="14"/>
      <c r="G1034" s="14"/>
      <c r="H1034" s="14"/>
      <c r="I1034" s="14"/>
      <c r="J1034" s="14"/>
      <c r="K1034" s="302"/>
    </row>
    <row r="1035" ht="19.5" customHeight="1">
      <c r="A1035" s="12"/>
      <c r="C1035" s="12"/>
      <c r="D1035" s="87"/>
      <c r="F1035" s="14"/>
      <c r="G1035" s="14"/>
      <c r="H1035" s="14"/>
      <c r="I1035" s="14"/>
      <c r="J1035" s="14"/>
      <c r="K1035" s="302"/>
    </row>
    <row r="1036" ht="19.5" customHeight="1">
      <c r="A1036" s="12"/>
      <c r="C1036" s="12"/>
      <c r="D1036" s="87"/>
      <c r="F1036" s="14"/>
      <c r="G1036" s="14"/>
      <c r="H1036" s="14"/>
      <c r="I1036" s="14"/>
      <c r="J1036" s="14"/>
      <c r="K1036" s="302"/>
    </row>
    <row r="1037" ht="19.5" customHeight="1">
      <c r="A1037" s="12"/>
      <c r="C1037" s="12"/>
      <c r="D1037" s="87"/>
      <c r="F1037" s="14"/>
      <c r="G1037" s="14"/>
      <c r="H1037" s="14"/>
      <c r="I1037" s="14"/>
      <c r="J1037" s="14"/>
      <c r="K1037" s="302"/>
    </row>
    <row r="1038" ht="19.5" customHeight="1">
      <c r="A1038" s="12"/>
      <c r="C1038" s="12"/>
      <c r="D1038" s="87"/>
      <c r="F1038" s="14"/>
      <c r="G1038" s="14"/>
      <c r="H1038" s="14"/>
      <c r="I1038" s="14"/>
      <c r="J1038" s="14"/>
      <c r="K1038" s="302"/>
    </row>
    <row r="1039" ht="19.5" customHeight="1">
      <c r="A1039" s="12"/>
      <c r="C1039" s="12"/>
      <c r="D1039" s="87"/>
      <c r="F1039" s="14"/>
      <c r="G1039" s="14"/>
      <c r="H1039" s="14"/>
      <c r="I1039" s="14"/>
      <c r="J1039" s="14"/>
      <c r="K1039" s="302"/>
    </row>
    <row r="1040" ht="19.5" customHeight="1">
      <c r="A1040" s="12"/>
      <c r="C1040" s="12"/>
      <c r="D1040" s="87"/>
      <c r="F1040" s="14"/>
      <c r="G1040" s="14"/>
      <c r="H1040" s="14"/>
      <c r="I1040" s="14"/>
      <c r="J1040" s="14"/>
      <c r="K1040" s="302"/>
    </row>
    <row r="1041" ht="19.5" customHeight="1">
      <c r="A1041" s="12"/>
      <c r="C1041" s="12"/>
      <c r="D1041" s="87"/>
      <c r="F1041" s="14"/>
      <c r="G1041" s="14"/>
      <c r="H1041" s="14"/>
      <c r="I1041" s="14"/>
      <c r="J1041" s="14"/>
      <c r="K1041" s="302"/>
    </row>
    <row r="1042" ht="19.5" customHeight="1">
      <c r="A1042" s="12"/>
      <c r="C1042" s="12"/>
      <c r="D1042" s="87"/>
      <c r="F1042" s="14"/>
      <c r="G1042" s="14"/>
      <c r="H1042" s="14"/>
      <c r="I1042" s="14"/>
      <c r="J1042" s="14"/>
      <c r="K1042" s="302"/>
    </row>
    <row r="1043" ht="19.5" customHeight="1">
      <c r="A1043" s="12"/>
      <c r="C1043" s="12"/>
      <c r="D1043" s="87"/>
      <c r="F1043" s="14"/>
      <c r="G1043" s="14"/>
      <c r="H1043" s="14"/>
      <c r="I1043" s="14"/>
      <c r="J1043" s="14"/>
      <c r="K1043" s="302"/>
    </row>
    <row r="1044" ht="19.5" customHeight="1">
      <c r="A1044" s="12"/>
      <c r="C1044" s="12"/>
      <c r="D1044" s="87"/>
      <c r="F1044" s="14"/>
      <c r="G1044" s="14"/>
      <c r="H1044" s="14"/>
      <c r="I1044" s="14"/>
      <c r="J1044" s="14"/>
      <c r="K1044" s="302"/>
    </row>
    <row r="1045" ht="19.5" customHeight="1">
      <c r="A1045" s="12"/>
      <c r="C1045" s="12"/>
      <c r="D1045" s="87"/>
      <c r="F1045" s="14"/>
      <c r="G1045" s="14"/>
      <c r="H1045" s="14"/>
      <c r="I1045" s="14"/>
      <c r="J1045" s="14"/>
      <c r="K1045" s="302"/>
    </row>
    <row r="1046" ht="19.5" customHeight="1">
      <c r="A1046" s="12"/>
      <c r="C1046" s="12"/>
      <c r="D1046" s="87"/>
      <c r="F1046" s="14"/>
      <c r="G1046" s="14"/>
      <c r="H1046" s="14"/>
      <c r="I1046" s="14"/>
      <c r="J1046" s="14"/>
      <c r="K1046" s="302"/>
    </row>
    <row r="1047" ht="19.5" customHeight="1">
      <c r="A1047" s="12"/>
      <c r="C1047" s="12"/>
      <c r="D1047" s="87"/>
      <c r="F1047" s="14"/>
      <c r="G1047" s="14"/>
      <c r="H1047" s="14"/>
      <c r="I1047" s="14"/>
      <c r="J1047" s="14"/>
      <c r="K1047" s="302"/>
    </row>
    <row r="1048" ht="19.5" customHeight="1">
      <c r="A1048" s="12"/>
      <c r="C1048" s="12"/>
      <c r="D1048" s="87"/>
      <c r="F1048" s="14"/>
      <c r="G1048" s="14"/>
      <c r="H1048" s="14"/>
      <c r="I1048" s="14"/>
      <c r="J1048" s="14"/>
      <c r="K1048" s="302"/>
    </row>
    <row r="1049" ht="19.5" customHeight="1">
      <c r="A1049" s="12"/>
      <c r="C1049" s="12"/>
      <c r="D1049" s="87"/>
      <c r="F1049" s="14"/>
      <c r="G1049" s="14"/>
      <c r="H1049" s="14"/>
      <c r="I1049" s="14"/>
      <c r="J1049" s="14"/>
      <c r="K1049" s="302"/>
    </row>
    <row r="1050" ht="19.5" customHeight="1">
      <c r="A1050" s="12"/>
      <c r="C1050" s="12"/>
      <c r="D1050" s="87"/>
      <c r="F1050" s="14"/>
      <c r="G1050" s="14"/>
      <c r="H1050" s="14"/>
      <c r="I1050" s="14"/>
      <c r="J1050" s="14"/>
      <c r="K1050" s="302"/>
    </row>
    <row r="1051" ht="19.5" customHeight="1">
      <c r="A1051" s="12"/>
      <c r="C1051" s="12"/>
      <c r="D1051" s="87"/>
      <c r="F1051" s="14"/>
      <c r="G1051" s="14"/>
      <c r="H1051" s="14"/>
      <c r="I1051" s="14"/>
      <c r="J1051" s="14"/>
      <c r="K1051" s="302"/>
    </row>
    <row r="1052" ht="19.5" customHeight="1">
      <c r="A1052" s="12"/>
      <c r="C1052" s="12"/>
      <c r="D1052" s="87"/>
      <c r="F1052" s="14"/>
      <c r="G1052" s="14"/>
      <c r="H1052" s="14"/>
      <c r="I1052" s="14"/>
      <c r="J1052" s="14"/>
      <c r="K1052" s="302"/>
    </row>
    <row r="1053" ht="19.5" customHeight="1">
      <c r="A1053" s="12"/>
      <c r="C1053" s="12"/>
      <c r="D1053" s="87"/>
      <c r="F1053" s="14"/>
      <c r="G1053" s="14"/>
      <c r="H1053" s="14"/>
      <c r="I1053" s="14"/>
      <c r="J1053" s="14"/>
      <c r="K1053" s="302"/>
    </row>
    <row r="1054" ht="19.5" customHeight="1">
      <c r="A1054" s="12"/>
      <c r="C1054" s="12"/>
      <c r="D1054" s="87"/>
      <c r="F1054" s="14"/>
      <c r="G1054" s="14"/>
      <c r="H1054" s="14"/>
      <c r="I1054" s="14"/>
      <c r="J1054" s="14"/>
      <c r="K1054" s="302"/>
    </row>
    <row r="1055" ht="19.5" customHeight="1">
      <c r="A1055" s="12"/>
      <c r="C1055" s="12"/>
      <c r="D1055" s="87"/>
      <c r="F1055" s="14"/>
      <c r="G1055" s="14"/>
      <c r="H1055" s="14"/>
      <c r="I1055" s="14"/>
      <c r="J1055" s="14"/>
      <c r="K1055" s="302"/>
    </row>
    <row r="1056" ht="19.5" customHeight="1">
      <c r="A1056" s="12"/>
      <c r="C1056" s="12"/>
      <c r="D1056" s="87"/>
      <c r="F1056" s="14"/>
      <c r="G1056" s="14"/>
      <c r="H1056" s="14"/>
      <c r="I1056" s="14"/>
      <c r="J1056" s="14"/>
      <c r="K1056" s="302"/>
    </row>
    <row r="1057" ht="19.5" customHeight="1">
      <c r="A1057" s="12"/>
      <c r="C1057" s="12"/>
      <c r="D1057" s="87"/>
      <c r="F1057" s="14"/>
      <c r="G1057" s="14"/>
      <c r="H1057" s="14"/>
      <c r="I1057" s="14"/>
      <c r="J1057" s="14"/>
      <c r="K1057" s="302"/>
    </row>
    <row r="1058" ht="19.5" customHeight="1">
      <c r="A1058" s="12"/>
      <c r="C1058" s="12"/>
      <c r="D1058" s="87"/>
      <c r="F1058" s="14"/>
      <c r="G1058" s="14"/>
      <c r="H1058" s="14"/>
      <c r="I1058" s="14"/>
      <c r="J1058" s="14"/>
      <c r="K1058" s="302"/>
    </row>
    <row r="1059" ht="19.5" customHeight="1">
      <c r="A1059" s="12"/>
      <c r="C1059" s="12"/>
      <c r="D1059" s="87"/>
      <c r="F1059" s="14"/>
      <c r="G1059" s="14"/>
      <c r="H1059" s="14"/>
      <c r="I1059" s="14"/>
      <c r="J1059" s="14"/>
      <c r="K1059" s="302"/>
    </row>
    <row r="1060" ht="19.5" customHeight="1">
      <c r="A1060" s="12"/>
      <c r="C1060" s="12"/>
      <c r="D1060" s="87"/>
      <c r="F1060" s="14"/>
      <c r="G1060" s="14"/>
      <c r="H1060" s="14"/>
      <c r="I1060" s="14"/>
      <c r="J1060" s="14"/>
      <c r="K1060" s="302"/>
    </row>
    <row r="1061" ht="19.5" customHeight="1">
      <c r="A1061" s="12"/>
      <c r="C1061" s="12"/>
      <c r="D1061" s="87"/>
      <c r="F1061" s="14"/>
      <c r="G1061" s="14"/>
      <c r="H1061" s="14"/>
      <c r="I1061" s="14"/>
      <c r="J1061" s="14"/>
      <c r="K1061" s="302"/>
    </row>
    <row r="1062" ht="19.5" customHeight="1">
      <c r="A1062" s="12"/>
      <c r="C1062" s="12"/>
      <c r="D1062" s="87"/>
      <c r="F1062" s="14"/>
      <c r="G1062" s="14"/>
      <c r="H1062" s="14"/>
      <c r="I1062" s="14"/>
      <c r="J1062" s="14"/>
      <c r="K1062" s="302"/>
    </row>
    <row r="1063" ht="19.5" customHeight="1">
      <c r="A1063" s="12"/>
      <c r="C1063" s="12"/>
      <c r="D1063" s="87"/>
      <c r="F1063" s="14"/>
      <c r="G1063" s="14"/>
      <c r="H1063" s="14"/>
      <c r="I1063" s="14"/>
      <c r="J1063" s="14"/>
      <c r="K1063" s="302"/>
    </row>
    <row r="1064" ht="19.5" customHeight="1">
      <c r="A1064" s="12"/>
      <c r="C1064" s="12"/>
      <c r="D1064" s="87"/>
      <c r="F1064" s="14"/>
      <c r="G1064" s="14"/>
      <c r="H1064" s="14"/>
      <c r="I1064" s="14"/>
      <c r="J1064" s="14"/>
      <c r="K1064" s="302"/>
    </row>
    <row r="1065" ht="19.5" customHeight="1">
      <c r="A1065" s="12"/>
      <c r="C1065" s="12"/>
      <c r="D1065" s="87"/>
      <c r="F1065" s="14"/>
      <c r="G1065" s="14"/>
      <c r="H1065" s="14"/>
      <c r="I1065" s="14"/>
      <c r="J1065" s="14"/>
      <c r="K1065" s="302"/>
    </row>
    <row r="1066" ht="19.5" customHeight="1">
      <c r="A1066" s="12"/>
      <c r="C1066" s="12"/>
      <c r="D1066" s="87"/>
      <c r="F1066" s="14"/>
      <c r="G1066" s="14"/>
      <c r="H1066" s="14"/>
      <c r="I1066" s="14"/>
      <c r="J1066" s="14"/>
      <c r="K1066" s="302"/>
    </row>
    <row r="1067" ht="19.5" customHeight="1">
      <c r="A1067" s="12"/>
      <c r="C1067" s="12"/>
      <c r="D1067" s="87"/>
      <c r="F1067" s="14"/>
      <c r="G1067" s="14"/>
      <c r="H1067" s="14"/>
      <c r="I1067" s="14"/>
      <c r="J1067" s="14"/>
      <c r="K1067" s="302"/>
    </row>
    <row r="1068" ht="19.5" customHeight="1">
      <c r="A1068" s="12"/>
      <c r="C1068" s="12"/>
      <c r="D1068" s="87"/>
      <c r="F1068" s="14"/>
      <c r="G1068" s="14"/>
      <c r="H1068" s="14"/>
      <c r="I1068" s="14"/>
      <c r="J1068" s="14"/>
      <c r="K1068" s="302"/>
    </row>
    <row r="1069" ht="19.5" customHeight="1">
      <c r="A1069" s="12"/>
      <c r="C1069" s="12"/>
      <c r="D1069" s="87"/>
      <c r="F1069" s="14"/>
      <c r="G1069" s="14"/>
      <c r="H1069" s="14"/>
      <c r="I1069" s="14"/>
      <c r="J1069" s="14"/>
      <c r="K1069" s="302"/>
    </row>
    <row r="1070" ht="19.5" customHeight="1">
      <c r="A1070" s="12"/>
      <c r="C1070" s="12"/>
      <c r="D1070" s="87"/>
      <c r="F1070" s="14"/>
      <c r="G1070" s="14"/>
      <c r="H1070" s="14"/>
      <c r="I1070" s="14"/>
      <c r="J1070" s="14"/>
      <c r="K1070" s="302"/>
    </row>
    <row r="1071" ht="19.5" customHeight="1">
      <c r="A1071" s="12"/>
      <c r="C1071" s="12"/>
      <c r="D1071" s="87"/>
      <c r="F1071" s="14"/>
      <c r="G1071" s="14"/>
      <c r="H1071" s="14"/>
      <c r="I1071" s="14"/>
      <c r="J1071" s="14"/>
      <c r="K1071" s="302"/>
    </row>
    <row r="1072" ht="19.5" customHeight="1">
      <c r="A1072" s="12"/>
      <c r="C1072" s="12"/>
      <c r="D1072" s="87"/>
      <c r="F1072" s="14"/>
      <c r="G1072" s="14"/>
      <c r="H1072" s="14"/>
      <c r="I1072" s="14"/>
      <c r="J1072" s="14"/>
      <c r="K1072" s="302"/>
    </row>
    <row r="1073" ht="19.5" customHeight="1">
      <c r="A1073" s="12"/>
      <c r="C1073" s="12"/>
      <c r="D1073" s="87"/>
      <c r="F1073" s="14"/>
      <c r="G1073" s="14"/>
      <c r="H1073" s="14"/>
      <c r="I1073" s="14"/>
      <c r="J1073" s="14"/>
      <c r="K1073" s="302"/>
    </row>
    <row r="1074" ht="19.5" customHeight="1">
      <c r="A1074" s="12"/>
      <c r="C1074" s="12"/>
      <c r="D1074" s="87"/>
      <c r="F1074" s="14"/>
      <c r="G1074" s="14"/>
      <c r="H1074" s="14"/>
      <c r="I1074" s="14"/>
      <c r="J1074" s="14"/>
      <c r="K1074" s="302"/>
    </row>
    <row r="1075" ht="19.5" customHeight="1">
      <c r="A1075" s="12"/>
      <c r="C1075" s="12"/>
      <c r="D1075" s="87"/>
      <c r="F1075" s="14"/>
      <c r="G1075" s="14"/>
      <c r="H1075" s="14"/>
      <c r="I1075" s="14"/>
      <c r="J1075" s="14"/>
      <c r="K1075" s="302"/>
    </row>
    <row r="1076" ht="19.5" customHeight="1">
      <c r="A1076" s="12"/>
      <c r="C1076" s="12"/>
      <c r="D1076" s="87"/>
      <c r="F1076" s="14"/>
      <c r="G1076" s="14"/>
      <c r="H1076" s="14"/>
      <c r="I1076" s="14"/>
      <c r="J1076" s="14"/>
      <c r="K1076" s="302"/>
    </row>
    <row r="1077" ht="19.5" customHeight="1">
      <c r="A1077" s="12"/>
      <c r="C1077" s="12"/>
      <c r="D1077" s="87"/>
      <c r="F1077" s="14"/>
      <c r="G1077" s="14"/>
      <c r="H1077" s="14"/>
      <c r="I1077" s="14"/>
      <c r="J1077" s="14"/>
      <c r="K1077" s="302"/>
    </row>
    <row r="1078" ht="19.5" customHeight="1">
      <c r="A1078" s="12"/>
      <c r="C1078" s="12"/>
      <c r="D1078" s="87"/>
      <c r="F1078" s="14"/>
      <c r="G1078" s="14"/>
      <c r="H1078" s="14"/>
      <c r="I1078" s="14"/>
      <c r="J1078" s="14"/>
      <c r="K1078" s="302"/>
    </row>
    <row r="1079" ht="19.5" customHeight="1">
      <c r="A1079" s="12"/>
      <c r="C1079" s="12"/>
      <c r="D1079" s="87"/>
      <c r="F1079" s="14"/>
      <c r="G1079" s="14"/>
      <c r="H1079" s="14"/>
      <c r="I1079" s="14"/>
      <c r="J1079" s="14"/>
      <c r="K1079" s="302"/>
    </row>
    <row r="1080" ht="19.5" customHeight="1">
      <c r="A1080" s="12"/>
      <c r="C1080" s="12"/>
      <c r="D1080" s="87"/>
      <c r="F1080" s="14"/>
      <c r="G1080" s="14"/>
      <c r="H1080" s="14"/>
      <c r="I1080" s="14"/>
      <c r="J1080" s="14"/>
      <c r="K1080" s="302"/>
    </row>
    <row r="1081" ht="19.5" customHeight="1">
      <c r="A1081" s="12"/>
      <c r="C1081" s="12"/>
      <c r="D1081" s="87"/>
      <c r="F1081" s="14"/>
      <c r="G1081" s="14"/>
      <c r="H1081" s="14"/>
      <c r="I1081" s="14"/>
      <c r="J1081" s="14"/>
      <c r="K1081" s="302"/>
    </row>
    <row r="1082" ht="19.5" customHeight="1">
      <c r="A1082" s="12"/>
      <c r="C1082" s="12"/>
      <c r="D1082" s="87"/>
      <c r="F1082" s="14"/>
      <c r="G1082" s="14"/>
      <c r="H1082" s="14"/>
      <c r="I1082" s="14"/>
      <c r="J1082" s="14"/>
      <c r="K1082" s="302"/>
    </row>
    <row r="1083" ht="19.5" customHeight="1">
      <c r="A1083" s="12"/>
      <c r="C1083" s="12"/>
      <c r="D1083" s="87"/>
      <c r="F1083" s="14"/>
      <c r="G1083" s="14"/>
      <c r="H1083" s="14"/>
      <c r="I1083" s="14"/>
      <c r="J1083" s="14"/>
      <c r="K1083" s="302"/>
    </row>
    <row r="1084" ht="19.5" customHeight="1">
      <c r="A1084" s="12"/>
      <c r="C1084" s="12"/>
      <c r="D1084" s="87"/>
      <c r="F1084" s="14"/>
      <c r="G1084" s="14"/>
      <c r="H1084" s="14"/>
      <c r="I1084" s="14"/>
      <c r="J1084" s="14"/>
      <c r="K1084" s="302"/>
    </row>
    <row r="1085" ht="19.5" customHeight="1">
      <c r="A1085" s="12"/>
      <c r="C1085" s="12"/>
      <c r="D1085" s="87"/>
      <c r="F1085" s="14"/>
      <c r="G1085" s="14"/>
      <c r="H1085" s="14"/>
      <c r="I1085" s="14"/>
      <c r="J1085" s="14"/>
      <c r="K1085" s="302"/>
    </row>
    <row r="1086" ht="19.5" customHeight="1">
      <c r="A1086" s="12"/>
      <c r="C1086" s="12"/>
      <c r="D1086" s="87"/>
      <c r="F1086" s="14"/>
      <c r="G1086" s="14"/>
      <c r="H1086" s="14"/>
      <c r="I1086" s="14"/>
      <c r="J1086" s="14"/>
      <c r="K1086" s="302"/>
    </row>
    <row r="1087" ht="19.5" customHeight="1">
      <c r="A1087" s="12"/>
      <c r="C1087" s="12"/>
      <c r="D1087" s="87"/>
      <c r="F1087" s="14"/>
      <c r="G1087" s="14"/>
      <c r="H1087" s="14"/>
      <c r="I1087" s="14"/>
      <c r="J1087" s="14"/>
      <c r="K1087" s="302"/>
    </row>
    <row r="1088" ht="19.5" customHeight="1">
      <c r="A1088" s="12"/>
      <c r="C1088" s="12"/>
      <c r="D1088" s="87"/>
      <c r="F1088" s="14"/>
      <c r="G1088" s="14"/>
      <c r="H1088" s="14"/>
      <c r="I1088" s="14"/>
      <c r="J1088" s="14"/>
      <c r="K1088" s="302"/>
    </row>
    <row r="1089" ht="19.5" customHeight="1">
      <c r="A1089" s="12"/>
      <c r="C1089" s="12"/>
      <c r="D1089" s="87"/>
      <c r="F1089" s="14"/>
      <c r="G1089" s="14"/>
      <c r="H1089" s="14"/>
      <c r="I1089" s="14"/>
      <c r="J1089" s="14"/>
      <c r="K1089" s="302"/>
    </row>
    <row r="1090" ht="19.5" customHeight="1">
      <c r="A1090" s="12"/>
      <c r="C1090" s="12"/>
      <c r="D1090" s="87"/>
      <c r="F1090" s="14"/>
      <c r="G1090" s="14"/>
      <c r="H1090" s="14"/>
      <c r="I1090" s="14"/>
      <c r="J1090" s="14"/>
      <c r="K1090" s="302"/>
    </row>
    <row r="1091" ht="19.5" customHeight="1">
      <c r="A1091" s="12"/>
      <c r="C1091" s="12"/>
      <c r="D1091" s="87"/>
      <c r="F1091" s="14"/>
      <c r="G1091" s="14"/>
      <c r="H1091" s="14"/>
      <c r="I1091" s="14"/>
      <c r="J1091" s="14"/>
      <c r="K1091" s="302"/>
    </row>
    <row r="1092" ht="19.5" customHeight="1">
      <c r="A1092" s="12"/>
      <c r="C1092" s="12"/>
      <c r="D1092" s="87"/>
      <c r="F1092" s="14"/>
      <c r="G1092" s="14"/>
      <c r="H1092" s="14"/>
      <c r="I1092" s="14"/>
      <c r="J1092" s="14"/>
      <c r="K1092" s="302"/>
    </row>
    <row r="1093" ht="19.5" customHeight="1">
      <c r="A1093" s="12"/>
      <c r="C1093" s="12"/>
      <c r="D1093" s="87"/>
      <c r="F1093" s="14"/>
      <c r="G1093" s="14"/>
      <c r="H1093" s="14"/>
      <c r="I1093" s="14"/>
      <c r="J1093" s="14"/>
      <c r="K1093" s="302"/>
    </row>
    <row r="1094" ht="19.5" customHeight="1">
      <c r="A1094" s="12"/>
      <c r="C1094" s="12"/>
      <c r="D1094" s="87"/>
      <c r="F1094" s="14"/>
      <c r="G1094" s="14"/>
      <c r="H1094" s="14"/>
      <c r="I1094" s="14"/>
      <c r="J1094" s="14"/>
      <c r="K1094" s="302"/>
    </row>
    <row r="1095" ht="19.5" customHeight="1">
      <c r="A1095" s="12"/>
      <c r="C1095" s="12"/>
      <c r="D1095" s="87"/>
      <c r="F1095" s="14"/>
      <c r="G1095" s="14"/>
      <c r="H1095" s="14"/>
      <c r="I1095" s="14"/>
      <c r="J1095" s="14"/>
      <c r="K1095" s="302"/>
    </row>
    <row r="1096" ht="19.5" customHeight="1">
      <c r="A1096" s="12"/>
      <c r="C1096" s="12"/>
      <c r="D1096" s="87"/>
      <c r="F1096" s="14"/>
      <c r="G1096" s="14"/>
      <c r="H1096" s="14"/>
      <c r="I1096" s="14"/>
      <c r="J1096" s="14"/>
      <c r="K1096" s="302"/>
    </row>
    <row r="1097" ht="19.5" customHeight="1">
      <c r="A1097" s="12"/>
      <c r="C1097" s="12"/>
      <c r="D1097" s="87"/>
      <c r="F1097" s="14"/>
      <c r="G1097" s="14"/>
      <c r="H1097" s="14"/>
      <c r="I1097" s="14"/>
      <c r="J1097" s="14"/>
      <c r="K1097" s="302"/>
    </row>
    <row r="1098" ht="19.5" customHeight="1">
      <c r="A1098" s="12"/>
      <c r="C1098" s="12"/>
      <c r="D1098" s="87"/>
      <c r="F1098" s="14"/>
      <c r="G1098" s="14"/>
      <c r="H1098" s="14"/>
      <c r="I1098" s="14"/>
      <c r="J1098" s="14"/>
      <c r="K1098" s="302"/>
    </row>
    <row r="1099" ht="19.5" customHeight="1">
      <c r="A1099" s="12"/>
      <c r="C1099" s="12"/>
      <c r="D1099" s="87"/>
      <c r="F1099" s="14"/>
      <c r="G1099" s="14"/>
      <c r="H1099" s="14"/>
      <c r="I1099" s="14"/>
      <c r="J1099" s="14"/>
      <c r="K1099" s="302"/>
    </row>
    <row r="1100" ht="19.5" customHeight="1">
      <c r="A1100" s="12"/>
      <c r="C1100" s="12"/>
      <c r="D1100" s="87"/>
      <c r="F1100" s="14"/>
      <c r="G1100" s="14"/>
      <c r="H1100" s="14"/>
      <c r="I1100" s="14"/>
      <c r="J1100" s="14"/>
      <c r="K1100" s="302"/>
    </row>
    <row r="1101" ht="19.5" customHeight="1">
      <c r="A1101" s="12"/>
      <c r="C1101" s="12"/>
      <c r="D1101" s="87"/>
      <c r="F1101" s="14"/>
      <c r="G1101" s="14"/>
      <c r="H1101" s="14"/>
      <c r="I1101" s="14"/>
      <c r="J1101" s="14"/>
      <c r="K1101" s="302"/>
    </row>
    <row r="1102" ht="19.5" customHeight="1">
      <c r="A1102" s="12"/>
      <c r="C1102" s="12"/>
      <c r="D1102" s="87"/>
      <c r="F1102" s="14"/>
      <c r="G1102" s="14"/>
      <c r="H1102" s="14"/>
      <c r="I1102" s="14"/>
      <c r="J1102" s="14"/>
      <c r="K1102" s="302"/>
    </row>
    <row r="1103" ht="19.5" customHeight="1">
      <c r="A1103" s="12"/>
      <c r="C1103" s="12"/>
      <c r="D1103" s="87"/>
      <c r="F1103" s="14"/>
      <c r="G1103" s="14"/>
      <c r="H1103" s="14"/>
      <c r="I1103" s="14"/>
      <c r="J1103" s="14"/>
      <c r="K1103" s="302"/>
    </row>
  </sheetData>
  <mergeCells count="12">
    <mergeCell ref="J162:J163"/>
    <mergeCell ref="J166:J167"/>
    <mergeCell ref="J178:J179"/>
    <mergeCell ref="J180:J184"/>
    <mergeCell ref="J270:J271"/>
    <mergeCell ref="A6:K6"/>
    <mergeCell ref="A7:K7"/>
    <mergeCell ref="A8:K8"/>
    <mergeCell ref="A9:K9"/>
    <mergeCell ref="A89:K89"/>
    <mergeCell ref="J135:J141"/>
    <mergeCell ref="J143:J150"/>
  </mergeCells>
  <printOptions/>
  <pageMargins bottom="0.787401575" footer="0.0" header="0.0" left="0.511811024" right="0.511811024" top="0.787401575"/>
  <pageSetup paperSize="9" scale="80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42.13"/>
    <col customWidth="1" min="3" max="3" width="9.13"/>
    <col customWidth="1" min="4" max="4" width="16.25"/>
    <col customWidth="1" min="5" max="5" width="19.13"/>
    <col customWidth="1" min="6" max="6" width="17.75"/>
    <col customWidth="1" min="7" max="7" width="21.88"/>
    <col customWidth="1" min="8" max="8" width="20.13"/>
    <col customWidth="1" min="9" max="9" width="16.13"/>
    <col customWidth="1" min="10" max="10" width="18.25"/>
    <col customWidth="1" min="11" max="11" width="32.38"/>
    <col customWidth="1" min="12" max="26" width="8.63"/>
  </cols>
  <sheetData>
    <row r="1" ht="19.5" customHeight="1">
      <c r="A1" s="4"/>
      <c r="B1" s="5"/>
      <c r="C1" s="6"/>
      <c r="D1" s="86"/>
      <c r="E1" s="5"/>
      <c r="F1" s="8"/>
      <c r="G1" s="8"/>
      <c r="H1" s="8"/>
      <c r="I1" s="8"/>
      <c r="J1" s="8"/>
      <c r="K1" s="9"/>
    </row>
    <row r="2" ht="19.5" customHeight="1">
      <c r="A2" s="10" t="s">
        <v>83</v>
      </c>
      <c r="B2" s="11" t="s">
        <v>84</v>
      </c>
      <c r="C2" s="12"/>
      <c r="D2" s="87"/>
      <c r="F2" s="14"/>
      <c r="G2" s="14"/>
      <c r="H2" s="14"/>
      <c r="I2" s="14"/>
      <c r="J2" s="17" t="s">
        <v>144</v>
      </c>
      <c r="K2" s="18"/>
    </row>
    <row r="3" ht="19.5" customHeight="1">
      <c r="A3" s="10" t="s">
        <v>86</v>
      </c>
      <c r="B3" s="11" t="s">
        <v>87</v>
      </c>
      <c r="C3" s="12"/>
      <c r="D3" s="87"/>
      <c r="F3" s="14"/>
      <c r="G3" s="14"/>
      <c r="H3" s="14"/>
      <c r="I3" s="15"/>
      <c r="J3" s="16" t="s">
        <v>85</v>
      </c>
      <c r="K3" s="18"/>
    </row>
    <row r="4" ht="19.5" customHeight="1">
      <c r="A4" s="19"/>
      <c r="C4" s="12"/>
      <c r="D4" s="87"/>
      <c r="F4" s="14"/>
      <c r="G4" s="14"/>
      <c r="H4" s="14"/>
      <c r="I4" s="308"/>
      <c r="J4" s="16" t="s">
        <v>85</v>
      </c>
      <c r="K4" s="18"/>
    </row>
    <row r="5" ht="19.5" customHeight="1">
      <c r="A5" s="19"/>
      <c r="C5" s="12"/>
      <c r="D5" s="87"/>
      <c r="F5" s="14"/>
      <c r="G5" s="14"/>
      <c r="H5" s="14"/>
      <c r="I5" s="14"/>
      <c r="J5" s="14"/>
      <c r="K5" s="18"/>
    </row>
    <row r="6" ht="200.25" customHeight="1">
      <c r="A6" s="20" t="s">
        <v>901</v>
      </c>
      <c r="K6" s="21"/>
    </row>
    <row r="7" ht="64.5" customHeight="1">
      <c r="A7" s="22" t="s">
        <v>902</v>
      </c>
      <c r="K7" s="21"/>
    </row>
    <row r="8" ht="37.5" customHeight="1">
      <c r="A8" s="88" t="s">
        <v>90</v>
      </c>
      <c r="B8" s="24"/>
      <c r="C8" s="24"/>
      <c r="D8" s="24"/>
      <c r="E8" s="24"/>
      <c r="F8" s="24"/>
      <c r="G8" s="24"/>
      <c r="H8" s="24"/>
      <c r="I8" s="24"/>
      <c r="J8" s="24"/>
      <c r="K8" s="25"/>
    </row>
    <row r="9" ht="19.5" customHeight="1">
      <c r="A9" s="26" t="s">
        <v>1</v>
      </c>
      <c r="B9" s="26" t="s">
        <v>91</v>
      </c>
      <c r="C9" s="26" t="s">
        <v>92</v>
      </c>
      <c r="D9" s="31" t="s">
        <v>93</v>
      </c>
      <c r="E9" s="27" t="s">
        <v>94</v>
      </c>
      <c r="F9" s="28"/>
      <c r="G9" s="29"/>
      <c r="H9" s="30"/>
      <c r="I9" s="30"/>
      <c r="J9" s="31" t="s">
        <v>95</v>
      </c>
      <c r="K9" s="26" t="s">
        <v>96</v>
      </c>
    </row>
    <row r="10" ht="19.5" customHeight="1">
      <c r="A10" s="32"/>
      <c r="B10" s="32"/>
      <c r="C10" s="32"/>
      <c r="D10" s="32"/>
      <c r="E10" s="33" t="s">
        <v>97</v>
      </c>
      <c r="F10" s="34" t="s">
        <v>121</v>
      </c>
      <c r="G10" s="34" t="s">
        <v>99</v>
      </c>
      <c r="H10" s="35" t="s">
        <v>100</v>
      </c>
      <c r="I10" s="35" t="s">
        <v>101</v>
      </c>
      <c r="J10" s="32"/>
      <c r="K10" s="32"/>
      <c r="L10" s="2" t="s">
        <v>903</v>
      </c>
      <c r="N10" s="2" t="s">
        <v>904</v>
      </c>
    </row>
    <row r="11" ht="19.5" customHeight="1">
      <c r="A11" s="46">
        <v>1.0</v>
      </c>
      <c r="B11" s="37" t="s">
        <v>147</v>
      </c>
      <c r="C11" s="46" t="s">
        <v>148</v>
      </c>
      <c r="D11" s="78">
        <v>43.0</v>
      </c>
      <c r="E11" s="49">
        <v>1.5</v>
      </c>
      <c r="F11" s="41">
        <v>2.0</v>
      </c>
      <c r="G11" s="41">
        <v>2.0</v>
      </c>
      <c r="H11" s="40">
        <f>G11*F11*E11*D11</f>
        <v>258</v>
      </c>
      <c r="I11" s="42">
        <f>G11*F11*D11</f>
        <v>172</v>
      </c>
      <c r="J11" s="43">
        <f>H11-I11</f>
        <v>86</v>
      </c>
      <c r="K11" s="46">
        <f>SUM(S11:S14)+X12+X11</f>
        <v>93.23595</v>
      </c>
      <c r="L11" s="309">
        <v>28.5</v>
      </c>
      <c r="O11" s="2">
        <v>0.85</v>
      </c>
      <c r="P11" s="2">
        <v>0.85</v>
      </c>
      <c r="Q11" s="2">
        <v>14.0</v>
      </c>
      <c r="R11" s="2">
        <v>1.5</v>
      </c>
      <c r="S11" s="45">
        <f t="shared" ref="S11:S14" si="1">O11*P11*R11*Q11</f>
        <v>15.1725</v>
      </c>
      <c r="U11" s="2">
        <v>23.15</v>
      </c>
      <c r="V11" s="2">
        <v>6.0</v>
      </c>
      <c r="W11" s="2">
        <v>0.14</v>
      </c>
      <c r="X11" s="45">
        <f t="shared" ref="X11:X12" si="2">W11*V11*U11</f>
        <v>19.446</v>
      </c>
    </row>
    <row r="12" ht="19.5" customHeight="1">
      <c r="A12" s="74" t="s">
        <v>1</v>
      </c>
      <c r="B12" s="74" t="s">
        <v>91</v>
      </c>
      <c r="C12" s="74" t="s">
        <v>92</v>
      </c>
      <c r="D12" s="76" t="s">
        <v>93</v>
      </c>
      <c r="E12" s="50" t="s">
        <v>97</v>
      </c>
      <c r="F12" s="53" t="s">
        <v>121</v>
      </c>
      <c r="G12" s="53" t="s">
        <v>99</v>
      </c>
      <c r="H12" s="75" t="s">
        <v>100</v>
      </c>
      <c r="I12" s="75" t="s">
        <v>101</v>
      </c>
      <c r="J12" s="76" t="s">
        <v>95</v>
      </c>
      <c r="K12" s="74" t="s">
        <v>96</v>
      </c>
      <c r="O12" s="2">
        <v>0.8</v>
      </c>
      <c r="P12" s="2">
        <v>0.8</v>
      </c>
      <c r="Q12" s="2">
        <v>20.0</v>
      </c>
      <c r="R12" s="2">
        <v>1.5</v>
      </c>
      <c r="S12" s="45">
        <f t="shared" si="1"/>
        <v>19.2</v>
      </c>
      <c r="U12" s="2">
        <v>27.68</v>
      </c>
      <c r="V12" s="2">
        <v>6.0</v>
      </c>
      <c r="W12" s="2">
        <v>0.14</v>
      </c>
      <c r="X12" s="45">
        <f t="shared" si="2"/>
        <v>23.2512</v>
      </c>
    </row>
    <row r="13" ht="19.5" customHeight="1">
      <c r="A13" s="46">
        <v>1.0</v>
      </c>
      <c r="B13" s="15" t="s">
        <v>150</v>
      </c>
      <c r="C13" s="38" t="s">
        <v>108</v>
      </c>
      <c r="D13" s="78">
        <v>2.0</v>
      </c>
      <c r="E13" s="37"/>
      <c r="F13" s="15">
        <v>29.68</v>
      </c>
      <c r="G13" s="15">
        <v>24.25</v>
      </c>
      <c r="H13" s="40">
        <f>(G13+F13)*D13</f>
        <v>107.86</v>
      </c>
      <c r="I13" s="42"/>
      <c r="J13" s="64">
        <f>H13</f>
        <v>107.86</v>
      </c>
      <c r="K13" s="46"/>
      <c r="O13" s="2">
        <v>1.05</v>
      </c>
      <c r="P13" s="2">
        <v>1.05</v>
      </c>
      <c r="Q13" s="2">
        <v>9.0</v>
      </c>
      <c r="R13" s="2">
        <v>1.5</v>
      </c>
      <c r="S13" s="45">
        <f t="shared" si="1"/>
        <v>14.88375</v>
      </c>
    </row>
    <row r="14" ht="19.5" customHeight="1">
      <c r="A14" s="74" t="s">
        <v>1</v>
      </c>
      <c r="B14" s="74" t="s">
        <v>91</v>
      </c>
      <c r="C14" s="74" t="s">
        <v>92</v>
      </c>
      <c r="D14" s="76" t="s">
        <v>93</v>
      </c>
      <c r="E14" s="50" t="s">
        <v>97</v>
      </c>
      <c r="F14" s="53" t="s">
        <v>121</v>
      </c>
      <c r="G14" s="53" t="s">
        <v>99</v>
      </c>
      <c r="H14" s="75" t="s">
        <v>100</v>
      </c>
      <c r="I14" s="75" t="s">
        <v>101</v>
      </c>
      <c r="J14" s="76" t="s">
        <v>95</v>
      </c>
      <c r="K14" s="74" t="s">
        <v>96</v>
      </c>
      <c r="O14" s="2">
        <v>0.9</v>
      </c>
      <c r="P14" s="2">
        <v>0.95</v>
      </c>
      <c r="Q14" s="2">
        <v>1.0</v>
      </c>
      <c r="R14" s="2">
        <v>1.5</v>
      </c>
      <c r="S14" s="45">
        <f t="shared" si="1"/>
        <v>1.2825</v>
      </c>
    </row>
    <row r="15" ht="19.5" customHeight="1">
      <c r="A15" s="46">
        <v>1.0</v>
      </c>
      <c r="B15" s="37" t="s">
        <v>332</v>
      </c>
      <c r="C15" s="46" t="s">
        <v>148</v>
      </c>
      <c r="D15" s="78">
        <f>D11</f>
        <v>43</v>
      </c>
      <c r="E15" s="37"/>
      <c r="F15" s="40">
        <f t="shared" ref="F15:G15" si="3">F11</f>
        <v>2</v>
      </c>
      <c r="G15" s="40">
        <f t="shared" si="3"/>
        <v>2</v>
      </c>
      <c r="H15" s="40">
        <f>G15*F15*D15</f>
        <v>172</v>
      </c>
      <c r="I15" s="42"/>
      <c r="J15" s="64">
        <f>H15</f>
        <v>172</v>
      </c>
      <c r="K15" s="46"/>
    </row>
    <row r="16" ht="19.5" customHeight="1">
      <c r="A16" s="74" t="s">
        <v>1</v>
      </c>
      <c r="B16" s="74" t="s">
        <v>91</v>
      </c>
      <c r="C16" s="74" t="s">
        <v>92</v>
      </c>
      <c r="D16" s="76" t="s">
        <v>93</v>
      </c>
      <c r="E16" s="50" t="s">
        <v>97</v>
      </c>
      <c r="F16" s="53" t="s">
        <v>121</v>
      </c>
      <c r="G16" s="53" t="s">
        <v>99</v>
      </c>
      <c r="H16" s="75">
        <v>8.0</v>
      </c>
      <c r="I16" s="75" t="s">
        <v>101</v>
      </c>
      <c r="J16" s="76" t="s">
        <v>95</v>
      </c>
      <c r="K16" s="74" t="s">
        <v>96</v>
      </c>
    </row>
    <row r="17" ht="19.5" customHeight="1">
      <c r="A17" s="46">
        <v>1.0</v>
      </c>
      <c r="B17" s="37" t="s">
        <v>333</v>
      </c>
      <c r="C17" s="46" t="s">
        <v>148</v>
      </c>
      <c r="D17" s="78">
        <f>D15</f>
        <v>43</v>
      </c>
      <c r="E17" s="37">
        <v>0.05</v>
      </c>
      <c r="F17" s="40">
        <f t="shared" ref="F17:G17" si="4">F15</f>
        <v>2</v>
      </c>
      <c r="G17" s="40">
        <f t="shared" si="4"/>
        <v>2</v>
      </c>
      <c r="H17" s="40">
        <f>G17*F17*E17*D17</f>
        <v>8.6</v>
      </c>
      <c r="I17" s="42"/>
      <c r="J17" s="64">
        <f>H17</f>
        <v>8.6</v>
      </c>
      <c r="K17" s="46"/>
    </row>
    <row r="18" ht="19.5" customHeight="1">
      <c r="A18" s="74" t="s">
        <v>1</v>
      </c>
      <c r="B18" s="74" t="s">
        <v>91</v>
      </c>
      <c r="C18" s="74" t="s">
        <v>92</v>
      </c>
      <c r="D18" s="76" t="s">
        <v>93</v>
      </c>
      <c r="E18" s="50" t="s">
        <v>97</v>
      </c>
      <c r="F18" s="53" t="s">
        <v>121</v>
      </c>
      <c r="G18" s="53" t="s">
        <v>99</v>
      </c>
      <c r="H18" s="75" t="s">
        <v>100</v>
      </c>
      <c r="I18" s="75" t="s">
        <v>101</v>
      </c>
      <c r="J18" s="76" t="s">
        <v>95</v>
      </c>
      <c r="K18" s="74" t="s">
        <v>96</v>
      </c>
    </row>
    <row r="19" ht="19.5" customHeight="1">
      <c r="A19" s="46">
        <v>1.0</v>
      </c>
      <c r="B19" s="37" t="s">
        <v>334</v>
      </c>
      <c r="C19" s="46" t="s">
        <v>148</v>
      </c>
      <c r="D19" s="78">
        <f>D17</f>
        <v>43</v>
      </c>
      <c r="E19" s="37">
        <v>0.7</v>
      </c>
      <c r="F19" s="40">
        <v>0.25</v>
      </c>
      <c r="G19" s="40">
        <v>0.3</v>
      </c>
      <c r="H19" s="40">
        <f>G19*F19*E19*D19</f>
        <v>2.2575</v>
      </c>
      <c r="I19" s="42"/>
      <c r="J19" s="43">
        <f>H19-I19</f>
        <v>2.2575</v>
      </c>
      <c r="K19" s="145" t="s">
        <v>905</v>
      </c>
      <c r="L19" s="310" t="s">
        <v>906</v>
      </c>
      <c r="M19" s="311"/>
      <c r="N19" s="311"/>
    </row>
    <row r="20" ht="19.5" customHeight="1">
      <c r="A20" s="74" t="s">
        <v>1</v>
      </c>
      <c r="B20" s="74" t="s">
        <v>91</v>
      </c>
      <c r="C20" s="74" t="s">
        <v>92</v>
      </c>
      <c r="D20" s="76" t="s">
        <v>93</v>
      </c>
      <c r="E20" s="50" t="s">
        <v>97</v>
      </c>
      <c r="F20" s="53" t="s">
        <v>121</v>
      </c>
      <c r="G20" s="53" t="s">
        <v>99</v>
      </c>
      <c r="H20" s="75" t="s">
        <v>100</v>
      </c>
      <c r="I20" s="75" t="s">
        <v>101</v>
      </c>
      <c r="J20" s="76" t="s">
        <v>95</v>
      </c>
      <c r="K20" s="74" t="s">
        <v>96</v>
      </c>
      <c r="L20" s="310" t="s">
        <v>907</v>
      </c>
      <c r="M20" s="310">
        <v>8.61</v>
      </c>
      <c r="N20" s="310" t="s">
        <v>148</v>
      </c>
    </row>
    <row r="21" ht="19.5" customHeight="1">
      <c r="A21" s="46">
        <v>1.0</v>
      </c>
      <c r="B21" s="37" t="s">
        <v>335</v>
      </c>
      <c r="C21" s="46" t="s">
        <v>148</v>
      </c>
      <c r="D21" s="78">
        <v>21.0</v>
      </c>
      <c r="E21" s="37">
        <v>5.0</v>
      </c>
      <c r="F21" s="40">
        <v>0.25</v>
      </c>
      <c r="G21" s="40">
        <v>0.3</v>
      </c>
      <c r="H21" s="40">
        <f t="shared" ref="H21:H22" si="5">G21*F21*E21*D21</f>
        <v>7.875</v>
      </c>
      <c r="I21" s="42"/>
      <c r="J21" s="107"/>
      <c r="K21" s="46"/>
      <c r="L21" s="310" t="s">
        <v>908</v>
      </c>
      <c r="M21" s="310">
        <v>79.61</v>
      </c>
      <c r="N21" s="310" t="s">
        <v>103</v>
      </c>
    </row>
    <row r="22" ht="19.5" customHeight="1">
      <c r="A22" s="46">
        <v>2.0</v>
      </c>
      <c r="B22" s="37" t="s">
        <v>335</v>
      </c>
      <c r="C22" s="46" t="s">
        <v>148</v>
      </c>
      <c r="D22" s="78">
        <v>22.0</v>
      </c>
      <c r="E22" s="37">
        <v>4.0</v>
      </c>
      <c r="F22" s="40">
        <v>0.25</v>
      </c>
      <c r="G22" s="40">
        <v>0.3</v>
      </c>
      <c r="H22" s="40">
        <f t="shared" si="5"/>
        <v>6.6</v>
      </c>
      <c r="I22" s="42"/>
      <c r="J22" s="121"/>
      <c r="K22" s="79"/>
    </row>
    <row r="23" ht="19.5" customHeight="1">
      <c r="A23" s="46"/>
      <c r="B23" s="37"/>
      <c r="C23" s="46"/>
      <c r="D23" s="78"/>
      <c r="E23" s="37"/>
      <c r="F23" s="40"/>
      <c r="G23" s="40"/>
      <c r="H23" s="40"/>
      <c r="I23" s="42"/>
      <c r="J23" s="96">
        <f>SUM(H21:H23)</f>
        <v>14.475</v>
      </c>
      <c r="K23" s="79"/>
    </row>
    <row r="24" ht="19.5" customHeight="1">
      <c r="A24" s="74" t="s">
        <v>1</v>
      </c>
      <c r="B24" s="74" t="s">
        <v>91</v>
      </c>
      <c r="C24" s="74" t="s">
        <v>92</v>
      </c>
      <c r="D24" s="76" t="s">
        <v>93</v>
      </c>
      <c r="E24" s="50" t="s">
        <v>97</v>
      </c>
      <c r="F24" s="53" t="s">
        <v>121</v>
      </c>
      <c r="G24" s="53" t="s">
        <v>99</v>
      </c>
      <c r="H24" s="75" t="s">
        <v>100</v>
      </c>
      <c r="I24" s="75" t="s">
        <v>101</v>
      </c>
      <c r="J24" s="76" t="s">
        <v>95</v>
      </c>
      <c r="K24" s="74" t="s">
        <v>96</v>
      </c>
    </row>
    <row r="25" ht="19.5" customHeight="1">
      <c r="A25" s="46">
        <v>1.0</v>
      </c>
      <c r="B25" s="37" t="s">
        <v>337</v>
      </c>
      <c r="C25" s="46" t="s">
        <v>148</v>
      </c>
      <c r="D25" s="78">
        <f>D19</f>
        <v>43</v>
      </c>
      <c r="E25" s="37">
        <v>0.25</v>
      </c>
      <c r="F25" s="40">
        <f t="shared" ref="F25:G25" si="6">F17</f>
        <v>2</v>
      </c>
      <c r="G25" s="40">
        <f t="shared" si="6"/>
        <v>2</v>
      </c>
      <c r="H25" s="40">
        <f>G25*F25*E25*D25</f>
        <v>43</v>
      </c>
      <c r="I25" s="42"/>
      <c r="J25" s="40"/>
      <c r="K25" s="145" t="s">
        <v>905</v>
      </c>
      <c r="L25" s="310" t="s">
        <v>906</v>
      </c>
      <c r="M25" s="311"/>
    </row>
    <row r="26" ht="19.5" customHeight="1">
      <c r="A26" s="46">
        <v>2.0</v>
      </c>
      <c r="B26" s="37" t="s">
        <v>337</v>
      </c>
      <c r="C26" s="46" t="s">
        <v>148</v>
      </c>
      <c r="D26" s="78"/>
      <c r="E26" s="37"/>
      <c r="F26" s="40"/>
      <c r="G26" s="40"/>
      <c r="H26" s="40"/>
      <c r="I26" s="42"/>
      <c r="J26" s="43">
        <f>SUM(H25:H26)</f>
        <v>43</v>
      </c>
      <c r="K26" s="79"/>
      <c r="L26" s="310" t="s">
        <v>907</v>
      </c>
      <c r="M26" s="310">
        <v>8.61</v>
      </c>
    </row>
    <row r="27" ht="19.5" customHeight="1">
      <c r="A27" s="74" t="s">
        <v>1</v>
      </c>
      <c r="B27" s="74" t="s">
        <v>91</v>
      </c>
      <c r="C27" s="74" t="s">
        <v>92</v>
      </c>
      <c r="D27" s="76" t="s">
        <v>93</v>
      </c>
      <c r="E27" s="50" t="s">
        <v>97</v>
      </c>
      <c r="F27" s="53" t="s">
        <v>121</v>
      </c>
      <c r="G27" s="53" t="s">
        <v>99</v>
      </c>
      <c r="H27" s="75" t="s">
        <v>100</v>
      </c>
      <c r="I27" s="75" t="s">
        <v>101</v>
      </c>
      <c r="J27" s="76" t="s">
        <v>95</v>
      </c>
      <c r="K27" s="74" t="s">
        <v>96</v>
      </c>
      <c r="L27" s="310" t="s">
        <v>908</v>
      </c>
      <c r="M27" s="310">
        <v>79.61</v>
      </c>
    </row>
    <row r="28" ht="19.5" customHeight="1">
      <c r="A28" s="46">
        <v>1.0</v>
      </c>
      <c r="B28" s="37" t="s">
        <v>338</v>
      </c>
      <c r="C28" s="46" t="s">
        <v>148</v>
      </c>
      <c r="D28" s="78">
        <v>5.0</v>
      </c>
      <c r="E28" s="49">
        <v>0.35</v>
      </c>
      <c r="F28" s="78">
        <v>27.68</v>
      </c>
      <c r="G28" s="41">
        <v>0.15</v>
      </c>
      <c r="H28" s="40">
        <f t="shared" ref="H28:H40" si="7">G28*F28*E28*D28</f>
        <v>7.266</v>
      </c>
      <c r="I28" s="42">
        <f t="shared" ref="I28:I40" si="8">(G28*F28)</f>
        <v>4.152</v>
      </c>
      <c r="J28" s="40"/>
      <c r="K28" s="46"/>
    </row>
    <row r="29" ht="19.5" customHeight="1">
      <c r="A29" s="46">
        <f t="shared" ref="A29:A40" si="9">A28+1</f>
        <v>2</v>
      </c>
      <c r="B29" s="37" t="s">
        <v>338</v>
      </c>
      <c r="C29" s="46" t="s">
        <v>148</v>
      </c>
      <c r="D29" s="78">
        <v>4.0</v>
      </c>
      <c r="E29" s="49">
        <v>0.35</v>
      </c>
      <c r="F29" s="78">
        <v>23.15</v>
      </c>
      <c r="G29" s="41">
        <v>0.15</v>
      </c>
      <c r="H29" s="40">
        <f t="shared" si="7"/>
        <v>4.8615</v>
      </c>
      <c r="I29" s="42">
        <f t="shared" si="8"/>
        <v>3.4725</v>
      </c>
      <c r="J29" s="107"/>
      <c r="K29" s="47">
        <f>J26+J40+J19</f>
        <v>65.76505</v>
      </c>
      <c r="L29" s="14">
        <f>J29+J21</f>
        <v>0</v>
      </c>
      <c r="M29" s="45">
        <f t="shared" ref="M29:M41" si="10">F28*E28+F28*E28+G28*F28</f>
        <v>23.528</v>
      </c>
    </row>
    <row r="30" ht="19.5" customHeight="1">
      <c r="A30" s="46">
        <f t="shared" si="9"/>
        <v>3</v>
      </c>
      <c r="B30" s="37" t="s">
        <v>338</v>
      </c>
      <c r="C30" s="46" t="s">
        <v>148</v>
      </c>
      <c r="D30" s="78">
        <v>4.0</v>
      </c>
      <c r="E30" s="49">
        <v>0.35</v>
      </c>
      <c r="F30" s="78">
        <v>13.1</v>
      </c>
      <c r="G30" s="41">
        <v>0.15</v>
      </c>
      <c r="H30" s="40">
        <f t="shared" si="7"/>
        <v>2.751</v>
      </c>
      <c r="I30" s="42">
        <f t="shared" si="8"/>
        <v>1.965</v>
      </c>
      <c r="J30" s="107"/>
      <c r="K30" s="79"/>
      <c r="L30" s="14"/>
      <c r="M30" s="45">
        <f t="shared" si="10"/>
        <v>19.6775</v>
      </c>
    </row>
    <row r="31" ht="19.5" customHeight="1">
      <c r="A31" s="46">
        <f t="shared" si="9"/>
        <v>4</v>
      </c>
      <c r="B31" s="37" t="s">
        <v>338</v>
      </c>
      <c r="C31" s="46" t="s">
        <v>148</v>
      </c>
      <c r="D31" s="78">
        <v>2.0</v>
      </c>
      <c r="E31" s="49">
        <v>0.35</v>
      </c>
      <c r="F31" s="78">
        <v>6.65</v>
      </c>
      <c r="G31" s="41">
        <v>0.15</v>
      </c>
      <c r="H31" s="40">
        <f t="shared" si="7"/>
        <v>0.69825</v>
      </c>
      <c r="I31" s="42">
        <f t="shared" si="8"/>
        <v>0.9975</v>
      </c>
      <c r="J31" s="107"/>
      <c r="K31" s="79"/>
      <c r="L31" s="14"/>
      <c r="M31" s="45">
        <f t="shared" si="10"/>
        <v>11.135</v>
      </c>
    </row>
    <row r="32" ht="19.5" customHeight="1">
      <c r="A32" s="46">
        <f t="shared" si="9"/>
        <v>5</v>
      </c>
      <c r="B32" s="37" t="s">
        <v>338</v>
      </c>
      <c r="C32" s="46" t="s">
        <v>148</v>
      </c>
      <c r="D32" s="78">
        <v>1.0</v>
      </c>
      <c r="E32" s="49">
        <v>0.35</v>
      </c>
      <c r="F32" s="78">
        <v>9.3</v>
      </c>
      <c r="G32" s="41">
        <v>0.15</v>
      </c>
      <c r="H32" s="40">
        <f t="shared" si="7"/>
        <v>0.48825</v>
      </c>
      <c r="I32" s="42">
        <f t="shared" si="8"/>
        <v>1.395</v>
      </c>
      <c r="J32" s="107"/>
      <c r="K32" s="79"/>
      <c r="L32" s="14"/>
      <c r="M32" s="45">
        <f t="shared" si="10"/>
        <v>5.6525</v>
      </c>
    </row>
    <row r="33" ht="19.5" customHeight="1">
      <c r="A33" s="46">
        <f t="shared" si="9"/>
        <v>6</v>
      </c>
      <c r="B33" s="37" t="s">
        <v>338</v>
      </c>
      <c r="C33" s="46" t="s">
        <v>148</v>
      </c>
      <c r="D33" s="78">
        <v>1.0</v>
      </c>
      <c r="E33" s="49">
        <v>0.35</v>
      </c>
      <c r="F33" s="78">
        <v>3.8</v>
      </c>
      <c r="G33" s="41">
        <v>0.15</v>
      </c>
      <c r="H33" s="40">
        <f t="shared" si="7"/>
        <v>0.1995</v>
      </c>
      <c r="I33" s="42">
        <f t="shared" si="8"/>
        <v>0.57</v>
      </c>
      <c r="J33" s="107"/>
      <c r="K33" s="79"/>
      <c r="L33" s="14"/>
      <c r="M33" s="45">
        <f t="shared" si="10"/>
        <v>7.905</v>
      </c>
    </row>
    <row r="34" ht="19.5" customHeight="1">
      <c r="A34" s="46">
        <f t="shared" si="9"/>
        <v>7</v>
      </c>
      <c r="B34" s="37" t="s">
        <v>338</v>
      </c>
      <c r="C34" s="46" t="s">
        <v>148</v>
      </c>
      <c r="D34" s="78">
        <v>1.0</v>
      </c>
      <c r="E34" s="49">
        <v>0.35</v>
      </c>
      <c r="F34" s="78">
        <v>20.03</v>
      </c>
      <c r="G34" s="41">
        <v>0.15</v>
      </c>
      <c r="H34" s="40">
        <f t="shared" si="7"/>
        <v>1.051575</v>
      </c>
      <c r="I34" s="42">
        <f t="shared" si="8"/>
        <v>3.0045</v>
      </c>
      <c r="J34" s="107"/>
      <c r="K34" s="79"/>
      <c r="L34" s="14"/>
      <c r="M34" s="45">
        <f t="shared" si="10"/>
        <v>3.23</v>
      </c>
    </row>
    <row r="35" ht="19.5" customHeight="1">
      <c r="A35" s="46">
        <f t="shared" si="9"/>
        <v>8</v>
      </c>
      <c r="B35" s="37" t="s">
        <v>338</v>
      </c>
      <c r="C35" s="46" t="s">
        <v>148</v>
      </c>
      <c r="D35" s="78">
        <v>1.0</v>
      </c>
      <c r="E35" s="49">
        <v>0.35</v>
      </c>
      <c r="F35" s="78">
        <v>8.9</v>
      </c>
      <c r="G35" s="41">
        <v>0.15</v>
      </c>
      <c r="H35" s="40">
        <f t="shared" si="7"/>
        <v>0.46725</v>
      </c>
      <c r="I35" s="42">
        <f t="shared" si="8"/>
        <v>1.335</v>
      </c>
      <c r="J35" s="107"/>
      <c r="K35" s="79"/>
      <c r="L35" s="14"/>
      <c r="M35" s="45">
        <f t="shared" si="10"/>
        <v>17.0255</v>
      </c>
    </row>
    <row r="36" ht="19.5" customHeight="1">
      <c r="A36" s="46">
        <f t="shared" si="9"/>
        <v>9</v>
      </c>
      <c r="B36" s="37" t="s">
        <v>338</v>
      </c>
      <c r="C36" s="46" t="s">
        <v>148</v>
      </c>
      <c r="D36" s="78">
        <v>2.0</v>
      </c>
      <c r="E36" s="49">
        <v>0.35</v>
      </c>
      <c r="F36" s="78">
        <v>3.85</v>
      </c>
      <c r="G36" s="41">
        <v>0.15</v>
      </c>
      <c r="H36" s="40">
        <f t="shared" si="7"/>
        <v>0.40425</v>
      </c>
      <c r="I36" s="42">
        <f t="shared" si="8"/>
        <v>0.5775</v>
      </c>
      <c r="J36" s="107"/>
      <c r="K36" s="79"/>
      <c r="L36" s="14"/>
      <c r="M36" s="45">
        <f t="shared" si="10"/>
        <v>7.565</v>
      </c>
    </row>
    <row r="37" ht="19.5" customHeight="1">
      <c r="A37" s="46">
        <f t="shared" si="9"/>
        <v>10</v>
      </c>
      <c r="B37" s="37" t="s">
        <v>338</v>
      </c>
      <c r="C37" s="46" t="s">
        <v>148</v>
      </c>
      <c r="D37" s="78">
        <v>1.0</v>
      </c>
      <c r="E37" s="49">
        <v>0.35</v>
      </c>
      <c r="F37" s="78">
        <v>9.08</v>
      </c>
      <c r="G37" s="41">
        <v>0.15</v>
      </c>
      <c r="H37" s="40">
        <f t="shared" si="7"/>
        <v>0.4767</v>
      </c>
      <c r="I37" s="42">
        <f t="shared" si="8"/>
        <v>1.362</v>
      </c>
      <c r="J37" s="107"/>
      <c r="K37" s="79"/>
      <c r="L37" s="14"/>
      <c r="M37" s="45">
        <f t="shared" si="10"/>
        <v>3.2725</v>
      </c>
    </row>
    <row r="38" ht="19.5" customHeight="1">
      <c r="A38" s="46">
        <f t="shared" si="9"/>
        <v>11</v>
      </c>
      <c r="B38" s="37" t="s">
        <v>338</v>
      </c>
      <c r="C38" s="46" t="s">
        <v>148</v>
      </c>
      <c r="D38" s="78">
        <v>2.0</v>
      </c>
      <c r="E38" s="49">
        <v>0.35</v>
      </c>
      <c r="F38" s="78">
        <v>2.3</v>
      </c>
      <c r="G38" s="41">
        <v>0.15</v>
      </c>
      <c r="H38" s="40">
        <f t="shared" si="7"/>
        <v>0.2415</v>
      </c>
      <c r="I38" s="42">
        <f t="shared" si="8"/>
        <v>0.345</v>
      </c>
      <c r="J38" s="107"/>
      <c r="K38" s="79"/>
      <c r="L38" s="14"/>
      <c r="M38" s="45">
        <f t="shared" si="10"/>
        <v>7.718</v>
      </c>
    </row>
    <row r="39" ht="19.5" customHeight="1">
      <c r="A39" s="46">
        <f t="shared" si="9"/>
        <v>12</v>
      </c>
      <c r="B39" s="37" t="s">
        <v>338</v>
      </c>
      <c r="C39" s="46" t="s">
        <v>148</v>
      </c>
      <c r="D39" s="78">
        <v>1.0</v>
      </c>
      <c r="E39" s="49">
        <v>0.35</v>
      </c>
      <c r="F39" s="78">
        <v>9.75</v>
      </c>
      <c r="G39" s="41">
        <v>0.15</v>
      </c>
      <c r="H39" s="40">
        <f t="shared" si="7"/>
        <v>0.511875</v>
      </c>
      <c r="I39" s="42">
        <f t="shared" si="8"/>
        <v>1.4625</v>
      </c>
      <c r="J39" s="107"/>
      <c r="K39" s="79"/>
      <c r="L39" s="14"/>
      <c r="M39" s="45">
        <f t="shared" si="10"/>
        <v>1.955</v>
      </c>
    </row>
    <row r="40" ht="19.5" customHeight="1">
      <c r="A40" s="46">
        <f t="shared" si="9"/>
        <v>13</v>
      </c>
      <c r="B40" s="37" t="s">
        <v>338</v>
      </c>
      <c r="C40" s="46" t="s">
        <v>148</v>
      </c>
      <c r="D40" s="78">
        <v>2.0</v>
      </c>
      <c r="E40" s="49">
        <v>0.35</v>
      </c>
      <c r="F40" s="78">
        <v>10.38</v>
      </c>
      <c r="G40" s="41">
        <v>0.15</v>
      </c>
      <c r="H40" s="40">
        <f t="shared" si="7"/>
        <v>1.0899</v>
      </c>
      <c r="I40" s="42">
        <f t="shared" si="8"/>
        <v>1.557</v>
      </c>
      <c r="J40" s="43">
        <f>SUM(H28:H40)</f>
        <v>20.50755</v>
      </c>
      <c r="K40" s="79"/>
      <c r="L40" s="14">
        <f>J40+J19</f>
        <v>22.76505</v>
      </c>
      <c r="M40" s="45">
        <f t="shared" si="10"/>
        <v>8.2875</v>
      </c>
    </row>
    <row r="41" ht="19.5" customHeight="1">
      <c r="A41" s="74" t="s">
        <v>1</v>
      </c>
      <c r="B41" s="74" t="s">
        <v>91</v>
      </c>
      <c r="C41" s="74" t="s">
        <v>92</v>
      </c>
      <c r="D41" s="76" t="s">
        <v>93</v>
      </c>
      <c r="E41" s="50" t="s">
        <v>97</v>
      </c>
      <c r="F41" s="53" t="s">
        <v>121</v>
      </c>
      <c r="G41" s="53" t="s">
        <v>99</v>
      </c>
      <c r="H41" s="75" t="s">
        <v>100</v>
      </c>
      <c r="I41" s="75" t="s">
        <v>101</v>
      </c>
      <c r="J41" s="76" t="s">
        <v>95</v>
      </c>
      <c r="K41" s="74" t="s">
        <v>96</v>
      </c>
      <c r="M41" s="45">
        <f t="shared" si="10"/>
        <v>8.823</v>
      </c>
    </row>
    <row r="42" ht="19.5" customHeight="1">
      <c r="A42" s="46">
        <v>1.0</v>
      </c>
      <c r="B42" s="37" t="s">
        <v>339</v>
      </c>
      <c r="C42" s="46" t="s">
        <v>148</v>
      </c>
      <c r="D42" s="78">
        <f>H11</f>
        <v>258</v>
      </c>
      <c r="E42" s="37"/>
      <c r="F42" s="78"/>
      <c r="G42" s="40"/>
      <c r="H42" s="40">
        <f>D42</f>
        <v>258</v>
      </c>
      <c r="I42" s="42"/>
      <c r="J42" s="43">
        <f>H42</f>
        <v>258</v>
      </c>
      <c r="K42" s="46"/>
    </row>
    <row r="43" ht="19.5" customHeight="1">
      <c r="A43" s="46">
        <v>2.0</v>
      </c>
      <c r="B43" s="37" t="s">
        <v>340</v>
      </c>
      <c r="C43" s="46" t="s">
        <v>148</v>
      </c>
      <c r="D43" s="78">
        <v>1.0</v>
      </c>
      <c r="E43" s="37">
        <v>0.3</v>
      </c>
      <c r="F43" s="78">
        <v>27.68</v>
      </c>
      <c r="G43" s="40">
        <v>22.25</v>
      </c>
      <c r="H43" s="40">
        <f>(G43*F43*E43)-H42</f>
        <v>-73.236</v>
      </c>
      <c r="I43" s="42"/>
      <c r="J43" s="43">
        <f>H43*1.5</f>
        <v>-109.854</v>
      </c>
      <c r="K43" s="46" t="s">
        <v>341</v>
      </c>
    </row>
    <row r="44" ht="19.5" customHeight="1">
      <c r="A44" s="74" t="s">
        <v>1</v>
      </c>
      <c r="B44" s="74" t="s">
        <v>91</v>
      </c>
      <c r="C44" s="74" t="s">
        <v>92</v>
      </c>
      <c r="D44" s="76" t="s">
        <v>93</v>
      </c>
      <c r="E44" s="50" t="s">
        <v>97</v>
      </c>
      <c r="F44" s="53" t="s">
        <v>121</v>
      </c>
      <c r="G44" s="53" t="s">
        <v>99</v>
      </c>
      <c r="H44" s="75" t="s">
        <v>100</v>
      </c>
      <c r="I44" s="75" t="s">
        <v>101</v>
      </c>
      <c r="J44" s="76" t="s">
        <v>95</v>
      </c>
      <c r="K44" s="74" t="s">
        <v>96</v>
      </c>
      <c r="L44" s="14">
        <f>J21+J63</f>
        <v>11.8146</v>
      </c>
    </row>
    <row r="45" ht="19.5" customHeight="1">
      <c r="A45" s="46">
        <v>1.0</v>
      </c>
      <c r="B45" s="37" t="s">
        <v>172</v>
      </c>
      <c r="C45" s="46" t="s">
        <v>148</v>
      </c>
      <c r="D45" s="78">
        <v>1.0</v>
      </c>
      <c r="E45" s="37">
        <v>0.05</v>
      </c>
      <c r="F45" s="78">
        <f t="shared" ref="F45:G45" si="11">F43</f>
        <v>27.68</v>
      </c>
      <c r="G45" s="40">
        <f t="shared" si="11"/>
        <v>22.25</v>
      </c>
      <c r="H45" s="40">
        <f>G45*F45*E45*D45</f>
        <v>30.794</v>
      </c>
      <c r="I45" s="42"/>
      <c r="J45" s="43">
        <f t="shared" ref="J45:J47" si="13">H45</f>
        <v>30.794</v>
      </c>
      <c r="K45" s="46"/>
    </row>
    <row r="46" ht="19.5" customHeight="1">
      <c r="A46" s="46">
        <v>2.0</v>
      </c>
      <c r="B46" s="37" t="s">
        <v>342</v>
      </c>
      <c r="C46" s="46" t="s">
        <v>103</v>
      </c>
      <c r="D46" s="78">
        <v>1.0</v>
      </c>
      <c r="E46" s="37">
        <v>0.05</v>
      </c>
      <c r="F46" s="78">
        <f t="shared" ref="F46:G46" si="12">F45</f>
        <v>27.68</v>
      </c>
      <c r="G46" s="78">
        <f t="shared" si="12"/>
        <v>22.25</v>
      </c>
      <c r="H46" s="40">
        <f>G46*F46</f>
        <v>615.88</v>
      </c>
      <c r="I46" s="42"/>
      <c r="J46" s="43">
        <f t="shared" si="13"/>
        <v>615.88</v>
      </c>
      <c r="K46" s="46"/>
    </row>
    <row r="47" ht="19.5" customHeight="1">
      <c r="A47" s="46">
        <v>3.0</v>
      </c>
      <c r="B47" s="37" t="s">
        <v>343</v>
      </c>
      <c r="C47" s="46" t="s">
        <v>103</v>
      </c>
      <c r="D47" s="78">
        <v>1.0</v>
      </c>
      <c r="E47" s="37">
        <v>1.0</v>
      </c>
      <c r="F47" s="78">
        <f t="shared" ref="F47:G47" si="14">F46</f>
        <v>27.68</v>
      </c>
      <c r="G47" s="78">
        <f t="shared" si="14"/>
        <v>22.25</v>
      </c>
      <c r="H47" s="40">
        <f>G47*F47*E47</f>
        <v>615.88</v>
      </c>
      <c r="I47" s="42"/>
      <c r="J47" s="43">
        <f t="shared" si="13"/>
        <v>615.88</v>
      </c>
      <c r="K47" s="46"/>
    </row>
    <row r="48" ht="19.5" customHeight="1">
      <c r="A48" s="74" t="s">
        <v>1</v>
      </c>
      <c r="B48" s="74" t="s">
        <v>91</v>
      </c>
      <c r="C48" s="74" t="s">
        <v>92</v>
      </c>
      <c r="D48" s="76" t="s">
        <v>93</v>
      </c>
      <c r="E48" s="50" t="s">
        <v>97</v>
      </c>
      <c r="F48" s="53" t="s">
        <v>121</v>
      </c>
      <c r="G48" s="53" t="s">
        <v>99</v>
      </c>
      <c r="H48" s="75" t="s">
        <v>100</v>
      </c>
      <c r="I48" s="75" t="s">
        <v>101</v>
      </c>
      <c r="J48" s="76" t="s">
        <v>95</v>
      </c>
      <c r="K48" s="74" t="s">
        <v>96</v>
      </c>
    </row>
    <row r="49" ht="19.5" customHeight="1">
      <c r="A49" s="46">
        <v>1.0</v>
      </c>
      <c r="B49" s="37" t="s">
        <v>345</v>
      </c>
      <c r="C49" s="46" t="s">
        <v>148</v>
      </c>
      <c r="D49" s="78">
        <f t="shared" ref="D49:D61" si="16">D28</f>
        <v>5</v>
      </c>
      <c r="E49" s="37">
        <f t="shared" ref="E49:E61" si="17">0.2</f>
        <v>0.2</v>
      </c>
      <c r="F49" s="78">
        <f t="shared" ref="F49:G49" si="15">F28</f>
        <v>27.68</v>
      </c>
      <c r="G49" s="40">
        <f t="shared" si="15"/>
        <v>0.15</v>
      </c>
      <c r="H49" s="40">
        <f t="shared" ref="H49:H61" si="19">G49*F49*E49*D49</f>
        <v>4.152</v>
      </c>
      <c r="I49" s="42"/>
      <c r="J49" s="312">
        <f>SUM(H49:H61)</f>
        <v>11.7186</v>
      </c>
      <c r="K49" s="145" t="s">
        <v>909</v>
      </c>
    </row>
    <row r="50" ht="19.5" customHeight="1">
      <c r="A50" s="46">
        <f t="shared" ref="A50:A61" si="20">A49+1</f>
        <v>2</v>
      </c>
      <c r="B50" s="37" t="s">
        <v>345</v>
      </c>
      <c r="C50" s="46" t="s">
        <v>148</v>
      </c>
      <c r="D50" s="78">
        <f t="shared" si="16"/>
        <v>4</v>
      </c>
      <c r="E50" s="37">
        <f t="shared" si="17"/>
        <v>0.2</v>
      </c>
      <c r="F50" s="78">
        <f t="shared" ref="F50:G50" si="18">F29</f>
        <v>23.15</v>
      </c>
      <c r="G50" s="40">
        <f t="shared" si="18"/>
        <v>0.15</v>
      </c>
      <c r="H50" s="40">
        <f t="shared" si="19"/>
        <v>2.778</v>
      </c>
      <c r="I50" s="42"/>
      <c r="J50" s="147"/>
      <c r="K50" s="46"/>
    </row>
    <row r="51" ht="19.5" customHeight="1">
      <c r="A51" s="46">
        <f t="shared" si="20"/>
        <v>3</v>
      </c>
      <c r="B51" s="37" t="s">
        <v>345</v>
      </c>
      <c r="C51" s="46" t="s">
        <v>148</v>
      </c>
      <c r="D51" s="78">
        <f t="shared" si="16"/>
        <v>4</v>
      </c>
      <c r="E51" s="37">
        <f t="shared" si="17"/>
        <v>0.2</v>
      </c>
      <c r="F51" s="78">
        <f t="shared" ref="F51:G51" si="21">F30</f>
        <v>13.1</v>
      </c>
      <c r="G51" s="40">
        <f t="shared" si="21"/>
        <v>0.15</v>
      </c>
      <c r="H51" s="40">
        <f t="shared" si="19"/>
        <v>1.572</v>
      </c>
      <c r="I51" s="42"/>
      <c r="J51" s="147"/>
      <c r="K51" s="79"/>
    </row>
    <row r="52" ht="19.5" customHeight="1">
      <c r="A52" s="46">
        <f t="shared" si="20"/>
        <v>4</v>
      </c>
      <c r="B52" s="37" t="s">
        <v>345</v>
      </c>
      <c r="C52" s="46" t="s">
        <v>148</v>
      </c>
      <c r="D52" s="78">
        <f t="shared" si="16"/>
        <v>2</v>
      </c>
      <c r="E52" s="37">
        <f t="shared" si="17"/>
        <v>0.2</v>
      </c>
      <c r="F52" s="78">
        <f t="shared" ref="F52:G52" si="22">F31</f>
        <v>6.65</v>
      </c>
      <c r="G52" s="40">
        <f t="shared" si="22"/>
        <v>0.15</v>
      </c>
      <c r="H52" s="40">
        <f t="shared" si="19"/>
        <v>0.399</v>
      </c>
      <c r="I52" s="42"/>
      <c r="J52" s="147"/>
      <c r="K52" s="79"/>
    </row>
    <row r="53" ht="19.5" customHeight="1">
      <c r="A53" s="46">
        <f t="shared" si="20"/>
        <v>5</v>
      </c>
      <c r="B53" s="37" t="s">
        <v>345</v>
      </c>
      <c r="C53" s="46" t="s">
        <v>148</v>
      </c>
      <c r="D53" s="78">
        <f t="shared" si="16"/>
        <v>1</v>
      </c>
      <c r="E53" s="37">
        <f t="shared" si="17"/>
        <v>0.2</v>
      </c>
      <c r="F53" s="78">
        <f t="shared" ref="F53:G53" si="23">F32</f>
        <v>9.3</v>
      </c>
      <c r="G53" s="40">
        <f t="shared" si="23"/>
        <v>0.15</v>
      </c>
      <c r="H53" s="40">
        <f t="shared" si="19"/>
        <v>0.279</v>
      </c>
      <c r="I53" s="42"/>
      <c r="J53" s="147"/>
      <c r="K53" s="79"/>
    </row>
    <row r="54" ht="19.5" customHeight="1">
      <c r="A54" s="46">
        <f t="shared" si="20"/>
        <v>6</v>
      </c>
      <c r="B54" s="37" t="s">
        <v>345</v>
      </c>
      <c r="C54" s="46" t="s">
        <v>148</v>
      </c>
      <c r="D54" s="78">
        <f t="shared" si="16"/>
        <v>1</v>
      </c>
      <c r="E54" s="37">
        <f t="shared" si="17"/>
        <v>0.2</v>
      </c>
      <c r="F54" s="78">
        <f t="shared" ref="F54:G54" si="24">F33</f>
        <v>3.8</v>
      </c>
      <c r="G54" s="40">
        <f t="shared" si="24"/>
        <v>0.15</v>
      </c>
      <c r="H54" s="40">
        <f t="shared" si="19"/>
        <v>0.114</v>
      </c>
      <c r="I54" s="42"/>
      <c r="J54" s="147"/>
      <c r="K54" s="79"/>
    </row>
    <row r="55" ht="19.5" customHeight="1">
      <c r="A55" s="46">
        <f t="shared" si="20"/>
        <v>7</v>
      </c>
      <c r="B55" s="37" t="s">
        <v>345</v>
      </c>
      <c r="C55" s="46" t="s">
        <v>148</v>
      </c>
      <c r="D55" s="78">
        <f t="shared" si="16"/>
        <v>1</v>
      </c>
      <c r="E55" s="37">
        <f t="shared" si="17"/>
        <v>0.2</v>
      </c>
      <c r="F55" s="78">
        <f t="shared" ref="F55:G55" si="25">F34</f>
        <v>20.03</v>
      </c>
      <c r="G55" s="40">
        <f t="shared" si="25"/>
        <v>0.15</v>
      </c>
      <c r="H55" s="40">
        <f t="shared" si="19"/>
        <v>0.6009</v>
      </c>
      <c r="I55" s="42"/>
      <c r="J55" s="147"/>
      <c r="K55" s="79"/>
    </row>
    <row r="56" ht="19.5" customHeight="1">
      <c r="A56" s="46">
        <f t="shared" si="20"/>
        <v>8</v>
      </c>
      <c r="B56" s="37" t="s">
        <v>345</v>
      </c>
      <c r="C56" s="46" t="s">
        <v>148</v>
      </c>
      <c r="D56" s="78">
        <f t="shared" si="16"/>
        <v>1</v>
      </c>
      <c r="E56" s="37">
        <f t="shared" si="17"/>
        <v>0.2</v>
      </c>
      <c r="F56" s="78">
        <f t="shared" ref="F56:G56" si="26">F35</f>
        <v>8.9</v>
      </c>
      <c r="G56" s="40">
        <f t="shared" si="26"/>
        <v>0.15</v>
      </c>
      <c r="H56" s="40">
        <f t="shared" si="19"/>
        <v>0.267</v>
      </c>
      <c r="I56" s="42"/>
      <c r="J56" s="147"/>
      <c r="K56" s="79"/>
    </row>
    <row r="57" ht="19.5" customHeight="1">
      <c r="A57" s="46">
        <f t="shared" si="20"/>
        <v>9</v>
      </c>
      <c r="B57" s="37" t="s">
        <v>345</v>
      </c>
      <c r="C57" s="46" t="s">
        <v>148</v>
      </c>
      <c r="D57" s="78">
        <f t="shared" si="16"/>
        <v>2</v>
      </c>
      <c r="E57" s="37">
        <f t="shared" si="17"/>
        <v>0.2</v>
      </c>
      <c r="F57" s="78">
        <f t="shared" ref="F57:G57" si="27">F36</f>
        <v>3.85</v>
      </c>
      <c r="G57" s="40">
        <f t="shared" si="27"/>
        <v>0.15</v>
      </c>
      <c r="H57" s="40">
        <f t="shared" si="19"/>
        <v>0.231</v>
      </c>
      <c r="I57" s="42"/>
      <c r="J57" s="147"/>
      <c r="K57" s="79"/>
    </row>
    <row r="58" ht="19.5" customHeight="1">
      <c r="A58" s="46">
        <f t="shared" si="20"/>
        <v>10</v>
      </c>
      <c r="B58" s="37" t="s">
        <v>345</v>
      </c>
      <c r="C58" s="46" t="s">
        <v>148</v>
      </c>
      <c r="D58" s="78">
        <f t="shared" si="16"/>
        <v>1</v>
      </c>
      <c r="E58" s="37">
        <f t="shared" si="17"/>
        <v>0.2</v>
      </c>
      <c r="F58" s="78">
        <f t="shared" ref="F58:G58" si="28">F37</f>
        <v>9.08</v>
      </c>
      <c r="G58" s="40">
        <f t="shared" si="28"/>
        <v>0.15</v>
      </c>
      <c r="H58" s="40">
        <f t="shared" si="19"/>
        <v>0.2724</v>
      </c>
      <c r="I58" s="42"/>
      <c r="J58" s="147"/>
      <c r="K58" s="79"/>
    </row>
    <row r="59" ht="19.5" customHeight="1">
      <c r="A59" s="46">
        <f t="shared" si="20"/>
        <v>11</v>
      </c>
      <c r="B59" s="37" t="s">
        <v>345</v>
      </c>
      <c r="C59" s="46" t="s">
        <v>148</v>
      </c>
      <c r="D59" s="78">
        <f t="shared" si="16"/>
        <v>2</v>
      </c>
      <c r="E59" s="37">
        <f t="shared" si="17"/>
        <v>0.2</v>
      </c>
      <c r="F59" s="78">
        <f t="shared" ref="F59:G59" si="29">F38</f>
        <v>2.3</v>
      </c>
      <c r="G59" s="40">
        <f t="shared" si="29"/>
        <v>0.15</v>
      </c>
      <c r="H59" s="40">
        <f t="shared" si="19"/>
        <v>0.138</v>
      </c>
      <c r="I59" s="42"/>
      <c r="J59" s="147"/>
      <c r="K59" s="79"/>
    </row>
    <row r="60" ht="19.5" customHeight="1">
      <c r="A60" s="46">
        <f t="shared" si="20"/>
        <v>12</v>
      </c>
      <c r="B60" s="37" t="s">
        <v>345</v>
      </c>
      <c r="C60" s="46" t="s">
        <v>148</v>
      </c>
      <c r="D60" s="78">
        <f t="shared" si="16"/>
        <v>1</v>
      </c>
      <c r="E60" s="37">
        <f t="shared" si="17"/>
        <v>0.2</v>
      </c>
      <c r="F60" s="78">
        <f t="shared" ref="F60:G60" si="30">F39</f>
        <v>9.75</v>
      </c>
      <c r="G60" s="40">
        <f t="shared" si="30"/>
        <v>0.15</v>
      </c>
      <c r="H60" s="40">
        <f t="shared" si="19"/>
        <v>0.2925</v>
      </c>
      <c r="I60" s="42"/>
      <c r="J60" s="147"/>
      <c r="K60" s="79"/>
    </row>
    <row r="61" ht="19.5" customHeight="1">
      <c r="A61" s="46">
        <f t="shared" si="20"/>
        <v>13</v>
      </c>
      <c r="B61" s="37" t="s">
        <v>345</v>
      </c>
      <c r="C61" s="46" t="s">
        <v>148</v>
      </c>
      <c r="D61" s="78">
        <f t="shared" si="16"/>
        <v>2</v>
      </c>
      <c r="E61" s="37">
        <f t="shared" si="17"/>
        <v>0.2</v>
      </c>
      <c r="F61" s="78">
        <f t="shared" ref="F61:G61" si="31">F40</f>
        <v>10.38</v>
      </c>
      <c r="G61" s="40">
        <f t="shared" si="31"/>
        <v>0.15</v>
      </c>
      <c r="H61" s="40">
        <f t="shared" si="19"/>
        <v>0.6228</v>
      </c>
      <c r="I61" s="42"/>
      <c r="J61" s="32"/>
      <c r="K61" s="132"/>
    </row>
    <row r="62" ht="19.5" customHeight="1">
      <c r="A62" s="74" t="s">
        <v>1</v>
      </c>
      <c r="B62" s="74" t="s">
        <v>91</v>
      </c>
      <c r="C62" s="74" t="s">
        <v>92</v>
      </c>
      <c r="D62" s="76" t="s">
        <v>93</v>
      </c>
      <c r="E62" s="50" t="s">
        <v>97</v>
      </c>
      <c r="F62" s="53" t="s">
        <v>121</v>
      </c>
      <c r="G62" s="53" t="s">
        <v>99</v>
      </c>
      <c r="H62" s="75" t="s">
        <v>100</v>
      </c>
      <c r="I62" s="75" t="s">
        <v>101</v>
      </c>
      <c r="J62" s="76" t="s">
        <v>95</v>
      </c>
      <c r="K62" s="74" t="s">
        <v>96</v>
      </c>
    </row>
    <row r="63" ht="19.5" customHeight="1">
      <c r="A63" s="46">
        <v>1.0</v>
      </c>
      <c r="B63" s="37" t="s">
        <v>346</v>
      </c>
      <c r="C63" s="46" t="s">
        <v>148</v>
      </c>
      <c r="D63" s="78">
        <v>3.0</v>
      </c>
      <c r="E63" s="37">
        <v>0.25</v>
      </c>
      <c r="F63" s="40">
        <f t="shared" ref="F63:F75" si="32">F49</f>
        <v>27.68</v>
      </c>
      <c r="G63" s="40">
        <v>0.14</v>
      </c>
      <c r="H63" s="40">
        <f t="shared" ref="H63:H75" si="33">G63*F63*E63*D63</f>
        <v>2.9064</v>
      </c>
      <c r="I63" s="42"/>
      <c r="J63" s="264">
        <f>SUM(H63:H76)</f>
        <v>11.8146</v>
      </c>
      <c r="K63" s="46"/>
    </row>
    <row r="64" ht="19.5" customHeight="1">
      <c r="A64" s="46">
        <f t="shared" ref="A64:A65" si="34">A63+1</f>
        <v>2</v>
      </c>
      <c r="B64" s="37" t="s">
        <v>346</v>
      </c>
      <c r="C64" s="46" t="s">
        <v>148</v>
      </c>
      <c r="D64" s="78">
        <f t="shared" ref="D64:D65" si="35">D50</f>
        <v>4</v>
      </c>
      <c r="E64" s="37">
        <v>0.25</v>
      </c>
      <c r="F64" s="40">
        <f t="shared" si="32"/>
        <v>23.15</v>
      </c>
      <c r="G64" s="40">
        <v>0.14</v>
      </c>
      <c r="H64" s="40">
        <f t="shared" si="33"/>
        <v>3.241</v>
      </c>
      <c r="I64" s="42"/>
      <c r="J64" s="147"/>
      <c r="K64" s="46"/>
      <c r="L64" s="14">
        <f>J64+J21+J29</f>
        <v>0</v>
      </c>
    </row>
    <row r="65" ht="19.5" customHeight="1">
      <c r="A65" s="46">
        <f t="shared" si="34"/>
        <v>3</v>
      </c>
      <c r="B65" s="37" t="s">
        <v>346</v>
      </c>
      <c r="C65" s="46" t="s">
        <v>148</v>
      </c>
      <c r="D65" s="78">
        <f t="shared" si="35"/>
        <v>4</v>
      </c>
      <c r="E65" s="37">
        <v>0.25</v>
      </c>
      <c r="F65" s="40">
        <f t="shared" si="32"/>
        <v>13.1</v>
      </c>
      <c r="G65" s="40">
        <v>0.14</v>
      </c>
      <c r="H65" s="40">
        <f t="shared" si="33"/>
        <v>1.834</v>
      </c>
      <c r="I65" s="42"/>
      <c r="J65" s="147"/>
      <c r="K65" s="79"/>
      <c r="L65" s="14"/>
    </row>
    <row r="66" ht="19.5" customHeight="1">
      <c r="A66" s="46">
        <f>A64+1</f>
        <v>3</v>
      </c>
      <c r="B66" s="37" t="s">
        <v>346</v>
      </c>
      <c r="C66" s="46" t="s">
        <v>148</v>
      </c>
      <c r="D66" s="78">
        <v>2.0</v>
      </c>
      <c r="E66" s="37">
        <v>0.25</v>
      </c>
      <c r="F66" s="40">
        <f t="shared" si="32"/>
        <v>6.65</v>
      </c>
      <c r="G66" s="40">
        <v>0.14</v>
      </c>
      <c r="H66" s="40">
        <f t="shared" si="33"/>
        <v>0.4655</v>
      </c>
      <c r="I66" s="42"/>
      <c r="J66" s="147"/>
      <c r="K66" s="79"/>
      <c r="L66" s="14"/>
    </row>
    <row r="67" ht="19.5" customHeight="1">
      <c r="A67" s="46">
        <f t="shared" ref="A67:A75" si="36">A66+1</f>
        <v>4</v>
      </c>
      <c r="B67" s="37" t="s">
        <v>346</v>
      </c>
      <c r="C67" s="46" t="s">
        <v>148</v>
      </c>
      <c r="D67" s="78">
        <v>1.0</v>
      </c>
      <c r="E67" s="37">
        <v>0.25</v>
      </c>
      <c r="F67" s="40">
        <f t="shared" si="32"/>
        <v>9.3</v>
      </c>
      <c r="G67" s="40">
        <v>0.14</v>
      </c>
      <c r="H67" s="40">
        <f t="shared" si="33"/>
        <v>0.3255</v>
      </c>
      <c r="I67" s="42"/>
      <c r="J67" s="147"/>
      <c r="K67" s="79"/>
      <c r="L67" s="14"/>
    </row>
    <row r="68" ht="19.5" customHeight="1">
      <c r="A68" s="46">
        <f t="shared" si="36"/>
        <v>5</v>
      </c>
      <c r="B68" s="37" t="s">
        <v>346</v>
      </c>
      <c r="C68" s="46" t="s">
        <v>148</v>
      </c>
      <c r="D68" s="78">
        <f t="shared" ref="D68:D75" si="37">D53</f>
        <v>1</v>
      </c>
      <c r="E68" s="37">
        <v>0.25</v>
      </c>
      <c r="F68" s="40">
        <f t="shared" si="32"/>
        <v>3.8</v>
      </c>
      <c r="G68" s="40">
        <v>0.14</v>
      </c>
      <c r="H68" s="40">
        <f t="shared" si="33"/>
        <v>0.133</v>
      </c>
      <c r="I68" s="42"/>
      <c r="J68" s="147"/>
      <c r="K68" s="79"/>
      <c r="L68" s="14"/>
    </row>
    <row r="69" ht="19.5" customHeight="1">
      <c r="A69" s="46">
        <f t="shared" si="36"/>
        <v>6</v>
      </c>
      <c r="B69" s="37" t="s">
        <v>346</v>
      </c>
      <c r="C69" s="46" t="s">
        <v>148</v>
      </c>
      <c r="D69" s="78">
        <f t="shared" si="37"/>
        <v>1</v>
      </c>
      <c r="E69" s="37">
        <v>0.25</v>
      </c>
      <c r="F69" s="40">
        <f t="shared" si="32"/>
        <v>20.03</v>
      </c>
      <c r="G69" s="40">
        <v>0.14</v>
      </c>
      <c r="H69" s="40">
        <f t="shared" si="33"/>
        <v>0.70105</v>
      </c>
      <c r="I69" s="42"/>
      <c r="J69" s="147"/>
      <c r="K69" s="79"/>
      <c r="L69" s="14"/>
    </row>
    <row r="70" ht="19.5" customHeight="1">
      <c r="A70" s="46">
        <f t="shared" si="36"/>
        <v>7</v>
      </c>
      <c r="B70" s="37" t="s">
        <v>346</v>
      </c>
      <c r="C70" s="46" t="s">
        <v>148</v>
      </c>
      <c r="D70" s="78">
        <f t="shared" si="37"/>
        <v>1</v>
      </c>
      <c r="E70" s="37">
        <v>0.25</v>
      </c>
      <c r="F70" s="40">
        <f t="shared" si="32"/>
        <v>8.9</v>
      </c>
      <c r="G70" s="40">
        <v>0.14</v>
      </c>
      <c r="H70" s="40">
        <f t="shared" si="33"/>
        <v>0.3115</v>
      </c>
      <c r="I70" s="42"/>
      <c r="J70" s="147"/>
      <c r="K70" s="79"/>
      <c r="L70" s="14"/>
    </row>
    <row r="71" ht="19.5" customHeight="1">
      <c r="A71" s="46">
        <f t="shared" si="36"/>
        <v>8</v>
      </c>
      <c r="B71" s="37" t="s">
        <v>346</v>
      </c>
      <c r="C71" s="46" t="s">
        <v>148</v>
      </c>
      <c r="D71" s="78">
        <f t="shared" si="37"/>
        <v>1</v>
      </c>
      <c r="E71" s="37">
        <v>0.25</v>
      </c>
      <c r="F71" s="40">
        <f t="shared" si="32"/>
        <v>3.85</v>
      </c>
      <c r="G71" s="40">
        <v>0.14</v>
      </c>
      <c r="H71" s="40">
        <f t="shared" si="33"/>
        <v>0.13475</v>
      </c>
      <c r="I71" s="42"/>
      <c r="J71" s="147"/>
      <c r="K71" s="79"/>
      <c r="L71" s="14"/>
    </row>
    <row r="72" ht="19.5" customHeight="1">
      <c r="A72" s="46">
        <f t="shared" si="36"/>
        <v>9</v>
      </c>
      <c r="B72" s="37" t="s">
        <v>346</v>
      </c>
      <c r="C72" s="46" t="s">
        <v>148</v>
      </c>
      <c r="D72" s="78">
        <f t="shared" si="37"/>
        <v>2</v>
      </c>
      <c r="E72" s="37">
        <v>0.25</v>
      </c>
      <c r="F72" s="40">
        <f t="shared" si="32"/>
        <v>9.08</v>
      </c>
      <c r="G72" s="40">
        <v>0.14</v>
      </c>
      <c r="H72" s="40">
        <f t="shared" si="33"/>
        <v>0.6356</v>
      </c>
      <c r="I72" s="42"/>
      <c r="J72" s="147"/>
      <c r="K72" s="79"/>
      <c r="L72" s="14"/>
    </row>
    <row r="73" ht="19.5" customHeight="1">
      <c r="A73" s="46">
        <f t="shared" si="36"/>
        <v>10</v>
      </c>
      <c r="B73" s="37" t="s">
        <v>346</v>
      </c>
      <c r="C73" s="46" t="s">
        <v>148</v>
      </c>
      <c r="D73" s="78">
        <f t="shared" si="37"/>
        <v>1</v>
      </c>
      <c r="E73" s="37">
        <v>0.25</v>
      </c>
      <c r="F73" s="40">
        <f t="shared" si="32"/>
        <v>2.3</v>
      </c>
      <c r="G73" s="40">
        <v>0.14</v>
      </c>
      <c r="H73" s="40">
        <f t="shared" si="33"/>
        <v>0.0805</v>
      </c>
      <c r="I73" s="42"/>
      <c r="J73" s="147"/>
      <c r="K73" s="79"/>
      <c r="L73" s="14"/>
    </row>
    <row r="74" ht="19.5" customHeight="1">
      <c r="A74" s="46">
        <f t="shared" si="36"/>
        <v>11</v>
      </c>
      <c r="B74" s="37" t="s">
        <v>346</v>
      </c>
      <c r="C74" s="46" t="s">
        <v>148</v>
      </c>
      <c r="D74" s="78">
        <f t="shared" si="37"/>
        <v>2</v>
      </c>
      <c r="E74" s="37">
        <v>0.25</v>
      </c>
      <c r="F74" s="40">
        <f t="shared" si="32"/>
        <v>9.75</v>
      </c>
      <c r="G74" s="40">
        <v>0.14</v>
      </c>
      <c r="H74" s="40">
        <f t="shared" si="33"/>
        <v>0.6825</v>
      </c>
      <c r="I74" s="42"/>
      <c r="J74" s="147"/>
      <c r="K74" s="79"/>
      <c r="L74" s="14"/>
    </row>
    <row r="75" ht="19.5" customHeight="1">
      <c r="A75" s="46">
        <f t="shared" si="36"/>
        <v>12</v>
      </c>
      <c r="B75" s="37" t="s">
        <v>346</v>
      </c>
      <c r="C75" s="46" t="s">
        <v>148</v>
      </c>
      <c r="D75" s="78">
        <f t="shared" si="37"/>
        <v>1</v>
      </c>
      <c r="E75" s="37">
        <v>0.25</v>
      </c>
      <c r="F75" s="40">
        <f t="shared" si="32"/>
        <v>10.38</v>
      </c>
      <c r="G75" s="40">
        <v>0.14</v>
      </c>
      <c r="H75" s="40">
        <f t="shared" si="33"/>
        <v>0.3633</v>
      </c>
      <c r="I75" s="42"/>
      <c r="J75" s="147"/>
      <c r="K75" s="79"/>
      <c r="L75" s="14"/>
    </row>
    <row r="76" ht="19.5" customHeight="1">
      <c r="A76" s="46"/>
      <c r="B76" s="37"/>
      <c r="C76" s="46"/>
      <c r="D76" s="78"/>
      <c r="E76" s="37"/>
      <c r="F76" s="40"/>
      <c r="G76" s="40"/>
      <c r="H76" s="40"/>
      <c r="I76" s="42"/>
      <c r="J76" s="32"/>
      <c r="K76" s="79"/>
      <c r="L76" s="14"/>
    </row>
    <row r="77" ht="19.5" customHeight="1">
      <c r="A77" s="74" t="s">
        <v>1</v>
      </c>
      <c r="B77" s="74" t="s">
        <v>91</v>
      </c>
      <c r="C77" s="74" t="s">
        <v>92</v>
      </c>
      <c r="D77" s="76" t="s">
        <v>93</v>
      </c>
      <c r="E77" s="50" t="s">
        <v>97</v>
      </c>
      <c r="F77" s="53" t="s">
        <v>121</v>
      </c>
      <c r="G77" s="53" t="s">
        <v>99</v>
      </c>
      <c r="H77" s="75" t="s">
        <v>100</v>
      </c>
      <c r="I77" s="75" t="s">
        <v>101</v>
      </c>
      <c r="J77" s="76" t="s">
        <v>95</v>
      </c>
      <c r="K77" s="74" t="s">
        <v>96</v>
      </c>
    </row>
    <row r="78" ht="19.5" customHeight="1">
      <c r="A78" s="46">
        <v>1.0</v>
      </c>
      <c r="B78" s="37" t="s">
        <v>176</v>
      </c>
      <c r="C78" s="46" t="s">
        <v>103</v>
      </c>
      <c r="D78" s="78"/>
      <c r="E78" s="37"/>
      <c r="F78" s="40"/>
      <c r="G78" s="40"/>
      <c r="H78" s="40"/>
      <c r="I78" s="42"/>
      <c r="J78" s="43" t="str">
        <f>H78</f>
        <v/>
      </c>
      <c r="K78" s="47"/>
    </row>
    <row r="79" ht="19.5" customHeight="1">
      <c r="A79" s="74" t="s">
        <v>1</v>
      </c>
      <c r="B79" s="74" t="s">
        <v>91</v>
      </c>
      <c r="C79" s="74" t="s">
        <v>92</v>
      </c>
      <c r="D79" s="76" t="s">
        <v>93</v>
      </c>
      <c r="E79" s="50" t="s">
        <v>148</v>
      </c>
      <c r="F79" s="53" t="s">
        <v>347</v>
      </c>
      <c r="G79" s="53" t="s">
        <v>348</v>
      </c>
      <c r="H79" s="75" t="s">
        <v>100</v>
      </c>
      <c r="I79" s="75" t="s">
        <v>101</v>
      </c>
      <c r="J79" s="76" t="s">
        <v>95</v>
      </c>
      <c r="K79" s="111" t="s">
        <v>96</v>
      </c>
      <c r="M79" s="310" t="s">
        <v>910</v>
      </c>
      <c r="N79" s="311"/>
      <c r="O79" s="311"/>
      <c r="P79" s="311"/>
      <c r="Q79" s="311"/>
    </row>
    <row r="80" ht="20.25" customHeight="1">
      <c r="A80" s="46">
        <v>1.0</v>
      </c>
      <c r="B80" s="37" t="s">
        <v>349</v>
      </c>
      <c r="C80" s="46" t="s">
        <v>103</v>
      </c>
      <c r="D80" s="123">
        <v>1.0</v>
      </c>
      <c r="E80" s="40">
        <f>J26</f>
        <v>43</v>
      </c>
      <c r="F80" s="40">
        <v>10.0</v>
      </c>
      <c r="G80" s="40">
        <f t="shared" ref="G80:G82" si="38">E80/4</f>
        <v>10.75</v>
      </c>
      <c r="H80" s="40">
        <f t="shared" ref="H80:H82" si="39">G80*F80</f>
        <v>107.5</v>
      </c>
      <c r="I80" s="42"/>
      <c r="J80" s="107"/>
      <c r="K80" s="313" t="s">
        <v>911</v>
      </c>
      <c r="L80" s="70"/>
      <c r="M80" s="310" t="s">
        <v>907</v>
      </c>
      <c r="N80" s="310">
        <v>7.12</v>
      </c>
      <c r="O80" s="310">
        <v>10.62</v>
      </c>
      <c r="P80" s="311">
        <f t="shared" ref="P80:P81" si="40">O80+N80</f>
        <v>17.74</v>
      </c>
      <c r="Q80" s="310" t="s">
        <v>148</v>
      </c>
    </row>
    <row r="81" ht="18.75" customHeight="1">
      <c r="A81" s="46">
        <v>2.0</v>
      </c>
      <c r="B81" s="37" t="s">
        <v>351</v>
      </c>
      <c r="C81" s="46" t="s">
        <v>103</v>
      </c>
      <c r="D81" s="128">
        <v>1.0</v>
      </c>
      <c r="E81" s="40">
        <f>J19+J40</f>
        <v>22.76505</v>
      </c>
      <c r="F81" s="40">
        <v>12.0</v>
      </c>
      <c r="G81" s="40">
        <f t="shared" si="38"/>
        <v>5.6912625</v>
      </c>
      <c r="H81" s="59">
        <f t="shared" si="39"/>
        <v>68.29515</v>
      </c>
      <c r="I81" s="93"/>
      <c r="J81" s="107"/>
      <c r="K81" s="147"/>
      <c r="L81" s="12"/>
      <c r="M81" s="310" t="s">
        <v>912</v>
      </c>
      <c r="N81" s="310">
        <v>115.96</v>
      </c>
      <c r="O81" s="310">
        <v>172.93</v>
      </c>
      <c r="P81" s="311">
        <f t="shared" si="40"/>
        <v>288.89</v>
      </c>
      <c r="Q81" s="310" t="s">
        <v>103</v>
      </c>
    </row>
    <row r="82" ht="18.0" customHeight="1">
      <c r="A82" s="46">
        <v>3.0</v>
      </c>
      <c r="B82" s="37" t="s">
        <v>352</v>
      </c>
      <c r="C82" s="46" t="s">
        <v>103</v>
      </c>
      <c r="D82" s="128">
        <v>1.0</v>
      </c>
      <c r="E82" s="40">
        <f>J63+J21</f>
        <v>11.8146</v>
      </c>
      <c r="F82" s="40">
        <v>12.0</v>
      </c>
      <c r="G82" s="40">
        <f t="shared" si="38"/>
        <v>2.95365</v>
      </c>
      <c r="H82" s="59">
        <f t="shared" si="39"/>
        <v>35.4438</v>
      </c>
      <c r="I82" s="93"/>
      <c r="J82" s="107">
        <f>SUM(H80:H82)</f>
        <v>211.23895</v>
      </c>
      <c r="K82" s="32"/>
      <c r="L82" s="314"/>
      <c r="M82" s="310" t="s">
        <v>913</v>
      </c>
      <c r="N82" s="311"/>
      <c r="O82" s="311"/>
      <c r="P82" s="311"/>
      <c r="Q82" s="311"/>
    </row>
    <row r="83" ht="19.5" customHeight="1">
      <c r="A83" s="74" t="s">
        <v>1</v>
      </c>
      <c r="B83" s="74" t="s">
        <v>91</v>
      </c>
      <c r="C83" s="74" t="s">
        <v>92</v>
      </c>
      <c r="D83" s="76" t="s">
        <v>93</v>
      </c>
      <c r="E83" s="50" t="s">
        <v>97</v>
      </c>
      <c r="F83" s="53" t="s">
        <v>121</v>
      </c>
      <c r="G83" s="53" t="s">
        <v>99</v>
      </c>
      <c r="H83" s="75" t="s">
        <v>100</v>
      </c>
      <c r="I83" s="75" t="s">
        <v>101</v>
      </c>
      <c r="J83" s="76" t="s">
        <v>95</v>
      </c>
      <c r="K83" s="74" t="s">
        <v>96</v>
      </c>
      <c r="M83" s="310" t="s">
        <v>907</v>
      </c>
      <c r="N83" s="310"/>
      <c r="O83" s="310"/>
      <c r="P83" s="311">
        <v>7.43</v>
      </c>
      <c r="Q83" s="310" t="s">
        <v>148</v>
      </c>
    </row>
    <row r="84" ht="19.5" customHeight="1">
      <c r="A84" s="124">
        <v>1.0</v>
      </c>
      <c r="B84" s="315" t="s">
        <v>177</v>
      </c>
      <c r="C84" s="124" t="s">
        <v>103</v>
      </c>
      <c r="D84" s="78">
        <v>3.0</v>
      </c>
      <c r="E84" s="37">
        <v>5.0</v>
      </c>
      <c r="F84" s="78">
        <f t="shared" ref="F84:F89" si="41">F63</f>
        <v>27.68</v>
      </c>
      <c r="G84" s="40">
        <v>0.09</v>
      </c>
      <c r="H84" s="40">
        <f t="shared" ref="H84:H96" si="42">F84*E84*D84</f>
        <v>415.2</v>
      </c>
      <c r="I84" s="42"/>
      <c r="J84" s="264">
        <f>SUM(H84:H96)-I85-I84</f>
        <v>1121.27</v>
      </c>
      <c r="K84" s="145" t="s">
        <v>914</v>
      </c>
      <c r="M84" s="310" t="s">
        <v>912</v>
      </c>
      <c r="N84" s="310"/>
      <c r="O84" s="310"/>
      <c r="P84" s="311">
        <v>143.34</v>
      </c>
      <c r="Q84" s="310" t="s">
        <v>103</v>
      </c>
    </row>
    <row r="85" ht="19.5" customHeight="1">
      <c r="A85" s="124">
        <f t="shared" ref="A85:A96" si="43">A84+1</f>
        <v>2</v>
      </c>
      <c r="B85" s="315" t="s">
        <v>177</v>
      </c>
      <c r="C85" s="124" t="s">
        <v>103</v>
      </c>
      <c r="D85" s="78">
        <v>2.0</v>
      </c>
      <c r="E85" s="37">
        <v>5.0</v>
      </c>
      <c r="F85" s="78">
        <f t="shared" si="41"/>
        <v>23.15</v>
      </c>
      <c r="G85" s="40">
        <v>0.09</v>
      </c>
      <c r="H85" s="40">
        <f t="shared" si="42"/>
        <v>231.5</v>
      </c>
      <c r="I85" s="42"/>
      <c r="J85" s="147"/>
      <c r="K85" s="126">
        <f>F84*D84+F85*D85</f>
        <v>129.34</v>
      </c>
      <c r="L85" s="2" t="s">
        <v>915</v>
      </c>
    </row>
    <row r="86" ht="19.5" customHeight="1">
      <c r="A86" s="124">
        <f t="shared" si="43"/>
        <v>3</v>
      </c>
      <c r="B86" s="315" t="s">
        <v>177</v>
      </c>
      <c r="C86" s="124" t="s">
        <v>103</v>
      </c>
      <c r="D86" s="78">
        <v>5.0</v>
      </c>
      <c r="E86" s="316">
        <v>3.0</v>
      </c>
      <c r="F86" s="78">
        <f t="shared" si="41"/>
        <v>13.1</v>
      </c>
      <c r="G86" s="40">
        <v>0.09</v>
      </c>
      <c r="H86" s="40">
        <f t="shared" si="42"/>
        <v>196.5</v>
      </c>
      <c r="I86" s="42"/>
      <c r="J86" s="147"/>
      <c r="K86" s="126">
        <f>168.65-K85</f>
        <v>39.31</v>
      </c>
      <c r="L86" s="2" t="s">
        <v>916</v>
      </c>
    </row>
    <row r="87" ht="19.5" customHeight="1">
      <c r="A87" s="124">
        <f t="shared" si="43"/>
        <v>4</v>
      </c>
      <c r="B87" s="315" t="s">
        <v>177</v>
      </c>
      <c r="C87" s="124" t="s">
        <v>103</v>
      </c>
      <c r="D87" s="78">
        <v>2.0</v>
      </c>
      <c r="E87" s="316">
        <v>3.0</v>
      </c>
      <c r="F87" s="78">
        <f t="shared" si="41"/>
        <v>6.65</v>
      </c>
      <c r="G87" s="40">
        <v>0.09</v>
      </c>
      <c r="H87" s="40">
        <f t="shared" si="42"/>
        <v>39.9</v>
      </c>
      <c r="I87" s="42"/>
      <c r="J87" s="147"/>
      <c r="K87" s="126">
        <f>K85*5</f>
        <v>646.7</v>
      </c>
    </row>
    <row r="88" ht="19.5" customHeight="1">
      <c r="A88" s="124">
        <f t="shared" si="43"/>
        <v>5</v>
      </c>
      <c r="B88" s="315" t="s">
        <v>177</v>
      </c>
      <c r="C88" s="124" t="s">
        <v>103</v>
      </c>
      <c r="D88" s="78">
        <v>1.0</v>
      </c>
      <c r="E88" s="316">
        <v>3.0</v>
      </c>
      <c r="F88" s="78">
        <f t="shared" si="41"/>
        <v>9.3</v>
      </c>
      <c r="G88" s="40">
        <v>0.09</v>
      </c>
      <c r="H88" s="40">
        <f t="shared" si="42"/>
        <v>27.9</v>
      </c>
      <c r="I88" s="42"/>
      <c r="J88" s="147"/>
      <c r="K88" s="126">
        <f>K86*3</f>
        <v>117.93</v>
      </c>
    </row>
    <row r="89" ht="19.5" customHeight="1">
      <c r="A89" s="124">
        <f t="shared" si="43"/>
        <v>6</v>
      </c>
      <c r="B89" s="315" t="s">
        <v>177</v>
      </c>
      <c r="C89" s="124" t="s">
        <v>103</v>
      </c>
      <c r="D89" s="78">
        <v>1.0</v>
      </c>
      <c r="E89" s="316">
        <v>3.0</v>
      </c>
      <c r="F89" s="78">
        <f t="shared" si="41"/>
        <v>3.8</v>
      </c>
      <c r="G89" s="40">
        <v>0.09</v>
      </c>
      <c r="H89" s="40">
        <f t="shared" si="42"/>
        <v>11.4</v>
      </c>
      <c r="I89" s="42"/>
      <c r="J89" s="147"/>
      <c r="K89" s="145" t="s">
        <v>917</v>
      </c>
    </row>
    <row r="90" ht="19.5" customHeight="1">
      <c r="A90" s="124">
        <f t="shared" si="43"/>
        <v>7</v>
      </c>
      <c r="B90" s="315" t="s">
        <v>177</v>
      </c>
      <c r="C90" s="124" t="s">
        <v>103</v>
      </c>
      <c r="D90" s="78">
        <v>1.0</v>
      </c>
      <c r="E90" s="316">
        <v>3.0</v>
      </c>
      <c r="F90" s="78">
        <v>22.03</v>
      </c>
      <c r="G90" s="40">
        <v>0.09</v>
      </c>
      <c r="H90" s="40">
        <f t="shared" si="42"/>
        <v>66.09</v>
      </c>
      <c r="I90" s="42"/>
      <c r="J90" s="147"/>
      <c r="K90" s="126">
        <f>SUM(K87:K88)</f>
        <v>764.63</v>
      </c>
    </row>
    <row r="91" ht="19.5" customHeight="1">
      <c r="A91" s="124">
        <f t="shared" si="43"/>
        <v>8</v>
      </c>
      <c r="B91" s="315" t="s">
        <v>177</v>
      </c>
      <c r="C91" s="124" t="s">
        <v>103</v>
      </c>
      <c r="D91" s="78">
        <v>1.0</v>
      </c>
      <c r="E91" s="316">
        <v>3.0</v>
      </c>
      <c r="F91" s="78">
        <f t="shared" ref="F91:F96" si="44">F70</f>
        <v>8.9</v>
      </c>
      <c r="G91" s="40">
        <v>0.09</v>
      </c>
      <c r="H91" s="40">
        <f t="shared" si="42"/>
        <v>26.7</v>
      </c>
      <c r="I91" s="42"/>
      <c r="J91" s="147"/>
      <c r="K91" s="46"/>
    </row>
    <row r="92" ht="19.5" customHeight="1">
      <c r="A92" s="124">
        <f t="shared" si="43"/>
        <v>9</v>
      </c>
      <c r="B92" s="315" t="s">
        <v>177</v>
      </c>
      <c r="C92" s="124" t="s">
        <v>103</v>
      </c>
      <c r="D92" s="78">
        <v>1.0</v>
      </c>
      <c r="E92" s="316">
        <v>3.0</v>
      </c>
      <c r="F92" s="78">
        <f t="shared" si="44"/>
        <v>3.85</v>
      </c>
      <c r="G92" s="40">
        <v>0.09</v>
      </c>
      <c r="H92" s="40">
        <f t="shared" si="42"/>
        <v>11.55</v>
      </c>
      <c r="I92" s="42"/>
      <c r="J92" s="147"/>
      <c r="K92" s="46"/>
    </row>
    <row r="93" ht="19.5" customHeight="1">
      <c r="A93" s="124">
        <f t="shared" si="43"/>
        <v>10</v>
      </c>
      <c r="B93" s="315" t="s">
        <v>177</v>
      </c>
      <c r="C93" s="124" t="s">
        <v>103</v>
      </c>
      <c r="D93" s="78">
        <v>1.0</v>
      </c>
      <c r="E93" s="316">
        <v>3.0</v>
      </c>
      <c r="F93" s="78">
        <f t="shared" si="44"/>
        <v>9.08</v>
      </c>
      <c r="G93" s="40">
        <v>0.09</v>
      </c>
      <c r="H93" s="40">
        <f t="shared" si="42"/>
        <v>27.24</v>
      </c>
      <c r="I93" s="42"/>
      <c r="J93" s="147"/>
      <c r="K93" s="46"/>
    </row>
    <row r="94" ht="19.5" customHeight="1">
      <c r="A94" s="124">
        <f t="shared" si="43"/>
        <v>11</v>
      </c>
      <c r="B94" s="315" t="s">
        <v>177</v>
      </c>
      <c r="C94" s="124" t="s">
        <v>103</v>
      </c>
      <c r="D94" s="78">
        <v>1.0</v>
      </c>
      <c r="E94" s="316">
        <v>3.0</v>
      </c>
      <c r="F94" s="78">
        <f t="shared" si="44"/>
        <v>2.3</v>
      </c>
      <c r="G94" s="40">
        <v>0.09</v>
      </c>
      <c r="H94" s="40">
        <f t="shared" si="42"/>
        <v>6.9</v>
      </c>
      <c r="I94" s="42"/>
      <c r="J94" s="147"/>
      <c r="K94" s="46"/>
    </row>
    <row r="95" ht="19.5" customHeight="1">
      <c r="A95" s="124">
        <f t="shared" si="43"/>
        <v>12</v>
      </c>
      <c r="B95" s="315" t="s">
        <v>177</v>
      </c>
      <c r="C95" s="317" t="s">
        <v>103</v>
      </c>
      <c r="D95" s="78">
        <v>1.0</v>
      </c>
      <c r="E95" s="316">
        <v>3.0</v>
      </c>
      <c r="F95" s="78">
        <f t="shared" si="44"/>
        <v>9.75</v>
      </c>
      <c r="G95" s="40">
        <v>0.09</v>
      </c>
      <c r="H95" s="40">
        <f t="shared" si="42"/>
        <v>29.25</v>
      </c>
      <c r="I95" s="93"/>
      <c r="J95" s="147"/>
      <c r="K95" s="79"/>
    </row>
    <row r="96" ht="19.5" customHeight="1">
      <c r="A96" s="124">
        <f t="shared" si="43"/>
        <v>13</v>
      </c>
      <c r="B96" s="315" t="s">
        <v>177</v>
      </c>
      <c r="C96" s="317" t="s">
        <v>103</v>
      </c>
      <c r="D96" s="78">
        <v>1.0</v>
      </c>
      <c r="E96" s="316">
        <v>3.0</v>
      </c>
      <c r="F96" s="78">
        <f t="shared" si="44"/>
        <v>10.38</v>
      </c>
      <c r="G96" s="40">
        <v>0.09</v>
      </c>
      <c r="H96" s="40">
        <f t="shared" si="42"/>
        <v>31.14</v>
      </c>
      <c r="I96" s="93"/>
      <c r="J96" s="147"/>
      <c r="K96" s="132">
        <f>J84-K90</f>
        <v>356.64</v>
      </c>
      <c r="L96" s="2" t="s">
        <v>918</v>
      </c>
    </row>
    <row r="97" ht="19.5" customHeight="1">
      <c r="A97" s="79"/>
      <c r="B97" s="95"/>
      <c r="C97" s="79"/>
      <c r="D97" s="92"/>
      <c r="E97" s="37"/>
      <c r="F97" s="78"/>
      <c r="G97" s="40"/>
      <c r="H97" s="59"/>
      <c r="I97" s="93"/>
      <c r="J97" s="32"/>
      <c r="K97" s="79"/>
    </row>
    <row r="98" ht="19.5" customHeight="1">
      <c r="A98" s="74" t="s">
        <v>1</v>
      </c>
      <c r="B98" s="74" t="s">
        <v>91</v>
      </c>
      <c r="C98" s="74" t="s">
        <v>92</v>
      </c>
      <c r="D98" s="76" t="s">
        <v>93</v>
      </c>
      <c r="E98" s="50" t="s">
        <v>97</v>
      </c>
      <c r="F98" s="53" t="s">
        <v>121</v>
      </c>
      <c r="G98" s="53" t="s">
        <v>99</v>
      </c>
      <c r="H98" s="75" t="s">
        <v>100</v>
      </c>
      <c r="I98" s="75" t="s">
        <v>101</v>
      </c>
      <c r="J98" s="76" t="s">
        <v>95</v>
      </c>
      <c r="K98" s="74" t="s">
        <v>96</v>
      </c>
    </row>
    <row r="99" ht="19.5" customHeight="1">
      <c r="A99" s="46">
        <v>1.0</v>
      </c>
      <c r="B99" s="37" t="s">
        <v>182</v>
      </c>
      <c r="C99" s="46" t="s">
        <v>103</v>
      </c>
      <c r="D99" s="78" t="str">
        <f>J78</f>
        <v/>
      </c>
      <c r="E99" s="37"/>
      <c r="F99" s="40"/>
      <c r="G99" s="40"/>
      <c r="H99" s="40" t="str">
        <f>D99</f>
        <v/>
      </c>
      <c r="I99" s="42"/>
      <c r="J99" s="43">
        <f>H99-I99</f>
        <v>0</v>
      </c>
      <c r="K99" s="46" t="s">
        <v>183</v>
      </c>
    </row>
    <row r="100" ht="19.5" customHeight="1">
      <c r="A100" s="74" t="s">
        <v>1</v>
      </c>
      <c r="B100" s="74" t="s">
        <v>91</v>
      </c>
      <c r="C100" s="74" t="s">
        <v>92</v>
      </c>
      <c r="D100" s="76" t="s">
        <v>93</v>
      </c>
      <c r="E100" s="50" t="s">
        <v>187</v>
      </c>
      <c r="F100" s="53"/>
      <c r="G100" s="53" t="s">
        <v>353</v>
      </c>
      <c r="H100" s="75" t="s">
        <v>100</v>
      </c>
      <c r="I100" s="75" t="s">
        <v>101</v>
      </c>
      <c r="J100" s="76" t="s">
        <v>95</v>
      </c>
      <c r="K100" s="74" t="s">
        <v>96</v>
      </c>
    </row>
    <row r="101" ht="19.5" customHeight="1">
      <c r="A101" s="46">
        <v>1.0</v>
      </c>
      <c r="B101" s="37" t="s">
        <v>354</v>
      </c>
      <c r="C101" s="46" t="s">
        <v>158</v>
      </c>
      <c r="D101" s="78">
        <f>J26</f>
        <v>43</v>
      </c>
      <c r="E101" s="37">
        <v>80.0</v>
      </c>
      <c r="F101" s="40"/>
      <c r="G101" s="40">
        <f t="shared" ref="G101:G104" si="45">E101*D101</f>
        <v>3440</v>
      </c>
      <c r="H101" s="40">
        <f t="shared" ref="H101:H104" si="46">E101*D101</f>
        <v>3440</v>
      </c>
      <c r="I101" s="42"/>
      <c r="J101" s="107"/>
      <c r="K101" s="46" t="s">
        <v>355</v>
      </c>
    </row>
    <row r="102" ht="19.5" customHeight="1">
      <c r="A102" s="46">
        <v>2.0</v>
      </c>
      <c r="B102" s="37" t="s">
        <v>356</v>
      </c>
      <c r="C102" s="46" t="s">
        <v>158</v>
      </c>
      <c r="D102" s="78">
        <f>J19+J40</f>
        <v>22.76505</v>
      </c>
      <c r="E102" s="37">
        <v>90.0</v>
      </c>
      <c r="F102" s="40"/>
      <c r="G102" s="40">
        <f t="shared" si="45"/>
        <v>2048.8545</v>
      </c>
      <c r="H102" s="40">
        <f t="shared" si="46"/>
        <v>2048.8545</v>
      </c>
      <c r="I102" s="42"/>
      <c r="J102" s="121"/>
      <c r="K102" s="79"/>
    </row>
    <row r="103" ht="19.5" customHeight="1">
      <c r="A103" s="46">
        <v>3.0</v>
      </c>
      <c r="B103" s="37" t="s">
        <v>357</v>
      </c>
      <c r="C103" s="46" t="s">
        <v>158</v>
      </c>
      <c r="D103" s="78">
        <f>J63+J26</f>
        <v>54.8146</v>
      </c>
      <c r="E103" s="37">
        <v>100.0</v>
      </c>
      <c r="F103" s="40"/>
      <c r="G103" s="40">
        <f t="shared" si="45"/>
        <v>5481.46</v>
      </c>
      <c r="H103" s="40">
        <f t="shared" si="46"/>
        <v>5481.46</v>
      </c>
      <c r="I103" s="42"/>
      <c r="J103" s="121"/>
      <c r="K103" s="79"/>
    </row>
    <row r="104" ht="19.5" customHeight="1">
      <c r="A104" s="46">
        <v>4.0</v>
      </c>
      <c r="B104" s="37" t="s">
        <v>358</v>
      </c>
      <c r="C104" s="46" t="s">
        <v>158</v>
      </c>
      <c r="D104" s="78">
        <f>J78*0.15</f>
        <v>0</v>
      </c>
      <c r="E104" s="37"/>
      <c r="F104" s="40"/>
      <c r="G104" s="40">
        <f t="shared" si="45"/>
        <v>0</v>
      </c>
      <c r="H104" s="40">
        <f t="shared" si="46"/>
        <v>0</v>
      </c>
      <c r="I104" s="42"/>
      <c r="J104" s="96">
        <f>SUM(H101:H104)</f>
        <v>10970.3145</v>
      </c>
      <c r="K104" s="79"/>
    </row>
    <row r="105" ht="19.5" customHeight="1">
      <c r="A105" s="74" t="s">
        <v>1</v>
      </c>
      <c r="B105" s="74" t="s">
        <v>91</v>
      </c>
      <c r="C105" s="74" t="s">
        <v>92</v>
      </c>
      <c r="D105" s="76" t="s">
        <v>93</v>
      </c>
      <c r="E105" s="50" t="s">
        <v>97</v>
      </c>
      <c r="F105" s="53" t="s">
        <v>121</v>
      </c>
      <c r="G105" s="53" t="s">
        <v>99</v>
      </c>
      <c r="H105" s="75" t="s">
        <v>100</v>
      </c>
      <c r="I105" s="75" t="s">
        <v>101</v>
      </c>
      <c r="J105" s="76" t="s">
        <v>95</v>
      </c>
      <c r="K105" s="74" t="s">
        <v>96</v>
      </c>
    </row>
    <row r="106" ht="19.5" customHeight="1">
      <c r="A106" s="46">
        <v>1.0</v>
      </c>
      <c r="B106" s="318" t="s">
        <v>919</v>
      </c>
      <c r="C106" s="46" t="s">
        <v>108</v>
      </c>
      <c r="D106" s="78">
        <v>2.0</v>
      </c>
      <c r="E106" s="37"/>
      <c r="F106" s="40">
        <f>F84</f>
        <v>27.68</v>
      </c>
      <c r="G106" s="40">
        <f>F85</f>
        <v>23.15</v>
      </c>
      <c r="H106" s="40">
        <f t="shared" ref="H106:H107" si="47">(G106+F106)*D106</f>
        <v>101.66</v>
      </c>
      <c r="I106" s="42"/>
      <c r="J106" s="77"/>
      <c r="K106" s="145" t="s">
        <v>920</v>
      </c>
    </row>
    <row r="107" ht="19.5" customHeight="1">
      <c r="A107" s="46">
        <v>2.0</v>
      </c>
      <c r="B107" s="318" t="s">
        <v>921</v>
      </c>
      <c r="C107" s="46" t="s">
        <v>108</v>
      </c>
      <c r="D107" s="319">
        <v>4.0</v>
      </c>
      <c r="E107" s="37"/>
      <c r="F107" s="40">
        <f>F84</f>
        <v>27.68</v>
      </c>
      <c r="G107" s="40">
        <f>G106</f>
        <v>23.15</v>
      </c>
      <c r="H107" s="40">
        <f t="shared" si="47"/>
        <v>203.32</v>
      </c>
      <c r="I107" s="42"/>
      <c r="J107" s="43">
        <f>H107+H106</f>
        <v>304.98</v>
      </c>
      <c r="K107" s="46" t="s">
        <v>186</v>
      </c>
    </row>
    <row r="108" ht="19.5" customHeight="1">
      <c r="A108" s="74" t="s">
        <v>1</v>
      </c>
      <c r="B108" s="74" t="s">
        <v>91</v>
      </c>
      <c r="C108" s="74" t="s">
        <v>92</v>
      </c>
      <c r="D108" s="76" t="s">
        <v>93</v>
      </c>
      <c r="E108" s="50" t="s">
        <v>187</v>
      </c>
      <c r="F108" s="53" t="s">
        <v>99</v>
      </c>
      <c r="G108" s="53" t="s">
        <v>121</v>
      </c>
      <c r="H108" s="75" t="s">
        <v>100</v>
      </c>
      <c r="I108" s="75" t="s">
        <v>101</v>
      </c>
      <c r="J108" s="76" t="s">
        <v>95</v>
      </c>
      <c r="K108" s="74" t="s">
        <v>96</v>
      </c>
    </row>
    <row r="109" ht="19.5" customHeight="1">
      <c r="A109" s="46">
        <v>1.0</v>
      </c>
      <c r="B109" s="315" t="s">
        <v>188</v>
      </c>
      <c r="C109" s="46" t="s">
        <v>103</v>
      </c>
      <c r="D109" s="78">
        <v>1.0</v>
      </c>
      <c r="E109" s="37">
        <v>12.0</v>
      </c>
      <c r="F109" s="40">
        <f>G106</f>
        <v>23.15</v>
      </c>
      <c r="G109" s="40">
        <f>F63</f>
        <v>27.68</v>
      </c>
      <c r="H109" s="40">
        <f>G109*F109</f>
        <v>640.792</v>
      </c>
      <c r="I109" s="42"/>
      <c r="J109" s="43">
        <f>H109-I109</f>
        <v>640.792</v>
      </c>
      <c r="K109" s="124" t="s">
        <v>359</v>
      </c>
    </row>
    <row r="110" ht="19.5" customHeight="1">
      <c r="A110" s="74" t="s">
        <v>1</v>
      </c>
      <c r="B110" s="74" t="s">
        <v>91</v>
      </c>
      <c r="C110" s="74" t="s">
        <v>92</v>
      </c>
      <c r="D110" s="76" t="s">
        <v>93</v>
      </c>
      <c r="E110" s="50" t="s">
        <v>187</v>
      </c>
      <c r="F110" s="53" t="s">
        <v>99</v>
      </c>
      <c r="G110" s="53" t="s">
        <v>121</v>
      </c>
      <c r="H110" s="75" t="s">
        <v>100</v>
      </c>
      <c r="I110" s="75" t="s">
        <v>101</v>
      </c>
      <c r="J110" s="76" t="s">
        <v>95</v>
      </c>
      <c r="K110" s="74" t="s">
        <v>96</v>
      </c>
    </row>
    <row r="111" ht="19.5" customHeight="1">
      <c r="A111" s="46">
        <v>1.0</v>
      </c>
      <c r="B111" s="315" t="s">
        <v>189</v>
      </c>
      <c r="C111" s="46" t="s">
        <v>103</v>
      </c>
      <c r="D111" s="78">
        <v>1.0</v>
      </c>
      <c r="E111" s="37">
        <v>6.0</v>
      </c>
      <c r="F111" s="40">
        <f t="shared" ref="F111:G111" si="48">F109</f>
        <v>23.15</v>
      </c>
      <c r="G111" s="40">
        <f t="shared" si="48"/>
        <v>27.68</v>
      </c>
      <c r="H111" s="40">
        <f>G111*F111</f>
        <v>640.792</v>
      </c>
      <c r="I111" s="42"/>
      <c r="J111" s="43">
        <f>H111-I111</f>
        <v>640.792</v>
      </c>
      <c r="K111" s="46"/>
    </row>
    <row r="112" ht="19.5" customHeight="1">
      <c r="A112" s="74" t="s">
        <v>1</v>
      </c>
      <c r="B112" s="74" t="s">
        <v>91</v>
      </c>
      <c r="C112" s="74" t="s">
        <v>92</v>
      </c>
      <c r="D112" s="76" t="s">
        <v>93</v>
      </c>
      <c r="E112" s="50" t="s">
        <v>99</v>
      </c>
      <c r="F112" s="53" t="s">
        <v>121</v>
      </c>
      <c r="G112" s="53" t="s">
        <v>97</v>
      </c>
      <c r="H112" s="75" t="s">
        <v>100</v>
      </c>
      <c r="I112" s="75" t="s">
        <v>101</v>
      </c>
      <c r="J112" s="76" t="s">
        <v>95</v>
      </c>
      <c r="K112" s="74" t="s">
        <v>96</v>
      </c>
    </row>
    <row r="113" ht="19.5" customHeight="1">
      <c r="A113" s="46">
        <v>1.0</v>
      </c>
      <c r="B113" s="320" t="s">
        <v>922</v>
      </c>
      <c r="C113" s="46" t="s">
        <v>103</v>
      </c>
      <c r="D113" s="78">
        <v>1.0</v>
      </c>
      <c r="E113" s="37">
        <v>1.2</v>
      </c>
      <c r="F113" s="40">
        <f>F107</f>
        <v>27.68</v>
      </c>
      <c r="G113" s="40"/>
      <c r="H113" s="40">
        <f>F113*E113*D113</f>
        <v>33.216</v>
      </c>
      <c r="I113" s="42"/>
      <c r="J113" s="43">
        <f>H113-I113</f>
        <v>33.216</v>
      </c>
      <c r="K113" s="126">
        <f>F113*2+3*4</f>
        <v>67.36</v>
      </c>
    </row>
    <row r="114" ht="19.5" customHeight="1">
      <c r="A114" s="74" t="s">
        <v>1</v>
      </c>
      <c r="B114" s="74" t="s">
        <v>91</v>
      </c>
      <c r="C114" s="74" t="s">
        <v>92</v>
      </c>
      <c r="D114" s="76" t="s">
        <v>93</v>
      </c>
      <c r="E114" s="50" t="s">
        <v>193</v>
      </c>
      <c r="F114" s="53" t="s">
        <v>121</v>
      </c>
      <c r="G114" s="53" t="s">
        <v>194</v>
      </c>
      <c r="H114" s="75" t="s">
        <v>100</v>
      </c>
      <c r="I114" s="75" t="s">
        <v>101</v>
      </c>
      <c r="J114" s="76" t="s">
        <v>95</v>
      </c>
      <c r="K114" s="74" t="s">
        <v>96</v>
      </c>
    </row>
    <row r="115" ht="19.5" customHeight="1">
      <c r="A115" s="46">
        <v>1.0</v>
      </c>
      <c r="B115" s="37" t="s">
        <v>361</v>
      </c>
      <c r="C115" s="46" t="s">
        <v>103</v>
      </c>
      <c r="D115" s="78"/>
      <c r="E115" s="37"/>
      <c r="F115" s="40"/>
      <c r="G115" s="40"/>
      <c r="H115" s="40"/>
      <c r="I115" s="42"/>
      <c r="J115" s="107"/>
      <c r="K115" s="46"/>
    </row>
    <row r="116" ht="19.5" customHeight="1">
      <c r="A116" s="46">
        <f t="shared" ref="A116:A129" si="49">A115+1</f>
        <v>2</v>
      </c>
      <c r="B116" s="37" t="s">
        <v>923</v>
      </c>
      <c r="C116" s="46" t="s">
        <v>103</v>
      </c>
      <c r="D116" s="78">
        <v>1.0</v>
      </c>
      <c r="E116" s="37">
        <v>48.0</v>
      </c>
      <c r="F116" s="40"/>
      <c r="G116" s="40"/>
      <c r="H116" s="40">
        <f>E116*D116</f>
        <v>48</v>
      </c>
      <c r="I116" s="42"/>
      <c r="J116" s="43">
        <f>H116-I116</f>
        <v>48</v>
      </c>
      <c r="K116" s="321" t="s">
        <v>924</v>
      </c>
    </row>
    <row r="117" ht="19.5" customHeight="1">
      <c r="A117" s="46">
        <f t="shared" si="49"/>
        <v>3</v>
      </c>
      <c r="B117" s="37" t="s">
        <v>362</v>
      </c>
      <c r="C117" s="46" t="s">
        <v>103</v>
      </c>
      <c r="D117" s="78">
        <f t="shared" ref="D117:D129" si="50">D63</f>
        <v>3</v>
      </c>
      <c r="E117" s="37">
        <v>0.8</v>
      </c>
      <c r="F117" s="40">
        <f t="shared" ref="F117:F129" si="51">F49</f>
        <v>27.68</v>
      </c>
      <c r="G117" s="40"/>
      <c r="H117" s="40">
        <f t="shared" ref="H117:H129" si="52">F117*E117*D117</f>
        <v>66.432</v>
      </c>
      <c r="I117" s="42"/>
      <c r="J117" s="264">
        <f>SUM(H117:H129)</f>
        <v>270.048</v>
      </c>
      <c r="K117" s="322" t="s">
        <v>925</v>
      </c>
    </row>
    <row r="118" ht="19.5" customHeight="1">
      <c r="A118" s="46">
        <f t="shared" si="49"/>
        <v>4</v>
      </c>
      <c r="B118" s="37" t="s">
        <v>362</v>
      </c>
      <c r="C118" s="46" t="s">
        <v>103</v>
      </c>
      <c r="D118" s="78">
        <f t="shared" si="50"/>
        <v>4</v>
      </c>
      <c r="E118" s="37">
        <v>0.8</v>
      </c>
      <c r="F118" s="40">
        <f t="shared" si="51"/>
        <v>23.15</v>
      </c>
      <c r="G118" s="40"/>
      <c r="H118" s="40">
        <f t="shared" si="52"/>
        <v>74.08</v>
      </c>
      <c r="I118" s="42"/>
      <c r="J118" s="147"/>
      <c r="K118" s="322" t="s">
        <v>926</v>
      </c>
    </row>
    <row r="119" ht="19.5" customHeight="1">
      <c r="A119" s="46">
        <f t="shared" si="49"/>
        <v>5</v>
      </c>
      <c r="B119" s="37" t="s">
        <v>362</v>
      </c>
      <c r="C119" s="46" t="s">
        <v>103</v>
      </c>
      <c r="D119" s="78">
        <f t="shared" si="50"/>
        <v>4</v>
      </c>
      <c r="E119" s="37">
        <v>0.8</v>
      </c>
      <c r="F119" s="40">
        <f t="shared" si="51"/>
        <v>13.1</v>
      </c>
      <c r="G119" s="40"/>
      <c r="H119" s="40">
        <f t="shared" si="52"/>
        <v>41.92</v>
      </c>
      <c r="I119" s="42"/>
      <c r="J119" s="147"/>
      <c r="K119" s="79"/>
    </row>
    <row r="120" ht="19.5" customHeight="1">
      <c r="A120" s="46">
        <f t="shared" si="49"/>
        <v>6</v>
      </c>
      <c r="B120" s="37" t="s">
        <v>362</v>
      </c>
      <c r="C120" s="46" t="s">
        <v>103</v>
      </c>
      <c r="D120" s="78">
        <f t="shared" si="50"/>
        <v>2</v>
      </c>
      <c r="E120" s="37">
        <v>0.8</v>
      </c>
      <c r="F120" s="40">
        <f t="shared" si="51"/>
        <v>6.65</v>
      </c>
      <c r="G120" s="40"/>
      <c r="H120" s="40">
        <f t="shared" si="52"/>
        <v>10.64</v>
      </c>
      <c r="I120" s="42"/>
      <c r="J120" s="147"/>
      <c r="K120" s="79"/>
    </row>
    <row r="121" ht="19.5" customHeight="1">
      <c r="A121" s="46">
        <f t="shared" si="49"/>
        <v>7</v>
      </c>
      <c r="B121" s="37" t="s">
        <v>362</v>
      </c>
      <c r="C121" s="46" t="s">
        <v>103</v>
      </c>
      <c r="D121" s="78">
        <f t="shared" si="50"/>
        <v>1</v>
      </c>
      <c r="E121" s="37">
        <v>0.8</v>
      </c>
      <c r="F121" s="40">
        <f t="shared" si="51"/>
        <v>9.3</v>
      </c>
      <c r="G121" s="40"/>
      <c r="H121" s="40">
        <f t="shared" si="52"/>
        <v>7.44</v>
      </c>
      <c r="I121" s="42"/>
      <c r="J121" s="147"/>
      <c r="K121" s="79"/>
    </row>
    <row r="122" ht="19.5" customHeight="1">
      <c r="A122" s="46">
        <f t="shared" si="49"/>
        <v>8</v>
      </c>
      <c r="B122" s="37" t="s">
        <v>362</v>
      </c>
      <c r="C122" s="46" t="s">
        <v>103</v>
      </c>
      <c r="D122" s="78">
        <f t="shared" si="50"/>
        <v>1</v>
      </c>
      <c r="E122" s="37">
        <v>0.8</v>
      </c>
      <c r="F122" s="40">
        <f t="shared" si="51"/>
        <v>3.8</v>
      </c>
      <c r="G122" s="40"/>
      <c r="H122" s="40">
        <f t="shared" si="52"/>
        <v>3.04</v>
      </c>
      <c r="I122" s="42"/>
      <c r="J122" s="147"/>
      <c r="K122" s="79"/>
    </row>
    <row r="123" ht="19.5" customHeight="1">
      <c r="A123" s="46">
        <f t="shared" si="49"/>
        <v>9</v>
      </c>
      <c r="B123" s="37" t="s">
        <v>362</v>
      </c>
      <c r="C123" s="46" t="s">
        <v>103</v>
      </c>
      <c r="D123" s="78">
        <f t="shared" si="50"/>
        <v>1</v>
      </c>
      <c r="E123" s="37">
        <v>0.8</v>
      </c>
      <c r="F123" s="40">
        <f t="shared" si="51"/>
        <v>20.03</v>
      </c>
      <c r="G123" s="40"/>
      <c r="H123" s="40">
        <f t="shared" si="52"/>
        <v>16.024</v>
      </c>
      <c r="I123" s="42"/>
      <c r="J123" s="147"/>
      <c r="K123" s="79"/>
    </row>
    <row r="124" ht="19.5" customHeight="1">
      <c r="A124" s="46">
        <f t="shared" si="49"/>
        <v>10</v>
      </c>
      <c r="B124" s="37" t="s">
        <v>362</v>
      </c>
      <c r="C124" s="46" t="s">
        <v>103</v>
      </c>
      <c r="D124" s="78">
        <f t="shared" si="50"/>
        <v>1</v>
      </c>
      <c r="E124" s="37">
        <v>0.8</v>
      </c>
      <c r="F124" s="40">
        <f t="shared" si="51"/>
        <v>8.9</v>
      </c>
      <c r="G124" s="40"/>
      <c r="H124" s="40">
        <f t="shared" si="52"/>
        <v>7.12</v>
      </c>
      <c r="I124" s="42"/>
      <c r="J124" s="147"/>
      <c r="K124" s="79"/>
    </row>
    <row r="125" ht="19.5" customHeight="1">
      <c r="A125" s="46">
        <f t="shared" si="49"/>
        <v>11</v>
      </c>
      <c r="B125" s="37" t="s">
        <v>362</v>
      </c>
      <c r="C125" s="46" t="s">
        <v>103</v>
      </c>
      <c r="D125" s="78">
        <f t="shared" si="50"/>
        <v>1</v>
      </c>
      <c r="E125" s="37">
        <v>0.8</v>
      </c>
      <c r="F125" s="40">
        <f t="shared" si="51"/>
        <v>3.85</v>
      </c>
      <c r="G125" s="40"/>
      <c r="H125" s="40">
        <f t="shared" si="52"/>
        <v>3.08</v>
      </c>
      <c r="I125" s="42"/>
      <c r="J125" s="147"/>
      <c r="K125" s="322" t="s">
        <v>927</v>
      </c>
    </row>
    <row r="126" ht="19.5" customHeight="1">
      <c r="A126" s="46">
        <f t="shared" si="49"/>
        <v>12</v>
      </c>
      <c r="B126" s="37" t="s">
        <v>362</v>
      </c>
      <c r="C126" s="46" t="s">
        <v>103</v>
      </c>
      <c r="D126" s="78">
        <f t="shared" si="50"/>
        <v>2</v>
      </c>
      <c r="E126" s="37">
        <v>0.8</v>
      </c>
      <c r="F126" s="40">
        <f t="shared" si="51"/>
        <v>9.08</v>
      </c>
      <c r="G126" s="40"/>
      <c r="H126" s="40">
        <f t="shared" si="52"/>
        <v>14.528</v>
      </c>
      <c r="I126" s="42"/>
      <c r="J126" s="147"/>
      <c r="K126" s="79"/>
    </row>
    <row r="127" ht="19.5" customHeight="1">
      <c r="A127" s="46">
        <f t="shared" si="49"/>
        <v>13</v>
      </c>
      <c r="B127" s="37" t="s">
        <v>362</v>
      </c>
      <c r="C127" s="46" t="s">
        <v>103</v>
      </c>
      <c r="D127" s="78">
        <f t="shared" si="50"/>
        <v>1</v>
      </c>
      <c r="E127" s="37">
        <v>0.8</v>
      </c>
      <c r="F127" s="40">
        <f t="shared" si="51"/>
        <v>2.3</v>
      </c>
      <c r="G127" s="40"/>
      <c r="H127" s="40">
        <f t="shared" si="52"/>
        <v>1.84</v>
      </c>
      <c r="I127" s="42"/>
      <c r="J127" s="147"/>
      <c r="K127" s="79"/>
    </row>
    <row r="128" ht="19.5" customHeight="1">
      <c r="A128" s="46">
        <f t="shared" si="49"/>
        <v>14</v>
      </c>
      <c r="B128" s="37" t="s">
        <v>362</v>
      </c>
      <c r="C128" s="46" t="s">
        <v>103</v>
      </c>
      <c r="D128" s="78">
        <f t="shared" si="50"/>
        <v>2</v>
      </c>
      <c r="E128" s="37">
        <v>0.8</v>
      </c>
      <c r="F128" s="40">
        <f t="shared" si="51"/>
        <v>9.75</v>
      </c>
      <c r="G128" s="40"/>
      <c r="H128" s="40">
        <f t="shared" si="52"/>
        <v>15.6</v>
      </c>
      <c r="I128" s="42"/>
      <c r="J128" s="147"/>
      <c r="K128" s="79"/>
    </row>
    <row r="129" ht="19.5" customHeight="1">
      <c r="A129" s="46">
        <f t="shared" si="49"/>
        <v>15</v>
      </c>
      <c r="B129" s="37" t="s">
        <v>362</v>
      </c>
      <c r="C129" s="46" t="s">
        <v>103</v>
      </c>
      <c r="D129" s="78">
        <f t="shared" si="50"/>
        <v>1</v>
      </c>
      <c r="E129" s="37">
        <v>0.8</v>
      </c>
      <c r="F129" s="40">
        <f t="shared" si="51"/>
        <v>10.38</v>
      </c>
      <c r="G129" s="40"/>
      <c r="H129" s="40">
        <f t="shared" si="52"/>
        <v>8.304</v>
      </c>
      <c r="I129" s="42"/>
      <c r="J129" s="32"/>
      <c r="K129" s="79"/>
    </row>
    <row r="130" ht="19.5" customHeight="1">
      <c r="A130" s="74" t="s">
        <v>1</v>
      </c>
      <c r="B130" s="74" t="s">
        <v>91</v>
      </c>
      <c r="C130" s="74" t="s">
        <v>92</v>
      </c>
      <c r="D130" s="76" t="s">
        <v>93</v>
      </c>
      <c r="E130" s="50" t="s">
        <v>161</v>
      </c>
      <c r="F130" s="52" t="s">
        <v>928</v>
      </c>
      <c r="G130" s="52" t="s">
        <v>929</v>
      </c>
      <c r="H130" s="75" t="s">
        <v>100</v>
      </c>
      <c r="I130" s="75" t="s">
        <v>101</v>
      </c>
      <c r="J130" s="76" t="s">
        <v>95</v>
      </c>
      <c r="K130" s="74" t="s">
        <v>96</v>
      </c>
    </row>
    <row r="131" ht="19.5" customHeight="1">
      <c r="A131" s="46">
        <v>1.0</v>
      </c>
      <c r="B131" s="37" t="s">
        <v>930</v>
      </c>
      <c r="C131" s="46" t="s">
        <v>103</v>
      </c>
      <c r="D131" s="78">
        <v>1.0</v>
      </c>
      <c r="E131" s="37"/>
      <c r="F131" s="40"/>
      <c r="G131" s="40"/>
      <c r="H131" s="40">
        <v>337.96</v>
      </c>
      <c r="I131" s="42"/>
      <c r="J131" s="43">
        <f t="shared" ref="J131:J132" si="53">H131-I131</f>
        <v>337.96</v>
      </c>
      <c r="K131" s="46"/>
    </row>
    <row r="132" ht="19.5" customHeight="1">
      <c r="A132" s="46">
        <v>2.0</v>
      </c>
      <c r="B132" s="37" t="s">
        <v>197</v>
      </c>
      <c r="C132" s="46" t="s">
        <v>103</v>
      </c>
      <c r="D132" s="78">
        <f>D109</f>
        <v>1</v>
      </c>
      <c r="E132" s="37"/>
      <c r="F132" s="40"/>
      <c r="G132" s="40"/>
      <c r="H132" s="40">
        <v>273.3</v>
      </c>
      <c r="I132" s="42"/>
      <c r="J132" s="43">
        <f t="shared" si="53"/>
        <v>273.3</v>
      </c>
      <c r="K132" s="46"/>
    </row>
    <row r="133" ht="19.5" customHeight="1">
      <c r="A133" s="79"/>
      <c r="B133" s="323" t="s">
        <v>931</v>
      </c>
      <c r="C133" s="324"/>
      <c r="D133" s="325"/>
      <c r="E133" s="320"/>
      <c r="F133" s="326">
        <v>201.53</v>
      </c>
      <c r="G133" s="326">
        <v>62.35</v>
      </c>
      <c r="H133" s="59">
        <f t="shared" ref="H133:H154" si="54">G133*3</f>
        <v>187.05</v>
      </c>
      <c r="I133" s="82"/>
      <c r="J133" s="143"/>
      <c r="K133" s="79"/>
    </row>
    <row r="134" ht="19.5" customHeight="1">
      <c r="A134" s="79"/>
      <c r="B134" s="323" t="s">
        <v>932</v>
      </c>
      <c r="C134" s="324"/>
      <c r="D134" s="325"/>
      <c r="E134" s="320"/>
      <c r="F134" s="326">
        <f>70.4+19</f>
        <v>89.4</v>
      </c>
      <c r="G134" s="326">
        <f>36.6+22.45</f>
        <v>59.05</v>
      </c>
      <c r="H134" s="59">
        <f t="shared" si="54"/>
        <v>177.15</v>
      </c>
      <c r="I134" s="82"/>
      <c r="J134" s="143"/>
      <c r="K134" s="79"/>
    </row>
    <row r="135" ht="19.5" customHeight="1">
      <c r="A135" s="79"/>
      <c r="B135" s="323" t="s">
        <v>933</v>
      </c>
      <c r="C135" s="324"/>
      <c r="D135" s="325"/>
      <c r="E135" s="320"/>
      <c r="F135" s="326">
        <v>3.5</v>
      </c>
      <c r="G135" s="326">
        <v>7.5</v>
      </c>
      <c r="H135" s="59">
        <f t="shared" si="54"/>
        <v>22.5</v>
      </c>
      <c r="I135" s="82"/>
      <c r="J135" s="143"/>
      <c r="K135" s="79"/>
    </row>
    <row r="136" ht="19.5" customHeight="1">
      <c r="A136" s="79"/>
      <c r="B136" s="323" t="s">
        <v>934</v>
      </c>
      <c r="C136" s="324"/>
      <c r="D136" s="325"/>
      <c r="E136" s="320"/>
      <c r="F136" s="326">
        <v>3.2</v>
      </c>
      <c r="G136" s="326">
        <v>7.2</v>
      </c>
      <c r="H136" s="59">
        <f t="shared" si="54"/>
        <v>21.6</v>
      </c>
      <c r="I136" s="82"/>
      <c r="J136" s="143"/>
      <c r="K136" s="79"/>
    </row>
    <row r="137" ht="19.5" customHeight="1">
      <c r="A137" s="79"/>
      <c r="B137" s="323" t="s">
        <v>935</v>
      </c>
      <c r="C137" s="324"/>
      <c r="D137" s="325"/>
      <c r="E137" s="320"/>
      <c r="F137" s="326">
        <v>17.24</v>
      </c>
      <c r="G137" s="326">
        <v>16.85</v>
      </c>
      <c r="H137" s="59">
        <f t="shared" si="54"/>
        <v>50.55</v>
      </c>
      <c r="I137" s="82"/>
      <c r="J137" s="143"/>
      <c r="K137" s="79"/>
    </row>
    <row r="138" ht="19.5" customHeight="1">
      <c r="A138" s="79"/>
      <c r="B138" s="323" t="s">
        <v>936</v>
      </c>
      <c r="C138" s="324"/>
      <c r="D138" s="325"/>
      <c r="E138" s="320"/>
      <c r="F138" s="326">
        <v>10.06</v>
      </c>
      <c r="G138" s="326">
        <v>12.75</v>
      </c>
      <c r="H138" s="59">
        <f t="shared" si="54"/>
        <v>38.25</v>
      </c>
      <c r="I138" s="82"/>
      <c r="J138" s="143"/>
      <c r="K138" s="79"/>
    </row>
    <row r="139" ht="19.5" customHeight="1">
      <c r="A139" s="79"/>
      <c r="B139" s="323" t="s">
        <v>937</v>
      </c>
      <c r="C139" s="324"/>
      <c r="D139" s="325"/>
      <c r="E139" s="320"/>
      <c r="F139" s="326">
        <v>21.2</v>
      </c>
      <c r="G139" s="326">
        <v>21.3</v>
      </c>
      <c r="H139" s="59">
        <f t="shared" si="54"/>
        <v>63.9</v>
      </c>
      <c r="I139" s="82"/>
      <c r="J139" s="143"/>
      <c r="K139" s="79"/>
    </row>
    <row r="140" ht="19.5" customHeight="1">
      <c r="A140" s="79"/>
      <c r="B140" s="323" t="s">
        <v>938</v>
      </c>
      <c r="C140" s="324"/>
      <c r="D140" s="325"/>
      <c r="E140" s="320"/>
      <c r="F140" s="326">
        <v>12.25</v>
      </c>
      <c r="G140" s="326">
        <v>14.0</v>
      </c>
      <c r="H140" s="59">
        <f t="shared" si="54"/>
        <v>42</v>
      </c>
      <c r="I140" s="82"/>
      <c r="J140" s="143"/>
      <c r="K140" s="79"/>
    </row>
    <row r="141" ht="19.5" customHeight="1">
      <c r="A141" s="79"/>
      <c r="B141" s="323" t="s">
        <v>939</v>
      </c>
      <c r="C141" s="324"/>
      <c r="D141" s="325"/>
      <c r="E141" s="320"/>
      <c r="F141" s="326">
        <v>14.31</v>
      </c>
      <c r="G141" s="326">
        <v>16.05</v>
      </c>
      <c r="H141" s="59">
        <f t="shared" si="54"/>
        <v>48.15</v>
      </c>
      <c r="I141" s="82"/>
      <c r="J141" s="143"/>
      <c r="K141" s="79"/>
    </row>
    <row r="142" ht="19.5" customHeight="1">
      <c r="A142" s="79"/>
      <c r="B142" s="323" t="s">
        <v>940</v>
      </c>
      <c r="C142" s="324"/>
      <c r="D142" s="325"/>
      <c r="E142" s="320"/>
      <c r="F142" s="326">
        <v>7.9</v>
      </c>
      <c r="G142" s="326">
        <v>11.9</v>
      </c>
      <c r="H142" s="59">
        <f t="shared" si="54"/>
        <v>35.7</v>
      </c>
      <c r="I142" s="82"/>
      <c r="J142" s="143"/>
      <c r="K142" s="79"/>
    </row>
    <row r="143" ht="19.5" customHeight="1">
      <c r="A143" s="79"/>
      <c r="B143" s="323" t="s">
        <v>941</v>
      </c>
      <c r="C143" s="324"/>
      <c r="D143" s="325"/>
      <c r="E143" s="320"/>
      <c r="F143" s="326">
        <v>7.0</v>
      </c>
      <c r="G143" s="326">
        <v>11.45</v>
      </c>
      <c r="H143" s="59">
        <f t="shared" si="54"/>
        <v>34.35</v>
      </c>
      <c r="I143" s="82"/>
      <c r="J143" s="143"/>
      <c r="K143" s="79"/>
    </row>
    <row r="144" ht="19.5" customHeight="1">
      <c r="A144" s="79"/>
      <c r="B144" s="323" t="s">
        <v>942</v>
      </c>
      <c r="C144" s="324"/>
      <c r="D144" s="325"/>
      <c r="E144" s="320"/>
      <c r="F144" s="326">
        <v>7.26</v>
      </c>
      <c r="G144" s="326">
        <v>11.55</v>
      </c>
      <c r="H144" s="59">
        <f t="shared" si="54"/>
        <v>34.65</v>
      </c>
      <c r="I144" s="82"/>
      <c r="J144" s="143"/>
      <c r="K144" s="79"/>
    </row>
    <row r="145" ht="19.5" customHeight="1">
      <c r="A145" s="79"/>
      <c r="B145" s="323" t="s">
        <v>943</v>
      </c>
      <c r="C145" s="324"/>
      <c r="D145" s="325"/>
      <c r="E145" s="320"/>
      <c r="F145" s="326">
        <v>17.86</v>
      </c>
      <c r="G145" s="326">
        <v>17.9</v>
      </c>
      <c r="H145" s="59">
        <f t="shared" si="54"/>
        <v>53.7</v>
      </c>
      <c r="I145" s="82"/>
      <c r="J145" s="143"/>
      <c r="K145" s="79"/>
    </row>
    <row r="146" ht="19.5" customHeight="1">
      <c r="A146" s="79"/>
      <c r="B146" s="323" t="s">
        <v>944</v>
      </c>
      <c r="C146" s="324"/>
      <c r="D146" s="325"/>
      <c r="E146" s="320"/>
      <c r="F146" s="326">
        <v>10.12</v>
      </c>
      <c r="G146" s="326">
        <v>12.8</v>
      </c>
      <c r="H146" s="59">
        <f t="shared" si="54"/>
        <v>38.4</v>
      </c>
      <c r="I146" s="82"/>
      <c r="J146" s="143"/>
      <c r="K146" s="79"/>
    </row>
    <row r="147" ht="19.5" customHeight="1">
      <c r="A147" s="79"/>
      <c r="B147" s="323" t="s">
        <v>945</v>
      </c>
      <c r="C147" s="324"/>
      <c r="D147" s="325"/>
      <c r="E147" s="320"/>
      <c r="F147" s="326">
        <v>82.82</v>
      </c>
      <c r="G147" s="326">
        <v>46.33</v>
      </c>
      <c r="H147" s="59">
        <f t="shared" si="54"/>
        <v>138.99</v>
      </c>
      <c r="I147" s="82"/>
      <c r="J147" s="143"/>
      <c r="K147" s="79"/>
    </row>
    <row r="148" ht="19.5" customHeight="1">
      <c r="A148" s="79"/>
      <c r="B148" s="323" t="s">
        <v>946</v>
      </c>
      <c r="C148" s="324"/>
      <c r="D148" s="325"/>
      <c r="E148" s="320"/>
      <c r="F148" s="326">
        <v>21.88</v>
      </c>
      <c r="G148" s="326">
        <v>20.45</v>
      </c>
      <c r="H148" s="59">
        <f t="shared" si="54"/>
        <v>61.35</v>
      </c>
      <c r="I148" s="82"/>
      <c r="J148" s="143"/>
      <c r="K148" s="79"/>
    </row>
    <row r="149" ht="19.5" customHeight="1">
      <c r="A149" s="79"/>
      <c r="B149" s="323" t="s">
        <v>933</v>
      </c>
      <c r="C149" s="324"/>
      <c r="D149" s="325"/>
      <c r="E149" s="320"/>
      <c r="F149" s="326">
        <v>2.9</v>
      </c>
      <c r="G149" s="326">
        <v>6.87</v>
      </c>
      <c r="H149" s="59">
        <f t="shared" si="54"/>
        <v>20.61</v>
      </c>
      <c r="I149" s="82"/>
      <c r="J149" s="143"/>
      <c r="K149" s="79"/>
    </row>
    <row r="150" ht="19.5" customHeight="1">
      <c r="A150" s="79"/>
      <c r="B150" s="323" t="s">
        <v>947</v>
      </c>
      <c r="C150" s="324"/>
      <c r="D150" s="325"/>
      <c r="E150" s="320"/>
      <c r="F150" s="326">
        <v>13.2</v>
      </c>
      <c r="G150" s="326">
        <v>14.7</v>
      </c>
      <c r="H150" s="59">
        <f t="shared" si="54"/>
        <v>44.1</v>
      </c>
      <c r="I150" s="82"/>
      <c r="J150" s="143"/>
      <c r="K150" s="79"/>
    </row>
    <row r="151" ht="19.5" customHeight="1">
      <c r="A151" s="79"/>
      <c r="B151" s="323" t="s">
        <v>948</v>
      </c>
      <c r="C151" s="324"/>
      <c r="D151" s="325"/>
      <c r="E151" s="320"/>
      <c r="F151" s="326">
        <v>12.66</v>
      </c>
      <c r="G151" s="326">
        <v>14.4</v>
      </c>
      <c r="H151" s="59">
        <f t="shared" si="54"/>
        <v>43.2</v>
      </c>
      <c r="I151" s="82"/>
      <c r="J151" s="143"/>
      <c r="K151" s="79"/>
    </row>
    <row r="152" ht="19.5" customHeight="1">
      <c r="A152" s="79"/>
      <c r="B152" s="323" t="s">
        <v>949</v>
      </c>
      <c r="C152" s="324"/>
      <c r="D152" s="325"/>
      <c r="E152" s="320"/>
      <c r="F152" s="326">
        <v>9.0</v>
      </c>
      <c r="G152" s="326">
        <v>12.03</v>
      </c>
      <c r="H152" s="59">
        <f t="shared" si="54"/>
        <v>36.09</v>
      </c>
      <c r="I152" s="82"/>
      <c r="J152" s="143"/>
      <c r="K152" s="79"/>
    </row>
    <row r="153" ht="19.5" customHeight="1">
      <c r="A153" s="79"/>
      <c r="B153" s="323" t="s">
        <v>950</v>
      </c>
      <c r="C153" s="324"/>
      <c r="D153" s="325"/>
      <c r="E153" s="320"/>
      <c r="F153" s="326">
        <v>19.6</v>
      </c>
      <c r="G153" s="326">
        <v>18.85</v>
      </c>
      <c r="H153" s="59">
        <f t="shared" si="54"/>
        <v>56.55</v>
      </c>
      <c r="I153" s="82"/>
      <c r="J153" s="143"/>
      <c r="K153" s="79"/>
    </row>
    <row r="154" ht="19.5" customHeight="1">
      <c r="A154" s="79"/>
      <c r="B154" s="323" t="s">
        <v>951</v>
      </c>
      <c r="C154" s="324"/>
      <c r="D154" s="325"/>
      <c r="E154" s="320"/>
      <c r="F154" s="326">
        <v>19.6</v>
      </c>
      <c r="G154" s="326">
        <v>18.85</v>
      </c>
      <c r="H154" s="59">
        <f t="shared" si="54"/>
        <v>56.55</v>
      </c>
      <c r="I154" s="82"/>
      <c r="J154" s="143"/>
      <c r="K154" s="79"/>
    </row>
    <row r="155" ht="19.5" customHeight="1">
      <c r="A155" s="79"/>
      <c r="B155" s="114"/>
      <c r="C155" s="79"/>
      <c r="D155" s="122"/>
      <c r="E155" s="37"/>
      <c r="F155" s="40"/>
      <c r="G155" s="40"/>
      <c r="H155" s="59"/>
      <c r="I155" s="82"/>
      <c r="J155" s="143"/>
      <c r="K155" s="79"/>
    </row>
    <row r="156" ht="19.5" customHeight="1">
      <c r="A156" s="74" t="s">
        <v>1</v>
      </c>
      <c r="B156" s="74" t="s">
        <v>91</v>
      </c>
      <c r="C156" s="74" t="s">
        <v>92</v>
      </c>
      <c r="D156" s="76" t="s">
        <v>93</v>
      </c>
      <c r="E156" s="50" t="s">
        <v>97</v>
      </c>
      <c r="F156" s="53" t="s">
        <v>121</v>
      </c>
      <c r="G156" s="53" t="s">
        <v>198</v>
      </c>
      <c r="H156" s="75" t="s">
        <v>100</v>
      </c>
      <c r="I156" s="75" t="s">
        <v>101</v>
      </c>
      <c r="J156" s="76" t="s">
        <v>95</v>
      </c>
      <c r="K156" s="74" t="s">
        <v>96</v>
      </c>
    </row>
    <row r="157" ht="19.5" customHeight="1">
      <c r="A157" s="46">
        <v>1.0</v>
      </c>
      <c r="B157" s="37" t="s">
        <v>363</v>
      </c>
      <c r="C157" s="46" t="s">
        <v>103</v>
      </c>
      <c r="D157" s="78">
        <f t="shared" ref="D157:F157" si="55">D84</f>
        <v>3</v>
      </c>
      <c r="E157" s="40">
        <f t="shared" si="55"/>
        <v>5</v>
      </c>
      <c r="F157" s="78">
        <f t="shared" si="55"/>
        <v>27.68</v>
      </c>
      <c r="G157" s="40">
        <v>2.0</v>
      </c>
      <c r="H157" s="40">
        <f t="shared" ref="H157:H169" si="57">G157*F157*E157*D157</f>
        <v>830.4</v>
      </c>
      <c r="I157" s="42">
        <v>60.0</v>
      </c>
      <c r="J157" s="40"/>
      <c r="K157" s="145" t="s">
        <v>952</v>
      </c>
    </row>
    <row r="158" ht="19.5" customHeight="1">
      <c r="A158" s="46">
        <f t="shared" ref="A158:A169" si="58">A157+1</f>
        <v>2</v>
      </c>
      <c r="B158" s="37" t="s">
        <v>363</v>
      </c>
      <c r="C158" s="46" t="s">
        <v>103</v>
      </c>
      <c r="D158" s="78">
        <f t="shared" ref="D158:F158" si="56">D85</f>
        <v>2</v>
      </c>
      <c r="E158" s="40">
        <f t="shared" si="56"/>
        <v>5</v>
      </c>
      <c r="F158" s="78">
        <f t="shared" si="56"/>
        <v>23.15</v>
      </c>
      <c r="G158" s="40">
        <v>2.0</v>
      </c>
      <c r="H158" s="40">
        <f t="shared" si="57"/>
        <v>463</v>
      </c>
      <c r="I158" s="42"/>
      <c r="J158" s="40"/>
      <c r="K158" s="46"/>
    </row>
    <row r="159" ht="19.5" customHeight="1">
      <c r="A159" s="46">
        <f t="shared" si="58"/>
        <v>3</v>
      </c>
      <c r="B159" s="37" t="s">
        <v>363</v>
      </c>
      <c r="C159" s="46" t="s">
        <v>103</v>
      </c>
      <c r="D159" s="78">
        <f t="shared" ref="D159:F159" si="59">D86</f>
        <v>5</v>
      </c>
      <c r="E159" s="40">
        <f t="shared" si="59"/>
        <v>3</v>
      </c>
      <c r="F159" s="78">
        <f t="shared" si="59"/>
        <v>13.1</v>
      </c>
      <c r="G159" s="40">
        <v>2.0</v>
      </c>
      <c r="H159" s="40">
        <f t="shared" si="57"/>
        <v>393</v>
      </c>
      <c r="I159" s="42"/>
      <c r="J159" s="40"/>
      <c r="K159" s="46"/>
    </row>
    <row r="160" ht="19.5" customHeight="1">
      <c r="A160" s="46">
        <f t="shared" si="58"/>
        <v>4</v>
      </c>
      <c r="B160" s="37" t="s">
        <v>363</v>
      </c>
      <c r="C160" s="46" t="s">
        <v>103</v>
      </c>
      <c r="D160" s="78">
        <f t="shared" ref="D160:F160" si="60">D87</f>
        <v>2</v>
      </c>
      <c r="E160" s="40">
        <f t="shared" si="60"/>
        <v>3</v>
      </c>
      <c r="F160" s="78">
        <f t="shared" si="60"/>
        <v>6.65</v>
      </c>
      <c r="G160" s="40">
        <v>2.0</v>
      </c>
      <c r="H160" s="40">
        <f t="shared" si="57"/>
        <v>79.8</v>
      </c>
      <c r="I160" s="42"/>
      <c r="J160" s="40"/>
      <c r="K160" s="46"/>
    </row>
    <row r="161" ht="19.5" customHeight="1">
      <c r="A161" s="46">
        <f t="shared" si="58"/>
        <v>5</v>
      </c>
      <c r="B161" s="37" t="s">
        <v>363</v>
      </c>
      <c r="C161" s="46" t="s">
        <v>103</v>
      </c>
      <c r="D161" s="78">
        <f t="shared" ref="D161:F161" si="61">D88</f>
        <v>1</v>
      </c>
      <c r="E161" s="40">
        <f t="shared" si="61"/>
        <v>3</v>
      </c>
      <c r="F161" s="78">
        <f t="shared" si="61"/>
        <v>9.3</v>
      </c>
      <c r="G161" s="40">
        <v>2.0</v>
      </c>
      <c r="H161" s="40">
        <f t="shared" si="57"/>
        <v>55.8</v>
      </c>
      <c r="I161" s="42"/>
      <c r="J161" s="40"/>
      <c r="K161" s="46"/>
    </row>
    <row r="162" ht="19.5" customHeight="1">
      <c r="A162" s="46">
        <f t="shared" si="58"/>
        <v>6</v>
      </c>
      <c r="B162" s="37" t="s">
        <v>363</v>
      </c>
      <c r="C162" s="46" t="s">
        <v>103</v>
      </c>
      <c r="D162" s="78">
        <f t="shared" ref="D162:F162" si="62">D89</f>
        <v>1</v>
      </c>
      <c r="E162" s="40">
        <f t="shared" si="62"/>
        <v>3</v>
      </c>
      <c r="F162" s="78">
        <f t="shared" si="62"/>
        <v>3.8</v>
      </c>
      <c r="G162" s="40">
        <v>2.0</v>
      </c>
      <c r="H162" s="40">
        <f t="shared" si="57"/>
        <v>22.8</v>
      </c>
      <c r="I162" s="42"/>
      <c r="J162" s="40"/>
      <c r="K162" s="46"/>
    </row>
    <row r="163" ht="19.5" customHeight="1">
      <c r="A163" s="46">
        <f t="shared" si="58"/>
        <v>7</v>
      </c>
      <c r="B163" s="37" t="s">
        <v>363</v>
      </c>
      <c r="C163" s="46" t="s">
        <v>103</v>
      </c>
      <c r="D163" s="78">
        <f t="shared" ref="D163:F163" si="63">D90</f>
        <v>1</v>
      </c>
      <c r="E163" s="40">
        <f t="shared" si="63"/>
        <v>3</v>
      </c>
      <c r="F163" s="78">
        <f t="shared" si="63"/>
        <v>22.03</v>
      </c>
      <c r="G163" s="40">
        <v>2.0</v>
      </c>
      <c r="H163" s="40">
        <f t="shared" si="57"/>
        <v>132.18</v>
      </c>
      <c r="I163" s="42"/>
      <c r="J163" s="40"/>
      <c r="K163" s="46"/>
    </row>
    <row r="164" ht="19.5" customHeight="1">
      <c r="A164" s="46">
        <f t="shared" si="58"/>
        <v>8</v>
      </c>
      <c r="B164" s="37" t="s">
        <v>363</v>
      </c>
      <c r="C164" s="46" t="s">
        <v>103</v>
      </c>
      <c r="D164" s="78">
        <f t="shared" ref="D164:F164" si="64">D91</f>
        <v>1</v>
      </c>
      <c r="E164" s="40">
        <f t="shared" si="64"/>
        <v>3</v>
      </c>
      <c r="F164" s="78">
        <f t="shared" si="64"/>
        <v>8.9</v>
      </c>
      <c r="G164" s="40">
        <v>2.0</v>
      </c>
      <c r="H164" s="40">
        <f t="shared" si="57"/>
        <v>53.4</v>
      </c>
      <c r="I164" s="42"/>
      <c r="J164" s="40"/>
      <c r="K164" s="46"/>
    </row>
    <row r="165" ht="19.5" customHeight="1">
      <c r="A165" s="46">
        <f t="shared" si="58"/>
        <v>9</v>
      </c>
      <c r="B165" s="37" t="s">
        <v>363</v>
      </c>
      <c r="C165" s="46" t="s">
        <v>103</v>
      </c>
      <c r="D165" s="78">
        <f t="shared" ref="D165:F165" si="65">D92</f>
        <v>1</v>
      </c>
      <c r="E165" s="40">
        <f t="shared" si="65"/>
        <v>3</v>
      </c>
      <c r="F165" s="78">
        <f t="shared" si="65"/>
        <v>3.85</v>
      </c>
      <c r="G165" s="40">
        <v>2.0</v>
      </c>
      <c r="H165" s="40">
        <f t="shared" si="57"/>
        <v>23.1</v>
      </c>
      <c r="I165" s="42"/>
      <c r="J165" s="40"/>
      <c r="K165" s="46"/>
    </row>
    <row r="166" ht="19.5" customHeight="1">
      <c r="A166" s="46">
        <f t="shared" si="58"/>
        <v>10</v>
      </c>
      <c r="B166" s="37" t="s">
        <v>363</v>
      </c>
      <c r="C166" s="46" t="s">
        <v>103</v>
      </c>
      <c r="D166" s="78">
        <f t="shared" ref="D166:F166" si="66">D93</f>
        <v>1</v>
      </c>
      <c r="E166" s="40">
        <f t="shared" si="66"/>
        <v>3</v>
      </c>
      <c r="F166" s="78">
        <f t="shared" si="66"/>
        <v>9.08</v>
      </c>
      <c r="G166" s="40">
        <v>2.0</v>
      </c>
      <c r="H166" s="40">
        <f t="shared" si="57"/>
        <v>54.48</v>
      </c>
      <c r="I166" s="42"/>
      <c r="J166" s="40"/>
      <c r="K166" s="46"/>
    </row>
    <row r="167" ht="19.5" customHeight="1">
      <c r="A167" s="46">
        <f t="shared" si="58"/>
        <v>11</v>
      </c>
      <c r="B167" s="37" t="s">
        <v>363</v>
      </c>
      <c r="C167" s="46" t="s">
        <v>103</v>
      </c>
      <c r="D167" s="78">
        <f t="shared" ref="D167:F167" si="67">D94</f>
        <v>1</v>
      </c>
      <c r="E167" s="40">
        <f t="shared" si="67"/>
        <v>3</v>
      </c>
      <c r="F167" s="78">
        <f t="shared" si="67"/>
        <v>2.3</v>
      </c>
      <c r="G167" s="40">
        <v>2.0</v>
      </c>
      <c r="H167" s="40">
        <f t="shared" si="57"/>
        <v>13.8</v>
      </c>
      <c r="I167" s="42"/>
      <c r="J167" s="40"/>
      <c r="K167" s="79"/>
    </row>
    <row r="168" ht="19.5" customHeight="1">
      <c r="A168" s="46">
        <f t="shared" si="58"/>
        <v>12</v>
      </c>
      <c r="B168" s="37" t="s">
        <v>363</v>
      </c>
      <c r="C168" s="46" t="s">
        <v>103</v>
      </c>
      <c r="D168" s="78">
        <f t="shared" ref="D168:F168" si="68">D95</f>
        <v>1</v>
      </c>
      <c r="E168" s="40">
        <f t="shared" si="68"/>
        <v>3</v>
      </c>
      <c r="F168" s="78">
        <f t="shared" si="68"/>
        <v>9.75</v>
      </c>
      <c r="G168" s="40">
        <v>2.0</v>
      </c>
      <c r="H168" s="40">
        <f t="shared" si="57"/>
        <v>58.5</v>
      </c>
      <c r="I168" s="42"/>
      <c r="J168" s="40"/>
      <c r="K168" s="79"/>
    </row>
    <row r="169" ht="19.5" customHeight="1">
      <c r="A169" s="46">
        <f t="shared" si="58"/>
        <v>13</v>
      </c>
      <c r="B169" s="37" t="s">
        <v>363</v>
      </c>
      <c r="C169" s="46" t="s">
        <v>103</v>
      </c>
      <c r="D169" s="78">
        <f t="shared" ref="D169:F169" si="69">D96</f>
        <v>1</v>
      </c>
      <c r="E169" s="40">
        <f t="shared" si="69"/>
        <v>3</v>
      </c>
      <c r="F169" s="78">
        <f t="shared" si="69"/>
        <v>10.38</v>
      </c>
      <c r="G169" s="40">
        <v>2.0</v>
      </c>
      <c r="H169" s="40">
        <f t="shared" si="57"/>
        <v>62.28</v>
      </c>
      <c r="I169" s="42"/>
      <c r="J169" s="40"/>
      <c r="K169" s="79"/>
    </row>
    <row r="170" ht="19.5" customHeight="1">
      <c r="A170" s="79"/>
      <c r="B170" s="95"/>
      <c r="C170" s="79"/>
      <c r="D170" s="92"/>
      <c r="E170" s="40"/>
      <c r="F170" s="78"/>
      <c r="G170" s="40"/>
      <c r="H170" s="59"/>
      <c r="I170" s="93"/>
      <c r="J170" s="96">
        <f>SUM(H157:H169)-I157</f>
        <v>2182.54</v>
      </c>
      <c r="K170" s="79"/>
    </row>
    <row r="171" ht="19.5" customHeight="1">
      <c r="A171" s="74" t="s">
        <v>1</v>
      </c>
      <c r="B171" s="74" t="s">
        <v>91</v>
      </c>
      <c r="C171" s="74" t="s">
        <v>92</v>
      </c>
      <c r="D171" s="76" t="s">
        <v>93</v>
      </c>
      <c r="E171" s="50" t="s">
        <v>97</v>
      </c>
      <c r="F171" s="53" t="s">
        <v>121</v>
      </c>
      <c r="G171" s="53" t="s">
        <v>198</v>
      </c>
      <c r="H171" s="75" t="s">
        <v>100</v>
      </c>
      <c r="I171" s="75" t="s">
        <v>101</v>
      </c>
      <c r="J171" s="76" t="s">
        <v>95</v>
      </c>
      <c r="K171" s="74" t="s">
        <v>96</v>
      </c>
    </row>
    <row r="172" ht="19.5" customHeight="1">
      <c r="A172" s="46">
        <v>1.0</v>
      </c>
      <c r="B172" s="37" t="s">
        <v>204</v>
      </c>
      <c r="C172" s="46" t="s">
        <v>103</v>
      </c>
      <c r="D172" s="78">
        <f t="shared" ref="D172:G172" si="70">D157</f>
        <v>3</v>
      </c>
      <c r="E172" s="40">
        <f t="shared" si="70"/>
        <v>5</v>
      </c>
      <c r="F172" s="78">
        <f t="shared" si="70"/>
        <v>27.68</v>
      </c>
      <c r="G172" s="40">
        <f t="shared" si="70"/>
        <v>2</v>
      </c>
      <c r="H172" s="40">
        <f t="shared" ref="H172:H184" si="72">G172*F172*E172*D172</f>
        <v>830.4</v>
      </c>
      <c r="I172" s="42">
        <v>120.0</v>
      </c>
      <c r="J172" s="40"/>
      <c r="K172" s="145" t="s">
        <v>952</v>
      </c>
    </row>
    <row r="173" ht="19.5" customHeight="1">
      <c r="A173" s="46">
        <f t="shared" ref="A173:A184" si="73">A172+1</f>
        <v>2</v>
      </c>
      <c r="B173" s="37" t="s">
        <v>204</v>
      </c>
      <c r="C173" s="46" t="s">
        <v>103</v>
      </c>
      <c r="D173" s="78">
        <f t="shared" ref="D173:G173" si="71">D158</f>
        <v>2</v>
      </c>
      <c r="E173" s="40">
        <f t="shared" si="71"/>
        <v>5</v>
      </c>
      <c r="F173" s="78">
        <f t="shared" si="71"/>
        <v>23.15</v>
      </c>
      <c r="G173" s="40">
        <f t="shared" si="71"/>
        <v>2</v>
      </c>
      <c r="H173" s="40">
        <f t="shared" si="72"/>
        <v>463</v>
      </c>
      <c r="I173" s="42"/>
      <c r="J173" s="40"/>
      <c r="K173" s="46"/>
    </row>
    <row r="174" ht="19.5" customHeight="1">
      <c r="A174" s="46">
        <f t="shared" si="73"/>
        <v>3</v>
      </c>
      <c r="B174" s="37" t="s">
        <v>204</v>
      </c>
      <c r="C174" s="46" t="s">
        <v>103</v>
      </c>
      <c r="D174" s="78">
        <f t="shared" ref="D174:G174" si="74">D159</f>
        <v>5</v>
      </c>
      <c r="E174" s="40">
        <f t="shared" si="74"/>
        <v>3</v>
      </c>
      <c r="F174" s="78">
        <f t="shared" si="74"/>
        <v>13.1</v>
      </c>
      <c r="G174" s="40">
        <f t="shared" si="74"/>
        <v>2</v>
      </c>
      <c r="H174" s="40">
        <f t="shared" si="72"/>
        <v>393</v>
      </c>
      <c r="I174" s="42"/>
      <c r="J174" s="40"/>
      <c r="K174" s="46"/>
    </row>
    <row r="175" ht="19.5" customHeight="1">
      <c r="A175" s="46">
        <f t="shared" si="73"/>
        <v>4</v>
      </c>
      <c r="B175" s="37" t="s">
        <v>204</v>
      </c>
      <c r="C175" s="46" t="s">
        <v>103</v>
      </c>
      <c r="D175" s="78">
        <f t="shared" ref="D175:G175" si="75">D160</f>
        <v>2</v>
      </c>
      <c r="E175" s="40">
        <f t="shared" si="75"/>
        <v>3</v>
      </c>
      <c r="F175" s="78">
        <f t="shared" si="75"/>
        <v>6.65</v>
      </c>
      <c r="G175" s="40">
        <f t="shared" si="75"/>
        <v>2</v>
      </c>
      <c r="H175" s="40">
        <f t="shared" si="72"/>
        <v>79.8</v>
      </c>
      <c r="I175" s="42"/>
      <c r="J175" s="40"/>
      <c r="K175" s="46"/>
    </row>
    <row r="176" ht="19.5" customHeight="1">
      <c r="A176" s="46">
        <f t="shared" si="73"/>
        <v>5</v>
      </c>
      <c r="B176" s="37" t="s">
        <v>204</v>
      </c>
      <c r="C176" s="46" t="s">
        <v>103</v>
      </c>
      <c r="D176" s="78">
        <f t="shared" ref="D176:G176" si="76">D161</f>
        <v>1</v>
      </c>
      <c r="E176" s="40">
        <f t="shared" si="76"/>
        <v>3</v>
      </c>
      <c r="F176" s="78">
        <f t="shared" si="76"/>
        <v>9.3</v>
      </c>
      <c r="G176" s="40">
        <f t="shared" si="76"/>
        <v>2</v>
      </c>
      <c r="H176" s="40">
        <f t="shared" si="72"/>
        <v>55.8</v>
      </c>
      <c r="I176" s="42"/>
      <c r="J176" s="40"/>
      <c r="K176" s="46"/>
    </row>
    <row r="177" ht="19.5" customHeight="1">
      <c r="A177" s="46">
        <f t="shared" si="73"/>
        <v>6</v>
      </c>
      <c r="B177" s="37" t="s">
        <v>204</v>
      </c>
      <c r="C177" s="46" t="s">
        <v>103</v>
      </c>
      <c r="D177" s="78">
        <f t="shared" ref="D177:G177" si="77">D162</f>
        <v>1</v>
      </c>
      <c r="E177" s="40">
        <f t="shared" si="77"/>
        <v>3</v>
      </c>
      <c r="F177" s="78">
        <f t="shared" si="77"/>
        <v>3.8</v>
      </c>
      <c r="G177" s="40">
        <f t="shared" si="77"/>
        <v>2</v>
      </c>
      <c r="H177" s="40">
        <f t="shared" si="72"/>
        <v>22.8</v>
      </c>
      <c r="I177" s="42"/>
      <c r="J177" s="40"/>
      <c r="K177" s="46"/>
    </row>
    <row r="178" ht="19.5" customHeight="1">
      <c r="A178" s="46">
        <f t="shared" si="73"/>
        <v>7</v>
      </c>
      <c r="B178" s="37" t="s">
        <v>204</v>
      </c>
      <c r="C178" s="46" t="s">
        <v>103</v>
      </c>
      <c r="D178" s="78">
        <f t="shared" ref="D178:G178" si="78">D163</f>
        <v>1</v>
      </c>
      <c r="E178" s="40">
        <f t="shared" si="78"/>
        <v>3</v>
      </c>
      <c r="F178" s="78">
        <f t="shared" si="78"/>
        <v>22.03</v>
      </c>
      <c r="G178" s="40">
        <f t="shared" si="78"/>
        <v>2</v>
      </c>
      <c r="H178" s="40">
        <f t="shared" si="72"/>
        <v>132.18</v>
      </c>
      <c r="I178" s="42"/>
      <c r="J178" s="40"/>
      <c r="K178" s="46"/>
    </row>
    <row r="179" ht="19.5" customHeight="1">
      <c r="A179" s="46">
        <f t="shared" si="73"/>
        <v>8</v>
      </c>
      <c r="B179" s="37" t="s">
        <v>204</v>
      </c>
      <c r="C179" s="46" t="s">
        <v>103</v>
      </c>
      <c r="D179" s="78">
        <f t="shared" ref="D179:G179" si="79">D164</f>
        <v>1</v>
      </c>
      <c r="E179" s="40">
        <f t="shared" si="79"/>
        <v>3</v>
      </c>
      <c r="F179" s="78">
        <f t="shared" si="79"/>
        <v>8.9</v>
      </c>
      <c r="G179" s="40">
        <f t="shared" si="79"/>
        <v>2</v>
      </c>
      <c r="H179" s="40">
        <f t="shared" si="72"/>
        <v>53.4</v>
      </c>
      <c r="I179" s="42"/>
      <c r="J179" s="40"/>
      <c r="K179" s="46"/>
    </row>
    <row r="180" ht="19.5" customHeight="1">
      <c r="A180" s="46">
        <f t="shared" si="73"/>
        <v>9</v>
      </c>
      <c r="B180" s="37" t="s">
        <v>204</v>
      </c>
      <c r="C180" s="46" t="s">
        <v>103</v>
      </c>
      <c r="D180" s="78">
        <f t="shared" ref="D180:G180" si="80">D165</f>
        <v>1</v>
      </c>
      <c r="E180" s="40">
        <f t="shared" si="80"/>
        <v>3</v>
      </c>
      <c r="F180" s="78">
        <f t="shared" si="80"/>
        <v>3.85</v>
      </c>
      <c r="G180" s="40">
        <f t="shared" si="80"/>
        <v>2</v>
      </c>
      <c r="H180" s="40">
        <f t="shared" si="72"/>
        <v>23.1</v>
      </c>
      <c r="I180" s="42"/>
      <c r="J180" s="40"/>
      <c r="K180" s="46"/>
    </row>
    <row r="181" ht="19.5" customHeight="1">
      <c r="A181" s="46">
        <f t="shared" si="73"/>
        <v>10</v>
      </c>
      <c r="B181" s="37" t="s">
        <v>204</v>
      </c>
      <c r="C181" s="46" t="s">
        <v>103</v>
      </c>
      <c r="D181" s="78">
        <f t="shared" ref="D181:G181" si="81">D166</f>
        <v>1</v>
      </c>
      <c r="E181" s="40">
        <f t="shared" si="81"/>
        <v>3</v>
      </c>
      <c r="F181" s="78">
        <f t="shared" si="81"/>
        <v>9.08</v>
      </c>
      <c r="G181" s="40">
        <f t="shared" si="81"/>
        <v>2</v>
      </c>
      <c r="H181" s="40">
        <f t="shared" si="72"/>
        <v>54.48</v>
      </c>
      <c r="I181" s="42"/>
      <c r="J181" s="40"/>
      <c r="K181" s="46"/>
    </row>
    <row r="182" ht="19.5" customHeight="1">
      <c r="A182" s="46">
        <f t="shared" si="73"/>
        <v>11</v>
      </c>
      <c r="B182" s="37" t="s">
        <v>204</v>
      </c>
      <c r="C182" s="46" t="s">
        <v>103</v>
      </c>
      <c r="D182" s="78">
        <f t="shared" ref="D182:G182" si="82">D167</f>
        <v>1</v>
      </c>
      <c r="E182" s="40">
        <f t="shared" si="82"/>
        <v>3</v>
      </c>
      <c r="F182" s="78">
        <f t="shared" si="82"/>
        <v>2.3</v>
      </c>
      <c r="G182" s="40">
        <f t="shared" si="82"/>
        <v>2</v>
      </c>
      <c r="H182" s="40">
        <f t="shared" si="72"/>
        <v>13.8</v>
      </c>
      <c r="I182" s="42"/>
      <c r="J182" s="40"/>
      <c r="K182" s="46"/>
    </row>
    <row r="183" ht="19.5" customHeight="1">
      <c r="A183" s="46">
        <f t="shared" si="73"/>
        <v>12</v>
      </c>
      <c r="B183" s="37" t="s">
        <v>204</v>
      </c>
      <c r="C183" s="46" t="s">
        <v>103</v>
      </c>
      <c r="D183" s="78">
        <f t="shared" ref="D183:G183" si="83">D168</f>
        <v>1</v>
      </c>
      <c r="E183" s="40">
        <f t="shared" si="83"/>
        <v>3</v>
      </c>
      <c r="F183" s="78">
        <f t="shared" si="83"/>
        <v>9.75</v>
      </c>
      <c r="G183" s="40">
        <f t="shared" si="83"/>
        <v>2</v>
      </c>
      <c r="H183" s="40">
        <f t="shared" si="72"/>
        <v>58.5</v>
      </c>
      <c r="I183" s="42"/>
      <c r="J183" s="40"/>
      <c r="K183" s="46"/>
    </row>
    <row r="184" ht="19.5" customHeight="1">
      <c r="A184" s="46">
        <f t="shared" si="73"/>
        <v>13</v>
      </c>
      <c r="B184" s="37" t="s">
        <v>204</v>
      </c>
      <c r="C184" s="46" t="s">
        <v>103</v>
      </c>
      <c r="D184" s="78">
        <f t="shared" ref="D184:G184" si="84">D169</f>
        <v>1</v>
      </c>
      <c r="E184" s="40">
        <f t="shared" si="84"/>
        <v>3</v>
      </c>
      <c r="F184" s="78">
        <f t="shared" si="84"/>
        <v>10.38</v>
      </c>
      <c r="G184" s="40">
        <f t="shared" si="84"/>
        <v>2</v>
      </c>
      <c r="H184" s="40">
        <f t="shared" si="72"/>
        <v>62.28</v>
      </c>
      <c r="I184" s="42"/>
      <c r="J184" s="40"/>
      <c r="K184" s="46"/>
    </row>
    <row r="185" ht="19.5" customHeight="1">
      <c r="A185" s="46"/>
      <c r="B185" s="37"/>
      <c r="C185" s="79"/>
      <c r="D185" s="92"/>
      <c r="E185" s="37"/>
      <c r="F185" s="78"/>
      <c r="G185" s="40"/>
      <c r="H185" s="59"/>
      <c r="I185" s="93"/>
      <c r="J185" s="96">
        <f>SUM(H172:H184)-I172</f>
        <v>2122.54</v>
      </c>
      <c r="K185" s="46"/>
    </row>
    <row r="186" ht="19.5" customHeight="1">
      <c r="A186" s="74" t="s">
        <v>1</v>
      </c>
      <c r="B186" s="74" t="s">
        <v>91</v>
      </c>
      <c r="C186" s="74" t="s">
        <v>92</v>
      </c>
      <c r="D186" s="76" t="s">
        <v>93</v>
      </c>
      <c r="E186" s="50" t="s">
        <v>97</v>
      </c>
      <c r="F186" s="53" t="s">
        <v>121</v>
      </c>
      <c r="G186" s="53" t="s">
        <v>198</v>
      </c>
      <c r="H186" s="75" t="s">
        <v>100</v>
      </c>
      <c r="I186" s="75" t="s">
        <v>101</v>
      </c>
      <c r="J186" s="76" t="s">
        <v>95</v>
      </c>
      <c r="K186" s="74" t="s">
        <v>96</v>
      </c>
    </row>
    <row r="187" ht="19.5" customHeight="1">
      <c r="A187" s="46">
        <v>1.0</v>
      </c>
      <c r="B187" s="37" t="s">
        <v>364</v>
      </c>
      <c r="C187" s="46" t="s">
        <v>103</v>
      </c>
      <c r="D187" s="78">
        <v>2.0</v>
      </c>
      <c r="E187" s="37">
        <v>5.0</v>
      </c>
      <c r="F187" s="78">
        <f>F157</f>
        <v>27.68</v>
      </c>
      <c r="G187" s="40"/>
      <c r="H187" s="40">
        <f t="shared" ref="H187:H188" si="85">F187*E187*D187</f>
        <v>276.8</v>
      </c>
      <c r="I187" s="42"/>
      <c r="J187" s="107"/>
      <c r="K187" s="145" t="s">
        <v>952</v>
      </c>
    </row>
    <row r="188" ht="19.5" customHeight="1">
      <c r="A188" s="46">
        <v>2.0</v>
      </c>
      <c r="B188" s="37" t="s">
        <v>364</v>
      </c>
      <c r="C188" s="46" t="s">
        <v>103</v>
      </c>
      <c r="D188" s="78">
        <v>2.0</v>
      </c>
      <c r="E188" s="37">
        <v>5.0</v>
      </c>
      <c r="F188" s="78">
        <f>F173</f>
        <v>23.15</v>
      </c>
      <c r="G188" s="40"/>
      <c r="H188" s="40">
        <f t="shared" si="85"/>
        <v>231.5</v>
      </c>
      <c r="I188" s="42"/>
      <c r="J188" s="107"/>
      <c r="K188" s="46"/>
    </row>
    <row r="189" ht="19.5" customHeight="1">
      <c r="A189" s="46">
        <v>3.0</v>
      </c>
      <c r="B189" s="37" t="s">
        <v>364</v>
      </c>
      <c r="C189" s="46" t="s">
        <v>103</v>
      </c>
      <c r="D189" s="78">
        <v>10.0</v>
      </c>
      <c r="E189" s="37">
        <v>1.7</v>
      </c>
      <c r="F189" s="78">
        <v>0.2</v>
      </c>
      <c r="G189" s="40">
        <v>4.0</v>
      </c>
      <c r="H189" s="40">
        <f>G189*F189*E189*D189</f>
        <v>13.6</v>
      </c>
      <c r="I189" s="42"/>
      <c r="J189" s="64">
        <f>SUM(H187:H189)-I187-I188</f>
        <v>521.9</v>
      </c>
      <c r="K189" s="46"/>
    </row>
    <row r="190" ht="19.5" customHeight="1">
      <c r="A190" s="46">
        <v>4.0</v>
      </c>
      <c r="B190" s="37" t="s">
        <v>208</v>
      </c>
      <c r="C190" s="46" t="s">
        <v>103</v>
      </c>
      <c r="D190" s="78"/>
      <c r="E190" s="37"/>
      <c r="F190" s="78"/>
      <c r="G190" s="40"/>
      <c r="H190" s="40"/>
      <c r="I190" s="42"/>
      <c r="J190" s="40"/>
      <c r="K190" s="46"/>
    </row>
    <row r="191" ht="19.5" customHeight="1">
      <c r="A191" s="46">
        <v>5.0</v>
      </c>
      <c r="B191" s="37" t="s">
        <v>208</v>
      </c>
      <c r="C191" s="46" t="s">
        <v>103</v>
      </c>
      <c r="D191" s="78"/>
      <c r="E191" s="37"/>
      <c r="F191" s="78"/>
      <c r="G191" s="40"/>
      <c r="H191" s="40"/>
      <c r="I191" s="42"/>
      <c r="J191" s="77"/>
      <c r="K191" s="46"/>
    </row>
    <row r="192" ht="19.5" customHeight="1">
      <c r="A192" s="46">
        <v>6.0</v>
      </c>
      <c r="B192" s="37" t="s">
        <v>208</v>
      </c>
      <c r="C192" s="46" t="s">
        <v>103</v>
      </c>
      <c r="D192" s="78"/>
      <c r="E192" s="37"/>
      <c r="F192" s="78"/>
      <c r="G192" s="40"/>
      <c r="H192" s="40"/>
      <c r="I192" s="93"/>
      <c r="J192" s="107"/>
      <c r="K192" s="79" t="s">
        <v>95</v>
      </c>
    </row>
    <row r="193" ht="19.5" customHeight="1">
      <c r="A193" s="46"/>
      <c r="B193" s="37"/>
      <c r="C193" s="46"/>
      <c r="D193" s="78"/>
      <c r="E193" s="37"/>
      <c r="F193" s="78"/>
      <c r="G193" s="40"/>
      <c r="H193" s="40"/>
      <c r="I193" s="93"/>
      <c r="J193" s="64">
        <f>J185-J189</f>
        <v>1600.64</v>
      </c>
      <c r="K193" s="132">
        <f>J193+J188</f>
        <v>1600.64</v>
      </c>
    </row>
    <row r="194" ht="19.5" customHeight="1">
      <c r="A194" s="74" t="s">
        <v>1</v>
      </c>
      <c r="B194" s="74" t="s">
        <v>91</v>
      </c>
      <c r="C194" s="74" t="s">
        <v>92</v>
      </c>
      <c r="D194" s="76" t="s">
        <v>93</v>
      </c>
      <c r="E194" s="50" t="s">
        <v>97</v>
      </c>
      <c r="F194" s="53" t="s">
        <v>194</v>
      </c>
      <c r="G194" s="53" t="s">
        <v>206</v>
      </c>
      <c r="H194" s="75" t="s">
        <v>100</v>
      </c>
      <c r="I194" s="75" t="s">
        <v>101</v>
      </c>
      <c r="J194" s="76" t="s">
        <v>95</v>
      </c>
      <c r="K194" s="74" t="s">
        <v>96</v>
      </c>
    </row>
    <row r="195" ht="19.5" customHeight="1">
      <c r="A195" s="46">
        <v>1.0</v>
      </c>
      <c r="B195" s="37" t="s">
        <v>365</v>
      </c>
      <c r="C195" s="46" t="s">
        <v>103</v>
      </c>
      <c r="D195" s="78">
        <v>1.0</v>
      </c>
      <c r="E195" s="37">
        <v>2.7</v>
      </c>
      <c r="F195" s="78">
        <v>58.0</v>
      </c>
      <c r="G195" s="40">
        <v>1.0</v>
      </c>
      <c r="H195" s="40">
        <f t="shared" ref="H195:H214" si="86">F195*E195*D195</f>
        <v>156.6</v>
      </c>
      <c r="I195" s="42">
        <v>40.0</v>
      </c>
      <c r="J195" s="327">
        <f>SUM(H195:H214)-I195</f>
        <v>780.125</v>
      </c>
      <c r="K195" s="145" t="s">
        <v>952</v>
      </c>
    </row>
    <row r="196" ht="19.5" customHeight="1">
      <c r="A196" s="46">
        <f t="shared" ref="A196:A214" si="87">A195+1</f>
        <v>2</v>
      </c>
      <c r="B196" s="37" t="s">
        <v>365</v>
      </c>
      <c r="C196" s="46" t="s">
        <v>103</v>
      </c>
      <c r="D196" s="78">
        <v>1.0</v>
      </c>
      <c r="E196" s="37">
        <v>2.7</v>
      </c>
      <c r="F196" s="78">
        <v>7.4</v>
      </c>
      <c r="G196" s="40">
        <v>1.0</v>
      </c>
      <c r="H196" s="40">
        <f t="shared" si="86"/>
        <v>19.98</v>
      </c>
      <c r="I196" s="42"/>
      <c r="J196" s="147"/>
      <c r="K196" s="46"/>
    </row>
    <row r="197" ht="19.5" customHeight="1">
      <c r="A197" s="46">
        <f t="shared" si="87"/>
        <v>3</v>
      </c>
      <c r="B197" s="37" t="s">
        <v>365</v>
      </c>
      <c r="C197" s="46" t="s">
        <v>103</v>
      </c>
      <c r="D197" s="78">
        <v>1.0</v>
      </c>
      <c r="E197" s="37">
        <v>2.7</v>
      </c>
      <c r="F197" s="78">
        <v>16.82</v>
      </c>
      <c r="G197" s="40">
        <v>1.0</v>
      </c>
      <c r="H197" s="40">
        <f t="shared" si="86"/>
        <v>45.414</v>
      </c>
      <c r="I197" s="42"/>
      <c r="J197" s="147"/>
      <c r="K197" s="46"/>
    </row>
    <row r="198" ht="19.5" customHeight="1">
      <c r="A198" s="46">
        <f t="shared" si="87"/>
        <v>4</v>
      </c>
      <c r="B198" s="37" t="s">
        <v>365</v>
      </c>
      <c r="C198" s="46" t="s">
        <v>103</v>
      </c>
      <c r="D198" s="78">
        <v>1.0</v>
      </c>
      <c r="E198" s="37">
        <v>2.7</v>
      </c>
      <c r="F198" s="78">
        <v>7.14</v>
      </c>
      <c r="G198" s="40">
        <v>1.0</v>
      </c>
      <c r="H198" s="40">
        <f t="shared" si="86"/>
        <v>19.278</v>
      </c>
      <c r="I198" s="42"/>
      <c r="J198" s="147"/>
      <c r="K198" s="46"/>
    </row>
    <row r="199" ht="19.5" customHeight="1">
      <c r="A199" s="46">
        <f t="shared" si="87"/>
        <v>5</v>
      </c>
      <c r="B199" s="37" t="s">
        <v>365</v>
      </c>
      <c r="C199" s="46" t="s">
        <v>103</v>
      </c>
      <c r="D199" s="78">
        <v>1.0</v>
      </c>
      <c r="E199" s="37">
        <v>2.7</v>
      </c>
      <c r="F199" s="78">
        <v>12.65</v>
      </c>
      <c r="G199" s="40">
        <v>1.0</v>
      </c>
      <c r="H199" s="40">
        <f t="shared" si="86"/>
        <v>34.155</v>
      </c>
      <c r="I199" s="42"/>
      <c r="J199" s="147"/>
      <c r="K199" s="46"/>
    </row>
    <row r="200" ht="19.5" customHeight="1">
      <c r="A200" s="46">
        <f t="shared" si="87"/>
        <v>6</v>
      </c>
      <c r="B200" s="37" t="s">
        <v>365</v>
      </c>
      <c r="C200" s="46" t="s">
        <v>103</v>
      </c>
      <c r="D200" s="78">
        <v>1.0</v>
      </c>
      <c r="E200" s="37">
        <v>2.7</v>
      </c>
      <c r="F200" s="78">
        <v>14.0</v>
      </c>
      <c r="G200" s="40">
        <v>1.0</v>
      </c>
      <c r="H200" s="40">
        <f t="shared" si="86"/>
        <v>37.8</v>
      </c>
      <c r="I200" s="42"/>
      <c r="J200" s="147"/>
      <c r="K200" s="46"/>
    </row>
    <row r="201" ht="19.5" customHeight="1">
      <c r="A201" s="46">
        <f t="shared" si="87"/>
        <v>7</v>
      </c>
      <c r="B201" s="37" t="s">
        <v>365</v>
      </c>
      <c r="C201" s="46" t="s">
        <v>103</v>
      </c>
      <c r="D201" s="78">
        <v>1.0</v>
      </c>
      <c r="E201" s="37">
        <v>2.7</v>
      </c>
      <c r="F201" s="78">
        <v>11.9</v>
      </c>
      <c r="G201" s="40">
        <v>1.0</v>
      </c>
      <c r="H201" s="40">
        <f t="shared" si="86"/>
        <v>32.13</v>
      </c>
      <c r="I201" s="42"/>
      <c r="J201" s="147"/>
      <c r="K201" s="46"/>
    </row>
    <row r="202" ht="19.5" customHeight="1">
      <c r="A202" s="46">
        <f t="shared" si="87"/>
        <v>8</v>
      </c>
      <c r="B202" s="37" t="s">
        <v>365</v>
      </c>
      <c r="C202" s="46" t="s">
        <v>103</v>
      </c>
      <c r="D202" s="78">
        <v>1.0</v>
      </c>
      <c r="E202" s="37">
        <v>2.7</v>
      </c>
      <c r="F202" s="78">
        <v>11.44</v>
      </c>
      <c r="G202" s="40">
        <v>1.0</v>
      </c>
      <c r="H202" s="40">
        <f t="shared" si="86"/>
        <v>30.888</v>
      </c>
      <c r="I202" s="42"/>
      <c r="J202" s="147"/>
      <c r="K202" s="46"/>
    </row>
    <row r="203" ht="19.5" customHeight="1">
      <c r="A203" s="46">
        <f t="shared" si="87"/>
        <v>9</v>
      </c>
      <c r="B203" s="37" t="s">
        <v>365</v>
      </c>
      <c r="C203" s="46" t="s">
        <v>103</v>
      </c>
      <c r="D203" s="78">
        <v>1.0</v>
      </c>
      <c r="E203" s="37">
        <v>2.7</v>
      </c>
      <c r="F203" s="78">
        <v>17.9</v>
      </c>
      <c r="G203" s="40">
        <v>1.0</v>
      </c>
      <c r="H203" s="40">
        <f t="shared" si="86"/>
        <v>48.33</v>
      </c>
      <c r="I203" s="42"/>
      <c r="J203" s="147"/>
      <c r="K203" s="46"/>
    </row>
    <row r="204" ht="19.5" customHeight="1">
      <c r="A204" s="46">
        <f t="shared" si="87"/>
        <v>10</v>
      </c>
      <c r="B204" s="37" t="s">
        <v>365</v>
      </c>
      <c r="C204" s="46" t="s">
        <v>103</v>
      </c>
      <c r="D204" s="78">
        <v>1.0</v>
      </c>
      <c r="E204" s="37">
        <v>2.7</v>
      </c>
      <c r="F204" s="78">
        <v>12.8</v>
      </c>
      <c r="G204" s="40">
        <v>1.0</v>
      </c>
      <c r="H204" s="40">
        <f t="shared" si="86"/>
        <v>34.56</v>
      </c>
      <c r="I204" s="42"/>
      <c r="J204" s="147"/>
      <c r="K204" s="46"/>
    </row>
    <row r="205" ht="19.5" customHeight="1">
      <c r="A205" s="46">
        <f t="shared" si="87"/>
        <v>11</v>
      </c>
      <c r="B205" s="37" t="s">
        <v>365</v>
      </c>
      <c r="C205" s="46" t="s">
        <v>103</v>
      </c>
      <c r="D205" s="78">
        <v>1.0</v>
      </c>
      <c r="E205" s="37">
        <v>2.7</v>
      </c>
      <c r="F205" s="78">
        <v>11.55</v>
      </c>
      <c r="G205" s="40">
        <v>1.0</v>
      </c>
      <c r="H205" s="40">
        <f t="shared" si="86"/>
        <v>31.185</v>
      </c>
      <c r="I205" s="42"/>
      <c r="J205" s="147"/>
      <c r="K205" s="46"/>
    </row>
    <row r="206" ht="19.5" customHeight="1">
      <c r="A206" s="46">
        <f t="shared" si="87"/>
        <v>12</v>
      </c>
      <c r="B206" s="37" t="s">
        <v>365</v>
      </c>
      <c r="C206" s="46" t="s">
        <v>103</v>
      </c>
      <c r="D206" s="78">
        <v>1.0</v>
      </c>
      <c r="E206" s="37">
        <v>2.7</v>
      </c>
      <c r="F206" s="78">
        <v>20.45</v>
      </c>
      <c r="G206" s="40">
        <v>1.0</v>
      </c>
      <c r="H206" s="40">
        <f t="shared" si="86"/>
        <v>55.215</v>
      </c>
      <c r="I206" s="42"/>
      <c r="J206" s="147"/>
      <c r="K206" s="46"/>
    </row>
    <row r="207" ht="19.5" customHeight="1">
      <c r="A207" s="46">
        <f t="shared" si="87"/>
        <v>13</v>
      </c>
      <c r="B207" s="37" t="s">
        <v>365</v>
      </c>
      <c r="C207" s="46" t="s">
        <v>103</v>
      </c>
      <c r="D207" s="78">
        <v>1.0</v>
      </c>
      <c r="E207" s="37">
        <v>2.7</v>
      </c>
      <c r="F207" s="78">
        <v>6.86</v>
      </c>
      <c r="G207" s="40">
        <v>1.0</v>
      </c>
      <c r="H207" s="40">
        <f t="shared" si="86"/>
        <v>18.522</v>
      </c>
      <c r="I207" s="42"/>
      <c r="J207" s="147"/>
      <c r="K207" s="46"/>
    </row>
    <row r="208" ht="19.5" customHeight="1">
      <c r="A208" s="46">
        <f t="shared" si="87"/>
        <v>14</v>
      </c>
      <c r="B208" s="37" t="s">
        <v>365</v>
      </c>
      <c r="C208" s="46" t="s">
        <v>103</v>
      </c>
      <c r="D208" s="78">
        <v>1.0</v>
      </c>
      <c r="E208" s="37">
        <v>2.7</v>
      </c>
      <c r="F208" s="78">
        <v>14.69</v>
      </c>
      <c r="G208" s="40">
        <v>1.0</v>
      </c>
      <c r="H208" s="40">
        <f t="shared" si="86"/>
        <v>39.663</v>
      </c>
      <c r="I208" s="42"/>
      <c r="J208" s="147"/>
      <c r="K208" s="46"/>
    </row>
    <row r="209" ht="19.5" customHeight="1">
      <c r="A209" s="46">
        <f t="shared" si="87"/>
        <v>15</v>
      </c>
      <c r="B209" s="37" t="s">
        <v>365</v>
      </c>
      <c r="C209" s="46" t="s">
        <v>103</v>
      </c>
      <c r="D209" s="78">
        <v>1.0</v>
      </c>
      <c r="E209" s="37">
        <v>2.7</v>
      </c>
      <c r="F209" s="78">
        <v>14.4</v>
      </c>
      <c r="G209" s="40">
        <v>1.0</v>
      </c>
      <c r="H209" s="40">
        <f t="shared" si="86"/>
        <v>38.88</v>
      </c>
      <c r="I209" s="42"/>
      <c r="J209" s="147"/>
      <c r="K209" s="79"/>
    </row>
    <row r="210" ht="19.5" customHeight="1">
      <c r="A210" s="46">
        <f t="shared" si="87"/>
        <v>16</v>
      </c>
      <c r="B210" s="37" t="s">
        <v>365</v>
      </c>
      <c r="C210" s="46" t="s">
        <v>103</v>
      </c>
      <c r="D210" s="78">
        <v>1.0</v>
      </c>
      <c r="E210" s="37">
        <v>2.7</v>
      </c>
      <c r="F210" s="78">
        <v>13.67</v>
      </c>
      <c r="G210" s="40">
        <v>1.0</v>
      </c>
      <c r="H210" s="40">
        <f t="shared" si="86"/>
        <v>36.909</v>
      </c>
      <c r="I210" s="42"/>
      <c r="J210" s="147"/>
      <c r="K210" s="79"/>
    </row>
    <row r="211" ht="19.5" customHeight="1">
      <c r="A211" s="46">
        <f t="shared" si="87"/>
        <v>17</v>
      </c>
      <c r="B211" s="37" t="s">
        <v>365</v>
      </c>
      <c r="C211" s="46" t="s">
        <v>103</v>
      </c>
      <c r="D211" s="78">
        <v>1.0</v>
      </c>
      <c r="E211" s="37">
        <v>2.7</v>
      </c>
      <c r="F211" s="78">
        <v>13.67</v>
      </c>
      <c r="G211" s="40">
        <v>1.0</v>
      </c>
      <c r="H211" s="40">
        <f t="shared" si="86"/>
        <v>36.909</v>
      </c>
      <c r="I211" s="42"/>
      <c r="J211" s="147"/>
      <c r="K211" s="79"/>
    </row>
    <row r="212" ht="19.5" customHeight="1">
      <c r="A212" s="46">
        <f t="shared" si="87"/>
        <v>18</v>
      </c>
      <c r="B212" s="37" t="s">
        <v>365</v>
      </c>
      <c r="C212" s="46" t="s">
        <v>103</v>
      </c>
      <c r="D212" s="78">
        <v>1.0</v>
      </c>
      <c r="E212" s="37">
        <v>2.7</v>
      </c>
      <c r="F212" s="78">
        <v>11.18</v>
      </c>
      <c r="G212" s="40">
        <v>1.0</v>
      </c>
      <c r="H212" s="40">
        <f t="shared" si="86"/>
        <v>30.186</v>
      </c>
      <c r="I212" s="93"/>
      <c r="J212" s="147"/>
      <c r="K212" s="79"/>
    </row>
    <row r="213" ht="19.5" customHeight="1">
      <c r="A213" s="46">
        <f t="shared" si="87"/>
        <v>19</v>
      </c>
      <c r="B213" s="37" t="s">
        <v>365</v>
      </c>
      <c r="C213" s="46" t="s">
        <v>103</v>
      </c>
      <c r="D213" s="78">
        <v>1.0</v>
      </c>
      <c r="E213" s="37">
        <v>2.7</v>
      </c>
      <c r="F213" s="78">
        <v>11.18</v>
      </c>
      <c r="G213" s="40">
        <v>1.0</v>
      </c>
      <c r="H213" s="40">
        <f t="shared" si="86"/>
        <v>30.186</v>
      </c>
      <c r="I213" s="93"/>
      <c r="J213" s="147"/>
      <c r="K213" s="79"/>
    </row>
    <row r="214" ht="19.5" customHeight="1">
      <c r="A214" s="46">
        <f t="shared" si="87"/>
        <v>20</v>
      </c>
      <c r="B214" s="37" t="s">
        <v>365</v>
      </c>
      <c r="C214" s="46" t="s">
        <v>103</v>
      </c>
      <c r="D214" s="78">
        <v>1.0</v>
      </c>
      <c r="E214" s="37">
        <v>2.7</v>
      </c>
      <c r="F214" s="78">
        <v>16.05</v>
      </c>
      <c r="G214" s="40">
        <v>1.0</v>
      </c>
      <c r="H214" s="40">
        <f t="shared" si="86"/>
        <v>43.335</v>
      </c>
      <c r="I214" s="93"/>
      <c r="J214" s="32"/>
      <c r="K214" s="79"/>
    </row>
    <row r="215" ht="19.5" customHeight="1">
      <c r="A215" s="46">
        <f>A212+1</f>
        <v>19</v>
      </c>
      <c r="B215" s="95" t="s">
        <v>366</v>
      </c>
      <c r="C215" s="46" t="s">
        <v>103</v>
      </c>
      <c r="D215" s="78">
        <v>1.0</v>
      </c>
      <c r="E215" s="37"/>
      <c r="F215" s="78"/>
      <c r="G215" s="40"/>
      <c r="H215" s="59"/>
      <c r="I215" s="93"/>
      <c r="J215" s="133">
        <f>SUM(J195:J212)</f>
        <v>780.125</v>
      </c>
      <c r="K215" s="79"/>
    </row>
    <row r="216" ht="19.5" customHeight="1">
      <c r="A216" s="74" t="s">
        <v>1</v>
      </c>
      <c r="B216" s="74" t="s">
        <v>91</v>
      </c>
      <c r="C216" s="74" t="s">
        <v>92</v>
      </c>
      <c r="D216" s="76" t="s">
        <v>93</v>
      </c>
      <c r="E216" s="50" t="s">
        <v>97</v>
      </c>
      <c r="F216" s="53" t="s">
        <v>121</v>
      </c>
      <c r="G216" s="53" t="s">
        <v>99</v>
      </c>
      <c r="H216" s="75" t="s">
        <v>100</v>
      </c>
      <c r="I216" s="75" t="s">
        <v>101</v>
      </c>
      <c r="J216" s="76" t="s">
        <v>95</v>
      </c>
      <c r="K216" s="74" t="s">
        <v>96</v>
      </c>
    </row>
    <row r="217" ht="19.5" customHeight="1">
      <c r="A217" s="46">
        <v>1.0</v>
      </c>
      <c r="B217" s="37" t="s">
        <v>367</v>
      </c>
      <c r="C217" s="46" t="s">
        <v>103</v>
      </c>
      <c r="D217" s="78">
        <v>10.0</v>
      </c>
      <c r="E217" s="37">
        <v>2.1</v>
      </c>
      <c r="F217" s="78"/>
      <c r="G217" s="40">
        <v>0.9</v>
      </c>
      <c r="H217" s="40">
        <f t="shared" ref="H217:H219" si="88">G217*E217*D217</f>
        <v>18.9</v>
      </c>
      <c r="I217" s="42"/>
      <c r="J217" s="64">
        <f>H217+H219+H220</f>
        <v>68.25</v>
      </c>
      <c r="K217" s="46"/>
    </row>
    <row r="218" ht="19.5" customHeight="1">
      <c r="A218" s="46">
        <v>2.0</v>
      </c>
      <c r="B218" s="37" t="s">
        <v>368</v>
      </c>
      <c r="C218" s="46" t="s">
        <v>103</v>
      </c>
      <c r="D218" s="78">
        <v>2.0</v>
      </c>
      <c r="E218" s="37">
        <v>2.1</v>
      </c>
      <c r="F218" s="78"/>
      <c r="G218" s="40">
        <v>2.0</v>
      </c>
      <c r="H218" s="40">
        <f t="shared" si="88"/>
        <v>8.4</v>
      </c>
      <c r="I218" s="42"/>
      <c r="J218" s="64">
        <f t="shared" ref="J218:J223" si="89">H218</f>
        <v>8.4</v>
      </c>
      <c r="K218" s="46"/>
    </row>
    <row r="219" ht="19.5" customHeight="1">
      <c r="A219" s="46">
        <v>3.0</v>
      </c>
      <c r="B219" s="37" t="s">
        <v>953</v>
      </c>
      <c r="C219" s="46" t="s">
        <v>103</v>
      </c>
      <c r="D219" s="78">
        <v>5.0</v>
      </c>
      <c r="E219" s="37">
        <v>2.1</v>
      </c>
      <c r="F219" s="78"/>
      <c r="G219" s="40">
        <v>0.7</v>
      </c>
      <c r="H219" s="40">
        <f t="shared" si="88"/>
        <v>7.35</v>
      </c>
      <c r="I219" s="42"/>
      <c r="J219" s="64">
        <f t="shared" si="89"/>
        <v>7.35</v>
      </c>
      <c r="K219" s="46"/>
    </row>
    <row r="220" ht="19.5" customHeight="1">
      <c r="A220" s="46">
        <v>4.0</v>
      </c>
      <c r="B220" s="37" t="s">
        <v>954</v>
      </c>
      <c r="C220" s="46" t="s">
        <v>103</v>
      </c>
      <c r="D220" s="78">
        <v>1.0</v>
      </c>
      <c r="E220" s="37"/>
      <c r="F220" s="78"/>
      <c r="G220" s="40"/>
      <c r="H220" s="40">
        <f>H221+H222</f>
        <v>42</v>
      </c>
      <c r="I220" s="42"/>
      <c r="J220" s="64">
        <f t="shared" si="89"/>
        <v>42</v>
      </c>
      <c r="K220" s="46"/>
    </row>
    <row r="221" ht="19.5" customHeight="1">
      <c r="A221" s="46">
        <v>4.0</v>
      </c>
      <c r="B221" s="37" t="s">
        <v>955</v>
      </c>
      <c r="C221" s="46" t="s">
        <v>103</v>
      </c>
      <c r="D221" s="78">
        <v>8.0</v>
      </c>
      <c r="E221" s="37">
        <v>1.0</v>
      </c>
      <c r="F221" s="78">
        <v>1.0</v>
      </c>
      <c r="G221" s="40">
        <v>3.0</v>
      </c>
      <c r="H221" s="40">
        <f t="shared" ref="H221:H224" si="90">G221*E221*D221</f>
        <v>24</v>
      </c>
      <c r="I221" s="42"/>
      <c r="J221" s="64">
        <f t="shared" si="89"/>
        <v>24</v>
      </c>
      <c r="K221" s="46"/>
    </row>
    <row r="222" ht="19.5" customHeight="1">
      <c r="A222" s="46">
        <v>5.0</v>
      </c>
      <c r="B222" s="37" t="s">
        <v>371</v>
      </c>
      <c r="C222" s="46" t="s">
        <v>103</v>
      </c>
      <c r="D222" s="78">
        <v>12.0</v>
      </c>
      <c r="E222" s="37">
        <v>0.5</v>
      </c>
      <c r="F222" s="78">
        <v>1.0</v>
      </c>
      <c r="G222" s="40">
        <v>3.0</v>
      </c>
      <c r="H222" s="40">
        <f t="shared" si="90"/>
        <v>18</v>
      </c>
      <c r="I222" s="42"/>
      <c r="J222" s="64">
        <f t="shared" si="89"/>
        <v>18</v>
      </c>
      <c r="K222" s="46"/>
    </row>
    <row r="223" ht="19.5" customHeight="1">
      <c r="A223" s="124">
        <v>6.0</v>
      </c>
      <c r="B223" s="315" t="s">
        <v>956</v>
      </c>
      <c r="C223" s="124" t="s">
        <v>103</v>
      </c>
      <c r="D223" s="328">
        <v>1.0</v>
      </c>
      <c r="E223" s="315">
        <v>2.1</v>
      </c>
      <c r="F223" s="328">
        <v>1.0</v>
      </c>
      <c r="G223" s="15">
        <v>3.0</v>
      </c>
      <c r="H223" s="15">
        <f t="shared" si="90"/>
        <v>6.3</v>
      </c>
      <c r="I223" s="15"/>
      <c r="J223" s="329">
        <f t="shared" si="89"/>
        <v>6.3</v>
      </c>
      <c r="K223" s="145" t="s">
        <v>957</v>
      </c>
    </row>
    <row r="224" ht="19.5" customHeight="1">
      <c r="A224" s="46">
        <v>7.0</v>
      </c>
      <c r="B224" s="37" t="s">
        <v>958</v>
      </c>
      <c r="C224" s="46" t="s">
        <v>103</v>
      </c>
      <c r="D224" s="78">
        <v>3.0</v>
      </c>
      <c r="E224" s="37">
        <v>1.0</v>
      </c>
      <c r="F224" s="78">
        <v>1.0</v>
      </c>
      <c r="G224" s="40">
        <v>2.0</v>
      </c>
      <c r="H224" s="40">
        <f t="shared" si="90"/>
        <v>6</v>
      </c>
      <c r="I224" s="42"/>
      <c r="J224" s="64">
        <f>J222</f>
        <v>18</v>
      </c>
      <c r="K224" s="79"/>
    </row>
    <row r="225" ht="19.5" customHeight="1">
      <c r="A225" s="74" t="s">
        <v>1</v>
      </c>
      <c r="B225" s="74" t="s">
        <v>91</v>
      </c>
      <c r="C225" s="74" t="s">
        <v>92</v>
      </c>
      <c r="D225" s="76" t="s">
        <v>93</v>
      </c>
      <c r="E225" s="50" t="s">
        <v>161</v>
      </c>
      <c r="F225" s="53" t="s">
        <v>121</v>
      </c>
      <c r="G225" s="53" t="s">
        <v>99</v>
      </c>
      <c r="H225" s="75" t="s">
        <v>100</v>
      </c>
      <c r="I225" s="75" t="s">
        <v>101</v>
      </c>
      <c r="J225" s="76" t="s">
        <v>95</v>
      </c>
      <c r="K225" s="74" t="s">
        <v>96</v>
      </c>
    </row>
    <row r="226" ht="19.5" customHeight="1">
      <c r="A226" s="46">
        <v>1.0</v>
      </c>
      <c r="B226" s="37" t="s">
        <v>162</v>
      </c>
      <c r="C226" s="46" t="s">
        <v>103</v>
      </c>
      <c r="D226" s="78">
        <v>1.0</v>
      </c>
      <c r="E226" s="37">
        <v>2.0</v>
      </c>
      <c r="F226" s="78">
        <f>F187</f>
        <v>27.68</v>
      </c>
      <c r="G226" s="40">
        <v>1.0</v>
      </c>
      <c r="H226" s="40">
        <f t="shared" ref="H226:H227" si="91">G226*F226*E226*D226</f>
        <v>55.36</v>
      </c>
      <c r="I226" s="42"/>
      <c r="J226" s="312">
        <f>SUM(H226:H227)</f>
        <v>147.96</v>
      </c>
      <c r="K226" s="46"/>
    </row>
    <row r="227" ht="19.5" customHeight="1">
      <c r="A227" s="46">
        <v>2.0</v>
      </c>
      <c r="B227" s="37" t="s">
        <v>162</v>
      </c>
      <c r="C227" s="46" t="s">
        <v>103</v>
      </c>
      <c r="D227" s="78">
        <v>1.0</v>
      </c>
      <c r="E227" s="37">
        <v>2.0</v>
      </c>
      <c r="F227" s="78">
        <f>F173</f>
        <v>23.15</v>
      </c>
      <c r="G227" s="40">
        <v>2.0</v>
      </c>
      <c r="H227" s="40">
        <f t="shared" si="91"/>
        <v>92.6</v>
      </c>
      <c r="I227" s="42"/>
      <c r="J227" s="32"/>
      <c r="K227" s="46"/>
    </row>
    <row r="228" ht="19.5" customHeight="1">
      <c r="A228" s="74" t="s">
        <v>1</v>
      </c>
      <c r="B228" s="74" t="s">
        <v>91</v>
      </c>
      <c r="C228" s="74" t="s">
        <v>92</v>
      </c>
      <c r="D228" s="76" t="s">
        <v>93</v>
      </c>
      <c r="E228" s="50" t="s">
        <v>161</v>
      </c>
      <c r="F228" s="53" t="s">
        <v>121</v>
      </c>
      <c r="G228" s="53" t="s">
        <v>99</v>
      </c>
      <c r="H228" s="75" t="s">
        <v>100</v>
      </c>
      <c r="I228" s="75" t="s">
        <v>101</v>
      </c>
      <c r="J228" s="76" t="s">
        <v>95</v>
      </c>
      <c r="K228" s="74" t="s">
        <v>96</v>
      </c>
    </row>
    <row r="229" ht="19.5" customHeight="1">
      <c r="A229" s="46">
        <v>1.0</v>
      </c>
      <c r="B229" s="37" t="s">
        <v>374</v>
      </c>
      <c r="C229" s="46" t="s">
        <v>106</v>
      </c>
      <c r="D229" s="78">
        <v>4.0</v>
      </c>
      <c r="E229" s="37">
        <v>1.0</v>
      </c>
      <c r="F229" s="78"/>
      <c r="G229" s="40">
        <v>1.0</v>
      </c>
      <c r="H229" s="40">
        <f>G229*E229*D229</f>
        <v>4</v>
      </c>
      <c r="I229" s="42"/>
      <c r="J229" s="64">
        <f>SUM(H228:H229)</f>
        <v>4</v>
      </c>
      <c r="K229" s="46"/>
    </row>
    <row r="230" ht="19.5" customHeight="1">
      <c r="A230" s="46">
        <v>2.0</v>
      </c>
      <c r="B230" s="37" t="s">
        <v>853</v>
      </c>
      <c r="C230" s="46" t="s">
        <v>106</v>
      </c>
      <c r="D230" s="78">
        <v>1.0</v>
      </c>
      <c r="E230" s="37">
        <v>1.0</v>
      </c>
      <c r="F230" s="78"/>
      <c r="G230" s="40">
        <v>1.0</v>
      </c>
      <c r="H230" s="40">
        <v>1.0</v>
      </c>
      <c r="I230" s="42"/>
      <c r="J230" s="64">
        <f>H230</f>
        <v>1</v>
      </c>
      <c r="K230" s="46"/>
    </row>
    <row r="231" ht="19.5" customHeight="1">
      <c r="A231" s="46">
        <v>3.0</v>
      </c>
      <c r="B231" s="37" t="s">
        <v>376</v>
      </c>
      <c r="C231" s="46" t="s">
        <v>106</v>
      </c>
      <c r="D231" s="78">
        <f>J231</f>
        <v>5</v>
      </c>
      <c r="E231" s="37">
        <v>1.0</v>
      </c>
      <c r="F231" s="78"/>
      <c r="G231" s="40">
        <v>1.0</v>
      </c>
      <c r="H231" s="40">
        <f>G231*E231*D231</f>
        <v>5</v>
      </c>
      <c r="I231" s="42"/>
      <c r="J231" s="64">
        <f>SUM(J229:J230)</f>
        <v>5</v>
      </c>
      <c r="K231" s="79"/>
    </row>
    <row r="232" ht="19.5" customHeight="1">
      <c r="A232" s="74" t="s">
        <v>1</v>
      </c>
      <c r="B232" s="74" t="s">
        <v>91</v>
      </c>
      <c r="C232" s="74" t="s">
        <v>92</v>
      </c>
      <c r="D232" s="76" t="s">
        <v>93</v>
      </c>
      <c r="E232" s="50" t="s">
        <v>161</v>
      </c>
      <c r="F232" s="53" t="s">
        <v>121</v>
      </c>
      <c r="G232" s="53" t="s">
        <v>99</v>
      </c>
      <c r="H232" s="75" t="s">
        <v>100</v>
      </c>
      <c r="I232" s="75" t="s">
        <v>101</v>
      </c>
      <c r="J232" s="76" t="s">
        <v>95</v>
      </c>
      <c r="K232" s="74" t="s">
        <v>96</v>
      </c>
    </row>
    <row r="233" ht="19.5" customHeight="1">
      <c r="A233" s="46">
        <v>1.0</v>
      </c>
      <c r="B233" s="37" t="s">
        <v>856</v>
      </c>
      <c r="C233" s="46" t="s">
        <v>103</v>
      </c>
      <c r="D233" s="78">
        <v>1.0</v>
      </c>
      <c r="E233" s="37">
        <v>1.0</v>
      </c>
      <c r="F233" s="78">
        <v>7.8</v>
      </c>
      <c r="G233" s="40">
        <v>0.6</v>
      </c>
      <c r="H233" s="40">
        <f t="shared" ref="H233:H235" si="92">G233*F233*E233*D233</f>
        <v>4.68</v>
      </c>
      <c r="I233" s="42"/>
      <c r="J233" s="40"/>
      <c r="K233" s="46"/>
    </row>
    <row r="234" ht="19.5" customHeight="1">
      <c r="A234" s="46">
        <v>2.0</v>
      </c>
      <c r="B234" s="37" t="s">
        <v>857</v>
      </c>
      <c r="C234" s="46" t="s">
        <v>103</v>
      </c>
      <c r="D234" s="78">
        <v>1.0</v>
      </c>
      <c r="E234" s="37">
        <v>1.0</v>
      </c>
      <c r="F234" s="78">
        <v>2.5</v>
      </c>
      <c r="G234" s="40">
        <v>0.6</v>
      </c>
      <c r="H234" s="40">
        <f t="shared" si="92"/>
        <v>1.5</v>
      </c>
      <c r="I234" s="42"/>
      <c r="J234" s="40"/>
      <c r="K234" s="46"/>
    </row>
    <row r="235" ht="19.5" customHeight="1">
      <c r="A235" s="46">
        <v>3.0</v>
      </c>
      <c r="B235" s="37" t="s">
        <v>959</v>
      </c>
      <c r="C235" s="46" t="s">
        <v>103</v>
      </c>
      <c r="D235" s="78">
        <v>1.0</v>
      </c>
      <c r="E235" s="37">
        <v>1.0</v>
      </c>
      <c r="F235" s="78">
        <v>1.2</v>
      </c>
      <c r="G235" s="40">
        <v>0.4</v>
      </c>
      <c r="H235" s="40">
        <f t="shared" si="92"/>
        <v>0.48</v>
      </c>
      <c r="I235" s="42"/>
      <c r="J235" s="40"/>
      <c r="K235" s="46"/>
    </row>
    <row r="236" ht="19.5" customHeight="1">
      <c r="A236" s="46"/>
      <c r="B236" s="37"/>
      <c r="C236" s="46"/>
      <c r="D236" s="78"/>
      <c r="E236" s="37"/>
      <c r="F236" s="78"/>
      <c r="G236" s="40"/>
      <c r="H236" s="40"/>
      <c r="I236" s="93"/>
      <c r="J236" s="64">
        <f>SUM(H233:H236)</f>
        <v>6.66</v>
      </c>
      <c r="K236" s="79"/>
    </row>
    <row r="237" ht="19.5" customHeight="1">
      <c r="A237" s="74" t="s">
        <v>1</v>
      </c>
      <c r="B237" s="74" t="s">
        <v>91</v>
      </c>
      <c r="C237" s="74" t="s">
        <v>92</v>
      </c>
      <c r="D237" s="76" t="s">
        <v>93</v>
      </c>
      <c r="E237" s="50" t="s">
        <v>161</v>
      </c>
      <c r="F237" s="53" t="s">
        <v>121</v>
      </c>
      <c r="G237" s="53" t="s">
        <v>97</v>
      </c>
      <c r="H237" s="75" t="s">
        <v>100</v>
      </c>
      <c r="I237" s="75" t="s">
        <v>101</v>
      </c>
      <c r="J237" s="76" t="s">
        <v>95</v>
      </c>
      <c r="K237" s="74" t="s">
        <v>96</v>
      </c>
    </row>
    <row r="238" ht="19.5" customHeight="1">
      <c r="A238" s="46">
        <v>1.0</v>
      </c>
      <c r="B238" s="37" t="s">
        <v>244</v>
      </c>
      <c r="C238" s="46" t="s">
        <v>103</v>
      </c>
      <c r="D238" s="78">
        <v>10.0</v>
      </c>
      <c r="E238" s="37">
        <v>1.0</v>
      </c>
      <c r="F238" s="78">
        <v>1.5</v>
      </c>
      <c r="G238" s="40">
        <v>1.8</v>
      </c>
      <c r="H238" s="40">
        <f t="shared" ref="H238:H239" si="93">F238*E238*D238</f>
        <v>15</v>
      </c>
      <c r="I238" s="42"/>
      <c r="J238" s="40"/>
      <c r="K238" s="46"/>
    </row>
    <row r="239" ht="19.5" customHeight="1">
      <c r="A239" s="46">
        <v>2.0</v>
      </c>
      <c r="B239" s="37" t="s">
        <v>244</v>
      </c>
      <c r="C239" s="46" t="s">
        <v>103</v>
      </c>
      <c r="D239" s="78">
        <v>10.0</v>
      </c>
      <c r="E239" s="37">
        <v>1.0</v>
      </c>
      <c r="F239" s="78">
        <v>0.5</v>
      </c>
      <c r="G239" s="40">
        <v>1.8</v>
      </c>
      <c r="H239" s="40">
        <f t="shared" si="93"/>
        <v>5</v>
      </c>
      <c r="I239" s="42"/>
      <c r="J239" s="64">
        <f>SUM(H238:H239)</f>
        <v>20</v>
      </c>
      <c r="K239" s="46"/>
    </row>
    <row r="240" ht="19.5" customHeight="1">
      <c r="A240" s="74" t="s">
        <v>1</v>
      </c>
      <c r="B240" s="74" t="s">
        <v>91</v>
      </c>
      <c r="C240" s="74" t="s">
        <v>92</v>
      </c>
      <c r="D240" s="76" t="s">
        <v>93</v>
      </c>
      <c r="E240" s="50" t="s">
        <v>161</v>
      </c>
      <c r="F240" s="53"/>
      <c r="G240" s="53"/>
      <c r="H240" s="75" t="s">
        <v>100</v>
      </c>
      <c r="I240" s="75" t="s">
        <v>101</v>
      </c>
      <c r="J240" s="76" t="s">
        <v>95</v>
      </c>
      <c r="K240" s="74" t="s">
        <v>96</v>
      </c>
    </row>
    <row r="241" ht="19.5" customHeight="1">
      <c r="A241" s="46">
        <v>1.0</v>
      </c>
      <c r="B241" s="37" t="s">
        <v>960</v>
      </c>
      <c r="C241" s="46" t="s">
        <v>106</v>
      </c>
      <c r="D241" s="78">
        <v>4.0</v>
      </c>
      <c r="E241" s="37">
        <v>8.0</v>
      </c>
      <c r="F241" s="78"/>
      <c r="G241" s="40"/>
      <c r="H241" s="40">
        <f t="shared" ref="H241:H242" si="94">E241*D241+6</f>
        <v>38</v>
      </c>
      <c r="I241" s="42"/>
      <c r="J241" s="64">
        <f t="shared" ref="J241:J261" si="95">H241</f>
        <v>38</v>
      </c>
      <c r="K241" s="46"/>
    </row>
    <row r="242" ht="19.5" customHeight="1">
      <c r="A242" s="46">
        <v>2.0</v>
      </c>
      <c r="B242" s="37" t="s">
        <v>961</v>
      </c>
      <c r="C242" s="46" t="s">
        <v>106</v>
      </c>
      <c r="D242" s="78">
        <v>18.0</v>
      </c>
      <c r="E242" s="37">
        <v>1.0</v>
      </c>
      <c r="F242" s="78"/>
      <c r="G242" s="40"/>
      <c r="H242" s="40">
        <f t="shared" si="94"/>
        <v>24</v>
      </c>
      <c r="I242" s="42"/>
      <c r="J242" s="64">
        <f t="shared" si="95"/>
        <v>24</v>
      </c>
      <c r="K242" s="46"/>
    </row>
    <row r="243" ht="19.5" customHeight="1">
      <c r="A243" s="46">
        <v>2.0</v>
      </c>
      <c r="B243" s="37" t="s">
        <v>962</v>
      </c>
      <c r="C243" s="46" t="s">
        <v>106</v>
      </c>
      <c r="D243" s="78">
        <v>34.0</v>
      </c>
      <c r="E243" s="37">
        <v>1.0</v>
      </c>
      <c r="F243" s="78"/>
      <c r="G243" s="40"/>
      <c r="H243" s="40">
        <f t="shared" ref="H243:H261" si="96">E243*D243</f>
        <v>34</v>
      </c>
      <c r="I243" s="42"/>
      <c r="J243" s="64">
        <f t="shared" si="95"/>
        <v>34</v>
      </c>
      <c r="K243" s="46"/>
    </row>
    <row r="244" ht="19.5" customHeight="1">
      <c r="A244" s="46">
        <v>3.0</v>
      </c>
      <c r="B244" s="37" t="s">
        <v>246</v>
      </c>
      <c r="C244" s="46" t="s">
        <v>106</v>
      </c>
      <c r="D244" s="78">
        <v>4.0</v>
      </c>
      <c r="E244" s="37">
        <v>12.0</v>
      </c>
      <c r="F244" s="78"/>
      <c r="G244" s="40"/>
      <c r="H244" s="40">
        <f t="shared" si="96"/>
        <v>48</v>
      </c>
      <c r="I244" s="42"/>
      <c r="J244" s="64">
        <f t="shared" si="95"/>
        <v>48</v>
      </c>
      <c r="K244" s="46"/>
    </row>
    <row r="245" ht="19.5" customHeight="1">
      <c r="A245" s="46">
        <v>4.0</v>
      </c>
      <c r="B245" s="37" t="s">
        <v>963</v>
      </c>
      <c r="C245" s="46" t="s">
        <v>106</v>
      </c>
      <c r="D245" s="78">
        <v>4.0</v>
      </c>
      <c r="E245" s="37">
        <v>1.0</v>
      </c>
      <c r="F245" s="78"/>
      <c r="G245" s="40"/>
      <c r="H245" s="40">
        <f t="shared" si="96"/>
        <v>4</v>
      </c>
      <c r="I245" s="42"/>
      <c r="J245" s="64">
        <f t="shared" si="95"/>
        <v>4</v>
      </c>
      <c r="K245" s="46"/>
    </row>
    <row r="246" ht="19.5" customHeight="1">
      <c r="A246" s="46">
        <v>5.0</v>
      </c>
      <c r="B246" s="37" t="s">
        <v>247</v>
      </c>
      <c r="C246" s="46" t="s">
        <v>106</v>
      </c>
      <c r="D246" s="78">
        <v>4.0</v>
      </c>
      <c r="E246" s="37">
        <v>1.0</v>
      </c>
      <c r="F246" s="78"/>
      <c r="G246" s="40"/>
      <c r="H246" s="40">
        <f t="shared" si="96"/>
        <v>4</v>
      </c>
      <c r="I246" s="42"/>
      <c r="J246" s="64">
        <f t="shared" si="95"/>
        <v>4</v>
      </c>
      <c r="K246" s="46"/>
    </row>
    <row r="247" ht="19.5" customHeight="1">
      <c r="A247" s="46">
        <v>6.0</v>
      </c>
      <c r="B247" s="37" t="s">
        <v>248</v>
      </c>
      <c r="C247" s="46" t="s">
        <v>106</v>
      </c>
      <c r="D247" s="78">
        <v>5.0</v>
      </c>
      <c r="E247" s="37">
        <v>1.0</v>
      </c>
      <c r="F247" s="78"/>
      <c r="G247" s="40"/>
      <c r="H247" s="40">
        <f t="shared" si="96"/>
        <v>5</v>
      </c>
      <c r="I247" s="42"/>
      <c r="J247" s="64">
        <f t="shared" si="95"/>
        <v>5</v>
      </c>
      <c r="K247" s="46"/>
    </row>
    <row r="248" ht="19.5" customHeight="1">
      <c r="A248" s="46">
        <v>7.0</v>
      </c>
      <c r="B248" s="37" t="s">
        <v>249</v>
      </c>
      <c r="C248" s="46" t="s">
        <v>106</v>
      </c>
      <c r="D248" s="78">
        <v>10.0</v>
      </c>
      <c r="E248" s="37">
        <v>1.0</v>
      </c>
      <c r="F248" s="78"/>
      <c r="G248" s="40"/>
      <c r="H248" s="40">
        <f t="shared" si="96"/>
        <v>10</v>
      </c>
      <c r="I248" s="42"/>
      <c r="J248" s="64">
        <f t="shared" si="95"/>
        <v>10</v>
      </c>
      <c r="K248" s="46"/>
    </row>
    <row r="249" ht="19.5" customHeight="1">
      <c r="A249" s="46">
        <v>8.0</v>
      </c>
      <c r="B249" s="37" t="s">
        <v>250</v>
      </c>
      <c r="C249" s="46" t="s">
        <v>106</v>
      </c>
      <c r="D249" s="123">
        <f>H248+H247+H246+H245+H244</f>
        <v>71</v>
      </c>
      <c r="E249" s="37">
        <v>1.0</v>
      </c>
      <c r="F249" s="40"/>
      <c r="G249" s="40"/>
      <c r="H249" s="40">
        <f t="shared" si="96"/>
        <v>71</v>
      </c>
      <c r="I249" s="40"/>
      <c r="J249" s="64">
        <f t="shared" si="95"/>
        <v>71</v>
      </c>
      <c r="K249" s="46"/>
    </row>
    <row r="250" ht="19.5" customHeight="1">
      <c r="A250" s="46">
        <v>9.0</v>
      </c>
      <c r="B250" s="37" t="s">
        <v>251</v>
      </c>
      <c r="C250" s="46" t="s">
        <v>106</v>
      </c>
      <c r="D250" s="123">
        <f>H243+H241</f>
        <v>72</v>
      </c>
      <c r="E250" s="37">
        <v>1.0</v>
      </c>
      <c r="F250" s="40"/>
      <c r="G250" s="40"/>
      <c r="H250" s="40">
        <f t="shared" si="96"/>
        <v>72</v>
      </c>
      <c r="I250" s="40"/>
      <c r="J250" s="64">
        <f t="shared" si="95"/>
        <v>72</v>
      </c>
      <c r="K250" s="46"/>
    </row>
    <row r="251" ht="19.5" customHeight="1">
      <c r="A251" s="46">
        <v>10.0</v>
      </c>
      <c r="B251" s="37" t="s">
        <v>964</v>
      </c>
      <c r="C251" s="46" t="s">
        <v>108</v>
      </c>
      <c r="D251" s="123">
        <v>900.0</v>
      </c>
      <c r="E251" s="37">
        <v>1.0</v>
      </c>
      <c r="F251" s="40"/>
      <c r="G251" s="40"/>
      <c r="H251" s="40">
        <f t="shared" si="96"/>
        <v>900</v>
      </c>
      <c r="I251" s="40"/>
      <c r="J251" s="64">
        <f t="shared" si="95"/>
        <v>900</v>
      </c>
      <c r="K251" s="46"/>
    </row>
    <row r="252" ht="19.5" customHeight="1">
      <c r="A252" s="46">
        <v>11.0</v>
      </c>
      <c r="B252" s="37" t="s">
        <v>965</v>
      </c>
      <c r="C252" s="46" t="s">
        <v>108</v>
      </c>
      <c r="D252" s="123">
        <v>400.0</v>
      </c>
      <c r="E252" s="37">
        <v>1.0</v>
      </c>
      <c r="F252" s="40"/>
      <c r="G252" s="40"/>
      <c r="H252" s="40">
        <f t="shared" si="96"/>
        <v>400</v>
      </c>
      <c r="I252" s="40"/>
      <c r="J252" s="64">
        <f t="shared" si="95"/>
        <v>400</v>
      </c>
      <c r="K252" s="46"/>
    </row>
    <row r="253" ht="19.5" customHeight="1">
      <c r="A253" s="46">
        <v>12.0</v>
      </c>
      <c r="B253" s="37" t="s">
        <v>252</v>
      </c>
      <c r="C253" s="46" t="s">
        <v>108</v>
      </c>
      <c r="D253" s="123">
        <v>400.0</v>
      </c>
      <c r="E253" s="37">
        <v>1.0</v>
      </c>
      <c r="F253" s="40"/>
      <c r="G253" s="40"/>
      <c r="H253" s="40">
        <f t="shared" si="96"/>
        <v>400</v>
      </c>
      <c r="I253" s="40"/>
      <c r="J253" s="64">
        <f t="shared" si="95"/>
        <v>400</v>
      </c>
      <c r="K253" s="46"/>
    </row>
    <row r="254" ht="19.5" customHeight="1">
      <c r="A254" s="46">
        <v>12.0</v>
      </c>
      <c r="B254" s="37" t="s">
        <v>254</v>
      </c>
      <c r="C254" s="46" t="s">
        <v>108</v>
      </c>
      <c r="D254" s="123">
        <v>4000.0</v>
      </c>
      <c r="E254" s="37">
        <v>1.0</v>
      </c>
      <c r="F254" s="40"/>
      <c r="G254" s="40"/>
      <c r="H254" s="40">
        <f t="shared" si="96"/>
        <v>4000</v>
      </c>
      <c r="I254" s="40"/>
      <c r="J254" s="64">
        <f t="shared" si="95"/>
        <v>4000</v>
      </c>
      <c r="K254" s="46"/>
    </row>
    <row r="255" ht="19.5" customHeight="1">
      <c r="A255" s="46">
        <f t="shared" ref="A255:A261" si="97">A254+1</f>
        <v>13</v>
      </c>
      <c r="B255" s="37" t="s">
        <v>255</v>
      </c>
      <c r="C255" s="46" t="s">
        <v>108</v>
      </c>
      <c r="D255" s="123">
        <v>400.0</v>
      </c>
      <c r="E255" s="37">
        <v>19.0</v>
      </c>
      <c r="F255" s="40"/>
      <c r="G255" s="40"/>
      <c r="H255" s="40">
        <f t="shared" si="96"/>
        <v>7600</v>
      </c>
      <c r="I255" s="40"/>
      <c r="J255" s="64">
        <f t="shared" si="95"/>
        <v>7600</v>
      </c>
      <c r="K255" s="46"/>
    </row>
    <row r="256" ht="19.5" customHeight="1">
      <c r="A256" s="46">
        <f t="shared" si="97"/>
        <v>14</v>
      </c>
      <c r="B256" s="37" t="s">
        <v>256</v>
      </c>
      <c r="C256" s="46" t="s">
        <v>108</v>
      </c>
      <c r="D256" s="123">
        <v>100.0</v>
      </c>
      <c r="E256" s="37">
        <v>1.0</v>
      </c>
      <c r="F256" s="40"/>
      <c r="G256" s="40"/>
      <c r="H256" s="40">
        <f t="shared" si="96"/>
        <v>100</v>
      </c>
      <c r="I256" s="40"/>
      <c r="J256" s="64">
        <f t="shared" si="95"/>
        <v>100</v>
      </c>
      <c r="K256" s="46"/>
    </row>
    <row r="257" ht="19.5" customHeight="1">
      <c r="A257" s="46">
        <f t="shared" si="97"/>
        <v>15</v>
      </c>
      <c r="B257" s="37" t="s">
        <v>257</v>
      </c>
      <c r="C257" s="46" t="s">
        <v>106</v>
      </c>
      <c r="D257" s="123">
        <v>3.0</v>
      </c>
      <c r="E257" s="37">
        <v>1.0</v>
      </c>
      <c r="F257" s="40"/>
      <c r="G257" s="40"/>
      <c r="H257" s="40">
        <f t="shared" si="96"/>
        <v>3</v>
      </c>
      <c r="I257" s="40"/>
      <c r="J257" s="64">
        <f t="shared" si="95"/>
        <v>3</v>
      </c>
      <c r="K257" s="46"/>
    </row>
    <row r="258" ht="19.5" customHeight="1">
      <c r="A258" s="46">
        <f t="shared" si="97"/>
        <v>16</v>
      </c>
      <c r="B258" s="37" t="s">
        <v>258</v>
      </c>
      <c r="C258" s="46" t="s">
        <v>106</v>
      </c>
      <c r="D258" s="123">
        <v>12.0</v>
      </c>
      <c r="E258" s="37">
        <v>1.0</v>
      </c>
      <c r="F258" s="40"/>
      <c r="G258" s="40"/>
      <c r="H258" s="40">
        <f t="shared" si="96"/>
        <v>12</v>
      </c>
      <c r="I258" s="40"/>
      <c r="J258" s="64">
        <f t="shared" si="95"/>
        <v>12</v>
      </c>
      <c r="K258" s="46"/>
    </row>
    <row r="259" ht="19.5" customHeight="1">
      <c r="A259" s="46">
        <f t="shared" si="97"/>
        <v>17</v>
      </c>
      <c r="B259" s="37" t="s">
        <v>259</v>
      </c>
      <c r="C259" s="46" t="s">
        <v>108</v>
      </c>
      <c r="D259" s="123">
        <v>100.0</v>
      </c>
      <c r="E259" s="37">
        <v>1.0</v>
      </c>
      <c r="F259" s="40"/>
      <c r="G259" s="40"/>
      <c r="H259" s="40">
        <f t="shared" si="96"/>
        <v>100</v>
      </c>
      <c r="I259" s="40"/>
      <c r="J259" s="64">
        <f t="shared" si="95"/>
        <v>100</v>
      </c>
      <c r="K259" s="46"/>
    </row>
    <row r="260" ht="19.5" customHeight="1">
      <c r="A260" s="46">
        <f t="shared" si="97"/>
        <v>18</v>
      </c>
      <c r="B260" s="37" t="s">
        <v>260</v>
      </c>
      <c r="C260" s="46" t="s">
        <v>108</v>
      </c>
      <c r="D260" s="123">
        <v>60.0</v>
      </c>
      <c r="E260" s="37">
        <v>1.0</v>
      </c>
      <c r="F260" s="40"/>
      <c r="G260" s="40"/>
      <c r="H260" s="40">
        <f t="shared" si="96"/>
        <v>60</v>
      </c>
      <c r="I260" s="40"/>
      <c r="J260" s="64">
        <f t="shared" si="95"/>
        <v>60</v>
      </c>
      <c r="K260" s="46"/>
    </row>
    <row r="261" ht="19.5" customHeight="1">
      <c r="A261" s="46">
        <f t="shared" si="97"/>
        <v>19</v>
      </c>
      <c r="B261" s="37" t="s">
        <v>261</v>
      </c>
      <c r="C261" s="46" t="s">
        <v>106</v>
      </c>
      <c r="D261" s="123">
        <v>6.0</v>
      </c>
      <c r="E261" s="37">
        <v>1.0</v>
      </c>
      <c r="F261" s="40"/>
      <c r="G261" s="40"/>
      <c r="H261" s="40">
        <f t="shared" si="96"/>
        <v>6</v>
      </c>
      <c r="I261" s="40"/>
      <c r="J261" s="64">
        <f t="shared" si="95"/>
        <v>6</v>
      </c>
      <c r="K261" s="46"/>
    </row>
    <row r="262" ht="19.5" customHeight="1">
      <c r="A262" s="12"/>
      <c r="C262" s="12"/>
      <c r="D262" s="87"/>
      <c r="F262" s="14"/>
      <c r="G262" s="14"/>
      <c r="H262" s="14"/>
      <c r="I262" s="14"/>
      <c r="J262" s="14"/>
      <c r="K262" s="12"/>
    </row>
    <row r="263" ht="19.5" customHeight="1">
      <c r="A263" s="74" t="s">
        <v>1</v>
      </c>
      <c r="B263" s="74" t="s">
        <v>91</v>
      </c>
      <c r="C263" s="74" t="s">
        <v>92</v>
      </c>
      <c r="D263" s="76" t="s">
        <v>93</v>
      </c>
      <c r="E263" s="50" t="s">
        <v>161</v>
      </c>
      <c r="F263" s="53" t="s">
        <v>121</v>
      </c>
      <c r="G263" s="53" t="s">
        <v>99</v>
      </c>
      <c r="H263" s="53" t="s">
        <v>100</v>
      </c>
      <c r="I263" s="53" t="s">
        <v>101</v>
      </c>
      <c r="J263" s="76" t="s">
        <v>95</v>
      </c>
      <c r="K263" s="74" t="s">
        <v>96</v>
      </c>
    </row>
    <row r="264" ht="19.5" customHeight="1">
      <c r="A264" s="46">
        <v>1.0</v>
      </c>
      <c r="B264" s="37" t="s">
        <v>262</v>
      </c>
      <c r="C264" s="46" t="s">
        <v>108</v>
      </c>
      <c r="D264" s="78">
        <v>400.0</v>
      </c>
      <c r="E264" s="37">
        <v>1.0</v>
      </c>
      <c r="F264" s="78"/>
      <c r="G264" s="40"/>
      <c r="H264" s="40">
        <f t="shared" ref="H264:H287" si="98">E264*D264</f>
        <v>400</v>
      </c>
      <c r="I264" s="42"/>
      <c r="J264" s="64">
        <f t="shared" ref="J264:J287" si="99">H264</f>
        <v>400</v>
      </c>
      <c r="K264" s="46"/>
    </row>
    <row r="265" ht="19.5" customHeight="1">
      <c r="A265" s="46">
        <f t="shared" ref="A265:A287" si="100">A264+1</f>
        <v>2</v>
      </c>
      <c r="B265" s="37" t="s">
        <v>263</v>
      </c>
      <c r="C265" s="46" t="s">
        <v>108</v>
      </c>
      <c r="D265" s="123">
        <v>200.0</v>
      </c>
      <c r="E265" s="37">
        <v>1.0</v>
      </c>
      <c r="F265" s="40"/>
      <c r="G265" s="40"/>
      <c r="H265" s="40">
        <f t="shared" si="98"/>
        <v>200</v>
      </c>
      <c r="I265" s="40"/>
      <c r="J265" s="64">
        <f t="shared" si="99"/>
        <v>200</v>
      </c>
      <c r="K265" s="46"/>
    </row>
    <row r="266" ht="19.5" customHeight="1">
      <c r="A266" s="46">
        <f t="shared" si="100"/>
        <v>3</v>
      </c>
      <c r="B266" s="37" t="s">
        <v>264</v>
      </c>
      <c r="C266" s="46" t="s">
        <v>108</v>
      </c>
      <c r="D266" s="123">
        <v>100.0</v>
      </c>
      <c r="E266" s="37">
        <v>1.0</v>
      </c>
      <c r="F266" s="40"/>
      <c r="G266" s="40"/>
      <c r="H266" s="40">
        <f t="shared" si="98"/>
        <v>100</v>
      </c>
      <c r="I266" s="40"/>
      <c r="J266" s="64">
        <f t="shared" si="99"/>
        <v>100</v>
      </c>
      <c r="K266" s="46"/>
    </row>
    <row r="267" ht="19.5" customHeight="1">
      <c r="A267" s="46">
        <f t="shared" si="100"/>
        <v>4</v>
      </c>
      <c r="B267" s="37" t="s">
        <v>265</v>
      </c>
      <c r="C267" s="46" t="s">
        <v>106</v>
      </c>
      <c r="D267" s="123">
        <v>8.0</v>
      </c>
      <c r="E267" s="37">
        <v>1.0</v>
      </c>
      <c r="F267" s="40"/>
      <c r="G267" s="40"/>
      <c r="H267" s="40">
        <f t="shared" si="98"/>
        <v>8</v>
      </c>
      <c r="I267" s="40"/>
      <c r="J267" s="64">
        <f t="shared" si="99"/>
        <v>8</v>
      </c>
      <c r="K267" s="46"/>
    </row>
    <row r="268" ht="19.5" customHeight="1">
      <c r="A268" s="46">
        <f t="shared" si="100"/>
        <v>5</v>
      </c>
      <c r="B268" s="37" t="s">
        <v>266</v>
      </c>
      <c r="C268" s="46" t="s">
        <v>106</v>
      </c>
      <c r="D268" s="123">
        <v>12.0</v>
      </c>
      <c r="E268" s="37">
        <v>1.0</v>
      </c>
      <c r="F268" s="40"/>
      <c r="G268" s="40"/>
      <c r="H268" s="40">
        <f t="shared" si="98"/>
        <v>12</v>
      </c>
      <c r="I268" s="40"/>
      <c r="J268" s="64">
        <f t="shared" si="99"/>
        <v>12</v>
      </c>
      <c r="K268" s="46"/>
    </row>
    <row r="269" ht="19.5" customHeight="1">
      <c r="A269" s="46">
        <f t="shared" si="100"/>
        <v>6</v>
      </c>
      <c r="B269" s="37" t="s">
        <v>267</v>
      </c>
      <c r="C269" s="46" t="s">
        <v>106</v>
      </c>
      <c r="D269" s="123">
        <v>12.0</v>
      </c>
      <c r="E269" s="37">
        <v>1.0</v>
      </c>
      <c r="F269" s="40"/>
      <c r="G269" s="40"/>
      <c r="H269" s="40">
        <f t="shared" si="98"/>
        <v>12</v>
      </c>
      <c r="I269" s="40"/>
      <c r="J269" s="64">
        <f t="shared" si="99"/>
        <v>12</v>
      </c>
      <c r="K269" s="46"/>
    </row>
    <row r="270" ht="19.5" customHeight="1">
      <c r="A270" s="46">
        <f t="shared" si="100"/>
        <v>7</v>
      </c>
      <c r="B270" s="37" t="s">
        <v>268</v>
      </c>
      <c r="C270" s="46" t="s">
        <v>106</v>
      </c>
      <c r="D270" s="123">
        <v>12.0</v>
      </c>
      <c r="E270" s="37">
        <v>1.0</v>
      </c>
      <c r="F270" s="40"/>
      <c r="G270" s="40"/>
      <c r="H270" s="40">
        <f t="shared" si="98"/>
        <v>12</v>
      </c>
      <c r="I270" s="40"/>
      <c r="J270" s="64">
        <f t="shared" si="99"/>
        <v>12</v>
      </c>
      <c r="K270" s="46"/>
    </row>
    <row r="271" ht="19.5" customHeight="1">
      <c r="A271" s="46">
        <f t="shared" si="100"/>
        <v>8</v>
      </c>
      <c r="B271" s="37" t="s">
        <v>269</v>
      </c>
      <c r="C271" s="46" t="s">
        <v>106</v>
      </c>
      <c r="D271" s="123">
        <v>12.0</v>
      </c>
      <c r="E271" s="37">
        <v>1.0</v>
      </c>
      <c r="F271" s="40"/>
      <c r="G271" s="40"/>
      <c r="H271" s="40">
        <f t="shared" si="98"/>
        <v>12</v>
      </c>
      <c r="I271" s="40"/>
      <c r="J271" s="64">
        <f t="shared" si="99"/>
        <v>12</v>
      </c>
      <c r="K271" s="46"/>
    </row>
    <row r="272" ht="19.5" customHeight="1">
      <c r="A272" s="46">
        <f t="shared" si="100"/>
        <v>9</v>
      </c>
      <c r="B272" s="37" t="s">
        <v>270</v>
      </c>
      <c r="C272" s="46" t="s">
        <v>106</v>
      </c>
      <c r="D272" s="123">
        <v>12.0</v>
      </c>
      <c r="E272" s="37">
        <v>1.0</v>
      </c>
      <c r="F272" s="40"/>
      <c r="G272" s="40"/>
      <c r="H272" s="40">
        <f t="shared" si="98"/>
        <v>12</v>
      </c>
      <c r="I272" s="40"/>
      <c r="J272" s="64">
        <f t="shared" si="99"/>
        <v>12</v>
      </c>
      <c r="K272" s="46"/>
    </row>
    <row r="273" ht="19.5" customHeight="1">
      <c r="A273" s="46">
        <f t="shared" si="100"/>
        <v>10</v>
      </c>
      <c r="B273" s="37" t="s">
        <v>271</v>
      </c>
      <c r="C273" s="46" t="s">
        <v>106</v>
      </c>
      <c r="D273" s="123">
        <v>6.0</v>
      </c>
      <c r="E273" s="37">
        <v>1.0</v>
      </c>
      <c r="F273" s="40"/>
      <c r="G273" s="40"/>
      <c r="H273" s="40">
        <f t="shared" si="98"/>
        <v>6</v>
      </c>
      <c r="I273" s="40"/>
      <c r="J273" s="64">
        <f t="shared" si="99"/>
        <v>6</v>
      </c>
      <c r="K273" s="46"/>
    </row>
    <row r="274" ht="19.5" customHeight="1">
      <c r="A274" s="46">
        <f t="shared" si="100"/>
        <v>11</v>
      </c>
      <c r="B274" s="37" t="s">
        <v>272</v>
      </c>
      <c r="C274" s="46" t="s">
        <v>106</v>
      </c>
      <c r="D274" s="123">
        <v>6.0</v>
      </c>
      <c r="E274" s="37">
        <v>1.0</v>
      </c>
      <c r="F274" s="40"/>
      <c r="G274" s="40"/>
      <c r="H274" s="40">
        <f t="shared" si="98"/>
        <v>6</v>
      </c>
      <c r="I274" s="40"/>
      <c r="J274" s="64">
        <f t="shared" si="99"/>
        <v>6</v>
      </c>
      <c r="K274" s="46"/>
    </row>
    <row r="275" ht="19.5" customHeight="1">
      <c r="A275" s="46">
        <f t="shared" si="100"/>
        <v>12</v>
      </c>
      <c r="B275" s="37" t="s">
        <v>273</v>
      </c>
      <c r="C275" s="46" t="s">
        <v>106</v>
      </c>
      <c r="D275" s="123">
        <v>6.0</v>
      </c>
      <c r="E275" s="37">
        <v>1.0</v>
      </c>
      <c r="F275" s="40"/>
      <c r="G275" s="40"/>
      <c r="H275" s="40">
        <f t="shared" si="98"/>
        <v>6</v>
      </c>
      <c r="I275" s="40"/>
      <c r="J275" s="64">
        <f t="shared" si="99"/>
        <v>6</v>
      </c>
      <c r="K275" s="46"/>
    </row>
    <row r="276" ht="19.5" customHeight="1">
      <c r="A276" s="46">
        <f t="shared" si="100"/>
        <v>13</v>
      </c>
      <c r="B276" s="37" t="s">
        <v>274</v>
      </c>
      <c r="C276" s="46" t="s">
        <v>106</v>
      </c>
      <c r="D276" s="123">
        <v>6.0</v>
      </c>
      <c r="E276" s="37">
        <v>1.0</v>
      </c>
      <c r="F276" s="40"/>
      <c r="G276" s="40"/>
      <c r="H276" s="40">
        <f t="shared" si="98"/>
        <v>6</v>
      </c>
      <c r="I276" s="40"/>
      <c r="J276" s="64">
        <f t="shared" si="99"/>
        <v>6</v>
      </c>
      <c r="K276" s="46"/>
    </row>
    <row r="277" ht="19.5" customHeight="1">
      <c r="A277" s="46">
        <f t="shared" si="100"/>
        <v>14</v>
      </c>
      <c r="B277" s="37" t="s">
        <v>275</v>
      </c>
      <c r="C277" s="46" t="s">
        <v>106</v>
      </c>
      <c r="D277" s="123">
        <v>6.0</v>
      </c>
      <c r="E277" s="37">
        <v>1.0</v>
      </c>
      <c r="F277" s="40"/>
      <c r="G277" s="40"/>
      <c r="H277" s="40">
        <f t="shared" si="98"/>
        <v>6</v>
      </c>
      <c r="I277" s="40"/>
      <c r="J277" s="64">
        <f t="shared" si="99"/>
        <v>6</v>
      </c>
      <c r="K277" s="46"/>
    </row>
    <row r="278" ht="19.5" customHeight="1">
      <c r="A278" s="46">
        <f t="shared" si="100"/>
        <v>15</v>
      </c>
      <c r="B278" s="37" t="s">
        <v>276</v>
      </c>
      <c r="C278" s="46" t="s">
        <v>106</v>
      </c>
      <c r="D278" s="123">
        <v>6.0</v>
      </c>
      <c r="E278" s="37">
        <v>1.0</v>
      </c>
      <c r="F278" s="40"/>
      <c r="G278" s="40"/>
      <c r="H278" s="40">
        <f t="shared" si="98"/>
        <v>6</v>
      </c>
      <c r="I278" s="40"/>
      <c r="J278" s="64">
        <f t="shared" si="99"/>
        <v>6</v>
      </c>
      <c r="K278" s="46"/>
    </row>
    <row r="279" ht="19.5" customHeight="1">
      <c r="A279" s="46">
        <f t="shared" si="100"/>
        <v>16</v>
      </c>
      <c r="B279" s="37" t="s">
        <v>277</v>
      </c>
      <c r="C279" s="46" t="s">
        <v>106</v>
      </c>
      <c r="D279" s="123">
        <v>6.0</v>
      </c>
      <c r="E279" s="37">
        <v>1.0</v>
      </c>
      <c r="F279" s="40"/>
      <c r="G279" s="40"/>
      <c r="H279" s="40">
        <f t="shared" si="98"/>
        <v>6</v>
      </c>
      <c r="I279" s="40"/>
      <c r="J279" s="64">
        <f t="shared" si="99"/>
        <v>6</v>
      </c>
      <c r="K279" s="46"/>
    </row>
    <row r="280" ht="19.5" customHeight="1">
      <c r="A280" s="46">
        <f t="shared" si="100"/>
        <v>17</v>
      </c>
      <c r="B280" s="37" t="s">
        <v>278</v>
      </c>
      <c r="C280" s="46" t="s">
        <v>106</v>
      </c>
      <c r="D280" s="123">
        <v>6.0</v>
      </c>
      <c r="E280" s="37">
        <v>1.0</v>
      </c>
      <c r="F280" s="40"/>
      <c r="G280" s="40"/>
      <c r="H280" s="40">
        <f t="shared" si="98"/>
        <v>6</v>
      </c>
      <c r="I280" s="40"/>
      <c r="J280" s="64">
        <f t="shared" si="99"/>
        <v>6</v>
      </c>
      <c r="K280" s="46"/>
    </row>
    <row r="281" ht="19.5" customHeight="1">
      <c r="A281" s="46">
        <f t="shared" si="100"/>
        <v>18</v>
      </c>
      <c r="B281" s="37" t="s">
        <v>279</v>
      </c>
      <c r="C281" s="46" t="s">
        <v>106</v>
      </c>
      <c r="D281" s="123">
        <v>30.0</v>
      </c>
      <c r="E281" s="37">
        <v>1.0</v>
      </c>
      <c r="F281" s="40"/>
      <c r="G281" s="40"/>
      <c r="H281" s="40">
        <f t="shared" si="98"/>
        <v>30</v>
      </c>
      <c r="I281" s="40"/>
      <c r="J281" s="64">
        <f t="shared" si="99"/>
        <v>30</v>
      </c>
      <c r="K281" s="46"/>
    </row>
    <row r="282" ht="19.5" customHeight="1">
      <c r="A282" s="46">
        <f t="shared" si="100"/>
        <v>19</v>
      </c>
      <c r="B282" s="37" t="s">
        <v>280</v>
      </c>
      <c r="C282" s="46" t="s">
        <v>106</v>
      </c>
      <c r="D282" s="123">
        <v>25.0</v>
      </c>
      <c r="E282" s="37">
        <v>1.0</v>
      </c>
      <c r="F282" s="40"/>
      <c r="G282" s="40"/>
      <c r="H282" s="40">
        <f t="shared" si="98"/>
        <v>25</v>
      </c>
      <c r="I282" s="40"/>
      <c r="J282" s="64">
        <f t="shared" si="99"/>
        <v>25</v>
      </c>
      <c r="K282" s="46"/>
    </row>
    <row r="283" ht="19.5" customHeight="1">
      <c r="A283" s="46">
        <f t="shared" si="100"/>
        <v>20</v>
      </c>
      <c r="B283" s="37" t="s">
        <v>281</v>
      </c>
      <c r="C283" s="46" t="s">
        <v>106</v>
      </c>
      <c r="D283" s="123">
        <v>6.0</v>
      </c>
      <c r="E283" s="37">
        <v>1.0</v>
      </c>
      <c r="F283" s="40"/>
      <c r="G283" s="40"/>
      <c r="H283" s="40">
        <f t="shared" si="98"/>
        <v>6</v>
      </c>
      <c r="I283" s="40"/>
      <c r="J283" s="64">
        <f t="shared" si="99"/>
        <v>6</v>
      </c>
      <c r="K283" s="46"/>
    </row>
    <row r="284" ht="19.5" customHeight="1">
      <c r="A284" s="46">
        <f t="shared" si="100"/>
        <v>21</v>
      </c>
      <c r="B284" s="37" t="s">
        <v>378</v>
      </c>
      <c r="C284" s="46" t="s">
        <v>106</v>
      </c>
      <c r="D284" s="123">
        <v>6.0</v>
      </c>
      <c r="E284" s="37">
        <v>1.0</v>
      </c>
      <c r="F284" s="40"/>
      <c r="G284" s="40"/>
      <c r="H284" s="40">
        <f t="shared" si="98"/>
        <v>6</v>
      </c>
      <c r="I284" s="40"/>
      <c r="J284" s="64">
        <f t="shared" si="99"/>
        <v>6</v>
      </c>
      <c r="K284" s="46"/>
    </row>
    <row r="285" ht="19.5" customHeight="1">
      <c r="A285" s="46">
        <f t="shared" si="100"/>
        <v>22</v>
      </c>
      <c r="B285" s="37" t="s">
        <v>284</v>
      </c>
      <c r="C285" s="46" t="s">
        <v>106</v>
      </c>
      <c r="D285" s="123"/>
      <c r="E285" s="37">
        <v>1.0</v>
      </c>
      <c r="F285" s="40"/>
      <c r="G285" s="40"/>
      <c r="H285" s="40">
        <f t="shared" si="98"/>
        <v>0</v>
      </c>
      <c r="I285" s="40"/>
      <c r="J285" s="64">
        <f t="shared" si="99"/>
        <v>0</v>
      </c>
      <c r="K285" s="46"/>
    </row>
    <row r="286" ht="19.5" customHeight="1">
      <c r="A286" s="46">
        <f t="shared" si="100"/>
        <v>23</v>
      </c>
      <c r="B286" s="37" t="s">
        <v>285</v>
      </c>
      <c r="C286" s="46" t="s">
        <v>106</v>
      </c>
      <c r="D286" s="123">
        <v>3.0</v>
      </c>
      <c r="E286" s="37">
        <v>1.0</v>
      </c>
      <c r="F286" s="40"/>
      <c r="G286" s="40"/>
      <c r="H286" s="40">
        <f t="shared" si="98"/>
        <v>3</v>
      </c>
      <c r="I286" s="40"/>
      <c r="J286" s="64">
        <f t="shared" si="99"/>
        <v>3</v>
      </c>
      <c r="K286" s="79"/>
    </row>
    <row r="287" ht="19.5" customHeight="1">
      <c r="A287" s="46">
        <f t="shared" si="100"/>
        <v>24</v>
      </c>
      <c r="B287" s="37" t="s">
        <v>286</v>
      </c>
      <c r="C287" s="46" t="s">
        <v>106</v>
      </c>
      <c r="D287" s="123"/>
      <c r="E287" s="37">
        <v>1.0</v>
      </c>
      <c r="F287" s="40"/>
      <c r="G287" s="40"/>
      <c r="H287" s="40">
        <f t="shared" si="98"/>
        <v>0</v>
      </c>
      <c r="I287" s="40"/>
      <c r="J287" s="64">
        <f t="shared" si="99"/>
        <v>0</v>
      </c>
      <c r="K287" s="79"/>
    </row>
    <row r="288" ht="19.5" customHeight="1">
      <c r="A288" s="74" t="s">
        <v>1</v>
      </c>
      <c r="B288" s="74" t="s">
        <v>91</v>
      </c>
      <c r="C288" s="74" t="s">
        <v>92</v>
      </c>
      <c r="D288" s="76" t="s">
        <v>93</v>
      </c>
      <c r="E288" s="50" t="s">
        <v>161</v>
      </c>
      <c r="F288" s="53" t="s">
        <v>121</v>
      </c>
      <c r="G288" s="53" t="s">
        <v>99</v>
      </c>
      <c r="H288" s="53" t="s">
        <v>100</v>
      </c>
      <c r="I288" s="53" t="s">
        <v>101</v>
      </c>
      <c r="J288" s="76" t="s">
        <v>95</v>
      </c>
      <c r="K288" s="74" t="s">
        <v>96</v>
      </c>
    </row>
    <row r="289" ht="19.5" customHeight="1">
      <c r="A289" s="46">
        <v>1.0</v>
      </c>
      <c r="B289" s="37" t="s">
        <v>287</v>
      </c>
      <c r="C289" s="46" t="s">
        <v>108</v>
      </c>
      <c r="D289" s="78">
        <v>0.0</v>
      </c>
      <c r="E289" s="37">
        <v>1.0</v>
      </c>
      <c r="F289" s="78"/>
      <c r="G289" s="40"/>
      <c r="H289" s="40">
        <f t="shared" ref="H289:H330" si="101">E289*D289</f>
        <v>0</v>
      </c>
      <c r="I289" s="42"/>
      <c r="J289" s="64">
        <f t="shared" ref="J289:J330" si="102">H289</f>
        <v>0</v>
      </c>
      <c r="K289" s="46"/>
    </row>
    <row r="290" ht="19.5" customHeight="1">
      <c r="A290" s="46">
        <f t="shared" ref="A290:A330" si="103">A289+1</f>
        <v>2</v>
      </c>
      <c r="B290" s="37" t="s">
        <v>288</v>
      </c>
      <c r="C290" s="46" t="s">
        <v>108</v>
      </c>
      <c r="D290" s="78">
        <v>100.0</v>
      </c>
      <c r="E290" s="37">
        <v>1.0</v>
      </c>
      <c r="F290" s="78"/>
      <c r="G290" s="40"/>
      <c r="H290" s="40">
        <f t="shared" si="101"/>
        <v>100</v>
      </c>
      <c r="I290" s="42"/>
      <c r="J290" s="64">
        <f t="shared" si="102"/>
        <v>100</v>
      </c>
      <c r="K290" s="46"/>
    </row>
    <row r="291" ht="19.5" customHeight="1">
      <c r="A291" s="46">
        <f t="shared" si="103"/>
        <v>3</v>
      </c>
      <c r="B291" s="37" t="s">
        <v>289</v>
      </c>
      <c r="C291" s="46" t="s">
        <v>108</v>
      </c>
      <c r="D291" s="78">
        <v>50.0</v>
      </c>
      <c r="E291" s="37">
        <v>1.0</v>
      </c>
      <c r="F291" s="78"/>
      <c r="G291" s="40"/>
      <c r="H291" s="40">
        <f t="shared" si="101"/>
        <v>50</v>
      </c>
      <c r="I291" s="42"/>
      <c r="J291" s="64">
        <f t="shared" si="102"/>
        <v>50</v>
      </c>
      <c r="K291" s="46"/>
    </row>
    <row r="292" ht="19.5" customHeight="1">
      <c r="A292" s="46">
        <f t="shared" si="103"/>
        <v>4</v>
      </c>
      <c r="B292" s="37" t="s">
        <v>263</v>
      </c>
      <c r="C292" s="46" t="s">
        <v>108</v>
      </c>
      <c r="D292" s="78">
        <v>100.0</v>
      </c>
      <c r="E292" s="37">
        <v>1.0</v>
      </c>
      <c r="F292" s="78"/>
      <c r="G292" s="40"/>
      <c r="H292" s="40">
        <f t="shared" si="101"/>
        <v>100</v>
      </c>
      <c r="I292" s="42"/>
      <c r="J292" s="64">
        <f t="shared" si="102"/>
        <v>100</v>
      </c>
      <c r="K292" s="46"/>
    </row>
    <row r="293" ht="19.5" customHeight="1">
      <c r="A293" s="46">
        <f t="shared" si="103"/>
        <v>5</v>
      </c>
      <c r="B293" s="37" t="s">
        <v>264</v>
      </c>
      <c r="C293" s="46" t="s">
        <v>108</v>
      </c>
      <c r="D293" s="123">
        <v>100.0</v>
      </c>
      <c r="E293" s="37">
        <v>1.0</v>
      </c>
      <c r="F293" s="40"/>
      <c r="G293" s="40"/>
      <c r="H293" s="40">
        <f t="shared" si="101"/>
        <v>100</v>
      </c>
      <c r="I293" s="40"/>
      <c r="J293" s="64">
        <f t="shared" si="102"/>
        <v>100</v>
      </c>
      <c r="K293" s="46"/>
    </row>
    <row r="294" ht="19.5" customHeight="1">
      <c r="A294" s="46">
        <f t="shared" si="103"/>
        <v>6</v>
      </c>
      <c r="B294" s="37" t="s">
        <v>290</v>
      </c>
      <c r="C294" s="46" t="s">
        <v>108</v>
      </c>
      <c r="D294" s="123">
        <v>160.0</v>
      </c>
      <c r="E294" s="37">
        <v>1.0</v>
      </c>
      <c r="F294" s="40"/>
      <c r="G294" s="40"/>
      <c r="H294" s="40">
        <f t="shared" si="101"/>
        <v>160</v>
      </c>
      <c r="I294" s="40"/>
      <c r="J294" s="64">
        <f t="shared" si="102"/>
        <v>160</v>
      </c>
      <c r="K294" s="46"/>
    </row>
    <row r="295" ht="19.5" customHeight="1">
      <c r="A295" s="46">
        <f t="shared" si="103"/>
        <v>7</v>
      </c>
      <c r="B295" s="37" t="s">
        <v>291</v>
      </c>
      <c r="C295" s="46" t="s">
        <v>108</v>
      </c>
      <c r="D295" s="123">
        <v>200.0</v>
      </c>
      <c r="E295" s="37">
        <v>1.0</v>
      </c>
      <c r="F295" s="40"/>
      <c r="G295" s="40"/>
      <c r="H295" s="40">
        <f t="shared" si="101"/>
        <v>200</v>
      </c>
      <c r="I295" s="40"/>
      <c r="J295" s="64">
        <f t="shared" si="102"/>
        <v>200</v>
      </c>
      <c r="K295" s="46"/>
    </row>
    <row r="296" ht="19.5" customHeight="1">
      <c r="A296" s="46">
        <f t="shared" si="103"/>
        <v>8</v>
      </c>
      <c r="B296" s="37" t="s">
        <v>292</v>
      </c>
      <c r="C296" s="46" t="s">
        <v>106</v>
      </c>
      <c r="D296" s="123">
        <v>0.0</v>
      </c>
      <c r="E296" s="37">
        <v>1.0</v>
      </c>
      <c r="F296" s="40"/>
      <c r="G296" s="40"/>
      <c r="H296" s="40">
        <f t="shared" si="101"/>
        <v>0</v>
      </c>
      <c r="I296" s="40"/>
      <c r="J296" s="64">
        <f t="shared" si="102"/>
        <v>0</v>
      </c>
      <c r="K296" s="46"/>
    </row>
    <row r="297" ht="19.5" customHeight="1">
      <c r="A297" s="46">
        <f t="shared" si="103"/>
        <v>9</v>
      </c>
      <c r="B297" s="37" t="s">
        <v>293</v>
      </c>
      <c r="C297" s="46" t="s">
        <v>106</v>
      </c>
      <c r="D297" s="123">
        <v>4.0</v>
      </c>
      <c r="E297" s="37">
        <v>1.0</v>
      </c>
      <c r="F297" s="40"/>
      <c r="G297" s="40"/>
      <c r="H297" s="40">
        <f t="shared" si="101"/>
        <v>4</v>
      </c>
      <c r="I297" s="40"/>
      <c r="J297" s="64">
        <f t="shared" si="102"/>
        <v>4</v>
      </c>
      <c r="K297" s="46"/>
    </row>
    <row r="298" ht="19.5" customHeight="1">
      <c r="A298" s="46">
        <f t="shared" si="103"/>
        <v>10</v>
      </c>
      <c r="B298" s="37" t="s">
        <v>294</v>
      </c>
      <c r="C298" s="46" t="s">
        <v>106</v>
      </c>
      <c r="D298" s="123">
        <v>4.0</v>
      </c>
      <c r="E298" s="37">
        <v>1.0</v>
      </c>
      <c r="F298" s="40"/>
      <c r="G298" s="40"/>
      <c r="H298" s="40">
        <f t="shared" si="101"/>
        <v>4</v>
      </c>
      <c r="I298" s="40"/>
      <c r="J298" s="64">
        <f t="shared" si="102"/>
        <v>4</v>
      </c>
      <c r="K298" s="46"/>
    </row>
    <row r="299" ht="19.5" customHeight="1">
      <c r="A299" s="46">
        <f t="shared" si="103"/>
        <v>11</v>
      </c>
      <c r="B299" s="37" t="s">
        <v>295</v>
      </c>
      <c r="C299" s="46" t="s">
        <v>106</v>
      </c>
      <c r="D299" s="123">
        <v>4.0</v>
      </c>
      <c r="E299" s="37">
        <v>1.0</v>
      </c>
      <c r="F299" s="40"/>
      <c r="G299" s="40"/>
      <c r="H299" s="40">
        <f t="shared" si="101"/>
        <v>4</v>
      </c>
      <c r="I299" s="40"/>
      <c r="J299" s="64">
        <f t="shared" si="102"/>
        <v>4</v>
      </c>
      <c r="K299" s="46"/>
    </row>
    <row r="300" ht="19.5" customHeight="1">
      <c r="A300" s="46">
        <f t="shared" si="103"/>
        <v>12</v>
      </c>
      <c r="B300" s="37" t="s">
        <v>270</v>
      </c>
      <c r="C300" s="46" t="s">
        <v>106</v>
      </c>
      <c r="D300" s="123">
        <v>4.0</v>
      </c>
      <c r="E300" s="37">
        <v>1.0</v>
      </c>
      <c r="F300" s="40"/>
      <c r="G300" s="40"/>
      <c r="H300" s="40">
        <f t="shared" si="101"/>
        <v>4</v>
      </c>
      <c r="I300" s="40"/>
      <c r="J300" s="64">
        <f t="shared" si="102"/>
        <v>4</v>
      </c>
      <c r="K300" s="46"/>
    </row>
    <row r="301" ht="19.5" customHeight="1">
      <c r="A301" s="46">
        <f t="shared" si="103"/>
        <v>13</v>
      </c>
      <c r="B301" s="37" t="s">
        <v>296</v>
      </c>
      <c r="C301" s="46" t="s">
        <v>106</v>
      </c>
      <c r="D301" s="123">
        <v>20.0</v>
      </c>
      <c r="E301" s="37">
        <v>2.0</v>
      </c>
      <c r="F301" s="40"/>
      <c r="G301" s="40"/>
      <c r="H301" s="40">
        <f t="shared" si="101"/>
        <v>40</v>
      </c>
      <c r="I301" s="40"/>
      <c r="J301" s="64">
        <f t="shared" si="102"/>
        <v>40</v>
      </c>
      <c r="K301" s="46"/>
    </row>
    <row r="302" ht="19.5" customHeight="1">
      <c r="A302" s="46">
        <f t="shared" si="103"/>
        <v>14</v>
      </c>
      <c r="B302" s="37" t="s">
        <v>297</v>
      </c>
      <c r="C302" s="46" t="s">
        <v>106</v>
      </c>
      <c r="D302" s="123">
        <v>20.0</v>
      </c>
      <c r="E302" s="37">
        <v>2.0</v>
      </c>
      <c r="F302" s="40"/>
      <c r="G302" s="40"/>
      <c r="H302" s="40">
        <f t="shared" si="101"/>
        <v>40</v>
      </c>
      <c r="I302" s="40"/>
      <c r="J302" s="64">
        <f t="shared" si="102"/>
        <v>40</v>
      </c>
      <c r="K302" s="46"/>
    </row>
    <row r="303" ht="19.5" customHeight="1">
      <c r="A303" s="46">
        <f t="shared" si="103"/>
        <v>15</v>
      </c>
      <c r="B303" s="37" t="s">
        <v>298</v>
      </c>
      <c r="C303" s="46" t="s">
        <v>106</v>
      </c>
      <c r="D303" s="123">
        <v>4.0</v>
      </c>
      <c r="E303" s="37">
        <v>1.0</v>
      </c>
      <c r="F303" s="40"/>
      <c r="G303" s="40"/>
      <c r="H303" s="40">
        <f t="shared" si="101"/>
        <v>4</v>
      </c>
      <c r="I303" s="40"/>
      <c r="J303" s="64">
        <f t="shared" si="102"/>
        <v>4</v>
      </c>
      <c r="K303" s="46"/>
    </row>
    <row r="304" ht="19.5" customHeight="1">
      <c r="A304" s="46">
        <f t="shared" si="103"/>
        <v>16</v>
      </c>
      <c r="B304" s="37" t="s">
        <v>299</v>
      </c>
      <c r="C304" s="46" t="s">
        <v>106</v>
      </c>
      <c r="D304" s="123">
        <v>4.0</v>
      </c>
      <c r="E304" s="37">
        <v>1.0</v>
      </c>
      <c r="F304" s="40"/>
      <c r="G304" s="40"/>
      <c r="H304" s="40">
        <f t="shared" si="101"/>
        <v>4</v>
      </c>
      <c r="I304" s="40"/>
      <c r="J304" s="64">
        <f t="shared" si="102"/>
        <v>4</v>
      </c>
      <c r="K304" s="46"/>
    </row>
    <row r="305" ht="19.5" customHeight="1">
      <c r="A305" s="46">
        <f t="shared" si="103"/>
        <v>17</v>
      </c>
      <c r="B305" s="37" t="s">
        <v>300</v>
      </c>
      <c r="C305" s="46" t="s">
        <v>106</v>
      </c>
      <c r="D305" s="123">
        <v>4.0</v>
      </c>
      <c r="E305" s="37">
        <v>1.0</v>
      </c>
      <c r="F305" s="40"/>
      <c r="G305" s="40"/>
      <c r="H305" s="40">
        <f t="shared" si="101"/>
        <v>4</v>
      </c>
      <c r="I305" s="40"/>
      <c r="J305" s="64">
        <f t="shared" si="102"/>
        <v>4</v>
      </c>
      <c r="K305" s="46"/>
    </row>
    <row r="306" ht="19.5" customHeight="1">
      <c r="A306" s="46">
        <f t="shared" si="103"/>
        <v>18</v>
      </c>
      <c r="B306" s="37" t="s">
        <v>301</v>
      </c>
      <c r="C306" s="46" t="s">
        <v>106</v>
      </c>
      <c r="D306" s="123">
        <v>4.0</v>
      </c>
      <c r="E306" s="37">
        <v>1.0</v>
      </c>
      <c r="F306" s="40"/>
      <c r="G306" s="40"/>
      <c r="H306" s="40">
        <f t="shared" si="101"/>
        <v>4</v>
      </c>
      <c r="I306" s="40"/>
      <c r="J306" s="64">
        <f t="shared" si="102"/>
        <v>4</v>
      </c>
      <c r="K306" s="46"/>
    </row>
    <row r="307" ht="19.5" customHeight="1">
      <c r="A307" s="46">
        <f t="shared" si="103"/>
        <v>19</v>
      </c>
      <c r="B307" s="37" t="s">
        <v>302</v>
      </c>
      <c r="C307" s="46" t="s">
        <v>106</v>
      </c>
      <c r="D307" s="123">
        <v>4.0</v>
      </c>
      <c r="E307" s="37">
        <v>1.0</v>
      </c>
      <c r="F307" s="40"/>
      <c r="G307" s="40"/>
      <c r="H307" s="40">
        <f t="shared" si="101"/>
        <v>4</v>
      </c>
      <c r="I307" s="40"/>
      <c r="J307" s="64">
        <f t="shared" si="102"/>
        <v>4</v>
      </c>
      <c r="K307" s="46"/>
    </row>
    <row r="308" ht="19.5" customHeight="1">
      <c r="A308" s="46">
        <f t="shared" si="103"/>
        <v>20</v>
      </c>
      <c r="B308" s="37" t="s">
        <v>303</v>
      </c>
      <c r="C308" s="46" t="s">
        <v>106</v>
      </c>
      <c r="D308" s="123">
        <v>20.0</v>
      </c>
      <c r="E308" s="37">
        <v>1.0</v>
      </c>
      <c r="F308" s="40"/>
      <c r="G308" s="40"/>
      <c r="H308" s="40">
        <f t="shared" si="101"/>
        <v>20</v>
      </c>
      <c r="I308" s="40"/>
      <c r="J308" s="64">
        <f t="shared" si="102"/>
        <v>20</v>
      </c>
      <c r="K308" s="46"/>
    </row>
    <row r="309" ht="19.5" customHeight="1">
      <c r="A309" s="46">
        <f t="shared" si="103"/>
        <v>21</v>
      </c>
      <c r="B309" s="37" t="s">
        <v>304</v>
      </c>
      <c r="C309" s="46" t="s">
        <v>106</v>
      </c>
      <c r="D309" s="123">
        <v>20.0</v>
      </c>
      <c r="E309" s="37">
        <v>1.0</v>
      </c>
      <c r="F309" s="40"/>
      <c r="G309" s="40"/>
      <c r="H309" s="40">
        <f t="shared" si="101"/>
        <v>20</v>
      </c>
      <c r="I309" s="40"/>
      <c r="J309" s="64">
        <f t="shared" si="102"/>
        <v>20</v>
      </c>
      <c r="K309" s="46"/>
    </row>
    <row r="310" ht="19.5" customHeight="1">
      <c r="A310" s="46">
        <f t="shared" si="103"/>
        <v>22</v>
      </c>
      <c r="B310" s="37" t="s">
        <v>305</v>
      </c>
      <c r="C310" s="46" t="s">
        <v>106</v>
      </c>
      <c r="D310" s="123">
        <v>0.0</v>
      </c>
      <c r="E310" s="37">
        <v>1.0</v>
      </c>
      <c r="F310" s="40"/>
      <c r="G310" s="40"/>
      <c r="H310" s="40">
        <f t="shared" si="101"/>
        <v>0</v>
      </c>
      <c r="I310" s="40"/>
      <c r="J310" s="64">
        <f t="shared" si="102"/>
        <v>0</v>
      </c>
      <c r="K310" s="46"/>
    </row>
    <row r="311" ht="19.5" customHeight="1">
      <c r="A311" s="46">
        <f t="shared" si="103"/>
        <v>23</v>
      </c>
      <c r="B311" s="37" t="s">
        <v>306</v>
      </c>
      <c r="C311" s="46" t="s">
        <v>106</v>
      </c>
      <c r="D311" s="123">
        <v>2.0</v>
      </c>
      <c r="E311" s="37">
        <v>1.0</v>
      </c>
      <c r="F311" s="40"/>
      <c r="G311" s="40"/>
      <c r="H311" s="40">
        <f t="shared" si="101"/>
        <v>2</v>
      </c>
      <c r="I311" s="40"/>
      <c r="J311" s="64">
        <f t="shared" si="102"/>
        <v>2</v>
      </c>
      <c r="K311" s="46"/>
    </row>
    <row r="312" ht="19.5" customHeight="1">
      <c r="A312" s="46">
        <f t="shared" si="103"/>
        <v>24</v>
      </c>
      <c r="B312" s="37" t="s">
        <v>307</v>
      </c>
      <c r="C312" s="46" t="s">
        <v>106</v>
      </c>
      <c r="D312" s="123">
        <v>2.0</v>
      </c>
      <c r="E312" s="37">
        <v>1.0</v>
      </c>
      <c r="F312" s="40"/>
      <c r="G312" s="40"/>
      <c r="H312" s="40">
        <f t="shared" si="101"/>
        <v>2</v>
      </c>
      <c r="I312" s="40"/>
      <c r="J312" s="64">
        <f t="shared" si="102"/>
        <v>2</v>
      </c>
      <c r="K312" s="46"/>
    </row>
    <row r="313" ht="19.5" customHeight="1">
      <c r="A313" s="46">
        <f t="shared" si="103"/>
        <v>25</v>
      </c>
      <c r="B313" s="37" t="s">
        <v>308</v>
      </c>
      <c r="C313" s="46" t="s">
        <v>106</v>
      </c>
      <c r="D313" s="123">
        <v>2.0</v>
      </c>
      <c r="E313" s="37">
        <v>1.0</v>
      </c>
      <c r="F313" s="40"/>
      <c r="G313" s="40"/>
      <c r="H313" s="40">
        <f t="shared" si="101"/>
        <v>2</v>
      </c>
      <c r="I313" s="40"/>
      <c r="J313" s="64">
        <f t="shared" si="102"/>
        <v>2</v>
      </c>
      <c r="K313" s="46"/>
    </row>
    <row r="314" ht="19.5" customHeight="1">
      <c r="A314" s="46">
        <f t="shared" si="103"/>
        <v>26</v>
      </c>
      <c r="B314" s="37" t="s">
        <v>309</v>
      </c>
      <c r="C314" s="46" t="s">
        <v>106</v>
      </c>
      <c r="D314" s="123">
        <v>4.0</v>
      </c>
      <c r="E314" s="37">
        <v>1.0</v>
      </c>
      <c r="F314" s="40"/>
      <c r="G314" s="40"/>
      <c r="H314" s="40">
        <f t="shared" si="101"/>
        <v>4</v>
      </c>
      <c r="I314" s="40"/>
      <c r="J314" s="64">
        <f t="shared" si="102"/>
        <v>4</v>
      </c>
      <c r="K314" s="46"/>
    </row>
    <row r="315" ht="19.5" customHeight="1">
      <c r="A315" s="46">
        <f t="shared" si="103"/>
        <v>27</v>
      </c>
      <c r="B315" s="37" t="s">
        <v>310</v>
      </c>
      <c r="C315" s="46" t="s">
        <v>106</v>
      </c>
      <c r="D315" s="123">
        <v>20.0</v>
      </c>
      <c r="E315" s="37">
        <v>1.0</v>
      </c>
      <c r="F315" s="40"/>
      <c r="G315" s="40"/>
      <c r="H315" s="40">
        <f t="shared" si="101"/>
        <v>20</v>
      </c>
      <c r="I315" s="40"/>
      <c r="J315" s="64">
        <f t="shared" si="102"/>
        <v>20</v>
      </c>
      <c r="K315" s="46"/>
    </row>
    <row r="316" ht="19.5" customHeight="1">
      <c r="A316" s="46">
        <f t="shared" si="103"/>
        <v>28</v>
      </c>
      <c r="B316" s="37" t="s">
        <v>311</v>
      </c>
      <c r="C316" s="46" t="s">
        <v>106</v>
      </c>
      <c r="D316" s="123">
        <v>20.0</v>
      </c>
      <c r="E316" s="37">
        <v>1.0</v>
      </c>
      <c r="F316" s="40"/>
      <c r="G316" s="40"/>
      <c r="H316" s="40">
        <f t="shared" si="101"/>
        <v>20</v>
      </c>
      <c r="I316" s="40"/>
      <c r="J316" s="64">
        <f t="shared" si="102"/>
        <v>20</v>
      </c>
      <c r="K316" s="46"/>
    </row>
    <row r="317" ht="19.5" customHeight="1">
      <c r="A317" s="46">
        <f t="shared" si="103"/>
        <v>29</v>
      </c>
      <c r="B317" s="37" t="s">
        <v>312</v>
      </c>
      <c r="C317" s="46" t="s">
        <v>106</v>
      </c>
      <c r="D317" s="123">
        <v>20.0</v>
      </c>
      <c r="E317" s="37">
        <v>1.0</v>
      </c>
      <c r="F317" s="40"/>
      <c r="G317" s="40"/>
      <c r="H317" s="40">
        <f t="shared" si="101"/>
        <v>20</v>
      </c>
      <c r="I317" s="40"/>
      <c r="J317" s="64">
        <f t="shared" si="102"/>
        <v>20</v>
      </c>
      <c r="K317" s="46"/>
    </row>
    <row r="318" ht="19.5" customHeight="1">
      <c r="A318" s="46">
        <f t="shared" si="103"/>
        <v>30</v>
      </c>
      <c r="B318" s="37" t="s">
        <v>313</v>
      </c>
      <c r="C318" s="46" t="s">
        <v>106</v>
      </c>
      <c r="D318" s="123">
        <v>20.0</v>
      </c>
      <c r="E318" s="37">
        <v>1.0</v>
      </c>
      <c r="F318" s="40"/>
      <c r="G318" s="40"/>
      <c r="H318" s="40">
        <f t="shared" si="101"/>
        <v>20</v>
      </c>
      <c r="I318" s="40"/>
      <c r="J318" s="64">
        <f t="shared" si="102"/>
        <v>20</v>
      </c>
      <c r="K318" s="46"/>
    </row>
    <row r="319" ht="19.5" customHeight="1">
      <c r="A319" s="46">
        <f t="shared" si="103"/>
        <v>31</v>
      </c>
      <c r="B319" s="37" t="s">
        <v>314</v>
      </c>
      <c r="C319" s="46" t="s">
        <v>106</v>
      </c>
      <c r="D319" s="123">
        <v>10.0</v>
      </c>
      <c r="E319" s="37">
        <v>1.0</v>
      </c>
      <c r="F319" s="40"/>
      <c r="G319" s="40"/>
      <c r="H319" s="40">
        <f t="shared" si="101"/>
        <v>10</v>
      </c>
      <c r="I319" s="40"/>
      <c r="J319" s="64">
        <f t="shared" si="102"/>
        <v>10</v>
      </c>
      <c r="K319" s="46"/>
    </row>
    <row r="320" ht="19.5" customHeight="1">
      <c r="A320" s="46">
        <f t="shared" si="103"/>
        <v>32</v>
      </c>
      <c r="B320" s="37" t="s">
        <v>315</v>
      </c>
      <c r="C320" s="46" t="s">
        <v>106</v>
      </c>
      <c r="D320" s="123">
        <v>4.0</v>
      </c>
      <c r="E320" s="37">
        <v>1.0</v>
      </c>
      <c r="F320" s="40"/>
      <c r="G320" s="40"/>
      <c r="H320" s="40">
        <f t="shared" si="101"/>
        <v>4</v>
      </c>
      <c r="I320" s="40"/>
      <c r="J320" s="64">
        <f t="shared" si="102"/>
        <v>4</v>
      </c>
      <c r="K320" s="46"/>
    </row>
    <row r="321" ht="19.5" customHeight="1">
      <c r="A321" s="46">
        <f t="shared" si="103"/>
        <v>33</v>
      </c>
      <c r="B321" s="37" t="s">
        <v>316</v>
      </c>
      <c r="C321" s="46" t="s">
        <v>106</v>
      </c>
      <c r="D321" s="123">
        <v>6.0</v>
      </c>
      <c r="E321" s="37">
        <v>1.0</v>
      </c>
      <c r="F321" s="40"/>
      <c r="G321" s="40"/>
      <c r="H321" s="40">
        <f t="shared" si="101"/>
        <v>6</v>
      </c>
      <c r="I321" s="40"/>
      <c r="J321" s="64">
        <f t="shared" si="102"/>
        <v>6</v>
      </c>
      <c r="K321" s="46"/>
    </row>
    <row r="322" ht="19.5" customHeight="1">
      <c r="A322" s="46">
        <f t="shared" si="103"/>
        <v>34</v>
      </c>
      <c r="B322" s="37" t="s">
        <v>317</v>
      </c>
      <c r="C322" s="46" t="s">
        <v>106</v>
      </c>
      <c r="D322" s="123">
        <v>3.0</v>
      </c>
      <c r="E322" s="37">
        <v>1.0</v>
      </c>
      <c r="F322" s="40"/>
      <c r="G322" s="40"/>
      <c r="H322" s="40">
        <f t="shared" si="101"/>
        <v>3</v>
      </c>
      <c r="I322" s="40"/>
      <c r="J322" s="64">
        <f t="shared" si="102"/>
        <v>3</v>
      </c>
      <c r="K322" s="46"/>
    </row>
    <row r="323" ht="19.5" customHeight="1">
      <c r="A323" s="46">
        <f t="shared" si="103"/>
        <v>35</v>
      </c>
      <c r="B323" s="37" t="s">
        <v>318</v>
      </c>
      <c r="C323" s="46" t="s">
        <v>106</v>
      </c>
      <c r="D323" s="123">
        <v>1.0</v>
      </c>
      <c r="E323" s="37">
        <v>1.0</v>
      </c>
      <c r="F323" s="40"/>
      <c r="G323" s="40"/>
      <c r="H323" s="40">
        <f t="shared" si="101"/>
        <v>1</v>
      </c>
      <c r="I323" s="40"/>
      <c r="J323" s="64">
        <f t="shared" si="102"/>
        <v>1</v>
      </c>
      <c r="K323" s="46"/>
    </row>
    <row r="324" ht="19.5" customHeight="1">
      <c r="A324" s="46">
        <f t="shared" si="103"/>
        <v>36</v>
      </c>
      <c r="B324" s="37" t="s">
        <v>319</v>
      </c>
      <c r="C324" s="46" t="s">
        <v>106</v>
      </c>
      <c r="D324" s="123">
        <v>30.0</v>
      </c>
      <c r="E324" s="37">
        <v>1.0</v>
      </c>
      <c r="F324" s="40"/>
      <c r="G324" s="40"/>
      <c r="H324" s="40">
        <f t="shared" si="101"/>
        <v>30</v>
      </c>
      <c r="I324" s="40"/>
      <c r="J324" s="64">
        <f t="shared" si="102"/>
        <v>30</v>
      </c>
      <c r="K324" s="46"/>
    </row>
    <row r="325" ht="19.5" customHeight="1">
      <c r="A325" s="46">
        <f t="shared" si="103"/>
        <v>37</v>
      </c>
      <c r="B325" s="37" t="s">
        <v>320</v>
      </c>
      <c r="C325" s="46" t="s">
        <v>106</v>
      </c>
      <c r="D325" s="123">
        <v>6.0</v>
      </c>
      <c r="E325" s="37">
        <v>1.0</v>
      </c>
      <c r="F325" s="40"/>
      <c r="G325" s="40"/>
      <c r="H325" s="40">
        <f t="shared" si="101"/>
        <v>6</v>
      </c>
      <c r="I325" s="40"/>
      <c r="J325" s="64">
        <f t="shared" si="102"/>
        <v>6</v>
      </c>
      <c r="K325" s="46"/>
    </row>
    <row r="326" ht="19.5" customHeight="1">
      <c r="A326" s="46">
        <f t="shared" si="103"/>
        <v>38</v>
      </c>
      <c r="B326" s="37" t="s">
        <v>966</v>
      </c>
      <c r="C326" s="46" t="s">
        <v>106</v>
      </c>
      <c r="D326" s="123">
        <v>13.0</v>
      </c>
      <c r="E326" s="37">
        <v>1.0</v>
      </c>
      <c r="F326" s="40"/>
      <c r="G326" s="40"/>
      <c r="H326" s="40">
        <f t="shared" si="101"/>
        <v>13</v>
      </c>
      <c r="I326" s="40"/>
      <c r="J326" s="64">
        <f t="shared" si="102"/>
        <v>13</v>
      </c>
      <c r="K326" s="46"/>
    </row>
    <row r="327" ht="19.5" customHeight="1">
      <c r="A327" s="46">
        <f t="shared" si="103"/>
        <v>39</v>
      </c>
      <c r="B327" s="37" t="s">
        <v>321</v>
      </c>
      <c r="C327" s="46" t="s">
        <v>106</v>
      </c>
      <c r="D327" s="123">
        <v>6.0</v>
      </c>
      <c r="E327" s="37">
        <v>1.0</v>
      </c>
      <c r="F327" s="40"/>
      <c r="G327" s="40"/>
      <c r="H327" s="40">
        <f t="shared" si="101"/>
        <v>6</v>
      </c>
      <c r="I327" s="40"/>
      <c r="J327" s="64">
        <f t="shared" si="102"/>
        <v>6</v>
      </c>
      <c r="K327" s="46"/>
    </row>
    <row r="328" ht="19.5" customHeight="1">
      <c r="A328" s="46">
        <f t="shared" si="103"/>
        <v>40</v>
      </c>
      <c r="B328" s="37" t="s">
        <v>322</v>
      </c>
      <c r="C328" s="46" t="s">
        <v>106</v>
      </c>
      <c r="D328" s="123">
        <v>6.0</v>
      </c>
      <c r="E328" s="37">
        <v>1.0</v>
      </c>
      <c r="F328" s="40"/>
      <c r="G328" s="40"/>
      <c r="H328" s="40">
        <f t="shared" si="101"/>
        <v>6</v>
      </c>
      <c r="I328" s="40"/>
      <c r="J328" s="64">
        <f t="shared" si="102"/>
        <v>6</v>
      </c>
      <c r="K328" s="46"/>
    </row>
    <row r="329" ht="19.5" customHeight="1">
      <c r="A329" s="46">
        <f t="shared" si="103"/>
        <v>41</v>
      </c>
      <c r="B329" s="37" t="s">
        <v>323</v>
      </c>
      <c r="C329" s="46" t="s">
        <v>108</v>
      </c>
      <c r="D329" s="123">
        <v>400.0</v>
      </c>
      <c r="E329" s="37">
        <v>1.0</v>
      </c>
      <c r="F329" s="40"/>
      <c r="G329" s="40"/>
      <c r="H329" s="40">
        <f t="shared" si="101"/>
        <v>400</v>
      </c>
      <c r="I329" s="40"/>
      <c r="J329" s="64">
        <f t="shared" si="102"/>
        <v>400</v>
      </c>
      <c r="K329" s="46"/>
    </row>
    <row r="330" ht="19.5" customHeight="1">
      <c r="A330" s="46">
        <f t="shared" si="103"/>
        <v>42</v>
      </c>
      <c r="B330" s="37" t="s">
        <v>324</v>
      </c>
      <c r="C330" s="46" t="s">
        <v>325</v>
      </c>
      <c r="D330" s="123">
        <v>40.0</v>
      </c>
      <c r="E330" s="37">
        <v>1.0</v>
      </c>
      <c r="F330" s="40"/>
      <c r="G330" s="40"/>
      <c r="H330" s="40">
        <f t="shared" si="101"/>
        <v>40</v>
      </c>
      <c r="I330" s="40"/>
      <c r="J330" s="64">
        <f t="shared" si="102"/>
        <v>40</v>
      </c>
      <c r="K330" s="46"/>
    </row>
    <row r="331" ht="19.5" customHeight="1">
      <c r="A331" s="12"/>
      <c r="C331" s="12"/>
      <c r="D331" s="87"/>
      <c r="F331" s="14"/>
      <c r="G331" s="14"/>
      <c r="H331" s="14"/>
      <c r="I331" s="14"/>
      <c r="J331" s="14"/>
      <c r="K331" s="12"/>
    </row>
    <row r="332" ht="19.5" customHeight="1">
      <c r="A332" s="74" t="s">
        <v>1</v>
      </c>
      <c r="B332" s="74" t="s">
        <v>91</v>
      </c>
      <c r="C332" s="74" t="s">
        <v>92</v>
      </c>
      <c r="D332" s="76" t="s">
        <v>93</v>
      </c>
      <c r="E332" s="50" t="s">
        <v>161</v>
      </c>
      <c r="F332" s="53" t="s">
        <v>121</v>
      </c>
      <c r="G332" s="53" t="s">
        <v>99</v>
      </c>
      <c r="H332" s="53" t="s">
        <v>100</v>
      </c>
      <c r="I332" s="53" t="s">
        <v>101</v>
      </c>
      <c r="J332" s="76" t="s">
        <v>95</v>
      </c>
      <c r="K332" s="74" t="s">
        <v>96</v>
      </c>
    </row>
    <row r="333" ht="19.5" customHeight="1">
      <c r="A333" s="46">
        <v>1.0</v>
      </c>
      <c r="B333" s="37" t="s">
        <v>326</v>
      </c>
      <c r="C333" s="46" t="s">
        <v>106</v>
      </c>
      <c r="D333" s="78">
        <v>6.0</v>
      </c>
      <c r="E333" s="37">
        <v>1.0</v>
      </c>
      <c r="F333" s="78"/>
      <c r="G333" s="40"/>
      <c r="H333" s="40">
        <f t="shared" ref="H333:H341" si="104">E333*D333</f>
        <v>6</v>
      </c>
      <c r="I333" s="42"/>
      <c r="J333" s="43">
        <f t="shared" ref="J333:J341" si="105">H333</f>
        <v>6</v>
      </c>
      <c r="K333" s="46"/>
    </row>
    <row r="334" ht="19.5" customHeight="1">
      <c r="A334" s="46">
        <v>2.0</v>
      </c>
      <c r="B334" s="37" t="s">
        <v>327</v>
      </c>
      <c r="C334" s="46" t="s">
        <v>106</v>
      </c>
      <c r="D334" s="123">
        <v>6.0</v>
      </c>
      <c r="E334" s="37">
        <v>1.0</v>
      </c>
      <c r="F334" s="40"/>
      <c r="G334" s="40"/>
      <c r="H334" s="40">
        <f t="shared" si="104"/>
        <v>6</v>
      </c>
      <c r="I334" s="40"/>
      <c r="J334" s="43">
        <f t="shared" si="105"/>
        <v>6</v>
      </c>
      <c r="K334" s="46"/>
    </row>
    <row r="335" ht="19.5" customHeight="1">
      <c r="A335" s="46">
        <v>3.0</v>
      </c>
      <c r="B335" s="37" t="s">
        <v>379</v>
      </c>
      <c r="C335" s="46" t="s">
        <v>106</v>
      </c>
      <c r="D335" s="123">
        <v>6.0</v>
      </c>
      <c r="E335" s="37">
        <v>1.0</v>
      </c>
      <c r="F335" s="40"/>
      <c r="G335" s="40"/>
      <c r="H335" s="40">
        <f t="shared" si="104"/>
        <v>6</v>
      </c>
      <c r="I335" s="40"/>
      <c r="J335" s="43">
        <f t="shared" si="105"/>
        <v>6</v>
      </c>
      <c r="K335" s="46"/>
    </row>
    <row r="336" ht="19.5" customHeight="1">
      <c r="A336" s="46">
        <v>4.0</v>
      </c>
      <c r="B336" s="37" t="s">
        <v>330</v>
      </c>
      <c r="C336" s="46" t="s">
        <v>103</v>
      </c>
      <c r="D336" s="123">
        <v>6.0</v>
      </c>
      <c r="E336" s="37">
        <v>1.0</v>
      </c>
      <c r="F336" s="40"/>
      <c r="G336" s="40"/>
      <c r="H336" s="40">
        <f t="shared" si="104"/>
        <v>6</v>
      </c>
      <c r="I336" s="40"/>
      <c r="J336" s="43">
        <f t="shared" si="105"/>
        <v>6</v>
      </c>
      <c r="K336" s="46"/>
    </row>
    <row r="337" ht="19.5" customHeight="1">
      <c r="A337" s="46">
        <v>5.0</v>
      </c>
      <c r="B337" s="37" t="s">
        <v>967</v>
      </c>
      <c r="C337" s="46" t="s">
        <v>108</v>
      </c>
      <c r="D337" s="123">
        <v>15.0</v>
      </c>
      <c r="E337" s="37">
        <v>1.0</v>
      </c>
      <c r="F337" s="40"/>
      <c r="G337" s="40"/>
      <c r="H337" s="40">
        <f t="shared" si="104"/>
        <v>15</v>
      </c>
      <c r="I337" s="40"/>
      <c r="J337" s="43">
        <f t="shared" si="105"/>
        <v>15</v>
      </c>
      <c r="K337" s="46"/>
    </row>
    <row r="338" ht="19.5" customHeight="1">
      <c r="A338" s="46">
        <v>6.0</v>
      </c>
      <c r="B338" s="37" t="s">
        <v>968</v>
      </c>
      <c r="C338" s="46" t="s">
        <v>106</v>
      </c>
      <c r="D338" s="123">
        <v>1.0</v>
      </c>
      <c r="E338" s="37">
        <v>1.0</v>
      </c>
      <c r="F338" s="40"/>
      <c r="G338" s="40"/>
      <c r="H338" s="40">
        <f t="shared" si="104"/>
        <v>1</v>
      </c>
      <c r="I338" s="40"/>
      <c r="J338" s="43">
        <f t="shared" si="105"/>
        <v>1</v>
      </c>
      <c r="K338" s="46"/>
    </row>
    <row r="339" ht="19.5" customHeight="1">
      <c r="A339" s="46">
        <v>7.0</v>
      </c>
      <c r="B339" s="37" t="s">
        <v>969</v>
      </c>
      <c r="C339" s="46" t="s">
        <v>106</v>
      </c>
      <c r="D339" s="123">
        <v>8.0</v>
      </c>
      <c r="E339" s="37">
        <v>1.0</v>
      </c>
      <c r="F339" s="40"/>
      <c r="G339" s="40"/>
      <c r="H339" s="40">
        <f t="shared" si="104"/>
        <v>8</v>
      </c>
      <c r="I339" s="40"/>
      <c r="J339" s="43">
        <f t="shared" si="105"/>
        <v>8</v>
      </c>
      <c r="K339" s="46"/>
    </row>
    <row r="340" ht="19.5" customHeight="1">
      <c r="A340" s="46">
        <v>8.0</v>
      </c>
      <c r="B340" s="37" t="s">
        <v>970</v>
      </c>
      <c r="C340" s="46" t="s">
        <v>106</v>
      </c>
      <c r="D340" s="123">
        <v>1.0</v>
      </c>
      <c r="E340" s="37">
        <v>1.0</v>
      </c>
      <c r="F340" s="40"/>
      <c r="G340" s="40"/>
      <c r="H340" s="40">
        <f t="shared" si="104"/>
        <v>1</v>
      </c>
      <c r="I340" s="40"/>
      <c r="J340" s="43">
        <f t="shared" si="105"/>
        <v>1</v>
      </c>
      <c r="K340" s="46"/>
    </row>
    <row r="341" ht="19.5" customHeight="1">
      <c r="A341" s="46">
        <v>9.0</v>
      </c>
      <c r="B341" s="37" t="s">
        <v>971</v>
      </c>
      <c r="C341" s="46" t="s">
        <v>106</v>
      </c>
      <c r="D341" s="123">
        <v>30.0</v>
      </c>
      <c r="E341" s="37">
        <v>1.0</v>
      </c>
      <c r="F341" s="40"/>
      <c r="G341" s="40"/>
      <c r="H341" s="40">
        <f t="shared" si="104"/>
        <v>30</v>
      </c>
      <c r="I341" s="40"/>
      <c r="J341" s="43">
        <f t="shared" si="105"/>
        <v>30</v>
      </c>
      <c r="K341" s="12"/>
    </row>
    <row r="342" ht="19.5" customHeight="1">
      <c r="A342" s="12"/>
      <c r="C342" s="12"/>
      <c r="D342" s="87"/>
      <c r="F342" s="14"/>
      <c r="G342" s="14"/>
      <c r="H342" s="14"/>
      <c r="I342" s="14"/>
      <c r="J342" s="14"/>
      <c r="K342" s="12"/>
    </row>
    <row r="343" ht="19.5" customHeight="1">
      <c r="A343" s="12"/>
      <c r="C343" s="12"/>
      <c r="D343" s="87"/>
      <c r="F343" s="14"/>
      <c r="G343" s="14"/>
      <c r="H343" s="14"/>
      <c r="I343" s="14"/>
      <c r="J343" s="14"/>
      <c r="K343" s="12"/>
    </row>
    <row r="344" ht="19.5" customHeight="1">
      <c r="A344" s="12"/>
      <c r="C344" s="12"/>
      <c r="D344" s="87"/>
      <c r="F344" s="14"/>
      <c r="G344" s="14"/>
      <c r="H344" s="14"/>
      <c r="I344" s="14"/>
      <c r="J344" s="14"/>
      <c r="K344" s="12"/>
    </row>
    <row r="345" ht="19.5" customHeight="1">
      <c r="A345" s="12"/>
      <c r="C345" s="12"/>
      <c r="D345" s="87"/>
      <c r="F345" s="14"/>
      <c r="G345" s="14"/>
      <c r="H345" s="14"/>
      <c r="I345" s="14"/>
      <c r="J345" s="14"/>
      <c r="K345" s="12"/>
    </row>
    <row r="346" ht="19.5" customHeight="1">
      <c r="A346" s="12"/>
      <c r="C346" s="12"/>
      <c r="D346" s="87"/>
      <c r="F346" s="14"/>
      <c r="G346" s="14"/>
      <c r="H346" s="14"/>
      <c r="I346" s="14"/>
      <c r="J346" s="14"/>
      <c r="K346" s="12"/>
    </row>
    <row r="347" ht="19.5" customHeight="1">
      <c r="A347" s="12"/>
      <c r="C347" s="12"/>
      <c r="D347" s="87"/>
      <c r="F347" s="14"/>
      <c r="G347" s="14"/>
      <c r="H347" s="14"/>
      <c r="I347" s="14"/>
      <c r="J347" s="14"/>
      <c r="K347" s="12"/>
    </row>
    <row r="348" ht="19.5" customHeight="1">
      <c r="A348" s="12"/>
      <c r="C348" s="12"/>
      <c r="D348" s="87"/>
      <c r="F348" s="14"/>
      <c r="G348" s="14"/>
      <c r="H348" s="14"/>
      <c r="I348" s="14"/>
      <c r="J348" s="14"/>
      <c r="K348" s="12"/>
    </row>
    <row r="349" ht="19.5" customHeight="1">
      <c r="A349" s="12"/>
      <c r="C349" s="12"/>
      <c r="D349" s="87"/>
      <c r="F349" s="14"/>
      <c r="G349" s="14"/>
      <c r="H349" s="14"/>
      <c r="I349" s="14"/>
      <c r="J349" s="14"/>
      <c r="K349" s="12"/>
    </row>
    <row r="350" ht="19.5" customHeight="1">
      <c r="A350" s="12"/>
      <c r="C350" s="12"/>
      <c r="D350" s="87"/>
      <c r="F350" s="14"/>
      <c r="G350" s="14"/>
      <c r="H350" s="14"/>
      <c r="I350" s="14"/>
      <c r="J350" s="14"/>
      <c r="K350" s="12"/>
    </row>
    <row r="351" ht="19.5" customHeight="1">
      <c r="A351" s="12"/>
      <c r="C351" s="12"/>
      <c r="D351" s="87"/>
      <c r="F351" s="14"/>
      <c r="G351" s="14"/>
      <c r="H351" s="14"/>
      <c r="I351" s="14"/>
      <c r="J351" s="14"/>
      <c r="K351" s="12"/>
    </row>
    <row r="352" ht="19.5" customHeight="1">
      <c r="A352" s="12"/>
      <c r="C352" s="12"/>
      <c r="D352" s="87"/>
      <c r="F352" s="14"/>
      <c r="G352" s="14"/>
      <c r="H352" s="14"/>
      <c r="I352" s="14"/>
      <c r="J352" s="14"/>
      <c r="K352" s="12"/>
    </row>
    <row r="353" ht="19.5" customHeight="1">
      <c r="A353" s="12"/>
      <c r="C353" s="12"/>
      <c r="D353" s="87"/>
      <c r="F353" s="14"/>
      <c r="G353" s="14"/>
      <c r="H353" s="14"/>
      <c r="I353" s="14"/>
      <c r="J353" s="14"/>
      <c r="K353" s="12"/>
    </row>
    <row r="354" ht="19.5" customHeight="1">
      <c r="A354" s="12"/>
      <c r="C354" s="12"/>
      <c r="D354" s="87"/>
      <c r="F354" s="14"/>
      <c r="G354" s="14"/>
      <c r="H354" s="14"/>
      <c r="I354" s="14"/>
      <c r="J354" s="14"/>
      <c r="K354" s="12"/>
    </row>
    <row r="355" ht="19.5" customHeight="1">
      <c r="A355" s="12"/>
      <c r="C355" s="12"/>
      <c r="D355" s="87"/>
      <c r="F355" s="14"/>
      <c r="G355" s="14"/>
      <c r="H355" s="14"/>
      <c r="I355" s="14"/>
      <c r="J355" s="14"/>
      <c r="K355" s="12"/>
    </row>
    <row r="356" ht="19.5" customHeight="1">
      <c r="A356" s="12"/>
      <c r="C356" s="12"/>
      <c r="D356" s="87"/>
      <c r="F356" s="14"/>
      <c r="G356" s="14"/>
      <c r="H356" s="14"/>
      <c r="I356" s="14"/>
      <c r="J356" s="14"/>
      <c r="K356" s="12"/>
    </row>
    <row r="357" ht="19.5" customHeight="1">
      <c r="A357" s="12"/>
      <c r="C357" s="12"/>
      <c r="D357" s="87"/>
      <c r="F357" s="14"/>
      <c r="G357" s="14"/>
      <c r="H357" s="14"/>
      <c r="I357" s="14"/>
      <c r="J357" s="14"/>
      <c r="K357" s="12"/>
    </row>
    <row r="358" ht="19.5" customHeight="1">
      <c r="A358" s="12"/>
      <c r="C358" s="12"/>
      <c r="D358" s="87"/>
      <c r="F358" s="14"/>
      <c r="G358" s="14"/>
      <c r="H358" s="14"/>
      <c r="I358" s="14"/>
      <c r="J358" s="14"/>
      <c r="K358" s="12"/>
    </row>
    <row r="359" ht="19.5" customHeight="1">
      <c r="A359" s="12"/>
      <c r="C359" s="12"/>
      <c r="D359" s="87"/>
      <c r="F359" s="14"/>
      <c r="G359" s="14"/>
      <c r="H359" s="14"/>
      <c r="I359" s="14"/>
      <c r="J359" s="14"/>
      <c r="K359" s="12"/>
    </row>
    <row r="360" ht="19.5" customHeight="1">
      <c r="A360" s="12"/>
      <c r="C360" s="12"/>
      <c r="D360" s="87"/>
      <c r="F360" s="14"/>
      <c r="G360" s="14"/>
      <c r="H360" s="14"/>
      <c r="I360" s="14"/>
      <c r="J360" s="14"/>
      <c r="K360" s="12"/>
    </row>
    <row r="361" ht="19.5" customHeight="1">
      <c r="A361" s="12"/>
      <c r="C361" s="12"/>
      <c r="D361" s="87"/>
      <c r="F361" s="14"/>
      <c r="G361" s="14"/>
      <c r="H361" s="14"/>
      <c r="I361" s="14"/>
      <c r="J361" s="14"/>
      <c r="K361" s="12"/>
    </row>
    <row r="362" ht="19.5" customHeight="1">
      <c r="A362" s="12"/>
      <c r="C362" s="12"/>
      <c r="D362" s="87"/>
      <c r="F362" s="14"/>
      <c r="G362" s="14"/>
      <c r="H362" s="14"/>
      <c r="I362" s="14"/>
      <c r="J362" s="14"/>
      <c r="K362" s="12"/>
    </row>
    <row r="363" ht="19.5" customHeight="1">
      <c r="A363" s="12"/>
      <c r="C363" s="12"/>
      <c r="D363" s="87"/>
      <c r="F363" s="14"/>
      <c r="G363" s="14"/>
      <c r="H363" s="14"/>
      <c r="I363" s="14"/>
      <c r="J363" s="14"/>
      <c r="K363" s="12"/>
    </row>
    <row r="364" ht="19.5" customHeight="1">
      <c r="A364" s="12"/>
      <c r="C364" s="12"/>
      <c r="D364" s="87"/>
      <c r="F364" s="14"/>
      <c r="G364" s="14"/>
      <c r="H364" s="14"/>
      <c r="I364" s="14"/>
      <c r="J364" s="14"/>
      <c r="K364" s="12"/>
    </row>
    <row r="365" ht="19.5" customHeight="1">
      <c r="A365" s="12"/>
      <c r="C365" s="12"/>
      <c r="D365" s="87"/>
      <c r="F365" s="14"/>
      <c r="G365" s="14"/>
      <c r="H365" s="14"/>
      <c r="I365" s="14"/>
      <c r="J365" s="14"/>
      <c r="K365" s="12"/>
    </row>
    <row r="366" ht="19.5" customHeight="1">
      <c r="A366" s="12"/>
      <c r="C366" s="12"/>
      <c r="D366" s="87"/>
      <c r="F366" s="14"/>
      <c r="G366" s="14"/>
      <c r="H366" s="14"/>
      <c r="I366" s="14"/>
      <c r="J366" s="14"/>
      <c r="K366" s="12"/>
    </row>
    <row r="367" ht="19.5" customHeight="1">
      <c r="A367" s="12"/>
      <c r="C367" s="12"/>
      <c r="D367" s="87"/>
      <c r="F367" s="14"/>
      <c r="G367" s="14"/>
      <c r="H367" s="14"/>
      <c r="I367" s="14"/>
      <c r="J367" s="14"/>
      <c r="K367" s="12"/>
    </row>
    <row r="368" ht="19.5" customHeight="1">
      <c r="A368" s="12"/>
      <c r="C368" s="12"/>
      <c r="D368" s="87"/>
      <c r="F368" s="14"/>
      <c r="G368" s="14"/>
      <c r="H368" s="14"/>
      <c r="I368" s="14"/>
      <c r="J368" s="14"/>
      <c r="K368" s="12"/>
    </row>
    <row r="369" ht="19.5" customHeight="1">
      <c r="A369" s="12"/>
      <c r="C369" s="12"/>
      <c r="D369" s="87"/>
      <c r="F369" s="14"/>
      <c r="G369" s="14"/>
      <c r="H369" s="14"/>
      <c r="I369" s="14"/>
      <c r="J369" s="14"/>
      <c r="K369" s="12"/>
    </row>
    <row r="370" ht="19.5" customHeight="1">
      <c r="A370" s="12"/>
      <c r="C370" s="12"/>
      <c r="D370" s="87"/>
      <c r="F370" s="14"/>
      <c r="G370" s="14"/>
      <c r="H370" s="14"/>
      <c r="I370" s="14"/>
      <c r="J370" s="14"/>
      <c r="K370" s="12"/>
    </row>
    <row r="371" ht="19.5" customHeight="1">
      <c r="A371" s="12"/>
      <c r="C371" s="12"/>
      <c r="D371" s="87"/>
      <c r="F371" s="14"/>
      <c r="G371" s="14"/>
      <c r="H371" s="14"/>
      <c r="I371" s="14"/>
      <c r="J371" s="14"/>
      <c r="K371" s="12"/>
    </row>
    <row r="372" ht="19.5" customHeight="1">
      <c r="A372" s="12"/>
      <c r="C372" s="12"/>
      <c r="D372" s="87"/>
      <c r="F372" s="14"/>
      <c r="G372" s="14"/>
      <c r="H372" s="14"/>
      <c r="I372" s="14"/>
      <c r="J372" s="14"/>
      <c r="K372" s="12"/>
    </row>
    <row r="373" ht="19.5" customHeight="1">
      <c r="A373" s="12"/>
      <c r="C373" s="12"/>
      <c r="D373" s="87"/>
      <c r="F373" s="14"/>
      <c r="G373" s="14"/>
      <c r="H373" s="14"/>
      <c r="I373" s="14"/>
      <c r="J373" s="14"/>
      <c r="K373" s="12"/>
    </row>
    <row r="374" ht="19.5" customHeight="1">
      <c r="A374" s="12"/>
      <c r="C374" s="12"/>
      <c r="D374" s="87"/>
      <c r="F374" s="14"/>
      <c r="G374" s="14"/>
      <c r="H374" s="14"/>
      <c r="I374" s="14"/>
      <c r="J374" s="14"/>
      <c r="K374" s="12"/>
    </row>
    <row r="375" ht="19.5" customHeight="1">
      <c r="A375" s="12"/>
      <c r="C375" s="12"/>
      <c r="D375" s="87"/>
      <c r="F375" s="14"/>
      <c r="G375" s="14"/>
      <c r="H375" s="14"/>
      <c r="I375" s="14"/>
      <c r="J375" s="14"/>
      <c r="K375" s="12"/>
    </row>
    <row r="376" ht="19.5" customHeight="1">
      <c r="A376" s="12"/>
      <c r="C376" s="12"/>
      <c r="D376" s="87"/>
      <c r="F376" s="14"/>
      <c r="G376" s="14"/>
      <c r="H376" s="14"/>
      <c r="I376" s="14"/>
      <c r="J376" s="14"/>
      <c r="K376" s="12"/>
    </row>
    <row r="377" ht="19.5" customHeight="1">
      <c r="A377" s="12"/>
      <c r="C377" s="12"/>
      <c r="D377" s="87"/>
      <c r="F377" s="14"/>
      <c r="G377" s="14"/>
      <c r="H377" s="14"/>
      <c r="I377" s="14"/>
      <c r="J377" s="14"/>
      <c r="K377" s="12"/>
    </row>
    <row r="378" ht="19.5" customHeight="1">
      <c r="A378" s="12"/>
      <c r="C378" s="12"/>
      <c r="D378" s="87"/>
      <c r="F378" s="14"/>
      <c r="G378" s="14"/>
      <c r="H378" s="14"/>
      <c r="I378" s="14"/>
      <c r="J378" s="14"/>
      <c r="K378" s="12"/>
    </row>
    <row r="379" ht="19.5" customHeight="1">
      <c r="A379" s="12"/>
      <c r="C379" s="12"/>
      <c r="D379" s="87"/>
      <c r="F379" s="14"/>
      <c r="G379" s="14"/>
      <c r="H379" s="14"/>
      <c r="I379" s="14"/>
      <c r="J379" s="14"/>
      <c r="K379" s="12"/>
    </row>
    <row r="380" ht="19.5" customHeight="1">
      <c r="A380" s="12"/>
      <c r="C380" s="12"/>
      <c r="D380" s="87"/>
      <c r="F380" s="14"/>
      <c r="G380" s="14"/>
      <c r="H380" s="14"/>
      <c r="I380" s="14"/>
      <c r="J380" s="14"/>
      <c r="K380" s="12"/>
    </row>
    <row r="381" ht="19.5" customHeight="1">
      <c r="A381" s="12"/>
      <c r="C381" s="12"/>
      <c r="D381" s="87"/>
      <c r="F381" s="14"/>
      <c r="G381" s="14"/>
      <c r="H381" s="14"/>
      <c r="I381" s="14"/>
      <c r="J381" s="14"/>
      <c r="K381" s="12"/>
    </row>
    <row r="382" ht="19.5" customHeight="1">
      <c r="A382" s="12"/>
      <c r="C382" s="12"/>
      <c r="D382" s="87"/>
      <c r="F382" s="14"/>
      <c r="G382" s="14"/>
      <c r="H382" s="14"/>
      <c r="I382" s="14"/>
      <c r="J382" s="14"/>
      <c r="K382" s="12"/>
    </row>
    <row r="383" ht="19.5" customHeight="1">
      <c r="A383" s="12"/>
      <c r="C383" s="12"/>
      <c r="D383" s="87"/>
      <c r="F383" s="14"/>
      <c r="G383" s="14"/>
      <c r="H383" s="14"/>
      <c r="I383" s="14"/>
      <c r="J383" s="14"/>
      <c r="K383" s="12"/>
    </row>
    <row r="384" ht="19.5" customHeight="1">
      <c r="A384" s="12"/>
      <c r="C384" s="12"/>
      <c r="D384" s="87"/>
      <c r="F384" s="14"/>
      <c r="G384" s="14"/>
      <c r="H384" s="14"/>
      <c r="I384" s="14"/>
      <c r="J384" s="14"/>
      <c r="K384" s="12"/>
    </row>
    <row r="385" ht="19.5" customHeight="1">
      <c r="A385" s="12"/>
      <c r="C385" s="12"/>
      <c r="D385" s="87"/>
      <c r="F385" s="14"/>
      <c r="G385" s="14"/>
      <c r="H385" s="14"/>
      <c r="I385" s="14"/>
      <c r="J385" s="14"/>
      <c r="K385" s="12"/>
    </row>
    <row r="386" ht="19.5" customHeight="1">
      <c r="A386" s="12"/>
      <c r="C386" s="12"/>
      <c r="D386" s="87"/>
      <c r="F386" s="14"/>
      <c r="G386" s="14"/>
      <c r="H386" s="14"/>
      <c r="I386" s="14"/>
      <c r="J386" s="14"/>
      <c r="K386" s="12"/>
    </row>
    <row r="387" ht="19.5" customHeight="1">
      <c r="A387" s="12"/>
      <c r="C387" s="12"/>
      <c r="D387" s="87"/>
      <c r="F387" s="14"/>
      <c r="G387" s="14"/>
      <c r="H387" s="14"/>
      <c r="I387" s="14"/>
      <c r="J387" s="14"/>
      <c r="K387" s="12"/>
    </row>
    <row r="388" ht="19.5" customHeight="1">
      <c r="A388" s="12"/>
      <c r="C388" s="12"/>
      <c r="D388" s="87"/>
      <c r="F388" s="14"/>
      <c r="G388" s="14"/>
      <c r="H388" s="14"/>
      <c r="I388" s="14"/>
      <c r="J388" s="14"/>
      <c r="K388" s="12"/>
    </row>
    <row r="389" ht="19.5" customHeight="1">
      <c r="A389" s="12"/>
      <c r="C389" s="12"/>
      <c r="D389" s="87"/>
      <c r="F389" s="14"/>
      <c r="G389" s="14"/>
      <c r="H389" s="14"/>
      <c r="I389" s="14"/>
      <c r="J389" s="14"/>
      <c r="K389" s="12"/>
    </row>
    <row r="390" ht="19.5" customHeight="1">
      <c r="A390" s="12"/>
      <c r="C390" s="12"/>
      <c r="D390" s="87"/>
      <c r="F390" s="14"/>
      <c r="G390" s="14"/>
      <c r="H390" s="14"/>
      <c r="I390" s="14"/>
      <c r="J390" s="14"/>
      <c r="K390" s="12"/>
    </row>
    <row r="391" ht="19.5" customHeight="1">
      <c r="A391" s="12"/>
      <c r="C391" s="12"/>
      <c r="D391" s="87"/>
      <c r="F391" s="14"/>
      <c r="G391" s="14"/>
      <c r="H391" s="14"/>
      <c r="I391" s="14"/>
      <c r="J391" s="14"/>
      <c r="K391" s="12"/>
    </row>
    <row r="392" ht="19.5" customHeight="1">
      <c r="A392" s="12"/>
      <c r="C392" s="12"/>
      <c r="D392" s="87"/>
      <c r="F392" s="14"/>
      <c r="G392" s="14"/>
      <c r="H392" s="14"/>
      <c r="I392" s="14"/>
      <c r="J392" s="14"/>
      <c r="K392" s="12"/>
    </row>
    <row r="393" ht="19.5" customHeight="1">
      <c r="A393" s="12"/>
      <c r="C393" s="12"/>
      <c r="D393" s="87"/>
      <c r="F393" s="14"/>
      <c r="G393" s="14"/>
      <c r="H393" s="14"/>
      <c r="I393" s="14"/>
      <c r="J393" s="14"/>
      <c r="K393" s="12"/>
    </row>
    <row r="394" ht="19.5" customHeight="1">
      <c r="A394" s="12"/>
      <c r="C394" s="12"/>
      <c r="D394" s="87"/>
      <c r="F394" s="14"/>
      <c r="G394" s="14"/>
      <c r="H394" s="14"/>
      <c r="I394" s="14"/>
      <c r="J394" s="14"/>
      <c r="K394" s="12"/>
    </row>
    <row r="395" ht="19.5" customHeight="1">
      <c r="A395" s="12"/>
      <c r="C395" s="12"/>
      <c r="D395" s="87"/>
      <c r="F395" s="14"/>
      <c r="G395" s="14"/>
      <c r="H395" s="14"/>
      <c r="I395" s="14"/>
      <c r="J395" s="14"/>
      <c r="K395" s="12"/>
    </row>
    <row r="396" ht="19.5" customHeight="1">
      <c r="A396" s="12"/>
      <c r="C396" s="12"/>
      <c r="D396" s="87"/>
      <c r="F396" s="14"/>
      <c r="G396" s="14"/>
      <c r="H396" s="14"/>
      <c r="I396" s="14"/>
      <c r="J396" s="14"/>
      <c r="K396" s="12"/>
    </row>
    <row r="397" ht="19.5" customHeight="1">
      <c r="A397" s="12"/>
      <c r="C397" s="12"/>
      <c r="D397" s="87"/>
      <c r="F397" s="14"/>
      <c r="G397" s="14"/>
      <c r="H397" s="14"/>
      <c r="I397" s="14"/>
      <c r="J397" s="14"/>
      <c r="K397" s="12"/>
    </row>
    <row r="398" ht="19.5" customHeight="1">
      <c r="A398" s="12"/>
      <c r="C398" s="12"/>
      <c r="D398" s="87"/>
      <c r="F398" s="14"/>
      <c r="G398" s="14"/>
      <c r="H398" s="14"/>
      <c r="I398" s="14"/>
      <c r="J398" s="14"/>
      <c r="K398" s="12"/>
    </row>
    <row r="399" ht="19.5" customHeight="1">
      <c r="A399" s="12"/>
      <c r="C399" s="12"/>
      <c r="D399" s="87"/>
      <c r="F399" s="14"/>
      <c r="G399" s="14"/>
      <c r="H399" s="14"/>
      <c r="I399" s="14"/>
      <c r="J399" s="14"/>
      <c r="K399" s="12"/>
    </row>
    <row r="400" ht="19.5" customHeight="1">
      <c r="A400" s="12"/>
      <c r="C400" s="12"/>
      <c r="D400" s="87"/>
      <c r="F400" s="14"/>
      <c r="G400" s="14"/>
      <c r="H400" s="14"/>
      <c r="I400" s="14"/>
      <c r="J400" s="14"/>
      <c r="K400" s="12"/>
    </row>
    <row r="401" ht="19.5" customHeight="1">
      <c r="A401" s="12"/>
      <c r="C401" s="12"/>
      <c r="D401" s="87"/>
      <c r="F401" s="14"/>
      <c r="G401" s="14"/>
      <c r="H401" s="14"/>
      <c r="I401" s="14"/>
      <c r="J401" s="14"/>
      <c r="K401" s="12"/>
    </row>
    <row r="402" ht="19.5" customHeight="1">
      <c r="A402" s="12"/>
      <c r="C402" s="12"/>
      <c r="D402" s="87"/>
      <c r="F402" s="14"/>
      <c r="G402" s="14"/>
      <c r="H402" s="14"/>
      <c r="I402" s="14"/>
      <c r="J402" s="14"/>
      <c r="K402" s="12"/>
    </row>
    <row r="403" ht="19.5" customHeight="1">
      <c r="A403" s="12"/>
      <c r="C403" s="12"/>
      <c r="D403" s="87"/>
      <c r="F403" s="14"/>
      <c r="G403" s="14"/>
      <c r="H403" s="14"/>
      <c r="I403" s="14"/>
      <c r="J403" s="14"/>
      <c r="K403" s="12"/>
    </row>
    <row r="404" ht="19.5" customHeight="1">
      <c r="A404" s="12"/>
      <c r="C404" s="12"/>
      <c r="D404" s="87"/>
      <c r="F404" s="14"/>
      <c r="G404" s="14"/>
      <c r="H404" s="14"/>
      <c r="I404" s="14"/>
      <c r="J404" s="14"/>
      <c r="K404" s="12"/>
    </row>
    <row r="405" ht="19.5" customHeight="1">
      <c r="A405" s="12"/>
      <c r="C405" s="12"/>
      <c r="D405" s="87"/>
      <c r="F405" s="14"/>
      <c r="G405" s="14"/>
      <c r="H405" s="14"/>
      <c r="I405" s="14"/>
      <c r="J405" s="14"/>
      <c r="K405" s="12"/>
    </row>
    <row r="406" ht="19.5" customHeight="1">
      <c r="A406" s="12"/>
      <c r="C406" s="12"/>
      <c r="D406" s="87"/>
      <c r="F406" s="14"/>
      <c r="G406" s="14"/>
      <c r="H406" s="14"/>
      <c r="I406" s="14"/>
      <c r="J406" s="14"/>
      <c r="K406" s="12"/>
    </row>
    <row r="407" ht="19.5" customHeight="1">
      <c r="A407" s="12"/>
      <c r="C407" s="12"/>
      <c r="D407" s="87"/>
      <c r="F407" s="14"/>
      <c r="G407" s="14"/>
      <c r="H407" s="14"/>
      <c r="I407" s="14"/>
      <c r="J407" s="14"/>
      <c r="K407" s="12"/>
    </row>
    <row r="408" ht="19.5" customHeight="1">
      <c r="A408" s="12"/>
      <c r="C408" s="12"/>
      <c r="D408" s="87"/>
      <c r="F408" s="14"/>
      <c r="G408" s="14"/>
      <c r="H408" s="14"/>
      <c r="I408" s="14"/>
      <c r="J408" s="14"/>
      <c r="K408" s="12"/>
    </row>
    <row r="409" ht="19.5" customHeight="1">
      <c r="A409" s="12"/>
      <c r="C409" s="12"/>
      <c r="D409" s="87"/>
      <c r="F409" s="14"/>
      <c r="G409" s="14"/>
      <c r="H409" s="14"/>
      <c r="I409" s="14"/>
      <c r="J409" s="14"/>
      <c r="K409" s="12"/>
    </row>
    <row r="410" ht="19.5" customHeight="1">
      <c r="A410" s="12"/>
      <c r="C410" s="12"/>
      <c r="D410" s="87"/>
      <c r="F410" s="14"/>
      <c r="G410" s="14"/>
      <c r="H410" s="14"/>
      <c r="I410" s="14"/>
      <c r="J410" s="14"/>
      <c r="K410" s="12"/>
    </row>
    <row r="411" ht="19.5" customHeight="1">
      <c r="A411" s="12"/>
      <c r="C411" s="12"/>
      <c r="D411" s="87"/>
      <c r="F411" s="14"/>
      <c r="G411" s="14"/>
      <c r="H411" s="14"/>
      <c r="I411" s="14"/>
      <c r="J411" s="14"/>
      <c r="K411" s="12"/>
    </row>
    <row r="412" ht="19.5" customHeight="1">
      <c r="A412" s="12"/>
      <c r="C412" s="12"/>
      <c r="D412" s="87"/>
      <c r="F412" s="14"/>
      <c r="G412" s="14"/>
      <c r="H412" s="14"/>
      <c r="I412" s="14"/>
      <c r="J412" s="14"/>
      <c r="K412" s="12"/>
    </row>
    <row r="413" ht="19.5" customHeight="1">
      <c r="A413" s="12"/>
      <c r="C413" s="12"/>
      <c r="D413" s="87"/>
      <c r="F413" s="14"/>
      <c r="G413" s="14"/>
      <c r="H413" s="14"/>
      <c r="I413" s="14"/>
      <c r="J413" s="14"/>
      <c r="K413" s="12"/>
    </row>
    <row r="414" ht="19.5" customHeight="1">
      <c r="A414" s="12"/>
      <c r="C414" s="12"/>
      <c r="D414" s="87"/>
      <c r="F414" s="14"/>
      <c r="G414" s="14"/>
      <c r="H414" s="14"/>
      <c r="I414" s="14"/>
      <c r="J414" s="14"/>
      <c r="K414" s="12"/>
    </row>
    <row r="415" ht="19.5" customHeight="1">
      <c r="A415" s="12"/>
      <c r="C415" s="12"/>
      <c r="D415" s="87"/>
      <c r="F415" s="14"/>
      <c r="G415" s="14"/>
      <c r="H415" s="14"/>
      <c r="I415" s="14"/>
      <c r="J415" s="14"/>
      <c r="K415" s="12"/>
    </row>
    <row r="416" ht="19.5" customHeight="1">
      <c r="A416" s="12"/>
      <c r="C416" s="12"/>
      <c r="D416" s="87"/>
      <c r="F416" s="14"/>
      <c r="G416" s="14"/>
      <c r="H416" s="14"/>
      <c r="I416" s="14"/>
      <c r="J416" s="14"/>
      <c r="K416" s="12"/>
    </row>
    <row r="417" ht="19.5" customHeight="1">
      <c r="A417" s="12"/>
      <c r="C417" s="12"/>
      <c r="D417" s="87"/>
      <c r="F417" s="14"/>
      <c r="G417" s="14"/>
      <c r="H417" s="14"/>
      <c r="I417" s="14"/>
      <c r="J417" s="14"/>
      <c r="K417" s="12"/>
    </row>
    <row r="418" ht="19.5" customHeight="1">
      <c r="A418" s="12"/>
      <c r="C418" s="12"/>
      <c r="D418" s="87"/>
      <c r="F418" s="14"/>
      <c r="G418" s="14"/>
      <c r="H418" s="14"/>
      <c r="I418" s="14"/>
      <c r="J418" s="14"/>
      <c r="K418" s="12"/>
    </row>
    <row r="419" ht="19.5" customHeight="1">
      <c r="A419" s="12"/>
      <c r="C419" s="12"/>
      <c r="D419" s="87"/>
      <c r="F419" s="14"/>
      <c r="G419" s="14"/>
      <c r="H419" s="14"/>
      <c r="I419" s="14"/>
      <c r="J419" s="14"/>
      <c r="K419" s="12"/>
    </row>
    <row r="420" ht="19.5" customHeight="1">
      <c r="A420" s="12"/>
      <c r="C420" s="12"/>
      <c r="D420" s="87"/>
      <c r="F420" s="14"/>
      <c r="G420" s="14"/>
      <c r="H420" s="14"/>
      <c r="I420" s="14"/>
      <c r="J420" s="14"/>
      <c r="K420" s="12"/>
    </row>
    <row r="421" ht="19.5" customHeight="1">
      <c r="A421" s="12"/>
      <c r="C421" s="12"/>
      <c r="D421" s="87"/>
      <c r="F421" s="14"/>
      <c r="G421" s="14"/>
      <c r="H421" s="14"/>
      <c r="I421" s="14"/>
      <c r="J421" s="14"/>
      <c r="K421" s="12"/>
    </row>
    <row r="422" ht="19.5" customHeight="1">
      <c r="A422" s="12"/>
      <c r="C422" s="12"/>
      <c r="D422" s="87"/>
      <c r="F422" s="14"/>
      <c r="G422" s="14"/>
      <c r="H422" s="14"/>
      <c r="I422" s="14"/>
      <c r="J422" s="14"/>
      <c r="K422" s="12"/>
    </row>
    <row r="423" ht="19.5" customHeight="1">
      <c r="A423" s="12"/>
      <c r="C423" s="12"/>
      <c r="D423" s="87"/>
      <c r="F423" s="14"/>
      <c r="G423" s="14"/>
      <c r="H423" s="14"/>
      <c r="I423" s="14"/>
      <c r="J423" s="14"/>
      <c r="K423" s="12"/>
    </row>
    <row r="424" ht="19.5" customHeight="1">
      <c r="A424" s="12"/>
      <c r="C424" s="12"/>
      <c r="D424" s="87"/>
      <c r="F424" s="14"/>
      <c r="G424" s="14"/>
      <c r="H424" s="14"/>
      <c r="I424" s="14"/>
      <c r="J424" s="14"/>
      <c r="K424" s="12"/>
    </row>
    <row r="425" ht="19.5" customHeight="1">
      <c r="A425" s="12"/>
      <c r="C425" s="12"/>
      <c r="D425" s="87"/>
      <c r="F425" s="14"/>
      <c r="G425" s="14"/>
      <c r="H425" s="14"/>
      <c r="I425" s="14"/>
      <c r="J425" s="14"/>
      <c r="K425" s="12"/>
    </row>
    <row r="426" ht="19.5" customHeight="1">
      <c r="A426" s="12"/>
      <c r="C426" s="12"/>
      <c r="D426" s="87"/>
      <c r="F426" s="14"/>
      <c r="G426" s="14"/>
      <c r="H426" s="14"/>
      <c r="I426" s="14"/>
      <c r="J426" s="14"/>
      <c r="K426" s="12"/>
    </row>
    <row r="427" ht="19.5" customHeight="1">
      <c r="A427" s="12"/>
      <c r="C427" s="12"/>
      <c r="D427" s="87"/>
      <c r="F427" s="14"/>
      <c r="G427" s="14"/>
      <c r="H427" s="14"/>
      <c r="I427" s="14"/>
      <c r="J427" s="14"/>
      <c r="K427" s="12"/>
    </row>
    <row r="428" ht="19.5" customHeight="1">
      <c r="A428" s="12"/>
      <c r="C428" s="12"/>
      <c r="D428" s="87"/>
      <c r="F428" s="14"/>
      <c r="G428" s="14"/>
      <c r="H428" s="14"/>
      <c r="I428" s="14"/>
      <c r="J428" s="14"/>
      <c r="K428" s="12"/>
    </row>
    <row r="429" ht="19.5" customHeight="1">
      <c r="A429" s="12"/>
      <c r="C429" s="12"/>
      <c r="D429" s="87"/>
      <c r="F429" s="14"/>
      <c r="G429" s="14"/>
      <c r="H429" s="14"/>
      <c r="I429" s="14"/>
      <c r="J429" s="14"/>
      <c r="K429" s="12"/>
    </row>
    <row r="430" ht="19.5" customHeight="1">
      <c r="A430" s="12"/>
      <c r="C430" s="12"/>
      <c r="D430" s="87"/>
      <c r="F430" s="14"/>
      <c r="G430" s="14"/>
      <c r="H430" s="14"/>
      <c r="I430" s="14"/>
      <c r="J430" s="14"/>
      <c r="K430" s="12"/>
    </row>
    <row r="431" ht="19.5" customHeight="1">
      <c r="A431" s="12"/>
      <c r="C431" s="12"/>
      <c r="D431" s="87"/>
      <c r="F431" s="14"/>
      <c r="G431" s="14"/>
      <c r="H431" s="14"/>
      <c r="I431" s="14"/>
      <c r="J431" s="14"/>
      <c r="K431" s="12"/>
    </row>
    <row r="432" ht="19.5" customHeight="1">
      <c r="A432" s="12"/>
      <c r="C432" s="12"/>
      <c r="D432" s="87"/>
      <c r="F432" s="14"/>
      <c r="G432" s="14"/>
      <c r="H432" s="14"/>
      <c r="I432" s="14"/>
      <c r="J432" s="14"/>
      <c r="K432" s="12"/>
    </row>
    <row r="433" ht="19.5" customHeight="1">
      <c r="A433" s="12"/>
      <c r="C433" s="12"/>
      <c r="D433" s="87"/>
      <c r="F433" s="14"/>
      <c r="G433" s="14"/>
      <c r="H433" s="14"/>
      <c r="I433" s="14"/>
      <c r="J433" s="14"/>
      <c r="K433" s="12"/>
    </row>
    <row r="434" ht="19.5" customHeight="1">
      <c r="A434" s="12"/>
      <c r="C434" s="12"/>
      <c r="D434" s="87"/>
      <c r="F434" s="14"/>
      <c r="G434" s="14"/>
      <c r="H434" s="14"/>
      <c r="I434" s="14"/>
      <c r="J434" s="14"/>
      <c r="K434" s="12"/>
    </row>
    <row r="435" ht="19.5" customHeight="1">
      <c r="A435" s="12"/>
      <c r="C435" s="12"/>
      <c r="D435" s="87"/>
      <c r="F435" s="14"/>
      <c r="G435" s="14"/>
      <c r="H435" s="14"/>
      <c r="I435" s="14"/>
      <c r="J435" s="14"/>
      <c r="K435" s="12"/>
    </row>
    <row r="436" ht="19.5" customHeight="1">
      <c r="A436" s="12"/>
      <c r="C436" s="12"/>
      <c r="D436" s="87"/>
      <c r="F436" s="14"/>
      <c r="G436" s="14"/>
      <c r="H436" s="14"/>
      <c r="I436" s="14"/>
      <c r="J436" s="14"/>
      <c r="K436" s="12"/>
    </row>
    <row r="437" ht="19.5" customHeight="1">
      <c r="A437" s="12"/>
      <c r="C437" s="12"/>
      <c r="D437" s="87"/>
      <c r="F437" s="14"/>
      <c r="G437" s="14"/>
      <c r="H437" s="14"/>
      <c r="I437" s="14"/>
      <c r="J437" s="14"/>
      <c r="K437" s="12"/>
    </row>
    <row r="438" ht="19.5" customHeight="1">
      <c r="A438" s="12"/>
      <c r="C438" s="12"/>
      <c r="D438" s="87"/>
      <c r="F438" s="14"/>
      <c r="G438" s="14"/>
      <c r="H438" s="14"/>
      <c r="I438" s="14"/>
      <c r="J438" s="14"/>
      <c r="K438" s="12"/>
    </row>
    <row r="439" ht="19.5" customHeight="1">
      <c r="A439" s="12"/>
      <c r="C439" s="12"/>
      <c r="D439" s="87"/>
      <c r="F439" s="14"/>
      <c r="G439" s="14"/>
      <c r="H439" s="14"/>
      <c r="I439" s="14"/>
      <c r="J439" s="14"/>
      <c r="K439" s="12"/>
    </row>
    <row r="440" ht="19.5" customHeight="1">
      <c r="A440" s="12"/>
      <c r="C440" s="12"/>
      <c r="D440" s="87"/>
      <c r="F440" s="14"/>
      <c r="G440" s="14"/>
      <c r="H440" s="14"/>
      <c r="I440" s="14"/>
      <c r="J440" s="14"/>
      <c r="K440" s="12"/>
    </row>
    <row r="441" ht="19.5" customHeight="1">
      <c r="A441" s="12"/>
      <c r="C441" s="12"/>
      <c r="D441" s="87"/>
      <c r="F441" s="14"/>
      <c r="G441" s="14"/>
      <c r="H441" s="14"/>
      <c r="I441" s="14"/>
      <c r="J441" s="14"/>
      <c r="K441" s="12"/>
    </row>
    <row r="442" ht="19.5" customHeight="1">
      <c r="A442" s="12"/>
      <c r="C442" s="12"/>
      <c r="D442" s="87"/>
      <c r="F442" s="14"/>
      <c r="G442" s="14"/>
      <c r="H442" s="14"/>
      <c r="I442" s="14"/>
      <c r="J442" s="14"/>
      <c r="K442" s="12"/>
    </row>
    <row r="443" ht="19.5" customHeight="1">
      <c r="A443" s="12"/>
      <c r="C443" s="12"/>
      <c r="D443" s="87"/>
      <c r="F443" s="14"/>
      <c r="G443" s="14"/>
      <c r="H443" s="14"/>
      <c r="I443" s="14"/>
      <c r="J443" s="14"/>
      <c r="K443" s="12"/>
    </row>
    <row r="444" ht="19.5" customHeight="1">
      <c r="A444" s="12"/>
      <c r="C444" s="12"/>
      <c r="D444" s="87"/>
      <c r="F444" s="14"/>
      <c r="G444" s="14"/>
      <c r="H444" s="14"/>
      <c r="I444" s="14"/>
      <c r="J444" s="14"/>
      <c r="K444" s="12"/>
    </row>
    <row r="445" ht="19.5" customHeight="1">
      <c r="A445" s="12"/>
      <c r="C445" s="12"/>
      <c r="D445" s="87"/>
      <c r="F445" s="14"/>
      <c r="G445" s="14"/>
      <c r="H445" s="14"/>
      <c r="I445" s="14"/>
      <c r="J445" s="14"/>
      <c r="K445" s="12"/>
    </row>
    <row r="446" ht="19.5" customHeight="1">
      <c r="A446" s="12"/>
      <c r="C446" s="12"/>
      <c r="D446" s="87"/>
      <c r="F446" s="14"/>
      <c r="G446" s="14"/>
      <c r="H446" s="14"/>
      <c r="I446" s="14"/>
      <c r="J446" s="14"/>
      <c r="K446" s="12"/>
    </row>
    <row r="447" ht="19.5" customHeight="1">
      <c r="A447" s="12"/>
      <c r="C447" s="12"/>
      <c r="D447" s="87"/>
      <c r="F447" s="14"/>
      <c r="G447" s="14"/>
      <c r="H447" s="14"/>
      <c r="I447" s="14"/>
      <c r="J447" s="14"/>
      <c r="K447" s="12"/>
    </row>
    <row r="448" ht="19.5" customHeight="1">
      <c r="A448" s="12"/>
      <c r="C448" s="12"/>
      <c r="D448" s="87"/>
      <c r="F448" s="14"/>
      <c r="G448" s="14"/>
      <c r="H448" s="14"/>
      <c r="I448" s="14"/>
      <c r="J448" s="14"/>
      <c r="K448" s="12"/>
    </row>
    <row r="449" ht="19.5" customHeight="1">
      <c r="A449" s="12"/>
      <c r="C449" s="12"/>
      <c r="D449" s="87"/>
      <c r="F449" s="14"/>
      <c r="G449" s="14"/>
      <c r="H449" s="14"/>
      <c r="I449" s="14"/>
      <c r="J449" s="14"/>
      <c r="K449" s="12"/>
    </row>
    <row r="450" ht="19.5" customHeight="1">
      <c r="A450" s="12"/>
      <c r="C450" s="12"/>
      <c r="D450" s="87"/>
      <c r="F450" s="14"/>
      <c r="G450" s="14"/>
      <c r="H450" s="14"/>
      <c r="I450" s="14"/>
      <c r="J450" s="14"/>
      <c r="K450" s="12"/>
    </row>
    <row r="451" ht="19.5" customHeight="1">
      <c r="A451" s="12"/>
      <c r="C451" s="12"/>
      <c r="D451" s="87"/>
      <c r="F451" s="14"/>
      <c r="G451" s="14"/>
      <c r="H451" s="14"/>
      <c r="I451" s="14"/>
      <c r="J451" s="14"/>
      <c r="K451" s="12"/>
    </row>
    <row r="452" ht="19.5" customHeight="1">
      <c r="A452" s="12"/>
      <c r="C452" s="12"/>
      <c r="D452" s="87"/>
      <c r="F452" s="14"/>
      <c r="G452" s="14"/>
      <c r="H452" s="14"/>
      <c r="I452" s="14"/>
      <c r="J452" s="14"/>
      <c r="K452" s="12"/>
    </row>
    <row r="453" ht="19.5" customHeight="1">
      <c r="A453" s="12"/>
      <c r="C453" s="12"/>
      <c r="D453" s="87"/>
      <c r="F453" s="14"/>
      <c r="G453" s="14"/>
      <c r="H453" s="14"/>
      <c r="I453" s="14"/>
      <c r="J453" s="14"/>
      <c r="K453" s="12"/>
    </row>
    <row r="454" ht="19.5" customHeight="1">
      <c r="A454" s="12"/>
      <c r="C454" s="12"/>
      <c r="D454" s="87"/>
      <c r="F454" s="14"/>
      <c r="G454" s="14"/>
      <c r="H454" s="14"/>
      <c r="I454" s="14"/>
      <c r="J454" s="14"/>
      <c r="K454" s="12"/>
    </row>
    <row r="455" ht="19.5" customHeight="1">
      <c r="A455" s="12"/>
      <c r="C455" s="12"/>
      <c r="D455" s="87"/>
      <c r="F455" s="14"/>
      <c r="G455" s="14"/>
      <c r="H455" s="14"/>
      <c r="I455" s="14"/>
      <c r="J455" s="14"/>
      <c r="K455" s="12"/>
    </row>
    <row r="456" ht="19.5" customHeight="1">
      <c r="A456" s="12"/>
      <c r="C456" s="12"/>
      <c r="D456" s="87"/>
      <c r="F456" s="14"/>
      <c r="G456" s="14"/>
      <c r="H456" s="14"/>
      <c r="I456" s="14"/>
      <c r="J456" s="14"/>
      <c r="K456" s="12"/>
    </row>
    <row r="457" ht="19.5" customHeight="1">
      <c r="A457" s="12"/>
      <c r="C457" s="12"/>
      <c r="D457" s="87"/>
      <c r="F457" s="14"/>
      <c r="G457" s="14"/>
      <c r="H457" s="14"/>
      <c r="I457" s="14"/>
      <c r="J457" s="14"/>
      <c r="K457" s="12"/>
    </row>
    <row r="458" ht="19.5" customHeight="1">
      <c r="A458" s="12"/>
      <c r="C458" s="12"/>
      <c r="D458" s="87"/>
      <c r="F458" s="14"/>
      <c r="G458" s="14"/>
      <c r="H458" s="14"/>
      <c r="I458" s="14"/>
      <c r="J458" s="14"/>
      <c r="K458" s="12"/>
    </row>
    <row r="459" ht="19.5" customHeight="1">
      <c r="A459" s="12"/>
      <c r="C459" s="12"/>
      <c r="D459" s="87"/>
      <c r="F459" s="14"/>
      <c r="G459" s="14"/>
      <c r="H459" s="14"/>
      <c r="I459" s="14"/>
      <c r="J459" s="14"/>
      <c r="K459" s="12"/>
    </row>
    <row r="460" ht="19.5" customHeight="1">
      <c r="A460" s="12"/>
      <c r="C460" s="12"/>
      <c r="D460" s="87"/>
      <c r="F460" s="14"/>
      <c r="G460" s="14"/>
      <c r="H460" s="14"/>
      <c r="I460" s="14"/>
      <c r="J460" s="14"/>
      <c r="K460" s="12"/>
    </row>
    <row r="461" ht="19.5" customHeight="1">
      <c r="A461" s="12"/>
      <c r="C461" s="12"/>
      <c r="D461" s="87"/>
      <c r="F461" s="14"/>
      <c r="G461" s="14"/>
      <c r="H461" s="14"/>
      <c r="I461" s="14"/>
      <c r="J461" s="14"/>
      <c r="K461" s="12"/>
    </row>
    <row r="462" ht="19.5" customHeight="1">
      <c r="A462" s="12"/>
      <c r="C462" s="12"/>
      <c r="D462" s="87"/>
      <c r="F462" s="14"/>
      <c r="G462" s="14"/>
      <c r="H462" s="14"/>
      <c r="I462" s="14"/>
      <c r="J462" s="14"/>
      <c r="K462" s="12"/>
    </row>
    <row r="463" ht="19.5" customHeight="1">
      <c r="A463" s="12"/>
      <c r="C463" s="12"/>
      <c r="D463" s="87"/>
      <c r="F463" s="14"/>
      <c r="G463" s="14"/>
      <c r="H463" s="14"/>
      <c r="I463" s="14"/>
      <c r="J463" s="14"/>
      <c r="K463" s="12"/>
    </row>
    <row r="464" ht="19.5" customHeight="1">
      <c r="A464" s="12"/>
      <c r="C464" s="12"/>
      <c r="D464" s="87"/>
      <c r="F464" s="14"/>
      <c r="G464" s="14"/>
      <c r="H464" s="14"/>
      <c r="I464" s="14"/>
      <c r="J464" s="14"/>
      <c r="K464" s="12"/>
    </row>
    <row r="465" ht="19.5" customHeight="1">
      <c r="A465" s="12"/>
      <c r="C465" s="12"/>
      <c r="D465" s="87"/>
      <c r="F465" s="14"/>
      <c r="G465" s="14"/>
      <c r="H465" s="14"/>
      <c r="I465" s="14"/>
      <c r="J465" s="14"/>
      <c r="K465" s="12"/>
    </row>
    <row r="466" ht="19.5" customHeight="1">
      <c r="A466" s="12"/>
      <c r="C466" s="12"/>
      <c r="D466" s="87"/>
      <c r="F466" s="14"/>
      <c r="G466" s="14"/>
      <c r="H466" s="14"/>
      <c r="I466" s="14"/>
      <c r="J466" s="14"/>
      <c r="K466" s="12"/>
    </row>
    <row r="467" ht="19.5" customHeight="1">
      <c r="A467" s="12"/>
      <c r="C467" s="12"/>
      <c r="D467" s="87"/>
      <c r="F467" s="14"/>
      <c r="G467" s="14"/>
      <c r="H467" s="14"/>
      <c r="I467" s="14"/>
      <c r="J467" s="14"/>
      <c r="K467" s="12"/>
    </row>
    <row r="468" ht="19.5" customHeight="1">
      <c r="A468" s="12"/>
      <c r="C468" s="12"/>
      <c r="D468" s="87"/>
      <c r="F468" s="14"/>
      <c r="G468" s="14"/>
      <c r="H468" s="14"/>
      <c r="I468" s="14"/>
      <c r="J468" s="14"/>
      <c r="K468" s="12"/>
    </row>
    <row r="469" ht="19.5" customHeight="1">
      <c r="A469" s="12"/>
      <c r="C469" s="12"/>
      <c r="D469" s="87"/>
      <c r="F469" s="14"/>
      <c r="G469" s="14"/>
      <c r="H469" s="14"/>
      <c r="I469" s="14"/>
      <c r="J469" s="14"/>
      <c r="K469" s="12"/>
    </row>
    <row r="470" ht="19.5" customHeight="1">
      <c r="A470" s="12"/>
      <c r="C470" s="12"/>
      <c r="D470" s="87"/>
      <c r="F470" s="14"/>
      <c r="G470" s="14"/>
      <c r="H470" s="14"/>
      <c r="I470" s="14"/>
      <c r="J470" s="14"/>
      <c r="K470" s="12"/>
    </row>
    <row r="471" ht="19.5" customHeight="1">
      <c r="A471" s="12"/>
      <c r="C471" s="12"/>
      <c r="D471" s="87"/>
      <c r="F471" s="14"/>
      <c r="G471" s="14"/>
      <c r="H471" s="14"/>
      <c r="I471" s="14"/>
      <c r="J471" s="14"/>
      <c r="K471" s="12"/>
    </row>
    <row r="472" ht="19.5" customHeight="1">
      <c r="A472" s="12"/>
      <c r="C472" s="12"/>
      <c r="D472" s="87"/>
      <c r="F472" s="14"/>
      <c r="G472" s="14"/>
      <c r="H472" s="14"/>
      <c r="I472" s="14"/>
      <c r="J472" s="14"/>
      <c r="K472" s="12"/>
    </row>
    <row r="473" ht="19.5" customHeight="1">
      <c r="A473" s="12"/>
      <c r="C473" s="12"/>
      <c r="D473" s="87"/>
      <c r="F473" s="14"/>
      <c r="G473" s="14"/>
      <c r="H473" s="14"/>
      <c r="I473" s="14"/>
      <c r="J473" s="14"/>
      <c r="K473" s="12"/>
    </row>
    <row r="474" ht="19.5" customHeight="1">
      <c r="A474" s="12"/>
      <c r="C474" s="12"/>
      <c r="D474" s="87"/>
      <c r="F474" s="14"/>
      <c r="G474" s="14"/>
      <c r="H474" s="14"/>
      <c r="I474" s="14"/>
      <c r="J474" s="14"/>
      <c r="K474" s="12"/>
    </row>
    <row r="475" ht="19.5" customHeight="1">
      <c r="A475" s="12"/>
      <c r="C475" s="12"/>
      <c r="D475" s="87"/>
      <c r="F475" s="14"/>
      <c r="G475" s="14"/>
      <c r="H475" s="14"/>
      <c r="I475" s="14"/>
      <c r="J475" s="14"/>
      <c r="K475" s="12"/>
    </row>
    <row r="476" ht="19.5" customHeight="1">
      <c r="A476" s="12"/>
      <c r="C476" s="12"/>
      <c r="D476" s="87"/>
      <c r="F476" s="14"/>
      <c r="G476" s="14"/>
      <c r="H476" s="14"/>
      <c r="I476" s="14"/>
      <c r="J476" s="14"/>
      <c r="K476" s="12"/>
    </row>
    <row r="477" ht="19.5" customHeight="1">
      <c r="A477" s="12"/>
      <c r="C477" s="12"/>
      <c r="D477" s="87"/>
      <c r="F477" s="14"/>
      <c r="G477" s="14"/>
      <c r="H477" s="14"/>
      <c r="I477" s="14"/>
      <c r="J477" s="14"/>
      <c r="K477" s="12"/>
    </row>
    <row r="478" ht="19.5" customHeight="1">
      <c r="A478" s="12"/>
      <c r="C478" s="12"/>
      <c r="D478" s="87"/>
      <c r="F478" s="14"/>
      <c r="G478" s="14"/>
      <c r="H478" s="14"/>
      <c r="I478" s="14"/>
      <c r="J478" s="14"/>
      <c r="K478" s="12"/>
    </row>
    <row r="479" ht="19.5" customHeight="1">
      <c r="A479" s="12"/>
      <c r="C479" s="12"/>
      <c r="D479" s="87"/>
      <c r="F479" s="14"/>
      <c r="G479" s="14"/>
      <c r="H479" s="14"/>
      <c r="I479" s="14"/>
      <c r="J479" s="14"/>
      <c r="K479" s="12"/>
    </row>
    <row r="480" ht="19.5" customHeight="1">
      <c r="A480" s="12"/>
      <c r="C480" s="12"/>
      <c r="D480" s="87"/>
      <c r="F480" s="14"/>
      <c r="G480" s="14"/>
      <c r="H480" s="14"/>
      <c r="I480" s="14"/>
      <c r="J480" s="14"/>
      <c r="K480" s="12"/>
    </row>
    <row r="481" ht="19.5" customHeight="1">
      <c r="A481" s="12"/>
      <c r="C481" s="12"/>
      <c r="D481" s="87"/>
      <c r="F481" s="14"/>
      <c r="G481" s="14"/>
      <c r="H481" s="14"/>
      <c r="I481" s="14"/>
      <c r="J481" s="14"/>
      <c r="K481" s="12"/>
    </row>
    <row r="482" ht="19.5" customHeight="1">
      <c r="A482" s="12"/>
      <c r="C482" s="12"/>
      <c r="D482" s="87"/>
      <c r="F482" s="14"/>
      <c r="G482" s="14"/>
      <c r="H482" s="14"/>
      <c r="I482" s="14"/>
      <c r="J482" s="14"/>
      <c r="K482" s="12"/>
    </row>
    <row r="483" ht="19.5" customHeight="1">
      <c r="A483" s="12"/>
      <c r="C483" s="12"/>
      <c r="D483" s="87"/>
      <c r="F483" s="14"/>
      <c r="G483" s="14"/>
      <c r="H483" s="14"/>
      <c r="I483" s="14"/>
      <c r="J483" s="14"/>
      <c r="K483" s="12"/>
    </row>
    <row r="484" ht="19.5" customHeight="1">
      <c r="A484" s="12"/>
      <c r="C484" s="12"/>
      <c r="D484" s="87"/>
      <c r="F484" s="14"/>
      <c r="G484" s="14"/>
      <c r="H484" s="14"/>
      <c r="I484" s="14"/>
      <c r="J484" s="14"/>
      <c r="K484" s="12"/>
    </row>
    <row r="485" ht="19.5" customHeight="1">
      <c r="A485" s="12"/>
      <c r="C485" s="12"/>
      <c r="D485" s="87"/>
      <c r="F485" s="14"/>
      <c r="G485" s="14"/>
      <c r="H485" s="14"/>
      <c r="I485" s="14"/>
      <c r="J485" s="14"/>
      <c r="K485" s="12"/>
    </row>
    <row r="486" ht="19.5" customHeight="1">
      <c r="A486" s="12"/>
      <c r="C486" s="12"/>
      <c r="D486" s="87"/>
      <c r="F486" s="14"/>
      <c r="G486" s="14"/>
      <c r="H486" s="14"/>
      <c r="I486" s="14"/>
      <c r="J486" s="14"/>
      <c r="K486" s="12"/>
    </row>
    <row r="487" ht="19.5" customHeight="1">
      <c r="A487" s="12"/>
      <c r="C487" s="12"/>
      <c r="D487" s="87"/>
      <c r="F487" s="14"/>
      <c r="G487" s="14"/>
      <c r="H487" s="14"/>
      <c r="I487" s="14"/>
      <c r="J487" s="14"/>
      <c r="K487" s="12"/>
    </row>
    <row r="488" ht="19.5" customHeight="1">
      <c r="A488" s="12"/>
      <c r="C488" s="12"/>
      <c r="D488" s="87"/>
      <c r="F488" s="14"/>
      <c r="G488" s="14"/>
      <c r="H488" s="14"/>
      <c r="I488" s="14"/>
      <c r="J488" s="14"/>
      <c r="K488" s="12"/>
    </row>
    <row r="489" ht="19.5" customHeight="1">
      <c r="A489" s="12"/>
      <c r="C489" s="12"/>
      <c r="D489" s="87"/>
      <c r="F489" s="14"/>
      <c r="G489" s="14"/>
      <c r="H489" s="14"/>
      <c r="I489" s="14"/>
      <c r="J489" s="14"/>
      <c r="K489" s="12"/>
    </row>
    <row r="490" ht="19.5" customHeight="1">
      <c r="A490" s="12"/>
      <c r="C490" s="12"/>
      <c r="D490" s="87"/>
      <c r="F490" s="14"/>
      <c r="G490" s="14"/>
      <c r="H490" s="14"/>
      <c r="I490" s="14"/>
      <c r="J490" s="14"/>
      <c r="K490" s="12"/>
    </row>
    <row r="491" ht="19.5" customHeight="1">
      <c r="A491" s="12"/>
      <c r="C491" s="12"/>
      <c r="D491" s="87"/>
      <c r="F491" s="14"/>
      <c r="G491" s="14"/>
      <c r="H491" s="14"/>
      <c r="I491" s="14"/>
      <c r="J491" s="14"/>
      <c r="K491" s="12"/>
    </row>
    <row r="492" ht="19.5" customHeight="1">
      <c r="A492" s="12"/>
      <c r="C492" s="12"/>
      <c r="D492" s="87"/>
      <c r="F492" s="14"/>
      <c r="G492" s="14"/>
      <c r="H492" s="14"/>
      <c r="I492" s="14"/>
      <c r="J492" s="14"/>
      <c r="K492" s="12"/>
    </row>
    <row r="493" ht="19.5" customHeight="1">
      <c r="A493" s="12"/>
      <c r="C493" s="12"/>
      <c r="D493" s="87"/>
      <c r="F493" s="14"/>
      <c r="G493" s="14"/>
      <c r="H493" s="14"/>
      <c r="I493" s="14"/>
      <c r="J493" s="14"/>
      <c r="K493" s="12"/>
    </row>
    <row r="494" ht="19.5" customHeight="1">
      <c r="A494" s="12"/>
      <c r="C494" s="12"/>
      <c r="D494" s="87"/>
      <c r="F494" s="14"/>
      <c r="G494" s="14"/>
      <c r="H494" s="14"/>
      <c r="I494" s="14"/>
      <c r="J494" s="14"/>
      <c r="K494" s="12"/>
    </row>
    <row r="495" ht="19.5" customHeight="1">
      <c r="A495" s="12"/>
      <c r="C495" s="12"/>
      <c r="D495" s="87"/>
      <c r="F495" s="14"/>
      <c r="G495" s="14"/>
      <c r="H495" s="14"/>
      <c r="I495" s="14"/>
      <c r="J495" s="14"/>
      <c r="K495" s="12"/>
    </row>
    <row r="496" ht="19.5" customHeight="1">
      <c r="A496" s="12"/>
      <c r="C496" s="12"/>
      <c r="D496" s="87"/>
      <c r="F496" s="14"/>
      <c r="G496" s="14"/>
      <c r="H496" s="14"/>
      <c r="I496" s="14"/>
      <c r="J496" s="14"/>
      <c r="K496" s="12"/>
    </row>
    <row r="497" ht="19.5" customHeight="1">
      <c r="A497" s="12"/>
      <c r="C497" s="12"/>
      <c r="D497" s="87"/>
      <c r="F497" s="14"/>
      <c r="G497" s="14"/>
      <c r="H497" s="14"/>
      <c r="I497" s="14"/>
      <c r="J497" s="14"/>
      <c r="K497" s="12"/>
    </row>
    <row r="498" ht="19.5" customHeight="1">
      <c r="A498" s="12"/>
      <c r="C498" s="12"/>
      <c r="D498" s="87"/>
      <c r="F498" s="14"/>
      <c r="G498" s="14"/>
      <c r="H498" s="14"/>
      <c r="I498" s="14"/>
      <c r="J498" s="14"/>
      <c r="K498" s="12"/>
    </row>
    <row r="499" ht="19.5" customHeight="1">
      <c r="A499" s="12"/>
      <c r="C499" s="12"/>
      <c r="D499" s="87"/>
      <c r="F499" s="14"/>
      <c r="G499" s="14"/>
      <c r="H499" s="14"/>
      <c r="I499" s="14"/>
      <c r="J499" s="14"/>
      <c r="K499" s="12"/>
    </row>
    <row r="500" ht="19.5" customHeight="1">
      <c r="A500" s="12"/>
      <c r="C500" s="12"/>
      <c r="D500" s="87"/>
      <c r="F500" s="14"/>
      <c r="G500" s="14"/>
      <c r="H500" s="14"/>
      <c r="I500" s="14"/>
      <c r="J500" s="14"/>
      <c r="K500" s="12"/>
    </row>
    <row r="501" ht="19.5" customHeight="1">
      <c r="A501" s="12"/>
      <c r="C501" s="12"/>
      <c r="D501" s="87"/>
      <c r="F501" s="14"/>
      <c r="G501" s="14"/>
      <c r="H501" s="14"/>
      <c r="I501" s="14"/>
      <c r="J501" s="14"/>
      <c r="K501" s="12"/>
    </row>
    <row r="502" ht="19.5" customHeight="1">
      <c r="A502" s="12"/>
      <c r="C502" s="12"/>
      <c r="D502" s="87"/>
      <c r="F502" s="14"/>
      <c r="G502" s="14"/>
      <c r="H502" s="14"/>
      <c r="I502" s="14"/>
      <c r="J502" s="14"/>
      <c r="K502" s="12"/>
    </row>
    <row r="503" ht="19.5" customHeight="1">
      <c r="A503" s="12"/>
      <c r="C503" s="12"/>
      <c r="D503" s="87"/>
      <c r="F503" s="14"/>
      <c r="G503" s="14"/>
      <c r="H503" s="14"/>
      <c r="I503" s="14"/>
      <c r="J503" s="14"/>
      <c r="K503" s="12"/>
    </row>
    <row r="504" ht="19.5" customHeight="1">
      <c r="A504" s="12"/>
      <c r="C504" s="12"/>
      <c r="D504" s="87"/>
      <c r="F504" s="14"/>
      <c r="G504" s="14"/>
      <c r="H504" s="14"/>
      <c r="I504" s="14"/>
      <c r="J504" s="14"/>
      <c r="K504" s="12"/>
    </row>
    <row r="505" ht="19.5" customHeight="1">
      <c r="A505" s="12"/>
      <c r="C505" s="12"/>
      <c r="D505" s="87"/>
      <c r="F505" s="14"/>
      <c r="G505" s="14"/>
      <c r="H505" s="14"/>
      <c r="I505" s="14"/>
      <c r="J505" s="14"/>
      <c r="K505" s="12"/>
    </row>
    <row r="506" ht="19.5" customHeight="1">
      <c r="A506" s="12"/>
      <c r="C506" s="12"/>
      <c r="D506" s="87"/>
      <c r="F506" s="14"/>
      <c r="G506" s="14"/>
      <c r="H506" s="14"/>
      <c r="I506" s="14"/>
      <c r="J506" s="14"/>
      <c r="K506" s="12"/>
    </row>
    <row r="507" ht="19.5" customHeight="1">
      <c r="A507" s="12"/>
      <c r="C507" s="12"/>
      <c r="D507" s="87"/>
      <c r="F507" s="14"/>
      <c r="G507" s="14"/>
      <c r="H507" s="14"/>
      <c r="I507" s="14"/>
      <c r="J507" s="14"/>
      <c r="K507" s="12"/>
    </row>
    <row r="508" ht="19.5" customHeight="1">
      <c r="A508" s="12"/>
      <c r="C508" s="12"/>
      <c r="D508" s="87"/>
      <c r="F508" s="14"/>
      <c r="G508" s="14"/>
      <c r="H508" s="14"/>
      <c r="I508" s="14"/>
      <c r="J508" s="14"/>
      <c r="K508" s="12"/>
    </row>
    <row r="509" ht="19.5" customHeight="1">
      <c r="A509" s="12"/>
      <c r="C509" s="12"/>
      <c r="D509" s="87"/>
      <c r="F509" s="14"/>
      <c r="G509" s="14"/>
      <c r="H509" s="14"/>
      <c r="I509" s="14"/>
      <c r="J509" s="14"/>
      <c r="K509" s="12"/>
    </row>
    <row r="510" ht="19.5" customHeight="1">
      <c r="A510" s="12"/>
      <c r="C510" s="12"/>
      <c r="D510" s="87"/>
      <c r="F510" s="14"/>
      <c r="G510" s="14"/>
      <c r="H510" s="14"/>
      <c r="I510" s="14"/>
      <c r="J510" s="14"/>
      <c r="K510" s="12"/>
    </row>
    <row r="511" ht="19.5" customHeight="1">
      <c r="A511" s="12"/>
      <c r="C511" s="12"/>
      <c r="D511" s="87"/>
      <c r="F511" s="14"/>
      <c r="G511" s="14"/>
      <c r="H511" s="14"/>
      <c r="I511" s="14"/>
      <c r="J511" s="14"/>
      <c r="K511" s="12"/>
    </row>
    <row r="512" ht="19.5" customHeight="1">
      <c r="A512" s="12"/>
      <c r="C512" s="12"/>
      <c r="D512" s="87"/>
      <c r="F512" s="14"/>
      <c r="G512" s="14"/>
      <c r="H512" s="14"/>
      <c r="I512" s="14"/>
      <c r="J512" s="14"/>
      <c r="K512" s="12"/>
    </row>
    <row r="513" ht="19.5" customHeight="1">
      <c r="A513" s="12"/>
      <c r="C513" s="12"/>
      <c r="D513" s="87"/>
      <c r="F513" s="14"/>
      <c r="G513" s="14"/>
      <c r="H513" s="14"/>
      <c r="I513" s="14"/>
      <c r="J513" s="14"/>
      <c r="K513" s="12"/>
    </row>
    <row r="514" ht="19.5" customHeight="1">
      <c r="A514" s="12"/>
      <c r="C514" s="12"/>
      <c r="D514" s="87"/>
      <c r="F514" s="14"/>
      <c r="G514" s="14"/>
      <c r="H514" s="14"/>
      <c r="I514" s="14"/>
      <c r="J514" s="14"/>
      <c r="K514" s="12"/>
    </row>
    <row r="515" ht="19.5" customHeight="1">
      <c r="A515" s="12"/>
      <c r="C515" s="12"/>
      <c r="D515" s="87"/>
      <c r="F515" s="14"/>
      <c r="G515" s="14"/>
      <c r="H515" s="14"/>
      <c r="I515" s="14"/>
      <c r="J515" s="14"/>
      <c r="K515" s="12"/>
    </row>
    <row r="516" ht="19.5" customHeight="1">
      <c r="A516" s="12"/>
      <c r="C516" s="12"/>
      <c r="D516" s="87"/>
      <c r="F516" s="14"/>
      <c r="G516" s="14"/>
      <c r="H516" s="14"/>
      <c r="I516" s="14"/>
      <c r="J516" s="14"/>
      <c r="K516" s="12"/>
    </row>
    <row r="517" ht="19.5" customHeight="1">
      <c r="A517" s="12"/>
      <c r="C517" s="12"/>
      <c r="D517" s="87"/>
      <c r="F517" s="14"/>
      <c r="G517" s="14"/>
      <c r="H517" s="14"/>
      <c r="I517" s="14"/>
      <c r="J517" s="14"/>
      <c r="K517" s="12"/>
    </row>
    <row r="518" ht="19.5" customHeight="1">
      <c r="A518" s="12"/>
      <c r="C518" s="12"/>
      <c r="D518" s="87"/>
      <c r="F518" s="14"/>
      <c r="G518" s="14"/>
      <c r="H518" s="14"/>
      <c r="I518" s="14"/>
      <c r="J518" s="14"/>
      <c r="K518" s="12"/>
    </row>
    <row r="519" ht="19.5" customHeight="1">
      <c r="A519" s="12"/>
      <c r="C519" s="12"/>
      <c r="D519" s="87"/>
      <c r="F519" s="14"/>
      <c r="G519" s="14"/>
      <c r="H519" s="14"/>
      <c r="I519" s="14"/>
      <c r="J519" s="14"/>
      <c r="K519" s="12"/>
    </row>
    <row r="520" ht="19.5" customHeight="1">
      <c r="A520" s="12"/>
      <c r="C520" s="12"/>
      <c r="D520" s="87"/>
      <c r="F520" s="14"/>
      <c r="G520" s="14"/>
      <c r="H520" s="14"/>
      <c r="I520" s="14"/>
      <c r="J520" s="14"/>
      <c r="K520" s="12"/>
    </row>
    <row r="521" ht="19.5" customHeight="1">
      <c r="A521" s="12"/>
      <c r="C521" s="12"/>
      <c r="D521" s="87"/>
      <c r="F521" s="14"/>
      <c r="G521" s="14"/>
      <c r="H521" s="14"/>
      <c r="I521" s="14"/>
      <c r="J521" s="14"/>
      <c r="K521" s="12"/>
    </row>
    <row r="522" ht="19.5" customHeight="1">
      <c r="A522" s="12"/>
      <c r="C522" s="12"/>
      <c r="D522" s="87"/>
      <c r="F522" s="14"/>
      <c r="G522" s="14"/>
      <c r="H522" s="14"/>
      <c r="I522" s="14"/>
      <c r="J522" s="14"/>
      <c r="K522" s="12"/>
    </row>
    <row r="523" ht="19.5" customHeight="1">
      <c r="A523" s="12"/>
      <c r="C523" s="12"/>
      <c r="D523" s="87"/>
      <c r="F523" s="14"/>
      <c r="G523" s="14"/>
      <c r="H523" s="14"/>
      <c r="I523" s="14"/>
      <c r="J523" s="14"/>
      <c r="K523" s="12"/>
    </row>
    <row r="524" ht="19.5" customHeight="1">
      <c r="A524" s="12"/>
      <c r="C524" s="12"/>
      <c r="D524" s="87"/>
      <c r="F524" s="14"/>
      <c r="G524" s="14"/>
      <c r="H524" s="14"/>
      <c r="I524" s="14"/>
      <c r="J524" s="14"/>
      <c r="K524" s="12"/>
    </row>
    <row r="525" ht="19.5" customHeight="1">
      <c r="A525" s="12"/>
      <c r="C525" s="12"/>
      <c r="D525" s="87"/>
      <c r="F525" s="14"/>
      <c r="G525" s="14"/>
      <c r="H525" s="14"/>
      <c r="I525" s="14"/>
      <c r="J525" s="14"/>
      <c r="K525" s="12"/>
    </row>
    <row r="526" ht="19.5" customHeight="1">
      <c r="A526" s="12"/>
      <c r="C526" s="12"/>
      <c r="D526" s="87"/>
      <c r="F526" s="14"/>
      <c r="G526" s="14"/>
      <c r="H526" s="14"/>
      <c r="I526" s="14"/>
      <c r="J526" s="14"/>
      <c r="K526" s="12"/>
    </row>
    <row r="527" ht="19.5" customHeight="1">
      <c r="A527" s="12"/>
      <c r="C527" s="12"/>
      <c r="D527" s="87"/>
      <c r="F527" s="14"/>
      <c r="G527" s="14"/>
      <c r="H527" s="14"/>
      <c r="I527" s="14"/>
      <c r="J527" s="14"/>
      <c r="K527" s="12"/>
    </row>
    <row r="528" ht="19.5" customHeight="1">
      <c r="A528" s="12"/>
      <c r="C528" s="12"/>
      <c r="D528" s="87"/>
      <c r="F528" s="14"/>
      <c r="G528" s="14"/>
      <c r="H528" s="14"/>
      <c r="I528" s="14"/>
      <c r="J528" s="14"/>
      <c r="K528" s="12"/>
    </row>
    <row r="529" ht="19.5" customHeight="1">
      <c r="A529" s="12"/>
      <c r="C529" s="12"/>
      <c r="D529" s="87"/>
      <c r="F529" s="14"/>
      <c r="G529" s="14"/>
      <c r="H529" s="14"/>
      <c r="I529" s="14"/>
      <c r="J529" s="14"/>
      <c r="K529" s="12"/>
    </row>
    <row r="530" ht="19.5" customHeight="1">
      <c r="A530" s="12"/>
      <c r="C530" s="12"/>
      <c r="D530" s="87"/>
      <c r="F530" s="14"/>
      <c r="G530" s="14"/>
      <c r="H530" s="14"/>
      <c r="I530" s="14"/>
      <c r="J530" s="14"/>
      <c r="K530" s="12"/>
    </row>
    <row r="531" ht="19.5" customHeight="1">
      <c r="A531" s="12"/>
      <c r="C531" s="12"/>
      <c r="D531" s="87"/>
      <c r="F531" s="14"/>
      <c r="G531" s="14"/>
      <c r="H531" s="14"/>
      <c r="I531" s="14"/>
      <c r="J531" s="14"/>
      <c r="K531" s="12"/>
    </row>
    <row r="532" ht="19.5" customHeight="1">
      <c r="A532" s="12"/>
      <c r="C532" s="12"/>
      <c r="D532" s="87"/>
      <c r="F532" s="14"/>
      <c r="G532" s="14"/>
      <c r="H532" s="14"/>
      <c r="I532" s="14"/>
      <c r="J532" s="14"/>
      <c r="K532" s="12"/>
    </row>
    <row r="533" ht="19.5" customHeight="1">
      <c r="A533" s="12"/>
      <c r="C533" s="12"/>
      <c r="D533" s="87"/>
      <c r="F533" s="14"/>
      <c r="G533" s="14"/>
      <c r="H533" s="14"/>
      <c r="I533" s="14"/>
      <c r="J533" s="14"/>
      <c r="K533" s="12"/>
    </row>
    <row r="534" ht="19.5" customHeight="1">
      <c r="A534" s="12"/>
      <c r="C534" s="12"/>
      <c r="D534" s="87"/>
      <c r="F534" s="14"/>
      <c r="G534" s="14"/>
      <c r="H534" s="14"/>
      <c r="I534" s="14"/>
      <c r="J534" s="14"/>
      <c r="K534" s="12"/>
    </row>
    <row r="535" ht="19.5" customHeight="1">
      <c r="A535" s="12"/>
      <c r="C535" s="12"/>
      <c r="D535" s="87"/>
      <c r="F535" s="14"/>
      <c r="G535" s="14"/>
      <c r="H535" s="14"/>
      <c r="I535" s="14"/>
      <c r="J535" s="14"/>
      <c r="K535" s="12"/>
    </row>
    <row r="536" ht="19.5" customHeight="1">
      <c r="A536" s="12"/>
      <c r="C536" s="12"/>
      <c r="D536" s="87"/>
      <c r="F536" s="14"/>
      <c r="G536" s="14"/>
      <c r="H536" s="14"/>
      <c r="I536" s="14"/>
      <c r="J536" s="14"/>
      <c r="K536" s="12"/>
    </row>
    <row r="537" ht="19.5" customHeight="1">
      <c r="A537" s="12"/>
      <c r="C537" s="12"/>
      <c r="D537" s="87"/>
      <c r="F537" s="14"/>
      <c r="G537" s="14"/>
      <c r="H537" s="14"/>
      <c r="I537" s="14"/>
      <c r="J537" s="14"/>
      <c r="K537" s="12"/>
    </row>
    <row r="538" ht="19.5" customHeight="1">
      <c r="A538" s="12"/>
      <c r="C538" s="12"/>
      <c r="D538" s="87"/>
      <c r="F538" s="14"/>
      <c r="G538" s="14"/>
      <c r="H538" s="14"/>
      <c r="I538" s="14"/>
      <c r="J538" s="14"/>
      <c r="K538" s="12"/>
    </row>
    <row r="539" ht="19.5" customHeight="1">
      <c r="A539" s="12"/>
      <c r="C539" s="12"/>
      <c r="D539" s="87"/>
      <c r="F539" s="14"/>
      <c r="G539" s="14"/>
      <c r="H539" s="14"/>
      <c r="I539" s="14"/>
      <c r="J539" s="14"/>
      <c r="K539" s="12"/>
    </row>
    <row r="540" ht="19.5" customHeight="1">
      <c r="A540" s="12"/>
      <c r="C540" s="12"/>
      <c r="D540" s="87"/>
      <c r="F540" s="14"/>
      <c r="G540" s="14"/>
      <c r="H540" s="14"/>
      <c r="I540" s="14"/>
      <c r="J540" s="14"/>
      <c r="K540" s="12"/>
    </row>
    <row r="541" ht="19.5" customHeight="1">
      <c r="A541" s="12"/>
      <c r="C541" s="12"/>
      <c r="D541" s="87"/>
      <c r="F541" s="14"/>
      <c r="G541" s="14"/>
      <c r="H541" s="14"/>
      <c r="I541" s="14"/>
      <c r="J541" s="14"/>
      <c r="K541" s="12"/>
    </row>
    <row r="542" ht="19.5" customHeight="1">
      <c r="A542" s="12"/>
      <c r="C542" s="12"/>
      <c r="D542" s="87"/>
      <c r="F542" s="14"/>
      <c r="G542" s="14"/>
      <c r="H542" s="14"/>
      <c r="I542" s="14"/>
      <c r="J542" s="14"/>
      <c r="K542" s="12"/>
    </row>
    <row r="543" ht="19.5" customHeight="1">
      <c r="A543" s="12"/>
      <c r="C543" s="12"/>
      <c r="D543" s="87"/>
      <c r="F543" s="14"/>
      <c r="G543" s="14"/>
      <c r="H543" s="14"/>
      <c r="I543" s="14"/>
      <c r="J543" s="14"/>
      <c r="K543" s="12"/>
    </row>
    <row r="544" ht="19.5" customHeight="1">
      <c r="A544" s="12"/>
      <c r="C544" s="12"/>
      <c r="D544" s="87"/>
      <c r="F544" s="14"/>
      <c r="G544" s="14"/>
      <c r="H544" s="14"/>
      <c r="I544" s="14"/>
      <c r="J544" s="14"/>
      <c r="K544" s="12"/>
    </row>
    <row r="545" ht="19.5" customHeight="1">
      <c r="A545" s="12"/>
      <c r="C545" s="12"/>
      <c r="D545" s="87"/>
      <c r="F545" s="14"/>
      <c r="G545" s="14"/>
      <c r="H545" s="14"/>
      <c r="I545" s="14"/>
      <c r="J545" s="14"/>
      <c r="K545" s="12"/>
    </row>
    <row r="546" ht="19.5" customHeight="1">
      <c r="A546" s="12"/>
      <c r="C546" s="12"/>
      <c r="D546" s="87"/>
      <c r="F546" s="14"/>
      <c r="G546" s="14"/>
      <c r="H546" s="14"/>
      <c r="I546" s="14"/>
      <c r="J546" s="14"/>
      <c r="K546" s="12"/>
    </row>
    <row r="547" ht="19.5" customHeight="1">
      <c r="A547" s="12"/>
      <c r="C547" s="12"/>
      <c r="D547" s="87"/>
      <c r="F547" s="14"/>
      <c r="G547" s="14"/>
      <c r="H547" s="14"/>
      <c r="I547" s="14"/>
      <c r="J547" s="14"/>
      <c r="K547" s="12"/>
    </row>
    <row r="548" ht="19.5" customHeight="1">
      <c r="A548" s="12"/>
      <c r="C548" s="12"/>
      <c r="D548" s="87"/>
      <c r="F548" s="14"/>
      <c r="G548" s="14"/>
      <c r="H548" s="14"/>
      <c r="I548" s="14"/>
      <c r="J548" s="14"/>
      <c r="K548" s="12"/>
    </row>
    <row r="549" ht="19.5" customHeight="1">
      <c r="A549" s="12"/>
      <c r="C549" s="12"/>
      <c r="D549" s="87"/>
      <c r="F549" s="14"/>
      <c r="G549" s="14"/>
      <c r="H549" s="14"/>
      <c r="I549" s="14"/>
      <c r="J549" s="14"/>
      <c r="K549" s="12"/>
    </row>
    <row r="550" ht="19.5" customHeight="1">
      <c r="A550" s="12"/>
      <c r="C550" s="12"/>
      <c r="D550" s="87"/>
      <c r="F550" s="14"/>
      <c r="G550" s="14"/>
      <c r="H550" s="14"/>
      <c r="I550" s="14"/>
      <c r="J550" s="14"/>
      <c r="K550" s="12"/>
    </row>
    <row r="551" ht="19.5" customHeight="1">
      <c r="A551" s="12"/>
      <c r="C551" s="12"/>
      <c r="D551" s="87"/>
      <c r="F551" s="14"/>
      <c r="G551" s="14"/>
      <c r="H551" s="14"/>
      <c r="I551" s="14"/>
      <c r="J551" s="14"/>
      <c r="K551" s="12"/>
    </row>
    <row r="552" ht="19.5" customHeight="1">
      <c r="A552" s="12"/>
      <c r="C552" s="12"/>
      <c r="D552" s="87"/>
      <c r="F552" s="14"/>
      <c r="G552" s="14"/>
      <c r="H552" s="14"/>
      <c r="I552" s="14"/>
      <c r="J552" s="14"/>
      <c r="K552" s="12"/>
    </row>
    <row r="553" ht="19.5" customHeight="1">
      <c r="A553" s="12"/>
      <c r="C553" s="12"/>
      <c r="D553" s="87"/>
      <c r="F553" s="14"/>
      <c r="G553" s="14"/>
      <c r="H553" s="14"/>
      <c r="I553" s="14"/>
      <c r="J553" s="14"/>
      <c r="K553" s="12"/>
    </row>
    <row r="554" ht="19.5" customHeight="1">
      <c r="A554" s="12"/>
      <c r="C554" s="12"/>
      <c r="D554" s="87"/>
      <c r="F554" s="14"/>
      <c r="G554" s="14"/>
      <c r="H554" s="14"/>
      <c r="I554" s="14"/>
      <c r="J554" s="14"/>
      <c r="K554" s="12"/>
    </row>
    <row r="555" ht="19.5" customHeight="1">
      <c r="A555" s="12"/>
      <c r="C555" s="12"/>
      <c r="D555" s="87"/>
      <c r="F555" s="14"/>
      <c r="G555" s="14"/>
      <c r="H555" s="14"/>
      <c r="I555" s="14"/>
      <c r="J555" s="14"/>
      <c r="K555" s="12"/>
    </row>
    <row r="556" ht="19.5" customHeight="1">
      <c r="A556" s="12"/>
      <c r="C556" s="12"/>
      <c r="D556" s="87"/>
      <c r="F556" s="14"/>
      <c r="G556" s="14"/>
      <c r="H556" s="14"/>
      <c r="I556" s="14"/>
      <c r="J556" s="14"/>
      <c r="K556" s="12"/>
    </row>
    <row r="557" ht="19.5" customHeight="1">
      <c r="A557" s="12"/>
      <c r="C557" s="12"/>
      <c r="D557" s="87"/>
      <c r="F557" s="14"/>
      <c r="G557" s="14"/>
      <c r="H557" s="14"/>
      <c r="I557" s="14"/>
      <c r="J557" s="14"/>
      <c r="K557" s="12"/>
    </row>
    <row r="558" ht="19.5" customHeight="1">
      <c r="A558" s="12"/>
      <c r="C558" s="12"/>
      <c r="D558" s="87"/>
      <c r="F558" s="14"/>
      <c r="G558" s="14"/>
      <c r="H558" s="14"/>
      <c r="I558" s="14"/>
      <c r="J558" s="14"/>
      <c r="K558" s="12"/>
    </row>
    <row r="559" ht="19.5" customHeight="1">
      <c r="A559" s="12"/>
      <c r="C559" s="12"/>
      <c r="D559" s="87"/>
      <c r="F559" s="14"/>
      <c r="G559" s="14"/>
      <c r="H559" s="14"/>
      <c r="I559" s="14"/>
      <c r="J559" s="14"/>
      <c r="K559" s="12"/>
    </row>
    <row r="560" ht="19.5" customHeight="1">
      <c r="A560" s="12"/>
      <c r="C560" s="12"/>
      <c r="D560" s="87"/>
      <c r="F560" s="14"/>
      <c r="G560" s="14"/>
      <c r="H560" s="14"/>
      <c r="I560" s="14"/>
      <c r="J560" s="14"/>
      <c r="K560" s="12"/>
    </row>
    <row r="561" ht="19.5" customHeight="1">
      <c r="A561" s="12"/>
      <c r="C561" s="12"/>
      <c r="D561" s="87"/>
      <c r="F561" s="14"/>
      <c r="G561" s="14"/>
      <c r="H561" s="14"/>
      <c r="I561" s="14"/>
      <c r="J561" s="14"/>
      <c r="K561" s="12"/>
    </row>
    <row r="562" ht="19.5" customHeight="1">
      <c r="A562" s="12"/>
      <c r="C562" s="12"/>
      <c r="D562" s="87"/>
      <c r="F562" s="14"/>
      <c r="G562" s="14"/>
      <c r="H562" s="14"/>
      <c r="I562" s="14"/>
      <c r="J562" s="14"/>
      <c r="K562" s="12"/>
    </row>
    <row r="563" ht="19.5" customHeight="1">
      <c r="A563" s="12"/>
      <c r="C563" s="12"/>
      <c r="D563" s="87"/>
      <c r="F563" s="14"/>
      <c r="G563" s="14"/>
      <c r="H563" s="14"/>
      <c r="I563" s="14"/>
      <c r="J563" s="14"/>
      <c r="K563" s="12"/>
    </row>
    <row r="564" ht="19.5" customHeight="1">
      <c r="A564" s="12"/>
      <c r="C564" s="12"/>
      <c r="D564" s="87"/>
      <c r="F564" s="14"/>
      <c r="G564" s="14"/>
      <c r="H564" s="14"/>
      <c r="I564" s="14"/>
      <c r="J564" s="14"/>
      <c r="K564" s="12"/>
    </row>
    <row r="565" ht="19.5" customHeight="1">
      <c r="A565" s="12"/>
      <c r="C565" s="12"/>
      <c r="D565" s="87"/>
      <c r="F565" s="14"/>
      <c r="G565" s="14"/>
      <c r="H565" s="14"/>
      <c r="I565" s="14"/>
      <c r="J565" s="14"/>
      <c r="K565" s="12"/>
    </row>
    <row r="566" ht="19.5" customHeight="1">
      <c r="A566" s="12"/>
      <c r="C566" s="12"/>
      <c r="D566" s="87"/>
      <c r="F566" s="14"/>
      <c r="G566" s="14"/>
      <c r="H566" s="14"/>
      <c r="I566" s="14"/>
      <c r="J566" s="14"/>
      <c r="K566" s="12"/>
    </row>
    <row r="567" ht="19.5" customHeight="1">
      <c r="A567" s="12"/>
      <c r="C567" s="12"/>
      <c r="D567" s="87"/>
      <c r="F567" s="14"/>
      <c r="G567" s="14"/>
      <c r="H567" s="14"/>
      <c r="I567" s="14"/>
      <c r="J567" s="14"/>
      <c r="K567" s="12"/>
    </row>
    <row r="568" ht="19.5" customHeight="1">
      <c r="A568" s="12"/>
      <c r="C568" s="12"/>
      <c r="D568" s="87"/>
      <c r="F568" s="14"/>
      <c r="G568" s="14"/>
      <c r="H568" s="14"/>
      <c r="I568" s="14"/>
      <c r="J568" s="14"/>
      <c r="K568" s="12"/>
    </row>
    <row r="569" ht="19.5" customHeight="1">
      <c r="A569" s="12"/>
      <c r="C569" s="12"/>
      <c r="D569" s="87"/>
      <c r="F569" s="14"/>
      <c r="G569" s="14"/>
      <c r="H569" s="14"/>
      <c r="I569" s="14"/>
      <c r="J569" s="14"/>
      <c r="K569" s="12"/>
    </row>
    <row r="570" ht="19.5" customHeight="1">
      <c r="A570" s="12"/>
      <c r="C570" s="12"/>
      <c r="D570" s="87"/>
      <c r="F570" s="14"/>
      <c r="G570" s="14"/>
      <c r="H570" s="14"/>
      <c r="I570" s="14"/>
      <c r="J570" s="14"/>
      <c r="K570" s="12"/>
    </row>
    <row r="571" ht="19.5" customHeight="1">
      <c r="A571" s="12"/>
      <c r="C571" s="12"/>
      <c r="D571" s="87"/>
      <c r="F571" s="14"/>
      <c r="G571" s="14"/>
      <c r="H571" s="14"/>
      <c r="I571" s="14"/>
      <c r="J571" s="14"/>
      <c r="K571" s="12"/>
    </row>
    <row r="572" ht="19.5" customHeight="1">
      <c r="A572" s="12"/>
      <c r="C572" s="12"/>
      <c r="D572" s="87"/>
      <c r="F572" s="14"/>
      <c r="G572" s="14"/>
      <c r="H572" s="14"/>
      <c r="I572" s="14"/>
      <c r="J572" s="14"/>
      <c r="K572" s="12"/>
    </row>
    <row r="573" ht="19.5" customHeight="1">
      <c r="A573" s="12"/>
      <c r="C573" s="12"/>
      <c r="D573" s="87"/>
      <c r="F573" s="14"/>
      <c r="G573" s="14"/>
      <c r="H573" s="14"/>
      <c r="I573" s="14"/>
      <c r="J573" s="14"/>
      <c r="K573" s="12"/>
    </row>
    <row r="574" ht="19.5" customHeight="1">
      <c r="A574" s="12"/>
      <c r="C574" s="12"/>
      <c r="D574" s="87"/>
      <c r="F574" s="14"/>
      <c r="G574" s="14"/>
      <c r="H574" s="14"/>
      <c r="I574" s="14"/>
      <c r="J574" s="14"/>
      <c r="K574" s="12"/>
    </row>
    <row r="575" ht="19.5" customHeight="1">
      <c r="A575" s="12"/>
      <c r="C575" s="12"/>
      <c r="D575" s="87"/>
      <c r="F575" s="14"/>
      <c r="G575" s="14"/>
      <c r="H575" s="14"/>
      <c r="I575" s="14"/>
      <c r="J575" s="14"/>
      <c r="K575" s="12"/>
    </row>
    <row r="576" ht="19.5" customHeight="1">
      <c r="A576" s="12"/>
      <c r="C576" s="12"/>
      <c r="D576" s="87"/>
      <c r="F576" s="14"/>
      <c r="G576" s="14"/>
      <c r="H576" s="14"/>
      <c r="I576" s="14"/>
      <c r="J576" s="14"/>
      <c r="K576" s="12"/>
    </row>
    <row r="577" ht="19.5" customHeight="1">
      <c r="A577" s="12"/>
      <c r="C577" s="12"/>
      <c r="D577" s="87"/>
      <c r="F577" s="14"/>
      <c r="G577" s="14"/>
      <c r="H577" s="14"/>
      <c r="I577" s="14"/>
      <c r="J577" s="14"/>
      <c r="K577" s="12"/>
    </row>
    <row r="578" ht="19.5" customHeight="1">
      <c r="A578" s="12"/>
      <c r="C578" s="12"/>
      <c r="D578" s="87"/>
      <c r="F578" s="14"/>
      <c r="G578" s="14"/>
      <c r="H578" s="14"/>
      <c r="I578" s="14"/>
      <c r="J578" s="14"/>
      <c r="K578" s="12"/>
    </row>
    <row r="579" ht="19.5" customHeight="1">
      <c r="A579" s="12"/>
      <c r="C579" s="12"/>
      <c r="D579" s="87"/>
      <c r="F579" s="14"/>
      <c r="G579" s="14"/>
      <c r="H579" s="14"/>
      <c r="I579" s="14"/>
      <c r="J579" s="14"/>
      <c r="K579" s="12"/>
    </row>
    <row r="580" ht="19.5" customHeight="1">
      <c r="A580" s="12"/>
      <c r="C580" s="12"/>
      <c r="D580" s="87"/>
      <c r="F580" s="14"/>
      <c r="G580" s="14"/>
      <c r="H580" s="14"/>
      <c r="I580" s="14"/>
      <c r="J580" s="14"/>
      <c r="K580" s="12"/>
    </row>
    <row r="581" ht="19.5" customHeight="1">
      <c r="A581" s="12"/>
      <c r="C581" s="12"/>
      <c r="D581" s="87"/>
      <c r="F581" s="14"/>
      <c r="G581" s="14"/>
      <c r="H581" s="14"/>
      <c r="I581" s="14"/>
      <c r="J581" s="14"/>
      <c r="K581" s="12"/>
    </row>
    <row r="582" ht="19.5" customHeight="1">
      <c r="A582" s="12"/>
      <c r="C582" s="12"/>
      <c r="D582" s="87"/>
      <c r="F582" s="14"/>
      <c r="G582" s="14"/>
      <c r="H582" s="14"/>
      <c r="I582" s="14"/>
      <c r="J582" s="14"/>
      <c r="K582" s="12"/>
    </row>
    <row r="583" ht="19.5" customHeight="1">
      <c r="A583" s="12"/>
      <c r="C583" s="12"/>
      <c r="D583" s="87"/>
      <c r="F583" s="14"/>
      <c r="G583" s="14"/>
      <c r="H583" s="14"/>
      <c r="I583" s="14"/>
      <c r="J583" s="14"/>
      <c r="K583" s="12"/>
    </row>
    <row r="584" ht="19.5" customHeight="1">
      <c r="A584" s="12"/>
      <c r="C584" s="12"/>
      <c r="D584" s="87"/>
      <c r="F584" s="14"/>
      <c r="G584" s="14"/>
      <c r="H584" s="14"/>
      <c r="I584" s="14"/>
      <c r="J584" s="14"/>
      <c r="K584" s="12"/>
    </row>
    <row r="585" ht="19.5" customHeight="1">
      <c r="A585" s="12"/>
      <c r="C585" s="12"/>
      <c r="D585" s="87"/>
      <c r="F585" s="14"/>
      <c r="G585" s="14"/>
      <c r="H585" s="14"/>
      <c r="I585" s="14"/>
      <c r="J585" s="14"/>
      <c r="K585" s="12"/>
    </row>
    <row r="586" ht="19.5" customHeight="1">
      <c r="A586" s="12"/>
      <c r="C586" s="12"/>
      <c r="D586" s="87"/>
      <c r="F586" s="14"/>
      <c r="G586" s="14"/>
      <c r="H586" s="14"/>
      <c r="I586" s="14"/>
      <c r="J586" s="14"/>
      <c r="K586" s="12"/>
    </row>
    <row r="587" ht="19.5" customHeight="1">
      <c r="A587" s="12"/>
      <c r="C587" s="12"/>
      <c r="D587" s="87"/>
      <c r="F587" s="14"/>
      <c r="G587" s="14"/>
      <c r="H587" s="14"/>
      <c r="I587" s="14"/>
      <c r="J587" s="14"/>
      <c r="K587" s="12"/>
    </row>
    <row r="588" ht="19.5" customHeight="1">
      <c r="A588" s="12"/>
      <c r="C588" s="12"/>
      <c r="D588" s="87"/>
      <c r="F588" s="14"/>
      <c r="G588" s="14"/>
      <c r="H588" s="14"/>
      <c r="I588" s="14"/>
      <c r="J588" s="14"/>
      <c r="K588" s="12"/>
    </row>
    <row r="589" ht="19.5" customHeight="1">
      <c r="A589" s="12"/>
      <c r="C589" s="12"/>
      <c r="D589" s="87"/>
      <c r="F589" s="14"/>
      <c r="G589" s="14"/>
      <c r="H589" s="14"/>
      <c r="I589" s="14"/>
      <c r="J589" s="14"/>
      <c r="K589" s="12"/>
    </row>
    <row r="590" ht="19.5" customHeight="1">
      <c r="A590" s="12"/>
      <c r="C590" s="12"/>
      <c r="D590" s="87"/>
      <c r="F590" s="14"/>
      <c r="G590" s="14"/>
      <c r="H590" s="14"/>
      <c r="I590" s="14"/>
      <c r="J590" s="14"/>
      <c r="K590" s="12"/>
    </row>
    <row r="591" ht="19.5" customHeight="1">
      <c r="A591" s="12"/>
      <c r="C591" s="12"/>
      <c r="D591" s="87"/>
      <c r="F591" s="14"/>
      <c r="G591" s="14"/>
      <c r="H591" s="14"/>
      <c r="I591" s="14"/>
      <c r="J591" s="14"/>
      <c r="K591" s="12"/>
    </row>
    <row r="592" ht="19.5" customHeight="1">
      <c r="A592" s="12"/>
      <c r="C592" s="12"/>
      <c r="D592" s="87"/>
      <c r="F592" s="14"/>
      <c r="G592" s="14"/>
      <c r="H592" s="14"/>
      <c r="I592" s="14"/>
      <c r="J592" s="14"/>
      <c r="K592" s="12"/>
    </row>
    <row r="593" ht="19.5" customHeight="1">
      <c r="A593" s="12"/>
      <c r="C593" s="12"/>
      <c r="D593" s="87"/>
      <c r="F593" s="14"/>
      <c r="G593" s="14"/>
      <c r="H593" s="14"/>
      <c r="I593" s="14"/>
      <c r="J593" s="14"/>
      <c r="K593" s="12"/>
    </row>
    <row r="594" ht="19.5" customHeight="1">
      <c r="A594" s="12"/>
      <c r="C594" s="12"/>
      <c r="D594" s="87"/>
      <c r="F594" s="14"/>
      <c r="G594" s="14"/>
      <c r="H594" s="14"/>
      <c r="I594" s="14"/>
      <c r="J594" s="14"/>
      <c r="K594" s="12"/>
    </row>
    <row r="595" ht="19.5" customHeight="1">
      <c r="A595" s="12"/>
      <c r="C595" s="12"/>
      <c r="D595" s="87"/>
      <c r="F595" s="14"/>
      <c r="G595" s="14"/>
      <c r="H595" s="14"/>
      <c r="I595" s="14"/>
      <c r="J595" s="14"/>
      <c r="K595" s="12"/>
    </row>
    <row r="596" ht="19.5" customHeight="1">
      <c r="A596" s="12"/>
      <c r="C596" s="12"/>
      <c r="D596" s="87"/>
      <c r="F596" s="14"/>
      <c r="G596" s="14"/>
      <c r="H596" s="14"/>
      <c r="I596" s="14"/>
      <c r="J596" s="14"/>
      <c r="K596" s="12"/>
    </row>
    <row r="597" ht="19.5" customHeight="1">
      <c r="A597" s="12"/>
      <c r="C597" s="12"/>
      <c r="D597" s="87"/>
      <c r="F597" s="14"/>
      <c r="G597" s="14"/>
      <c r="H597" s="14"/>
      <c r="I597" s="14"/>
      <c r="J597" s="14"/>
      <c r="K597" s="12"/>
    </row>
    <row r="598" ht="19.5" customHeight="1">
      <c r="A598" s="12"/>
      <c r="C598" s="12"/>
      <c r="D598" s="87"/>
      <c r="F598" s="14"/>
      <c r="G598" s="14"/>
      <c r="H598" s="14"/>
      <c r="I598" s="14"/>
      <c r="J598" s="14"/>
      <c r="K598" s="12"/>
    </row>
    <row r="599" ht="19.5" customHeight="1">
      <c r="A599" s="12"/>
      <c r="C599" s="12"/>
      <c r="D599" s="87"/>
      <c r="F599" s="14"/>
      <c r="G599" s="14"/>
      <c r="H599" s="14"/>
      <c r="I599" s="14"/>
      <c r="J599" s="14"/>
      <c r="K599" s="12"/>
    </row>
    <row r="600" ht="19.5" customHeight="1">
      <c r="A600" s="12"/>
      <c r="C600" s="12"/>
      <c r="D600" s="87"/>
      <c r="F600" s="14"/>
      <c r="G600" s="14"/>
      <c r="H600" s="14"/>
      <c r="I600" s="14"/>
      <c r="J600" s="14"/>
      <c r="K600" s="12"/>
    </row>
    <row r="601" ht="19.5" customHeight="1">
      <c r="A601" s="12"/>
      <c r="C601" s="12"/>
      <c r="D601" s="87"/>
      <c r="F601" s="14"/>
      <c r="G601" s="14"/>
      <c r="H601" s="14"/>
      <c r="I601" s="14"/>
      <c r="J601" s="14"/>
      <c r="K601" s="12"/>
    </row>
    <row r="602" ht="19.5" customHeight="1">
      <c r="A602" s="12"/>
      <c r="C602" s="12"/>
      <c r="D602" s="87"/>
      <c r="F602" s="14"/>
      <c r="G602" s="14"/>
      <c r="H602" s="14"/>
      <c r="I602" s="14"/>
      <c r="J602" s="14"/>
      <c r="K602" s="12"/>
    </row>
    <row r="603" ht="19.5" customHeight="1">
      <c r="A603" s="12"/>
      <c r="C603" s="12"/>
      <c r="D603" s="87"/>
      <c r="F603" s="14"/>
      <c r="G603" s="14"/>
      <c r="H603" s="14"/>
      <c r="I603" s="14"/>
      <c r="J603" s="14"/>
      <c r="K603" s="12"/>
    </row>
    <row r="604" ht="19.5" customHeight="1">
      <c r="A604" s="12"/>
      <c r="C604" s="12"/>
      <c r="D604" s="87"/>
      <c r="F604" s="14"/>
      <c r="G604" s="14"/>
      <c r="H604" s="14"/>
      <c r="I604" s="14"/>
      <c r="J604" s="14"/>
      <c r="K604" s="12"/>
    </row>
    <row r="605" ht="19.5" customHeight="1">
      <c r="A605" s="12"/>
      <c r="C605" s="12"/>
      <c r="D605" s="87"/>
      <c r="F605" s="14"/>
      <c r="G605" s="14"/>
      <c r="H605" s="14"/>
      <c r="I605" s="14"/>
      <c r="J605" s="14"/>
      <c r="K605" s="12"/>
    </row>
    <row r="606" ht="19.5" customHeight="1">
      <c r="A606" s="12"/>
      <c r="C606" s="12"/>
      <c r="D606" s="87"/>
      <c r="F606" s="14"/>
      <c r="G606" s="14"/>
      <c r="H606" s="14"/>
      <c r="I606" s="14"/>
      <c r="J606" s="14"/>
      <c r="K606" s="12"/>
    </row>
    <row r="607" ht="19.5" customHeight="1">
      <c r="A607" s="12"/>
      <c r="C607" s="12"/>
      <c r="D607" s="87"/>
      <c r="F607" s="14"/>
      <c r="G607" s="14"/>
      <c r="H607" s="14"/>
      <c r="I607" s="14"/>
      <c r="J607" s="14"/>
      <c r="K607" s="12"/>
    </row>
    <row r="608" ht="19.5" customHeight="1">
      <c r="A608" s="12"/>
      <c r="C608" s="12"/>
      <c r="D608" s="87"/>
      <c r="F608" s="14"/>
      <c r="G608" s="14"/>
      <c r="H608" s="14"/>
      <c r="I608" s="14"/>
      <c r="J608" s="14"/>
      <c r="K608" s="12"/>
    </row>
    <row r="609" ht="19.5" customHeight="1">
      <c r="A609" s="12"/>
      <c r="C609" s="12"/>
      <c r="D609" s="87"/>
      <c r="F609" s="14"/>
      <c r="G609" s="14"/>
      <c r="H609" s="14"/>
      <c r="I609" s="14"/>
      <c r="J609" s="14"/>
      <c r="K609" s="12"/>
    </row>
    <row r="610" ht="19.5" customHeight="1">
      <c r="A610" s="12"/>
      <c r="C610" s="12"/>
      <c r="D610" s="87"/>
      <c r="F610" s="14"/>
      <c r="G610" s="14"/>
      <c r="H610" s="14"/>
      <c r="I610" s="14"/>
      <c r="J610" s="14"/>
      <c r="K610" s="12"/>
    </row>
    <row r="611" ht="19.5" customHeight="1">
      <c r="A611" s="12"/>
      <c r="C611" s="12"/>
      <c r="D611" s="87"/>
      <c r="F611" s="14"/>
      <c r="G611" s="14"/>
      <c r="H611" s="14"/>
      <c r="I611" s="14"/>
      <c r="J611" s="14"/>
      <c r="K611" s="12"/>
    </row>
    <row r="612" ht="19.5" customHeight="1">
      <c r="A612" s="12"/>
      <c r="C612" s="12"/>
      <c r="D612" s="87"/>
      <c r="F612" s="14"/>
      <c r="G612" s="14"/>
      <c r="H612" s="14"/>
      <c r="I612" s="14"/>
      <c r="J612" s="14"/>
      <c r="K612" s="12"/>
    </row>
    <row r="613" ht="19.5" customHeight="1">
      <c r="A613" s="12"/>
      <c r="C613" s="12"/>
      <c r="D613" s="87"/>
      <c r="F613" s="14"/>
      <c r="G613" s="14"/>
      <c r="H613" s="14"/>
      <c r="I613" s="14"/>
      <c r="J613" s="14"/>
      <c r="K613" s="12"/>
    </row>
    <row r="614" ht="19.5" customHeight="1">
      <c r="A614" s="12"/>
      <c r="C614" s="12"/>
      <c r="D614" s="87"/>
      <c r="F614" s="14"/>
      <c r="G614" s="14"/>
      <c r="H614" s="14"/>
      <c r="I614" s="14"/>
      <c r="J614" s="14"/>
      <c r="K614" s="12"/>
    </row>
    <row r="615" ht="19.5" customHeight="1">
      <c r="A615" s="12"/>
      <c r="C615" s="12"/>
      <c r="D615" s="87"/>
      <c r="F615" s="14"/>
      <c r="G615" s="14"/>
      <c r="H615" s="14"/>
      <c r="I615" s="14"/>
      <c r="J615" s="14"/>
      <c r="K615" s="12"/>
    </row>
    <row r="616" ht="19.5" customHeight="1">
      <c r="A616" s="12"/>
      <c r="C616" s="12"/>
      <c r="D616" s="87"/>
      <c r="F616" s="14"/>
      <c r="G616" s="14"/>
      <c r="H616" s="14"/>
      <c r="I616" s="14"/>
      <c r="J616" s="14"/>
      <c r="K616" s="12"/>
    </row>
    <row r="617" ht="19.5" customHeight="1">
      <c r="A617" s="12"/>
      <c r="C617" s="12"/>
      <c r="D617" s="87"/>
      <c r="F617" s="14"/>
      <c r="G617" s="14"/>
      <c r="H617" s="14"/>
      <c r="I617" s="14"/>
      <c r="J617" s="14"/>
      <c r="K617" s="12"/>
    </row>
    <row r="618" ht="19.5" customHeight="1">
      <c r="A618" s="12"/>
      <c r="C618" s="12"/>
      <c r="D618" s="87"/>
      <c r="F618" s="14"/>
      <c r="G618" s="14"/>
      <c r="H618" s="14"/>
      <c r="I618" s="14"/>
      <c r="J618" s="14"/>
      <c r="K618" s="12"/>
    </row>
    <row r="619" ht="19.5" customHeight="1">
      <c r="A619" s="12"/>
      <c r="C619" s="12"/>
      <c r="D619" s="87"/>
      <c r="F619" s="14"/>
      <c r="G619" s="14"/>
      <c r="H619" s="14"/>
      <c r="I619" s="14"/>
      <c r="J619" s="14"/>
      <c r="K619" s="12"/>
    </row>
    <row r="620" ht="19.5" customHeight="1">
      <c r="A620" s="12"/>
      <c r="C620" s="12"/>
      <c r="D620" s="87"/>
      <c r="F620" s="14"/>
      <c r="G620" s="14"/>
      <c r="H620" s="14"/>
      <c r="I620" s="14"/>
      <c r="J620" s="14"/>
      <c r="K620" s="12"/>
    </row>
    <row r="621" ht="19.5" customHeight="1">
      <c r="A621" s="12"/>
      <c r="C621" s="12"/>
      <c r="D621" s="87"/>
      <c r="F621" s="14"/>
      <c r="G621" s="14"/>
      <c r="H621" s="14"/>
      <c r="I621" s="14"/>
      <c r="J621" s="14"/>
      <c r="K621" s="12"/>
    </row>
    <row r="622" ht="19.5" customHeight="1">
      <c r="A622" s="12"/>
      <c r="C622" s="12"/>
      <c r="D622" s="87"/>
      <c r="F622" s="14"/>
      <c r="G622" s="14"/>
      <c r="H622" s="14"/>
      <c r="I622" s="14"/>
      <c r="J622" s="14"/>
      <c r="K622" s="12"/>
    </row>
    <row r="623" ht="19.5" customHeight="1">
      <c r="A623" s="12"/>
      <c r="C623" s="12"/>
      <c r="D623" s="87"/>
      <c r="F623" s="14"/>
      <c r="G623" s="14"/>
      <c r="H623" s="14"/>
      <c r="I623" s="14"/>
      <c r="J623" s="14"/>
      <c r="K623" s="12"/>
    </row>
    <row r="624" ht="19.5" customHeight="1">
      <c r="A624" s="12"/>
      <c r="C624" s="12"/>
      <c r="D624" s="87"/>
      <c r="F624" s="14"/>
      <c r="G624" s="14"/>
      <c r="H624" s="14"/>
      <c r="I624" s="14"/>
      <c r="J624" s="14"/>
      <c r="K624" s="12"/>
    </row>
    <row r="625" ht="19.5" customHeight="1">
      <c r="A625" s="12"/>
      <c r="C625" s="12"/>
      <c r="D625" s="87"/>
      <c r="F625" s="14"/>
      <c r="G625" s="14"/>
      <c r="H625" s="14"/>
      <c r="I625" s="14"/>
      <c r="J625" s="14"/>
      <c r="K625" s="12"/>
    </row>
    <row r="626" ht="19.5" customHeight="1">
      <c r="A626" s="12"/>
      <c r="C626" s="12"/>
      <c r="D626" s="87"/>
      <c r="F626" s="14"/>
      <c r="G626" s="14"/>
      <c r="H626" s="14"/>
      <c r="I626" s="14"/>
      <c r="J626" s="14"/>
      <c r="K626" s="12"/>
    </row>
    <row r="627" ht="19.5" customHeight="1">
      <c r="A627" s="12"/>
      <c r="C627" s="12"/>
      <c r="D627" s="87"/>
      <c r="F627" s="14"/>
      <c r="G627" s="14"/>
      <c r="H627" s="14"/>
      <c r="I627" s="14"/>
      <c r="J627" s="14"/>
      <c r="K627" s="12"/>
    </row>
    <row r="628" ht="19.5" customHeight="1">
      <c r="A628" s="12"/>
      <c r="C628" s="12"/>
      <c r="D628" s="87"/>
      <c r="F628" s="14"/>
      <c r="G628" s="14"/>
      <c r="H628" s="14"/>
      <c r="I628" s="14"/>
      <c r="J628" s="14"/>
      <c r="K628" s="12"/>
    </row>
    <row r="629" ht="19.5" customHeight="1">
      <c r="A629" s="12"/>
      <c r="C629" s="12"/>
      <c r="D629" s="87"/>
      <c r="F629" s="14"/>
      <c r="G629" s="14"/>
      <c r="H629" s="14"/>
      <c r="I629" s="14"/>
      <c r="J629" s="14"/>
      <c r="K629" s="12"/>
    </row>
    <row r="630" ht="19.5" customHeight="1">
      <c r="A630" s="12"/>
      <c r="C630" s="12"/>
      <c r="D630" s="87"/>
      <c r="F630" s="14"/>
      <c r="G630" s="14"/>
      <c r="H630" s="14"/>
      <c r="I630" s="14"/>
      <c r="J630" s="14"/>
      <c r="K630" s="12"/>
    </row>
    <row r="631" ht="19.5" customHeight="1">
      <c r="A631" s="12"/>
      <c r="C631" s="12"/>
      <c r="D631" s="87"/>
      <c r="F631" s="14"/>
      <c r="G631" s="14"/>
      <c r="H631" s="14"/>
      <c r="I631" s="14"/>
      <c r="J631" s="14"/>
      <c r="K631" s="12"/>
    </row>
    <row r="632" ht="19.5" customHeight="1">
      <c r="A632" s="12"/>
      <c r="C632" s="12"/>
      <c r="D632" s="87"/>
      <c r="F632" s="14"/>
      <c r="G632" s="14"/>
      <c r="H632" s="14"/>
      <c r="I632" s="14"/>
      <c r="J632" s="14"/>
      <c r="K632" s="12"/>
    </row>
    <row r="633" ht="19.5" customHeight="1">
      <c r="A633" s="12"/>
      <c r="C633" s="12"/>
      <c r="D633" s="87"/>
      <c r="F633" s="14"/>
      <c r="G633" s="14"/>
      <c r="H633" s="14"/>
      <c r="I633" s="14"/>
      <c r="J633" s="14"/>
      <c r="K633" s="12"/>
    </row>
    <row r="634" ht="19.5" customHeight="1">
      <c r="A634" s="12"/>
      <c r="C634" s="12"/>
      <c r="D634" s="87"/>
      <c r="F634" s="14"/>
      <c r="G634" s="14"/>
      <c r="H634" s="14"/>
      <c r="I634" s="14"/>
      <c r="J634" s="14"/>
      <c r="K634" s="12"/>
    </row>
    <row r="635" ht="19.5" customHeight="1">
      <c r="A635" s="12"/>
      <c r="C635" s="12"/>
      <c r="D635" s="87"/>
      <c r="F635" s="14"/>
      <c r="G635" s="14"/>
      <c r="H635" s="14"/>
      <c r="I635" s="14"/>
      <c r="J635" s="14"/>
      <c r="K635" s="12"/>
    </row>
    <row r="636" ht="19.5" customHeight="1">
      <c r="A636" s="12"/>
      <c r="C636" s="12"/>
      <c r="D636" s="87"/>
      <c r="F636" s="14"/>
      <c r="G636" s="14"/>
      <c r="H636" s="14"/>
      <c r="I636" s="14"/>
      <c r="J636" s="14"/>
      <c r="K636" s="12"/>
    </row>
    <row r="637" ht="19.5" customHeight="1">
      <c r="A637" s="12"/>
      <c r="C637" s="12"/>
      <c r="D637" s="87"/>
      <c r="F637" s="14"/>
      <c r="G637" s="14"/>
      <c r="H637" s="14"/>
      <c r="I637" s="14"/>
      <c r="J637" s="14"/>
      <c r="K637" s="12"/>
    </row>
    <row r="638" ht="19.5" customHeight="1">
      <c r="A638" s="12"/>
      <c r="C638" s="12"/>
      <c r="D638" s="87"/>
      <c r="F638" s="14"/>
      <c r="G638" s="14"/>
      <c r="H638" s="14"/>
      <c r="I638" s="14"/>
      <c r="J638" s="14"/>
      <c r="K638" s="12"/>
    </row>
    <row r="639" ht="19.5" customHeight="1">
      <c r="A639" s="12"/>
      <c r="C639" s="12"/>
      <c r="D639" s="87"/>
      <c r="F639" s="14"/>
      <c r="G639" s="14"/>
      <c r="H639" s="14"/>
      <c r="I639" s="14"/>
      <c r="J639" s="14"/>
      <c r="K639" s="12"/>
    </row>
    <row r="640" ht="19.5" customHeight="1">
      <c r="A640" s="12"/>
      <c r="C640" s="12"/>
      <c r="D640" s="87"/>
      <c r="F640" s="14"/>
      <c r="G640" s="14"/>
      <c r="H640" s="14"/>
      <c r="I640" s="14"/>
      <c r="J640" s="14"/>
      <c r="K640" s="12"/>
    </row>
    <row r="641" ht="19.5" customHeight="1">
      <c r="A641" s="12"/>
      <c r="C641" s="12"/>
      <c r="D641" s="87"/>
      <c r="F641" s="14"/>
      <c r="G641" s="14"/>
      <c r="H641" s="14"/>
      <c r="I641" s="14"/>
      <c r="J641" s="14"/>
      <c r="K641" s="12"/>
    </row>
    <row r="642" ht="19.5" customHeight="1">
      <c r="A642" s="12"/>
      <c r="C642" s="12"/>
      <c r="D642" s="87"/>
      <c r="F642" s="14"/>
      <c r="G642" s="14"/>
      <c r="H642" s="14"/>
      <c r="I642" s="14"/>
      <c r="J642" s="14"/>
      <c r="K642" s="12"/>
    </row>
    <row r="643" ht="19.5" customHeight="1">
      <c r="A643" s="12"/>
      <c r="C643" s="12"/>
      <c r="D643" s="87"/>
      <c r="F643" s="14"/>
      <c r="G643" s="14"/>
      <c r="H643" s="14"/>
      <c r="I643" s="14"/>
      <c r="J643" s="14"/>
      <c r="K643" s="12"/>
    </row>
    <row r="644" ht="19.5" customHeight="1">
      <c r="A644" s="12"/>
      <c r="C644" s="12"/>
      <c r="D644" s="87"/>
      <c r="F644" s="14"/>
      <c r="G644" s="14"/>
      <c r="H644" s="14"/>
      <c r="I644" s="14"/>
      <c r="J644" s="14"/>
      <c r="K644" s="12"/>
    </row>
    <row r="645" ht="19.5" customHeight="1">
      <c r="A645" s="12"/>
      <c r="C645" s="12"/>
      <c r="D645" s="87"/>
      <c r="F645" s="14"/>
      <c r="G645" s="14"/>
      <c r="H645" s="14"/>
      <c r="I645" s="14"/>
      <c r="J645" s="14"/>
      <c r="K645" s="12"/>
    </row>
    <row r="646" ht="19.5" customHeight="1">
      <c r="A646" s="12"/>
      <c r="C646" s="12"/>
      <c r="D646" s="87"/>
      <c r="F646" s="14"/>
      <c r="G646" s="14"/>
      <c r="H646" s="14"/>
      <c r="I646" s="14"/>
      <c r="J646" s="14"/>
      <c r="K646" s="12"/>
    </row>
    <row r="647" ht="19.5" customHeight="1">
      <c r="A647" s="12"/>
      <c r="C647" s="12"/>
      <c r="D647" s="87"/>
      <c r="F647" s="14"/>
      <c r="G647" s="14"/>
      <c r="H647" s="14"/>
      <c r="I647" s="14"/>
      <c r="J647" s="14"/>
      <c r="K647" s="12"/>
    </row>
    <row r="648" ht="19.5" customHeight="1">
      <c r="A648" s="12"/>
      <c r="C648" s="12"/>
      <c r="D648" s="87"/>
      <c r="F648" s="14"/>
      <c r="G648" s="14"/>
      <c r="H648" s="14"/>
      <c r="I648" s="14"/>
      <c r="J648" s="14"/>
      <c r="K648" s="12"/>
    </row>
    <row r="649" ht="19.5" customHeight="1">
      <c r="A649" s="12"/>
      <c r="C649" s="12"/>
      <c r="D649" s="87"/>
      <c r="F649" s="14"/>
      <c r="G649" s="14"/>
      <c r="H649" s="14"/>
      <c r="I649" s="14"/>
      <c r="J649" s="14"/>
      <c r="K649" s="12"/>
    </row>
    <row r="650" ht="19.5" customHeight="1">
      <c r="A650" s="12"/>
      <c r="C650" s="12"/>
      <c r="D650" s="87"/>
      <c r="F650" s="14"/>
      <c r="G650" s="14"/>
      <c r="H650" s="14"/>
      <c r="I650" s="14"/>
      <c r="J650" s="14"/>
      <c r="K650" s="12"/>
    </row>
    <row r="651" ht="19.5" customHeight="1">
      <c r="A651" s="12"/>
      <c r="C651" s="12"/>
      <c r="D651" s="87"/>
      <c r="F651" s="14"/>
      <c r="G651" s="14"/>
      <c r="H651" s="14"/>
      <c r="I651" s="14"/>
      <c r="J651" s="14"/>
      <c r="K651" s="12"/>
    </row>
    <row r="652" ht="19.5" customHeight="1">
      <c r="A652" s="12"/>
      <c r="C652" s="12"/>
      <c r="D652" s="87"/>
      <c r="F652" s="14"/>
      <c r="G652" s="14"/>
      <c r="H652" s="14"/>
      <c r="I652" s="14"/>
      <c r="J652" s="14"/>
      <c r="K652" s="12"/>
    </row>
    <row r="653" ht="19.5" customHeight="1">
      <c r="A653" s="12"/>
      <c r="C653" s="12"/>
      <c r="D653" s="87"/>
      <c r="F653" s="14"/>
      <c r="G653" s="14"/>
      <c r="H653" s="14"/>
      <c r="I653" s="14"/>
      <c r="J653" s="14"/>
      <c r="K653" s="12"/>
    </row>
    <row r="654" ht="19.5" customHeight="1">
      <c r="A654" s="12"/>
      <c r="C654" s="12"/>
      <c r="D654" s="87"/>
      <c r="F654" s="14"/>
      <c r="G654" s="14"/>
      <c r="H654" s="14"/>
      <c r="I654" s="14"/>
      <c r="J654" s="14"/>
      <c r="K654" s="12"/>
    </row>
    <row r="655" ht="19.5" customHeight="1">
      <c r="A655" s="12"/>
      <c r="C655" s="12"/>
      <c r="D655" s="87"/>
      <c r="F655" s="14"/>
      <c r="G655" s="14"/>
      <c r="H655" s="14"/>
      <c r="I655" s="14"/>
      <c r="J655" s="14"/>
      <c r="K655" s="12"/>
    </row>
    <row r="656" ht="19.5" customHeight="1">
      <c r="A656" s="12"/>
      <c r="C656" s="12"/>
      <c r="D656" s="87"/>
      <c r="F656" s="14"/>
      <c r="G656" s="14"/>
      <c r="H656" s="14"/>
      <c r="I656" s="14"/>
      <c r="J656" s="14"/>
      <c r="K656" s="12"/>
    </row>
    <row r="657" ht="19.5" customHeight="1">
      <c r="A657" s="12"/>
      <c r="C657" s="12"/>
      <c r="D657" s="87"/>
      <c r="F657" s="14"/>
      <c r="G657" s="14"/>
      <c r="H657" s="14"/>
      <c r="I657" s="14"/>
      <c r="J657" s="14"/>
      <c r="K657" s="12"/>
    </row>
    <row r="658" ht="19.5" customHeight="1">
      <c r="A658" s="12"/>
      <c r="C658" s="12"/>
      <c r="D658" s="87"/>
      <c r="F658" s="14"/>
      <c r="G658" s="14"/>
      <c r="H658" s="14"/>
      <c r="I658" s="14"/>
      <c r="J658" s="14"/>
      <c r="K658" s="12"/>
    </row>
    <row r="659" ht="19.5" customHeight="1">
      <c r="A659" s="12"/>
      <c r="C659" s="12"/>
      <c r="D659" s="87"/>
      <c r="F659" s="14"/>
      <c r="G659" s="14"/>
      <c r="H659" s="14"/>
      <c r="I659" s="14"/>
      <c r="J659" s="14"/>
      <c r="K659" s="12"/>
    </row>
    <row r="660" ht="19.5" customHeight="1">
      <c r="A660" s="12"/>
      <c r="C660" s="12"/>
      <c r="D660" s="87"/>
      <c r="F660" s="14"/>
      <c r="G660" s="14"/>
      <c r="H660" s="14"/>
      <c r="I660" s="14"/>
      <c r="J660" s="14"/>
      <c r="K660" s="12"/>
    </row>
    <row r="661" ht="19.5" customHeight="1">
      <c r="A661" s="12"/>
      <c r="C661" s="12"/>
      <c r="D661" s="87"/>
      <c r="F661" s="14"/>
      <c r="G661" s="14"/>
      <c r="H661" s="14"/>
      <c r="I661" s="14"/>
      <c r="J661" s="14"/>
      <c r="K661" s="12"/>
    </row>
    <row r="662" ht="19.5" customHeight="1">
      <c r="A662" s="12"/>
      <c r="C662" s="12"/>
      <c r="D662" s="87"/>
      <c r="F662" s="14"/>
      <c r="G662" s="14"/>
      <c r="H662" s="14"/>
      <c r="I662" s="14"/>
      <c r="J662" s="14"/>
      <c r="K662" s="12"/>
    </row>
    <row r="663" ht="19.5" customHeight="1">
      <c r="A663" s="12"/>
      <c r="C663" s="12"/>
      <c r="D663" s="87"/>
      <c r="F663" s="14"/>
      <c r="G663" s="14"/>
      <c r="H663" s="14"/>
      <c r="I663" s="14"/>
      <c r="J663" s="14"/>
      <c r="K663" s="12"/>
    </row>
    <row r="664" ht="19.5" customHeight="1">
      <c r="A664" s="12"/>
      <c r="C664" s="12"/>
      <c r="D664" s="87"/>
      <c r="F664" s="14"/>
      <c r="G664" s="14"/>
      <c r="H664" s="14"/>
      <c r="I664" s="14"/>
      <c r="J664" s="14"/>
      <c r="K664" s="12"/>
    </row>
    <row r="665" ht="19.5" customHeight="1">
      <c r="A665" s="12"/>
      <c r="C665" s="12"/>
      <c r="D665" s="87"/>
      <c r="F665" s="14"/>
      <c r="G665" s="14"/>
      <c r="H665" s="14"/>
      <c r="I665" s="14"/>
      <c r="J665" s="14"/>
      <c r="K665" s="12"/>
    </row>
    <row r="666" ht="19.5" customHeight="1">
      <c r="A666" s="12"/>
      <c r="C666" s="12"/>
      <c r="D666" s="87"/>
      <c r="F666" s="14"/>
      <c r="G666" s="14"/>
      <c r="H666" s="14"/>
      <c r="I666" s="14"/>
      <c r="J666" s="14"/>
      <c r="K666" s="12"/>
    </row>
    <row r="667" ht="19.5" customHeight="1">
      <c r="A667" s="12"/>
      <c r="C667" s="12"/>
      <c r="D667" s="87"/>
      <c r="F667" s="14"/>
      <c r="G667" s="14"/>
      <c r="H667" s="14"/>
      <c r="I667" s="14"/>
      <c r="J667" s="14"/>
      <c r="K667" s="12"/>
    </row>
    <row r="668" ht="19.5" customHeight="1">
      <c r="A668" s="12"/>
      <c r="C668" s="12"/>
      <c r="D668" s="87"/>
      <c r="F668" s="14"/>
      <c r="G668" s="14"/>
      <c r="H668" s="14"/>
      <c r="I668" s="14"/>
      <c r="J668" s="14"/>
      <c r="K668" s="12"/>
    </row>
    <row r="669" ht="19.5" customHeight="1">
      <c r="A669" s="12"/>
      <c r="C669" s="12"/>
      <c r="D669" s="87"/>
      <c r="F669" s="14"/>
      <c r="G669" s="14"/>
      <c r="H669" s="14"/>
      <c r="I669" s="14"/>
      <c r="J669" s="14"/>
      <c r="K669" s="12"/>
    </row>
    <row r="670" ht="19.5" customHeight="1">
      <c r="A670" s="12"/>
      <c r="C670" s="12"/>
      <c r="D670" s="87"/>
      <c r="F670" s="14"/>
      <c r="G670" s="14"/>
      <c r="H670" s="14"/>
      <c r="I670" s="14"/>
      <c r="J670" s="14"/>
      <c r="K670" s="12"/>
    </row>
    <row r="671" ht="19.5" customHeight="1">
      <c r="A671" s="12"/>
      <c r="C671" s="12"/>
      <c r="D671" s="87"/>
      <c r="F671" s="14"/>
      <c r="G671" s="14"/>
      <c r="H671" s="14"/>
      <c r="I671" s="14"/>
      <c r="J671" s="14"/>
      <c r="K671" s="12"/>
    </row>
    <row r="672" ht="19.5" customHeight="1">
      <c r="A672" s="12"/>
      <c r="C672" s="12"/>
      <c r="D672" s="87"/>
      <c r="F672" s="14"/>
      <c r="G672" s="14"/>
      <c r="H672" s="14"/>
      <c r="I672" s="14"/>
      <c r="J672" s="14"/>
      <c r="K672" s="12"/>
    </row>
    <row r="673" ht="19.5" customHeight="1">
      <c r="A673" s="12"/>
      <c r="C673" s="12"/>
      <c r="D673" s="87"/>
      <c r="F673" s="14"/>
      <c r="G673" s="14"/>
      <c r="H673" s="14"/>
      <c r="I673" s="14"/>
      <c r="J673" s="14"/>
      <c r="K673" s="12"/>
    </row>
    <row r="674" ht="19.5" customHeight="1">
      <c r="A674" s="12"/>
      <c r="C674" s="12"/>
      <c r="D674" s="87"/>
      <c r="F674" s="14"/>
      <c r="G674" s="14"/>
      <c r="H674" s="14"/>
      <c r="I674" s="14"/>
      <c r="J674" s="14"/>
      <c r="K674" s="12"/>
    </row>
    <row r="675" ht="19.5" customHeight="1">
      <c r="A675" s="12"/>
      <c r="C675" s="12"/>
      <c r="D675" s="87"/>
      <c r="F675" s="14"/>
      <c r="G675" s="14"/>
      <c r="H675" s="14"/>
      <c r="I675" s="14"/>
      <c r="J675" s="14"/>
      <c r="K675" s="12"/>
    </row>
    <row r="676" ht="19.5" customHeight="1">
      <c r="A676" s="12"/>
      <c r="C676" s="12"/>
      <c r="D676" s="87"/>
      <c r="F676" s="14"/>
      <c r="G676" s="14"/>
      <c r="H676" s="14"/>
      <c r="I676" s="14"/>
      <c r="J676" s="14"/>
      <c r="K676" s="12"/>
    </row>
    <row r="677" ht="19.5" customHeight="1">
      <c r="A677" s="12"/>
      <c r="C677" s="12"/>
      <c r="D677" s="87"/>
      <c r="F677" s="14"/>
      <c r="G677" s="14"/>
      <c r="H677" s="14"/>
      <c r="I677" s="14"/>
      <c r="J677" s="14"/>
      <c r="K677" s="12"/>
    </row>
    <row r="678" ht="19.5" customHeight="1">
      <c r="A678" s="12"/>
      <c r="C678" s="12"/>
      <c r="D678" s="87"/>
      <c r="F678" s="14"/>
      <c r="G678" s="14"/>
      <c r="H678" s="14"/>
      <c r="I678" s="14"/>
      <c r="J678" s="14"/>
      <c r="K678" s="12"/>
    </row>
    <row r="679" ht="19.5" customHeight="1">
      <c r="A679" s="12"/>
      <c r="C679" s="12"/>
      <c r="D679" s="87"/>
      <c r="F679" s="14"/>
      <c r="G679" s="14"/>
      <c r="H679" s="14"/>
      <c r="I679" s="14"/>
      <c r="J679" s="14"/>
      <c r="K679" s="12"/>
    </row>
    <row r="680" ht="19.5" customHeight="1">
      <c r="A680" s="12"/>
      <c r="C680" s="12"/>
      <c r="D680" s="87"/>
      <c r="F680" s="14"/>
      <c r="G680" s="14"/>
      <c r="H680" s="14"/>
      <c r="I680" s="14"/>
      <c r="J680" s="14"/>
      <c r="K680" s="12"/>
    </row>
    <row r="681" ht="19.5" customHeight="1">
      <c r="A681" s="12"/>
      <c r="C681" s="12"/>
      <c r="D681" s="87"/>
      <c r="F681" s="14"/>
      <c r="G681" s="14"/>
      <c r="H681" s="14"/>
      <c r="I681" s="14"/>
      <c r="J681" s="14"/>
      <c r="K681" s="12"/>
    </row>
    <row r="682" ht="19.5" customHeight="1">
      <c r="A682" s="12"/>
      <c r="C682" s="12"/>
      <c r="D682" s="87"/>
      <c r="F682" s="14"/>
      <c r="G682" s="14"/>
      <c r="H682" s="14"/>
      <c r="I682" s="14"/>
      <c r="J682" s="14"/>
      <c r="K682" s="12"/>
    </row>
    <row r="683" ht="19.5" customHeight="1">
      <c r="A683" s="12"/>
      <c r="C683" s="12"/>
      <c r="D683" s="87"/>
      <c r="F683" s="14"/>
      <c r="G683" s="14"/>
      <c r="H683" s="14"/>
      <c r="I683" s="14"/>
      <c r="J683" s="14"/>
      <c r="K683" s="12"/>
    </row>
    <row r="684" ht="19.5" customHeight="1">
      <c r="A684" s="12"/>
      <c r="C684" s="12"/>
      <c r="D684" s="87"/>
      <c r="F684" s="14"/>
      <c r="G684" s="14"/>
      <c r="H684" s="14"/>
      <c r="I684" s="14"/>
      <c r="J684" s="14"/>
      <c r="K684" s="12"/>
    </row>
    <row r="685" ht="19.5" customHeight="1">
      <c r="A685" s="12"/>
      <c r="C685" s="12"/>
      <c r="D685" s="87"/>
      <c r="F685" s="14"/>
      <c r="G685" s="14"/>
      <c r="H685" s="14"/>
      <c r="I685" s="14"/>
      <c r="J685" s="14"/>
      <c r="K685" s="12"/>
    </row>
    <row r="686" ht="19.5" customHeight="1">
      <c r="A686" s="12"/>
      <c r="C686" s="12"/>
      <c r="D686" s="87"/>
      <c r="F686" s="14"/>
      <c r="G686" s="14"/>
      <c r="H686" s="14"/>
      <c r="I686" s="14"/>
      <c r="J686" s="14"/>
      <c r="K686" s="12"/>
    </row>
    <row r="687" ht="19.5" customHeight="1">
      <c r="A687" s="12"/>
      <c r="C687" s="12"/>
      <c r="D687" s="87"/>
      <c r="F687" s="14"/>
      <c r="G687" s="14"/>
      <c r="H687" s="14"/>
      <c r="I687" s="14"/>
      <c r="J687" s="14"/>
      <c r="K687" s="12"/>
    </row>
    <row r="688" ht="19.5" customHeight="1">
      <c r="A688" s="12"/>
      <c r="C688" s="12"/>
      <c r="D688" s="87"/>
      <c r="F688" s="14"/>
      <c r="G688" s="14"/>
      <c r="H688" s="14"/>
      <c r="I688" s="14"/>
      <c r="J688" s="14"/>
      <c r="K688" s="12"/>
    </row>
    <row r="689" ht="19.5" customHeight="1">
      <c r="A689" s="12"/>
      <c r="C689" s="12"/>
      <c r="D689" s="87"/>
      <c r="F689" s="14"/>
      <c r="G689" s="14"/>
      <c r="H689" s="14"/>
      <c r="I689" s="14"/>
      <c r="J689" s="14"/>
      <c r="K689" s="12"/>
    </row>
    <row r="690" ht="19.5" customHeight="1">
      <c r="A690" s="12"/>
      <c r="C690" s="12"/>
      <c r="D690" s="87"/>
      <c r="F690" s="14"/>
      <c r="G690" s="14"/>
      <c r="H690" s="14"/>
      <c r="I690" s="14"/>
      <c r="J690" s="14"/>
      <c r="K690" s="12"/>
    </row>
    <row r="691" ht="19.5" customHeight="1">
      <c r="A691" s="12"/>
      <c r="C691" s="12"/>
      <c r="D691" s="87"/>
      <c r="F691" s="14"/>
      <c r="G691" s="14"/>
      <c r="H691" s="14"/>
      <c r="I691" s="14"/>
      <c r="J691" s="14"/>
      <c r="K691" s="12"/>
    </row>
    <row r="692" ht="19.5" customHeight="1">
      <c r="A692" s="12"/>
      <c r="C692" s="12"/>
      <c r="D692" s="87"/>
      <c r="F692" s="14"/>
      <c r="G692" s="14"/>
      <c r="H692" s="14"/>
      <c r="I692" s="14"/>
      <c r="J692" s="14"/>
      <c r="K692" s="12"/>
    </row>
    <row r="693" ht="19.5" customHeight="1">
      <c r="A693" s="12"/>
      <c r="C693" s="12"/>
      <c r="D693" s="87"/>
      <c r="F693" s="14"/>
      <c r="G693" s="14"/>
      <c r="H693" s="14"/>
      <c r="I693" s="14"/>
      <c r="J693" s="14"/>
      <c r="K693" s="12"/>
    </row>
    <row r="694" ht="19.5" customHeight="1">
      <c r="A694" s="12"/>
      <c r="C694" s="12"/>
      <c r="D694" s="87"/>
      <c r="F694" s="14"/>
      <c r="G694" s="14"/>
      <c r="H694" s="14"/>
      <c r="I694" s="14"/>
      <c r="J694" s="14"/>
      <c r="K694" s="12"/>
    </row>
    <row r="695" ht="19.5" customHeight="1">
      <c r="A695" s="12"/>
      <c r="C695" s="12"/>
      <c r="D695" s="87"/>
      <c r="F695" s="14"/>
      <c r="G695" s="14"/>
      <c r="H695" s="14"/>
      <c r="I695" s="14"/>
      <c r="J695" s="14"/>
      <c r="K695" s="12"/>
    </row>
    <row r="696" ht="19.5" customHeight="1">
      <c r="A696" s="12"/>
      <c r="C696" s="12"/>
      <c r="D696" s="87"/>
      <c r="F696" s="14"/>
      <c r="G696" s="14"/>
      <c r="H696" s="14"/>
      <c r="I696" s="14"/>
      <c r="J696" s="14"/>
      <c r="K696" s="12"/>
    </row>
    <row r="697" ht="19.5" customHeight="1">
      <c r="A697" s="12"/>
      <c r="C697" s="12"/>
      <c r="D697" s="87"/>
      <c r="F697" s="14"/>
      <c r="G697" s="14"/>
      <c r="H697" s="14"/>
      <c r="I697" s="14"/>
      <c r="J697" s="14"/>
      <c r="K697" s="12"/>
    </row>
    <row r="698" ht="19.5" customHeight="1">
      <c r="A698" s="12"/>
      <c r="C698" s="12"/>
      <c r="D698" s="87"/>
      <c r="F698" s="14"/>
      <c r="G698" s="14"/>
      <c r="H698" s="14"/>
      <c r="I698" s="14"/>
      <c r="J698" s="14"/>
      <c r="K698" s="12"/>
    </row>
    <row r="699" ht="19.5" customHeight="1">
      <c r="A699" s="12"/>
      <c r="C699" s="12"/>
      <c r="D699" s="87"/>
      <c r="F699" s="14"/>
      <c r="G699" s="14"/>
      <c r="H699" s="14"/>
      <c r="I699" s="14"/>
      <c r="J699" s="14"/>
      <c r="K699" s="12"/>
    </row>
    <row r="700" ht="19.5" customHeight="1">
      <c r="A700" s="12"/>
      <c r="C700" s="12"/>
      <c r="D700" s="87"/>
      <c r="F700" s="14"/>
      <c r="G700" s="14"/>
      <c r="H700" s="14"/>
      <c r="I700" s="14"/>
      <c r="J700" s="14"/>
      <c r="K700" s="12"/>
    </row>
    <row r="701" ht="19.5" customHeight="1">
      <c r="A701" s="12"/>
      <c r="C701" s="12"/>
      <c r="D701" s="87"/>
      <c r="F701" s="14"/>
      <c r="G701" s="14"/>
      <c r="H701" s="14"/>
      <c r="I701" s="14"/>
      <c r="J701" s="14"/>
      <c r="K701" s="12"/>
    </row>
    <row r="702" ht="19.5" customHeight="1">
      <c r="A702" s="12"/>
      <c r="C702" s="12"/>
      <c r="D702" s="87"/>
      <c r="F702" s="14"/>
      <c r="G702" s="14"/>
      <c r="H702" s="14"/>
      <c r="I702" s="14"/>
      <c r="J702" s="14"/>
      <c r="K702" s="12"/>
    </row>
    <row r="703" ht="19.5" customHeight="1">
      <c r="A703" s="12"/>
      <c r="C703" s="12"/>
      <c r="D703" s="87"/>
      <c r="F703" s="14"/>
      <c r="G703" s="14"/>
      <c r="H703" s="14"/>
      <c r="I703" s="14"/>
      <c r="J703" s="14"/>
      <c r="K703" s="12"/>
    </row>
    <row r="704" ht="19.5" customHeight="1">
      <c r="A704" s="12"/>
      <c r="C704" s="12"/>
      <c r="D704" s="87"/>
      <c r="F704" s="14"/>
      <c r="G704" s="14"/>
      <c r="H704" s="14"/>
      <c r="I704" s="14"/>
      <c r="J704" s="14"/>
      <c r="K704" s="12"/>
    </row>
    <row r="705" ht="19.5" customHeight="1">
      <c r="A705" s="12"/>
      <c r="C705" s="12"/>
      <c r="D705" s="87"/>
      <c r="F705" s="14"/>
      <c r="G705" s="14"/>
      <c r="H705" s="14"/>
      <c r="I705" s="14"/>
      <c r="J705" s="14"/>
      <c r="K705" s="12"/>
    </row>
    <row r="706" ht="19.5" customHeight="1">
      <c r="A706" s="12"/>
      <c r="C706" s="12"/>
      <c r="D706" s="87"/>
      <c r="F706" s="14"/>
      <c r="G706" s="14"/>
      <c r="H706" s="14"/>
      <c r="I706" s="14"/>
      <c r="J706" s="14"/>
      <c r="K706" s="12"/>
    </row>
    <row r="707" ht="19.5" customHeight="1">
      <c r="A707" s="12"/>
      <c r="C707" s="12"/>
      <c r="D707" s="87"/>
      <c r="F707" s="14"/>
      <c r="G707" s="14"/>
      <c r="H707" s="14"/>
      <c r="I707" s="14"/>
      <c r="J707" s="14"/>
      <c r="K707" s="12"/>
    </row>
    <row r="708" ht="19.5" customHeight="1">
      <c r="A708" s="12"/>
      <c r="C708" s="12"/>
      <c r="D708" s="87"/>
      <c r="F708" s="14"/>
      <c r="G708" s="14"/>
      <c r="H708" s="14"/>
      <c r="I708" s="14"/>
      <c r="J708" s="14"/>
      <c r="K708" s="12"/>
    </row>
    <row r="709" ht="19.5" customHeight="1">
      <c r="A709" s="12"/>
      <c r="C709" s="12"/>
      <c r="D709" s="87"/>
      <c r="F709" s="14"/>
      <c r="G709" s="14"/>
      <c r="H709" s="14"/>
      <c r="I709" s="14"/>
      <c r="J709" s="14"/>
      <c r="K709" s="12"/>
    </row>
    <row r="710" ht="19.5" customHeight="1">
      <c r="A710" s="12"/>
      <c r="C710" s="12"/>
      <c r="D710" s="87"/>
      <c r="F710" s="14"/>
      <c r="G710" s="14"/>
      <c r="H710" s="14"/>
      <c r="I710" s="14"/>
      <c r="J710" s="14"/>
      <c r="K710" s="12"/>
    </row>
    <row r="711" ht="19.5" customHeight="1">
      <c r="A711" s="12"/>
      <c r="C711" s="12"/>
      <c r="D711" s="87"/>
      <c r="F711" s="14"/>
      <c r="G711" s="14"/>
      <c r="H711" s="14"/>
      <c r="I711" s="14"/>
      <c r="J711" s="14"/>
      <c r="K711" s="12"/>
    </row>
    <row r="712" ht="19.5" customHeight="1">
      <c r="A712" s="12"/>
      <c r="C712" s="12"/>
      <c r="D712" s="87"/>
      <c r="F712" s="14"/>
      <c r="G712" s="14"/>
      <c r="H712" s="14"/>
      <c r="I712" s="14"/>
      <c r="J712" s="14"/>
      <c r="K712" s="12"/>
    </row>
    <row r="713" ht="19.5" customHeight="1">
      <c r="A713" s="12"/>
      <c r="C713" s="12"/>
      <c r="D713" s="87"/>
      <c r="F713" s="14"/>
      <c r="G713" s="14"/>
      <c r="H713" s="14"/>
      <c r="I713" s="14"/>
      <c r="J713" s="14"/>
      <c r="K713" s="12"/>
    </row>
    <row r="714" ht="19.5" customHeight="1">
      <c r="A714" s="12"/>
      <c r="C714" s="12"/>
      <c r="D714" s="87"/>
      <c r="F714" s="14"/>
      <c r="G714" s="14"/>
      <c r="H714" s="14"/>
      <c r="I714" s="14"/>
      <c r="J714" s="14"/>
      <c r="K714" s="12"/>
    </row>
    <row r="715" ht="19.5" customHeight="1">
      <c r="A715" s="12"/>
      <c r="C715" s="12"/>
      <c r="D715" s="87"/>
      <c r="F715" s="14"/>
      <c r="G715" s="14"/>
      <c r="H715" s="14"/>
      <c r="I715" s="14"/>
      <c r="J715" s="14"/>
      <c r="K715" s="12"/>
    </row>
    <row r="716" ht="19.5" customHeight="1">
      <c r="A716" s="12"/>
      <c r="C716" s="12"/>
      <c r="D716" s="87"/>
      <c r="F716" s="14"/>
      <c r="G716" s="14"/>
      <c r="H716" s="14"/>
      <c r="I716" s="14"/>
      <c r="J716" s="14"/>
      <c r="K716" s="12"/>
    </row>
    <row r="717" ht="19.5" customHeight="1">
      <c r="A717" s="12"/>
      <c r="C717" s="12"/>
      <c r="D717" s="87"/>
      <c r="F717" s="14"/>
      <c r="G717" s="14"/>
      <c r="H717" s="14"/>
      <c r="I717" s="14"/>
      <c r="J717" s="14"/>
      <c r="K717" s="12"/>
    </row>
    <row r="718" ht="19.5" customHeight="1">
      <c r="A718" s="12"/>
      <c r="C718" s="12"/>
      <c r="D718" s="87"/>
      <c r="F718" s="14"/>
      <c r="G718" s="14"/>
      <c r="H718" s="14"/>
      <c r="I718" s="14"/>
      <c r="J718" s="14"/>
      <c r="K718" s="12"/>
    </row>
    <row r="719" ht="19.5" customHeight="1">
      <c r="A719" s="12"/>
      <c r="C719" s="12"/>
      <c r="D719" s="87"/>
      <c r="F719" s="14"/>
      <c r="G719" s="14"/>
      <c r="H719" s="14"/>
      <c r="I719" s="14"/>
      <c r="J719" s="14"/>
      <c r="K719" s="12"/>
    </row>
    <row r="720" ht="19.5" customHeight="1">
      <c r="A720" s="12"/>
      <c r="C720" s="12"/>
      <c r="D720" s="87"/>
      <c r="F720" s="14"/>
      <c r="G720" s="14"/>
      <c r="H720" s="14"/>
      <c r="I720" s="14"/>
      <c r="J720" s="14"/>
      <c r="K720" s="12"/>
    </row>
    <row r="721" ht="19.5" customHeight="1">
      <c r="A721" s="12"/>
      <c r="C721" s="12"/>
      <c r="D721" s="87"/>
      <c r="F721" s="14"/>
      <c r="G721" s="14"/>
      <c r="H721" s="14"/>
      <c r="I721" s="14"/>
      <c r="J721" s="14"/>
      <c r="K721" s="12"/>
    </row>
    <row r="722" ht="19.5" customHeight="1">
      <c r="A722" s="12"/>
      <c r="C722" s="12"/>
      <c r="D722" s="87"/>
      <c r="F722" s="14"/>
      <c r="G722" s="14"/>
      <c r="H722" s="14"/>
      <c r="I722" s="14"/>
      <c r="J722" s="14"/>
      <c r="K722" s="12"/>
    </row>
    <row r="723" ht="19.5" customHeight="1">
      <c r="A723" s="12"/>
      <c r="C723" s="12"/>
      <c r="D723" s="87"/>
      <c r="F723" s="14"/>
      <c r="G723" s="14"/>
      <c r="H723" s="14"/>
      <c r="I723" s="14"/>
      <c r="J723" s="14"/>
      <c r="K723" s="12"/>
    </row>
    <row r="724" ht="19.5" customHeight="1">
      <c r="A724" s="12"/>
      <c r="C724" s="12"/>
      <c r="D724" s="87"/>
      <c r="F724" s="14"/>
      <c r="G724" s="14"/>
      <c r="H724" s="14"/>
      <c r="I724" s="14"/>
      <c r="J724" s="14"/>
      <c r="K724" s="12"/>
    </row>
    <row r="725" ht="19.5" customHeight="1">
      <c r="A725" s="12"/>
      <c r="C725" s="12"/>
      <c r="D725" s="87"/>
      <c r="F725" s="14"/>
      <c r="G725" s="14"/>
      <c r="H725" s="14"/>
      <c r="I725" s="14"/>
      <c r="J725" s="14"/>
      <c r="K725" s="12"/>
    </row>
    <row r="726" ht="19.5" customHeight="1">
      <c r="A726" s="12"/>
      <c r="C726" s="12"/>
      <c r="D726" s="87"/>
      <c r="F726" s="14"/>
      <c r="G726" s="14"/>
      <c r="H726" s="14"/>
      <c r="I726" s="14"/>
      <c r="J726" s="14"/>
      <c r="K726" s="12"/>
    </row>
    <row r="727" ht="19.5" customHeight="1">
      <c r="A727" s="12"/>
      <c r="C727" s="12"/>
      <c r="D727" s="87"/>
      <c r="F727" s="14"/>
      <c r="G727" s="14"/>
      <c r="H727" s="14"/>
      <c r="I727" s="14"/>
      <c r="J727" s="14"/>
      <c r="K727" s="12"/>
    </row>
    <row r="728" ht="19.5" customHeight="1">
      <c r="A728" s="12"/>
      <c r="C728" s="12"/>
      <c r="D728" s="87"/>
      <c r="F728" s="14"/>
      <c r="G728" s="14"/>
      <c r="H728" s="14"/>
      <c r="I728" s="14"/>
      <c r="J728" s="14"/>
      <c r="K728" s="12"/>
    </row>
    <row r="729" ht="19.5" customHeight="1">
      <c r="A729" s="12"/>
      <c r="C729" s="12"/>
      <c r="D729" s="87"/>
      <c r="F729" s="14"/>
      <c r="G729" s="14"/>
      <c r="H729" s="14"/>
      <c r="I729" s="14"/>
      <c r="J729" s="14"/>
      <c r="K729" s="12"/>
    </row>
    <row r="730" ht="19.5" customHeight="1">
      <c r="A730" s="12"/>
      <c r="C730" s="12"/>
      <c r="D730" s="87"/>
      <c r="F730" s="14"/>
      <c r="G730" s="14"/>
      <c r="H730" s="14"/>
      <c r="I730" s="14"/>
      <c r="J730" s="14"/>
      <c r="K730" s="12"/>
    </row>
    <row r="731" ht="19.5" customHeight="1">
      <c r="A731" s="12"/>
      <c r="C731" s="12"/>
      <c r="D731" s="87"/>
      <c r="F731" s="14"/>
      <c r="G731" s="14"/>
      <c r="H731" s="14"/>
      <c r="I731" s="14"/>
      <c r="J731" s="14"/>
      <c r="K731" s="12"/>
    </row>
    <row r="732" ht="19.5" customHeight="1">
      <c r="A732" s="12"/>
      <c r="C732" s="12"/>
      <c r="D732" s="87"/>
      <c r="F732" s="14"/>
      <c r="G732" s="14"/>
      <c r="H732" s="14"/>
      <c r="I732" s="14"/>
      <c r="J732" s="14"/>
      <c r="K732" s="12"/>
    </row>
    <row r="733" ht="19.5" customHeight="1">
      <c r="A733" s="12"/>
      <c r="C733" s="12"/>
      <c r="D733" s="87"/>
      <c r="F733" s="14"/>
      <c r="G733" s="14"/>
      <c r="H733" s="14"/>
      <c r="I733" s="14"/>
      <c r="J733" s="14"/>
      <c r="K733" s="12"/>
    </row>
    <row r="734" ht="19.5" customHeight="1">
      <c r="A734" s="12"/>
      <c r="C734" s="12"/>
      <c r="D734" s="87"/>
      <c r="F734" s="14"/>
      <c r="G734" s="14"/>
      <c r="H734" s="14"/>
      <c r="I734" s="14"/>
      <c r="J734" s="14"/>
      <c r="K734" s="12"/>
    </row>
    <row r="735" ht="19.5" customHeight="1">
      <c r="A735" s="12"/>
      <c r="C735" s="12"/>
      <c r="D735" s="87"/>
      <c r="F735" s="14"/>
      <c r="G735" s="14"/>
      <c r="H735" s="14"/>
      <c r="I735" s="14"/>
      <c r="J735" s="14"/>
      <c r="K735" s="12"/>
    </row>
    <row r="736" ht="19.5" customHeight="1">
      <c r="A736" s="12"/>
      <c r="C736" s="12"/>
      <c r="D736" s="87"/>
      <c r="F736" s="14"/>
      <c r="G736" s="14"/>
      <c r="H736" s="14"/>
      <c r="I736" s="14"/>
      <c r="J736" s="14"/>
      <c r="K736" s="12"/>
    </row>
    <row r="737" ht="19.5" customHeight="1">
      <c r="A737" s="12"/>
      <c r="C737" s="12"/>
      <c r="D737" s="87"/>
      <c r="F737" s="14"/>
      <c r="G737" s="14"/>
      <c r="H737" s="14"/>
      <c r="I737" s="14"/>
      <c r="J737" s="14"/>
      <c r="K737" s="12"/>
    </row>
    <row r="738" ht="19.5" customHeight="1">
      <c r="A738" s="12"/>
      <c r="C738" s="12"/>
      <c r="D738" s="87"/>
      <c r="F738" s="14"/>
      <c r="G738" s="14"/>
      <c r="H738" s="14"/>
      <c r="I738" s="14"/>
      <c r="J738" s="14"/>
      <c r="K738" s="12"/>
    </row>
    <row r="739" ht="19.5" customHeight="1">
      <c r="A739" s="12"/>
      <c r="C739" s="12"/>
      <c r="D739" s="87"/>
      <c r="F739" s="14"/>
      <c r="G739" s="14"/>
      <c r="H739" s="14"/>
      <c r="I739" s="14"/>
      <c r="J739" s="14"/>
      <c r="K739" s="12"/>
    </row>
    <row r="740" ht="19.5" customHeight="1">
      <c r="A740" s="12"/>
      <c r="C740" s="12"/>
      <c r="D740" s="87"/>
      <c r="F740" s="14"/>
      <c r="G740" s="14"/>
      <c r="H740" s="14"/>
      <c r="I740" s="14"/>
      <c r="J740" s="14"/>
      <c r="K740" s="12"/>
    </row>
    <row r="741" ht="19.5" customHeight="1">
      <c r="A741" s="12"/>
      <c r="C741" s="12"/>
      <c r="D741" s="87"/>
      <c r="F741" s="14"/>
      <c r="G741" s="14"/>
      <c r="H741" s="14"/>
      <c r="I741" s="14"/>
      <c r="J741" s="14"/>
      <c r="K741" s="12"/>
    </row>
    <row r="742" ht="19.5" customHeight="1">
      <c r="A742" s="12"/>
      <c r="C742" s="12"/>
      <c r="D742" s="87"/>
      <c r="F742" s="14"/>
      <c r="G742" s="14"/>
      <c r="H742" s="14"/>
      <c r="I742" s="14"/>
      <c r="J742" s="14"/>
      <c r="K742" s="12"/>
    </row>
    <row r="743" ht="19.5" customHeight="1">
      <c r="A743" s="12"/>
      <c r="C743" s="12"/>
      <c r="D743" s="87"/>
      <c r="F743" s="14"/>
      <c r="G743" s="14"/>
      <c r="H743" s="14"/>
      <c r="I743" s="14"/>
      <c r="J743" s="14"/>
      <c r="K743" s="12"/>
    </row>
    <row r="744" ht="19.5" customHeight="1">
      <c r="A744" s="12"/>
      <c r="C744" s="12"/>
      <c r="D744" s="87"/>
      <c r="F744" s="14"/>
      <c r="G744" s="14"/>
      <c r="H744" s="14"/>
      <c r="I744" s="14"/>
      <c r="J744" s="14"/>
      <c r="K744" s="12"/>
    </row>
    <row r="745" ht="19.5" customHeight="1">
      <c r="A745" s="12"/>
      <c r="C745" s="12"/>
      <c r="D745" s="87"/>
      <c r="F745" s="14"/>
      <c r="G745" s="14"/>
      <c r="H745" s="14"/>
      <c r="I745" s="14"/>
      <c r="J745" s="14"/>
      <c r="K745" s="12"/>
    </row>
    <row r="746" ht="19.5" customHeight="1">
      <c r="A746" s="12"/>
      <c r="C746" s="12"/>
      <c r="D746" s="87"/>
      <c r="F746" s="14"/>
      <c r="G746" s="14"/>
      <c r="H746" s="14"/>
      <c r="I746" s="14"/>
      <c r="J746" s="14"/>
      <c r="K746" s="12"/>
    </row>
    <row r="747" ht="19.5" customHeight="1">
      <c r="A747" s="12"/>
      <c r="C747" s="12"/>
      <c r="D747" s="87"/>
      <c r="F747" s="14"/>
      <c r="G747" s="14"/>
      <c r="H747" s="14"/>
      <c r="I747" s="14"/>
      <c r="J747" s="14"/>
      <c r="K747" s="12"/>
    </row>
    <row r="748" ht="19.5" customHeight="1">
      <c r="A748" s="12"/>
      <c r="C748" s="12"/>
      <c r="D748" s="87"/>
      <c r="F748" s="14"/>
      <c r="G748" s="14"/>
      <c r="H748" s="14"/>
      <c r="I748" s="14"/>
      <c r="J748" s="14"/>
      <c r="K748" s="12"/>
    </row>
    <row r="749" ht="19.5" customHeight="1">
      <c r="A749" s="12"/>
      <c r="C749" s="12"/>
      <c r="D749" s="87"/>
      <c r="F749" s="14"/>
      <c r="G749" s="14"/>
      <c r="H749" s="14"/>
      <c r="I749" s="14"/>
      <c r="J749" s="14"/>
      <c r="K749" s="12"/>
    </row>
    <row r="750" ht="19.5" customHeight="1">
      <c r="A750" s="12"/>
      <c r="C750" s="12"/>
      <c r="D750" s="87"/>
      <c r="F750" s="14"/>
      <c r="G750" s="14"/>
      <c r="H750" s="14"/>
      <c r="I750" s="14"/>
      <c r="J750" s="14"/>
      <c r="K750" s="12"/>
    </row>
    <row r="751" ht="19.5" customHeight="1">
      <c r="A751" s="12"/>
      <c r="C751" s="12"/>
      <c r="D751" s="87"/>
      <c r="F751" s="14"/>
      <c r="G751" s="14"/>
      <c r="H751" s="14"/>
      <c r="I751" s="14"/>
      <c r="J751" s="14"/>
      <c r="K751" s="12"/>
    </row>
    <row r="752" ht="19.5" customHeight="1">
      <c r="A752" s="12"/>
      <c r="C752" s="12"/>
      <c r="D752" s="87"/>
      <c r="F752" s="14"/>
      <c r="G752" s="14"/>
      <c r="H752" s="14"/>
      <c r="I752" s="14"/>
      <c r="J752" s="14"/>
      <c r="K752" s="12"/>
    </row>
    <row r="753" ht="19.5" customHeight="1">
      <c r="A753" s="12"/>
      <c r="C753" s="12"/>
      <c r="D753" s="87"/>
      <c r="F753" s="14"/>
      <c r="G753" s="14"/>
      <c r="H753" s="14"/>
      <c r="I753" s="14"/>
      <c r="J753" s="14"/>
      <c r="K753" s="12"/>
    </row>
    <row r="754" ht="19.5" customHeight="1">
      <c r="A754" s="12"/>
      <c r="C754" s="12"/>
      <c r="D754" s="87"/>
      <c r="F754" s="14"/>
      <c r="G754" s="14"/>
      <c r="H754" s="14"/>
      <c r="I754" s="14"/>
      <c r="J754" s="14"/>
      <c r="K754" s="12"/>
    </row>
    <row r="755" ht="19.5" customHeight="1">
      <c r="A755" s="12"/>
      <c r="C755" s="12"/>
      <c r="D755" s="87"/>
      <c r="F755" s="14"/>
      <c r="G755" s="14"/>
      <c r="H755" s="14"/>
      <c r="I755" s="14"/>
      <c r="J755" s="14"/>
      <c r="K755" s="12"/>
    </row>
    <row r="756" ht="19.5" customHeight="1">
      <c r="A756" s="12"/>
      <c r="C756" s="12"/>
      <c r="D756" s="87"/>
      <c r="F756" s="14"/>
      <c r="G756" s="14"/>
      <c r="H756" s="14"/>
      <c r="I756" s="14"/>
      <c r="J756" s="14"/>
      <c r="K756" s="12"/>
    </row>
    <row r="757" ht="19.5" customHeight="1">
      <c r="A757" s="12"/>
      <c r="C757" s="12"/>
      <c r="D757" s="87"/>
      <c r="F757" s="14"/>
      <c r="G757" s="14"/>
      <c r="H757" s="14"/>
      <c r="I757" s="14"/>
      <c r="J757" s="14"/>
      <c r="K757" s="12"/>
    </row>
    <row r="758" ht="19.5" customHeight="1">
      <c r="A758" s="12"/>
      <c r="C758" s="12"/>
      <c r="D758" s="87"/>
      <c r="F758" s="14"/>
      <c r="G758" s="14"/>
      <c r="H758" s="14"/>
      <c r="I758" s="14"/>
      <c r="J758" s="14"/>
      <c r="K758" s="12"/>
    </row>
    <row r="759" ht="19.5" customHeight="1">
      <c r="A759" s="12"/>
      <c r="C759" s="12"/>
      <c r="D759" s="87"/>
      <c r="F759" s="14"/>
      <c r="G759" s="14"/>
      <c r="H759" s="14"/>
      <c r="I759" s="14"/>
      <c r="J759" s="14"/>
      <c r="K759" s="12"/>
    </row>
    <row r="760" ht="19.5" customHeight="1">
      <c r="A760" s="12"/>
      <c r="C760" s="12"/>
      <c r="D760" s="87"/>
      <c r="F760" s="14"/>
      <c r="G760" s="14"/>
      <c r="H760" s="14"/>
      <c r="I760" s="14"/>
      <c r="J760" s="14"/>
      <c r="K760" s="12"/>
    </row>
    <row r="761" ht="19.5" customHeight="1">
      <c r="A761" s="12"/>
      <c r="C761" s="12"/>
      <c r="D761" s="87"/>
      <c r="F761" s="14"/>
      <c r="G761" s="14"/>
      <c r="H761" s="14"/>
      <c r="I761" s="14"/>
      <c r="J761" s="14"/>
      <c r="K761" s="12"/>
    </row>
    <row r="762" ht="19.5" customHeight="1">
      <c r="A762" s="12"/>
      <c r="C762" s="12"/>
      <c r="D762" s="87"/>
      <c r="F762" s="14"/>
      <c r="G762" s="14"/>
      <c r="H762" s="14"/>
      <c r="I762" s="14"/>
      <c r="J762" s="14"/>
      <c r="K762" s="12"/>
    </row>
    <row r="763" ht="19.5" customHeight="1">
      <c r="A763" s="12"/>
      <c r="C763" s="12"/>
      <c r="D763" s="87"/>
      <c r="F763" s="14"/>
      <c r="G763" s="14"/>
      <c r="H763" s="14"/>
      <c r="I763" s="14"/>
      <c r="J763" s="14"/>
      <c r="K763" s="12"/>
    </row>
    <row r="764" ht="19.5" customHeight="1">
      <c r="A764" s="12"/>
      <c r="C764" s="12"/>
      <c r="D764" s="87"/>
      <c r="F764" s="14"/>
      <c r="G764" s="14"/>
      <c r="H764" s="14"/>
      <c r="I764" s="14"/>
      <c r="J764" s="14"/>
      <c r="K764" s="12"/>
    </row>
    <row r="765" ht="19.5" customHeight="1">
      <c r="A765" s="12"/>
      <c r="C765" s="12"/>
      <c r="D765" s="87"/>
      <c r="F765" s="14"/>
      <c r="G765" s="14"/>
      <c r="H765" s="14"/>
      <c r="I765" s="14"/>
      <c r="J765" s="14"/>
      <c r="K765" s="12"/>
    </row>
    <row r="766" ht="19.5" customHeight="1">
      <c r="A766" s="12"/>
      <c r="C766" s="12"/>
      <c r="D766" s="87"/>
      <c r="F766" s="14"/>
      <c r="G766" s="14"/>
      <c r="H766" s="14"/>
      <c r="I766" s="14"/>
      <c r="J766" s="14"/>
      <c r="K766" s="12"/>
    </row>
    <row r="767" ht="19.5" customHeight="1">
      <c r="A767" s="12"/>
      <c r="C767" s="12"/>
      <c r="D767" s="87"/>
      <c r="F767" s="14"/>
      <c r="G767" s="14"/>
      <c r="H767" s="14"/>
      <c r="I767" s="14"/>
      <c r="J767" s="14"/>
      <c r="K767" s="12"/>
    </row>
    <row r="768" ht="19.5" customHeight="1">
      <c r="A768" s="12"/>
      <c r="C768" s="12"/>
      <c r="D768" s="87"/>
      <c r="F768" s="14"/>
      <c r="G768" s="14"/>
      <c r="H768" s="14"/>
      <c r="I768" s="14"/>
      <c r="J768" s="14"/>
      <c r="K768" s="12"/>
    </row>
    <row r="769" ht="19.5" customHeight="1">
      <c r="A769" s="12"/>
      <c r="C769" s="12"/>
      <c r="D769" s="87"/>
      <c r="F769" s="14"/>
      <c r="G769" s="14"/>
      <c r="H769" s="14"/>
      <c r="I769" s="14"/>
      <c r="J769" s="14"/>
      <c r="K769" s="12"/>
    </row>
    <row r="770" ht="19.5" customHeight="1">
      <c r="A770" s="12"/>
      <c r="C770" s="12"/>
      <c r="D770" s="87"/>
      <c r="F770" s="14"/>
      <c r="G770" s="14"/>
      <c r="H770" s="14"/>
      <c r="I770" s="14"/>
      <c r="J770" s="14"/>
      <c r="K770" s="12"/>
    </row>
    <row r="771" ht="19.5" customHeight="1">
      <c r="A771" s="12"/>
      <c r="C771" s="12"/>
      <c r="D771" s="87"/>
      <c r="F771" s="14"/>
      <c r="G771" s="14"/>
      <c r="H771" s="14"/>
      <c r="I771" s="14"/>
      <c r="J771" s="14"/>
      <c r="K771" s="12"/>
    </row>
    <row r="772" ht="19.5" customHeight="1">
      <c r="A772" s="12"/>
      <c r="C772" s="12"/>
      <c r="D772" s="87"/>
      <c r="F772" s="14"/>
      <c r="G772" s="14"/>
      <c r="H772" s="14"/>
      <c r="I772" s="14"/>
      <c r="J772" s="14"/>
      <c r="K772" s="12"/>
    </row>
    <row r="773" ht="19.5" customHeight="1">
      <c r="A773" s="12"/>
      <c r="C773" s="12"/>
      <c r="D773" s="87"/>
      <c r="F773" s="14"/>
      <c r="G773" s="14"/>
      <c r="H773" s="14"/>
      <c r="I773" s="14"/>
      <c r="J773" s="14"/>
      <c r="K773" s="12"/>
    </row>
    <row r="774" ht="19.5" customHeight="1">
      <c r="A774" s="12"/>
      <c r="C774" s="12"/>
      <c r="D774" s="87"/>
      <c r="F774" s="14"/>
      <c r="G774" s="14"/>
      <c r="H774" s="14"/>
      <c r="I774" s="14"/>
      <c r="J774" s="14"/>
      <c r="K774" s="12"/>
    </row>
    <row r="775" ht="19.5" customHeight="1">
      <c r="A775" s="12"/>
      <c r="C775" s="12"/>
      <c r="D775" s="87"/>
      <c r="F775" s="14"/>
      <c r="G775" s="14"/>
      <c r="H775" s="14"/>
      <c r="I775" s="14"/>
      <c r="J775" s="14"/>
      <c r="K775" s="12"/>
    </row>
    <row r="776" ht="19.5" customHeight="1">
      <c r="A776" s="12"/>
      <c r="C776" s="12"/>
      <c r="D776" s="87"/>
      <c r="F776" s="14"/>
      <c r="G776" s="14"/>
      <c r="H776" s="14"/>
      <c r="I776" s="14"/>
      <c r="J776" s="14"/>
      <c r="K776" s="12"/>
    </row>
    <row r="777" ht="19.5" customHeight="1">
      <c r="A777" s="12"/>
      <c r="C777" s="12"/>
      <c r="D777" s="87"/>
      <c r="F777" s="14"/>
      <c r="G777" s="14"/>
      <c r="H777" s="14"/>
      <c r="I777" s="14"/>
      <c r="J777" s="14"/>
      <c r="K777" s="12"/>
    </row>
    <row r="778" ht="19.5" customHeight="1">
      <c r="A778" s="12"/>
      <c r="C778" s="12"/>
      <c r="D778" s="87"/>
      <c r="F778" s="14"/>
      <c r="G778" s="14"/>
      <c r="H778" s="14"/>
      <c r="I778" s="14"/>
      <c r="J778" s="14"/>
      <c r="K778" s="12"/>
    </row>
    <row r="779" ht="19.5" customHeight="1">
      <c r="A779" s="12"/>
      <c r="C779" s="12"/>
      <c r="D779" s="87"/>
      <c r="F779" s="14"/>
      <c r="G779" s="14"/>
      <c r="H779" s="14"/>
      <c r="I779" s="14"/>
      <c r="J779" s="14"/>
      <c r="K779" s="12"/>
    </row>
    <row r="780" ht="19.5" customHeight="1">
      <c r="A780" s="12"/>
      <c r="C780" s="12"/>
      <c r="D780" s="87"/>
      <c r="F780" s="14"/>
      <c r="G780" s="14"/>
      <c r="H780" s="14"/>
      <c r="I780" s="14"/>
      <c r="J780" s="14"/>
      <c r="K780" s="12"/>
    </row>
    <row r="781" ht="19.5" customHeight="1">
      <c r="A781" s="12"/>
      <c r="C781" s="12"/>
      <c r="D781" s="87"/>
      <c r="F781" s="14"/>
      <c r="G781" s="14"/>
      <c r="H781" s="14"/>
      <c r="I781" s="14"/>
      <c r="J781" s="14"/>
      <c r="K781" s="12"/>
    </row>
    <row r="782" ht="19.5" customHeight="1">
      <c r="A782" s="12"/>
      <c r="C782" s="12"/>
      <c r="D782" s="87"/>
      <c r="F782" s="14"/>
      <c r="G782" s="14"/>
      <c r="H782" s="14"/>
      <c r="I782" s="14"/>
      <c r="J782" s="14"/>
      <c r="K782" s="12"/>
    </row>
    <row r="783" ht="19.5" customHeight="1">
      <c r="A783" s="12"/>
      <c r="C783" s="12"/>
      <c r="D783" s="87"/>
      <c r="F783" s="14"/>
      <c r="G783" s="14"/>
      <c r="H783" s="14"/>
      <c r="I783" s="14"/>
      <c r="J783" s="14"/>
      <c r="K783" s="12"/>
    </row>
    <row r="784" ht="19.5" customHeight="1">
      <c r="A784" s="12"/>
      <c r="C784" s="12"/>
      <c r="D784" s="87"/>
      <c r="F784" s="14"/>
      <c r="G784" s="14"/>
      <c r="H784" s="14"/>
      <c r="I784" s="14"/>
      <c r="J784" s="14"/>
      <c r="K784" s="12"/>
    </row>
    <row r="785" ht="19.5" customHeight="1">
      <c r="A785" s="12"/>
      <c r="C785" s="12"/>
      <c r="D785" s="87"/>
      <c r="F785" s="14"/>
      <c r="G785" s="14"/>
      <c r="H785" s="14"/>
      <c r="I785" s="14"/>
      <c r="J785" s="14"/>
      <c r="K785" s="12"/>
    </row>
    <row r="786" ht="19.5" customHeight="1">
      <c r="A786" s="12"/>
      <c r="C786" s="12"/>
      <c r="D786" s="87"/>
      <c r="F786" s="14"/>
      <c r="G786" s="14"/>
      <c r="H786" s="14"/>
      <c r="I786" s="14"/>
      <c r="J786" s="14"/>
      <c r="K786" s="12"/>
    </row>
    <row r="787" ht="19.5" customHeight="1">
      <c r="A787" s="12"/>
      <c r="C787" s="12"/>
      <c r="D787" s="87"/>
      <c r="F787" s="14"/>
      <c r="G787" s="14"/>
      <c r="H787" s="14"/>
      <c r="I787" s="14"/>
      <c r="J787" s="14"/>
      <c r="K787" s="12"/>
    </row>
    <row r="788" ht="19.5" customHeight="1">
      <c r="A788" s="12"/>
      <c r="C788" s="12"/>
      <c r="D788" s="87"/>
      <c r="F788" s="14"/>
      <c r="G788" s="14"/>
      <c r="H788" s="14"/>
      <c r="I788" s="14"/>
      <c r="J788" s="14"/>
      <c r="K788" s="12"/>
    </row>
    <row r="789" ht="19.5" customHeight="1">
      <c r="A789" s="12"/>
      <c r="C789" s="12"/>
      <c r="D789" s="87"/>
      <c r="F789" s="14"/>
      <c r="G789" s="14"/>
      <c r="H789" s="14"/>
      <c r="I789" s="14"/>
      <c r="J789" s="14"/>
      <c r="K789" s="12"/>
    </row>
    <row r="790" ht="19.5" customHeight="1">
      <c r="A790" s="12"/>
      <c r="C790" s="12"/>
      <c r="D790" s="87"/>
      <c r="F790" s="14"/>
      <c r="G790" s="14"/>
      <c r="H790" s="14"/>
      <c r="I790" s="14"/>
      <c r="J790" s="14"/>
      <c r="K790" s="12"/>
    </row>
    <row r="791" ht="19.5" customHeight="1">
      <c r="A791" s="12"/>
      <c r="C791" s="12"/>
      <c r="D791" s="87"/>
      <c r="F791" s="14"/>
      <c r="G791" s="14"/>
      <c r="H791" s="14"/>
      <c r="I791" s="14"/>
      <c r="J791" s="14"/>
      <c r="K791" s="12"/>
    </row>
    <row r="792" ht="19.5" customHeight="1">
      <c r="A792" s="12"/>
      <c r="C792" s="12"/>
      <c r="D792" s="87"/>
      <c r="F792" s="14"/>
      <c r="G792" s="14"/>
      <c r="H792" s="14"/>
      <c r="I792" s="14"/>
      <c r="J792" s="14"/>
      <c r="K792" s="12"/>
    </row>
    <row r="793" ht="19.5" customHeight="1">
      <c r="A793" s="12"/>
      <c r="C793" s="12"/>
      <c r="D793" s="87"/>
      <c r="F793" s="14"/>
      <c r="G793" s="14"/>
      <c r="H793" s="14"/>
      <c r="I793" s="14"/>
      <c r="J793" s="14"/>
      <c r="K793" s="12"/>
    </row>
    <row r="794" ht="19.5" customHeight="1">
      <c r="A794" s="12"/>
      <c r="C794" s="12"/>
      <c r="D794" s="87"/>
      <c r="F794" s="14"/>
      <c r="G794" s="14"/>
      <c r="H794" s="14"/>
      <c r="I794" s="14"/>
      <c r="J794" s="14"/>
      <c r="K794" s="12"/>
    </row>
    <row r="795" ht="19.5" customHeight="1">
      <c r="A795" s="12"/>
      <c r="C795" s="12"/>
      <c r="D795" s="87"/>
      <c r="F795" s="14"/>
      <c r="G795" s="14"/>
      <c r="H795" s="14"/>
      <c r="I795" s="14"/>
      <c r="J795" s="14"/>
      <c r="K795" s="12"/>
    </row>
    <row r="796" ht="19.5" customHeight="1">
      <c r="A796" s="12"/>
      <c r="C796" s="12"/>
      <c r="D796" s="87"/>
      <c r="F796" s="14"/>
      <c r="G796" s="14"/>
      <c r="H796" s="14"/>
      <c r="I796" s="14"/>
      <c r="J796" s="14"/>
      <c r="K796" s="12"/>
    </row>
    <row r="797" ht="19.5" customHeight="1">
      <c r="A797" s="12"/>
      <c r="C797" s="12"/>
      <c r="D797" s="87"/>
      <c r="F797" s="14"/>
      <c r="G797" s="14"/>
      <c r="H797" s="14"/>
      <c r="I797" s="14"/>
      <c r="J797" s="14"/>
      <c r="K797" s="12"/>
    </row>
    <row r="798" ht="19.5" customHeight="1">
      <c r="A798" s="12"/>
      <c r="C798" s="12"/>
      <c r="D798" s="87"/>
      <c r="F798" s="14"/>
      <c r="G798" s="14"/>
      <c r="H798" s="14"/>
      <c r="I798" s="14"/>
      <c r="J798" s="14"/>
      <c r="K798" s="12"/>
    </row>
    <row r="799" ht="19.5" customHeight="1">
      <c r="A799" s="12"/>
      <c r="C799" s="12"/>
      <c r="D799" s="87"/>
      <c r="F799" s="14"/>
      <c r="G799" s="14"/>
      <c r="H799" s="14"/>
      <c r="I799" s="14"/>
      <c r="J799" s="14"/>
      <c r="K799" s="12"/>
    </row>
    <row r="800" ht="19.5" customHeight="1">
      <c r="A800" s="12"/>
      <c r="C800" s="12"/>
      <c r="D800" s="87"/>
      <c r="F800" s="14"/>
      <c r="G800" s="14"/>
      <c r="H800" s="14"/>
      <c r="I800" s="14"/>
      <c r="J800" s="14"/>
      <c r="K800" s="12"/>
    </row>
    <row r="801" ht="19.5" customHeight="1">
      <c r="A801" s="12"/>
      <c r="C801" s="12"/>
      <c r="D801" s="87"/>
      <c r="F801" s="14"/>
      <c r="G801" s="14"/>
      <c r="H801" s="14"/>
      <c r="I801" s="14"/>
      <c r="J801" s="14"/>
      <c r="K801" s="12"/>
    </row>
    <row r="802" ht="19.5" customHeight="1">
      <c r="A802" s="12"/>
      <c r="C802" s="12"/>
      <c r="D802" s="87"/>
      <c r="F802" s="14"/>
      <c r="G802" s="14"/>
      <c r="H802" s="14"/>
      <c r="I802" s="14"/>
      <c r="J802" s="14"/>
      <c r="K802" s="12"/>
    </row>
    <row r="803" ht="19.5" customHeight="1">
      <c r="A803" s="12"/>
      <c r="C803" s="12"/>
      <c r="D803" s="87"/>
      <c r="F803" s="14"/>
      <c r="G803" s="14"/>
      <c r="H803" s="14"/>
      <c r="I803" s="14"/>
      <c r="J803" s="14"/>
      <c r="K803" s="12"/>
    </row>
    <row r="804" ht="19.5" customHeight="1">
      <c r="A804" s="12"/>
      <c r="C804" s="12"/>
      <c r="D804" s="87"/>
      <c r="F804" s="14"/>
      <c r="G804" s="14"/>
      <c r="H804" s="14"/>
      <c r="I804" s="14"/>
      <c r="J804" s="14"/>
      <c r="K804" s="12"/>
    </row>
    <row r="805" ht="19.5" customHeight="1">
      <c r="A805" s="12"/>
      <c r="C805" s="12"/>
      <c r="D805" s="87"/>
      <c r="F805" s="14"/>
      <c r="G805" s="14"/>
      <c r="H805" s="14"/>
      <c r="I805" s="14"/>
      <c r="J805" s="14"/>
      <c r="K805" s="12"/>
    </row>
    <row r="806" ht="19.5" customHeight="1">
      <c r="A806" s="12"/>
      <c r="C806" s="12"/>
      <c r="D806" s="87"/>
      <c r="F806" s="14"/>
      <c r="G806" s="14"/>
      <c r="H806" s="14"/>
      <c r="I806" s="14"/>
      <c r="J806" s="14"/>
      <c r="K806" s="12"/>
    </row>
    <row r="807" ht="19.5" customHeight="1">
      <c r="A807" s="12"/>
      <c r="C807" s="12"/>
      <c r="D807" s="87"/>
      <c r="F807" s="14"/>
      <c r="G807" s="14"/>
      <c r="H807" s="14"/>
      <c r="I807" s="14"/>
      <c r="J807" s="14"/>
      <c r="K807" s="12"/>
    </row>
    <row r="808" ht="19.5" customHeight="1">
      <c r="A808" s="12"/>
      <c r="C808" s="12"/>
      <c r="D808" s="87"/>
      <c r="F808" s="14"/>
      <c r="G808" s="14"/>
      <c r="H808" s="14"/>
      <c r="I808" s="14"/>
      <c r="J808" s="14"/>
      <c r="K808" s="12"/>
    </row>
    <row r="809" ht="19.5" customHeight="1">
      <c r="A809" s="12"/>
      <c r="C809" s="12"/>
      <c r="D809" s="87"/>
      <c r="F809" s="14"/>
      <c r="G809" s="14"/>
      <c r="H809" s="14"/>
      <c r="I809" s="14"/>
      <c r="J809" s="14"/>
      <c r="K809" s="12"/>
    </row>
    <row r="810" ht="19.5" customHeight="1">
      <c r="A810" s="12"/>
      <c r="C810" s="12"/>
      <c r="D810" s="87"/>
      <c r="F810" s="14"/>
      <c r="G810" s="14"/>
      <c r="H810" s="14"/>
      <c r="I810" s="14"/>
      <c r="J810" s="14"/>
      <c r="K810" s="12"/>
    </row>
    <row r="811" ht="19.5" customHeight="1">
      <c r="A811" s="12"/>
      <c r="C811" s="12"/>
      <c r="D811" s="87"/>
      <c r="F811" s="14"/>
      <c r="G811" s="14"/>
      <c r="H811" s="14"/>
      <c r="I811" s="14"/>
      <c r="J811" s="14"/>
      <c r="K811" s="12"/>
    </row>
    <row r="812" ht="19.5" customHeight="1">
      <c r="A812" s="12"/>
      <c r="C812" s="12"/>
      <c r="D812" s="87"/>
      <c r="F812" s="14"/>
      <c r="G812" s="14"/>
      <c r="H812" s="14"/>
      <c r="I812" s="14"/>
      <c r="J812" s="14"/>
      <c r="K812" s="12"/>
    </row>
    <row r="813" ht="19.5" customHeight="1">
      <c r="A813" s="12"/>
      <c r="C813" s="12"/>
      <c r="D813" s="87"/>
      <c r="F813" s="14"/>
      <c r="G813" s="14"/>
      <c r="H813" s="14"/>
      <c r="I813" s="14"/>
      <c r="J813" s="14"/>
      <c r="K813" s="12"/>
    </row>
    <row r="814" ht="19.5" customHeight="1">
      <c r="A814" s="12"/>
      <c r="C814" s="12"/>
      <c r="D814" s="87"/>
      <c r="F814" s="14"/>
      <c r="G814" s="14"/>
      <c r="H814" s="14"/>
      <c r="I814" s="14"/>
      <c r="J814" s="14"/>
      <c r="K814" s="12"/>
    </row>
    <row r="815" ht="19.5" customHeight="1">
      <c r="A815" s="12"/>
      <c r="C815" s="12"/>
      <c r="D815" s="87"/>
      <c r="F815" s="14"/>
      <c r="G815" s="14"/>
      <c r="H815" s="14"/>
      <c r="I815" s="14"/>
      <c r="J815" s="14"/>
      <c r="K815" s="12"/>
    </row>
    <row r="816" ht="19.5" customHeight="1">
      <c r="A816" s="12"/>
      <c r="C816" s="12"/>
      <c r="D816" s="87"/>
      <c r="F816" s="14"/>
      <c r="G816" s="14"/>
      <c r="H816" s="14"/>
      <c r="I816" s="14"/>
      <c r="J816" s="14"/>
      <c r="K816" s="12"/>
    </row>
    <row r="817" ht="19.5" customHeight="1">
      <c r="A817" s="12"/>
      <c r="C817" s="12"/>
      <c r="D817" s="87"/>
      <c r="F817" s="14"/>
      <c r="G817" s="14"/>
      <c r="H817" s="14"/>
      <c r="I817" s="14"/>
      <c r="J817" s="14"/>
      <c r="K817" s="12"/>
    </row>
    <row r="818" ht="19.5" customHeight="1">
      <c r="A818" s="12"/>
      <c r="C818" s="12"/>
      <c r="D818" s="87"/>
      <c r="F818" s="14"/>
      <c r="G818" s="14"/>
      <c r="H818" s="14"/>
      <c r="I818" s="14"/>
      <c r="J818" s="14"/>
      <c r="K818" s="12"/>
    </row>
    <row r="819" ht="19.5" customHeight="1">
      <c r="A819" s="12"/>
      <c r="C819" s="12"/>
      <c r="D819" s="87"/>
      <c r="F819" s="14"/>
      <c r="G819" s="14"/>
      <c r="H819" s="14"/>
      <c r="I819" s="14"/>
      <c r="J819" s="14"/>
      <c r="K819" s="12"/>
    </row>
    <row r="820" ht="19.5" customHeight="1">
      <c r="A820" s="12"/>
      <c r="C820" s="12"/>
      <c r="D820" s="87"/>
      <c r="F820" s="14"/>
      <c r="G820" s="14"/>
      <c r="H820" s="14"/>
      <c r="I820" s="14"/>
      <c r="J820" s="14"/>
      <c r="K820" s="12"/>
    </row>
    <row r="821" ht="19.5" customHeight="1">
      <c r="A821" s="12"/>
      <c r="C821" s="12"/>
      <c r="D821" s="87"/>
      <c r="F821" s="14"/>
      <c r="G821" s="14"/>
      <c r="H821" s="14"/>
      <c r="I821" s="14"/>
      <c r="J821" s="14"/>
      <c r="K821" s="12"/>
    </row>
    <row r="822" ht="19.5" customHeight="1">
      <c r="A822" s="12"/>
      <c r="C822" s="12"/>
      <c r="D822" s="87"/>
      <c r="F822" s="14"/>
      <c r="G822" s="14"/>
      <c r="H822" s="14"/>
      <c r="I822" s="14"/>
      <c r="J822" s="14"/>
      <c r="K822" s="12"/>
    </row>
    <row r="823" ht="19.5" customHeight="1">
      <c r="A823" s="12"/>
      <c r="C823" s="12"/>
      <c r="D823" s="87"/>
      <c r="F823" s="14"/>
      <c r="G823" s="14"/>
      <c r="H823" s="14"/>
      <c r="I823" s="14"/>
      <c r="J823" s="14"/>
      <c r="K823" s="12"/>
    </row>
    <row r="824" ht="19.5" customHeight="1">
      <c r="A824" s="12"/>
      <c r="C824" s="12"/>
      <c r="D824" s="87"/>
      <c r="F824" s="14"/>
      <c r="G824" s="14"/>
      <c r="H824" s="14"/>
      <c r="I824" s="14"/>
      <c r="J824" s="14"/>
      <c r="K824" s="12"/>
    </row>
    <row r="825" ht="19.5" customHeight="1">
      <c r="A825" s="12"/>
      <c r="C825" s="12"/>
      <c r="D825" s="87"/>
      <c r="F825" s="14"/>
      <c r="G825" s="14"/>
      <c r="H825" s="14"/>
      <c r="I825" s="14"/>
      <c r="J825" s="14"/>
      <c r="K825" s="12"/>
    </row>
    <row r="826" ht="19.5" customHeight="1">
      <c r="A826" s="12"/>
      <c r="C826" s="12"/>
      <c r="D826" s="87"/>
      <c r="F826" s="14"/>
      <c r="G826" s="14"/>
      <c r="H826" s="14"/>
      <c r="I826" s="14"/>
      <c r="J826" s="14"/>
      <c r="K826" s="12"/>
    </row>
    <row r="827" ht="19.5" customHeight="1">
      <c r="A827" s="12"/>
      <c r="C827" s="12"/>
      <c r="D827" s="87"/>
      <c r="F827" s="14"/>
      <c r="G827" s="14"/>
      <c r="H827" s="14"/>
      <c r="I827" s="14"/>
      <c r="J827" s="14"/>
      <c r="K827" s="12"/>
    </row>
    <row r="828" ht="19.5" customHeight="1">
      <c r="A828" s="12"/>
      <c r="C828" s="12"/>
      <c r="D828" s="87"/>
      <c r="F828" s="14"/>
      <c r="G828" s="14"/>
      <c r="H828" s="14"/>
      <c r="I828" s="14"/>
      <c r="J828" s="14"/>
      <c r="K828" s="12"/>
    </row>
    <row r="829" ht="19.5" customHeight="1">
      <c r="A829" s="12"/>
      <c r="C829" s="12"/>
      <c r="D829" s="87"/>
      <c r="F829" s="14"/>
      <c r="G829" s="14"/>
      <c r="H829" s="14"/>
      <c r="I829" s="14"/>
      <c r="J829" s="14"/>
      <c r="K829" s="12"/>
    </row>
    <row r="830" ht="19.5" customHeight="1">
      <c r="A830" s="12"/>
      <c r="C830" s="12"/>
      <c r="D830" s="87"/>
      <c r="F830" s="14"/>
      <c r="G830" s="14"/>
      <c r="H830" s="14"/>
      <c r="I830" s="14"/>
      <c r="J830" s="14"/>
      <c r="K830" s="12"/>
    </row>
    <row r="831" ht="19.5" customHeight="1">
      <c r="A831" s="12"/>
      <c r="C831" s="12"/>
      <c r="D831" s="87"/>
      <c r="F831" s="14"/>
      <c r="G831" s="14"/>
      <c r="H831" s="14"/>
      <c r="I831" s="14"/>
      <c r="J831" s="14"/>
      <c r="K831" s="12"/>
    </row>
    <row r="832" ht="19.5" customHeight="1">
      <c r="A832" s="12"/>
      <c r="C832" s="12"/>
      <c r="D832" s="87"/>
      <c r="F832" s="14"/>
      <c r="G832" s="14"/>
      <c r="H832" s="14"/>
      <c r="I832" s="14"/>
      <c r="J832" s="14"/>
      <c r="K832" s="12"/>
    </row>
    <row r="833" ht="19.5" customHeight="1">
      <c r="A833" s="12"/>
      <c r="C833" s="12"/>
      <c r="D833" s="87"/>
      <c r="F833" s="14"/>
      <c r="G833" s="14"/>
      <c r="H833" s="14"/>
      <c r="I833" s="14"/>
      <c r="J833" s="14"/>
      <c r="K833" s="12"/>
    </row>
    <row r="834" ht="19.5" customHeight="1">
      <c r="A834" s="12"/>
      <c r="C834" s="12"/>
      <c r="D834" s="87"/>
      <c r="F834" s="14"/>
      <c r="G834" s="14"/>
      <c r="H834" s="14"/>
      <c r="I834" s="14"/>
      <c r="J834" s="14"/>
      <c r="K834" s="12"/>
    </row>
    <row r="835" ht="19.5" customHeight="1">
      <c r="A835" s="12"/>
      <c r="C835" s="12"/>
      <c r="D835" s="87"/>
      <c r="F835" s="14"/>
      <c r="G835" s="14"/>
      <c r="H835" s="14"/>
      <c r="I835" s="14"/>
      <c r="J835" s="14"/>
      <c r="K835" s="12"/>
    </row>
    <row r="836" ht="19.5" customHeight="1">
      <c r="A836" s="12"/>
      <c r="C836" s="12"/>
      <c r="D836" s="87"/>
      <c r="F836" s="14"/>
      <c r="G836" s="14"/>
      <c r="H836" s="14"/>
      <c r="I836" s="14"/>
      <c r="J836" s="14"/>
      <c r="K836" s="12"/>
    </row>
    <row r="837" ht="19.5" customHeight="1">
      <c r="A837" s="12"/>
      <c r="C837" s="12"/>
      <c r="D837" s="87"/>
      <c r="F837" s="14"/>
      <c r="G837" s="14"/>
      <c r="H837" s="14"/>
      <c r="I837" s="14"/>
      <c r="J837" s="14"/>
      <c r="K837" s="12"/>
    </row>
    <row r="838" ht="19.5" customHeight="1">
      <c r="A838" s="12"/>
      <c r="C838" s="12"/>
      <c r="D838" s="87"/>
      <c r="F838" s="14"/>
      <c r="G838" s="14"/>
      <c r="H838" s="14"/>
      <c r="I838" s="14"/>
      <c r="J838" s="14"/>
      <c r="K838" s="12"/>
    </row>
    <row r="839" ht="19.5" customHeight="1">
      <c r="A839" s="12"/>
      <c r="C839" s="12"/>
      <c r="D839" s="87"/>
      <c r="F839" s="14"/>
      <c r="G839" s="14"/>
      <c r="H839" s="14"/>
      <c r="I839" s="14"/>
      <c r="J839" s="14"/>
      <c r="K839" s="12"/>
    </row>
    <row r="840" ht="19.5" customHeight="1">
      <c r="A840" s="12"/>
      <c r="C840" s="12"/>
      <c r="D840" s="87"/>
      <c r="F840" s="14"/>
      <c r="G840" s="14"/>
      <c r="H840" s="14"/>
      <c r="I840" s="14"/>
      <c r="J840" s="14"/>
      <c r="K840" s="12"/>
    </row>
    <row r="841" ht="19.5" customHeight="1">
      <c r="A841" s="12"/>
      <c r="C841" s="12"/>
      <c r="D841" s="87"/>
      <c r="F841" s="14"/>
      <c r="G841" s="14"/>
      <c r="H841" s="14"/>
      <c r="I841" s="14"/>
      <c r="J841" s="14"/>
      <c r="K841" s="12"/>
    </row>
    <row r="842" ht="19.5" customHeight="1">
      <c r="A842" s="12"/>
      <c r="C842" s="12"/>
      <c r="D842" s="87"/>
      <c r="F842" s="14"/>
      <c r="G842" s="14"/>
      <c r="H842" s="14"/>
      <c r="I842" s="14"/>
      <c r="J842" s="14"/>
      <c r="K842" s="12"/>
    </row>
    <row r="843" ht="19.5" customHeight="1">
      <c r="A843" s="12"/>
      <c r="C843" s="12"/>
      <c r="D843" s="87"/>
      <c r="F843" s="14"/>
      <c r="G843" s="14"/>
      <c r="H843" s="14"/>
      <c r="I843" s="14"/>
      <c r="J843" s="14"/>
      <c r="K843" s="12"/>
    </row>
    <row r="844" ht="19.5" customHeight="1">
      <c r="A844" s="12"/>
      <c r="C844" s="12"/>
      <c r="D844" s="87"/>
      <c r="F844" s="14"/>
      <c r="G844" s="14"/>
      <c r="H844" s="14"/>
      <c r="I844" s="14"/>
      <c r="J844" s="14"/>
      <c r="K844" s="12"/>
    </row>
    <row r="845" ht="19.5" customHeight="1">
      <c r="A845" s="12"/>
      <c r="C845" s="12"/>
      <c r="D845" s="87"/>
      <c r="F845" s="14"/>
      <c r="G845" s="14"/>
      <c r="H845" s="14"/>
      <c r="I845" s="14"/>
      <c r="J845" s="14"/>
      <c r="K845" s="12"/>
    </row>
    <row r="846" ht="19.5" customHeight="1">
      <c r="A846" s="12"/>
      <c r="C846" s="12"/>
      <c r="D846" s="87"/>
      <c r="F846" s="14"/>
      <c r="G846" s="14"/>
      <c r="H846" s="14"/>
      <c r="I846" s="14"/>
      <c r="J846" s="14"/>
      <c r="K846" s="12"/>
    </row>
    <row r="847" ht="19.5" customHeight="1">
      <c r="A847" s="12"/>
      <c r="C847" s="12"/>
      <c r="D847" s="87"/>
      <c r="F847" s="14"/>
      <c r="G847" s="14"/>
      <c r="H847" s="14"/>
      <c r="I847" s="14"/>
      <c r="J847" s="14"/>
      <c r="K847" s="12"/>
    </row>
    <row r="848" ht="19.5" customHeight="1">
      <c r="A848" s="12"/>
      <c r="C848" s="12"/>
      <c r="D848" s="87"/>
      <c r="F848" s="14"/>
      <c r="G848" s="14"/>
      <c r="H848" s="14"/>
      <c r="I848" s="14"/>
      <c r="J848" s="14"/>
      <c r="K848" s="12"/>
    </row>
    <row r="849" ht="19.5" customHeight="1">
      <c r="A849" s="12"/>
      <c r="C849" s="12"/>
      <c r="D849" s="87"/>
      <c r="F849" s="14"/>
      <c r="G849" s="14"/>
      <c r="H849" s="14"/>
      <c r="I849" s="14"/>
      <c r="J849" s="14"/>
      <c r="K849" s="12"/>
    </row>
    <row r="850" ht="19.5" customHeight="1">
      <c r="A850" s="12"/>
      <c r="C850" s="12"/>
      <c r="D850" s="87"/>
      <c r="F850" s="14"/>
      <c r="G850" s="14"/>
      <c r="H850" s="14"/>
      <c r="I850" s="14"/>
      <c r="J850" s="14"/>
      <c r="K850" s="12"/>
    </row>
    <row r="851" ht="19.5" customHeight="1">
      <c r="A851" s="12"/>
      <c r="C851" s="12"/>
      <c r="D851" s="87"/>
      <c r="F851" s="14"/>
      <c r="G851" s="14"/>
      <c r="H851" s="14"/>
      <c r="I851" s="14"/>
      <c r="J851" s="14"/>
      <c r="K851" s="12"/>
    </row>
    <row r="852" ht="19.5" customHeight="1">
      <c r="A852" s="12"/>
      <c r="C852" s="12"/>
      <c r="D852" s="87"/>
      <c r="F852" s="14"/>
      <c r="G852" s="14"/>
      <c r="H852" s="14"/>
      <c r="I852" s="14"/>
      <c r="J852" s="14"/>
      <c r="K852" s="12"/>
    </row>
    <row r="853" ht="19.5" customHeight="1">
      <c r="A853" s="12"/>
      <c r="C853" s="12"/>
      <c r="D853" s="87"/>
      <c r="F853" s="14"/>
      <c r="G853" s="14"/>
      <c r="H853" s="14"/>
      <c r="I853" s="14"/>
      <c r="J853" s="14"/>
      <c r="K853" s="12"/>
    </row>
    <row r="854" ht="19.5" customHeight="1">
      <c r="A854" s="12"/>
      <c r="C854" s="12"/>
      <c r="D854" s="87"/>
      <c r="F854" s="14"/>
      <c r="G854" s="14"/>
      <c r="H854" s="14"/>
      <c r="I854" s="14"/>
      <c r="J854" s="14"/>
      <c r="K854" s="12"/>
    </row>
    <row r="855" ht="19.5" customHeight="1">
      <c r="A855" s="12"/>
      <c r="C855" s="12"/>
      <c r="D855" s="87"/>
      <c r="F855" s="14"/>
      <c r="G855" s="14"/>
      <c r="H855" s="14"/>
      <c r="I855" s="14"/>
      <c r="J855" s="14"/>
      <c r="K855" s="12"/>
    </row>
    <row r="856" ht="19.5" customHeight="1">
      <c r="A856" s="12"/>
      <c r="C856" s="12"/>
      <c r="D856" s="87"/>
      <c r="F856" s="14"/>
      <c r="G856" s="14"/>
      <c r="H856" s="14"/>
      <c r="I856" s="14"/>
      <c r="J856" s="14"/>
      <c r="K856" s="12"/>
    </row>
    <row r="857" ht="19.5" customHeight="1">
      <c r="A857" s="12"/>
      <c r="C857" s="12"/>
      <c r="D857" s="87"/>
      <c r="F857" s="14"/>
      <c r="G857" s="14"/>
      <c r="H857" s="14"/>
      <c r="I857" s="14"/>
      <c r="J857" s="14"/>
      <c r="K857" s="12"/>
    </row>
    <row r="858" ht="19.5" customHeight="1">
      <c r="A858" s="12"/>
      <c r="C858" s="12"/>
      <c r="D858" s="87"/>
      <c r="F858" s="14"/>
      <c r="G858" s="14"/>
      <c r="H858" s="14"/>
      <c r="I858" s="14"/>
      <c r="J858" s="14"/>
      <c r="K858" s="12"/>
    </row>
    <row r="859" ht="19.5" customHeight="1">
      <c r="A859" s="12"/>
      <c r="C859" s="12"/>
      <c r="D859" s="87"/>
      <c r="F859" s="14"/>
      <c r="G859" s="14"/>
      <c r="H859" s="14"/>
      <c r="I859" s="14"/>
      <c r="J859" s="14"/>
      <c r="K859" s="12"/>
    </row>
    <row r="860" ht="19.5" customHeight="1">
      <c r="A860" s="12"/>
      <c r="C860" s="12"/>
      <c r="D860" s="87"/>
      <c r="F860" s="14"/>
      <c r="G860" s="14"/>
      <c r="H860" s="14"/>
      <c r="I860" s="14"/>
      <c r="J860" s="14"/>
      <c r="K860" s="12"/>
    </row>
    <row r="861" ht="19.5" customHeight="1">
      <c r="A861" s="12"/>
      <c r="C861" s="12"/>
      <c r="D861" s="87"/>
      <c r="F861" s="14"/>
      <c r="G861" s="14"/>
      <c r="H861" s="14"/>
      <c r="I861" s="14"/>
      <c r="J861" s="14"/>
      <c r="K861" s="12"/>
    </row>
    <row r="862" ht="19.5" customHeight="1">
      <c r="A862" s="12"/>
      <c r="C862" s="12"/>
      <c r="D862" s="87"/>
      <c r="F862" s="14"/>
      <c r="G862" s="14"/>
      <c r="H862" s="14"/>
      <c r="I862" s="14"/>
      <c r="J862" s="14"/>
      <c r="K862" s="12"/>
    </row>
    <row r="863" ht="19.5" customHeight="1">
      <c r="A863" s="12"/>
      <c r="C863" s="12"/>
      <c r="D863" s="87"/>
      <c r="F863" s="14"/>
      <c r="G863" s="14"/>
      <c r="H863" s="14"/>
      <c r="I863" s="14"/>
      <c r="J863" s="14"/>
      <c r="K863" s="12"/>
    </row>
    <row r="864" ht="19.5" customHeight="1">
      <c r="A864" s="12"/>
      <c r="C864" s="12"/>
      <c r="D864" s="87"/>
      <c r="F864" s="14"/>
      <c r="G864" s="14"/>
      <c r="H864" s="14"/>
      <c r="I864" s="14"/>
      <c r="J864" s="14"/>
      <c r="K864" s="12"/>
    </row>
    <row r="865" ht="19.5" customHeight="1">
      <c r="A865" s="12"/>
      <c r="C865" s="12"/>
      <c r="D865" s="87"/>
      <c r="F865" s="14"/>
      <c r="G865" s="14"/>
      <c r="H865" s="14"/>
      <c r="I865" s="14"/>
      <c r="J865" s="14"/>
      <c r="K865" s="12"/>
    </row>
    <row r="866" ht="19.5" customHeight="1">
      <c r="A866" s="12"/>
      <c r="C866" s="12"/>
      <c r="D866" s="87"/>
      <c r="F866" s="14"/>
      <c r="G866" s="14"/>
      <c r="H866" s="14"/>
      <c r="I866" s="14"/>
      <c r="J866" s="14"/>
      <c r="K866" s="12"/>
    </row>
    <row r="867" ht="19.5" customHeight="1">
      <c r="A867" s="12"/>
      <c r="C867" s="12"/>
      <c r="D867" s="87"/>
      <c r="F867" s="14"/>
      <c r="G867" s="14"/>
      <c r="H867" s="14"/>
      <c r="I867" s="14"/>
      <c r="J867" s="14"/>
      <c r="K867" s="12"/>
    </row>
    <row r="868" ht="19.5" customHeight="1">
      <c r="A868" s="12"/>
      <c r="C868" s="12"/>
      <c r="D868" s="87"/>
      <c r="F868" s="14"/>
      <c r="G868" s="14"/>
      <c r="H868" s="14"/>
      <c r="I868" s="14"/>
      <c r="J868" s="14"/>
      <c r="K868" s="12"/>
    </row>
    <row r="869" ht="19.5" customHeight="1">
      <c r="A869" s="12"/>
      <c r="C869" s="12"/>
      <c r="D869" s="87"/>
      <c r="F869" s="14"/>
      <c r="G869" s="14"/>
      <c r="H869" s="14"/>
      <c r="I869" s="14"/>
      <c r="J869" s="14"/>
      <c r="K869" s="12"/>
    </row>
    <row r="870" ht="19.5" customHeight="1">
      <c r="A870" s="12"/>
      <c r="C870" s="12"/>
      <c r="D870" s="87"/>
      <c r="F870" s="14"/>
      <c r="G870" s="14"/>
      <c r="H870" s="14"/>
      <c r="I870" s="14"/>
      <c r="J870" s="14"/>
      <c r="K870" s="12"/>
    </row>
    <row r="871" ht="19.5" customHeight="1">
      <c r="A871" s="12"/>
      <c r="C871" s="12"/>
      <c r="D871" s="87"/>
      <c r="F871" s="14"/>
      <c r="G871" s="14"/>
      <c r="H871" s="14"/>
      <c r="I871" s="14"/>
      <c r="J871" s="14"/>
      <c r="K871" s="12"/>
    </row>
    <row r="872" ht="19.5" customHeight="1">
      <c r="A872" s="12"/>
      <c r="C872" s="12"/>
      <c r="D872" s="87"/>
      <c r="F872" s="14"/>
      <c r="G872" s="14"/>
      <c r="H872" s="14"/>
      <c r="I872" s="14"/>
      <c r="J872" s="14"/>
      <c r="K872" s="12"/>
    </row>
    <row r="873" ht="19.5" customHeight="1">
      <c r="A873" s="12"/>
      <c r="C873" s="12"/>
      <c r="D873" s="87"/>
      <c r="F873" s="14"/>
      <c r="G873" s="14"/>
      <c r="H873" s="14"/>
      <c r="I873" s="14"/>
      <c r="J873" s="14"/>
      <c r="K873" s="12"/>
    </row>
    <row r="874" ht="19.5" customHeight="1">
      <c r="A874" s="12"/>
      <c r="C874" s="12"/>
      <c r="D874" s="87"/>
      <c r="F874" s="14"/>
      <c r="G874" s="14"/>
      <c r="H874" s="14"/>
      <c r="I874" s="14"/>
      <c r="J874" s="14"/>
      <c r="K874" s="12"/>
    </row>
    <row r="875" ht="19.5" customHeight="1">
      <c r="A875" s="12"/>
      <c r="C875" s="12"/>
      <c r="D875" s="87"/>
      <c r="F875" s="14"/>
      <c r="G875" s="14"/>
      <c r="H875" s="14"/>
      <c r="I875" s="14"/>
      <c r="J875" s="14"/>
      <c r="K875" s="12"/>
    </row>
    <row r="876" ht="19.5" customHeight="1">
      <c r="A876" s="12"/>
      <c r="C876" s="12"/>
      <c r="D876" s="87"/>
      <c r="F876" s="14"/>
      <c r="G876" s="14"/>
      <c r="H876" s="14"/>
      <c r="I876" s="14"/>
      <c r="J876" s="14"/>
      <c r="K876" s="12"/>
    </row>
    <row r="877" ht="19.5" customHeight="1">
      <c r="A877" s="12"/>
      <c r="C877" s="12"/>
      <c r="D877" s="87"/>
      <c r="F877" s="14"/>
      <c r="G877" s="14"/>
      <c r="H877" s="14"/>
      <c r="I877" s="14"/>
      <c r="J877" s="14"/>
      <c r="K877" s="12"/>
    </row>
    <row r="878" ht="19.5" customHeight="1">
      <c r="A878" s="12"/>
      <c r="C878" s="12"/>
      <c r="D878" s="87"/>
      <c r="F878" s="14"/>
      <c r="G878" s="14"/>
      <c r="H878" s="14"/>
      <c r="I878" s="14"/>
      <c r="J878" s="14"/>
      <c r="K878" s="12"/>
    </row>
    <row r="879" ht="19.5" customHeight="1">
      <c r="A879" s="12"/>
      <c r="C879" s="12"/>
      <c r="D879" s="87"/>
      <c r="F879" s="14"/>
      <c r="G879" s="14"/>
      <c r="H879" s="14"/>
      <c r="I879" s="14"/>
      <c r="J879" s="14"/>
      <c r="K879" s="12"/>
    </row>
    <row r="880" ht="19.5" customHeight="1">
      <c r="A880" s="12"/>
      <c r="C880" s="12"/>
      <c r="D880" s="87"/>
      <c r="F880" s="14"/>
      <c r="G880" s="14"/>
      <c r="H880" s="14"/>
      <c r="I880" s="14"/>
      <c r="J880" s="14"/>
      <c r="K880" s="12"/>
    </row>
    <row r="881" ht="19.5" customHeight="1">
      <c r="A881" s="12"/>
      <c r="C881" s="12"/>
      <c r="D881" s="87"/>
      <c r="F881" s="14"/>
      <c r="G881" s="14"/>
      <c r="H881" s="14"/>
      <c r="I881" s="14"/>
      <c r="J881" s="14"/>
      <c r="K881" s="12"/>
    </row>
    <row r="882" ht="19.5" customHeight="1">
      <c r="A882" s="12"/>
      <c r="C882" s="12"/>
      <c r="D882" s="87"/>
      <c r="F882" s="14"/>
      <c r="G882" s="14"/>
      <c r="H882" s="14"/>
      <c r="I882" s="14"/>
      <c r="J882" s="14"/>
      <c r="K882" s="12"/>
    </row>
    <row r="883" ht="19.5" customHeight="1">
      <c r="A883" s="12"/>
      <c r="C883" s="12"/>
      <c r="D883" s="87"/>
      <c r="F883" s="14"/>
      <c r="G883" s="14"/>
      <c r="H883" s="14"/>
      <c r="I883" s="14"/>
      <c r="J883" s="14"/>
      <c r="K883" s="12"/>
    </row>
    <row r="884" ht="19.5" customHeight="1">
      <c r="A884" s="12"/>
      <c r="C884" s="12"/>
      <c r="D884" s="87"/>
      <c r="F884" s="14"/>
      <c r="G884" s="14"/>
      <c r="H884" s="14"/>
      <c r="I884" s="14"/>
      <c r="J884" s="14"/>
      <c r="K884" s="12"/>
    </row>
    <row r="885" ht="19.5" customHeight="1">
      <c r="A885" s="12"/>
      <c r="C885" s="12"/>
      <c r="D885" s="87"/>
      <c r="F885" s="14"/>
      <c r="G885" s="14"/>
      <c r="H885" s="14"/>
      <c r="I885" s="14"/>
      <c r="J885" s="14"/>
      <c r="K885" s="12"/>
    </row>
    <row r="886" ht="19.5" customHeight="1">
      <c r="A886" s="12"/>
      <c r="C886" s="12"/>
      <c r="D886" s="87"/>
      <c r="F886" s="14"/>
      <c r="G886" s="14"/>
      <c r="H886" s="14"/>
      <c r="I886" s="14"/>
      <c r="J886" s="14"/>
      <c r="K886" s="12"/>
    </row>
    <row r="887" ht="19.5" customHeight="1">
      <c r="A887" s="12"/>
      <c r="C887" s="12"/>
      <c r="D887" s="87"/>
      <c r="F887" s="14"/>
      <c r="G887" s="14"/>
      <c r="H887" s="14"/>
      <c r="I887" s="14"/>
      <c r="J887" s="14"/>
      <c r="K887" s="12"/>
    </row>
    <row r="888" ht="19.5" customHeight="1">
      <c r="A888" s="12"/>
      <c r="C888" s="12"/>
      <c r="D888" s="87"/>
      <c r="F888" s="14"/>
      <c r="G888" s="14"/>
      <c r="H888" s="14"/>
      <c r="I888" s="14"/>
      <c r="J888" s="14"/>
      <c r="K888" s="12"/>
    </row>
    <row r="889" ht="19.5" customHeight="1">
      <c r="A889" s="12"/>
      <c r="C889" s="12"/>
      <c r="D889" s="87"/>
      <c r="F889" s="14"/>
      <c r="G889" s="14"/>
      <c r="H889" s="14"/>
      <c r="I889" s="14"/>
      <c r="J889" s="14"/>
      <c r="K889" s="12"/>
    </row>
    <row r="890" ht="19.5" customHeight="1">
      <c r="A890" s="12"/>
      <c r="C890" s="12"/>
      <c r="D890" s="87"/>
      <c r="F890" s="14"/>
      <c r="G890" s="14"/>
      <c r="H890" s="14"/>
      <c r="I890" s="14"/>
      <c r="J890" s="14"/>
      <c r="K890" s="12"/>
    </row>
    <row r="891" ht="19.5" customHeight="1">
      <c r="A891" s="12"/>
      <c r="C891" s="12"/>
      <c r="D891" s="87"/>
      <c r="F891" s="14"/>
      <c r="G891" s="14"/>
      <c r="H891" s="14"/>
      <c r="I891" s="14"/>
      <c r="J891" s="14"/>
      <c r="K891" s="12"/>
    </row>
    <row r="892" ht="19.5" customHeight="1">
      <c r="A892" s="12"/>
      <c r="C892" s="12"/>
      <c r="D892" s="87"/>
      <c r="F892" s="14"/>
      <c r="G892" s="14"/>
      <c r="H892" s="14"/>
      <c r="I892" s="14"/>
      <c r="J892" s="14"/>
      <c r="K892" s="12"/>
    </row>
    <row r="893" ht="19.5" customHeight="1">
      <c r="A893" s="12"/>
      <c r="C893" s="12"/>
      <c r="D893" s="87"/>
      <c r="F893" s="14"/>
      <c r="G893" s="14"/>
      <c r="H893" s="14"/>
      <c r="I893" s="14"/>
      <c r="J893" s="14"/>
      <c r="K893" s="12"/>
    </row>
    <row r="894" ht="19.5" customHeight="1">
      <c r="A894" s="12"/>
      <c r="C894" s="12"/>
      <c r="D894" s="87"/>
      <c r="F894" s="14"/>
      <c r="G894" s="14"/>
      <c r="H894" s="14"/>
      <c r="I894" s="14"/>
      <c r="J894" s="14"/>
      <c r="K894" s="12"/>
    </row>
    <row r="895" ht="19.5" customHeight="1">
      <c r="A895" s="12"/>
      <c r="C895" s="12"/>
      <c r="D895" s="87"/>
      <c r="F895" s="14"/>
      <c r="G895" s="14"/>
      <c r="H895" s="14"/>
      <c r="I895" s="14"/>
      <c r="J895" s="14"/>
      <c r="K895" s="12"/>
    </row>
    <row r="896" ht="19.5" customHeight="1">
      <c r="A896" s="12"/>
      <c r="C896" s="12"/>
      <c r="D896" s="87"/>
      <c r="F896" s="14"/>
      <c r="G896" s="14"/>
      <c r="H896" s="14"/>
      <c r="I896" s="14"/>
      <c r="J896" s="14"/>
      <c r="K896" s="12"/>
    </row>
    <row r="897" ht="19.5" customHeight="1">
      <c r="A897" s="12"/>
      <c r="C897" s="12"/>
      <c r="D897" s="87"/>
      <c r="F897" s="14"/>
      <c r="G897" s="14"/>
      <c r="H897" s="14"/>
      <c r="I897" s="14"/>
      <c r="J897" s="14"/>
      <c r="K897" s="12"/>
    </row>
    <row r="898" ht="19.5" customHeight="1">
      <c r="A898" s="12"/>
      <c r="C898" s="12"/>
      <c r="D898" s="87"/>
      <c r="F898" s="14"/>
      <c r="G898" s="14"/>
      <c r="H898" s="14"/>
      <c r="I898" s="14"/>
      <c r="J898" s="14"/>
      <c r="K898" s="12"/>
    </row>
    <row r="899" ht="19.5" customHeight="1">
      <c r="A899" s="12"/>
      <c r="C899" s="12"/>
      <c r="D899" s="87"/>
      <c r="F899" s="14"/>
      <c r="G899" s="14"/>
      <c r="H899" s="14"/>
      <c r="I899" s="14"/>
      <c r="J899" s="14"/>
      <c r="K899" s="12"/>
    </row>
    <row r="900" ht="19.5" customHeight="1">
      <c r="A900" s="12"/>
      <c r="C900" s="12"/>
      <c r="D900" s="87"/>
      <c r="F900" s="14"/>
      <c r="G900" s="14"/>
      <c r="H900" s="14"/>
      <c r="I900" s="14"/>
      <c r="J900" s="14"/>
      <c r="K900" s="12"/>
    </row>
    <row r="901" ht="19.5" customHeight="1">
      <c r="A901" s="12"/>
      <c r="C901" s="12"/>
      <c r="D901" s="87"/>
      <c r="F901" s="14"/>
      <c r="G901" s="14"/>
      <c r="H901" s="14"/>
      <c r="I901" s="14"/>
      <c r="J901" s="14"/>
      <c r="K901" s="12"/>
    </row>
    <row r="902" ht="19.5" customHeight="1">
      <c r="A902" s="12"/>
      <c r="C902" s="12"/>
      <c r="D902" s="87"/>
      <c r="F902" s="14"/>
      <c r="G902" s="14"/>
      <c r="H902" s="14"/>
      <c r="I902" s="14"/>
      <c r="J902" s="14"/>
      <c r="K902" s="12"/>
    </row>
    <row r="903" ht="19.5" customHeight="1">
      <c r="A903" s="12"/>
      <c r="C903" s="12"/>
      <c r="D903" s="87"/>
      <c r="F903" s="14"/>
      <c r="G903" s="14"/>
      <c r="H903" s="14"/>
      <c r="I903" s="14"/>
      <c r="J903" s="14"/>
      <c r="K903" s="12"/>
    </row>
    <row r="904" ht="19.5" customHeight="1">
      <c r="A904" s="12"/>
      <c r="C904" s="12"/>
      <c r="D904" s="87"/>
      <c r="F904" s="14"/>
      <c r="G904" s="14"/>
      <c r="H904" s="14"/>
      <c r="I904" s="14"/>
      <c r="J904" s="14"/>
      <c r="K904" s="12"/>
    </row>
    <row r="905" ht="19.5" customHeight="1">
      <c r="A905" s="12"/>
      <c r="C905" s="12"/>
      <c r="D905" s="87"/>
      <c r="F905" s="14"/>
      <c r="G905" s="14"/>
      <c r="H905" s="14"/>
      <c r="I905" s="14"/>
      <c r="J905" s="14"/>
      <c r="K905" s="12"/>
    </row>
    <row r="906" ht="19.5" customHeight="1">
      <c r="A906" s="12"/>
      <c r="C906" s="12"/>
      <c r="D906" s="87"/>
      <c r="F906" s="14"/>
      <c r="G906" s="14"/>
      <c r="H906" s="14"/>
      <c r="I906" s="14"/>
      <c r="J906" s="14"/>
      <c r="K906" s="12"/>
    </row>
    <row r="907" ht="19.5" customHeight="1">
      <c r="A907" s="12"/>
      <c r="C907" s="12"/>
      <c r="D907" s="87"/>
      <c r="F907" s="14"/>
      <c r="G907" s="14"/>
      <c r="H907" s="14"/>
      <c r="I907" s="14"/>
      <c r="J907" s="14"/>
      <c r="K907" s="12"/>
    </row>
    <row r="908" ht="19.5" customHeight="1">
      <c r="A908" s="12"/>
      <c r="C908" s="12"/>
      <c r="D908" s="87"/>
      <c r="F908" s="14"/>
      <c r="G908" s="14"/>
      <c r="H908" s="14"/>
      <c r="I908" s="14"/>
      <c r="J908" s="14"/>
      <c r="K908" s="12"/>
    </row>
    <row r="909" ht="19.5" customHeight="1">
      <c r="A909" s="12"/>
      <c r="C909" s="12"/>
      <c r="D909" s="87"/>
      <c r="F909" s="14"/>
      <c r="G909" s="14"/>
      <c r="H909" s="14"/>
      <c r="I909" s="14"/>
      <c r="J909" s="14"/>
      <c r="K909" s="12"/>
    </row>
    <row r="910" ht="19.5" customHeight="1">
      <c r="A910" s="12"/>
      <c r="C910" s="12"/>
      <c r="D910" s="87"/>
      <c r="F910" s="14"/>
      <c r="G910" s="14"/>
      <c r="H910" s="14"/>
      <c r="I910" s="14"/>
      <c r="J910" s="14"/>
      <c r="K910" s="12"/>
    </row>
    <row r="911" ht="19.5" customHeight="1">
      <c r="A911" s="12"/>
      <c r="C911" s="12"/>
      <c r="D911" s="87"/>
      <c r="F911" s="14"/>
      <c r="G911" s="14"/>
      <c r="H911" s="14"/>
      <c r="I911" s="14"/>
      <c r="J911" s="14"/>
      <c r="K911" s="12"/>
    </row>
    <row r="912" ht="19.5" customHeight="1">
      <c r="A912" s="12"/>
      <c r="C912" s="12"/>
      <c r="D912" s="87"/>
      <c r="F912" s="14"/>
      <c r="G912" s="14"/>
      <c r="H912" s="14"/>
      <c r="I912" s="14"/>
      <c r="J912" s="14"/>
      <c r="K912" s="12"/>
    </row>
    <row r="913" ht="19.5" customHeight="1">
      <c r="A913" s="12"/>
      <c r="C913" s="12"/>
      <c r="D913" s="87"/>
      <c r="F913" s="14"/>
      <c r="G913" s="14"/>
      <c r="H913" s="14"/>
      <c r="I913" s="14"/>
      <c r="J913" s="14"/>
      <c r="K913" s="12"/>
    </row>
    <row r="914" ht="19.5" customHeight="1">
      <c r="A914" s="12"/>
      <c r="C914" s="12"/>
      <c r="D914" s="87"/>
      <c r="F914" s="14"/>
      <c r="G914" s="14"/>
      <c r="H914" s="14"/>
      <c r="I914" s="14"/>
      <c r="J914" s="14"/>
      <c r="K914" s="12"/>
    </row>
    <row r="915" ht="19.5" customHeight="1">
      <c r="A915" s="12"/>
      <c r="C915" s="12"/>
      <c r="D915" s="87"/>
      <c r="F915" s="14"/>
      <c r="G915" s="14"/>
      <c r="H915" s="14"/>
      <c r="I915" s="14"/>
      <c r="J915" s="14"/>
      <c r="K915" s="12"/>
    </row>
    <row r="916" ht="19.5" customHeight="1">
      <c r="A916" s="12"/>
      <c r="C916" s="12"/>
      <c r="D916" s="87"/>
      <c r="F916" s="14"/>
      <c r="G916" s="14"/>
      <c r="H916" s="14"/>
      <c r="I916" s="14"/>
      <c r="J916" s="14"/>
      <c r="K916" s="12"/>
    </row>
    <row r="917" ht="19.5" customHeight="1">
      <c r="A917" s="12"/>
      <c r="C917" s="12"/>
      <c r="D917" s="87"/>
      <c r="F917" s="14"/>
      <c r="G917" s="14"/>
      <c r="H917" s="14"/>
      <c r="I917" s="14"/>
      <c r="J917" s="14"/>
      <c r="K917" s="12"/>
    </row>
    <row r="918" ht="19.5" customHeight="1">
      <c r="A918" s="12"/>
      <c r="C918" s="12"/>
      <c r="D918" s="87"/>
      <c r="F918" s="14"/>
      <c r="G918" s="14"/>
      <c r="H918" s="14"/>
      <c r="I918" s="14"/>
      <c r="J918" s="14"/>
      <c r="K918" s="12"/>
    </row>
    <row r="919" ht="19.5" customHeight="1">
      <c r="A919" s="12"/>
      <c r="C919" s="12"/>
      <c r="D919" s="87"/>
      <c r="F919" s="14"/>
      <c r="G919" s="14"/>
      <c r="H919" s="14"/>
      <c r="I919" s="14"/>
      <c r="J919" s="14"/>
      <c r="K919" s="12"/>
    </row>
    <row r="920" ht="19.5" customHeight="1">
      <c r="A920" s="12"/>
      <c r="C920" s="12"/>
      <c r="D920" s="87"/>
      <c r="F920" s="14"/>
      <c r="G920" s="14"/>
      <c r="H920" s="14"/>
      <c r="I920" s="14"/>
      <c r="J920" s="14"/>
      <c r="K920" s="12"/>
    </row>
    <row r="921" ht="19.5" customHeight="1">
      <c r="A921" s="12"/>
      <c r="C921" s="12"/>
      <c r="D921" s="87"/>
      <c r="F921" s="14"/>
      <c r="G921" s="14"/>
      <c r="H921" s="14"/>
      <c r="I921" s="14"/>
      <c r="J921" s="14"/>
      <c r="K921" s="12"/>
    </row>
    <row r="922" ht="19.5" customHeight="1">
      <c r="A922" s="12"/>
      <c r="C922" s="12"/>
      <c r="D922" s="87"/>
      <c r="F922" s="14"/>
      <c r="G922" s="14"/>
      <c r="H922" s="14"/>
      <c r="I922" s="14"/>
      <c r="J922" s="14"/>
      <c r="K922" s="12"/>
    </row>
    <row r="923" ht="19.5" customHeight="1">
      <c r="A923" s="12"/>
      <c r="C923" s="12"/>
      <c r="D923" s="87"/>
      <c r="F923" s="14"/>
      <c r="G923" s="14"/>
      <c r="H923" s="14"/>
      <c r="I923" s="14"/>
      <c r="J923" s="14"/>
      <c r="K923" s="12"/>
    </row>
    <row r="924" ht="19.5" customHeight="1">
      <c r="A924" s="12"/>
      <c r="C924" s="12"/>
      <c r="D924" s="87"/>
      <c r="F924" s="14"/>
      <c r="G924" s="14"/>
      <c r="H924" s="14"/>
      <c r="I924" s="14"/>
      <c r="J924" s="14"/>
      <c r="K924" s="12"/>
    </row>
    <row r="925" ht="19.5" customHeight="1">
      <c r="A925" s="12"/>
      <c r="C925" s="12"/>
      <c r="D925" s="87"/>
      <c r="F925" s="14"/>
      <c r="G925" s="14"/>
      <c r="H925" s="14"/>
      <c r="I925" s="14"/>
      <c r="J925" s="14"/>
      <c r="K925" s="12"/>
    </row>
    <row r="926" ht="19.5" customHeight="1">
      <c r="A926" s="12"/>
      <c r="C926" s="12"/>
      <c r="D926" s="87"/>
      <c r="F926" s="14"/>
      <c r="G926" s="14"/>
      <c r="H926" s="14"/>
      <c r="I926" s="14"/>
      <c r="J926" s="14"/>
      <c r="K926" s="12"/>
    </row>
    <row r="927" ht="19.5" customHeight="1">
      <c r="A927" s="12"/>
      <c r="C927" s="12"/>
      <c r="D927" s="87"/>
      <c r="F927" s="14"/>
      <c r="G927" s="14"/>
      <c r="H927" s="14"/>
      <c r="I927" s="14"/>
      <c r="J927" s="14"/>
      <c r="K927" s="12"/>
    </row>
    <row r="928" ht="19.5" customHeight="1">
      <c r="A928" s="12"/>
      <c r="C928" s="12"/>
      <c r="D928" s="87"/>
      <c r="F928" s="14"/>
      <c r="G928" s="14"/>
      <c r="H928" s="14"/>
      <c r="I928" s="14"/>
      <c r="J928" s="14"/>
      <c r="K928" s="12"/>
    </row>
    <row r="929" ht="19.5" customHeight="1">
      <c r="A929" s="12"/>
      <c r="C929" s="12"/>
      <c r="D929" s="87"/>
      <c r="F929" s="14"/>
      <c r="G929" s="14"/>
      <c r="H929" s="14"/>
      <c r="I929" s="14"/>
      <c r="J929" s="14"/>
      <c r="K929" s="12"/>
    </row>
    <row r="930" ht="19.5" customHeight="1">
      <c r="A930" s="12"/>
      <c r="C930" s="12"/>
      <c r="D930" s="87"/>
      <c r="F930" s="14"/>
      <c r="G930" s="14"/>
      <c r="H930" s="14"/>
      <c r="I930" s="14"/>
      <c r="J930" s="14"/>
      <c r="K930" s="12"/>
    </row>
    <row r="931" ht="19.5" customHeight="1">
      <c r="A931" s="12"/>
      <c r="C931" s="12"/>
      <c r="D931" s="87"/>
      <c r="F931" s="14"/>
      <c r="G931" s="14"/>
      <c r="H931" s="14"/>
      <c r="I931" s="14"/>
      <c r="J931" s="14"/>
      <c r="K931" s="12"/>
    </row>
    <row r="932" ht="19.5" customHeight="1">
      <c r="A932" s="12"/>
      <c r="C932" s="12"/>
      <c r="D932" s="87"/>
      <c r="F932" s="14"/>
      <c r="G932" s="14"/>
      <c r="H932" s="14"/>
      <c r="I932" s="14"/>
      <c r="J932" s="14"/>
      <c r="K932" s="12"/>
    </row>
    <row r="933" ht="19.5" customHeight="1">
      <c r="A933" s="12"/>
      <c r="C933" s="12"/>
      <c r="D933" s="87"/>
      <c r="F933" s="14"/>
      <c r="G933" s="14"/>
      <c r="H933" s="14"/>
      <c r="I933" s="14"/>
      <c r="J933" s="14"/>
      <c r="K933" s="12"/>
    </row>
    <row r="934" ht="19.5" customHeight="1">
      <c r="A934" s="12"/>
      <c r="C934" s="12"/>
      <c r="D934" s="87"/>
      <c r="F934" s="14"/>
      <c r="G934" s="14"/>
      <c r="H934" s="14"/>
      <c r="I934" s="14"/>
      <c r="J934" s="14"/>
      <c r="K934" s="12"/>
    </row>
    <row r="935" ht="19.5" customHeight="1">
      <c r="A935" s="12"/>
      <c r="C935" s="12"/>
      <c r="D935" s="87"/>
      <c r="F935" s="14"/>
      <c r="G935" s="14"/>
      <c r="H935" s="14"/>
      <c r="I935" s="14"/>
      <c r="J935" s="14"/>
      <c r="K935" s="12"/>
    </row>
    <row r="936" ht="19.5" customHeight="1">
      <c r="A936" s="12"/>
      <c r="C936" s="12"/>
      <c r="D936" s="87"/>
      <c r="F936" s="14"/>
      <c r="G936" s="14"/>
      <c r="H936" s="14"/>
      <c r="I936" s="14"/>
      <c r="J936" s="14"/>
      <c r="K936" s="12"/>
    </row>
    <row r="937" ht="19.5" customHeight="1">
      <c r="A937" s="12"/>
      <c r="C937" s="12"/>
      <c r="D937" s="87"/>
      <c r="F937" s="14"/>
      <c r="G937" s="14"/>
      <c r="H937" s="14"/>
      <c r="I937" s="14"/>
      <c r="J937" s="14"/>
      <c r="K937" s="12"/>
    </row>
    <row r="938" ht="19.5" customHeight="1">
      <c r="A938" s="12"/>
      <c r="C938" s="12"/>
      <c r="D938" s="87"/>
      <c r="F938" s="14"/>
      <c r="G938" s="14"/>
      <c r="H938" s="14"/>
      <c r="I938" s="14"/>
      <c r="J938" s="14"/>
      <c r="K938" s="12"/>
    </row>
    <row r="939" ht="19.5" customHeight="1">
      <c r="A939" s="12"/>
      <c r="C939" s="12"/>
      <c r="D939" s="87"/>
      <c r="F939" s="14"/>
      <c r="G939" s="14"/>
      <c r="H939" s="14"/>
      <c r="I939" s="14"/>
      <c r="J939" s="14"/>
      <c r="K939" s="12"/>
    </row>
    <row r="940" ht="19.5" customHeight="1">
      <c r="A940" s="12"/>
      <c r="C940" s="12"/>
      <c r="D940" s="87"/>
      <c r="F940" s="14"/>
      <c r="G940" s="14"/>
      <c r="H940" s="14"/>
      <c r="I940" s="14"/>
      <c r="J940" s="14"/>
      <c r="K940" s="12"/>
    </row>
    <row r="941" ht="19.5" customHeight="1">
      <c r="A941" s="12"/>
      <c r="C941" s="12"/>
      <c r="D941" s="87"/>
      <c r="F941" s="14"/>
      <c r="G941" s="14"/>
      <c r="H941" s="14"/>
      <c r="I941" s="14"/>
      <c r="J941" s="14"/>
      <c r="K941" s="12"/>
    </row>
    <row r="942" ht="19.5" customHeight="1">
      <c r="A942" s="12"/>
      <c r="C942" s="12"/>
      <c r="D942" s="87"/>
      <c r="F942" s="14"/>
      <c r="G942" s="14"/>
      <c r="H942" s="14"/>
      <c r="I942" s="14"/>
      <c r="J942" s="14"/>
      <c r="K942" s="12"/>
    </row>
    <row r="943" ht="19.5" customHeight="1">
      <c r="A943" s="12"/>
      <c r="C943" s="12"/>
      <c r="D943" s="87"/>
      <c r="F943" s="14"/>
      <c r="G943" s="14"/>
      <c r="H943" s="14"/>
      <c r="I943" s="14"/>
      <c r="J943" s="14"/>
      <c r="K943" s="12"/>
    </row>
    <row r="944" ht="19.5" customHeight="1">
      <c r="A944" s="12"/>
      <c r="C944" s="12"/>
      <c r="D944" s="87"/>
      <c r="F944" s="14"/>
      <c r="G944" s="14"/>
      <c r="H944" s="14"/>
      <c r="I944" s="14"/>
      <c r="J944" s="14"/>
      <c r="K944" s="12"/>
    </row>
    <row r="945" ht="19.5" customHeight="1">
      <c r="A945" s="12"/>
      <c r="C945" s="12"/>
      <c r="D945" s="87"/>
      <c r="F945" s="14"/>
      <c r="G945" s="14"/>
      <c r="H945" s="14"/>
      <c r="I945" s="14"/>
      <c r="J945" s="14"/>
      <c r="K945" s="12"/>
    </row>
    <row r="946" ht="19.5" customHeight="1">
      <c r="A946" s="12"/>
      <c r="C946" s="12"/>
      <c r="D946" s="87"/>
      <c r="F946" s="14"/>
      <c r="G946" s="14"/>
      <c r="H946" s="14"/>
      <c r="I946" s="14"/>
      <c r="J946" s="14"/>
      <c r="K946" s="12"/>
    </row>
    <row r="947" ht="19.5" customHeight="1">
      <c r="A947" s="12"/>
      <c r="C947" s="12"/>
      <c r="D947" s="87"/>
      <c r="F947" s="14"/>
      <c r="G947" s="14"/>
      <c r="H947" s="14"/>
      <c r="I947" s="14"/>
      <c r="J947" s="14"/>
      <c r="K947" s="12"/>
    </row>
    <row r="948" ht="19.5" customHeight="1">
      <c r="A948" s="12"/>
      <c r="C948" s="12"/>
      <c r="D948" s="87"/>
      <c r="F948" s="14"/>
      <c r="G948" s="14"/>
      <c r="H948" s="14"/>
      <c r="I948" s="14"/>
      <c r="J948" s="14"/>
      <c r="K948" s="12"/>
    </row>
    <row r="949" ht="19.5" customHeight="1">
      <c r="A949" s="12"/>
      <c r="C949" s="12"/>
      <c r="D949" s="87"/>
      <c r="F949" s="14"/>
      <c r="G949" s="14"/>
      <c r="H949" s="14"/>
      <c r="I949" s="14"/>
      <c r="J949" s="14"/>
      <c r="K949" s="12"/>
    </row>
    <row r="950" ht="19.5" customHeight="1">
      <c r="A950" s="12"/>
      <c r="C950" s="12"/>
      <c r="D950" s="87"/>
      <c r="F950" s="14"/>
      <c r="G950" s="14"/>
      <c r="H950" s="14"/>
      <c r="I950" s="14"/>
      <c r="J950" s="14"/>
      <c r="K950" s="12"/>
    </row>
    <row r="951" ht="19.5" customHeight="1">
      <c r="A951" s="12"/>
      <c r="C951" s="12"/>
      <c r="D951" s="87"/>
      <c r="F951" s="14"/>
      <c r="G951" s="14"/>
      <c r="H951" s="14"/>
      <c r="I951" s="14"/>
      <c r="J951" s="14"/>
      <c r="K951" s="12"/>
    </row>
    <row r="952" ht="19.5" customHeight="1">
      <c r="A952" s="12"/>
      <c r="C952" s="12"/>
      <c r="D952" s="87"/>
      <c r="F952" s="14"/>
      <c r="G952" s="14"/>
      <c r="H952" s="14"/>
      <c r="I952" s="14"/>
      <c r="J952" s="14"/>
      <c r="K952" s="12"/>
    </row>
    <row r="953" ht="19.5" customHeight="1">
      <c r="A953" s="12"/>
      <c r="C953" s="12"/>
      <c r="D953" s="87"/>
      <c r="F953" s="14"/>
      <c r="G953" s="14"/>
      <c r="H953" s="14"/>
      <c r="I953" s="14"/>
      <c r="J953" s="14"/>
      <c r="K953" s="12"/>
    </row>
    <row r="954" ht="19.5" customHeight="1">
      <c r="A954" s="12"/>
      <c r="C954" s="12"/>
      <c r="D954" s="87"/>
      <c r="F954" s="14"/>
      <c r="G954" s="14"/>
      <c r="H954" s="14"/>
      <c r="I954" s="14"/>
      <c r="J954" s="14"/>
      <c r="K954" s="12"/>
    </row>
    <row r="955" ht="19.5" customHeight="1">
      <c r="A955" s="12"/>
      <c r="C955" s="12"/>
      <c r="D955" s="87"/>
      <c r="F955" s="14"/>
      <c r="G955" s="14"/>
      <c r="H955" s="14"/>
      <c r="I955" s="14"/>
      <c r="J955" s="14"/>
      <c r="K955" s="12"/>
    </row>
    <row r="956" ht="19.5" customHeight="1">
      <c r="A956" s="12"/>
      <c r="C956" s="12"/>
      <c r="D956" s="87"/>
      <c r="F956" s="14"/>
      <c r="G956" s="14"/>
      <c r="H956" s="14"/>
      <c r="I956" s="14"/>
      <c r="J956" s="14"/>
      <c r="K956" s="12"/>
    </row>
    <row r="957" ht="19.5" customHeight="1">
      <c r="A957" s="12"/>
      <c r="C957" s="12"/>
      <c r="D957" s="87"/>
      <c r="F957" s="14"/>
      <c r="G957" s="14"/>
      <c r="H957" s="14"/>
      <c r="I957" s="14"/>
      <c r="J957" s="14"/>
      <c r="K957" s="12"/>
    </row>
    <row r="958" ht="19.5" customHeight="1">
      <c r="A958" s="12"/>
      <c r="C958" s="12"/>
      <c r="D958" s="87"/>
      <c r="F958" s="14"/>
      <c r="G958" s="14"/>
      <c r="H958" s="14"/>
      <c r="I958" s="14"/>
      <c r="J958" s="14"/>
      <c r="K958" s="12"/>
    </row>
    <row r="959" ht="19.5" customHeight="1">
      <c r="A959" s="12"/>
      <c r="C959" s="12"/>
      <c r="D959" s="87"/>
      <c r="F959" s="14"/>
      <c r="G959" s="14"/>
      <c r="H959" s="14"/>
      <c r="I959" s="14"/>
      <c r="J959" s="14"/>
      <c r="K959" s="12"/>
    </row>
    <row r="960" ht="19.5" customHeight="1">
      <c r="A960" s="12"/>
      <c r="C960" s="12"/>
      <c r="D960" s="87"/>
      <c r="F960" s="14"/>
      <c r="G960" s="14"/>
      <c r="H960" s="14"/>
      <c r="I960" s="14"/>
      <c r="J960" s="14"/>
      <c r="K960" s="12"/>
    </row>
    <row r="961" ht="19.5" customHeight="1">
      <c r="A961" s="12"/>
      <c r="C961" s="12"/>
      <c r="D961" s="87"/>
      <c r="F961" s="14"/>
      <c r="G961" s="14"/>
      <c r="H961" s="14"/>
      <c r="I961" s="14"/>
      <c r="J961" s="14"/>
      <c r="K961" s="12"/>
    </row>
    <row r="962" ht="19.5" customHeight="1">
      <c r="A962" s="12"/>
      <c r="C962" s="12"/>
      <c r="D962" s="87"/>
      <c r="F962" s="14"/>
      <c r="G962" s="14"/>
      <c r="H962" s="14"/>
      <c r="I962" s="14"/>
      <c r="J962" s="14"/>
      <c r="K962" s="12"/>
    </row>
    <row r="963" ht="19.5" customHeight="1">
      <c r="A963" s="12"/>
      <c r="C963" s="12"/>
      <c r="D963" s="87"/>
      <c r="F963" s="14"/>
      <c r="G963" s="14"/>
      <c r="H963" s="14"/>
      <c r="I963" s="14"/>
      <c r="J963" s="14"/>
      <c r="K963" s="12"/>
    </row>
    <row r="964" ht="19.5" customHeight="1">
      <c r="A964" s="12"/>
      <c r="C964" s="12"/>
      <c r="D964" s="87"/>
      <c r="F964" s="14"/>
      <c r="G964" s="14"/>
      <c r="H964" s="14"/>
      <c r="I964" s="14"/>
      <c r="J964" s="14"/>
      <c r="K964" s="12"/>
    </row>
    <row r="965" ht="19.5" customHeight="1">
      <c r="A965" s="12"/>
      <c r="C965" s="12"/>
      <c r="D965" s="87"/>
      <c r="F965" s="14"/>
      <c r="G965" s="14"/>
      <c r="H965" s="14"/>
      <c r="I965" s="14"/>
      <c r="J965" s="14"/>
      <c r="K965" s="12"/>
    </row>
    <row r="966" ht="19.5" customHeight="1">
      <c r="A966" s="12"/>
      <c r="C966" s="12"/>
      <c r="D966" s="87"/>
      <c r="F966" s="14"/>
      <c r="G966" s="14"/>
      <c r="H966" s="14"/>
      <c r="I966" s="14"/>
      <c r="J966" s="14"/>
      <c r="K966" s="12"/>
    </row>
    <row r="967" ht="19.5" customHeight="1">
      <c r="A967" s="12"/>
      <c r="C967" s="12"/>
      <c r="D967" s="87"/>
      <c r="F967" s="14"/>
      <c r="G967" s="14"/>
      <c r="H967" s="14"/>
      <c r="I967" s="14"/>
      <c r="J967" s="14"/>
      <c r="K967" s="12"/>
    </row>
    <row r="968" ht="19.5" customHeight="1">
      <c r="A968" s="12"/>
      <c r="C968" s="12"/>
      <c r="D968" s="87"/>
      <c r="F968" s="14"/>
      <c r="G968" s="14"/>
      <c r="H968" s="14"/>
      <c r="I968" s="14"/>
      <c r="J968" s="14"/>
      <c r="K968" s="12"/>
    </row>
    <row r="969" ht="19.5" customHeight="1">
      <c r="A969" s="12"/>
      <c r="C969" s="12"/>
      <c r="D969" s="87"/>
      <c r="F969" s="14"/>
      <c r="G969" s="14"/>
      <c r="H969" s="14"/>
      <c r="I969" s="14"/>
      <c r="J969" s="14"/>
      <c r="K969" s="12"/>
    </row>
    <row r="970" ht="19.5" customHeight="1">
      <c r="A970" s="12"/>
      <c r="C970" s="12"/>
      <c r="D970" s="87"/>
      <c r="F970" s="14"/>
      <c r="G970" s="14"/>
      <c r="H970" s="14"/>
      <c r="I970" s="14"/>
      <c r="J970" s="14"/>
      <c r="K970" s="12"/>
    </row>
    <row r="971" ht="19.5" customHeight="1">
      <c r="A971" s="12"/>
      <c r="C971" s="12"/>
      <c r="D971" s="87"/>
      <c r="F971" s="14"/>
      <c r="G971" s="14"/>
      <c r="H971" s="14"/>
      <c r="I971" s="14"/>
      <c r="J971" s="14"/>
      <c r="K971" s="12"/>
    </row>
    <row r="972" ht="19.5" customHeight="1">
      <c r="A972" s="12"/>
      <c r="C972" s="12"/>
      <c r="D972" s="87"/>
      <c r="F972" s="14"/>
      <c r="G972" s="14"/>
      <c r="H972" s="14"/>
      <c r="I972" s="14"/>
      <c r="J972" s="14"/>
      <c r="K972" s="12"/>
    </row>
    <row r="973" ht="19.5" customHeight="1">
      <c r="A973" s="12"/>
      <c r="C973" s="12"/>
      <c r="D973" s="87"/>
      <c r="F973" s="14"/>
      <c r="G973" s="14"/>
      <c r="H973" s="14"/>
      <c r="I973" s="14"/>
      <c r="J973" s="14"/>
      <c r="K973" s="12"/>
    </row>
    <row r="974" ht="19.5" customHeight="1">
      <c r="A974" s="12"/>
      <c r="C974" s="12"/>
      <c r="D974" s="87"/>
      <c r="F974" s="14"/>
      <c r="G974" s="14"/>
      <c r="H974" s="14"/>
      <c r="I974" s="14"/>
      <c r="J974" s="14"/>
      <c r="K974" s="12"/>
    </row>
    <row r="975" ht="19.5" customHeight="1">
      <c r="A975" s="12"/>
      <c r="C975" s="12"/>
      <c r="D975" s="87"/>
      <c r="F975" s="14"/>
      <c r="G975" s="14"/>
      <c r="H975" s="14"/>
      <c r="I975" s="14"/>
      <c r="J975" s="14"/>
      <c r="K975" s="12"/>
    </row>
    <row r="976" ht="19.5" customHeight="1">
      <c r="A976" s="12"/>
      <c r="C976" s="12"/>
      <c r="D976" s="87"/>
      <c r="F976" s="14"/>
      <c r="G976" s="14"/>
      <c r="H976" s="14"/>
      <c r="I976" s="14"/>
      <c r="J976" s="14"/>
      <c r="K976" s="12"/>
    </row>
    <row r="977" ht="19.5" customHeight="1">
      <c r="A977" s="12"/>
      <c r="C977" s="12"/>
      <c r="D977" s="87"/>
      <c r="F977" s="14"/>
      <c r="G977" s="14"/>
      <c r="H977" s="14"/>
      <c r="I977" s="14"/>
      <c r="J977" s="14"/>
      <c r="K977" s="12"/>
    </row>
    <row r="978" ht="19.5" customHeight="1">
      <c r="A978" s="12"/>
      <c r="C978" s="12"/>
      <c r="D978" s="87"/>
      <c r="F978" s="14"/>
      <c r="G978" s="14"/>
      <c r="H978" s="14"/>
      <c r="I978" s="14"/>
      <c r="J978" s="14"/>
      <c r="K978" s="12"/>
    </row>
    <row r="979" ht="19.5" customHeight="1">
      <c r="A979" s="12"/>
      <c r="C979" s="12"/>
      <c r="D979" s="87"/>
      <c r="F979" s="14"/>
      <c r="G979" s="14"/>
      <c r="H979" s="14"/>
      <c r="I979" s="14"/>
      <c r="J979" s="14"/>
      <c r="K979" s="12"/>
    </row>
    <row r="980" ht="19.5" customHeight="1">
      <c r="A980" s="12"/>
      <c r="C980" s="12"/>
      <c r="D980" s="87"/>
      <c r="F980" s="14"/>
      <c r="G980" s="14"/>
      <c r="H980" s="14"/>
      <c r="I980" s="14"/>
      <c r="J980" s="14"/>
      <c r="K980" s="12"/>
    </row>
    <row r="981" ht="19.5" customHeight="1">
      <c r="A981" s="12"/>
      <c r="C981" s="12"/>
      <c r="D981" s="87"/>
      <c r="F981" s="14"/>
      <c r="G981" s="14"/>
      <c r="H981" s="14"/>
      <c r="I981" s="14"/>
      <c r="J981" s="14"/>
      <c r="K981" s="12"/>
    </row>
    <row r="982" ht="19.5" customHeight="1">
      <c r="A982" s="12"/>
      <c r="C982" s="12"/>
      <c r="D982" s="87"/>
      <c r="F982" s="14"/>
      <c r="G982" s="14"/>
      <c r="H982" s="14"/>
      <c r="I982" s="14"/>
      <c r="J982" s="14"/>
      <c r="K982" s="12"/>
    </row>
    <row r="983" ht="19.5" customHeight="1">
      <c r="A983" s="12"/>
      <c r="C983" s="12"/>
      <c r="D983" s="87"/>
      <c r="F983" s="14"/>
      <c r="G983" s="14"/>
      <c r="H983" s="14"/>
      <c r="I983" s="14"/>
      <c r="J983" s="14"/>
      <c r="K983" s="12"/>
    </row>
    <row r="984" ht="19.5" customHeight="1">
      <c r="A984" s="12"/>
      <c r="C984" s="12"/>
      <c r="D984" s="87"/>
      <c r="F984" s="14"/>
      <c r="G984" s="14"/>
      <c r="H984" s="14"/>
      <c r="I984" s="14"/>
      <c r="J984" s="14"/>
      <c r="K984" s="12"/>
    </row>
    <row r="985" ht="19.5" customHeight="1">
      <c r="A985" s="12"/>
      <c r="C985" s="12"/>
      <c r="D985" s="87"/>
      <c r="F985" s="14"/>
      <c r="G985" s="14"/>
      <c r="H985" s="14"/>
      <c r="I985" s="14"/>
      <c r="J985" s="14"/>
      <c r="K985" s="12"/>
    </row>
    <row r="986" ht="19.5" customHeight="1">
      <c r="A986" s="12"/>
      <c r="C986" s="12"/>
      <c r="D986" s="87"/>
      <c r="F986" s="14"/>
      <c r="G986" s="14"/>
      <c r="H986" s="14"/>
      <c r="I986" s="14"/>
      <c r="J986" s="14"/>
      <c r="K986" s="12"/>
    </row>
    <row r="987" ht="19.5" customHeight="1">
      <c r="A987" s="12"/>
      <c r="C987" s="12"/>
      <c r="D987" s="87"/>
      <c r="F987" s="14"/>
      <c r="G987" s="14"/>
      <c r="H987" s="14"/>
      <c r="I987" s="14"/>
      <c r="J987" s="14"/>
      <c r="K987" s="12"/>
    </row>
    <row r="988" ht="19.5" customHeight="1">
      <c r="A988" s="12"/>
      <c r="C988" s="12"/>
      <c r="D988" s="87"/>
      <c r="F988" s="14"/>
      <c r="G988" s="14"/>
      <c r="H988" s="14"/>
      <c r="I988" s="14"/>
      <c r="J988" s="14"/>
      <c r="K988" s="12"/>
    </row>
    <row r="989" ht="19.5" customHeight="1">
      <c r="A989" s="12"/>
      <c r="C989" s="12"/>
      <c r="D989" s="87"/>
      <c r="F989" s="14"/>
      <c r="G989" s="14"/>
      <c r="H989" s="14"/>
      <c r="I989" s="14"/>
      <c r="J989" s="14"/>
      <c r="K989" s="12"/>
    </row>
    <row r="990" ht="19.5" customHeight="1">
      <c r="A990" s="12"/>
      <c r="C990" s="12"/>
      <c r="D990" s="87"/>
      <c r="F990" s="14"/>
      <c r="G990" s="14"/>
      <c r="H990" s="14"/>
      <c r="I990" s="14"/>
      <c r="J990" s="14"/>
      <c r="K990" s="12"/>
    </row>
    <row r="991" ht="19.5" customHeight="1">
      <c r="A991" s="12"/>
      <c r="C991" s="12"/>
      <c r="D991" s="87"/>
      <c r="F991" s="14"/>
      <c r="G991" s="14"/>
      <c r="H991" s="14"/>
      <c r="I991" s="14"/>
      <c r="J991" s="14"/>
      <c r="K991" s="12"/>
    </row>
    <row r="992" ht="19.5" customHeight="1">
      <c r="A992" s="12"/>
      <c r="C992" s="12"/>
      <c r="D992" s="87"/>
      <c r="F992" s="14"/>
      <c r="G992" s="14"/>
      <c r="H992" s="14"/>
      <c r="I992" s="14"/>
      <c r="J992" s="14"/>
      <c r="K992" s="12"/>
    </row>
    <row r="993" ht="19.5" customHeight="1">
      <c r="A993" s="12"/>
      <c r="C993" s="12"/>
      <c r="D993" s="87"/>
      <c r="F993" s="14"/>
      <c r="G993" s="14"/>
      <c r="H993" s="14"/>
      <c r="I993" s="14"/>
      <c r="J993" s="14"/>
      <c r="K993" s="12"/>
    </row>
    <row r="994" ht="19.5" customHeight="1">
      <c r="A994" s="12"/>
      <c r="C994" s="12"/>
      <c r="D994" s="87"/>
      <c r="F994" s="14"/>
      <c r="G994" s="14"/>
      <c r="H994" s="14"/>
      <c r="I994" s="14"/>
      <c r="J994" s="14"/>
      <c r="K994" s="12"/>
    </row>
    <row r="995" ht="19.5" customHeight="1">
      <c r="A995" s="12"/>
      <c r="C995" s="12"/>
      <c r="D995" s="87"/>
      <c r="F995" s="14"/>
      <c r="G995" s="14"/>
      <c r="H995" s="14"/>
      <c r="I995" s="14"/>
      <c r="J995" s="14"/>
      <c r="K995" s="12"/>
    </row>
    <row r="996" ht="19.5" customHeight="1">
      <c r="A996" s="12"/>
      <c r="C996" s="12"/>
      <c r="D996" s="87"/>
      <c r="F996" s="14"/>
      <c r="G996" s="14"/>
      <c r="H996" s="14"/>
      <c r="I996" s="14"/>
      <c r="J996" s="14"/>
      <c r="K996" s="12"/>
    </row>
    <row r="997" ht="19.5" customHeight="1">
      <c r="A997" s="12"/>
      <c r="C997" s="12"/>
      <c r="D997" s="87"/>
      <c r="F997" s="14"/>
      <c r="G997" s="14"/>
      <c r="H997" s="14"/>
      <c r="I997" s="14"/>
      <c r="J997" s="14"/>
      <c r="K997" s="12"/>
    </row>
    <row r="998" ht="19.5" customHeight="1">
      <c r="A998" s="12"/>
      <c r="C998" s="12"/>
      <c r="D998" s="87"/>
      <c r="F998" s="14"/>
      <c r="G998" s="14"/>
      <c r="H998" s="14"/>
      <c r="I998" s="14"/>
      <c r="J998" s="14"/>
      <c r="K998" s="12"/>
    </row>
    <row r="999" ht="19.5" customHeight="1">
      <c r="A999" s="12"/>
      <c r="C999" s="12"/>
      <c r="D999" s="87"/>
      <c r="F999" s="14"/>
      <c r="G999" s="14"/>
      <c r="H999" s="14"/>
      <c r="I999" s="14"/>
      <c r="J999" s="14"/>
      <c r="K999" s="12"/>
    </row>
    <row r="1000" ht="19.5" customHeight="1">
      <c r="A1000" s="12"/>
      <c r="C1000" s="12"/>
      <c r="D1000" s="87"/>
      <c r="F1000" s="14"/>
      <c r="G1000" s="14"/>
      <c r="H1000" s="14"/>
      <c r="I1000" s="14"/>
      <c r="J1000" s="14"/>
      <c r="K1000" s="12"/>
    </row>
    <row r="1001" ht="19.5" customHeight="1">
      <c r="A1001" s="12"/>
      <c r="C1001" s="12"/>
      <c r="D1001" s="87"/>
      <c r="F1001" s="14"/>
      <c r="G1001" s="14"/>
      <c r="H1001" s="14"/>
      <c r="I1001" s="14"/>
      <c r="J1001" s="14"/>
      <c r="K1001" s="12"/>
    </row>
    <row r="1002" ht="19.5" customHeight="1">
      <c r="A1002" s="12"/>
      <c r="C1002" s="12"/>
      <c r="D1002" s="87"/>
      <c r="F1002" s="14"/>
      <c r="G1002" s="14"/>
      <c r="H1002" s="14"/>
      <c r="I1002" s="14"/>
      <c r="J1002" s="14"/>
      <c r="K1002" s="12"/>
    </row>
    <row r="1003" ht="19.5" customHeight="1">
      <c r="A1003" s="12"/>
      <c r="C1003" s="12"/>
      <c r="D1003" s="87"/>
      <c r="F1003" s="14"/>
      <c r="G1003" s="14"/>
      <c r="H1003" s="14"/>
      <c r="I1003" s="14"/>
      <c r="J1003" s="14"/>
      <c r="K1003" s="12"/>
    </row>
    <row r="1004" ht="19.5" customHeight="1">
      <c r="A1004" s="12"/>
      <c r="C1004" s="12"/>
      <c r="D1004" s="87"/>
      <c r="F1004" s="14"/>
      <c r="G1004" s="14"/>
      <c r="H1004" s="14"/>
      <c r="I1004" s="14"/>
      <c r="J1004" s="14"/>
      <c r="K1004" s="12"/>
    </row>
    <row r="1005" ht="19.5" customHeight="1">
      <c r="A1005" s="12"/>
      <c r="C1005" s="12"/>
      <c r="D1005" s="87"/>
      <c r="F1005" s="14"/>
      <c r="G1005" s="14"/>
      <c r="H1005" s="14"/>
      <c r="I1005" s="14"/>
      <c r="J1005" s="14"/>
      <c r="K1005" s="12"/>
    </row>
    <row r="1006" ht="19.5" customHeight="1">
      <c r="A1006" s="12"/>
      <c r="C1006" s="12"/>
      <c r="D1006" s="87"/>
      <c r="F1006" s="14"/>
      <c r="G1006" s="14"/>
      <c r="H1006" s="14"/>
      <c r="I1006" s="14"/>
      <c r="J1006" s="14"/>
      <c r="K1006" s="12"/>
    </row>
    <row r="1007" ht="19.5" customHeight="1">
      <c r="A1007" s="12"/>
      <c r="C1007" s="12"/>
      <c r="D1007" s="87"/>
      <c r="F1007" s="14"/>
      <c r="G1007" s="14"/>
      <c r="H1007" s="14"/>
      <c r="I1007" s="14"/>
      <c r="J1007" s="14"/>
      <c r="K1007" s="12"/>
    </row>
    <row r="1008" ht="19.5" customHeight="1">
      <c r="A1008" s="12"/>
      <c r="C1008" s="12"/>
      <c r="D1008" s="87"/>
      <c r="F1008" s="14"/>
      <c r="G1008" s="14"/>
      <c r="H1008" s="14"/>
      <c r="I1008" s="14"/>
      <c r="J1008" s="14"/>
      <c r="K1008" s="12"/>
    </row>
    <row r="1009" ht="19.5" customHeight="1">
      <c r="A1009" s="12"/>
      <c r="C1009" s="12"/>
      <c r="D1009" s="87"/>
      <c r="F1009" s="14"/>
      <c r="G1009" s="14"/>
      <c r="H1009" s="14"/>
      <c r="I1009" s="14"/>
      <c r="J1009" s="14"/>
      <c r="K1009" s="12"/>
    </row>
    <row r="1010" ht="19.5" customHeight="1">
      <c r="A1010" s="12"/>
      <c r="C1010" s="12"/>
      <c r="D1010" s="87"/>
      <c r="F1010" s="14"/>
      <c r="G1010" s="14"/>
      <c r="H1010" s="14"/>
      <c r="I1010" s="14"/>
      <c r="J1010" s="14"/>
      <c r="K1010" s="12"/>
    </row>
    <row r="1011" ht="19.5" customHeight="1">
      <c r="A1011" s="12"/>
      <c r="C1011" s="12"/>
      <c r="D1011" s="87"/>
      <c r="F1011" s="14"/>
      <c r="G1011" s="14"/>
      <c r="H1011" s="14"/>
      <c r="I1011" s="14"/>
      <c r="J1011" s="14"/>
      <c r="K1011" s="12"/>
    </row>
    <row r="1012" ht="19.5" customHeight="1">
      <c r="A1012" s="12"/>
      <c r="C1012" s="12"/>
      <c r="D1012" s="87"/>
      <c r="F1012" s="14"/>
      <c r="G1012" s="14"/>
      <c r="H1012" s="14"/>
      <c r="I1012" s="14"/>
      <c r="J1012" s="14"/>
      <c r="K1012" s="12"/>
    </row>
    <row r="1013" ht="19.5" customHeight="1">
      <c r="A1013" s="12"/>
      <c r="C1013" s="12"/>
      <c r="D1013" s="87"/>
      <c r="F1013" s="14"/>
      <c r="G1013" s="14"/>
      <c r="H1013" s="14"/>
      <c r="I1013" s="14"/>
      <c r="J1013" s="14"/>
      <c r="K1013" s="12"/>
    </row>
    <row r="1014" ht="19.5" customHeight="1">
      <c r="A1014" s="12"/>
      <c r="C1014" s="12"/>
      <c r="D1014" s="87"/>
      <c r="F1014" s="14"/>
      <c r="G1014" s="14"/>
      <c r="H1014" s="14"/>
      <c r="I1014" s="14"/>
      <c r="J1014" s="14"/>
      <c r="K1014" s="12"/>
    </row>
    <row r="1015" ht="19.5" customHeight="1">
      <c r="A1015" s="12"/>
      <c r="C1015" s="12"/>
      <c r="D1015" s="87"/>
      <c r="F1015" s="14"/>
      <c r="G1015" s="14"/>
      <c r="H1015" s="14"/>
      <c r="I1015" s="14"/>
      <c r="J1015" s="14"/>
      <c r="K1015" s="12"/>
    </row>
    <row r="1016" ht="19.5" customHeight="1">
      <c r="A1016" s="12"/>
      <c r="C1016" s="12"/>
      <c r="D1016" s="87"/>
      <c r="F1016" s="14"/>
      <c r="G1016" s="14"/>
      <c r="H1016" s="14"/>
      <c r="I1016" s="14"/>
      <c r="J1016" s="14"/>
      <c r="K1016" s="12"/>
    </row>
    <row r="1017" ht="19.5" customHeight="1">
      <c r="A1017" s="12"/>
      <c r="C1017" s="12"/>
      <c r="D1017" s="87"/>
      <c r="F1017" s="14"/>
      <c r="G1017" s="14"/>
      <c r="H1017" s="14"/>
      <c r="I1017" s="14"/>
      <c r="J1017" s="14"/>
      <c r="K1017" s="12"/>
    </row>
    <row r="1018" ht="19.5" customHeight="1">
      <c r="A1018" s="12"/>
      <c r="C1018" s="12"/>
      <c r="D1018" s="87"/>
      <c r="F1018" s="14"/>
      <c r="G1018" s="14"/>
      <c r="H1018" s="14"/>
      <c r="I1018" s="14"/>
      <c r="J1018" s="14"/>
      <c r="K1018" s="12"/>
    </row>
    <row r="1019" ht="19.5" customHeight="1">
      <c r="A1019" s="12"/>
      <c r="C1019" s="12"/>
      <c r="D1019" s="87"/>
      <c r="F1019" s="14"/>
      <c r="G1019" s="14"/>
      <c r="H1019" s="14"/>
      <c r="I1019" s="14"/>
      <c r="J1019" s="14"/>
      <c r="K1019" s="12"/>
    </row>
    <row r="1020" ht="19.5" customHeight="1">
      <c r="A1020" s="12"/>
      <c r="C1020" s="12"/>
      <c r="D1020" s="87"/>
      <c r="F1020" s="14"/>
      <c r="G1020" s="14"/>
      <c r="H1020" s="14"/>
      <c r="I1020" s="14"/>
      <c r="J1020" s="14"/>
      <c r="K1020" s="12"/>
    </row>
    <row r="1021" ht="19.5" customHeight="1">
      <c r="A1021" s="12"/>
      <c r="C1021" s="12"/>
      <c r="D1021" s="87"/>
      <c r="F1021" s="14"/>
      <c r="G1021" s="14"/>
      <c r="H1021" s="14"/>
      <c r="I1021" s="14"/>
      <c r="J1021" s="14"/>
      <c r="K1021" s="12"/>
    </row>
  </sheetData>
  <mergeCells count="17">
    <mergeCell ref="A6:K6"/>
    <mergeCell ref="A7:K7"/>
    <mergeCell ref="A8:K8"/>
    <mergeCell ref="A9:A10"/>
    <mergeCell ref="B9:B10"/>
    <mergeCell ref="C9:C10"/>
    <mergeCell ref="D9:D10"/>
    <mergeCell ref="K9:K10"/>
    <mergeCell ref="J195:J214"/>
    <mergeCell ref="J226:J227"/>
    <mergeCell ref="E9:G9"/>
    <mergeCell ref="J9:J10"/>
    <mergeCell ref="J49:J61"/>
    <mergeCell ref="J63:J76"/>
    <mergeCell ref="K80:K82"/>
    <mergeCell ref="J84:J97"/>
    <mergeCell ref="J117:J129"/>
  </mergeCells>
  <printOptions/>
  <pageMargins bottom="0.787401575" footer="0.0" header="0.0" left="0.511811024" right="0.511811024" top="0.787401575"/>
  <pageSetup paperSize="9" scale="60"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42.13"/>
    <col customWidth="1" min="3" max="3" width="9.13"/>
    <col customWidth="1" min="4" max="4" width="16.25"/>
    <col customWidth="1" min="5" max="5" width="19.13"/>
    <col customWidth="1" min="6" max="6" width="17.75"/>
    <col customWidth="1" min="7" max="7" width="21.88"/>
    <col customWidth="1" min="8" max="8" width="20.13"/>
    <col customWidth="1" min="9" max="9" width="16.13"/>
    <col customWidth="1" min="10" max="10" width="18.25"/>
    <col customWidth="1" min="11" max="11" width="32.38"/>
    <col customWidth="1" min="12" max="26" width="8.63"/>
  </cols>
  <sheetData>
    <row r="1" ht="19.5" customHeight="1">
      <c r="A1" s="4"/>
      <c r="B1" s="5"/>
      <c r="C1" s="6"/>
      <c r="D1" s="86"/>
      <c r="E1" s="5"/>
      <c r="F1" s="8"/>
      <c r="G1" s="8"/>
      <c r="H1" s="8"/>
      <c r="I1" s="8"/>
      <c r="J1" s="8"/>
      <c r="K1" s="9"/>
    </row>
    <row r="2" ht="19.5" customHeight="1">
      <c r="A2" s="10" t="s">
        <v>83</v>
      </c>
      <c r="B2" s="11" t="s">
        <v>84</v>
      </c>
      <c r="C2" s="12"/>
      <c r="D2" s="87"/>
      <c r="F2" s="14"/>
      <c r="G2" s="14"/>
      <c r="H2" s="14"/>
      <c r="I2" s="14"/>
      <c r="J2" s="17" t="s">
        <v>144</v>
      </c>
      <c r="K2" s="18"/>
    </row>
    <row r="3" ht="19.5" customHeight="1">
      <c r="A3" s="10" t="s">
        <v>86</v>
      </c>
      <c r="B3" s="11" t="s">
        <v>87</v>
      </c>
      <c r="C3" s="12"/>
      <c r="D3" s="87"/>
      <c r="F3" s="14"/>
      <c r="G3" s="14"/>
      <c r="H3" s="14"/>
      <c r="I3" s="15"/>
      <c r="J3" s="16" t="s">
        <v>85</v>
      </c>
      <c r="K3" s="18"/>
    </row>
    <row r="4" ht="19.5" customHeight="1">
      <c r="A4" s="19"/>
      <c r="C4" s="12"/>
      <c r="D4" s="87"/>
      <c r="F4" s="14"/>
      <c r="G4" s="14"/>
      <c r="H4" s="14"/>
      <c r="I4" s="308"/>
      <c r="J4" s="16" t="s">
        <v>85</v>
      </c>
      <c r="K4" s="18"/>
    </row>
    <row r="5" ht="19.5" customHeight="1">
      <c r="A5" s="19"/>
      <c r="C5" s="12"/>
      <c r="D5" s="87"/>
      <c r="F5" s="14"/>
      <c r="G5" s="14"/>
      <c r="H5" s="14"/>
      <c r="I5" s="14"/>
      <c r="J5" s="14"/>
      <c r="K5" s="18"/>
    </row>
    <row r="6" ht="200.25" customHeight="1">
      <c r="A6" s="20" t="s">
        <v>901</v>
      </c>
      <c r="K6" s="21"/>
    </row>
    <row r="7" ht="64.5" customHeight="1">
      <c r="A7" s="22" t="s">
        <v>972</v>
      </c>
      <c r="K7" s="21"/>
    </row>
    <row r="8" ht="37.5" customHeight="1">
      <c r="A8" s="88" t="s">
        <v>90</v>
      </c>
      <c r="B8" s="24"/>
      <c r="C8" s="24"/>
      <c r="D8" s="24"/>
      <c r="E8" s="24"/>
      <c r="F8" s="24"/>
      <c r="G8" s="24"/>
      <c r="H8" s="24"/>
      <c r="I8" s="24"/>
      <c r="J8" s="24"/>
      <c r="K8" s="25"/>
    </row>
    <row r="9" ht="19.5" customHeight="1">
      <c r="A9" s="26" t="s">
        <v>1</v>
      </c>
      <c r="B9" s="26" t="s">
        <v>91</v>
      </c>
      <c r="C9" s="26" t="s">
        <v>92</v>
      </c>
      <c r="D9" s="31" t="s">
        <v>93</v>
      </c>
      <c r="E9" s="27" t="s">
        <v>94</v>
      </c>
      <c r="F9" s="28"/>
      <c r="G9" s="29"/>
      <c r="H9" s="30"/>
      <c r="I9" s="30"/>
      <c r="J9" s="31" t="s">
        <v>95</v>
      </c>
      <c r="K9" s="26" t="s">
        <v>96</v>
      </c>
    </row>
    <row r="10" ht="19.5" customHeight="1">
      <c r="A10" s="32"/>
      <c r="B10" s="32"/>
      <c r="C10" s="32"/>
      <c r="D10" s="32"/>
      <c r="E10" s="33" t="s">
        <v>97</v>
      </c>
      <c r="F10" s="34" t="s">
        <v>121</v>
      </c>
      <c r="G10" s="34" t="s">
        <v>99</v>
      </c>
      <c r="H10" s="35" t="s">
        <v>100</v>
      </c>
      <c r="I10" s="35" t="s">
        <v>101</v>
      </c>
      <c r="J10" s="32"/>
      <c r="K10" s="32"/>
    </row>
    <row r="11" ht="19.5" customHeight="1">
      <c r="A11" s="304"/>
      <c r="B11" s="49" t="s">
        <v>973</v>
      </c>
      <c r="C11" s="46" t="s">
        <v>148</v>
      </c>
      <c r="D11" s="39">
        <v>1.0</v>
      </c>
      <c r="E11" s="49"/>
      <c r="F11" s="41"/>
      <c r="G11" s="41"/>
      <c r="H11" s="59">
        <f>K37</f>
        <v>5.3183205</v>
      </c>
      <c r="I11" s="82"/>
      <c r="J11" s="43">
        <f t="shared" ref="J11:J13" si="1">H11-I11</f>
        <v>5.3183205</v>
      </c>
      <c r="K11" s="79"/>
    </row>
    <row r="12" ht="19.5" customHeight="1">
      <c r="A12" s="304"/>
      <c r="B12" s="49" t="s">
        <v>674</v>
      </c>
      <c r="C12" s="46" t="s">
        <v>148</v>
      </c>
      <c r="D12" s="39">
        <v>1.0</v>
      </c>
      <c r="E12" s="49"/>
      <c r="F12" s="41"/>
      <c r="G12" s="41"/>
      <c r="H12" s="59">
        <f>K85</f>
        <v>75.39939</v>
      </c>
      <c r="I12" s="82"/>
      <c r="J12" s="43">
        <f t="shared" si="1"/>
        <v>75.39939</v>
      </c>
      <c r="K12" s="79"/>
    </row>
    <row r="13" ht="19.5" customHeight="1">
      <c r="A13" s="304"/>
      <c r="B13" s="49" t="s">
        <v>974</v>
      </c>
      <c r="C13" s="46" t="s">
        <v>148</v>
      </c>
      <c r="D13" s="39">
        <v>1.0</v>
      </c>
      <c r="E13" s="49">
        <v>0.4</v>
      </c>
      <c r="F13" s="41">
        <v>300.0</v>
      </c>
      <c r="G13" s="41">
        <v>0.4</v>
      </c>
      <c r="H13" s="40">
        <f>G13*F13*E13*D13</f>
        <v>48</v>
      </c>
      <c r="I13" s="82"/>
      <c r="J13" s="43">
        <f t="shared" si="1"/>
        <v>48</v>
      </c>
      <c r="K13" s="79"/>
    </row>
    <row r="14" ht="19.5" customHeight="1">
      <c r="A14" s="304"/>
      <c r="B14" s="114"/>
      <c r="C14" s="79"/>
      <c r="D14" s="115"/>
      <c r="E14" s="49"/>
      <c r="F14" s="41"/>
      <c r="G14" s="41"/>
      <c r="H14" s="59"/>
      <c r="I14" s="82"/>
      <c r="J14" s="143">
        <f>SUM(J11:J13)</f>
        <v>128.7177105</v>
      </c>
      <c r="K14" s="83" t="s">
        <v>95</v>
      </c>
    </row>
    <row r="15" ht="19.5" customHeight="1">
      <c r="A15" s="74" t="s">
        <v>1</v>
      </c>
      <c r="B15" s="74" t="s">
        <v>91</v>
      </c>
      <c r="C15" s="74" t="s">
        <v>92</v>
      </c>
      <c r="D15" s="76" t="s">
        <v>93</v>
      </c>
      <c r="E15" s="50" t="s">
        <v>97</v>
      </c>
      <c r="F15" s="53" t="s">
        <v>121</v>
      </c>
      <c r="G15" s="53" t="s">
        <v>99</v>
      </c>
      <c r="H15" s="75" t="s">
        <v>100</v>
      </c>
      <c r="I15" s="75" t="s">
        <v>101</v>
      </c>
      <c r="J15" s="76" t="s">
        <v>95</v>
      </c>
      <c r="K15" s="74" t="s">
        <v>96</v>
      </c>
    </row>
    <row r="16" ht="19.5" customHeight="1">
      <c r="A16" s="330"/>
      <c r="B16" s="331" t="s">
        <v>149</v>
      </c>
      <c r="C16" s="46" t="s">
        <v>148</v>
      </c>
      <c r="D16" s="148">
        <v>1.0</v>
      </c>
      <c r="E16" s="332"/>
      <c r="F16" s="123"/>
      <c r="G16" s="123"/>
      <c r="H16" s="333">
        <f>(F13*G13)+K36+K84</f>
        <v>159.935294</v>
      </c>
      <c r="I16" s="333"/>
      <c r="J16" s="43">
        <f>H16-I16</f>
        <v>159.935294</v>
      </c>
      <c r="K16" s="334" t="s">
        <v>975</v>
      </c>
    </row>
    <row r="17" ht="19.5" customHeight="1">
      <c r="A17" s="335"/>
      <c r="B17" s="335"/>
      <c r="C17" s="79"/>
      <c r="D17" s="128"/>
      <c r="E17" s="332"/>
      <c r="F17" s="123"/>
      <c r="G17" s="123"/>
      <c r="H17" s="333"/>
      <c r="I17" s="333"/>
      <c r="J17" s="128"/>
      <c r="K17" s="335"/>
    </row>
    <row r="18" ht="19.5" customHeight="1">
      <c r="A18" s="335"/>
      <c r="B18" s="335"/>
      <c r="C18" s="79"/>
      <c r="D18" s="128"/>
      <c r="E18" s="332"/>
      <c r="F18" s="123"/>
      <c r="G18" s="123"/>
      <c r="H18" s="333"/>
      <c r="I18" s="333"/>
      <c r="J18" s="128"/>
      <c r="K18" s="335"/>
    </row>
    <row r="19" ht="19.5" customHeight="1">
      <c r="A19" s="74" t="s">
        <v>1</v>
      </c>
      <c r="B19" s="74" t="s">
        <v>91</v>
      </c>
      <c r="C19" s="74" t="s">
        <v>92</v>
      </c>
      <c r="D19" s="76" t="s">
        <v>93</v>
      </c>
      <c r="E19" s="50" t="s">
        <v>97</v>
      </c>
      <c r="F19" s="53" t="s">
        <v>121</v>
      </c>
      <c r="G19" s="53" t="s">
        <v>99</v>
      </c>
      <c r="H19" s="75" t="s">
        <v>100</v>
      </c>
      <c r="I19" s="75" t="s">
        <v>101</v>
      </c>
      <c r="J19" s="76" t="s">
        <v>95</v>
      </c>
      <c r="K19" s="74" t="s">
        <v>96</v>
      </c>
    </row>
    <row r="20" ht="19.5" customHeight="1">
      <c r="A20" s="288">
        <v>1.0</v>
      </c>
      <c r="B20" s="15" t="s">
        <v>150</v>
      </c>
      <c r="C20" s="38" t="s">
        <v>108</v>
      </c>
      <c r="D20" s="78">
        <v>2.0</v>
      </c>
      <c r="E20" s="37"/>
      <c r="F20" s="15">
        <v>29.68</v>
      </c>
      <c r="G20" s="15">
        <v>24.25</v>
      </c>
      <c r="H20" s="40">
        <f>(G20+F20)*D20</f>
        <v>107.86</v>
      </c>
      <c r="I20" s="42"/>
      <c r="J20" s="64">
        <f>H20</f>
        <v>107.86</v>
      </c>
      <c r="K20" s="46"/>
    </row>
    <row r="21" ht="19.5" customHeight="1">
      <c r="A21" s="74" t="s">
        <v>1</v>
      </c>
      <c r="B21" s="74" t="s">
        <v>91</v>
      </c>
      <c r="C21" s="74" t="s">
        <v>92</v>
      </c>
      <c r="D21" s="76" t="s">
        <v>93</v>
      </c>
      <c r="E21" s="50" t="s">
        <v>97</v>
      </c>
      <c r="F21" s="53" t="s">
        <v>121</v>
      </c>
      <c r="G21" s="53" t="s">
        <v>99</v>
      </c>
      <c r="H21" s="75" t="s">
        <v>100</v>
      </c>
      <c r="I21" s="75" t="s">
        <v>101</v>
      </c>
      <c r="J21" s="76" t="s">
        <v>95</v>
      </c>
      <c r="K21" s="74" t="s">
        <v>96</v>
      </c>
      <c r="L21" s="2"/>
      <c r="M21" s="2"/>
      <c r="N21" s="2"/>
    </row>
    <row r="22" ht="19.5" customHeight="1">
      <c r="A22" s="288">
        <v>1.0</v>
      </c>
      <c r="B22" s="49" t="s">
        <v>976</v>
      </c>
      <c r="C22" s="46" t="s">
        <v>148</v>
      </c>
      <c r="D22" s="39">
        <v>54.0</v>
      </c>
      <c r="E22" s="49">
        <v>3.3</v>
      </c>
      <c r="F22" s="41">
        <v>0.2</v>
      </c>
      <c r="G22" s="41">
        <v>0.2</v>
      </c>
      <c r="H22" s="40">
        <f t="shared" ref="H22:H23" si="2">G22*F22*E22*D22</f>
        <v>7.128</v>
      </c>
      <c r="I22" s="42"/>
      <c r="J22" s="107"/>
      <c r="K22" s="46"/>
      <c r="L22" s="2"/>
      <c r="M22" s="2"/>
      <c r="N22" s="2"/>
    </row>
    <row r="23" ht="19.5" customHeight="1">
      <c r="A23" s="288">
        <v>2.0</v>
      </c>
      <c r="B23" s="49" t="s">
        <v>977</v>
      </c>
      <c r="C23" s="46" t="s">
        <v>148</v>
      </c>
      <c r="D23" s="39">
        <v>7.0</v>
      </c>
      <c r="E23" s="37">
        <f>3.3+2.25</f>
        <v>5.55</v>
      </c>
      <c r="F23" s="41">
        <v>0.2</v>
      </c>
      <c r="G23" s="41">
        <v>0.2</v>
      </c>
      <c r="H23" s="40">
        <f t="shared" si="2"/>
        <v>1.554</v>
      </c>
      <c r="I23" s="42"/>
      <c r="J23" s="121"/>
      <c r="K23" s="79"/>
    </row>
    <row r="24" ht="19.5" customHeight="1">
      <c r="A24" s="46"/>
      <c r="B24" s="37"/>
      <c r="C24" s="46"/>
      <c r="D24" s="78"/>
      <c r="E24" s="37"/>
      <c r="F24" s="40"/>
      <c r="G24" s="40"/>
      <c r="H24" s="40"/>
      <c r="I24" s="42"/>
      <c r="J24" s="121"/>
      <c r="K24" s="79"/>
    </row>
    <row r="25" ht="19.5" customHeight="1">
      <c r="A25" s="288"/>
      <c r="B25" s="67" t="s">
        <v>978</v>
      </c>
      <c r="C25" s="191" t="s">
        <v>103</v>
      </c>
      <c r="D25" s="182"/>
      <c r="E25" s="243"/>
      <c r="F25" s="78"/>
      <c r="G25" s="41"/>
      <c r="H25" s="59"/>
      <c r="I25" s="82"/>
      <c r="J25" s="143">
        <f>161.04+12.6</f>
        <v>173.64</v>
      </c>
      <c r="K25" s="336"/>
    </row>
    <row r="26" ht="19.5" customHeight="1">
      <c r="A26" s="288"/>
      <c r="B26" s="67" t="s">
        <v>979</v>
      </c>
      <c r="C26" s="46" t="s">
        <v>148</v>
      </c>
      <c r="D26" s="182"/>
      <c r="E26" s="243"/>
      <c r="F26" s="78"/>
      <c r="G26" s="41"/>
      <c r="H26" s="59"/>
      <c r="I26" s="82"/>
      <c r="J26" s="143">
        <f>8.05+0.63</f>
        <v>8.68</v>
      </c>
      <c r="K26" s="336"/>
    </row>
    <row r="27" ht="19.5" customHeight="1">
      <c r="A27" s="46"/>
      <c r="B27" s="194"/>
      <c r="C27" s="337" t="s">
        <v>683</v>
      </c>
      <c r="D27" s="338" t="s">
        <v>108</v>
      </c>
      <c r="E27" s="337" t="s">
        <v>684</v>
      </c>
      <c r="F27" s="78"/>
      <c r="G27" s="41"/>
      <c r="H27" s="59"/>
      <c r="I27" s="82"/>
      <c r="J27" s="337" t="s">
        <v>158</v>
      </c>
      <c r="K27" s="79"/>
    </row>
    <row r="28" ht="19.5" customHeight="1">
      <c r="A28" s="288"/>
      <c r="B28" s="194" t="s">
        <v>980</v>
      </c>
      <c r="C28" s="67" t="s">
        <v>686</v>
      </c>
      <c r="D28" s="189">
        <f>1144.4+89.1</f>
        <v>1233.5</v>
      </c>
      <c r="E28" s="67">
        <v>0.154</v>
      </c>
      <c r="F28" s="78"/>
      <c r="G28" s="41"/>
      <c r="H28" s="59"/>
      <c r="I28" s="82"/>
      <c r="J28" s="143">
        <f t="shared" ref="J28:J29" si="3">D28*E28</f>
        <v>189.959</v>
      </c>
      <c r="K28" s="79"/>
    </row>
    <row r="29" ht="19.5" customHeight="1">
      <c r="A29" s="46"/>
      <c r="B29" s="194"/>
      <c r="C29" s="209">
        <v>10.0</v>
      </c>
      <c r="D29" s="189">
        <f>809.4+62.2</f>
        <v>871.6</v>
      </c>
      <c r="E29" s="67">
        <v>0.617</v>
      </c>
      <c r="F29" s="78"/>
      <c r="G29" s="41"/>
      <c r="H29" s="59"/>
      <c r="I29" s="82"/>
      <c r="J29" s="143">
        <f t="shared" si="3"/>
        <v>537.7772</v>
      </c>
      <c r="K29" s="79"/>
    </row>
    <row r="30" ht="19.5" customHeight="1">
      <c r="A30" s="46"/>
      <c r="B30" s="37"/>
      <c r="C30" s="46"/>
      <c r="D30" s="78"/>
      <c r="E30" s="37"/>
      <c r="F30" s="40"/>
      <c r="G30" s="40"/>
      <c r="H30" s="40"/>
      <c r="I30" s="42"/>
      <c r="J30" s="121"/>
      <c r="K30" s="79"/>
    </row>
    <row r="31" ht="19.5" customHeight="1">
      <c r="A31" s="74" t="s">
        <v>1</v>
      </c>
      <c r="B31" s="74" t="s">
        <v>91</v>
      </c>
      <c r="C31" s="74" t="s">
        <v>92</v>
      </c>
      <c r="D31" s="76" t="s">
        <v>93</v>
      </c>
      <c r="E31" s="50" t="s">
        <v>97</v>
      </c>
      <c r="F31" s="53" t="s">
        <v>121</v>
      </c>
      <c r="G31" s="53" t="s">
        <v>99</v>
      </c>
      <c r="H31" s="178" t="s">
        <v>650</v>
      </c>
      <c r="I31" s="178" t="s">
        <v>651</v>
      </c>
      <c r="J31" s="177" t="s">
        <v>652</v>
      </c>
      <c r="K31" s="179" t="s">
        <v>653</v>
      </c>
    </row>
    <row r="32" ht="19.5" customHeight="1">
      <c r="A32" s="46"/>
      <c r="B32" s="49" t="s">
        <v>981</v>
      </c>
      <c r="C32" s="46" t="s">
        <v>148</v>
      </c>
      <c r="D32" s="39">
        <v>1.0</v>
      </c>
      <c r="E32" s="49">
        <v>0.7</v>
      </c>
      <c r="F32" s="41">
        <v>1.593</v>
      </c>
      <c r="G32" s="41">
        <v>1.379</v>
      </c>
      <c r="H32" s="40">
        <f t="shared" ref="H32:H33" si="4">D32*(E32+0.05)*(F32+0.4)*(G32+0.4)</f>
        <v>2.65916025</v>
      </c>
      <c r="I32" s="42">
        <f t="shared" ref="I32:I33" si="5">D32*F32*G32</f>
        <v>2.196747</v>
      </c>
      <c r="J32" s="40">
        <f t="shared" ref="J32:J33" si="6">2*(D32*E32*F32)</f>
        <v>2.2302</v>
      </c>
      <c r="K32" s="251">
        <f t="shared" ref="K32:K33" si="7">F32*((G32+E32)*2)</f>
        <v>6.623694</v>
      </c>
    </row>
    <row r="33" ht="19.5" customHeight="1">
      <c r="A33" s="46"/>
      <c r="B33" s="49" t="s">
        <v>982</v>
      </c>
      <c r="C33" s="46" t="s">
        <v>148</v>
      </c>
      <c r="D33" s="39">
        <v>1.0</v>
      </c>
      <c r="E33" s="49">
        <v>0.7</v>
      </c>
      <c r="F33" s="41">
        <v>1.593</v>
      </c>
      <c r="G33" s="41">
        <v>1.379</v>
      </c>
      <c r="H33" s="40">
        <f t="shared" si="4"/>
        <v>2.65916025</v>
      </c>
      <c r="I33" s="42">
        <f t="shared" si="5"/>
        <v>2.196747</v>
      </c>
      <c r="J33" s="40">
        <f t="shared" si="6"/>
        <v>2.2302</v>
      </c>
      <c r="K33" s="251">
        <f t="shared" si="7"/>
        <v>6.623694</v>
      </c>
    </row>
    <row r="34" ht="19.5" customHeight="1">
      <c r="A34" s="243"/>
      <c r="B34" s="243"/>
      <c r="C34" s="243"/>
      <c r="D34" s="78"/>
      <c r="E34" s="37"/>
      <c r="F34" s="40"/>
      <c r="G34" s="40"/>
      <c r="H34" s="40"/>
      <c r="I34" s="42"/>
      <c r="J34" s="101"/>
      <c r="K34" s="83"/>
      <c r="L34" s="2"/>
    </row>
    <row r="35" ht="19.5" customHeight="1">
      <c r="A35" s="243"/>
      <c r="B35" s="67" t="s">
        <v>983</v>
      </c>
      <c r="C35" s="191" t="s">
        <v>103</v>
      </c>
      <c r="D35" s="182"/>
      <c r="E35" s="243"/>
      <c r="F35" s="78"/>
      <c r="G35" s="41"/>
      <c r="H35" s="59"/>
      <c r="I35" s="82"/>
      <c r="J35" s="121"/>
      <c r="K35" s="339">
        <f>SUM(K32:K33)</f>
        <v>13.247388</v>
      </c>
      <c r="L35" s="2"/>
    </row>
    <row r="36" ht="19.5" customHeight="1">
      <c r="A36" s="243"/>
      <c r="B36" s="194" t="s">
        <v>984</v>
      </c>
      <c r="C36" s="191" t="s">
        <v>103</v>
      </c>
      <c r="D36" s="182"/>
      <c r="E36" s="243"/>
      <c r="F36" s="78"/>
      <c r="G36" s="41"/>
      <c r="H36" s="59"/>
      <c r="I36" s="82"/>
      <c r="J36" s="121"/>
      <c r="K36" s="339">
        <f>SUM(I32:I33)</f>
        <v>4.393494</v>
      </c>
      <c r="L36" s="2"/>
    </row>
    <row r="37" ht="19.5" customHeight="1">
      <c r="A37" s="243"/>
      <c r="B37" s="194" t="s">
        <v>973</v>
      </c>
      <c r="C37" s="46" t="s">
        <v>148</v>
      </c>
      <c r="D37" s="182"/>
      <c r="E37" s="243"/>
      <c r="F37" s="78"/>
      <c r="G37" s="41"/>
      <c r="H37" s="59"/>
      <c r="I37" s="82"/>
      <c r="J37" s="121"/>
      <c r="K37" s="339">
        <f>SUM(H32:H33)</f>
        <v>5.3183205</v>
      </c>
      <c r="L37" s="2"/>
    </row>
    <row r="38" ht="19.5" customHeight="1">
      <c r="A38" s="243"/>
      <c r="B38" s="194" t="s">
        <v>985</v>
      </c>
      <c r="C38" s="191" t="s">
        <v>103</v>
      </c>
      <c r="D38" s="182"/>
      <c r="E38" s="243"/>
      <c r="F38" s="78"/>
      <c r="G38" s="41"/>
      <c r="H38" s="59"/>
      <c r="I38" s="82"/>
      <c r="J38" s="121"/>
      <c r="K38" s="339">
        <f>K36*0.05</f>
        <v>0.2196747</v>
      </c>
      <c r="L38" s="2"/>
    </row>
    <row r="39" ht="19.5" customHeight="1">
      <c r="A39" s="243"/>
      <c r="B39" s="67" t="s">
        <v>681</v>
      </c>
      <c r="C39" s="191" t="s">
        <v>103</v>
      </c>
      <c r="D39" s="182"/>
      <c r="E39" s="243"/>
      <c r="F39" s="78"/>
      <c r="G39" s="41"/>
      <c r="H39" s="59"/>
      <c r="I39" s="82"/>
      <c r="J39" s="121"/>
      <c r="K39" s="340">
        <v>6.69</v>
      </c>
      <c r="L39" s="2"/>
    </row>
    <row r="40" ht="19.5" customHeight="1">
      <c r="A40" s="243"/>
      <c r="B40" s="67" t="s">
        <v>986</v>
      </c>
      <c r="C40" s="46" t="s">
        <v>148</v>
      </c>
      <c r="D40" s="182"/>
      <c r="E40" s="243"/>
      <c r="F40" s="78"/>
      <c r="G40" s="41"/>
      <c r="H40" s="59"/>
      <c r="I40" s="82"/>
      <c r="J40" s="121"/>
      <c r="K40" s="340">
        <v>2.0</v>
      </c>
      <c r="L40" s="2"/>
    </row>
    <row r="41" ht="19.5" customHeight="1">
      <c r="A41" s="243"/>
      <c r="B41" s="194"/>
      <c r="C41" s="337" t="s">
        <v>683</v>
      </c>
      <c r="D41" s="338" t="s">
        <v>108</v>
      </c>
      <c r="E41" s="337" t="s">
        <v>684</v>
      </c>
      <c r="F41" s="78"/>
      <c r="G41" s="41"/>
      <c r="H41" s="59"/>
      <c r="I41" s="82"/>
      <c r="J41" s="337" t="s">
        <v>158</v>
      </c>
      <c r="K41" s="79"/>
      <c r="L41" s="2"/>
    </row>
    <row r="42" ht="19.5" customHeight="1">
      <c r="A42" s="243"/>
      <c r="B42" s="194" t="s">
        <v>689</v>
      </c>
      <c r="C42" s="67" t="s">
        <v>686</v>
      </c>
      <c r="D42" s="189">
        <v>127.4</v>
      </c>
      <c r="E42" s="67">
        <v>0.154</v>
      </c>
      <c r="F42" s="78"/>
      <c r="G42" s="41"/>
      <c r="H42" s="59"/>
      <c r="I42" s="82"/>
      <c r="J42" s="143">
        <f t="shared" ref="J42:J44" si="8">D42*E42</f>
        <v>19.6196</v>
      </c>
      <c r="K42" s="79"/>
      <c r="L42" s="2"/>
    </row>
    <row r="43" ht="19.5" customHeight="1">
      <c r="A43" s="243"/>
      <c r="B43" s="194"/>
      <c r="C43" s="209">
        <v>8.0</v>
      </c>
      <c r="D43" s="189">
        <v>51.8</v>
      </c>
      <c r="E43" s="67">
        <v>0.395</v>
      </c>
      <c r="F43" s="78"/>
      <c r="G43" s="41"/>
      <c r="H43" s="59"/>
      <c r="I43" s="82"/>
      <c r="J43" s="143">
        <f t="shared" si="8"/>
        <v>20.461</v>
      </c>
      <c r="K43" s="79"/>
      <c r="L43" s="2"/>
    </row>
    <row r="44" ht="19.5" customHeight="1">
      <c r="A44" s="243"/>
      <c r="B44" s="194"/>
      <c r="C44" s="209">
        <v>10.0</v>
      </c>
      <c r="D44" s="189">
        <v>8.5</v>
      </c>
      <c r="E44" s="67">
        <v>0.617</v>
      </c>
      <c r="F44" s="78"/>
      <c r="G44" s="41"/>
      <c r="H44" s="59"/>
      <c r="I44" s="82"/>
      <c r="J44" s="143">
        <f t="shared" si="8"/>
        <v>5.2445</v>
      </c>
      <c r="K44" s="79"/>
      <c r="L44" s="2"/>
    </row>
    <row r="45" ht="19.5" customHeight="1">
      <c r="A45" s="243"/>
      <c r="B45" s="243"/>
      <c r="C45" s="243"/>
      <c r="D45" s="78"/>
      <c r="E45" s="37"/>
      <c r="F45" s="40"/>
      <c r="G45" s="40"/>
      <c r="H45" s="40"/>
      <c r="I45" s="42"/>
      <c r="J45" s="101"/>
      <c r="K45" s="83"/>
      <c r="L45" s="2"/>
    </row>
    <row r="46" ht="19.5" customHeight="1">
      <c r="A46" s="243"/>
      <c r="B46" s="243"/>
      <c r="C46" s="337" t="s">
        <v>695</v>
      </c>
      <c r="D46" s="337" t="s">
        <v>987</v>
      </c>
      <c r="E46" s="337" t="s">
        <v>988</v>
      </c>
      <c r="F46" s="337" t="s">
        <v>989</v>
      </c>
      <c r="G46" s="40"/>
      <c r="H46" s="40"/>
      <c r="I46" s="42"/>
      <c r="J46" s="40"/>
      <c r="K46" s="38"/>
      <c r="L46" s="2"/>
    </row>
    <row r="47" ht="19.5" customHeight="1">
      <c r="A47" s="213"/>
      <c r="B47" s="190" t="s">
        <v>694</v>
      </c>
      <c r="C47" s="210">
        <f>104+6</f>
        <v>110</v>
      </c>
      <c r="D47" s="192">
        <v>0.3</v>
      </c>
      <c r="E47" s="67">
        <v>9.0</v>
      </c>
      <c r="F47" s="205">
        <f>C47*E47</f>
        <v>990</v>
      </c>
      <c r="G47" s="205"/>
      <c r="H47" s="206"/>
      <c r="I47" s="206"/>
      <c r="J47" s="196"/>
      <c r="K47" s="203"/>
      <c r="L47" s="2"/>
    </row>
    <row r="48" ht="19.5" customHeight="1">
      <c r="A48" s="46"/>
      <c r="B48" s="37"/>
      <c r="C48" s="46"/>
      <c r="D48" s="78"/>
      <c r="E48" s="37"/>
      <c r="F48" s="40"/>
      <c r="G48" s="40"/>
      <c r="H48" s="40"/>
      <c r="I48" s="42"/>
      <c r="J48" s="107"/>
      <c r="K48" s="79"/>
      <c r="L48" s="2"/>
      <c r="M48" s="2"/>
    </row>
    <row r="49" ht="19.5" customHeight="1">
      <c r="A49" s="186"/>
      <c r="B49" s="190"/>
      <c r="C49" s="337" t="s">
        <v>106</v>
      </c>
      <c r="D49" s="337" t="s">
        <v>695</v>
      </c>
      <c r="E49" s="337" t="s">
        <v>683</v>
      </c>
      <c r="F49" s="337" t="s">
        <v>696</v>
      </c>
      <c r="G49" s="337" t="s">
        <v>684</v>
      </c>
      <c r="H49" s="337" t="s">
        <v>697</v>
      </c>
      <c r="I49" s="206"/>
      <c r="J49" s="196"/>
      <c r="K49" s="203"/>
      <c r="L49" s="2"/>
    </row>
    <row r="50" ht="19.5" customHeight="1">
      <c r="A50" s="213"/>
      <c r="B50" s="190" t="s">
        <v>698</v>
      </c>
      <c r="C50" s="210">
        <f>C47</f>
        <v>110</v>
      </c>
      <c r="D50" s="192">
        <v>29.0</v>
      </c>
      <c r="E50" s="228" t="s">
        <v>686</v>
      </c>
      <c r="F50" s="207">
        <v>0.75</v>
      </c>
      <c r="G50" s="67">
        <v>0.154</v>
      </c>
      <c r="H50" s="206">
        <f t="shared" ref="H50:H51" si="9">C50*D50*F50*G50</f>
        <v>368.445</v>
      </c>
      <c r="I50" s="206"/>
      <c r="J50" s="196"/>
      <c r="K50" s="203"/>
      <c r="L50" s="2"/>
    </row>
    <row r="51" ht="19.5" customHeight="1">
      <c r="A51" s="186"/>
      <c r="B51" s="190"/>
      <c r="C51" s="210">
        <f>C47</f>
        <v>110</v>
      </c>
      <c r="D51" s="192">
        <v>6.0</v>
      </c>
      <c r="E51" s="215">
        <v>45424.0</v>
      </c>
      <c r="F51" s="207">
        <v>6.42</v>
      </c>
      <c r="G51" s="67">
        <v>0.963</v>
      </c>
      <c r="H51" s="206">
        <f t="shared" si="9"/>
        <v>4080.4236</v>
      </c>
      <c r="I51" s="206"/>
      <c r="J51" s="196"/>
      <c r="K51" s="203"/>
      <c r="L51" s="2"/>
    </row>
    <row r="52" ht="19.5" customHeight="1">
      <c r="A52" s="79"/>
      <c r="B52" s="95"/>
      <c r="C52" s="79"/>
      <c r="D52" s="122"/>
      <c r="E52" s="37"/>
      <c r="F52" s="40"/>
      <c r="G52" s="40"/>
      <c r="H52" s="59"/>
      <c r="I52" s="82"/>
      <c r="J52" s="121"/>
      <c r="K52" s="79"/>
      <c r="L52" s="2"/>
      <c r="M52" s="2"/>
    </row>
    <row r="53" ht="19.5" customHeight="1">
      <c r="A53" s="74" t="s">
        <v>1</v>
      </c>
      <c r="B53" s="74" t="s">
        <v>91</v>
      </c>
      <c r="C53" s="74" t="s">
        <v>92</v>
      </c>
      <c r="D53" s="76" t="s">
        <v>93</v>
      </c>
      <c r="E53" s="50" t="s">
        <v>97</v>
      </c>
      <c r="F53" s="53" t="s">
        <v>121</v>
      </c>
      <c r="G53" s="53" t="s">
        <v>99</v>
      </c>
      <c r="H53" s="178" t="s">
        <v>650</v>
      </c>
      <c r="I53" s="178" t="s">
        <v>651</v>
      </c>
      <c r="J53" s="177" t="s">
        <v>652</v>
      </c>
      <c r="K53" s="179" t="s">
        <v>653</v>
      </c>
      <c r="L53" s="2"/>
      <c r="M53" s="2"/>
    </row>
    <row r="54" ht="19.5" customHeight="1">
      <c r="A54" s="46">
        <v>1.0</v>
      </c>
      <c r="B54" s="49" t="s">
        <v>990</v>
      </c>
      <c r="C54" s="46" t="s">
        <v>148</v>
      </c>
      <c r="D54" s="115">
        <v>1.0</v>
      </c>
      <c r="E54" s="49">
        <v>0.5</v>
      </c>
      <c r="F54" s="39">
        <v>27.68</v>
      </c>
      <c r="G54" s="41">
        <v>0.14</v>
      </c>
      <c r="H54" s="40">
        <f t="shared" ref="H54:H81" si="10">D54*(E54+0.05)*F54*(G54+0.4)</f>
        <v>8.22096</v>
      </c>
      <c r="I54" s="42">
        <f t="shared" ref="I54:I81" si="11">D54*F54*G54</f>
        <v>3.8752</v>
      </c>
      <c r="J54" s="40">
        <f t="shared" ref="J54:J81" si="12">2*(D54*E54*F54)</f>
        <v>27.68</v>
      </c>
      <c r="K54" s="251">
        <f t="shared" ref="K54:K81" si="13">F54*((G54+E54)*2)</f>
        <v>35.4304</v>
      </c>
    </row>
    <row r="55" ht="19.5" customHeight="1">
      <c r="A55" s="46">
        <f t="shared" ref="A55:A81" si="14">A54+1</f>
        <v>2</v>
      </c>
      <c r="B55" s="49" t="s">
        <v>991</v>
      </c>
      <c r="C55" s="46" t="s">
        <v>148</v>
      </c>
      <c r="D55" s="39">
        <v>1.0</v>
      </c>
      <c r="E55" s="49">
        <v>0.5</v>
      </c>
      <c r="F55" s="39">
        <v>10.23</v>
      </c>
      <c r="G55" s="41">
        <v>0.14</v>
      </c>
      <c r="H55" s="40">
        <f t="shared" si="10"/>
        <v>3.03831</v>
      </c>
      <c r="I55" s="42">
        <f t="shared" si="11"/>
        <v>1.4322</v>
      </c>
      <c r="J55" s="40">
        <f t="shared" si="12"/>
        <v>10.23</v>
      </c>
      <c r="K55" s="251">
        <f t="shared" si="13"/>
        <v>13.0944</v>
      </c>
    </row>
    <row r="56" ht="19.5" customHeight="1">
      <c r="A56" s="46">
        <f t="shared" si="14"/>
        <v>3</v>
      </c>
      <c r="B56" s="49" t="s">
        <v>992</v>
      </c>
      <c r="C56" s="46" t="s">
        <v>148</v>
      </c>
      <c r="D56" s="39">
        <v>1.0</v>
      </c>
      <c r="E56" s="49">
        <v>0.5</v>
      </c>
      <c r="F56" s="39">
        <v>9.16</v>
      </c>
      <c r="G56" s="41">
        <v>0.14</v>
      </c>
      <c r="H56" s="40">
        <f t="shared" si="10"/>
        <v>2.72052</v>
      </c>
      <c r="I56" s="42">
        <f t="shared" si="11"/>
        <v>1.2824</v>
      </c>
      <c r="J56" s="40">
        <f t="shared" si="12"/>
        <v>9.16</v>
      </c>
      <c r="K56" s="251">
        <f t="shared" si="13"/>
        <v>11.7248</v>
      </c>
      <c r="L56" s="14"/>
    </row>
    <row r="57" ht="19.5" customHeight="1">
      <c r="A57" s="46">
        <f t="shared" si="14"/>
        <v>4</v>
      </c>
      <c r="B57" s="49" t="s">
        <v>993</v>
      </c>
      <c r="C57" s="46" t="s">
        <v>148</v>
      </c>
      <c r="D57" s="39">
        <v>1.0</v>
      </c>
      <c r="E57" s="49">
        <v>0.5</v>
      </c>
      <c r="F57" s="39">
        <v>2.01</v>
      </c>
      <c r="G57" s="41">
        <v>0.14</v>
      </c>
      <c r="H57" s="40">
        <f t="shared" si="10"/>
        <v>0.59697</v>
      </c>
      <c r="I57" s="42">
        <f t="shared" si="11"/>
        <v>0.2814</v>
      </c>
      <c r="J57" s="40">
        <f t="shared" si="12"/>
        <v>2.01</v>
      </c>
      <c r="K57" s="251">
        <f t="shared" si="13"/>
        <v>2.5728</v>
      </c>
      <c r="L57" s="14"/>
    </row>
    <row r="58" ht="19.5" customHeight="1">
      <c r="A58" s="46">
        <f t="shared" si="14"/>
        <v>5</v>
      </c>
      <c r="B58" s="49" t="s">
        <v>994</v>
      </c>
      <c r="C58" s="46" t="s">
        <v>148</v>
      </c>
      <c r="D58" s="39">
        <v>1.0</v>
      </c>
      <c r="E58" s="49">
        <v>0.5</v>
      </c>
      <c r="F58" s="39">
        <v>8.0</v>
      </c>
      <c r="G58" s="41">
        <v>0.14</v>
      </c>
      <c r="H58" s="40">
        <f t="shared" si="10"/>
        <v>2.376</v>
      </c>
      <c r="I58" s="42">
        <f t="shared" si="11"/>
        <v>1.12</v>
      </c>
      <c r="J58" s="40">
        <f t="shared" si="12"/>
        <v>8</v>
      </c>
      <c r="K58" s="251">
        <f t="shared" si="13"/>
        <v>10.24</v>
      </c>
      <c r="L58" s="14"/>
    </row>
    <row r="59" ht="19.5" customHeight="1">
      <c r="A59" s="46">
        <f t="shared" si="14"/>
        <v>6</v>
      </c>
      <c r="B59" s="49" t="s">
        <v>995</v>
      </c>
      <c r="C59" s="46" t="s">
        <v>148</v>
      </c>
      <c r="D59" s="39">
        <v>1.0</v>
      </c>
      <c r="E59" s="49">
        <v>0.5</v>
      </c>
      <c r="F59" s="39">
        <f t="shared" ref="F59:F60" si="15">F55</f>
        <v>10.23</v>
      </c>
      <c r="G59" s="41">
        <v>0.14</v>
      </c>
      <c r="H59" s="40">
        <f t="shared" si="10"/>
        <v>3.03831</v>
      </c>
      <c r="I59" s="42">
        <f t="shared" si="11"/>
        <v>1.4322</v>
      </c>
      <c r="J59" s="40">
        <f t="shared" si="12"/>
        <v>10.23</v>
      </c>
      <c r="K59" s="251">
        <f t="shared" si="13"/>
        <v>13.0944</v>
      </c>
      <c r="L59" s="14"/>
    </row>
    <row r="60" ht="19.5" customHeight="1">
      <c r="A60" s="46">
        <f t="shared" si="14"/>
        <v>7</v>
      </c>
      <c r="B60" s="49" t="s">
        <v>996</v>
      </c>
      <c r="C60" s="46" t="s">
        <v>148</v>
      </c>
      <c r="D60" s="39">
        <v>1.0</v>
      </c>
      <c r="E60" s="49">
        <v>0.5</v>
      </c>
      <c r="F60" s="39">
        <f t="shared" si="15"/>
        <v>9.16</v>
      </c>
      <c r="G60" s="41">
        <v>0.14</v>
      </c>
      <c r="H60" s="40">
        <f t="shared" si="10"/>
        <v>2.72052</v>
      </c>
      <c r="I60" s="42">
        <f t="shared" si="11"/>
        <v>1.2824</v>
      </c>
      <c r="J60" s="40">
        <f t="shared" si="12"/>
        <v>9.16</v>
      </c>
      <c r="K60" s="251">
        <f t="shared" si="13"/>
        <v>11.7248</v>
      </c>
      <c r="L60" s="14"/>
    </row>
    <row r="61" ht="19.5" customHeight="1">
      <c r="A61" s="46">
        <f t="shared" si="14"/>
        <v>8</v>
      </c>
      <c r="B61" s="49" t="s">
        <v>997</v>
      </c>
      <c r="C61" s="46" t="s">
        <v>148</v>
      </c>
      <c r="D61" s="39">
        <v>1.0</v>
      </c>
      <c r="E61" s="49">
        <v>0.5</v>
      </c>
      <c r="F61" s="39">
        <v>6.51</v>
      </c>
      <c r="G61" s="41">
        <v>0.14</v>
      </c>
      <c r="H61" s="40">
        <f t="shared" si="10"/>
        <v>1.93347</v>
      </c>
      <c r="I61" s="42">
        <f t="shared" si="11"/>
        <v>0.9114</v>
      </c>
      <c r="J61" s="40">
        <f t="shared" si="12"/>
        <v>6.51</v>
      </c>
      <c r="K61" s="251">
        <f t="shared" si="13"/>
        <v>8.3328</v>
      </c>
      <c r="L61" s="14"/>
    </row>
    <row r="62" ht="19.5" customHeight="1">
      <c r="A62" s="46">
        <f t="shared" si="14"/>
        <v>9</v>
      </c>
      <c r="B62" s="49" t="s">
        <v>998</v>
      </c>
      <c r="C62" s="46" t="s">
        <v>148</v>
      </c>
      <c r="D62" s="39">
        <v>1.0</v>
      </c>
      <c r="E62" s="49">
        <v>0.5</v>
      </c>
      <c r="F62" s="39">
        <v>3.95</v>
      </c>
      <c r="G62" s="41">
        <v>0.14</v>
      </c>
      <c r="H62" s="40">
        <f t="shared" si="10"/>
        <v>1.17315</v>
      </c>
      <c r="I62" s="42">
        <f t="shared" si="11"/>
        <v>0.553</v>
      </c>
      <c r="J62" s="40">
        <f t="shared" si="12"/>
        <v>3.95</v>
      </c>
      <c r="K62" s="251">
        <f t="shared" si="13"/>
        <v>5.056</v>
      </c>
      <c r="L62" s="14"/>
    </row>
    <row r="63" ht="19.5" customHeight="1">
      <c r="A63" s="46">
        <f t="shared" si="14"/>
        <v>10</v>
      </c>
      <c r="B63" s="49" t="s">
        <v>999</v>
      </c>
      <c r="C63" s="46" t="s">
        <v>148</v>
      </c>
      <c r="D63" s="39">
        <v>1.0</v>
      </c>
      <c r="E63" s="49">
        <v>0.5</v>
      </c>
      <c r="F63" s="39">
        <v>2.86</v>
      </c>
      <c r="G63" s="41">
        <v>0.14</v>
      </c>
      <c r="H63" s="40">
        <f t="shared" si="10"/>
        <v>0.84942</v>
      </c>
      <c r="I63" s="42">
        <f t="shared" si="11"/>
        <v>0.4004</v>
      </c>
      <c r="J63" s="40">
        <f t="shared" si="12"/>
        <v>2.86</v>
      </c>
      <c r="K63" s="251">
        <f t="shared" si="13"/>
        <v>3.6608</v>
      </c>
      <c r="L63" s="14"/>
    </row>
    <row r="64" ht="19.5" customHeight="1">
      <c r="A64" s="46">
        <f t="shared" si="14"/>
        <v>11</v>
      </c>
      <c r="B64" s="49" t="s">
        <v>1000</v>
      </c>
      <c r="C64" s="46" t="s">
        <v>148</v>
      </c>
      <c r="D64" s="39">
        <v>1.0</v>
      </c>
      <c r="E64" s="49">
        <v>0.5</v>
      </c>
      <c r="F64" s="39">
        <v>18.07</v>
      </c>
      <c r="G64" s="41">
        <v>0.14</v>
      </c>
      <c r="H64" s="40">
        <f t="shared" si="10"/>
        <v>5.36679</v>
      </c>
      <c r="I64" s="42">
        <f t="shared" si="11"/>
        <v>2.5298</v>
      </c>
      <c r="J64" s="40">
        <f t="shared" si="12"/>
        <v>18.07</v>
      </c>
      <c r="K64" s="251">
        <f t="shared" si="13"/>
        <v>23.1296</v>
      </c>
      <c r="L64" s="14"/>
    </row>
    <row r="65" ht="19.5" customHeight="1">
      <c r="A65" s="46">
        <f t="shared" si="14"/>
        <v>12</v>
      </c>
      <c r="B65" s="49" t="s">
        <v>1001</v>
      </c>
      <c r="C65" s="46" t="s">
        <v>148</v>
      </c>
      <c r="D65" s="39">
        <v>1.0</v>
      </c>
      <c r="E65" s="49">
        <v>0.5</v>
      </c>
      <c r="F65" s="39">
        <f>F61-1.2</f>
        <v>5.31</v>
      </c>
      <c r="G65" s="41">
        <v>0.14</v>
      </c>
      <c r="H65" s="40">
        <f t="shared" si="10"/>
        <v>1.57707</v>
      </c>
      <c r="I65" s="42">
        <f t="shared" si="11"/>
        <v>0.7434</v>
      </c>
      <c r="J65" s="40">
        <f t="shared" si="12"/>
        <v>5.31</v>
      </c>
      <c r="K65" s="251">
        <f t="shared" si="13"/>
        <v>6.7968</v>
      </c>
      <c r="L65" s="14"/>
    </row>
    <row r="66" ht="19.5" customHeight="1">
      <c r="A66" s="46">
        <f t="shared" si="14"/>
        <v>13</v>
      </c>
      <c r="B66" s="49" t="s">
        <v>1002</v>
      </c>
      <c r="C66" s="46" t="s">
        <v>148</v>
      </c>
      <c r="D66" s="39">
        <v>1.0</v>
      </c>
      <c r="E66" s="49">
        <v>0.5</v>
      </c>
      <c r="F66" s="39">
        <v>1.2</v>
      </c>
      <c r="G66" s="41">
        <v>0.14</v>
      </c>
      <c r="H66" s="40">
        <f t="shared" si="10"/>
        <v>0.3564</v>
      </c>
      <c r="I66" s="42">
        <f t="shared" si="11"/>
        <v>0.168</v>
      </c>
      <c r="J66" s="40">
        <f t="shared" si="12"/>
        <v>1.2</v>
      </c>
      <c r="K66" s="251">
        <f t="shared" si="13"/>
        <v>1.536</v>
      </c>
      <c r="L66" s="14"/>
    </row>
    <row r="67" ht="19.5" customHeight="1">
      <c r="A67" s="46">
        <f t="shared" si="14"/>
        <v>14</v>
      </c>
      <c r="B67" s="49" t="s">
        <v>1003</v>
      </c>
      <c r="C67" s="46" t="s">
        <v>148</v>
      </c>
      <c r="D67" s="39">
        <v>1.0</v>
      </c>
      <c r="E67" s="49">
        <v>0.5</v>
      </c>
      <c r="F67" s="39">
        <v>1.94</v>
      </c>
      <c r="G67" s="41">
        <v>0.14</v>
      </c>
      <c r="H67" s="40">
        <f t="shared" si="10"/>
        <v>0.57618</v>
      </c>
      <c r="I67" s="42">
        <f t="shared" si="11"/>
        <v>0.2716</v>
      </c>
      <c r="J67" s="40">
        <f t="shared" si="12"/>
        <v>1.94</v>
      </c>
      <c r="K67" s="251">
        <f t="shared" si="13"/>
        <v>2.4832</v>
      </c>
      <c r="L67" s="14"/>
    </row>
    <row r="68" ht="19.5" customHeight="1">
      <c r="A68" s="46">
        <f t="shared" si="14"/>
        <v>15</v>
      </c>
      <c r="B68" s="49" t="s">
        <v>1004</v>
      </c>
      <c r="C68" s="46" t="s">
        <v>148</v>
      </c>
      <c r="D68" s="39">
        <v>1.0</v>
      </c>
      <c r="E68" s="49">
        <v>0.5</v>
      </c>
      <c r="F68" s="39">
        <f>F54</f>
        <v>27.68</v>
      </c>
      <c r="G68" s="41">
        <v>0.14</v>
      </c>
      <c r="H68" s="40">
        <f t="shared" si="10"/>
        <v>8.22096</v>
      </c>
      <c r="I68" s="42">
        <f t="shared" si="11"/>
        <v>3.8752</v>
      </c>
      <c r="J68" s="40">
        <f t="shared" si="12"/>
        <v>27.68</v>
      </c>
      <c r="K68" s="251">
        <f t="shared" si="13"/>
        <v>35.4304</v>
      </c>
      <c r="L68" s="14"/>
    </row>
    <row r="69" ht="19.5" customHeight="1">
      <c r="A69" s="46">
        <f t="shared" si="14"/>
        <v>16</v>
      </c>
      <c r="B69" s="49" t="s">
        <v>1005</v>
      </c>
      <c r="C69" s="46" t="s">
        <v>148</v>
      </c>
      <c r="D69" s="39">
        <v>1.0</v>
      </c>
      <c r="E69" s="49">
        <v>0.5</v>
      </c>
      <c r="F69" s="39">
        <v>22.25</v>
      </c>
      <c r="G69" s="41">
        <v>0.14</v>
      </c>
      <c r="H69" s="40">
        <f t="shared" si="10"/>
        <v>6.60825</v>
      </c>
      <c r="I69" s="42">
        <f t="shared" si="11"/>
        <v>3.115</v>
      </c>
      <c r="J69" s="40">
        <f t="shared" si="12"/>
        <v>22.25</v>
      </c>
      <c r="K69" s="251">
        <f t="shared" si="13"/>
        <v>28.48</v>
      </c>
      <c r="L69" s="14"/>
    </row>
    <row r="70" ht="19.5" customHeight="1">
      <c r="A70" s="46">
        <f t="shared" si="14"/>
        <v>17</v>
      </c>
      <c r="B70" s="49" t="s">
        <v>1006</v>
      </c>
      <c r="C70" s="46" t="s">
        <v>148</v>
      </c>
      <c r="D70" s="39">
        <v>1.0</v>
      </c>
      <c r="E70" s="49">
        <v>0.5</v>
      </c>
      <c r="F70" s="39">
        <v>7.62</v>
      </c>
      <c r="G70" s="41">
        <v>0.14</v>
      </c>
      <c r="H70" s="40">
        <f t="shared" si="10"/>
        <v>2.26314</v>
      </c>
      <c r="I70" s="42">
        <f t="shared" si="11"/>
        <v>1.0668</v>
      </c>
      <c r="J70" s="40">
        <f t="shared" si="12"/>
        <v>7.62</v>
      </c>
      <c r="K70" s="251">
        <f t="shared" si="13"/>
        <v>9.7536</v>
      </c>
      <c r="L70" s="14"/>
    </row>
    <row r="71" ht="19.5" customHeight="1">
      <c r="A71" s="46">
        <f t="shared" si="14"/>
        <v>18</v>
      </c>
      <c r="B71" s="49" t="s">
        <v>1007</v>
      </c>
      <c r="C71" s="46" t="s">
        <v>148</v>
      </c>
      <c r="D71" s="39">
        <v>1.0</v>
      </c>
      <c r="E71" s="49">
        <v>0.5</v>
      </c>
      <c r="F71" s="39">
        <v>5.96</v>
      </c>
      <c r="G71" s="41">
        <v>0.14</v>
      </c>
      <c r="H71" s="40">
        <f t="shared" si="10"/>
        <v>1.77012</v>
      </c>
      <c r="I71" s="42">
        <f t="shared" si="11"/>
        <v>0.8344</v>
      </c>
      <c r="J71" s="40">
        <f t="shared" si="12"/>
        <v>5.96</v>
      </c>
      <c r="K71" s="251">
        <f t="shared" si="13"/>
        <v>7.6288</v>
      </c>
      <c r="L71" s="14"/>
    </row>
    <row r="72" ht="19.5" customHeight="1">
      <c r="A72" s="46">
        <f t="shared" si="14"/>
        <v>19</v>
      </c>
      <c r="B72" s="49" t="s">
        <v>1008</v>
      </c>
      <c r="C72" s="46" t="s">
        <v>148</v>
      </c>
      <c r="D72" s="39">
        <v>1.0</v>
      </c>
      <c r="E72" s="49">
        <v>0.5</v>
      </c>
      <c r="F72" s="39">
        <v>12.82</v>
      </c>
      <c r="G72" s="41">
        <v>0.14</v>
      </c>
      <c r="H72" s="40">
        <f t="shared" si="10"/>
        <v>3.80754</v>
      </c>
      <c r="I72" s="42">
        <f t="shared" si="11"/>
        <v>1.7948</v>
      </c>
      <c r="J72" s="40">
        <f t="shared" si="12"/>
        <v>12.82</v>
      </c>
      <c r="K72" s="251">
        <f t="shared" si="13"/>
        <v>16.4096</v>
      </c>
      <c r="L72" s="14"/>
    </row>
    <row r="73" ht="19.5" customHeight="1">
      <c r="A73" s="46">
        <f t="shared" si="14"/>
        <v>20</v>
      </c>
      <c r="B73" s="49" t="s">
        <v>1009</v>
      </c>
      <c r="C73" s="46" t="s">
        <v>148</v>
      </c>
      <c r="D73" s="39">
        <v>1.0</v>
      </c>
      <c r="E73" s="49">
        <v>0.5</v>
      </c>
      <c r="F73" s="39">
        <v>3.07</v>
      </c>
      <c r="G73" s="41">
        <v>0.14</v>
      </c>
      <c r="H73" s="40">
        <f t="shared" si="10"/>
        <v>0.91179</v>
      </c>
      <c r="I73" s="42">
        <f t="shared" si="11"/>
        <v>0.4298</v>
      </c>
      <c r="J73" s="40">
        <f t="shared" si="12"/>
        <v>3.07</v>
      </c>
      <c r="K73" s="251">
        <f t="shared" si="13"/>
        <v>3.9296</v>
      </c>
      <c r="L73" s="14"/>
    </row>
    <row r="74" ht="19.5" customHeight="1">
      <c r="A74" s="46">
        <f t="shared" si="14"/>
        <v>21</v>
      </c>
      <c r="B74" s="49" t="s">
        <v>1010</v>
      </c>
      <c r="C74" s="46" t="s">
        <v>148</v>
      </c>
      <c r="D74" s="39">
        <v>1.0</v>
      </c>
      <c r="E74" s="49">
        <v>0.5</v>
      </c>
      <c r="F74" s="39">
        <v>7.22</v>
      </c>
      <c r="G74" s="41">
        <v>0.14</v>
      </c>
      <c r="H74" s="40">
        <f t="shared" si="10"/>
        <v>2.14434</v>
      </c>
      <c r="I74" s="42">
        <f t="shared" si="11"/>
        <v>1.0108</v>
      </c>
      <c r="J74" s="40">
        <f t="shared" si="12"/>
        <v>7.22</v>
      </c>
      <c r="K74" s="251">
        <f t="shared" si="13"/>
        <v>9.2416</v>
      </c>
      <c r="L74" s="14"/>
    </row>
    <row r="75" ht="19.5" customHeight="1">
      <c r="A75" s="46">
        <f t="shared" si="14"/>
        <v>22</v>
      </c>
      <c r="B75" s="49" t="s">
        <v>1011</v>
      </c>
      <c r="C75" s="46" t="s">
        <v>148</v>
      </c>
      <c r="D75" s="39">
        <v>1.0</v>
      </c>
      <c r="E75" s="49">
        <v>0.5</v>
      </c>
      <c r="F75" s="39">
        <f>F73</f>
        <v>3.07</v>
      </c>
      <c r="G75" s="41">
        <v>0.14</v>
      </c>
      <c r="H75" s="40">
        <f t="shared" si="10"/>
        <v>0.91179</v>
      </c>
      <c r="I75" s="42">
        <f t="shared" si="11"/>
        <v>0.4298</v>
      </c>
      <c r="J75" s="40">
        <f t="shared" si="12"/>
        <v>3.07</v>
      </c>
      <c r="K75" s="251">
        <f t="shared" si="13"/>
        <v>3.9296</v>
      </c>
      <c r="L75" s="14"/>
    </row>
    <row r="76" ht="19.5" customHeight="1">
      <c r="A76" s="46">
        <f t="shared" si="14"/>
        <v>23</v>
      </c>
      <c r="B76" s="49" t="s">
        <v>1012</v>
      </c>
      <c r="C76" s="46" t="s">
        <v>148</v>
      </c>
      <c r="D76" s="39">
        <v>1.0</v>
      </c>
      <c r="E76" s="49">
        <v>0.5</v>
      </c>
      <c r="F76" s="39">
        <f>F73</f>
        <v>3.07</v>
      </c>
      <c r="G76" s="41">
        <v>0.14</v>
      </c>
      <c r="H76" s="40">
        <f t="shared" si="10"/>
        <v>0.91179</v>
      </c>
      <c r="I76" s="42">
        <f t="shared" si="11"/>
        <v>0.4298</v>
      </c>
      <c r="J76" s="40">
        <f t="shared" si="12"/>
        <v>3.07</v>
      </c>
      <c r="K76" s="251">
        <f t="shared" si="13"/>
        <v>3.9296</v>
      </c>
      <c r="L76" s="14"/>
    </row>
    <row r="77" ht="19.5" customHeight="1">
      <c r="A77" s="46">
        <f t="shared" si="14"/>
        <v>24</v>
      </c>
      <c r="B77" s="49" t="s">
        <v>1013</v>
      </c>
      <c r="C77" s="46" t="s">
        <v>148</v>
      </c>
      <c r="D77" s="39">
        <v>1.0</v>
      </c>
      <c r="E77" s="49">
        <v>0.5</v>
      </c>
      <c r="F77" s="39">
        <v>3.51</v>
      </c>
      <c r="G77" s="41">
        <v>0.14</v>
      </c>
      <c r="H77" s="40">
        <f t="shared" si="10"/>
        <v>1.04247</v>
      </c>
      <c r="I77" s="42">
        <f t="shared" si="11"/>
        <v>0.4914</v>
      </c>
      <c r="J77" s="40">
        <f t="shared" si="12"/>
        <v>3.51</v>
      </c>
      <c r="K77" s="251">
        <f t="shared" si="13"/>
        <v>4.4928</v>
      </c>
      <c r="L77" s="14"/>
    </row>
    <row r="78" ht="19.5" customHeight="1">
      <c r="A78" s="46">
        <f t="shared" si="14"/>
        <v>25</v>
      </c>
      <c r="B78" s="49" t="s">
        <v>1014</v>
      </c>
      <c r="C78" s="46" t="s">
        <v>148</v>
      </c>
      <c r="D78" s="39">
        <v>1.0</v>
      </c>
      <c r="E78" s="49">
        <v>0.5</v>
      </c>
      <c r="F78" s="39">
        <v>6.35</v>
      </c>
      <c r="G78" s="41">
        <v>0.14</v>
      </c>
      <c r="H78" s="40">
        <f t="shared" si="10"/>
        <v>1.88595</v>
      </c>
      <c r="I78" s="42">
        <f t="shared" si="11"/>
        <v>0.889</v>
      </c>
      <c r="J78" s="40">
        <f t="shared" si="12"/>
        <v>6.35</v>
      </c>
      <c r="K78" s="251">
        <f t="shared" si="13"/>
        <v>8.128</v>
      </c>
      <c r="L78" s="14"/>
    </row>
    <row r="79" ht="19.5" customHeight="1">
      <c r="A79" s="46">
        <f t="shared" si="14"/>
        <v>26</v>
      </c>
      <c r="B79" s="49" t="s">
        <v>1015</v>
      </c>
      <c r="C79" s="46" t="s">
        <v>148</v>
      </c>
      <c r="D79" s="39">
        <v>1.0</v>
      </c>
      <c r="E79" s="49">
        <v>0.5</v>
      </c>
      <c r="F79" s="39">
        <v>6.34</v>
      </c>
      <c r="G79" s="41">
        <v>0.14</v>
      </c>
      <c r="H79" s="40">
        <f t="shared" si="10"/>
        <v>1.88298</v>
      </c>
      <c r="I79" s="42">
        <f t="shared" si="11"/>
        <v>0.8876</v>
      </c>
      <c r="J79" s="40">
        <f t="shared" si="12"/>
        <v>6.34</v>
      </c>
      <c r="K79" s="251">
        <f t="shared" si="13"/>
        <v>8.1152</v>
      </c>
      <c r="L79" s="14"/>
    </row>
    <row r="80" ht="19.5" customHeight="1">
      <c r="A80" s="46">
        <f t="shared" si="14"/>
        <v>27</v>
      </c>
      <c r="B80" s="49" t="s">
        <v>1016</v>
      </c>
      <c r="C80" s="46" t="s">
        <v>148</v>
      </c>
      <c r="D80" s="39">
        <v>1.0</v>
      </c>
      <c r="E80" s="49">
        <v>0.5</v>
      </c>
      <c r="F80" s="39">
        <f>F78</f>
        <v>6.35</v>
      </c>
      <c r="G80" s="41">
        <v>0.14</v>
      </c>
      <c r="H80" s="40">
        <f t="shared" si="10"/>
        <v>1.88595</v>
      </c>
      <c r="I80" s="42">
        <f t="shared" si="11"/>
        <v>0.889</v>
      </c>
      <c r="J80" s="40">
        <f t="shared" si="12"/>
        <v>6.35</v>
      </c>
      <c r="K80" s="251">
        <f t="shared" si="13"/>
        <v>8.128</v>
      </c>
      <c r="L80" s="14"/>
    </row>
    <row r="81" ht="19.5" customHeight="1">
      <c r="A81" s="46">
        <f t="shared" si="14"/>
        <v>28</v>
      </c>
      <c r="B81" s="49" t="s">
        <v>1017</v>
      </c>
      <c r="C81" s="46" t="s">
        <v>148</v>
      </c>
      <c r="D81" s="39">
        <v>1.0</v>
      </c>
      <c r="E81" s="49">
        <v>0.5</v>
      </c>
      <c r="F81" s="39">
        <f>F69</f>
        <v>22.25</v>
      </c>
      <c r="G81" s="41">
        <v>0.14</v>
      </c>
      <c r="H81" s="40">
        <f t="shared" si="10"/>
        <v>6.60825</v>
      </c>
      <c r="I81" s="42">
        <f t="shared" si="11"/>
        <v>3.115</v>
      </c>
      <c r="J81" s="40">
        <f t="shared" si="12"/>
        <v>22.25</v>
      </c>
      <c r="K81" s="251">
        <f t="shared" si="13"/>
        <v>28.48</v>
      </c>
      <c r="L81" s="14"/>
    </row>
    <row r="82" ht="19.5" customHeight="1">
      <c r="A82" s="46"/>
      <c r="B82" s="49"/>
      <c r="C82" s="46"/>
      <c r="D82" s="39"/>
      <c r="E82" s="49"/>
      <c r="F82" s="78"/>
      <c r="G82" s="41"/>
      <c r="H82" s="341"/>
      <c r="I82" s="341"/>
      <c r="J82" s="341"/>
      <c r="K82" s="341"/>
      <c r="L82" s="14"/>
    </row>
    <row r="83" ht="19.5" customHeight="1">
      <c r="A83" s="46"/>
      <c r="B83" s="67" t="s">
        <v>1018</v>
      </c>
      <c r="C83" s="191" t="s">
        <v>103</v>
      </c>
      <c r="D83" s="182"/>
      <c r="E83" s="243"/>
      <c r="F83" s="78"/>
      <c r="G83" s="41"/>
      <c r="H83" s="59"/>
      <c r="I83" s="82"/>
      <c r="J83" s="121"/>
      <c r="K83" s="339">
        <f>SUM(K54:K81)</f>
        <v>324.9536</v>
      </c>
      <c r="L83" s="14"/>
    </row>
    <row r="84" ht="19.5" customHeight="1">
      <c r="A84" s="46"/>
      <c r="B84" s="194" t="s">
        <v>745</v>
      </c>
      <c r="C84" s="191" t="s">
        <v>103</v>
      </c>
      <c r="D84" s="182"/>
      <c r="E84" s="243"/>
      <c r="F84" s="78"/>
      <c r="G84" s="41"/>
      <c r="H84" s="59"/>
      <c r="I84" s="82"/>
      <c r="J84" s="121"/>
      <c r="K84" s="339">
        <f>SUM(I54:I81)</f>
        <v>35.5418</v>
      </c>
      <c r="L84" s="14"/>
    </row>
    <row r="85" ht="19.5" customHeight="1">
      <c r="A85" s="46"/>
      <c r="B85" s="194" t="s">
        <v>674</v>
      </c>
      <c r="C85" s="46" t="s">
        <v>148</v>
      </c>
      <c r="D85" s="182"/>
      <c r="E85" s="243"/>
      <c r="F85" s="78"/>
      <c r="G85" s="41"/>
      <c r="H85" s="59"/>
      <c r="I85" s="82"/>
      <c r="J85" s="121"/>
      <c r="K85" s="339">
        <f>SUM(H54:H81)</f>
        <v>75.39939</v>
      </c>
      <c r="L85" s="14"/>
    </row>
    <row r="86" ht="19.5" customHeight="1">
      <c r="A86" s="46"/>
      <c r="B86" s="194" t="s">
        <v>746</v>
      </c>
      <c r="C86" s="46" t="s">
        <v>148</v>
      </c>
      <c r="D86" s="182"/>
      <c r="E86" s="243"/>
      <c r="F86" s="78"/>
      <c r="G86" s="41"/>
      <c r="H86" s="59"/>
      <c r="I86" s="82"/>
      <c r="J86" s="342"/>
      <c r="K86" s="339">
        <f>K84*0.05</f>
        <v>1.77709</v>
      </c>
      <c r="L86" s="14"/>
    </row>
    <row r="87" ht="19.5" customHeight="1">
      <c r="A87" s="46"/>
      <c r="B87" s="67" t="s">
        <v>747</v>
      </c>
      <c r="C87" s="191" t="s">
        <v>103</v>
      </c>
      <c r="D87" s="182"/>
      <c r="E87" s="243"/>
      <c r="F87" s="78"/>
      <c r="G87" s="41"/>
      <c r="H87" s="59"/>
      <c r="I87" s="82"/>
      <c r="J87" s="121"/>
      <c r="K87" s="339">
        <f>100.2+85.33+102.92</f>
        <v>288.45</v>
      </c>
      <c r="L87" s="14"/>
    </row>
    <row r="88" ht="19.5" customHeight="1">
      <c r="A88" s="46"/>
      <c r="B88" s="67" t="s">
        <v>748</v>
      </c>
      <c r="C88" s="46" t="s">
        <v>148</v>
      </c>
      <c r="D88" s="182"/>
      <c r="E88" s="243"/>
      <c r="F88" s="78"/>
      <c r="G88" s="41"/>
      <c r="H88" s="59"/>
      <c r="I88" s="82"/>
      <c r="J88" s="121"/>
      <c r="K88" s="339">
        <f>6.16+5.25+6.33</f>
        <v>17.74</v>
      </c>
      <c r="L88" s="14"/>
    </row>
    <row r="89" ht="19.5" customHeight="1">
      <c r="A89" s="46"/>
      <c r="B89" s="194"/>
      <c r="C89" s="337" t="s">
        <v>683</v>
      </c>
      <c r="D89" s="338" t="s">
        <v>108</v>
      </c>
      <c r="E89" s="337" t="s">
        <v>684</v>
      </c>
      <c r="F89" s="78"/>
      <c r="G89" s="41"/>
      <c r="H89" s="59"/>
      <c r="I89" s="82"/>
      <c r="J89" s="337" t="s">
        <v>158</v>
      </c>
      <c r="K89" s="79"/>
      <c r="L89" s="14"/>
    </row>
    <row r="90" ht="19.5" customHeight="1">
      <c r="A90" s="46"/>
      <c r="B90" s="194" t="s">
        <v>1019</v>
      </c>
      <c r="C90" s="67" t="s">
        <v>686</v>
      </c>
      <c r="D90" s="189">
        <f>405.9+367.6+436.5</f>
        <v>1210</v>
      </c>
      <c r="E90" s="67">
        <v>0.154</v>
      </c>
      <c r="F90" s="78"/>
      <c r="G90" s="41"/>
      <c r="H90" s="59"/>
      <c r="I90" s="82"/>
      <c r="J90" s="143">
        <f t="shared" ref="J90:J93" si="16">D90*E90</f>
        <v>186.34</v>
      </c>
      <c r="K90" s="79"/>
      <c r="L90" s="14"/>
    </row>
    <row r="91" ht="19.5" customHeight="1">
      <c r="A91" s="46"/>
      <c r="B91" s="194"/>
      <c r="C91" s="208">
        <v>45357.0</v>
      </c>
      <c r="D91" s="189">
        <f>0.7+0.7+0.7</f>
        <v>2.1</v>
      </c>
      <c r="E91" s="67">
        <v>0.245</v>
      </c>
      <c r="F91" s="78"/>
      <c r="G91" s="41"/>
      <c r="H91" s="59"/>
      <c r="I91" s="82"/>
      <c r="J91" s="143">
        <f t="shared" si="16"/>
        <v>0.5145</v>
      </c>
      <c r="K91" s="79"/>
      <c r="L91" s="14"/>
    </row>
    <row r="92" ht="19.5" customHeight="1">
      <c r="A92" s="46"/>
      <c r="B92" s="194"/>
      <c r="C92" s="209">
        <v>8.0</v>
      </c>
      <c r="D92" s="189">
        <f>394.5+342.6+384.6</f>
        <v>1121.7</v>
      </c>
      <c r="E92" s="67">
        <v>0.395</v>
      </c>
      <c r="F92" s="78"/>
      <c r="G92" s="41"/>
      <c r="H92" s="59"/>
      <c r="I92" s="82"/>
      <c r="J92" s="143">
        <f t="shared" si="16"/>
        <v>443.0715</v>
      </c>
      <c r="K92" s="79"/>
      <c r="L92" s="14"/>
    </row>
    <row r="93" ht="19.5" customHeight="1">
      <c r="A93" s="46"/>
      <c r="B93" s="194"/>
      <c r="C93" s="209">
        <v>10.0</v>
      </c>
      <c r="D93" s="189">
        <f>63.6+63.6+123</f>
        <v>250.2</v>
      </c>
      <c r="E93" s="67">
        <v>0.617</v>
      </c>
      <c r="F93" s="78"/>
      <c r="G93" s="41"/>
      <c r="H93" s="59"/>
      <c r="I93" s="82"/>
      <c r="J93" s="143">
        <f t="shared" si="16"/>
        <v>154.3734</v>
      </c>
      <c r="K93" s="79"/>
      <c r="L93" s="14"/>
    </row>
    <row r="94" ht="19.5" customHeight="1">
      <c r="A94" s="79"/>
      <c r="B94" s="95"/>
      <c r="C94" s="79"/>
      <c r="D94" s="122"/>
      <c r="E94" s="49"/>
      <c r="F94" s="78"/>
      <c r="G94" s="41"/>
      <c r="H94" s="59"/>
      <c r="I94" s="82"/>
      <c r="J94" s="121"/>
      <c r="K94" s="79"/>
      <c r="L94" s="14"/>
    </row>
    <row r="95" ht="19.5" customHeight="1">
      <c r="A95" s="74" t="s">
        <v>1</v>
      </c>
      <c r="B95" s="74" t="s">
        <v>91</v>
      </c>
      <c r="C95" s="74" t="s">
        <v>92</v>
      </c>
      <c r="D95" s="76" t="s">
        <v>93</v>
      </c>
      <c r="E95" s="50" t="s">
        <v>97</v>
      </c>
      <c r="F95" s="53" t="s">
        <v>121</v>
      </c>
      <c r="G95" s="53" t="s">
        <v>99</v>
      </c>
      <c r="H95" s="75" t="s">
        <v>100</v>
      </c>
      <c r="I95" s="75" t="s">
        <v>101</v>
      </c>
      <c r="J95" s="76" t="s">
        <v>95</v>
      </c>
      <c r="K95" s="74" t="s">
        <v>96</v>
      </c>
      <c r="M95" s="45">
        <f>F67*E67+F67*E67+G67*F67</f>
        <v>2.2116</v>
      </c>
    </row>
    <row r="96" ht="19.5" customHeight="1">
      <c r="A96" s="46">
        <v>1.0</v>
      </c>
      <c r="B96" s="37" t="s">
        <v>339</v>
      </c>
      <c r="C96" s="46" t="s">
        <v>148</v>
      </c>
      <c r="D96" s="78">
        <f>J14</f>
        <v>128.7177105</v>
      </c>
      <c r="E96" s="37"/>
      <c r="F96" s="78"/>
      <c r="G96" s="40"/>
      <c r="H96" s="40">
        <f>D96</f>
        <v>128.7177105</v>
      </c>
      <c r="I96" s="42">
        <f>K40+K88</f>
        <v>19.74</v>
      </c>
      <c r="J96" s="43">
        <f>H96-I96</f>
        <v>108.9777105</v>
      </c>
      <c r="K96" s="46"/>
    </row>
    <row r="97" ht="19.5" customHeight="1">
      <c r="A97" s="46">
        <v>2.0</v>
      </c>
      <c r="B97" s="37" t="s">
        <v>340</v>
      </c>
      <c r="C97" s="46" t="s">
        <v>148</v>
      </c>
      <c r="D97" s="78">
        <v>1.0</v>
      </c>
      <c r="E97" s="37">
        <v>0.3</v>
      </c>
      <c r="F97" s="78">
        <v>27.68</v>
      </c>
      <c r="G97" s="40">
        <v>22.25</v>
      </c>
      <c r="H97" s="40">
        <f>(G97*F97*E97)-H96</f>
        <v>56.0462895</v>
      </c>
      <c r="I97" s="42"/>
      <c r="J97" s="43">
        <f>H97*1.5</f>
        <v>84.06943425</v>
      </c>
      <c r="K97" s="46" t="s">
        <v>341</v>
      </c>
    </row>
    <row r="98" ht="19.5" customHeight="1">
      <c r="A98" s="74" t="s">
        <v>1</v>
      </c>
      <c r="B98" s="74" t="s">
        <v>91</v>
      </c>
      <c r="C98" s="74" t="s">
        <v>92</v>
      </c>
      <c r="D98" s="76" t="s">
        <v>93</v>
      </c>
      <c r="E98" s="50" t="s">
        <v>97</v>
      </c>
      <c r="F98" s="53" t="s">
        <v>121</v>
      </c>
      <c r="G98" s="53" t="s">
        <v>99</v>
      </c>
      <c r="H98" s="75" t="s">
        <v>100</v>
      </c>
      <c r="I98" s="75" t="s">
        <v>101</v>
      </c>
      <c r="J98" s="76" t="s">
        <v>95</v>
      </c>
      <c r="K98" s="74" t="s">
        <v>96</v>
      </c>
      <c r="L98" s="14"/>
    </row>
    <row r="99" ht="19.5" customHeight="1">
      <c r="A99" s="46">
        <v>1.0</v>
      </c>
      <c r="B99" s="37" t="s">
        <v>172</v>
      </c>
      <c r="C99" s="46" t="s">
        <v>148</v>
      </c>
      <c r="D99" s="78">
        <v>1.0</v>
      </c>
      <c r="E99" s="37">
        <v>0.05</v>
      </c>
      <c r="F99" s="78">
        <f t="shared" ref="F99:G99" si="17">F97</f>
        <v>27.68</v>
      </c>
      <c r="G99" s="40">
        <f t="shared" si="17"/>
        <v>22.25</v>
      </c>
      <c r="H99" s="40">
        <f>G99*F99*E99*D99</f>
        <v>30.794</v>
      </c>
      <c r="I99" s="42"/>
      <c r="J99" s="43">
        <f t="shared" ref="J99:J101" si="19">H99</f>
        <v>30.794</v>
      </c>
      <c r="K99" s="46"/>
    </row>
    <row r="100" ht="19.5" customHeight="1">
      <c r="A100" s="46">
        <v>2.0</v>
      </c>
      <c r="B100" s="37" t="s">
        <v>342</v>
      </c>
      <c r="C100" s="46" t="s">
        <v>103</v>
      </c>
      <c r="D100" s="78">
        <v>1.0</v>
      </c>
      <c r="E100" s="37">
        <v>0.05</v>
      </c>
      <c r="F100" s="78">
        <f t="shared" ref="F100:G100" si="18">F99</f>
        <v>27.68</v>
      </c>
      <c r="G100" s="78">
        <f t="shared" si="18"/>
        <v>22.25</v>
      </c>
      <c r="H100" s="40">
        <f>G100*F100</f>
        <v>615.88</v>
      </c>
      <c r="I100" s="42"/>
      <c r="J100" s="43">
        <f t="shared" si="19"/>
        <v>615.88</v>
      </c>
      <c r="K100" s="46"/>
    </row>
    <row r="101" ht="19.5" customHeight="1">
      <c r="A101" s="46">
        <v>3.0</v>
      </c>
      <c r="B101" s="37" t="s">
        <v>343</v>
      </c>
      <c r="C101" s="46" t="s">
        <v>103</v>
      </c>
      <c r="D101" s="78">
        <v>1.0</v>
      </c>
      <c r="E101" s="37">
        <v>1.0</v>
      </c>
      <c r="F101" s="78">
        <f t="shared" ref="F101:G101" si="20">F100</f>
        <v>27.68</v>
      </c>
      <c r="G101" s="78">
        <f t="shared" si="20"/>
        <v>22.25</v>
      </c>
      <c r="H101" s="40">
        <f>G101*F101*E101</f>
        <v>615.88</v>
      </c>
      <c r="I101" s="42"/>
      <c r="J101" s="43">
        <f t="shared" si="19"/>
        <v>615.88</v>
      </c>
      <c r="K101" s="46"/>
    </row>
    <row r="102" ht="19.5" customHeight="1">
      <c r="A102" s="74" t="s">
        <v>1</v>
      </c>
      <c r="B102" s="74" t="s">
        <v>91</v>
      </c>
      <c r="C102" s="74" t="s">
        <v>92</v>
      </c>
      <c r="D102" s="76" t="s">
        <v>93</v>
      </c>
      <c r="E102" s="50" t="s">
        <v>97</v>
      </c>
      <c r="F102" s="53" t="s">
        <v>121</v>
      </c>
      <c r="G102" s="53" t="s">
        <v>99</v>
      </c>
      <c r="H102" s="75" t="s">
        <v>100</v>
      </c>
      <c r="I102" s="75" t="s">
        <v>101</v>
      </c>
      <c r="J102" s="76" t="s">
        <v>95</v>
      </c>
      <c r="K102" s="74" t="s">
        <v>96</v>
      </c>
    </row>
    <row r="103" ht="19.5" customHeight="1">
      <c r="A103" s="46">
        <v>1.0</v>
      </c>
      <c r="B103" s="37" t="s">
        <v>345</v>
      </c>
      <c r="C103" s="46" t="s">
        <v>148</v>
      </c>
      <c r="D103" s="78">
        <f t="shared" ref="D103:D115" si="22">D55</f>
        <v>1</v>
      </c>
      <c r="E103" s="37">
        <f t="shared" ref="E103:E115" si="23">0.2</f>
        <v>0.2</v>
      </c>
      <c r="F103" s="78">
        <f t="shared" ref="F103:G103" si="21">F55</f>
        <v>10.23</v>
      </c>
      <c r="G103" s="40">
        <f t="shared" si="21"/>
        <v>0.14</v>
      </c>
      <c r="H103" s="40">
        <f t="shared" ref="H103:H115" si="25">G103*F103*E103*D103</f>
        <v>0.28644</v>
      </c>
      <c r="I103" s="42"/>
      <c r="J103" s="312">
        <f>SUM(H103:H115)</f>
        <v>2.48164</v>
      </c>
      <c r="K103" s="38" t="s">
        <v>909</v>
      </c>
    </row>
    <row r="104" ht="19.5" customHeight="1">
      <c r="A104" s="46">
        <f t="shared" ref="A104:A115" si="26">A103+1</f>
        <v>2</v>
      </c>
      <c r="B104" s="37" t="s">
        <v>345</v>
      </c>
      <c r="C104" s="46" t="s">
        <v>148</v>
      </c>
      <c r="D104" s="78">
        <f t="shared" si="22"/>
        <v>1</v>
      </c>
      <c r="E104" s="37">
        <f t="shared" si="23"/>
        <v>0.2</v>
      </c>
      <c r="F104" s="78">
        <f t="shared" ref="F104:G104" si="24">F56</f>
        <v>9.16</v>
      </c>
      <c r="G104" s="40">
        <f t="shared" si="24"/>
        <v>0.14</v>
      </c>
      <c r="H104" s="40">
        <f t="shared" si="25"/>
        <v>0.25648</v>
      </c>
      <c r="I104" s="42"/>
      <c r="J104" s="147"/>
      <c r="K104" s="46"/>
    </row>
    <row r="105" ht="19.5" customHeight="1">
      <c r="A105" s="46">
        <f t="shared" si="26"/>
        <v>3</v>
      </c>
      <c r="B105" s="37" t="s">
        <v>345</v>
      </c>
      <c r="C105" s="46" t="s">
        <v>148</v>
      </c>
      <c r="D105" s="78">
        <f t="shared" si="22"/>
        <v>1</v>
      </c>
      <c r="E105" s="37">
        <f t="shared" si="23"/>
        <v>0.2</v>
      </c>
      <c r="F105" s="78">
        <f t="shared" ref="F105:G105" si="27">F57</f>
        <v>2.01</v>
      </c>
      <c r="G105" s="40">
        <f t="shared" si="27"/>
        <v>0.14</v>
      </c>
      <c r="H105" s="40">
        <f t="shared" si="25"/>
        <v>0.05628</v>
      </c>
      <c r="I105" s="42"/>
      <c r="J105" s="147"/>
      <c r="K105" s="79"/>
    </row>
    <row r="106" ht="19.5" customHeight="1">
      <c r="A106" s="46">
        <f t="shared" si="26"/>
        <v>4</v>
      </c>
      <c r="B106" s="37" t="s">
        <v>345</v>
      </c>
      <c r="C106" s="46" t="s">
        <v>148</v>
      </c>
      <c r="D106" s="78">
        <f t="shared" si="22"/>
        <v>1</v>
      </c>
      <c r="E106" s="37">
        <f t="shared" si="23"/>
        <v>0.2</v>
      </c>
      <c r="F106" s="78">
        <f t="shared" ref="F106:G106" si="28">F58</f>
        <v>8</v>
      </c>
      <c r="G106" s="40">
        <f t="shared" si="28"/>
        <v>0.14</v>
      </c>
      <c r="H106" s="40">
        <f t="shared" si="25"/>
        <v>0.224</v>
      </c>
      <c r="I106" s="42"/>
      <c r="J106" s="147"/>
      <c r="K106" s="79"/>
    </row>
    <row r="107" ht="19.5" customHeight="1">
      <c r="A107" s="46">
        <f t="shared" si="26"/>
        <v>5</v>
      </c>
      <c r="B107" s="37" t="s">
        <v>345</v>
      </c>
      <c r="C107" s="46" t="s">
        <v>148</v>
      </c>
      <c r="D107" s="78">
        <f t="shared" si="22"/>
        <v>1</v>
      </c>
      <c r="E107" s="37">
        <f t="shared" si="23"/>
        <v>0.2</v>
      </c>
      <c r="F107" s="78">
        <f t="shared" ref="F107:G107" si="29">F59</f>
        <v>10.23</v>
      </c>
      <c r="G107" s="40">
        <f t="shared" si="29"/>
        <v>0.14</v>
      </c>
      <c r="H107" s="40">
        <f t="shared" si="25"/>
        <v>0.28644</v>
      </c>
      <c r="I107" s="42"/>
      <c r="J107" s="147"/>
      <c r="K107" s="79"/>
    </row>
    <row r="108" ht="19.5" customHeight="1">
      <c r="A108" s="46">
        <f t="shared" si="26"/>
        <v>6</v>
      </c>
      <c r="B108" s="37" t="s">
        <v>345</v>
      </c>
      <c r="C108" s="46" t="s">
        <v>148</v>
      </c>
      <c r="D108" s="78">
        <f t="shared" si="22"/>
        <v>1</v>
      </c>
      <c r="E108" s="37">
        <f t="shared" si="23"/>
        <v>0.2</v>
      </c>
      <c r="F108" s="78">
        <f t="shared" ref="F108:G108" si="30">F60</f>
        <v>9.16</v>
      </c>
      <c r="G108" s="40">
        <f t="shared" si="30"/>
        <v>0.14</v>
      </c>
      <c r="H108" s="40">
        <f t="shared" si="25"/>
        <v>0.25648</v>
      </c>
      <c r="I108" s="42"/>
      <c r="J108" s="147"/>
      <c r="K108" s="79"/>
    </row>
    <row r="109" ht="19.5" customHeight="1">
      <c r="A109" s="46">
        <f t="shared" si="26"/>
        <v>7</v>
      </c>
      <c r="B109" s="37" t="s">
        <v>345</v>
      </c>
      <c r="C109" s="46" t="s">
        <v>148</v>
      </c>
      <c r="D109" s="78">
        <f t="shared" si="22"/>
        <v>1</v>
      </c>
      <c r="E109" s="37">
        <f t="shared" si="23"/>
        <v>0.2</v>
      </c>
      <c r="F109" s="78">
        <f t="shared" ref="F109:G109" si="31">F61</f>
        <v>6.51</v>
      </c>
      <c r="G109" s="40">
        <f t="shared" si="31"/>
        <v>0.14</v>
      </c>
      <c r="H109" s="40">
        <f t="shared" si="25"/>
        <v>0.18228</v>
      </c>
      <c r="I109" s="42"/>
      <c r="J109" s="147"/>
      <c r="K109" s="79"/>
    </row>
    <row r="110" ht="19.5" customHeight="1">
      <c r="A110" s="46">
        <f t="shared" si="26"/>
        <v>8</v>
      </c>
      <c r="B110" s="37" t="s">
        <v>345</v>
      </c>
      <c r="C110" s="46" t="s">
        <v>148</v>
      </c>
      <c r="D110" s="78">
        <f t="shared" si="22"/>
        <v>1</v>
      </c>
      <c r="E110" s="37">
        <f t="shared" si="23"/>
        <v>0.2</v>
      </c>
      <c r="F110" s="78">
        <f t="shared" ref="F110:G110" si="32">F62</f>
        <v>3.95</v>
      </c>
      <c r="G110" s="40">
        <f t="shared" si="32"/>
        <v>0.14</v>
      </c>
      <c r="H110" s="40">
        <f t="shared" si="25"/>
        <v>0.1106</v>
      </c>
      <c r="I110" s="42"/>
      <c r="J110" s="147"/>
      <c r="K110" s="79"/>
    </row>
    <row r="111" ht="19.5" customHeight="1">
      <c r="A111" s="46">
        <f t="shared" si="26"/>
        <v>9</v>
      </c>
      <c r="B111" s="37" t="s">
        <v>345</v>
      </c>
      <c r="C111" s="46" t="s">
        <v>148</v>
      </c>
      <c r="D111" s="78">
        <f t="shared" si="22"/>
        <v>1</v>
      </c>
      <c r="E111" s="37">
        <f t="shared" si="23"/>
        <v>0.2</v>
      </c>
      <c r="F111" s="78">
        <f t="shared" ref="F111:G111" si="33">F63</f>
        <v>2.86</v>
      </c>
      <c r="G111" s="40">
        <f t="shared" si="33"/>
        <v>0.14</v>
      </c>
      <c r="H111" s="40">
        <f t="shared" si="25"/>
        <v>0.08008</v>
      </c>
      <c r="I111" s="42"/>
      <c r="J111" s="147"/>
      <c r="K111" s="79"/>
    </row>
    <row r="112" ht="19.5" customHeight="1">
      <c r="A112" s="46">
        <f t="shared" si="26"/>
        <v>10</v>
      </c>
      <c r="B112" s="37" t="s">
        <v>345</v>
      </c>
      <c r="C112" s="46" t="s">
        <v>148</v>
      </c>
      <c r="D112" s="78">
        <f t="shared" si="22"/>
        <v>1</v>
      </c>
      <c r="E112" s="37">
        <f t="shared" si="23"/>
        <v>0.2</v>
      </c>
      <c r="F112" s="78">
        <f t="shared" ref="F112:G112" si="34">F64</f>
        <v>18.07</v>
      </c>
      <c r="G112" s="40">
        <f t="shared" si="34"/>
        <v>0.14</v>
      </c>
      <c r="H112" s="40">
        <f t="shared" si="25"/>
        <v>0.50596</v>
      </c>
      <c r="I112" s="42"/>
      <c r="J112" s="147"/>
      <c r="K112" s="79"/>
    </row>
    <row r="113" ht="19.5" customHeight="1">
      <c r="A113" s="46">
        <f t="shared" si="26"/>
        <v>11</v>
      </c>
      <c r="B113" s="37" t="s">
        <v>345</v>
      </c>
      <c r="C113" s="46" t="s">
        <v>148</v>
      </c>
      <c r="D113" s="78">
        <f t="shared" si="22"/>
        <v>1</v>
      </c>
      <c r="E113" s="37">
        <f t="shared" si="23"/>
        <v>0.2</v>
      </c>
      <c r="F113" s="78">
        <f t="shared" ref="F113:G113" si="35">F65</f>
        <v>5.31</v>
      </c>
      <c r="G113" s="40">
        <f t="shared" si="35"/>
        <v>0.14</v>
      </c>
      <c r="H113" s="40">
        <f t="shared" si="25"/>
        <v>0.14868</v>
      </c>
      <c r="I113" s="42"/>
      <c r="J113" s="147"/>
      <c r="K113" s="79"/>
    </row>
    <row r="114" ht="19.5" customHeight="1">
      <c r="A114" s="46">
        <f t="shared" si="26"/>
        <v>12</v>
      </c>
      <c r="B114" s="37" t="s">
        <v>345</v>
      </c>
      <c r="C114" s="46" t="s">
        <v>148</v>
      </c>
      <c r="D114" s="78">
        <f t="shared" si="22"/>
        <v>1</v>
      </c>
      <c r="E114" s="37">
        <f t="shared" si="23"/>
        <v>0.2</v>
      </c>
      <c r="F114" s="78">
        <f t="shared" ref="F114:G114" si="36">F66</f>
        <v>1.2</v>
      </c>
      <c r="G114" s="40">
        <f t="shared" si="36"/>
        <v>0.14</v>
      </c>
      <c r="H114" s="40">
        <f t="shared" si="25"/>
        <v>0.0336</v>
      </c>
      <c r="I114" s="42"/>
      <c r="J114" s="147"/>
      <c r="K114" s="79"/>
    </row>
    <row r="115" ht="19.5" customHeight="1">
      <c r="A115" s="46">
        <f t="shared" si="26"/>
        <v>13</v>
      </c>
      <c r="B115" s="37" t="s">
        <v>345</v>
      </c>
      <c r="C115" s="46" t="s">
        <v>148</v>
      </c>
      <c r="D115" s="78">
        <f t="shared" si="22"/>
        <v>1</v>
      </c>
      <c r="E115" s="37">
        <f t="shared" si="23"/>
        <v>0.2</v>
      </c>
      <c r="F115" s="78">
        <f t="shared" ref="F115:G115" si="37">F67</f>
        <v>1.94</v>
      </c>
      <c r="G115" s="40">
        <f t="shared" si="37"/>
        <v>0.14</v>
      </c>
      <c r="H115" s="40">
        <f t="shared" si="25"/>
        <v>0.05432</v>
      </c>
      <c r="I115" s="42"/>
      <c r="J115" s="32"/>
      <c r="K115" s="132"/>
    </row>
    <row r="116" ht="19.5" customHeight="1">
      <c r="A116" s="74" t="s">
        <v>1</v>
      </c>
      <c r="B116" s="74" t="s">
        <v>91</v>
      </c>
      <c r="C116" s="74" t="s">
        <v>92</v>
      </c>
      <c r="D116" s="76" t="s">
        <v>93</v>
      </c>
      <c r="E116" s="50" t="s">
        <v>97</v>
      </c>
      <c r="F116" s="53" t="s">
        <v>121</v>
      </c>
      <c r="G116" s="53" t="s">
        <v>99</v>
      </c>
      <c r="H116" s="75" t="s">
        <v>100</v>
      </c>
      <c r="I116" s="75" t="s">
        <v>101</v>
      </c>
      <c r="J116" s="76" t="s">
        <v>95</v>
      </c>
      <c r="K116" s="74" t="s">
        <v>96</v>
      </c>
    </row>
    <row r="117" ht="19.5" customHeight="1">
      <c r="A117" s="46">
        <v>1.0</v>
      </c>
      <c r="B117" s="37" t="s">
        <v>346</v>
      </c>
      <c r="C117" s="46" t="s">
        <v>148</v>
      </c>
      <c r="D117" s="78">
        <v>3.0</v>
      </c>
      <c r="E117" s="37">
        <v>0.25</v>
      </c>
      <c r="F117" s="40">
        <f t="shared" ref="F117:F129" si="38">F103</f>
        <v>10.23</v>
      </c>
      <c r="G117" s="40">
        <v>0.14</v>
      </c>
      <c r="H117" s="40">
        <f t="shared" ref="H117:H129" si="39">G117*F117*E117*D117</f>
        <v>1.07415</v>
      </c>
      <c r="I117" s="42"/>
      <c r="J117" s="264">
        <f>SUM(H117:H130)</f>
        <v>4.09815</v>
      </c>
      <c r="K117" s="46"/>
    </row>
    <row r="118" ht="19.5" customHeight="1">
      <c r="A118" s="46">
        <f t="shared" ref="A118:A119" si="40">A117+1</f>
        <v>2</v>
      </c>
      <c r="B118" s="37" t="s">
        <v>346</v>
      </c>
      <c r="C118" s="46" t="s">
        <v>148</v>
      </c>
      <c r="D118" s="78">
        <f t="shared" ref="D118:D119" si="41">D104</f>
        <v>1</v>
      </c>
      <c r="E118" s="37">
        <v>0.25</v>
      </c>
      <c r="F118" s="40">
        <f t="shared" si="38"/>
        <v>9.16</v>
      </c>
      <c r="G118" s="40">
        <v>0.14</v>
      </c>
      <c r="H118" s="40">
        <f t="shared" si="39"/>
        <v>0.3206</v>
      </c>
      <c r="I118" s="42"/>
      <c r="J118" s="147"/>
      <c r="K118" s="46"/>
      <c r="L118" s="14">
        <f>J118+J22+J56</f>
        <v>9.16</v>
      </c>
    </row>
    <row r="119" ht="19.5" customHeight="1">
      <c r="A119" s="46">
        <f t="shared" si="40"/>
        <v>3</v>
      </c>
      <c r="B119" s="37" t="s">
        <v>346</v>
      </c>
      <c r="C119" s="46" t="s">
        <v>148</v>
      </c>
      <c r="D119" s="78">
        <f t="shared" si="41"/>
        <v>1</v>
      </c>
      <c r="E119" s="37">
        <v>0.25</v>
      </c>
      <c r="F119" s="40">
        <f t="shared" si="38"/>
        <v>2.01</v>
      </c>
      <c r="G119" s="40">
        <v>0.14</v>
      </c>
      <c r="H119" s="40">
        <f t="shared" si="39"/>
        <v>0.07035</v>
      </c>
      <c r="I119" s="42"/>
      <c r="J119" s="147"/>
      <c r="K119" s="79"/>
      <c r="L119" s="14"/>
    </row>
    <row r="120" ht="19.5" customHeight="1">
      <c r="A120" s="46">
        <f>A118+1</f>
        <v>3</v>
      </c>
      <c r="B120" s="37" t="s">
        <v>346</v>
      </c>
      <c r="C120" s="46" t="s">
        <v>148</v>
      </c>
      <c r="D120" s="78">
        <v>2.0</v>
      </c>
      <c r="E120" s="37">
        <v>0.25</v>
      </c>
      <c r="F120" s="40">
        <f t="shared" si="38"/>
        <v>8</v>
      </c>
      <c r="G120" s="40">
        <v>0.14</v>
      </c>
      <c r="H120" s="40">
        <f t="shared" si="39"/>
        <v>0.56</v>
      </c>
      <c r="I120" s="42"/>
      <c r="J120" s="147"/>
      <c r="K120" s="79"/>
      <c r="L120" s="14"/>
    </row>
    <row r="121" ht="19.5" customHeight="1">
      <c r="A121" s="46">
        <f t="shared" ref="A121:A129" si="42">A120+1</f>
        <v>4</v>
      </c>
      <c r="B121" s="37" t="s">
        <v>346</v>
      </c>
      <c r="C121" s="46" t="s">
        <v>148</v>
      </c>
      <c r="D121" s="78">
        <v>1.0</v>
      </c>
      <c r="E121" s="37">
        <v>0.25</v>
      </c>
      <c r="F121" s="40">
        <f t="shared" si="38"/>
        <v>10.23</v>
      </c>
      <c r="G121" s="40">
        <v>0.14</v>
      </c>
      <c r="H121" s="40">
        <f t="shared" si="39"/>
        <v>0.35805</v>
      </c>
      <c r="I121" s="42"/>
      <c r="J121" s="147"/>
      <c r="K121" s="79"/>
      <c r="L121" s="14"/>
    </row>
    <row r="122" ht="19.5" customHeight="1">
      <c r="A122" s="46">
        <f t="shared" si="42"/>
        <v>5</v>
      </c>
      <c r="B122" s="37" t="s">
        <v>346</v>
      </c>
      <c r="C122" s="46" t="s">
        <v>148</v>
      </c>
      <c r="D122" s="78">
        <f t="shared" ref="D122:D129" si="43">D107</f>
        <v>1</v>
      </c>
      <c r="E122" s="37">
        <v>0.25</v>
      </c>
      <c r="F122" s="40">
        <f t="shared" si="38"/>
        <v>9.16</v>
      </c>
      <c r="G122" s="40">
        <v>0.14</v>
      </c>
      <c r="H122" s="40">
        <f t="shared" si="39"/>
        <v>0.3206</v>
      </c>
      <c r="I122" s="42"/>
      <c r="J122" s="147"/>
      <c r="K122" s="79"/>
      <c r="L122" s="14"/>
    </row>
    <row r="123" ht="19.5" customHeight="1">
      <c r="A123" s="46">
        <f t="shared" si="42"/>
        <v>6</v>
      </c>
      <c r="B123" s="37" t="s">
        <v>346</v>
      </c>
      <c r="C123" s="46" t="s">
        <v>148</v>
      </c>
      <c r="D123" s="78">
        <f t="shared" si="43"/>
        <v>1</v>
      </c>
      <c r="E123" s="37">
        <v>0.25</v>
      </c>
      <c r="F123" s="40">
        <f t="shared" si="38"/>
        <v>6.51</v>
      </c>
      <c r="G123" s="40">
        <v>0.14</v>
      </c>
      <c r="H123" s="40">
        <f t="shared" si="39"/>
        <v>0.22785</v>
      </c>
      <c r="I123" s="42"/>
      <c r="J123" s="147"/>
      <c r="K123" s="79"/>
      <c r="L123" s="14"/>
    </row>
    <row r="124" ht="19.5" customHeight="1">
      <c r="A124" s="46">
        <f t="shared" si="42"/>
        <v>7</v>
      </c>
      <c r="B124" s="37" t="s">
        <v>346</v>
      </c>
      <c r="C124" s="46" t="s">
        <v>148</v>
      </c>
      <c r="D124" s="78">
        <f t="shared" si="43"/>
        <v>1</v>
      </c>
      <c r="E124" s="37">
        <v>0.25</v>
      </c>
      <c r="F124" s="40">
        <f t="shared" si="38"/>
        <v>3.95</v>
      </c>
      <c r="G124" s="40">
        <v>0.14</v>
      </c>
      <c r="H124" s="40">
        <f t="shared" si="39"/>
        <v>0.13825</v>
      </c>
      <c r="I124" s="42"/>
      <c r="J124" s="147"/>
      <c r="K124" s="79"/>
      <c r="L124" s="14"/>
    </row>
    <row r="125" ht="19.5" customHeight="1">
      <c r="A125" s="46">
        <f t="shared" si="42"/>
        <v>8</v>
      </c>
      <c r="B125" s="37" t="s">
        <v>346</v>
      </c>
      <c r="C125" s="46" t="s">
        <v>148</v>
      </c>
      <c r="D125" s="78">
        <f t="shared" si="43"/>
        <v>1</v>
      </c>
      <c r="E125" s="37">
        <v>0.25</v>
      </c>
      <c r="F125" s="40">
        <f t="shared" si="38"/>
        <v>2.86</v>
      </c>
      <c r="G125" s="40">
        <v>0.14</v>
      </c>
      <c r="H125" s="40">
        <f t="shared" si="39"/>
        <v>0.1001</v>
      </c>
      <c r="I125" s="42"/>
      <c r="J125" s="147"/>
      <c r="K125" s="79"/>
      <c r="L125" s="14"/>
    </row>
    <row r="126" ht="19.5" customHeight="1">
      <c r="A126" s="46">
        <f t="shared" si="42"/>
        <v>9</v>
      </c>
      <c r="B126" s="37" t="s">
        <v>346</v>
      </c>
      <c r="C126" s="46" t="s">
        <v>148</v>
      </c>
      <c r="D126" s="78">
        <f t="shared" si="43"/>
        <v>1</v>
      </c>
      <c r="E126" s="37">
        <v>0.25</v>
      </c>
      <c r="F126" s="40">
        <f t="shared" si="38"/>
        <v>18.07</v>
      </c>
      <c r="G126" s="40">
        <v>0.14</v>
      </c>
      <c r="H126" s="40">
        <f t="shared" si="39"/>
        <v>0.63245</v>
      </c>
      <c r="I126" s="42"/>
      <c r="J126" s="147"/>
      <c r="K126" s="79"/>
      <c r="L126" s="14"/>
    </row>
    <row r="127" ht="19.5" customHeight="1">
      <c r="A127" s="46">
        <f t="shared" si="42"/>
        <v>10</v>
      </c>
      <c r="B127" s="37" t="s">
        <v>346</v>
      </c>
      <c r="C127" s="46" t="s">
        <v>148</v>
      </c>
      <c r="D127" s="78">
        <f t="shared" si="43"/>
        <v>1</v>
      </c>
      <c r="E127" s="37">
        <v>0.25</v>
      </c>
      <c r="F127" s="40">
        <f t="shared" si="38"/>
        <v>5.31</v>
      </c>
      <c r="G127" s="40">
        <v>0.14</v>
      </c>
      <c r="H127" s="40">
        <f t="shared" si="39"/>
        <v>0.18585</v>
      </c>
      <c r="I127" s="42"/>
      <c r="J127" s="147"/>
      <c r="K127" s="79"/>
      <c r="L127" s="14"/>
    </row>
    <row r="128" ht="19.5" customHeight="1">
      <c r="A128" s="46">
        <f t="shared" si="42"/>
        <v>11</v>
      </c>
      <c r="B128" s="37" t="s">
        <v>346</v>
      </c>
      <c r="C128" s="46" t="s">
        <v>148</v>
      </c>
      <c r="D128" s="78">
        <f t="shared" si="43"/>
        <v>1</v>
      </c>
      <c r="E128" s="37">
        <v>0.25</v>
      </c>
      <c r="F128" s="40">
        <f t="shared" si="38"/>
        <v>1.2</v>
      </c>
      <c r="G128" s="40">
        <v>0.14</v>
      </c>
      <c r="H128" s="40">
        <f t="shared" si="39"/>
        <v>0.042</v>
      </c>
      <c r="I128" s="42"/>
      <c r="J128" s="147"/>
      <c r="K128" s="79"/>
      <c r="L128" s="14"/>
    </row>
    <row r="129" ht="19.5" customHeight="1">
      <c r="A129" s="46">
        <f t="shared" si="42"/>
        <v>12</v>
      </c>
      <c r="B129" s="37" t="s">
        <v>346</v>
      </c>
      <c r="C129" s="46" t="s">
        <v>148</v>
      </c>
      <c r="D129" s="78">
        <f t="shared" si="43"/>
        <v>1</v>
      </c>
      <c r="E129" s="37">
        <v>0.25</v>
      </c>
      <c r="F129" s="40">
        <f t="shared" si="38"/>
        <v>1.94</v>
      </c>
      <c r="G129" s="40">
        <v>0.14</v>
      </c>
      <c r="H129" s="40">
        <f t="shared" si="39"/>
        <v>0.0679</v>
      </c>
      <c r="I129" s="42"/>
      <c r="J129" s="147"/>
      <c r="K129" s="79"/>
      <c r="L129" s="14"/>
    </row>
    <row r="130" ht="19.5" customHeight="1">
      <c r="A130" s="46"/>
      <c r="B130" s="37"/>
      <c r="C130" s="46"/>
      <c r="D130" s="78"/>
      <c r="E130" s="37"/>
      <c r="F130" s="40"/>
      <c r="G130" s="40"/>
      <c r="H130" s="40"/>
      <c r="I130" s="42"/>
      <c r="J130" s="32"/>
      <c r="K130" s="79"/>
      <c r="L130" s="14"/>
    </row>
    <row r="131" ht="19.5" customHeight="1">
      <c r="A131" s="74" t="s">
        <v>1</v>
      </c>
      <c r="B131" s="74" t="s">
        <v>91</v>
      </c>
      <c r="C131" s="74" t="s">
        <v>92</v>
      </c>
      <c r="D131" s="76" t="s">
        <v>93</v>
      </c>
      <c r="E131" s="50" t="s">
        <v>97</v>
      </c>
      <c r="F131" s="53" t="s">
        <v>121</v>
      </c>
      <c r="G131" s="53" t="s">
        <v>99</v>
      </c>
      <c r="H131" s="75" t="s">
        <v>100</v>
      </c>
      <c r="I131" s="75" t="s">
        <v>101</v>
      </c>
      <c r="J131" s="76" t="s">
        <v>95</v>
      </c>
      <c r="K131" s="74" t="s">
        <v>96</v>
      </c>
    </row>
    <row r="132" ht="19.5" customHeight="1">
      <c r="A132" s="46">
        <v>1.0</v>
      </c>
      <c r="B132" s="37" t="s">
        <v>176</v>
      </c>
      <c r="C132" s="46" t="s">
        <v>103</v>
      </c>
      <c r="D132" s="78"/>
      <c r="E132" s="37"/>
      <c r="F132" s="40"/>
      <c r="G132" s="40"/>
      <c r="H132" s="40"/>
      <c r="I132" s="42"/>
      <c r="J132" s="43" t="str">
        <f>H132</f>
        <v/>
      </c>
      <c r="K132" s="47"/>
    </row>
    <row r="133" ht="19.5" customHeight="1">
      <c r="A133" s="74" t="s">
        <v>1</v>
      </c>
      <c r="B133" s="74" t="s">
        <v>91</v>
      </c>
      <c r="C133" s="74" t="s">
        <v>92</v>
      </c>
      <c r="D133" s="76" t="s">
        <v>93</v>
      </c>
      <c r="E133" s="50" t="s">
        <v>148</v>
      </c>
      <c r="F133" s="53" t="s">
        <v>347</v>
      </c>
      <c r="G133" s="53" t="s">
        <v>348</v>
      </c>
      <c r="H133" s="75" t="s">
        <v>100</v>
      </c>
      <c r="I133" s="75" t="s">
        <v>101</v>
      </c>
      <c r="J133" s="76" t="s">
        <v>95</v>
      </c>
      <c r="K133" s="111" t="s">
        <v>96</v>
      </c>
      <c r="M133" s="310" t="s">
        <v>910</v>
      </c>
      <c r="N133" s="311"/>
      <c r="O133" s="311"/>
      <c r="P133" s="311"/>
      <c r="Q133" s="311"/>
    </row>
    <row r="134" ht="20.25" customHeight="1">
      <c r="A134" s="46">
        <v>1.0</v>
      </c>
      <c r="B134" s="37" t="s">
        <v>349</v>
      </c>
      <c r="C134" s="46" t="s">
        <v>103</v>
      </c>
      <c r="D134" s="123">
        <v>1.0</v>
      </c>
      <c r="E134" s="40" t="str">
        <f>J48</f>
        <v/>
      </c>
      <c r="F134" s="40">
        <v>10.0</v>
      </c>
      <c r="G134" s="40">
        <f t="shared" ref="G134:G136" si="44">E134/4</f>
        <v>0</v>
      </c>
      <c r="H134" s="40">
        <f t="shared" ref="H134:H136" si="45">G134*F134</f>
        <v>0</v>
      </c>
      <c r="I134" s="42"/>
      <c r="J134" s="107"/>
      <c r="K134" s="313" t="s">
        <v>1020</v>
      </c>
      <c r="L134" s="70"/>
      <c r="M134" s="310" t="s">
        <v>907</v>
      </c>
      <c r="N134" s="310">
        <v>7.12</v>
      </c>
      <c r="O134" s="310">
        <v>10.62</v>
      </c>
      <c r="P134" s="311">
        <f t="shared" ref="P134:P135" si="46">O134+N134</f>
        <v>17.74</v>
      </c>
      <c r="Q134" s="310" t="s">
        <v>148</v>
      </c>
    </row>
    <row r="135" ht="18.75" customHeight="1">
      <c r="A135" s="46">
        <v>2.0</v>
      </c>
      <c r="B135" s="37" t="s">
        <v>351</v>
      </c>
      <c r="C135" s="46" t="s">
        <v>103</v>
      </c>
      <c r="D135" s="128">
        <v>1.0</v>
      </c>
      <c r="E135" s="40" t="str">
        <f>#REF!+J67</f>
        <v>#REF!</v>
      </c>
      <c r="F135" s="40">
        <v>12.0</v>
      </c>
      <c r="G135" s="40" t="str">
        <f t="shared" si="44"/>
        <v>#REF!</v>
      </c>
      <c r="H135" s="59" t="str">
        <f t="shared" si="45"/>
        <v>#REF!</v>
      </c>
      <c r="I135" s="93"/>
      <c r="J135" s="107"/>
      <c r="K135" s="147"/>
      <c r="L135" s="12"/>
      <c r="M135" s="310" t="s">
        <v>912</v>
      </c>
      <c r="N135" s="310">
        <v>115.96</v>
      </c>
      <c r="O135" s="310">
        <v>172.93</v>
      </c>
      <c r="P135" s="311">
        <f t="shared" si="46"/>
        <v>288.89</v>
      </c>
      <c r="Q135" s="310" t="s">
        <v>103</v>
      </c>
    </row>
    <row r="136" ht="18.0" customHeight="1">
      <c r="A136" s="46">
        <v>3.0</v>
      </c>
      <c r="B136" s="37" t="s">
        <v>352</v>
      </c>
      <c r="C136" s="46" t="s">
        <v>103</v>
      </c>
      <c r="D136" s="128">
        <v>1.0</v>
      </c>
      <c r="E136" s="40">
        <f>J117+J22</f>
        <v>4.09815</v>
      </c>
      <c r="F136" s="40">
        <v>12.0</v>
      </c>
      <c r="G136" s="40">
        <f t="shared" si="44"/>
        <v>1.0245375</v>
      </c>
      <c r="H136" s="59">
        <f t="shared" si="45"/>
        <v>12.29445</v>
      </c>
      <c r="I136" s="93"/>
      <c r="J136" s="107" t="str">
        <f>SUM(H134:H136)</f>
        <v>#REF!</v>
      </c>
      <c r="K136" s="32"/>
      <c r="L136" s="314"/>
      <c r="M136" s="310" t="s">
        <v>913</v>
      </c>
      <c r="N136" s="311"/>
      <c r="O136" s="311"/>
      <c r="P136" s="311"/>
      <c r="Q136" s="311"/>
    </row>
    <row r="137" ht="19.5" customHeight="1">
      <c r="A137" s="74" t="s">
        <v>1</v>
      </c>
      <c r="B137" s="74" t="s">
        <v>91</v>
      </c>
      <c r="C137" s="74" t="s">
        <v>92</v>
      </c>
      <c r="D137" s="76" t="s">
        <v>93</v>
      </c>
      <c r="E137" s="50" t="s">
        <v>97</v>
      </c>
      <c r="F137" s="53" t="s">
        <v>121</v>
      </c>
      <c r="G137" s="53" t="s">
        <v>99</v>
      </c>
      <c r="H137" s="75" t="s">
        <v>100</v>
      </c>
      <c r="I137" s="75" t="s">
        <v>101</v>
      </c>
      <c r="J137" s="76" t="s">
        <v>95</v>
      </c>
      <c r="K137" s="74" t="s">
        <v>96</v>
      </c>
      <c r="M137" s="310" t="s">
        <v>907</v>
      </c>
      <c r="N137" s="310"/>
      <c r="O137" s="310"/>
      <c r="P137" s="311">
        <v>7.43</v>
      </c>
      <c r="Q137" s="310" t="s">
        <v>148</v>
      </c>
    </row>
    <row r="138" ht="19.5" customHeight="1">
      <c r="A138" s="124">
        <v>1.0</v>
      </c>
      <c r="B138" s="315" t="s">
        <v>177</v>
      </c>
      <c r="C138" s="124" t="s">
        <v>103</v>
      </c>
      <c r="D138" s="78">
        <v>3.0</v>
      </c>
      <c r="E138" s="37">
        <v>5.0</v>
      </c>
      <c r="F138" s="78">
        <f t="shared" ref="F138:F143" si="47">F117</f>
        <v>10.23</v>
      </c>
      <c r="G138" s="40">
        <v>0.09</v>
      </c>
      <c r="H138" s="40">
        <f t="shared" ref="H138:H150" si="48">F138*E138*D138</f>
        <v>153.45</v>
      </c>
      <c r="I138" s="42"/>
      <c r="J138" s="264">
        <f>SUM(H138:H150)-I139-I138</f>
        <v>547.45</v>
      </c>
      <c r="K138" s="145" t="s">
        <v>914</v>
      </c>
      <c r="M138" s="310" t="s">
        <v>912</v>
      </c>
      <c r="N138" s="310"/>
      <c r="O138" s="310"/>
      <c r="P138" s="311">
        <v>143.34</v>
      </c>
      <c r="Q138" s="310" t="s">
        <v>103</v>
      </c>
    </row>
    <row r="139" ht="19.5" customHeight="1">
      <c r="A139" s="124">
        <f t="shared" ref="A139:A150" si="49">A138+1</f>
        <v>2</v>
      </c>
      <c r="B139" s="315" t="s">
        <v>177</v>
      </c>
      <c r="C139" s="124" t="s">
        <v>103</v>
      </c>
      <c r="D139" s="78">
        <v>2.0</v>
      </c>
      <c r="E139" s="37">
        <v>5.0</v>
      </c>
      <c r="F139" s="78">
        <f t="shared" si="47"/>
        <v>9.16</v>
      </c>
      <c r="G139" s="40">
        <v>0.09</v>
      </c>
      <c r="H139" s="40">
        <f t="shared" si="48"/>
        <v>91.6</v>
      </c>
      <c r="I139" s="42"/>
      <c r="J139" s="147"/>
      <c r="K139" s="126">
        <f>F138*D138+F139*D139</f>
        <v>49.01</v>
      </c>
      <c r="L139" s="2" t="s">
        <v>915</v>
      </c>
    </row>
    <row r="140" ht="19.5" customHeight="1">
      <c r="A140" s="124">
        <f t="shared" si="49"/>
        <v>3</v>
      </c>
      <c r="B140" s="315" t="s">
        <v>177</v>
      </c>
      <c r="C140" s="124" t="s">
        <v>103</v>
      </c>
      <c r="D140" s="78">
        <v>5.0</v>
      </c>
      <c r="E140" s="316">
        <v>3.0</v>
      </c>
      <c r="F140" s="78">
        <f t="shared" si="47"/>
        <v>2.01</v>
      </c>
      <c r="G140" s="40">
        <v>0.09</v>
      </c>
      <c r="H140" s="40">
        <f t="shared" si="48"/>
        <v>30.15</v>
      </c>
      <c r="I140" s="42"/>
      <c r="J140" s="147"/>
      <c r="K140" s="126">
        <f>168.65-K139</f>
        <v>119.64</v>
      </c>
      <c r="L140" s="2" t="s">
        <v>916</v>
      </c>
    </row>
    <row r="141" ht="19.5" customHeight="1">
      <c r="A141" s="124">
        <f t="shared" si="49"/>
        <v>4</v>
      </c>
      <c r="B141" s="315" t="s">
        <v>177</v>
      </c>
      <c r="C141" s="124" t="s">
        <v>103</v>
      </c>
      <c r="D141" s="78">
        <v>2.0</v>
      </c>
      <c r="E141" s="316">
        <v>3.0</v>
      </c>
      <c r="F141" s="78">
        <f t="shared" si="47"/>
        <v>8</v>
      </c>
      <c r="G141" s="40">
        <v>0.09</v>
      </c>
      <c r="H141" s="40">
        <f t="shared" si="48"/>
        <v>48</v>
      </c>
      <c r="I141" s="42"/>
      <c r="J141" s="147"/>
      <c r="K141" s="126">
        <f>K139*5</f>
        <v>245.05</v>
      </c>
    </row>
    <row r="142" ht="19.5" customHeight="1">
      <c r="A142" s="124">
        <f t="shared" si="49"/>
        <v>5</v>
      </c>
      <c r="B142" s="315" t="s">
        <v>177</v>
      </c>
      <c r="C142" s="124" t="s">
        <v>103</v>
      </c>
      <c r="D142" s="78">
        <v>1.0</v>
      </c>
      <c r="E142" s="316">
        <v>3.0</v>
      </c>
      <c r="F142" s="78">
        <f t="shared" si="47"/>
        <v>10.23</v>
      </c>
      <c r="G142" s="40">
        <v>0.09</v>
      </c>
      <c r="H142" s="40">
        <f t="shared" si="48"/>
        <v>30.69</v>
      </c>
      <c r="I142" s="42"/>
      <c r="J142" s="147"/>
      <c r="K142" s="126">
        <f>K140*3</f>
        <v>358.92</v>
      </c>
    </row>
    <row r="143" ht="19.5" customHeight="1">
      <c r="A143" s="124">
        <f t="shared" si="49"/>
        <v>6</v>
      </c>
      <c r="B143" s="315" t="s">
        <v>177</v>
      </c>
      <c r="C143" s="124" t="s">
        <v>103</v>
      </c>
      <c r="D143" s="78">
        <v>1.0</v>
      </c>
      <c r="E143" s="316">
        <v>3.0</v>
      </c>
      <c r="F143" s="78">
        <f t="shared" si="47"/>
        <v>9.16</v>
      </c>
      <c r="G143" s="40">
        <v>0.09</v>
      </c>
      <c r="H143" s="40">
        <f t="shared" si="48"/>
        <v>27.48</v>
      </c>
      <c r="I143" s="42"/>
      <c r="J143" s="147"/>
      <c r="K143" s="145" t="s">
        <v>917</v>
      </c>
    </row>
    <row r="144" ht="19.5" customHeight="1">
      <c r="A144" s="124">
        <f t="shared" si="49"/>
        <v>7</v>
      </c>
      <c r="B144" s="315" t="s">
        <v>177</v>
      </c>
      <c r="C144" s="124" t="s">
        <v>103</v>
      </c>
      <c r="D144" s="78">
        <v>1.0</v>
      </c>
      <c r="E144" s="316">
        <v>3.0</v>
      </c>
      <c r="F144" s="78">
        <v>22.03</v>
      </c>
      <c r="G144" s="40">
        <v>0.09</v>
      </c>
      <c r="H144" s="40">
        <f t="shared" si="48"/>
        <v>66.09</v>
      </c>
      <c r="I144" s="42"/>
      <c r="J144" s="147"/>
      <c r="K144" s="126">
        <f>SUM(K141:K142)</f>
        <v>603.97</v>
      </c>
    </row>
    <row r="145" ht="19.5" customHeight="1">
      <c r="A145" s="124">
        <f t="shared" si="49"/>
        <v>8</v>
      </c>
      <c r="B145" s="315" t="s">
        <v>177</v>
      </c>
      <c r="C145" s="124" t="s">
        <v>103</v>
      </c>
      <c r="D145" s="78">
        <v>1.0</v>
      </c>
      <c r="E145" s="316">
        <v>3.0</v>
      </c>
      <c r="F145" s="78">
        <f t="shared" ref="F145:F150" si="50">F124</f>
        <v>3.95</v>
      </c>
      <c r="G145" s="40">
        <v>0.09</v>
      </c>
      <c r="H145" s="40">
        <f t="shared" si="48"/>
        <v>11.85</v>
      </c>
      <c r="I145" s="42"/>
      <c r="J145" s="147"/>
      <c r="K145" s="46"/>
    </row>
    <row r="146" ht="19.5" customHeight="1">
      <c r="A146" s="124">
        <f t="shared" si="49"/>
        <v>9</v>
      </c>
      <c r="B146" s="315" t="s">
        <v>177</v>
      </c>
      <c r="C146" s="124" t="s">
        <v>103</v>
      </c>
      <c r="D146" s="78">
        <v>1.0</v>
      </c>
      <c r="E146" s="316">
        <v>3.0</v>
      </c>
      <c r="F146" s="78">
        <f t="shared" si="50"/>
        <v>2.86</v>
      </c>
      <c r="G146" s="40">
        <v>0.09</v>
      </c>
      <c r="H146" s="40">
        <f t="shared" si="48"/>
        <v>8.58</v>
      </c>
      <c r="I146" s="42"/>
      <c r="J146" s="147"/>
      <c r="K146" s="46"/>
    </row>
    <row r="147" ht="19.5" customHeight="1">
      <c r="A147" s="124">
        <f t="shared" si="49"/>
        <v>10</v>
      </c>
      <c r="B147" s="315" t="s">
        <v>177</v>
      </c>
      <c r="C147" s="124" t="s">
        <v>103</v>
      </c>
      <c r="D147" s="78">
        <v>1.0</v>
      </c>
      <c r="E147" s="316">
        <v>3.0</v>
      </c>
      <c r="F147" s="78">
        <f t="shared" si="50"/>
        <v>18.07</v>
      </c>
      <c r="G147" s="40">
        <v>0.09</v>
      </c>
      <c r="H147" s="40">
        <f t="shared" si="48"/>
        <v>54.21</v>
      </c>
      <c r="I147" s="42"/>
      <c r="J147" s="147"/>
      <c r="K147" s="46"/>
    </row>
    <row r="148" ht="19.5" customHeight="1">
      <c r="A148" s="124">
        <f t="shared" si="49"/>
        <v>11</v>
      </c>
      <c r="B148" s="315" t="s">
        <v>177</v>
      </c>
      <c r="C148" s="124" t="s">
        <v>103</v>
      </c>
      <c r="D148" s="78">
        <v>1.0</v>
      </c>
      <c r="E148" s="316">
        <v>3.0</v>
      </c>
      <c r="F148" s="78">
        <f t="shared" si="50"/>
        <v>5.31</v>
      </c>
      <c r="G148" s="40">
        <v>0.09</v>
      </c>
      <c r="H148" s="40">
        <f t="shared" si="48"/>
        <v>15.93</v>
      </c>
      <c r="I148" s="42"/>
      <c r="J148" s="147"/>
      <c r="K148" s="46"/>
    </row>
    <row r="149" ht="19.5" customHeight="1">
      <c r="A149" s="124">
        <f t="shared" si="49"/>
        <v>12</v>
      </c>
      <c r="B149" s="315" t="s">
        <v>177</v>
      </c>
      <c r="C149" s="317" t="s">
        <v>103</v>
      </c>
      <c r="D149" s="78">
        <v>1.0</v>
      </c>
      <c r="E149" s="316">
        <v>3.0</v>
      </c>
      <c r="F149" s="78">
        <f t="shared" si="50"/>
        <v>1.2</v>
      </c>
      <c r="G149" s="40">
        <v>0.09</v>
      </c>
      <c r="H149" s="40">
        <f t="shared" si="48"/>
        <v>3.6</v>
      </c>
      <c r="I149" s="93"/>
      <c r="J149" s="147"/>
      <c r="K149" s="79"/>
    </row>
    <row r="150" ht="19.5" customHeight="1">
      <c r="A150" s="124">
        <f t="shared" si="49"/>
        <v>13</v>
      </c>
      <c r="B150" s="315" t="s">
        <v>177</v>
      </c>
      <c r="C150" s="317" t="s">
        <v>103</v>
      </c>
      <c r="D150" s="78">
        <v>1.0</v>
      </c>
      <c r="E150" s="316">
        <v>3.0</v>
      </c>
      <c r="F150" s="78">
        <f t="shared" si="50"/>
        <v>1.94</v>
      </c>
      <c r="G150" s="40">
        <v>0.09</v>
      </c>
      <c r="H150" s="40">
        <f t="shared" si="48"/>
        <v>5.82</v>
      </c>
      <c r="I150" s="93"/>
      <c r="J150" s="147"/>
      <c r="K150" s="132">
        <f>J138-K144</f>
        <v>-56.52</v>
      </c>
      <c r="L150" s="2" t="s">
        <v>918</v>
      </c>
    </row>
    <row r="151" ht="19.5" customHeight="1">
      <c r="A151" s="79"/>
      <c r="B151" s="95"/>
      <c r="C151" s="79"/>
      <c r="D151" s="92"/>
      <c r="E151" s="37"/>
      <c r="F151" s="78"/>
      <c r="G151" s="40"/>
      <c r="H151" s="59"/>
      <c r="I151" s="93"/>
      <c r="J151" s="32"/>
      <c r="K151" s="79"/>
    </row>
    <row r="152" ht="19.5" customHeight="1">
      <c r="A152" s="74" t="s">
        <v>1</v>
      </c>
      <c r="B152" s="74" t="s">
        <v>91</v>
      </c>
      <c r="C152" s="74" t="s">
        <v>92</v>
      </c>
      <c r="D152" s="76" t="s">
        <v>93</v>
      </c>
      <c r="E152" s="50" t="s">
        <v>97</v>
      </c>
      <c r="F152" s="53" t="s">
        <v>121</v>
      </c>
      <c r="G152" s="53" t="s">
        <v>99</v>
      </c>
      <c r="H152" s="75" t="s">
        <v>100</v>
      </c>
      <c r="I152" s="75" t="s">
        <v>101</v>
      </c>
      <c r="J152" s="76" t="s">
        <v>95</v>
      </c>
      <c r="K152" s="74" t="s">
        <v>96</v>
      </c>
    </row>
    <row r="153" ht="19.5" customHeight="1">
      <c r="A153" s="46">
        <v>1.0</v>
      </c>
      <c r="B153" s="37" t="s">
        <v>182</v>
      </c>
      <c r="C153" s="46" t="s">
        <v>103</v>
      </c>
      <c r="D153" s="78" t="str">
        <f>J132</f>
        <v/>
      </c>
      <c r="E153" s="37"/>
      <c r="F153" s="40"/>
      <c r="G153" s="40"/>
      <c r="H153" s="40" t="str">
        <f>D153</f>
        <v/>
      </c>
      <c r="I153" s="42"/>
      <c r="J153" s="43">
        <f>H153-I153</f>
        <v>0</v>
      </c>
      <c r="K153" s="46" t="s">
        <v>183</v>
      </c>
    </row>
    <row r="154" ht="19.5" customHeight="1">
      <c r="A154" s="74" t="s">
        <v>1</v>
      </c>
      <c r="B154" s="74" t="s">
        <v>91</v>
      </c>
      <c r="C154" s="74" t="s">
        <v>92</v>
      </c>
      <c r="D154" s="76" t="s">
        <v>93</v>
      </c>
      <c r="E154" s="50" t="s">
        <v>187</v>
      </c>
      <c r="F154" s="53"/>
      <c r="G154" s="53" t="s">
        <v>353</v>
      </c>
      <c r="H154" s="75" t="s">
        <v>100</v>
      </c>
      <c r="I154" s="75" t="s">
        <v>101</v>
      </c>
      <c r="J154" s="76" t="s">
        <v>95</v>
      </c>
      <c r="K154" s="74" t="s">
        <v>96</v>
      </c>
    </row>
    <row r="155" ht="19.5" customHeight="1">
      <c r="A155" s="46">
        <v>1.0</v>
      </c>
      <c r="B155" s="37" t="s">
        <v>354</v>
      </c>
      <c r="C155" s="46" t="s">
        <v>158</v>
      </c>
      <c r="D155" s="78" t="str">
        <f>J48</f>
        <v/>
      </c>
      <c r="E155" s="37">
        <v>80.0</v>
      </c>
      <c r="F155" s="40"/>
      <c r="G155" s="40">
        <f t="shared" ref="G155:G158" si="51">E155*D155</f>
        <v>0</v>
      </c>
      <c r="H155" s="40">
        <f t="shared" ref="H155:H158" si="52">E155*D155</f>
        <v>0</v>
      </c>
      <c r="I155" s="42"/>
      <c r="J155" s="107"/>
      <c r="K155" s="46" t="s">
        <v>355</v>
      </c>
    </row>
    <row r="156" ht="19.5" customHeight="1">
      <c r="A156" s="46">
        <v>2.0</v>
      </c>
      <c r="B156" s="37" t="s">
        <v>356</v>
      </c>
      <c r="C156" s="46" t="s">
        <v>158</v>
      </c>
      <c r="D156" s="78" t="str">
        <f>#REF!+J67</f>
        <v>#REF!</v>
      </c>
      <c r="E156" s="37">
        <v>90.0</v>
      </c>
      <c r="F156" s="40"/>
      <c r="G156" s="40" t="str">
        <f t="shared" si="51"/>
        <v>#REF!</v>
      </c>
      <c r="H156" s="40" t="str">
        <f t="shared" si="52"/>
        <v>#REF!</v>
      </c>
      <c r="I156" s="42"/>
      <c r="J156" s="121"/>
      <c r="K156" s="79"/>
    </row>
    <row r="157" ht="19.5" customHeight="1">
      <c r="A157" s="46">
        <v>3.0</v>
      </c>
      <c r="B157" s="37" t="s">
        <v>357</v>
      </c>
      <c r="C157" s="46" t="s">
        <v>158</v>
      </c>
      <c r="D157" s="78">
        <f>J117+J48</f>
        <v>4.09815</v>
      </c>
      <c r="E157" s="37">
        <v>100.0</v>
      </c>
      <c r="F157" s="40"/>
      <c r="G157" s="40">
        <f t="shared" si="51"/>
        <v>409.815</v>
      </c>
      <c r="H157" s="40">
        <f t="shared" si="52"/>
        <v>409.815</v>
      </c>
      <c r="I157" s="42"/>
      <c r="J157" s="121"/>
      <c r="K157" s="79"/>
    </row>
    <row r="158" ht="19.5" customHeight="1">
      <c r="A158" s="46">
        <v>4.0</v>
      </c>
      <c r="B158" s="37" t="s">
        <v>358</v>
      </c>
      <c r="C158" s="46" t="s">
        <v>158</v>
      </c>
      <c r="D158" s="78">
        <f>J132*0.15</f>
        <v>0</v>
      </c>
      <c r="E158" s="37"/>
      <c r="F158" s="40"/>
      <c r="G158" s="40">
        <f t="shared" si="51"/>
        <v>0</v>
      </c>
      <c r="H158" s="40">
        <f t="shared" si="52"/>
        <v>0</v>
      </c>
      <c r="I158" s="42"/>
      <c r="J158" s="96" t="str">
        <f>SUM(H155:H158)</f>
        <v>#REF!</v>
      </c>
      <c r="K158" s="79"/>
    </row>
    <row r="159" ht="19.5" customHeight="1">
      <c r="A159" s="74" t="s">
        <v>1</v>
      </c>
      <c r="B159" s="74" t="s">
        <v>91</v>
      </c>
      <c r="C159" s="74" t="s">
        <v>92</v>
      </c>
      <c r="D159" s="76" t="s">
        <v>93</v>
      </c>
      <c r="E159" s="50" t="s">
        <v>97</v>
      </c>
      <c r="F159" s="53" t="s">
        <v>121</v>
      </c>
      <c r="G159" s="53" t="s">
        <v>99</v>
      </c>
      <c r="H159" s="75" t="s">
        <v>100</v>
      </c>
      <c r="I159" s="75" t="s">
        <v>101</v>
      </c>
      <c r="J159" s="76" t="s">
        <v>95</v>
      </c>
      <c r="K159" s="74" t="s">
        <v>96</v>
      </c>
    </row>
    <row r="160" ht="19.5" customHeight="1">
      <c r="A160" s="46">
        <v>1.0</v>
      </c>
      <c r="B160" s="318" t="s">
        <v>919</v>
      </c>
      <c r="C160" s="46" t="s">
        <v>108</v>
      </c>
      <c r="D160" s="78">
        <v>2.0</v>
      </c>
      <c r="E160" s="37"/>
      <c r="F160" s="40">
        <f>F138</f>
        <v>10.23</v>
      </c>
      <c r="G160" s="40">
        <f>F139</f>
        <v>9.16</v>
      </c>
      <c r="H160" s="40">
        <f t="shared" ref="H160:H161" si="53">(G160+F160)*D160</f>
        <v>38.78</v>
      </c>
      <c r="I160" s="42"/>
      <c r="J160" s="77"/>
      <c r="K160" s="145" t="s">
        <v>920</v>
      </c>
    </row>
    <row r="161" ht="19.5" customHeight="1">
      <c r="A161" s="46">
        <v>2.0</v>
      </c>
      <c r="B161" s="318" t="s">
        <v>921</v>
      </c>
      <c r="C161" s="46" t="s">
        <v>108</v>
      </c>
      <c r="D161" s="319">
        <v>4.0</v>
      </c>
      <c r="E161" s="37"/>
      <c r="F161" s="40">
        <f>F138</f>
        <v>10.23</v>
      </c>
      <c r="G161" s="40">
        <f>G160</f>
        <v>9.16</v>
      </c>
      <c r="H161" s="40">
        <f t="shared" si="53"/>
        <v>77.56</v>
      </c>
      <c r="I161" s="42"/>
      <c r="J161" s="43">
        <f>H161+H160</f>
        <v>116.34</v>
      </c>
      <c r="K161" s="46" t="s">
        <v>186</v>
      </c>
    </row>
    <row r="162" ht="19.5" customHeight="1">
      <c r="A162" s="74" t="s">
        <v>1</v>
      </c>
      <c r="B162" s="74" t="s">
        <v>91</v>
      </c>
      <c r="C162" s="74" t="s">
        <v>92</v>
      </c>
      <c r="D162" s="76" t="s">
        <v>93</v>
      </c>
      <c r="E162" s="50" t="s">
        <v>187</v>
      </c>
      <c r="F162" s="53" t="s">
        <v>99</v>
      </c>
      <c r="G162" s="53" t="s">
        <v>121</v>
      </c>
      <c r="H162" s="75" t="s">
        <v>100</v>
      </c>
      <c r="I162" s="75" t="s">
        <v>101</v>
      </c>
      <c r="J162" s="76" t="s">
        <v>95</v>
      </c>
      <c r="K162" s="74" t="s">
        <v>96</v>
      </c>
    </row>
    <row r="163" ht="19.5" customHeight="1">
      <c r="A163" s="46">
        <v>1.0</v>
      </c>
      <c r="B163" s="315" t="s">
        <v>188</v>
      </c>
      <c r="C163" s="46" t="s">
        <v>103</v>
      </c>
      <c r="D163" s="78">
        <v>1.0</v>
      </c>
      <c r="E163" s="37">
        <v>12.0</v>
      </c>
      <c r="F163" s="40">
        <f>G160</f>
        <v>9.16</v>
      </c>
      <c r="G163" s="40">
        <f>F117</f>
        <v>10.23</v>
      </c>
      <c r="H163" s="40">
        <f>G163*F163</f>
        <v>93.7068</v>
      </c>
      <c r="I163" s="42"/>
      <c r="J163" s="43">
        <f>H163-I163</f>
        <v>93.7068</v>
      </c>
      <c r="K163" s="124" t="s">
        <v>359</v>
      </c>
    </row>
    <row r="164" ht="19.5" customHeight="1">
      <c r="A164" s="74" t="s">
        <v>1</v>
      </c>
      <c r="B164" s="74" t="s">
        <v>91</v>
      </c>
      <c r="C164" s="74" t="s">
        <v>92</v>
      </c>
      <c r="D164" s="76" t="s">
        <v>93</v>
      </c>
      <c r="E164" s="50" t="s">
        <v>187</v>
      </c>
      <c r="F164" s="53" t="s">
        <v>99</v>
      </c>
      <c r="G164" s="53" t="s">
        <v>121</v>
      </c>
      <c r="H164" s="75" t="s">
        <v>100</v>
      </c>
      <c r="I164" s="75" t="s">
        <v>101</v>
      </c>
      <c r="J164" s="76" t="s">
        <v>95</v>
      </c>
      <c r="K164" s="74" t="s">
        <v>96</v>
      </c>
    </row>
    <row r="165" ht="19.5" customHeight="1">
      <c r="A165" s="46">
        <v>1.0</v>
      </c>
      <c r="B165" s="315" t="s">
        <v>189</v>
      </c>
      <c r="C165" s="46" t="s">
        <v>103</v>
      </c>
      <c r="D165" s="78">
        <v>1.0</v>
      </c>
      <c r="E165" s="37">
        <v>6.0</v>
      </c>
      <c r="F165" s="40">
        <f t="shared" ref="F165:G165" si="54">F163</f>
        <v>9.16</v>
      </c>
      <c r="G165" s="40">
        <f t="shared" si="54"/>
        <v>10.23</v>
      </c>
      <c r="H165" s="40">
        <f>G165*F165</f>
        <v>93.7068</v>
      </c>
      <c r="I165" s="42"/>
      <c r="J165" s="43">
        <f>H165-I165</f>
        <v>93.7068</v>
      </c>
      <c r="K165" s="46"/>
    </row>
    <row r="166" ht="19.5" customHeight="1">
      <c r="A166" s="74" t="s">
        <v>1</v>
      </c>
      <c r="B166" s="74" t="s">
        <v>91</v>
      </c>
      <c r="C166" s="74" t="s">
        <v>92</v>
      </c>
      <c r="D166" s="76" t="s">
        <v>93</v>
      </c>
      <c r="E166" s="50" t="s">
        <v>99</v>
      </c>
      <c r="F166" s="53" t="s">
        <v>121</v>
      </c>
      <c r="G166" s="53" t="s">
        <v>97</v>
      </c>
      <c r="H166" s="75" t="s">
        <v>100</v>
      </c>
      <c r="I166" s="75" t="s">
        <v>101</v>
      </c>
      <c r="J166" s="76" t="s">
        <v>95</v>
      </c>
      <c r="K166" s="74" t="s">
        <v>96</v>
      </c>
    </row>
    <row r="167" ht="19.5" customHeight="1">
      <c r="A167" s="46">
        <v>1.0</v>
      </c>
      <c r="B167" s="320" t="s">
        <v>922</v>
      </c>
      <c r="C167" s="46" t="s">
        <v>103</v>
      </c>
      <c r="D167" s="78">
        <v>1.0</v>
      </c>
      <c r="E167" s="37">
        <v>1.2</v>
      </c>
      <c r="F167" s="40">
        <f>F161</f>
        <v>10.23</v>
      </c>
      <c r="G167" s="40"/>
      <c r="H167" s="40">
        <f>F167*E167*D167</f>
        <v>12.276</v>
      </c>
      <c r="I167" s="42"/>
      <c r="J167" s="43">
        <f>H167-I167</f>
        <v>12.276</v>
      </c>
      <c r="K167" s="126">
        <f>F167*2+3*4</f>
        <v>32.46</v>
      </c>
    </row>
    <row r="168" ht="19.5" customHeight="1">
      <c r="A168" s="74" t="s">
        <v>1</v>
      </c>
      <c r="B168" s="74" t="s">
        <v>91</v>
      </c>
      <c r="C168" s="74" t="s">
        <v>92</v>
      </c>
      <c r="D168" s="76" t="s">
        <v>93</v>
      </c>
      <c r="E168" s="50" t="s">
        <v>193</v>
      </c>
      <c r="F168" s="53" t="s">
        <v>121</v>
      </c>
      <c r="G168" s="53" t="s">
        <v>194</v>
      </c>
      <c r="H168" s="75" t="s">
        <v>100</v>
      </c>
      <c r="I168" s="75" t="s">
        <v>101</v>
      </c>
      <c r="J168" s="76" t="s">
        <v>95</v>
      </c>
      <c r="K168" s="74" t="s">
        <v>96</v>
      </c>
    </row>
    <row r="169" ht="19.5" customHeight="1">
      <c r="A169" s="46">
        <v>1.0</v>
      </c>
      <c r="B169" s="37" t="s">
        <v>361</v>
      </c>
      <c r="C169" s="46" t="s">
        <v>103</v>
      </c>
      <c r="D169" s="78"/>
      <c r="E169" s="37"/>
      <c r="F169" s="40"/>
      <c r="G169" s="40"/>
      <c r="H169" s="40"/>
      <c r="I169" s="42"/>
      <c r="J169" s="107"/>
      <c r="K169" s="46"/>
    </row>
    <row r="170" ht="19.5" customHeight="1">
      <c r="A170" s="46">
        <f t="shared" ref="A170:A183" si="55">A169+1</f>
        <v>2</v>
      </c>
      <c r="B170" s="37" t="s">
        <v>923</v>
      </c>
      <c r="C170" s="46" t="s">
        <v>103</v>
      </c>
      <c r="D170" s="78">
        <v>1.0</v>
      </c>
      <c r="E170" s="37">
        <v>48.0</v>
      </c>
      <c r="F170" s="40"/>
      <c r="G170" s="40"/>
      <c r="H170" s="40">
        <f>E170*D170</f>
        <v>48</v>
      </c>
      <c r="I170" s="42"/>
      <c r="J170" s="43">
        <f>H170-I170</f>
        <v>48</v>
      </c>
      <c r="K170" s="321" t="s">
        <v>924</v>
      </c>
    </row>
    <row r="171" ht="19.5" customHeight="1">
      <c r="A171" s="46">
        <f t="shared" si="55"/>
        <v>3</v>
      </c>
      <c r="B171" s="37" t="s">
        <v>362</v>
      </c>
      <c r="C171" s="46" t="s">
        <v>103</v>
      </c>
      <c r="D171" s="78">
        <f t="shared" ref="D171:D183" si="56">D117</f>
        <v>3</v>
      </c>
      <c r="E171" s="37">
        <v>0.8</v>
      </c>
      <c r="F171" s="40">
        <f t="shared" ref="F171:F183" si="57">F103</f>
        <v>10.23</v>
      </c>
      <c r="G171" s="40"/>
      <c r="H171" s="40">
        <f t="shared" ref="H171:H183" si="58">F171*E171*D171</f>
        <v>24.552</v>
      </c>
      <c r="I171" s="42"/>
      <c r="J171" s="264">
        <f>SUM(H171:H183)</f>
        <v>93.672</v>
      </c>
      <c r="K171" s="322" t="s">
        <v>925</v>
      </c>
    </row>
    <row r="172" ht="19.5" customHeight="1">
      <c r="A172" s="46">
        <f t="shared" si="55"/>
        <v>4</v>
      </c>
      <c r="B172" s="37" t="s">
        <v>362</v>
      </c>
      <c r="C172" s="46" t="s">
        <v>103</v>
      </c>
      <c r="D172" s="78">
        <f t="shared" si="56"/>
        <v>1</v>
      </c>
      <c r="E172" s="37">
        <v>0.8</v>
      </c>
      <c r="F172" s="40">
        <f t="shared" si="57"/>
        <v>9.16</v>
      </c>
      <c r="G172" s="40"/>
      <c r="H172" s="40">
        <f t="shared" si="58"/>
        <v>7.328</v>
      </c>
      <c r="I172" s="42"/>
      <c r="J172" s="147"/>
      <c r="K172" s="322" t="s">
        <v>926</v>
      </c>
    </row>
    <row r="173" ht="19.5" customHeight="1">
      <c r="A173" s="46">
        <f t="shared" si="55"/>
        <v>5</v>
      </c>
      <c r="B173" s="37" t="s">
        <v>362</v>
      </c>
      <c r="C173" s="46" t="s">
        <v>103</v>
      </c>
      <c r="D173" s="78">
        <f t="shared" si="56"/>
        <v>1</v>
      </c>
      <c r="E173" s="37">
        <v>0.8</v>
      </c>
      <c r="F173" s="40">
        <f t="shared" si="57"/>
        <v>2.01</v>
      </c>
      <c r="G173" s="40"/>
      <c r="H173" s="40">
        <f t="shared" si="58"/>
        <v>1.608</v>
      </c>
      <c r="I173" s="42"/>
      <c r="J173" s="147"/>
      <c r="K173" s="79"/>
    </row>
    <row r="174" ht="19.5" customHeight="1">
      <c r="A174" s="46">
        <f t="shared" si="55"/>
        <v>6</v>
      </c>
      <c r="B174" s="37" t="s">
        <v>362</v>
      </c>
      <c r="C174" s="46" t="s">
        <v>103</v>
      </c>
      <c r="D174" s="78">
        <f t="shared" si="56"/>
        <v>2</v>
      </c>
      <c r="E174" s="37">
        <v>0.8</v>
      </c>
      <c r="F174" s="40">
        <f t="shared" si="57"/>
        <v>8</v>
      </c>
      <c r="G174" s="40"/>
      <c r="H174" s="40">
        <f t="shared" si="58"/>
        <v>12.8</v>
      </c>
      <c r="I174" s="42"/>
      <c r="J174" s="147"/>
      <c r="K174" s="79"/>
    </row>
    <row r="175" ht="19.5" customHeight="1">
      <c r="A175" s="46">
        <f t="shared" si="55"/>
        <v>7</v>
      </c>
      <c r="B175" s="37" t="s">
        <v>362</v>
      </c>
      <c r="C175" s="46" t="s">
        <v>103</v>
      </c>
      <c r="D175" s="78">
        <f t="shared" si="56"/>
        <v>1</v>
      </c>
      <c r="E175" s="37">
        <v>0.8</v>
      </c>
      <c r="F175" s="40">
        <f t="shared" si="57"/>
        <v>10.23</v>
      </c>
      <c r="G175" s="40"/>
      <c r="H175" s="40">
        <f t="shared" si="58"/>
        <v>8.184</v>
      </c>
      <c r="I175" s="42"/>
      <c r="J175" s="147"/>
      <c r="K175" s="79"/>
    </row>
    <row r="176" ht="19.5" customHeight="1">
      <c r="A176" s="46">
        <f t="shared" si="55"/>
        <v>8</v>
      </c>
      <c r="B176" s="37" t="s">
        <v>362</v>
      </c>
      <c r="C176" s="46" t="s">
        <v>103</v>
      </c>
      <c r="D176" s="78">
        <f t="shared" si="56"/>
        <v>1</v>
      </c>
      <c r="E176" s="37">
        <v>0.8</v>
      </c>
      <c r="F176" s="40">
        <f t="shared" si="57"/>
        <v>9.16</v>
      </c>
      <c r="G176" s="40"/>
      <c r="H176" s="40">
        <f t="shared" si="58"/>
        <v>7.328</v>
      </c>
      <c r="I176" s="42"/>
      <c r="J176" s="147"/>
      <c r="K176" s="79"/>
    </row>
    <row r="177" ht="19.5" customHeight="1">
      <c r="A177" s="46">
        <f t="shared" si="55"/>
        <v>9</v>
      </c>
      <c r="B177" s="37" t="s">
        <v>362</v>
      </c>
      <c r="C177" s="46" t="s">
        <v>103</v>
      </c>
      <c r="D177" s="78">
        <f t="shared" si="56"/>
        <v>1</v>
      </c>
      <c r="E177" s="37">
        <v>0.8</v>
      </c>
      <c r="F177" s="40">
        <f t="shared" si="57"/>
        <v>6.51</v>
      </c>
      <c r="G177" s="40"/>
      <c r="H177" s="40">
        <f t="shared" si="58"/>
        <v>5.208</v>
      </c>
      <c r="I177" s="42"/>
      <c r="J177" s="147"/>
      <c r="K177" s="79"/>
    </row>
    <row r="178" ht="19.5" customHeight="1">
      <c r="A178" s="46">
        <f t="shared" si="55"/>
        <v>10</v>
      </c>
      <c r="B178" s="37" t="s">
        <v>362</v>
      </c>
      <c r="C178" s="46" t="s">
        <v>103</v>
      </c>
      <c r="D178" s="78">
        <f t="shared" si="56"/>
        <v>1</v>
      </c>
      <c r="E178" s="37">
        <v>0.8</v>
      </c>
      <c r="F178" s="40">
        <f t="shared" si="57"/>
        <v>3.95</v>
      </c>
      <c r="G178" s="40"/>
      <c r="H178" s="40">
        <f t="shared" si="58"/>
        <v>3.16</v>
      </c>
      <c r="I178" s="42"/>
      <c r="J178" s="147"/>
      <c r="K178" s="79"/>
    </row>
    <row r="179" ht="19.5" customHeight="1">
      <c r="A179" s="46">
        <f t="shared" si="55"/>
        <v>11</v>
      </c>
      <c r="B179" s="37" t="s">
        <v>362</v>
      </c>
      <c r="C179" s="46" t="s">
        <v>103</v>
      </c>
      <c r="D179" s="78">
        <f t="shared" si="56"/>
        <v>1</v>
      </c>
      <c r="E179" s="37">
        <v>0.8</v>
      </c>
      <c r="F179" s="40">
        <f t="shared" si="57"/>
        <v>2.86</v>
      </c>
      <c r="G179" s="40"/>
      <c r="H179" s="40">
        <f t="shared" si="58"/>
        <v>2.288</v>
      </c>
      <c r="I179" s="42"/>
      <c r="J179" s="147"/>
      <c r="K179" s="322" t="s">
        <v>927</v>
      </c>
    </row>
    <row r="180" ht="19.5" customHeight="1">
      <c r="A180" s="46">
        <f t="shared" si="55"/>
        <v>12</v>
      </c>
      <c r="B180" s="37" t="s">
        <v>362</v>
      </c>
      <c r="C180" s="46" t="s">
        <v>103</v>
      </c>
      <c r="D180" s="78">
        <f t="shared" si="56"/>
        <v>1</v>
      </c>
      <c r="E180" s="37">
        <v>0.8</v>
      </c>
      <c r="F180" s="40">
        <f t="shared" si="57"/>
        <v>18.07</v>
      </c>
      <c r="G180" s="40"/>
      <c r="H180" s="40">
        <f t="shared" si="58"/>
        <v>14.456</v>
      </c>
      <c r="I180" s="42"/>
      <c r="J180" s="147"/>
      <c r="K180" s="79"/>
    </row>
    <row r="181" ht="19.5" customHeight="1">
      <c r="A181" s="46">
        <f t="shared" si="55"/>
        <v>13</v>
      </c>
      <c r="B181" s="37" t="s">
        <v>362</v>
      </c>
      <c r="C181" s="46" t="s">
        <v>103</v>
      </c>
      <c r="D181" s="78">
        <f t="shared" si="56"/>
        <v>1</v>
      </c>
      <c r="E181" s="37">
        <v>0.8</v>
      </c>
      <c r="F181" s="40">
        <f t="shared" si="57"/>
        <v>5.31</v>
      </c>
      <c r="G181" s="40"/>
      <c r="H181" s="40">
        <f t="shared" si="58"/>
        <v>4.248</v>
      </c>
      <c r="I181" s="42"/>
      <c r="J181" s="147"/>
      <c r="K181" s="79"/>
    </row>
    <row r="182" ht="19.5" customHeight="1">
      <c r="A182" s="46">
        <f t="shared" si="55"/>
        <v>14</v>
      </c>
      <c r="B182" s="37" t="s">
        <v>362</v>
      </c>
      <c r="C182" s="46" t="s">
        <v>103</v>
      </c>
      <c r="D182" s="78">
        <f t="shared" si="56"/>
        <v>1</v>
      </c>
      <c r="E182" s="37">
        <v>0.8</v>
      </c>
      <c r="F182" s="40">
        <f t="shared" si="57"/>
        <v>1.2</v>
      </c>
      <c r="G182" s="40"/>
      <c r="H182" s="40">
        <f t="shared" si="58"/>
        <v>0.96</v>
      </c>
      <c r="I182" s="42"/>
      <c r="J182" s="147"/>
      <c r="K182" s="79"/>
    </row>
    <row r="183" ht="19.5" customHeight="1">
      <c r="A183" s="46">
        <f t="shared" si="55"/>
        <v>15</v>
      </c>
      <c r="B183" s="37" t="s">
        <v>362</v>
      </c>
      <c r="C183" s="46" t="s">
        <v>103</v>
      </c>
      <c r="D183" s="78">
        <f t="shared" si="56"/>
        <v>1</v>
      </c>
      <c r="E183" s="37">
        <v>0.8</v>
      </c>
      <c r="F183" s="40">
        <f t="shared" si="57"/>
        <v>1.94</v>
      </c>
      <c r="G183" s="40"/>
      <c r="H183" s="40">
        <f t="shared" si="58"/>
        <v>1.552</v>
      </c>
      <c r="I183" s="42"/>
      <c r="J183" s="32"/>
      <c r="K183" s="79"/>
    </row>
    <row r="184" ht="19.5" customHeight="1">
      <c r="A184" s="74" t="s">
        <v>1</v>
      </c>
      <c r="B184" s="74" t="s">
        <v>91</v>
      </c>
      <c r="C184" s="74" t="s">
        <v>92</v>
      </c>
      <c r="D184" s="76" t="s">
        <v>93</v>
      </c>
      <c r="E184" s="50" t="s">
        <v>161</v>
      </c>
      <c r="F184" s="52" t="s">
        <v>928</v>
      </c>
      <c r="G184" s="52" t="s">
        <v>929</v>
      </c>
      <c r="H184" s="75" t="s">
        <v>100</v>
      </c>
      <c r="I184" s="75" t="s">
        <v>101</v>
      </c>
      <c r="J184" s="76" t="s">
        <v>95</v>
      </c>
      <c r="K184" s="74" t="s">
        <v>96</v>
      </c>
    </row>
    <row r="185" ht="19.5" customHeight="1">
      <c r="A185" s="46">
        <v>1.0</v>
      </c>
      <c r="B185" s="37" t="s">
        <v>930</v>
      </c>
      <c r="C185" s="46" t="s">
        <v>103</v>
      </c>
      <c r="D185" s="78">
        <v>1.0</v>
      </c>
      <c r="E185" s="37"/>
      <c r="F185" s="40"/>
      <c r="G185" s="40"/>
      <c r="H185" s="40">
        <v>337.96</v>
      </c>
      <c r="I185" s="42"/>
      <c r="J185" s="43">
        <f t="shared" ref="J185:J186" si="59">H185-I185</f>
        <v>337.96</v>
      </c>
      <c r="K185" s="46"/>
    </row>
    <row r="186" ht="19.5" customHeight="1">
      <c r="A186" s="46">
        <v>2.0</v>
      </c>
      <c r="B186" s="37" t="s">
        <v>197</v>
      </c>
      <c r="C186" s="46" t="s">
        <v>103</v>
      </c>
      <c r="D186" s="78">
        <f>D163</f>
        <v>1</v>
      </c>
      <c r="E186" s="37"/>
      <c r="F186" s="40"/>
      <c r="G186" s="40"/>
      <c r="H186" s="40">
        <v>273.3</v>
      </c>
      <c r="I186" s="42"/>
      <c r="J186" s="43">
        <f t="shared" si="59"/>
        <v>273.3</v>
      </c>
      <c r="K186" s="46"/>
    </row>
    <row r="187" ht="19.5" customHeight="1">
      <c r="A187" s="79"/>
      <c r="B187" s="323" t="s">
        <v>931</v>
      </c>
      <c r="C187" s="324"/>
      <c r="D187" s="325"/>
      <c r="E187" s="320"/>
      <c r="F187" s="326">
        <v>201.53</v>
      </c>
      <c r="G187" s="326">
        <v>62.35</v>
      </c>
      <c r="H187" s="59">
        <f t="shared" ref="H187:H208" si="60">G187*3</f>
        <v>187.05</v>
      </c>
      <c r="I187" s="82"/>
      <c r="J187" s="143"/>
      <c r="K187" s="79"/>
    </row>
    <row r="188" ht="19.5" customHeight="1">
      <c r="A188" s="79"/>
      <c r="B188" s="323" t="s">
        <v>932</v>
      </c>
      <c r="C188" s="324"/>
      <c r="D188" s="325"/>
      <c r="E188" s="320"/>
      <c r="F188" s="326">
        <f>70.4+19</f>
        <v>89.4</v>
      </c>
      <c r="G188" s="326">
        <f>36.6+22.45</f>
        <v>59.05</v>
      </c>
      <c r="H188" s="59">
        <f t="shared" si="60"/>
        <v>177.15</v>
      </c>
      <c r="I188" s="82"/>
      <c r="J188" s="143"/>
      <c r="K188" s="79"/>
    </row>
    <row r="189" ht="19.5" customHeight="1">
      <c r="A189" s="79"/>
      <c r="B189" s="323" t="s">
        <v>933</v>
      </c>
      <c r="C189" s="324"/>
      <c r="D189" s="325"/>
      <c r="E189" s="320"/>
      <c r="F189" s="326">
        <v>3.5</v>
      </c>
      <c r="G189" s="326">
        <v>7.5</v>
      </c>
      <c r="H189" s="59">
        <f t="shared" si="60"/>
        <v>22.5</v>
      </c>
      <c r="I189" s="82"/>
      <c r="J189" s="143"/>
      <c r="K189" s="79"/>
    </row>
    <row r="190" ht="19.5" customHeight="1">
      <c r="A190" s="79"/>
      <c r="B190" s="323" t="s">
        <v>934</v>
      </c>
      <c r="C190" s="324"/>
      <c r="D190" s="325"/>
      <c r="E190" s="320"/>
      <c r="F190" s="326">
        <v>3.2</v>
      </c>
      <c r="G190" s="326">
        <v>7.2</v>
      </c>
      <c r="H190" s="59">
        <f t="shared" si="60"/>
        <v>21.6</v>
      </c>
      <c r="I190" s="82"/>
      <c r="J190" s="143"/>
      <c r="K190" s="79"/>
    </row>
    <row r="191" ht="19.5" customHeight="1">
      <c r="A191" s="79"/>
      <c r="B191" s="323" t="s">
        <v>935</v>
      </c>
      <c r="C191" s="324"/>
      <c r="D191" s="325"/>
      <c r="E191" s="320"/>
      <c r="F191" s="326">
        <v>17.24</v>
      </c>
      <c r="G191" s="326">
        <v>16.85</v>
      </c>
      <c r="H191" s="59">
        <f t="shared" si="60"/>
        <v>50.55</v>
      </c>
      <c r="I191" s="82"/>
      <c r="J191" s="143"/>
      <c r="K191" s="79"/>
    </row>
    <row r="192" ht="19.5" customHeight="1">
      <c r="A192" s="79"/>
      <c r="B192" s="323" t="s">
        <v>936</v>
      </c>
      <c r="C192" s="324"/>
      <c r="D192" s="325"/>
      <c r="E192" s="320"/>
      <c r="F192" s="326">
        <v>10.06</v>
      </c>
      <c r="G192" s="326">
        <v>12.75</v>
      </c>
      <c r="H192" s="59">
        <f t="shared" si="60"/>
        <v>38.25</v>
      </c>
      <c r="I192" s="82"/>
      <c r="J192" s="143"/>
      <c r="K192" s="79"/>
    </row>
    <row r="193" ht="19.5" customHeight="1">
      <c r="A193" s="79"/>
      <c r="B193" s="323" t="s">
        <v>937</v>
      </c>
      <c r="C193" s="324"/>
      <c r="D193" s="325"/>
      <c r="E193" s="320"/>
      <c r="F193" s="326">
        <v>21.2</v>
      </c>
      <c r="G193" s="326">
        <v>21.3</v>
      </c>
      <c r="H193" s="59">
        <f t="shared" si="60"/>
        <v>63.9</v>
      </c>
      <c r="I193" s="82"/>
      <c r="J193" s="143"/>
      <c r="K193" s="79"/>
    </row>
    <row r="194" ht="19.5" customHeight="1">
      <c r="A194" s="79"/>
      <c r="B194" s="323" t="s">
        <v>938</v>
      </c>
      <c r="C194" s="324"/>
      <c r="D194" s="325"/>
      <c r="E194" s="320"/>
      <c r="F194" s="326">
        <v>12.25</v>
      </c>
      <c r="G194" s="326">
        <v>14.0</v>
      </c>
      <c r="H194" s="59">
        <f t="shared" si="60"/>
        <v>42</v>
      </c>
      <c r="I194" s="82"/>
      <c r="J194" s="143"/>
      <c r="K194" s="79"/>
    </row>
    <row r="195" ht="19.5" customHeight="1">
      <c r="A195" s="79"/>
      <c r="B195" s="323" t="s">
        <v>939</v>
      </c>
      <c r="C195" s="324"/>
      <c r="D195" s="325"/>
      <c r="E195" s="320"/>
      <c r="F195" s="326">
        <v>14.31</v>
      </c>
      <c r="G195" s="326">
        <v>16.05</v>
      </c>
      <c r="H195" s="59">
        <f t="shared" si="60"/>
        <v>48.15</v>
      </c>
      <c r="I195" s="82"/>
      <c r="J195" s="143"/>
      <c r="K195" s="79"/>
    </row>
    <row r="196" ht="19.5" customHeight="1">
      <c r="A196" s="79"/>
      <c r="B196" s="323" t="s">
        <v>940</v>
      </c>
      <c r="C196" s="324"/>
      <c r="D196" s="325"/>
      <c r="E196" s="320"/>
      <c r="F196" s="326">
        <v>7.9</v>
      </c>
      <c r="G196" s="326">
        <v>11.9</v>
      </c>
      <c r="H196" s="59">
        <f t="shared" si="60"/>
        <v>35.7</v>
      </c>
      <c r="I196" s="82"/>
      <c r="J196" s="143"/>
      <c r="K196" s="79"/>
    </row>
    <row r="197" ht="19.5" customHeight="1">
      <c r="A197" s="79"/>
      <c r="B197" s="323" t="s">
        <v>941</v>
      </c>
      <c r="C197" s="324"/>
      <c r="D197" s="325"/>
      <c r="E197" s="320"/>
      <c r="F197" s="326">
        <v>7.0</v>
      </c>
      <c r="G197" s="326">
        <v>11.45</v>
      </c>
      <c r="H197" s="59">
        <f t="shared" si="60"/>
        <v>34.35</v>
      </c>
      <c r="I197" s="82"/>
      <c r="J197" s="143"/>
      <c r="K197" s="79"/>
    </row>
    <row r="198" ht="19.5" customHeight="1">
      <c r="A198" s="79"/>
      <c r="B198" s="323" t="s">
        <v>942</v>
      </c>
      <c r="C198" s="324"/>
      <c r="D198" s="325"/>
      <c r="E198" s="320"/>
      <c r="F198" s="326">
        <v>7.26</v>
      </c>
      <c r="G198" s="326">
        <v>11.55</v>
      </c>
      <c r="H198" s="59">
        <f t="shared" si="60"/>
        <v>34.65</v>
      </c>
      <c r="I198" s="82"/>
      <c r="J198" s="143"/>
      <c r="K198" s="79"/>
    </row>
    <row r="199" ht="19.5" customHeight="1">
      <c r="A199" s="79"/>
      <c r="B199" s="323" t="s">
        <v>943</v>
      </c>
      <c r="C199" s="324"/>
      <c r="D199" s="325"/>
      <c r="E199" s="320"/>
      <c r="F199" s="326">
        <v>17.86</v>
      </c>
      <c r="G199" s="326">
        <v>17.9</v>
      </c>
      <c r="H199" s="59">
        <f t="shared" si="60"/>
        <v>53.7</v>
      </c>
      <c r="I199" s="82"/>
      <c r="J199" s="143"/>
      <c r="K199" s="79"/>
    </row>
    <row r="200" ht="19.5" customHeight="1">
      <c r="A200" s="79"/>
      <c r="B200" s="323" t="s">
        <v>944</v>
      </c>
      <c r="C200" s="324"/>
      <c r="D200" s="325"/>
      <c r="E200" s="320"/>
      <c r="F200" s="326">
        <v>10.12</v>
      </c>
      <c r="G200" s="326">
        <v>12.8</v>
      </c>
      <c r="H200" s="59">
        <f t="shared" si="60"/>
        <v>38.4</v>
      </c>
      <c r="I200" s="82"/>
      <c r="J200" s="143"/>
      <c r="K200" s="79"/>
    </row>
    <row r="201" ht="19.5" customHeight="1">
      <c r="A201" s="79"/>
      <c r="B201" s="323" t="s">
        <v>945</v>
      </c>
      <c r="C201" s="324"/>
      <c r="D201" s="325"/>
      <c r="E201" s="320"/>
      <c r="F201" s="326">
        <v>82.82</v>
      </c>
      <c r="G201" s="326">
        <v>46.33</v>
      </c>
      <c r="H201" s="59">
        <f t="shared" si="60"/>
        <v>138.99</v>
      </c>
      <c r="I201" s="82"/>
      <c r="J201" s="143"/>
      <c r="K201" s="79"/>
    </row>
    <row r="202" ht="19.5" customHeight="1">
      <c r="A202" s="79"/>
      <c r="B202" s="323" t="s">
        <v>946</v>
      </c>
      <c r="C202" s="324"/>
      <c r="D202" s="325"/>
      <c r="E202" s="320"/>
      <c r="F202" s="326">
        <v>21.88</v>
      </c>
      <c r="G202" s="326">
        <v>20.45</v>
      </c>
      <c r="H202" s="59">
        <f t="shared" si="60"/>
        <v>61.35</v>
      </c>
      <c r="I202" s="82"/>
      <c r="J202" s="143"/>
      <c r="K202" s="79"/>
    </row>
    <row r="203" ht="19.5" customHeight="1">
      <c r="A203" s="79"/>
      <c r="B203" s="323" t="s">
        <v>933</v>
      </c>
      <c r="C203" s="324"/>
      <c r="D203" s="325"/>
      <c r="E203" s="320"/>
      <c r="F203" s="326">
        <v>2.9</v>
      </c>
      <c r="G203" s="326">
        <v>6.87</v>
      </c>
      <c r="H203" s="59">
        <f t="shared" si="60"/>
        <v>20.61</v>
      </c>
      <c r="I203" s="82"/>
      <c r="J203" s="143"/>
      <c r="K203" s="79"/>
    </row>
    <row r="204" ht="19.5" customHeight="1">
      <c r="A204" s="79"/>
      <c r="B204" s="323" t="s">
        <v>947</v>
      </c>
      <c r="C204" s="324"/>
      <c r="D204" s="325"/>
      <c r="E204" s="320"/>
      <c r="F204" s="326">
        <v>13.2</v>
      </c>
      <c r="G204" s="326">
        <v>14.7</v>
      </c>
      <c r="H204" s="59">
        <f t="shared" si="60"/>
        <v>44.1</v>
      </c>
      <c r="I204" s="82"/>
      <c r="J204" s="143"/>
      <c r="K204" s="79"/>
    </row>
    <row r="205" ht="19.5" customHeight="1">
      <c r="A205" s="79"/>
      <c r="B205" s="323" t="s">
        <v>948</v>
      </c>
      <c r="C205" s="324"/>
      <c r="D205" s="325"/>
      <c r="E205" s="320"/>
      <c r="F205" s="326">
        <v>12.66</v>
      </c>
      <c r="G205" s="326">
        <v>14.4</v>
      </c>
      <c r="H205" s="59">
        <f t="shared" si="60"/>
        <v>43.2</v>
      </c>
      <c r="I205" s="82"/>
      <c r="J205" s="143"/>
      <c r="K205" s="79"/>
    </row>
    <row r="206" ht="19.5" customHeight="1">
      <c r="A206" s="79"/>
      <c r="B206" s="323" t="s">
        <v>949</v>
      </c>
      <c r="C206" s="324"/>
      <c r="D206" s="325"/>
      <c r="E206" s="320"/>
      <c r="F206" s="326">
        <v>9.0</v>
      </c>
      <c r="G206" s="326">
        <v>12.03</v>
      </c>
      <c r="H206" s="59">
        <f t="shared" si="60"/>
        <v>36.09</v>
      </c>
      <c r="I206" s="82"/>
      <c r="J206" s="143"/>
      <c r="K206" s="79"/>
    </row>
    <row r="207" ht="19.5" customHeight="1">
      <c r="A207" s="79"/>
      <c r="B207" s="323" t="s">
        <v>950</v>
      </c>
      <c r="C207" s="324"/>
      <c r="D207" s="325"/>
      <c r="E207" s="320"/>
      <c r="F207" s="326">
        <v>19.6</v>
      </c>
      <c r="G207" s="326">
        <v>18.85</v>
      </c>
      <c r="H207" s="59">
        <f t="shared" si="60"/>
        <v>56.55</v>
      </c>
      <c r="I207" s="82"/>
      <c r="J207" s="143"/>
      <c r="K207" s="79"/>
    </row>
    <row r="208" ht="19.5" customHeight="1">
      <c r="A208" s="79"/>
      <c r="B208" s="323" t="s">
        <v>951</v>
      </c>
      <c r="C208" s="324"/>
      <c r="D208" s="325"/>
      <c r="E208" s="320"/>
      <c r="F208" s="326">
        <v>19.6</v>
      </c>
      <c r="G208" s="326">
        <v>18.85</v>
      </c>
      <c r="H208" s="59">
        <f t="shared" si="60"/>
        <v>56.55</v>
      </c>
      <c r="I208" s="82"/>
      <c r="J208" s="143"/>
      <c r="K208" s="79"/>
    </row>
    <row r="209" ht="19.5" customHeight="1">
      <c r="A209" s="79"/>
      <c r="B209" s="114"/>
      <c r="C209" s="79"/>
      <c r="D209" s="122"/>
      <c r="E209" s="37"/>
      <c r="F209" s="40"/>
      <c r="G209" s="40"/>
      <c r="H209" s="59"/>
      <c r="I209" s="82"/>
      <c r="J209" s="143"/>
      <c r="K209" s="79"/>
    </row>
    <row r="210" ht="19.5" customHeight="1">
      <c r="A210" s="74" t="s">
        <v>1</v>
      </c>
      <c r="B210" s="74" t="s">
        <v>91</v>
      </c>
      <c r="C210" s="74" t="s">
        <v>92</v>
      </c>
      <c r="D210" s="76" t="s">
        <v>93</v>
      </c>
      <c r="E210" s="50" t="s">
        <v>97</v>
      </c>
      <c r="F210" s="53" t="s">
        <v>121</v>
      </c>
      <c r="G210" s="53" t="s">
        <v>198</v>
      </c>
      <c r="H210" s="75" t="s">
        <v>100</v>
      </c>
      <c r="I210" s="75" t="s">
        <v>101</v>
      </c>
      <c r="J210" s="76" t="s">
        <v>95</v>
      </c>
      <c r="K210" s="74" t="s">
        <v>96</v>
      </c>
    </row>
    <row r="211" ht="19.5" customHeight="1">
      <c r="A211" s="46">
        <v>1.0</v>
      </c>
      <c r="B211" s="37" t="s">
        <v>363</v>
      </c>
      <c r="C211" s="46" t="s">
        <v>103</v>
      </c>
      <c r="D211" s="78">
        <f t="shared" ref="D211:F211" si="61">D138</f>
        <v>3</v>
      </c>
      <c r="E211" s="40">
        <f t="shared" si="61"/>
        <v>5</v>
      </c>
      <c r="F211" s="78">
        <f t="shared" si="61"/>
        <v>10.23</v>
      </c>
      <c r="G211" s="40">
        <v>2.0</v>
      </c>
      <c r="H211" s="40">
        <f t="shared" ref="H211:H223" si="63">G211*F211*E211*D211</f>
        <v>306.9</v>
      </c>
      <c r="I211" s="42">
        <v>60.0</v>
      </c>
      <c r="J211" s="40"/>
      <c r="K211" s="145" t="s">
        <v>952</v>
      </c>
    </row>
    <row r="212" ht="19.5" customHeight="1">
      <c r="A212" s="46">
        <f t="shared" ref="A212:A223" si="64">A211+1</f>
        <v>2</v>
      </c>
      <c r="B212" s="37" t="s">
        <v>363</v>
      </c>
      <c r="C212" s="46" t="s">
        <v>103</v>
      </c>
      <c r="D212" s="78">
        <f t="shared" ref="D212:F212" si="62">D139</f>
        <v>2</v>
      </c>
      <c r="E212" s="40">
        <f t="shared" si="62"/>
        <v>5</v>
      </c>
      <c r="F212" s="78">
        <f t="shared" si="62"/>
        <v>9.16</v>
      </c>
      <c r="G212" s="40">
        <v>2.0</v>
      </c>
      <c r="H212" s="40">
        <f t="shared" si="63"/>
        <v>183.2</v>
      </c>
      <c r="I212" s="42"/>
      <c r="J212" s="40"/>
      <c r="K212" s="46"/>
    </row>
    <row r="213" ht="19.5" customHeight="1">
      <c r="A213" s="46">
        <f t="shared" si="64"/>
        <v>3</v>
      </c>
      <c r="B213" s="37" t="s">
        <v>363</v>
      </c>
      <c r="C213" s="46" t="s">
        <v>103</v>
      </c>
      <c r="D213" s="78">
        <f t="shared" ref="D213:F213" si="65">D140</f>
        <v>5</v>
      </c>
      <c r="E213" s="40">
        <f t="shared" si="65"/>
        <v>3</v>
      </c>
      <c r="F213" s="78">
        <f t="shared" si="65"/>
        <v>2.01</v>
      </c>
      <c r="G213" s="40">
        <v>2.0</v>
      </c>
      <c r="H213" s="40">
        <f t="shared" si="63"/>
        <v>60.3</v>
      </c>
      <c r="I213" s="42"/>
      <c r="J213" s="40"/>
      <c r="K213" s="46"/>
    </row>
    <row r="214" ht="19.5" customHeight="1">
      <c r="A214" s="46">
        <f t="shared" si="64"/>
        <v>4</v>
      </c>
      <c r="B214" s="37" t="s">
        <v>363</v>
      </c>
      <c r="C214" s="46" t="s">
        <v>103</v>
      </c>
      <c r="D214" s="78">
        <f t="shared" ref="D214:F214" si="66">D141</f>
        <v>2</v>
      </c>
      <c r="E214" s="40">
        <f t="shared" si="66"/>
        <v>3</v>
      </c>
      <c r="F214" s="78">
        <f t="shared" si="66"/>
        <v>8</v>
      </c>
      <c r="G214" s="40">
        <v>2.0</v>
      </c>
      <c r="H214" s="40">
        <f t="shared" si="63"/>
        <v>96</v>
      </c>
      <c r="I214" s="42"/>
      <c r="J214" s="40"/>
      <c r="K214" s="46"/>
    </row>
    <row r="215" ht="19.5" customHeight="1">
      <c r="A215" s="46">
        <f t="shared" si="64"/>
        <v>5</v>
      </c>
      <c r="B215" s="37" t="s">
        <v>363</v>
      </c>
      <c r="C215" s="46" t="s">
        <v>103</v>
      </c>
      <c r="D215" s="78">
        <f t="shared" ref="D215:F215" si="67">D142</f>
        <v>1</v>
      </c>
      <c r="E215" s="40">
        <f t="shared" si="67"/>
        <v>3</v>
      </c>
      <c r="F215" s="78">
        <f t="shared" si="67"/>
        <v>10.23</v>
      </c>
      <c r="G215" s="40">
        <v>2.0</v>
      </c>
      <c r="H215" s="40">
        <f t="shared" si="63"/>
        <v>61.38</v>
      </c>
      <c r="I215" s="42"/>
      <c r="J215" s="40"/>
      <c r="K215" s="46"/>
    </row>
    <row r="216" ht="19.5" customHeight="1">
      <c r="A216" s="46">
        <f t="shared" si="64"/>
        <v>6</v>
      </c>
      <c r="B216" s="37" t="s">
        <v>363</v>
      </c>
      <c r="C216" s="46" t="s">
        <v>103</v>
      </c>
      <c r="D216" s="78">
        <f t="shared" ref="D216:F216" si="68">D143</f>
        <v>1</v>
      </c>
      <c r="E216" s="40">
        <f t="shared" si="68"/>
        <v>3</v>
      </c>
      <c r="F216" s="78">
        <f t="shared" si="68"/>
        <v>9.16</v>
      </c>
      <c r="G216" s="40">
        <v>2.0</v>
      </c>
      <c r="H216" s="40">
        <f t="shared" si="63"/>
        <v>54.96</v>
      </c>
      <c r="I216" s="42"/>
      <c r="J216" s="40"/>
      <c r="K216" s="46"/>
    </row>
    <row r="217" ht="19.5" customHeight="1">
      <c r="A217" s="46">
        <f t="shared" si="64"/>
        <v>7</v>
      </c>
      <c r="B217" s="37" t="s">
        <v>363</v>
      </c>
      <c r="C217" s="46" t="s">
        <v>103</v>
      </c>
      <c r="D217" s="78">
        <f t="shared" ref="D217:F217" si="69">D144</f>
        <v>1</v>
      </c>
      <c r="E217" s="40">
        <f t="shared" si="69"/>
        <v>3</v>
      </c>
      <c r="F217" s="78">
        <f t="shared" si="69"/>
        <v>22.03</v>
      </c>
      <c r="G217" s="40">
        <v>2.0</v>
      </c>
      <c r="H217" s="40">
        <f t="shared" si="63"/>
        <v>132.18</v>
      </c>
      <c r="I217" s="42"/>
      <c r="J217" s="40"/>
      <c r="K217" s="46"/>
    </row>
    <row r="218" ht="19.5" customHeight="1">
      <c r="A218" s="46">
        <f t="shared" si="64"/>
        <v>8</v>
      </c>
      <c r="B218" s="37" t="s">
        <v>363</v>
      </c>
      <c r="C218" s="46" t="s">
        <v>103</v>
      </c>
      <c r="D218" s="78">
        <f t="shared" ref="D218:F218" si="70">D145</f>
        <v>1</v>
      </c>
      <c r="E218" s="40">
        <f t="shared" si="70"/>
        <v>3</v>
      </c>
      <c r="F218" s="78">
        <f t="shared" si="70"/>
        <v>3.95</v>
      </c>
      <c r="G218" s="40">
        <v>2.0</v>
      </c>
      <c r="H218" s="40">
        <f t="shared" si="63"/>
        <v>23.7</v>
      </c>
      <c r="I218" s="42"/>
      <c r="J218" s="40"/>
      <c r="K218" s="46"/>
    </row>
    <row r="219" ht="19.5" customHeight="1">
      <c r="A219" s="46">
        <f t="shared" si="64"/>
        <v>9</v>
      </c>
      <c r="B219" s="37" t="s">
        <v>363</v>
      </c>
      <c r="C219" s="46" t="s">
        <v>103</v>
      </c>
      <c r="D219" s="78">
        <f t="shared" ref="D219:F219" si="71">D146</f>
        <v>1</v>
      </c>
      <c r="E219" s="40">
        <f t="shared" si="71"/>
        <v>3</v>
      </c>
      <c r="F219" s="78">
        <f t="shared" si="71"/>
        <v>2.86</v>
      </c>
      <c r="G219" s="40">
        <v>2.0</v>
      </c>
      <c r="H219" s="40">
        <f t="shared" si="63"/>
        <v>17.16</v>
      </c>
      <c r="I219" s="42"/>
      <c r="J219" s="40"/>
      <c r="K219" s="46"/>
    </row>
    <row r="220" ht="19.5" customHeight="1">
      <c r="A220" s="46">
        <f t="shared" si="64"/>
        <v>10</v>
      </c>
      <c r="B220" s="37" t="s">
        <v>363</v>
      </c>
      <c r="C220" s="46" t="s">
        <v>103</v>
      </c>
      <c r="D220" s="78">
        <f t="shared" ref="D220:F220" si="72">D147</f>
        <v>1</v>
      </c>
      <c r="E220" s="40">
        <f t="shared" si="72"/>
        <v>3</v>
      </c>
      <c r="F220" s="78">
        <f t="shared" si="72"/>
        <v>18.07</v>
      </c>
      <c r="G220" s="40">
        <v>2.0</v>
      </c>
      <c r="H220" s="40">
        <f t="shared" si="63"/>
        <v>108.42</v>
      </c>
      <c r="I220" s="42"/>
      <c r="J220" s="40"/>
      <c r="K220" s="46"/>
    </row>
    <row r="221" ht="19.5" customHeight="1">
      <c r="A221" s="46">
        <f t="shared" si="64"/>
        <v>11</v>
      </c>
      <c r="B221" s="37" t="s">
        <v>363</v>
      </c>
      <c r="C221" s="46" t="s">
        <v>103</v>
      </c>
      <c r="D221" s="78">
        <f t="shared" ref="D221:F221" si="73">D148</f>
        <v>1</v>
      </c>
      <c r="E221" s="40">
        <f t="shared" si="73"/>
        <v>3</v>
      </c>
      <c r="F221" s="78">
        <f t="shared" si="73"/>
        <v>5.31</v>
      </c>
      <c r="G221" s="40">
        <v>2.0</v>
      </c>
      <c r="H221" s="40">
        <f t="shared" si="63"/>
        <v>31.86</v>
      </c>
      <c r="I221" s="42"/>
      <c r="J221" s="40"/>
      <c r="K221" s="79"/>
    </row>
    <row r="222" ht="19.5" customHeight="1">
      <c r="A222" s="46">
        <f t="shared" si="64"/>
        <v>12</v>
      </c>
      <c r="B222" s="37" t="s">
        <v>363</v>
      </c>
      <c r="C222" s="46" t="s">
        <v>103</v>
      </c>
      <c r="D222" s="78">
        <f t="shared" ref="D222:F222" si="74">D149</f>
        <v>1</v>
      </c>
      <c r="E222" s="40">
        <f t="shared" si="74"/>
        <v>3</v>
      </c>
      <c r="F222" s="78">
        <f t="shared" si="74"/>
        <v>1.2</v>
      </c>
      <c r="G222" s="40">
        <v>2.0</v>
      </c>
      <c r="H222" s="40">
        <f t="shared" si="63"/>
        <v>7.2</v>
      </c>
      <c r="I222" s="42"/>
      <c r="J222" s="40"/>
      <c r="K222" s="79"/>
    </row>
    <row r="223" ht="19.5" customHeight="1">
      <c r="A223" s="46">
        <f t="shared" si="64"/>
        <v>13</v>
      </c>
      <c r="B223" s="37" t="s">
        <v>363</v>
      </c>
      <c r="C223" s="46" t="s">
        <v>103</v>
      </c>
      <c r="D223" s="78">
        <f t="shared" ref="D223:F223" si="75">D150</f>
        <v>1</v>
      </c>
      <c r="E223" s="40">
        <f t="shared" si="75"/>
        <v>3</v>
      </c>
      <c r="F223" s="78">
        <f t="shared" si="75"/>
        <v>1.94</v>
      </c>
      <c r="G223" s="40">
        <v>2.0</v>
      </c>
      <c r="H223" s="40">
        <f t="shared" si="63"/>
        <v>11.64</v>
      </c>
      <c r="I223" s="42"/>
      <c r="J223" s="40"/>
      <c r="K223" s="79"/>
    </row>
    <row r="224" ht="19.5" customHeight="1">
      <c r="A224" s="79"/>
      <c r="B224" s="95"/>
      <c r="C224" s="79"/>
      <c r="D224" s="92"/>
      <c r="E224" s="40"/>
      <c r="F224" s="78"/>
      <c r="G224" s="40"/>
      <c r="H224" s="59"/>
      <c r="I224" s="93"/>
      <c r="J224" s="96">
        <f>SUM(H211:H223)-I211</f>
        <v>1034.9</v>
      </c>
      <c r="K224" s="79"/>
    </row>
    <row r="225" ht="19.5" customHeight="1">
      <c r="A225" s="74" t="s">
        <v>1</v>
      </c>
      <c r="B225" s="74" t="s">
        <v>91</v>
      </c>
      <c r="C225" s="74" t="s">
        <v>92</v>
      </c>
      <c r="D225" s="76" t="s">
        <v>93</v>
      </c>
      <c r="E225" s="50" t="s">
        <v>97</v>
      </c>
      <c r="F225" s="53" t="s">
        <v>121</v>
      </c>
      <c r="G225" s="53" t="s">
        <v>198</v>
      </c>
      <c r="H225" s="75" t="s">
        <v>100</v>
      </c>
      <c r="I225" s="75" t="s">
        <v>101</v>
      </c>
      <c r="J225" s="76" t="s">
        <v>95</v>
      </c>
      <c r="K225" s="74" t="s">
        <v>96</v>
      </c>
    </row>
    <row r="226" ht="19.5" customHeight="1">
      <c r="A226" s="46">
        <v>1.0</v>
      </c>
      <c r="B226" s="37" t="s">
        <v>204</v>
      </c>
      <c r="C226" s="46" t="s">
        <v>103</v>
      </c>
      <c r="D226" s="78">
        <f t="shared" ref="D226:G226" si="76">D211</f>
        <v>3</v>
      </c>
      <c r="E226" s="40">
        <f t="shared" si="76"/>
        <v>5</v>
      </c>
      <c r="F226" s="78">
        <f t="shared" si="76"/>
        <v>10.23</v>
      </c>
      <c r="G226" s="40">
        <f t="shared" si="76"/>
        <v>2</v>
      </c>
      <c r="H226" s="40">
        <f t="shared" ref="H226:H238" si="78">G226*F226*E226*D226</f>
        <v>306.9</v>
      </c>
      <c r="I226" s="42">
        <v>120.0</v>
      </c>
      <c r="J226" s="40"/>
      <c r="K226" s="145" t="s">
        <v>952</v>
      </c>
    </row>
    <row r="227" ht="19.5" customHeight="1">
      <c r="A227" s="46">
        <f t="shared" ref="A227:A238" si="79">A226+1</f>
        <v>2</v>
      </c>
      <c r="B227" s="37" t="s">
        <v>204</v>
      </c>
      <c r="C227" s="46" t="s">
        <v>103</v>
      </c>
      <c r="D227" s="78">
        <f t="shared" ref="D227:G227" si="77">D212</f>
        <v>2</v>
      </c>
      <c r="E227" s="40">
        <f t="shared" si="77"/>
        <v>5</v>
      </c>
      <c r="F227" s="78">
        <f t="shared" si="77"/>
        <v>9.16</v>
      </c>
      <c r="G227" s="40">
        <f t="shared" si="77"/>
        <v>2</v>
      </c>
      <c r="H227" s="40">
        <f t="shared" si="78"/>
        <v>183.2</v>
      </c>
      <c r="I227" s="42"/>
      <c r="J227" s="40"/>
      <c r="K227" s="46"/>
    </row>
    <row r="228" ht="19.5" customHeight="1">
      <c r="A228" s="46">
        <f t="shared" si="79"/>
        <v>3</v>
      </c>
      <c r="B228" s="37" t="s">
        <v>204</v>
      </c>
      <c r="C228" s="46" t="s">
        <v>103</v>
      </c>
      <c r="D228" s="78">
        <f t="shared" ref="D228:G228" si="80">D213</f>
        <v>5</v>
      </c>
      <c r="E228" s="40">
        <f t="shared" si="80"/>
        <v>3</v>
      </c>
      <c r="F228" s="78">
        <f t="shared" si="80"/>
        <v>2.01</v>
      </c>
      <c r="G228" s="40">
        <f t="shared" si="80"/>
        <v>2</v>
      </c>
      <c r="H228" s="40">
        <f t="shared" si="78"/>
        <v>60.3</v>
      </c>
      <c r="I228" s="42"/>
      <c r="J228" s="40"/>
      <c r="K228" s="46"/>
    </row>
    <row r="229" ht="19.5" customHeight="1">
      <c r="A229" s="46">
        <f t="shared" si="79"/>
        <v>4</v>
      </c>
      <c r="B229" s="37" t="s">
        <v>204</v>
      </c>
      <c r="C229" s="46" t="s">
        <v>103</v>
      </c>
      <c r="D229" s="78">
        <f t="shared" ref="D229:G229" si="81">D214</f>
        <v>2</v>
      </c>
      <c r="E229" s="40">
        <f t="shared" si="81"/>
        <v>3</v>
      </c>
      <c r="F229" s="78">
        <f t="shared" si="81"/>
        <v>8</v>
      </c>
      <c r="G229" s="40">
        <f t="shared" si="81"/>
        <v>2</v>
      </c>
      <c r="H229" s="40">
        <f t="shared" si="78"/>
        <v>96</v>
      </c>
      <c r="I229" s="42"/>
      <c r="J229" s="40"/>
      <c r="K229" s="46"/>
    </row>
    <row r="230" ht="19.5" customHeight="1">
      <c r="A230" s="46">
        <f t="shared" si="79"/>
        <v>5</v>
      </c>
      <c r="B230" s="37" t="s">
        <v>204</v>
      </c>
      <c r="C230" s="46" t="s">
        <v>103</v>
      </c>
      <c r="D230" s="78">
        <f t="shared" ref="D230:G230" si="82">D215</f>
        <v>1</v>
      </c>
      <c r="E230" s="40">
        <f t="shared" si="82"/>
        <v>3</v>
      </c>
      <c r="F230" s="78">
        <f t="shared" si="82"/>
        <v>10.23</v>
      </c>
      <c r="G230" s="40">
        <f t="shared" si="82"/>
        <v>2</v>
      </c>
      <c r="H230" s="40">
        <f t="shared" si="78"/>
        <v>61.38</v>
      </c>
      <c r="I230" s="42"/>
      <c r="J230" s="40"/>
      <c r="K230" s="46"/>
    </row>
    <row r="231" ht="19.5" customHeight="1">
      <c r="A231" s="46">
        <f t="shared" si="79"/>
        <v>6</v>
      </c>
      <c r="B231" s="37" t="s">
        <v>204</v>
      </c>
      <c r="C231" s="46" t="s">
        <v>103</v>
      </c>
      <c r="D231" s="78">
        <f t="shared" ref="D231:G231" si="83">D216</f>
        <v>1</v>
      </c>
      <c r="E231" s="40">
        <f t="shared" si="83"/>
        <v>3</v>
      </c>
      <c r="F231" s="78">
        <f t="shared" si="83"/>
        <v>9.16</v>
      </c>
      <c r="G231" s="40">
        <f t="shared" si="83"/>
        <v>2</v>
      </c>
      <c r="H231" s="40">
        <f t="shared" si="78"/>
        <v>54.96</v>
      </c>
      <c r="I231" s="42"/>
      <c r="J231" s="40"/>
      <c r="K231" s="46"/>
    </row>
    <row r="232" ht="19.5" customHeight="1">
      <c r="A232" s="46">
        <f t="shared" si="79"/>
        <v>7</v>
      </c>
      <c r="B232" s="37" t="s">
        <v>204</v>
      </c>
      <c r="C232" s="46" t="s">
        <v>103</v>
      </c>
      <c r="D232" s="78">
        <f t="shared" ref="D232:G232" si="84">D217</f>
        <v>1</v>
      </c>
      <c r="E232" s="40">
        <f t="shared" si="84"/>
        <v>3</v>
      </c>
      <c r="F232" s="78">
        <f t="shared" si="84"/>
        <v>22.03</v>
      </c>
      <c r="G232" s="40">
        <f t="shared" si="84"/>
        <v>2</v>
      </c>
      <c r="H232" s="40">
        <f t="shared" si="78"/>
        <v>132.18</v>
      </c>
      <c r="I232" s="42"/>
      <c r="J232" s="40"/>
      <c r="K232" s="46"/>
    </row>
    <row r="233" ht="19.5" customHeight="1">
      <c r="A233" s="46">
        <f t="shared" si="79"/>
        <v>8</v>
      </c>
      <c r="B233" s="37" t="s">
        <v>204</v>
      </c>
      <c r="C233" s="46" t="s">
        <v>103</v>
      </c>
      <c r="D233" s="78">
        <f t="shared" ref="D233:G233" si="85">D218</f>
        <v>1</v>
      </c>
      <c r="E233" s="40">
        <f t="shared" si="85"/>
        <v>3</v>
      </c>
      <c r="F233" s="78">
        <f t="shared" si="85"/>
        <v>3.95</v>
      </c>
      <c r="G233" s="40">
        <f t="shared" si="85"/>
        <v>2</v>
      </c>
      <c r="H233" s="40">
        <f t="shared" si="78"/>
        <v>23.7</v>
      </c>
      <c r="I233" s="42"/>
      <c r="J233" s="40"/>
      <c r="K233" s="46"/>
    </row>
    <row r="234" ht="19.5" customHeight="1">
      <c r="A234" s="46">
        <f t="shared" si="79"/>
        <v>9</v>
      </c>
      <c r="B234" s="37" t="s">
        <v>204</v>
      </c>
      <c r="C234" s="46" t="s">
        <v>103</v>
      </c>
      <c r="D234" s="78">
        <f t="shared" ref="D234:G234" si="86">D219</f>
        <v>1</v>
      </c>
      <c r="E234" s="40">
        <f t="shared" si="86"/>
        <v>3</v>
      </c>
      <c r="F234" s="78">
        <f t="shared" si="86"/>
        <v>2.86</v>
      </c>
      <c r="G234" s="40">
        <f t="shared" si="86"/>
        <v>2</v>
      </c>
      <c r="H234" s="40">
        <f t="shared" si="78"/>
        <v>17.16</v>
      </c>
      <c r="I234" s="42"/>
      <c r="J234" s="40"/>
      <c r="K234" s="46"/>
    </row>
    <row r="235" ht="19.5" customHeight="1">
      <c r="A235" s="46">
        <f t="shared" si="79"/>
        <v>10</v>
      </c>
      <c r="B235" s="37" t="s">
        <v>204</v>
      </c>
      <c r="C235" s="46" t="s">
        <v>103</v>
      </c>
      <c r="D235" s="78">
        <f t="shared" ref="D235:G235" si="87">D220</f>
        <v>1</v>
      </c>
      <c r="E235" s="40">
        <f t="shared" si="87"/>
        <v>3</v>
      </c>
      <c r="F235" s="78">
        <f t="shared" si="87"/>
        <v>18.07</v>
      </c>
      <c r="G235" s="40">
        <f t="shared" si="87"/>
        <v>2</v>
      </c>
      <c r="H235" s="40">
        <f t="shared" si="78"/>
        <v>108.42</v>
      </c>
      <c r="I235" s="42"/>
      <c r="J235" s="40"/>
      <c r="K235" s="46"/>
    </row>
    <row r="236" ht="19.5" customHeight="1">
      <c r="A236" s="46">
        <f t="shared" si="79"/>
        <v>11</v>
      </c>
      <c r="B236" s="37" t="s">
        <v>204</v>
      </c>
      <c r="C236" s="46" t="s">
        <v>103</v>
      </c>
      <c r="D236" s="78">
        <f t="shared" ref="D236:G236" si="88">D221</f>
        <v>1</v>
      </c>
      <c r="E236" s="40">
        <f t="shared" si="88"/>
        <v>3</v>
      </c>
      <c r="F236" s="78">
        <f t="shared" si="88"/>
        <v>5.31</v>
      </c>
      <c r="G236" s="40">
        <f t="shared" si="88"/>
        <v>2</v>
      </c>
      <c r="H236" s="40">
        <f t="shared" si="78"/>
        <v>31.86</v>
      </c>
      <c r="I236" s="42"/>
      <c r="J236" s="40"/>
      <c r="K236" s="46"/>
    </row>
    <row r="237" ht="19.5" customHeight="1">
      <c r="A237" s="46">
        <f t="shared" si="79"/>
        <v>12</v>
      </c>
      <c r="B237" s="37" t="s">
        <v>204</v>
      </c>
      <c r="C237" s="46" t="s">
        <v>103</v>
      </c>
      <c r="D237" s="78">
        <f t="shared" ref="D237:G237" si="89">D222</f>
        <v>1</v>
      </c>
      <c r="E237" s="40">
        <f t="shared" si="89"/>
        <v>3</v>
      </c>
      <c r="F237" s="78">
        <f t="shared" si="89"/>
        <v>1.2</v>
      </c>
      <c r="G237" s="40">
        <f t="shared" si="89"/>
        <v>2</v>
      </c>
      <c r="H237" s="40">
        <f t="shared" si="78"/>
        <v>7.2</v>
      </c>
      <c r="I237" s="42"/>
      <c r="J237" s="40"/>
      <c r="K237" s="46"/>
    </row>
    <row r="238" ht="19.5" customHeight="1">
      <c r="A238" s="46">
        <f t="shared" si="79"/>
        <v>13</v>
      </c>
      <c r="B238" s="37" t="s">
        <v>204</v>
      </c>
      <c r="C238" s="46" t="s">
        <v>103</v>
      </c>
      <c r="D238" s="78">
        <f t="shared" ref="D238:G238" si="90">D223</f>
        <v>1</v>
      </c>
      <c r="E238" s="40">
        <f t="shared" si="90"/>
        <v>3</v>
      </c>
      <c r="F238" s="78">
        <f t="shared" si="90"/>
        <v>1.94</v>
      </c>
      <c r="G238" s="40">
        <f t="shared" si="90"/>
        <v>2</v>
      </c>
      <c r="H238" s="40">
        <f t="shared" si="78"/>
        <v>11.64</v>
      </c>
      <c r="I238" s="42"/>
      <c r="J238" s="40"/>
      <c r="K238" s="46"/>
    </row>
    <row r="239" ht="19.5" customHeight="1">
      <c r="A239" s="46"/>
      <c r="B239" s="37"/>
      <c r="C239" s="79"/>
      <c r="D239" s="92"/>
      <c r="E239" s="37"/>
      <c r="F239" s="78"/>
      <c r="G239" s="40"/>
      <c r="H239" s="59"/>
      <c r="I239" s="93"/>
      <c r="J239" s="96">
        <f>SUM(H226:H238)-I226</f>
        <v>974.9</v>
      </c>
      <c r="K239" s="46"/>
    </row>
    <row r="240" ht="19.5" customHeight="1">
      <c r="A240" s="74" t="s">
        <v>1</v>
      </c>
      <c r="B240" s="74" t="s">
        <v>91</v>
      </c>
      <c r="C240" s="74" t="s">
        <v>92</v>
      </c>
      <c r="D240" s="76" t="s">
        <v>93</v>
      </c>
      <c r="E240" s="50" t="s">
        <v>97</v>
      </c>
      <c r="F240" s="53" t="s">
        <v>121</v>
      </c>
      <c r="G240" s="53" t="s">
        <v>198</v>
      </c>
      <c r="H240" s="75" t="s">
        <v>100</v>
      </c>
      <c r="I240" s="75" t="s">
        <v>101</v>
      </c>
      <c r="J240" s="76" t="s">
        <v>95</v>
      </c>
      <c r="K240" s="74" t="s">
        <v>96</v>
      </c>
    </row>
    <row r="241" ht="19.5" customHeight="1">
      <c r="A241" s="46">
        <v>1.0</v>
      </c>
      <c r="B241" s="37" t="s">
        <v>364</v>
      </c>
      <c r="C241" s="46" t="s">
        <v>103</v>
      </c>
      <c r="D241" s="78">
        <v>2.0</v>
      </c>
      <c r="E241" s="37">
        <v>5.0</v>
      </c>
      <c r="F241" s="78">
        <f>F211</f>
        <v>10.23</v>
      </c>
      <c r="G241" s="40"/>
      <c r="H241" s="40">
        <f t="shared" ref="H241:H242" si="91">F241*E241*D241</f>
        <v>102.3</v>
      </c>
      <c r="I241" s="42"/>
      <c r="J241" s="107"/>
      <c r="K241" s="145" t="s">
        <v>952</v>
      </c>
    </row>
    <row r="242" ht="19.5" customHeight="1">
      <c r="A242" s="46">
        <v>2.0</v>
      </c>
      <c r="B242" s="37" t="s">
        <v>364</v>
      </c>
      <c r="C242" s="46" t="s">
        <v>103</v>
      </c>
      <c r="D242" s="78">
        <v>2.0</v>
      </c>
      <c r="E242" s="37">
        <v>5.0</v>
      </c>
      <c r="F242" s="78">
        <f>F227</f>
        <v>9.16</v>
      </c>
      <c r="G242" s="40"/>
      <c r="H242" s="40">
        <f t="shared" si="91"/>
        <v>91.6</v>
      </c>
      <c r="I242" s="42"/>
      <c r="J242" s="107"/>
      <c r="K242" s="46"/>
    </row>
    <row r="243" ht="19.5" customHeight="1">
      <c r="A243" s="46">
        <v>3.0</v>
      </c>
      <c r="B243" s="37" t="s">
        <v>364</v>
      </c>
      <c r="C243" s="46" t="s">
        <v>103</v>
      </c>
      <c r="D243" s="78">
        <v>10.0</v>
      </c>
      <c r="E243" s="37">
        <v>1.7</v>
      </c>
      <c r="F243" s="78">
        <v>0.2</v>
      </c>
      <c r="G243" s="40">
        <v>4.0</v>
      </c>
      <c r="H243" s="40">
        <f>G243*F243*E243*D243</f>
        <v>13.6</v>
      </c>
      <c r="I243" s="42"/>
      <c r="J243" s="64">
        <f>SUM(H241:H243)-I241-I242</f>
        <v>207.5</v>
      </c>
      <c r="K243" s="46"/>
    </row>
    <row r="244" ht="19.5" customHeight="1">
      <c r="A244" s="46">
        <v>4.0</v>
      </c>
      <c r="B244" s="37" t="s">
        <v>208</v>
      </c>
      <c r="C244" s="46" t="s">
        <v>103</v>
      </c>
      <c r="D244" s="78"/>
      <c r="E244" s="37"/>
      <c r="F244" s="78"/>
      <c r="G244" s="40"/>
      <c r="H244" s="40"/>
      <c r="I244" s="42"/>
      <c r="J244" s="40"/>
      <c r="K244" s="46"/>
    </row>
    <row r="245" ht="19.5" customHeight="1">
      <c r="A245" s="46">
        <v>5.0</v>
      </c>
      <c r="B245" s="37" t="s">
        <v>208</v>
      </c>
      <c r="C245" s="46" t="s">
        <v>103</v>
      </c>
      <c r="D245" s="78"/>
      <c r="E245" s="37"/>
      <c r="F245" s="78"/>
      <c r="G245" s="40"/>
      <c r="H245" s="40"/>
      <c r="I245" s="42"/>
      <c r="J245" s="77"/>
      <c r="K245" s="46"/>
    </row>
    <row r="246" ht="19.5" customHeight="1">
      <c r="A246" s="46">
        <v>6.0</v>
      </c>
      <c r="B246" s="37" t="s">
        <v>208</v>
      </c>
      <c r="C246" s="46" t="s">
        <v>103</v>
      </c>
      <c r="D246" s="78"/>
      <c r="E246" s="37"/>
      <c r="F246" s="78"/>
      <c r="G246" s="40"/>
      <c r="H246" s="40"/>
      <c r="I246" s="93"/>
      <c r="J246" s="107"/>
      <c r="K246" s="79" t="s">
        <v>95</v>
      </c>
    </row>
    <row r="247" ht="19.5" customHeight="1">
      <c r="A247" s="46"/>
      <c r="B247" s="37"/>
      <c r="C247" s="46"/>
      <c r="D247" s="78"/>
      <c r="E247" s="37"/>
      <c r="F247" s="78"/>
      <c r="G247" s="40"/>
      <c r="H247" s="40"/>
      <c r="I247" s="93"/>
      <c r="J247" s="64">
        <f>J239-J243</f>
        <v>767.4</v>
      </c>
      <c r="K247" s="132">
        <f>J247+J242</f>
        <v>767.4</v>
      </c>
    </row>
    <row r="248" ht="19.5" customHeight="1">
      <c r="A248" s="74" t="s">
        <v>1</v>
      </c>
      <c r="B248" s="74" t="s">
        <v>91</v>
      </c>
      <c r="C248" s="74" t="s">
        <v>92</v>
      </c>
      <c r="D248" s="76" t="s">
        <v>93</v>
      </c>
      <c r="E248" s="50" t="s">
        <v>97</v>
      </c>
      <c r="F248" s="53" t="s">
        <v>194</v>
      </c>
      <c r="G248" s="53" t="s">
        <v>206</v>
      </c>
      <c r="H248" s="75" t="s">
        <v>100</v>
      </c>
      <c r="I248" s="75" t="s">
        <v>101</v>
      </c>
      <c r="J248" s="76" t="s">
        <v>95</v>
      </c>
      <c r="K248" s="74" t="s">
        <v>96</v>
      </c>
    </row>
    <row r="249" ht="19.5" customHeight="1">
      <c r="A249" s="46">
        <v>1.0</v>
      </c>
      <c r="B249" s="37" t="s">
        <v>365</v>
      </c>
      <c r="C249" s="46" t="s">
        <v>103</v>
      </c>
      <c r="D249" s="78">
        <v>1.0</v>
      </c>
      <c r="E249" s="37">
        <v>2.7</v>
      </c>
      <c r="F249" s="78">
        <v>58.0</v>
      </c>
      <c r="G249" s="40">
        <v>1.0</v>
      </c>
      <c r="H249" s="40">
        <f t="shared" ref="H249:H268" si="92">F249*E249*D249</f>
        <v>156.6</v>
      </c>
      <c r="I249" s="42">
        <v>40.0</v>
      </c>
      <c r="J249" s="327">
        <f>SUM(H249:H268)-I249</f>
        <v>780.125</v>
      </c>
      <c r="K249" s="145" t="s">
        <v>952</v>
      </c>
    </row>
    <row r="250" ht="19.5" customHeight="1">
      <c r="A250" s="46">
        <f t="shared" ref="A250:A268" si="93">A249+1</f>
        <v>2</v>
      </c>
      <c r="B250" s="37" t="s">
        <v>365</v>
      </c>
      <c r="C250" s="46" t="s">
        <v>103</v>
      </c>
      <c r="D250" s="78">
        <v>1.0</v>
      </c>
      <c r="E250" s="37">
        <v>2.7</v>
      </c>
      <c r="F250" s="78">
        <v>7.4</v>
      </c>
      <c r="G250" s="40">
        <v>1.0</v>
      </c>
      <c r="H250" s="40">
        <f t="shared" si="92"/>
        <v>19.98</v>
      </c>
      <c r="I250" s="42"/>
      <c r="J250" s="147"/>
      <c r="K250" s="46"/>
    </row>
    <row r="251" ht="19.5" customHeight="1">
      <c r="A251" s="46">
        <f t="shared" si="93"/>
        <v>3</v>
      </c>
      <c r="B251" s="37" t="s">
        <v>365</v>
      </c>
      <c r="C251" s="46" t="s">
        <v>103</v>
      </c>
      <c r="D251" s="78">
        <v>1.0</v>
      </c>
      <c r="E251" s="37">
        <v>2.7</v>
      </c>
      <c r="F251" s="78">
        <v>16.82</v>
      </c>
      <c r="G251" s="40">
        <v>1.0</v>
      </c>
      <c r="H251" s="40">
        <f t="shared" si="92"/>
        <v>45.414</v>
      </c>
      <c r="I251" s="42"/>
      <c r="J251" s="147"/>
      <c r="K251" s="46"/>
    </row>
    <row r="252" ht="19.5" customHeight="1">
      <c r="A252" s="46">
        <f t="shared" si="93"/>
        <v>4</v>
      </c>
      <c r="B252" s="37" t="s">
        <v>365</v>
      </c>
      <c r="C252" s="46" t="s">
        <v>103</v>
      </c>
      <c r="D252" s="78">
        <v>1.0</v>
      </c>
      <c r="E252" s="37">
        <v>2.7</v>
      </c>
      <c r="F252" s="78">
        <v>7.14</v>
      </c>
      <c r="G252" s="40">
        <v>1.0</v>
      </c>
      <c r="H252" s="40">
        <f t="shared" si="92"/>
        <v>19.278</v>
      </c>
      <c r="I252" s="42"/>
      <c r="J252" s="147"/>
      <c r="K252" s="46"/>
    </row>
    <row r="253" ht="19.5" customHeight="1">
      <c r="A253" s="46">
        <f t="shared" si="93"/>
        <v>5</v>
      </c>
      <c r="B253" s="37" t="s">
        <v>365</v>
      </c>
      <c r="C253" s="46" t="s">
        <v>103</v>
      </c>
      <c r="D253" s="78">
        <v>1.0</v>
      </c>
      <c r="E253" s="37">
        <v>2.7</v>
      </c>
      <c r="F253" s="78">
        <v>12.65</v>
      </c>
      <c r="G253" s="40">
        <v>1.0</v>
      </c>
      <c r="H253" s="40">
        <f t="shared" si="92"/>
        <v>34.155</v>
      </c>
      <c r="I253" s="42"/>
      <c r="J253" s="147"/>
      <c r="K253" s="46"/>
    </row>
    <row r="254" ht="19.5" customHeight="1">
      <c r="A254" s="46">
        <f t="shared" si="93"/>
        <v>6</v>
      </c>
      <c r="B254" s="37" t="s">
        <v>365</v>
      </c>
      <c r="C254" s="46" t="s">
        <v>103</v>
      </c>
      <c r="D254" s="78">
        <v>1.0</v>
      </c>
      <c r="E254" s="37">
        <v>2.7</v>
      </c>
      <c r="F254" s="78">
        <v>14.0</v>
      </c>
      <c r="G254" s="40">
        <v>1.0</v>
      </c>
      <c r="H254" s="40">
        <f t="shared" si="92"/>
        <v>37.8</v>
      </c>
      <c r="I254" s="42"/>
      <c r="J254" s="147"/>
      <c r="K254" s="46"/>
    </row>
    <row r="255" ht="19.5" customHeight="1">
      <c r="A255" s="46">
        <f t="shared" si="93"/>
        <v>7</v>
      </c>
      <c r="B255" s="37" t="s">
        <v>365</v>
      </c>
      <c r="C255" s="46" t="s">
        <v>103</v>
      </c>
      <c r="D255" s="78">
        <v>1.0</v>
      </c>
      <c r="E255" s="37">
        <v>2.7</v>
      </c>
      <c r="F255" s="78">
        <v>11.9</v>
      </c>
      <c r="G255" s="40">
        <v>1.0</v>
      </c>
      <c r="H255" s="40">
        <f t="shared" si="92"/>
        <v>32.13</v>
      </c>
      <c r="I255" s="42"/>
      <c r="J255" s="147"/>
      <c r="K255" s="46"/>
    </row>
    <row r="256" ht="19.5" customHeight="1">
      <c r="A256" s="46">
        <f t="shared" si="93"/>
        <v>8</v>
      </c>
      <c r="B256" s="37" t="s">
        <v>365</v>
      </c>
      <c r="C256" s="46" t="s">
        <v>103</v>
      </c>
      <c r="D256" s="78">
        <v>1.0</v>
      </c>
      <c r="E256" s="37">
        <v>2.7</v>
      </c>
      <c r="F256" s="78">
        <v>11.44</v>
      </c>
      <c r="G256" s="40">
        <v>1.0</v>
      </c>
      <c r="H256" s="40">
        <f t="shared" si="92"/>
        <v>30.888</v>
      </c>
      <c r="I256" s="42"/>
      <c r="J256" s="147"/>
      <c r="K256" s="46"/>
    </row>
    <row r="257" ht="19.5" customHeight="1">
      <c r="A257" s="46">
        <f t="shared" si="93"/>
        <v>9</v>
      </c>
      <c r="B257" s="37" t="s">
        <v>365</v>
      </c>
      <c r="C257" s="46" t="s">
        <v>103</v>
      </c>
      <c r="D257" s="78">
        <v>1.0</v>
      </c>
      <c r="E257" s="37">
        <v>2.7</v>
      </c>
      <c r="F257" s="78">
        <v>17.9</v>
      </c>
      <c r="G257" s="40">
        <v>1.0</v>
      </c>
      <c r="H257" s="40">
        <f t="shared" si="92"/>
        <v>48.33</v>
      </c>
      <c r="I257" s="42"/>
      <c r="J257" s="147"/>
      <c r="K257" s="46"/>
    </row>
    <row r="258" ht="19.5" customHeight="1">
      <c r="A258" s="46">
        <f t="shared" si="93"/>
        <v>10</v>
      </c>
      <c r="B258" s="37" t="s">
        <v>365</v>
      </c>
      <c r="C258" s="46" t="s">
        <v>103</v>
      </c>
      <c r="D258" s="78">
        <v>1.0</v>
      </c>
      <c r="E258" s="37">
        <v>2.7</v>
      </c>
      <c r="F258" s="78">
        <v>12.8</v>
      </c>
      <c r="G258" s="40">
        <v>1.0</v>
      </c>
      <c r="H258" s="40">
        <f t="shared" si="92"/>
        <v>34.56</v>
      </c>
      <c r="I258" s="42"/>
      <c r="J258" s="147"/>
      <c r="K258" s="46"/>
    </row>
    <row r="259" ht="19.5" customHeight="1">
      <c r="A259" s="46">
        <f t="shared" si="93"/>
        <v>11</v>
      </c>
      <c r="B259" s="37" t="s">
        <v>365</v>
      </c>
      <c r="C259" s="46" t="s">
        <v>103</v>
      </c>
      <c r="D259" s="78">
        <v>1.0</v>
      </c>
      <c r="E259" s="37">
        <v>2.7</v>
      </c>
      <c r="F259" s="78">
        <v>11.55</v>
      </c>
      <c r="G259" s="40">
        <v>1.0</v>
      </c>
      <c r="H259" s="40">
        <f t="shared" si="92"/>
        <v>31.185</v>
      </c>
      <c r="I259" s="42"/>
      <c r="J259" s="147"/>
      <c r="K259" s="46"/>
    </row>
    <row r="260" ht="19.5" customHeight="1">
      <c r="A260" s="46">
        <f t="shared" si="93"/>
        <v>12</v>
      </c>
      <c r="B260" s="37" t="s">
        <v>365</v>
      </c>
      <c r="C260" s="46" t="s">
        <v>103</v>
      </c>
      <c r="D260" s="78">
        <v>1.0</v>
      </c>
      <c r="E260" s="37">
        <v>2.7</v>
      </c>
      <c r="F260" s="78">
        <v>20.45</v>
      </c>
      <c r="G260" s="40">
        <v>1.0</v>
      </c>
      <c r="H260" s="40">
        <f t="shared" si="92"/>
        <v>55.215</v>
      </c>
      <c r="I260" s="42"/>
      <c r="J260" s="147"/>
      <c r="K260" s="46"/>
    </row>
    <row r="261" ht="19.5" customHeight="1">
      <c r="A261" s="46">
        <f t="shared" si="93"/>
        <v>13</v>
      </c>
      <c r="B261" s="37" t="s">
        <v>365</v>
      </c>
      <c r="C261" s="46" t="s">
        <v>103</v>
      </c>
      <c r="D261" s="78">
        <v>1.0</v>
      </c>
      <c r="E261" s="37">
        <v>2.7</v>
      </c>
      <c r="F261" s="78">
        <v>6.86</v>
      </c>
      <c r="G261" s="40">
        <v>1.0</v>
      </c>
      <c r="H261" s="40">
        <f t="shared" si="92"/>
        <v>18.522</v>
      </c>
      <c r="I261" s="42"/>
      <c r="J261" s="147"/>
      <c r="K261" s="46"/>
    </row>
    <row r="262" ht="19.5" customHeight="1">
      <c r="A262" s="46">
        <f t="shared" si="93"/>
        <v>14</v>
      </c>
      <c r="B262" s="37" t="s">
        <v>365</v>
      </c>
      <c r="C262" s="46" t="s">
        <v>103</v>
      </c>
      <c r="D262" s="78">
        <v>1.0</v>
      </c>
      <c r="E262" s="37">
        <v>2.7</v>
      </c>
      <c r="F262" s="78">
        <v>14.69</v>
      </c>
      <c r="G262" s="40">
        <v>1.0</v>
      </c>
      <c r="H262" s="40">
        <f t="shared" si="92"/>
        <v>39.663</v>
      </c>
      <c r="I262" s="42"/>
      <c r="J262" s="147"/>
      <c r="K262" s="46"/>
    </row>
    <row r="263" ht="19.5" customHeight="1">
      <c r="A263" s="46">
        <f t="shared" si="93"/>
        <v>15</v>
      </c>
      <c r="B263" s="37" t="s">
        <v>365</v>
      </c>
      <c r="C263" s="46" t="s">
        <v>103</v>
      </c>
      <c r="D263" s="78">
        <v>1.0</v>
      </c>
      <c r="E263" s="37">
        <v>2.7</v>
      </c>
      <c r="F263" s="78">
        <v>14.4</v>
      </c>
      <c r="G263" s="40">
        <v>1.0</v>
      </c>
      <c r="H263" s="40">
        <f t="shared" si="92"/>
        <v>38.88</v>
      </c>
      <c r="I263" s="42"/>
      <c r="J263" s="147"/>
      <c r="K263" s="79"/>
    </row>
    <row r="264" ht="19.5" customHeight="1">
      <c r="A264" s="46">
        <f t="shared" si="93"/>
        <v>16</v>
      </c>
      <c r="B264" s="37" t="s">
        <v>365</v>
      </c>
      <c r="C264" s="46" t="s">
        <v>103</v>
      </c>
      <c r="D264" s="78">
        <v>1.0</v>
      </c>
      <c r="E264" s="37">
        <v>2.7</v>
      </c>
      <c r="F264" s="78">
        <v>13.67</v>
      </c>
      <c r="G264" s="40">
        <v>1.0</v>
      </c>
      <c r="H264" s="40">
        <f t="shared" si="92"/>
        <v>36.909</v>
      </c>
      <c r="I264" s="42"/>
      <c r="J264" s="147"/>
      <c r="K264" s="79"/>
    </row>
    <row r="265" ht="19.5" customHeight="1">
      <c r="A265" s="46">
        <f t="shared" si="93"/>
        <v>17</v>
      </c>
      <c r="B265" s="37" t="s">
        <v>365</v>
      </c>
      <c r="C265" s="46" t="s">
        <v>103</v>
      </c>
      <c r="D265" s="78">
        <v>1.0</v>
      </c>
      <c r="E265" s="37">
        <v>2.7</v>
      </c>
      <c r="F265" s="78">
        <v>13.67</v>
      </c>
      <c r="G265" s="40">
        <v>1.0</v>
      </c>
      <c r="H265" s="40">
        <f t="shared" si="92"/>
        <v>36.909</v>
      </c>
      <c r="I265" s="42"/>
      <c r="J265" s="147"/>
      <c r="K265" s="79"/>
    </row>
    <row r="266" ht="19.5" customHeight="1">
      <c r="A266" s="46">
        <f t="shared" si="93"/>
        <v>18</v>
      </c>
      <c r="B266" s="37" t="s">
        <v>365</v>
      </c>
      <c r="C266" s="46" t="s">
        <v>103</v>
      </c>
      <c r="D266" s="78">
        <v>1.0</v>
      </c>
      <c r="E266" s="37">
        <v>2.7</v>
      </c>
      <c r="F266" s="78">
        <v>11.18</v>
      </c>
      <c r="G266" s="40">
        <v>1.0</v>
      </c>
      <c r="H266" s="40">
        <f t="shared" si="92"/>
        <v>30.186</v>
      </c>
      <c r="I266" s="93"/>
      <c r="J266" s="147"/>
      <c r="K266" s="79"/>
    </row>
    <row r="267" ht="19.5" customHeight="1">
      <c r="A267" s="46">
        <f t="shared" si="93"/>
        <v>19</v>
      </c>
      <c r="B267" s="37" t="s">
        <v>365</v>
      </c>
      <c r="C267" s="46" t="s">
        <v>103</v>
      </c>
      <c r="D267" s="78">
        <v>1.0</v>
      </c>
      <c r="E267" s="37">
        <v>2.7</v>
      </c>
      <c r="F267" s="78">
        <v>11.18</v>
      </c>
      <c r="G267" s="40">
        <v>1.0</v>
      </c>
      <c r="H267" s="40">
        <f t="shared" si="92"/>
        <v>30.186</v>
      </c>
      <c r="I267" s="93"/>
      <c r="J267" s="147"/>
      <c r="K267" s="79"/>
    </row>
    <row r="268" ht="19.5" customHeight="1">
      <c r="A268" s="46">
        <f t="shared" si="93"/>
        <v>20</v>
      </c>
      <c r="B268" s="37" t="s">
        <v>365</v>
      </c>
      <c r="C268" s="46" t="s">
        <v>103</v>
      </c>
      <c r="D268" s="78">
        <v>1.0</v>
      </c>
      <c r="E268" s="37">
        <v>2.7</v>
      </c>
      <c r="F268" s="78">
        <v>16.05</v>
      </c>
      <c r="G268" s="40">
        <v>1.0</v>
      </c>
      <c r="H268" s="40">
        <f t="shared" si="92"/>
        <v>43.335</v>
      </c>
      <c r="I268" s="93"/>
      <c r="J268" s="32"/>
      <c r="K268" s="79"/>
    </row>
    <row r="269" ht="19.5" customHeight="1">
      <c r="A269" s="46">
        <f>A266+1</f>
        <v>19</v>
      </c>
      <c r="B269" s="95" t="s">
        <v>366</v>
      </c>
      <c r="C269" s="46" t="s">
        <v>103</v>
      </c>
      <c r="D269" s="78">
        <v>1.0</v>
      </c>
      <c r="E269" s="37"/>
      <c r="F269" s="78"/>
      <c r="G269" s="40"/>
      <c r="H269" s="59"/>
      <c r="I269" s="93"/>
      <c r="J269" s="133">
        <f>SUM(J249:J266)</f>
        <v>780.125</v>
      </c>
      <c r="K269" s="79"/>
    </row>
    <row r="270" ht="19.5" customHeight="1">
      <c r="A270" s="74" t="s">
        <v>1</v>
      </c>
      <c r="B270" s="74" t="s">
        <v>91</v>
      </c>
      <c r="C270" s="74" t="s">
        <v>92</v>
      </c>
      <c r="D270" s="76" t="s">
        <v>93</v>
      </c>
      <c r="E270" s="50" t="s">
        <v>97</v>
      </c>
      <c r="F270" s="53" t="s">
        <v>121</v>
      </c>
      <c r="G270" s="53" t="s">
        <v>99</v>
      </c>
      <c r="H270" s="75" t="s">
        <v>100</v>
      </c>
      <c r="I270" s="75" t="s">
        <v>101</v>
      </c>
      <c r="J270" s="76" t="s">
        <v>95</v>
      </c>
      <c r="K270" s="74" t="s">
        <v>96</v>
      </c>
    </row>
    <row r="271" ht="19.5" customHeight="1">
      <c r="A271" s="46">
        <v>1.0</v>
      </c>
      <c r="B271" s="37" t="s">
        <v>367</v>
      </c>
      <c r="C271" s="46" t="s">
        <v>103</v>
      </c>
      <c r="D271" s="78">
        <v>10.0</v>
      </c>
      <c r="E271" s="37">
        <v>2.1</v>
      </c>
      <c r="F271" s="78"/>
      <c r="G271" s="40">
        <v>0.9</v>
      </c>
      <c r="H271" s="40">
        <f t="shared" ref="H271:H273" si="94">G271*E271*D271</f>
        <v>18.9</v>
      </c>
      <c r="I271" s="42"/>
      <c r="J271" s="64">
        <f>H271+H273+H274</f>
        <v>68.25</v>
      </c>
      <c r="K271" s="46"/>
    </row>
    <row r="272" ht="19.5" customHeight="1">
      <c r="A272" s="46">
        <v>2.0</v>
      </c>
      <c r="B272" s="37" t="s">
        <v>368</v>
      </c>
      <c r="C272" s="46" t="s">
        <v>103</v>
      </c>
      <c r="D272" s="78">
        <v>2.0</v>
      </c>
      <c r="E272" s="37">
        <v>2.1</v>
      </c>
      <c r="F272" s="78"/>
      <c r="G272" s="40">
        <v>2.0</v>
      </c>
      <c r="H272" s="40">
        <f t="shared" si="94"/>
        <v>8.4</v>
      </c>
      <c r="I272" s="42"/>
      <c r="J272" s="64">
        <f t="shared" ref="J272:J277" si="95">H272</f>
        <v>8.4</v>
      </c>
      <c r="K272" s="46"/>
    </row>
    <row r="273" ht="19.5" customHeight="1">
      <c r="A273" s="46">
        <v>3.0</v>
      </c>
      <c r="B273" s="37" t="s">
        <v>953</v>
      </c>
      <c r="C273" s="46" t="s">
        <v>103</v>
      </c>
      <c r="D273" s="78">
        <v>5.0</v>
      </c>
      <c r="E273" s="37">
        <v>2.1</v>
      </c>
      <c r="F273" s="78"/>
      <c r="G273" s="40">
        <v>0.7</v>
      </c>
      <c r="H273" s="40">
        <f t="shared" si="94"/>
        <v>7.35</v>
      </c>
      <c r="I273" s="42"/>
      <c r="J273" s="64">
        <f t="shared" si="95"/>
        <v>7.35</v>
      </c>
      <c r="K273" s="46"/>
    </row>
    <row r="274" ht="19.5" customHeight="1">
      <c r="A274" s="46">
        <v>4.0</v>
      </c>
      <c r="B274" s="37" t="s">
        <v>954</v>
      </c>
      <c r="C274" s="46" t="s">
        <v>103</v>
      </c>
      <c r="D274" s="78">
        <v>1.0</v>
      </c>
      <c r="E274" s="37"/>
      <c r="F274" s="78"/>
      <c r="G274" s="40"/>
      <c r="H274" s="40">
        <f>H275+H276</f>
        <v>42</v>
      </c>
      <c r="I274" s="42"/>
      <c r="J274" s="64">
        <f t="shared" si="95"/>
        <v>42</v>
      </c>
      <c r="K274" s="46"/>
    </row>
    <row r="275" ht="19.5" customHeight="1">
      <c r="A275" s="46">
        <v>4.0</v>
      </c>
      <c r="B275" s="37" t="s">
        <v>955</v>
      </c>
      <c r="C275" s="46" t="s">
        <v>103</v>
      </c>
      <c r="D275" s="78">
        <v>8.0</v>
      </c>
      <c r="E275" s="37">
        <v>1.0</v>
      </c>
      <c r="F275" s="78">
        <v>1.0</v>
      </c>
      <c r="G275" s="40">
        <v>3.0</v>
      </c>
      <c r="H275" s="40">
        <f t="shared" ref="H275:H278" si="96">G275*E275*D275</f>
        <v>24</v>
      </c>
      <c r="I275" s="42"/>
      <c r="J275" s="64">
        <f t="shared" si="95"/>
        <v>24</v>
      </c>
      <c r="K275" s="46"/>
    </row>
    <row r="276" ht="19.5" customHeight="1">
      <c r="A276" s="46">
        <v>5.0</v>
      </c>
      <c r="B276" s="37" t="s">
        <v>371</v>
      </c>
      <c r="C276" s="46" t="s">
        <v>103</v>
      </c>
      <c r="D276" s="78">
        <v>12.0</v>
      </c>
      <c r="E276" s="37">
        <v>0.5</v>
      </c>
      <c r="F276" s="78">
        <v>1.0</v>
      </c>
      <c r="G276" s="40">
        <v>3.0</v>
      </c>
      <c r="H276" s="40">
        <f t="shared" si="96"/>
        <v>18</v>
      </c>
      <c r="I276" s="42"/>
      <c r="J276" s="64">
        <f t="shared" si="95"/>
        <v>18</v>
      </c>
      <c r="K276" s="46"/>
    </row>
    <row r="277" ht="19.5" customHeight="1">
      <c r="A277" s="124">
        <v>6.0</v>
      </c>
      <c r="B277" s="315" t="s">
        <v>956</v>
      </c>
      <c r="C277" s="124" t="s">
        <v>103</v>
      </c>
      <c r="D277" s="328">
        <v>1.0</v>
      </c>
      <c r="E277" s="315">
        <v>2.1</v>
      </c>
      <c r="F277" s="328">
        <v>1.0</v>
      </c>
      <c r="G277" s="15">
        <v>3.0</v>
      </c>
      <c r="H277" s="15">
        <f t="shared" si="96"/>
        <v>6.3</v>
      </c>
      <c r="I277" s="15"/>
      <c r="J277" s="329">
        <f t="shared" si="95"/>
        <v>6.3</v>
      </c>
      <c r="K277" s="145" t="s">
        <v>957</v>
      </c>
    </row>
    <row r="278" ht="19.5" customHeight="1">
      <c r="A278" s="46">
        <v>7.0</v>
      </c>
      <c r="B278" s="37" t="s">
        <v>958</v>
      </c>
      <c r="C278" s="46" t="s">
        <v>103</v>
      </c>
      <c r="D278" s="78">
        <v>3.0</v>
      </c>
      <c r="E278" s="37">
        <v>1.0</v>
      </c>
      <c r="F278" s="78">
        <v>1.0</v>
      </c>
      <c r="G278" s="40">
        <v>2.0</v>
      </c>
      <c r="H278" s="40">
        <f t="shared" si="96"/>
        <v>6</v>
      </c>
      <c r="I278" s="42"/>
      <c r="J278" s="64">
        <f>J276</f>
        <v>18</v>
      </c>
      <c r="K278" s="79"/>
    </row>
    <row r="279" ht="19.5" customHeight="1">
      <c r="A279" s="74" t="s">
        <v>1</v>
      </c>
      <c r="B279" s="74" t="s">
        <v>91</v>
      </c>
      <c r="C279" s="74" t="s">
        <v>92</v>
      </c>
      <c r="D279" s="76" t="s">
        <v>93</v>
      </c>
      <c r="E279" s="50" t="s">
        <v>161</v>
      </c>
      <c r="F279" s="53" t="s">
        <v>121</v>
      </c>
      <c r="G279" s="53" t="s">
        <v>99</v>
      </c>
      <c r="H279" s="75" t="s">
        <v>100</v>
      </c>
      <c r="I279" s="75" t="s">
        <v>101</v>
      </c>
      <c r="J279" s="76" t="s">
        <v>95</v>
      </c>
      <c r="K279" s="74" t="s">
        <v>96</v>
      </c>
    </row>
    <row r="280" ht="19.5" customHeight="1">
      <c r="A280" s="46">
        <v>1.0</v>
      </c>
      <c r="B280" s="37" t="s">
        <v>162</v>
      </c>
      <c r="C280" s="46" t="s">
        <v>103</v>
      </c>
      <c r="D280" s="78">
        <v>1.0</v>
      </c>
      <c r="E280" s="37">
        <v>2.0</v>
      </c>
      <c r="F280" s="78">
        <f>F241</f>
        <v>10.23</v>
      </c>
      <c r="G280" s="40">
        <v>1.0</v>
      </c>
      <c r="H280" s="40">
        <f t="shared" ref="H280:H281" si="97">G280*F280*E280*D280</f>
        <v>20.46</v>
      </c>
      <c r="I280" s="42"/>
      <c r="J280" s="312">
        <f>SUM(H280:H281)</f>
        <v>57.1</v>
      </c>
      <c r="K280" s="46"/>
    </row>
    <row r="281" ht="19.5" customHeight="1">
      <c r="A281" s="46">
        <v>2.0</v>
      </c>
      <c r="B281" s="37" t="s">
        <v>162</v>
      </c>
      <c r="C281" s="46" t="s">
        <v>103</v>
      </c>
      <c r="D281" s="78">
        <v>1.0</v>
      </c>
      <c r="E281" s="37">
        <v>2.0</v>
      </c>
      <c r="F281" s="78">
        <f>F227</f>
        <v>9.16</v>
      </c>
      <c r="G281" s="40">
        <v>2.0</v>
      </c>
      <c r="H281" s="40">
        <f t="shared" si="97"/>
        <v>36.64</v>
      </c>
      <c r="I281" s="42"/>
      <c r="J281" s="32"/>
      <c r="K281" s="46"/>
    </row>
    <row r="282" ht="19.5" customHeight="1">
      <c r="A282" s="74" t="s">
        <v>1</v>
      </c>
      <c r="B282" s="74" t="s">
        <v>91</v>
      </c>
      <c r="C282" s="74" t="s">
        <v>92</v>
      </c>
      <c r="D282" s="76" t="s">
        <v>93</v>
      </c>
      <c r="E282" s="50" t="s">
        <v>161</v>
      </c>
      <c r="F282" s="53" t="s">
        <v>121</v>
      </c>
      <c r="G282" s="53" t="s">
        <v>99</v>
      </c>
      <c r="H282" s="75" t="s">
        <v>100</v>
      </c>
      <c r="I282" s="75" t="s">
        <v>101</v>
      </c>
      <c r="J282" s="76" t="s">
        <v>95</v>
      </c>
      <c r="K282" s="74" t="s">
        <v>96</v>
      </c>
    </row>
    <row r="283" ht="19.5" customHeight="1">
      <c r="A283" s="46">
        <v>1.0</v>
      </c>
      <c r="B283" s="37" t="s">
        <v>374</v>
      </c>
      <c r="C283" s="46" t="s">
        <v>106</v>
      </c>
      <c r="D283" s="78">
        <v>4.0</v>
      </c>
      <c r="E283" s="37">
        <v>1.0</v>
      </c>
      <c r="F283" s="78"/>
      <c r="G283" s="40">
        <v>1.0</v>
      </c>
      <c r="H283" s="40">
        <f>G283*E283*D283</f>
        <v>4</v>
      </c>
      <c r="I283" s="42"/>
      <c r="J283" s="64">
        <f>SUM(H282:H283)</f>
        <v>4</v>
      </c>
      <c r="K283" s="46"/>
    </row>
    <row r="284" ht="19.5" customHeight="1">
      <c r="A284" s="46">
        <v>2.0</v>
      </c>
      <c r="B284" s="37" t="s">
        <v>853</v>
      </c>
      <c r="C284" s="46" t="s">
        <v>106</v>
      </c>
      <c r="D284" s="78">
        <v>1.0</v>
      </c>
      <c r="E284" s="37">
        <v>1.0</v>
      </c>
      <c r="F284" s="78"/>
      <c r="G284" s="40">
        <v>1.0</v>
      </c>
      <c r="H284" s="40">
        <v>1.0</v>
      </c>
      <c r="I284" s="42"/>
      <c r="J284" s="64">
        <f>H284</f>
        <v>1</v>
      </c>
      <c r="K284" s="46"/>
    </row>
    <row r="285" ht="19.5" customHeight="1">
      <c r="A285" s="46">
        <v>3.0</v>
      </c>
      <c r="B285" s="37" t="s">
        <v>376</v>
      </c>
      <c r="C285" s="46" t="s">
        <v>106</v>
      </c>
      <c r="D285" s="78">
        <f>J285</f>
        <v>5</v>
      </c>
      <c r="E285" s="37">
        <v>1.0</v>
      </c>
      <c r="F285" s="78"/>
      <c r="G285" s="40">
        <v>1.0</v>
      </c>
      <c r="H285" s="40">
        <f>G285*E285*D285</f>
        <v>5</v>
      </c>
      <c r="I285" s="42"/>
      <c r="J285" s="64">
        <f>SUM(J283:J284)</f>
        <v>5</v>
      </c>
      <c r="K285" s="79"/>
    </row>
    <row r="286" ht="19.5" customHeight="1">
      <c r="A286" s="74" t="s">
        <v>1</v>
      </c>
      <c r="B286" s="74" t="s">
        <v>91</v>
      </c>
      <c r="C286" s="74" t="s">
        <v>92</v>
      </c>
      <c r="D286" s="76" t="s">
        <v>93</v>
      </c>
      <c r="E286" s="50" t="s">
        <v>161</v>
      </c>
      <c r="F286" s="53" t="s">
        <v>121</v>
      </c>
      <c r="G286" s="53" t="s">
        <v>99</v>
      </c>
      <c r="H286" s="75" t="s">
        <v>100</v>
      </c>
      <c r="I286" s="75" t="s">
        <v>101</v>
      </c>
      <c r="J286" s="76" t="s">
        <v>95</v>
      </c>
      <c r="K286" s="74" t="s">
        <v>96</v>
      </c>
    </row>
    <row r="287" ht="19.5" customHeight="1">
      <c r="A287" s="46">
        <v>1.0</v>
      </c>
      <c r="B287" s="37" t="s">
        <v>856</v>
      </c>
      <c r="C287" s="46" t="s">
        <v>103</v>
      </c>
      <c r="D287" s="78">
        <v>1.0</v>
      </c>
      <c r="E287" s="37">
        <v>1.0</v>
      </c>
      <c r="F287" s="78">
        <v>7.8</v>
      </c>
      <c r="G287" s="40">
        <v>0.6</v>
      </c>
      <c r="H287" s="40">
        <f t="shared" ref="H287:H289" si="98">G287*F287*E287*D287</f>
        <v>4.68</v>
      </c>
      <c r="I287" s="42"/>
      <c r="J287" s="40"/>
      <c r="K287" s="46"/>
    </row>
    <row r="288" ht="19.5" customHeight="1">
      <c r="A288" s="46">
        <v>2.0</v>
      </c>
      <c r="B288" s="37" t="s">
        <v>857</v>
      </c>
      <c r="C288" s="46" t="s">
        <v>103</v>
      </c>
      <c r="D288" s="78">
        <v>1.0</v>
      </c>
      <c r="E288" s="37">
        <v>1.0</v>
      </c>
      <c r="F288" s="78">
        <v>2.5</v>
      </c>
      <c r="G288" s="40">
        <v>0.6</v>
      </c>
      <c r="H288" s="40">
        <f t="shared" si="98"/>
        <v>1.5</v>
      </c>
      <c r="I288" s="42"/>
      <c r="J288" s="40"/>
      <c r="K288" s="46"/>
    </row>
    <row r="289" ht="19.5" customHeight="1">
      <c r="A289" s="46">
        <v>3.0</v>
      </c>
      <c r="B289" s="37" t="s">
        <v>959</v>
      </c>
      <c r="C289" s="46" t="s">
        <v>103</v>
      </c>
      <c r="D289" s="78">
        <v>1.0</v>
      </c>
      <c r="E289" s="37">
        <v>1.0</v>
      </c>
      <c r="F289" s="78">
        <v>1.2</v>
      </c>
      <c r="G289" s="40">
        <v>0.4</v>
      </c>
      <c r="H289" s="40">
        <f t="shared" si="98"/>
        <v>0.48</v>
      </c>
      <c r="I289" s="42"/>
      <c r="J289" s="40"/>
      <c r="K289" s="46"/>
    </row>
    <row r="290" ht="19.5" customHeight="1">
      <c r="A290" s="46"/>
      <c r="B290" s="37"/>
      <c r="C290" s="46"/>
      <c r="D290" s="78"/>
      <c r="E290" s="37"/>
      <c r="F290" s="78"/>
      <c r="G290" s="40"/>
      <c r="H290" s="40"/>
      <c r="I290" s="93"/>
      <c r="J290" s="64">
        <f>SUM(H287:H290)</f>
        <v>6.66</v>
      </c>
      <c r="K290" s="79"/>
    </row>
    <row r="291" ht="19.5" customHeight="1">
      <c r="A291" s="74" t="s">
        <v>1</v>
      </c>
      <c r="B291" s="74" t="s">
        <v>91</v>
      </c>
      <c r="C291" s="74" t="s">
        <v>92</v>
      </c>
      <c r="D291" s="76" t="s">
        <v>93</v>
      </c>
      <c r="E291" s="50" t="s">
        <v>161</v>
      </c>
      <c r="F291" s="53" t="s">
        <v>121</v>
      </c>
      <c r="G291" s="53" t="s">
        <v>97</v>
      </c>
      <c r="H291" s="75" t="s">
        <v>100</v>
      </c>
      <c r="I291" s="75" t="s">
        <v>101</v>
      </c>
      <c r="J291" s="76" t="s">
        <v>95</v>
      </c>
      <c r="K291" s="74" t="s">
        <v>96</v>
      </c>
    </row>
    <row r="292" ht="19.5" customHeight="1">
      <c r="A292" s="46">
        <v>1.0</v>
      </c>
      <c r="B292" s="37" t="s">
        <v>244</v>
      </c>
      <c r="C292" s="46" t="s">
        <v>103</v>
      </c>
      <c r="D292" s="78">
        <v>10.0</v>
      </c>
      <c r="E292" s="37">
        <v>1.0</v>
      </c>
      <c r="F292" s="78">
        <v>1.5</v>
      </c>
      <c r="G292" s="40">
        <v>1.8</v>
      </c>
      <c r="H292" s="40">
        <f t="shared" ref="H292:H293" si="99">F292*E292*D292</f>
        <v>15</v>
      </c>
      <c r="I292" s="42"/>
      <c r="J292" s="40"/>
      <c r="K292" s="46"/>
    </row>
    <row r="293" ht="19.5" customHeight="1">
      <c r="A293" s="46">
        <v>2.0</v>
      </c>
      <c r="B293" s="37" t="s">
        <v>244</v>
      </c>
      <c r="C293" s="46" t="s">
        <v>103</v>
      </c>
      <c r="D293" s="78">
        <v>10.0</v>
      </c>
      <c r="E293" s="37">
        <v>1.0</v>
      </c>
      <c r="F293" s="78">
        <v>0.5</v>
      </c>
      <c r="G293" s="40">
        <v>1.8</v>
      </c>
      <c r="H293" s="40">
        <f t="shared" si="99"/>
        <v>5</v>
      </c>
      <c r="I293" s="42"/>
      <c r="J293" s="64">
        <f>SUM(H292:H293)</f>
        <v>20</v>
      </c>
      <c r="K293" s="46"/>
    </row>
    <row r="294" ht="19.5" customHeight="1">
      <c r="A294" s="74" t="s">
        <v>1</v>
      </c>
      <c r="B294" s="74" t="s">
        <v>91</v>
      </c>
      <c r="C294" s="74" t="s">
        <v>92</v>
      </c>
      <c r="D294" s="76" t="s">
        <v>93</v>
      </c>
      <c r="E294" s="50" t="s">
        <v>161</v>
      </c>
      <c r="F294" s="53"/>
      <c r="G294" s="53"/>
      <c r="H294" s="75" t="s">
        <v>100</v>
      </c>
      <c r="I294" s="75" t="s">
        <v>101</v>
      </c>
      <c r="J294" s="76" t="s">
        <v>95</v>
      </c>
      <c r="K294" s="74" t="s">
        <v>96</v>
      </c>
    </row>
    <row r="295" ht="19.5" customHeight="1">
      <c r="A295" s="46">
        <v>1.0</v>
      </c>
      <c r="B295" s="37" t="s">
        <v>960</v>
      </c>
      <c r="C295" s="46" t="s">
        <v>106</v>
      </c>
      <c r="D295" s="78">
        <v>4.0</v>
      </c>
      <c r="E295" s="37">
        <v>8.0</v>
      </c>
      <c r="F295" s="78"/>
      <c r="G295" s="40"/>
      <c r="H295" s="40">
        <f t="shared" ref="H295:H296" si="100">E295*D295+6</f>
        <v>38</v>
      </c>
      <c r="I295" s="42"/>
      <c r="J295" s="64">
        <f t="shared" ref="J295:J315" si="101">H295</f>
        <v>38</v>
      </c>
      <c r="K295" s="46"/>
    </row>
    <row r="296" ht="19.5" customHeight="1">
      <c r="A296" s="46">
        <v>2.0</v>
      </c>
      <c r="B296" s="37" t="s">
        <v>961</v>
      </c>
      <c r="C296" s="46" t="s">
        <v>106</v>
      </c>
      <c r="D296" s="78">
        <v>18.0</v>
      </c>
      <c r="E296" s="37">
        <v>1.0</v>
      </c>
      <c r="F296" s="78"/>
      <c r="G296" s="40"/>
      <c r="H296" s="40">
        <f t="shared" si="100"/>
        <v>24</v>
      </c>
      <c r="I296" s="42"/>
      <c r="J296" s="64">
        <f t="shared" si="101"/>
        <v>24</v>
      </c>
      <c r="K296" s="46"/>
    </row>
    <row r="297" ht="19.5" customHeight="1">
      <c r="A297" s="46">
        <v>2.0</v>
      </c>
      <c r="B297" s="37" t="s">
        <v>962</v>
      </c>
      <c r="C297" s="46" t="s">
        <v>106</v>
      </c>
      <c r="D297" s="78">
        <v>34.0</v>
      </c>
      <c r="E297" s="37">
        <v>1.0</v>
      </c>
      <c r="F297" s="78"/>
      <c r="G297" s="40"/>
      <c r="H297" s="40">
        <f t="shared" ref="H297:H315" si="102">E297*D297</f>
        <v>34</v>
      </c>
      <c r="I297" s="42"/>
      <c r="J297" s="64">
        <f t="shared" si="101"/>
        <v>34</v>
      </c>
      <c r="K297" s="46"/>
    </row>
    <row r="298" ht="19.5" customHeight="1">
      <c r="A298" s="46">
        <v>3.0</v>
      </c>
      <c r="B298" s="37" t="s">
        <v>246</v>
      </c>
      <c r="C298" s="46" t="s">
        <v>106</v>
      </c>
      <c r="D298" s="78">
        <v>4.0</v>
      </c>
      <c r="E298" s="37">
        <v>12.0</v>
      </c>
      <c r="F298" s="78"/>
      <c r="G298" s="40"/>
      <c r="H298" s="40">
        <f t="shared" si="102"/>
        <v>48</v>
      </c>
      <c r="I298" s="42"/>
      <c r="J298" s="64">
        <f t="shared" si="101"/>
        <v>48</v>
      </c>
      <c r="K298" s="46"/>
    </row>
    <row r="299" ht="19.5" customHeight="1">
      <c r="A299" s="46">
        <v>4.0</v>
      </c>
      <c r="B299" s="37" t="s">
        <v>963</v>
      </c>
      <c r="C299" s="46" t="s">
        <v>106</v>
      </c>
      <c r="D299" s="78">
        <v>4.0</v>
      </c>
      <c r="E299" s="37">
        <v>1.0</v>
      </c>
      <c r="F299" s="78"/>
      <c r="G299" s="40"/>
      <c r="H299" s="40">
        <f t="shared" si="102"/>
        <v>4</v>
      </c>
      <c r="I299" s="42"/>
      <c r="J299" s="64">
        <f t="shared" si="101"/>
        <v>4</v>
      </c>
      <c r="K299" s="46"/>
    </row>
    <row r="300" ht="19.5" customHeight="1">
      <c r="A300" s="46">
        <v>5.0</v>
      </c>
      <c r="B300" s="37" t="s">
        <v>247</v>
      </c>
      <c r="C300" s="46" t="s">
        <v>106</v>
      </c>
      <c r="D300" s="78">
        <v>4.0</v>
      </c>
      <c r="E300" s="37">
        <v>1.0</v>
      </c>
      <c r="F300" s="78"/>
      <c r="G300" s="40"/>
      <c r="H300" s="40">
        <f t="shared" si="102"/>
        <v>4</v>
      </c>
      <c r="I300" s="42"/>
      <c r="J300" s="64">
        <f t="shared" si="101"/>
        <v>4</v>
      </c>
      <c r="K300" s="46"/>
    </row>
    <row r="301" ht="19.5" customHeight="1">
      <c r="A301" s="46">
        <v>6.0</v>
      </c>
      <c r="B301" s="37" t="s">
        <v>248</v>
      </c>
      <c r="C301" s="46" t="s">
        <v>106</v>
      </c>
      <c r="D301" s="78">
        <v>5.0</v>
      </c>
      <c r="E301" s="37">
        <v>1.0</v>
      </c>
      <c r="F301" s="78"/>
      <c r="G301" s="40"/>
      <c r="H301" s="40">
        <f t="shared" si="102"/>
        <v>5</v>
      </c>
      <c r="I301" s="42"/>
      <c r="J301" s="64">
        <f t="shared" si="101"/>
        <v>5</v>
      </c>
      <c r="K301" s="46"/>
    </row>
    <row r="302" ht="19.5" customHeight="1">
      <c r="A302" s="46">
        <v>7.0</v>
      </c>
      <c r="B302" s="37" t="s">
        <v>249</v>
      </c>
      <c r="C302" s="46" t="s">
        <v>106</v>
      </c>
      <c r="D302" s="78">
        <v>10.0</v>
      </c>
      <c r="E302" s="37">
        <v>1.0</v>
      </c>
      <c r="F302" s="78"/>
      <c r="G302" s="40"/>
      <c r="H302" s="40">
        <f t="shared" si="102"/>
        <v>10</v>
      </c>
      <c r="I302" s="42"/>
      <c r="J302" s="64">
        <f t="shared" si="101"/>
        <v>10</v>
      </c>
      <c r="K302" s="46"/>
    </row>
    <row r="303" ht="19.5" customHeight="1">
      <c r="A303" s="46">
        <v>8.0</v>
      </c>
      <c r="B303" s="37" t="s">
        <v>250</v>
      </c>
      <c r="C303" s="46" t="s">
        <v>106</v>
      </c>
      <c r="D303" s="123">
        <f>H302+H301+H300+H299+H298</f>
        <v>71</v>
      </c>
      <c r="E303" s="37">
        <v>1.0</v>
      </c>
      <c r="F303" s="40"/>
      <c r="G303" s="40"/>
      <c r="H303" s="40">
        <f t="shared" si="102"/>
        <v>71</v>
      </c>
      <c r="I303" s="40"/>
      <c r="J303" s="64">
        <f t="shared" si="101"/>
        <v>71</v>
      </c>
      <c r="K303" s="46"/>
    </row>
    <row r="304" ht="19.5" customHeight="1">
      <c r="A304" s="46">
        <v>9.0</v>
      </c>
      <c r="B304" s="37" t="s">
        <v>251</v>
      </c>
      <c r="C304" s="46" t="s">
        <v>106</v>
      </c>
      <c r="D304" s="123">
        <f>H297+H295</f>
        <v>72</v>
      </c>
      <c r="E304" s="37">
        <v>1.0</v>
      </c>
      <c r="F304" s="40"/>
      <c r="G304" s="40"/>
      <c r="H304" s="40">
        <f t="shared" si="102"/>
        <v>72</v>
      </c>
      <c r="I304" s="40"/>
      <c r="J304" s="64">
        <f t="shared" si="101"/>
        <v>72</v>
      </c>
      <c r="K304" s="46"/>
    </row>
    <row r="305" ht="19.5" customHeight="1">
      <c r="A305" s="46">
        <v>10.0</v>
      </c>
      <c r="B305" s="37" t="s">
        <v>964</v>
      </c>
      <c r="C305" s="46" t="s">
        <v>108</v>
      </c>
      <c r="D305" s="123">
        <v>900.0</v>
      </c>
      <c r="E305" s="37">
        <v>1.0</v>
      </c>
      <c r="F305" s="40"/>
      <c r="G305" s="40"/>
      <c r="H305" s="40">
        <f t="shared" si="102"/>
        <v>900</v>
      </c>
      <c r="I305" s="40"/>
      <c r="J305" s="64">
        <f t="shared" si="101"/>
        <v>900</v>
      </c>
      <c r="K305" s="46"/>
    </row>
    <row r="306" ht="19.5" customHeight="1">
      <c r="A306" s="46">
        <v>11.0</v>
      </c>
      <c r="B306" s="37" t="s">
        <v>965</v>
      </c>
      <c r="C306" s="46" t="s">
        <v>108</v>
      </c>
      <c r="D306" s="123">
        <v>400.0</v>
      </c>
      <c r="E306" s="37">
        <v>1.0</v>
      </c>
      <c r="F306" s="40"/>
      <c r="G306" s="40"/>
      <c r="H306" s="40">
        <f t="shared" si="102"/>
        <v>400</v>
      </c>
      <c r="I306" s="40"/>
      <c r="J306" s="64">
        <f t="shared" si="101"/>
        <v>400</v>
      </c>
      <c r="K306" s="46"/>
    </row>
    <row r="307" ht="19.5" customHeight="1">
      <c r="A307" s="46">
        <v>12.0</v>
      </c>
      <c r="B307" s="37" t="s">
        <v>252</v>
      </c>
      <c r="C307" s="46" t="s">
        <v>108</v>
      </c>
      <c r="D307" s="123">
        <v>400.0</v>
      </c>
      <c r="E307" s="37">
        <v>1.0</v>
      </c>
      <c r="F307" s="40"/>
      <c r="G307" s="40"/>
      <c r="H307" s="40">
        <f t="shared" si="102"/>
        <v>400</v>
      </c>
      <c r="I307" s="40"/>
      <c r="J307" s="64">
        <f t="shared" si="101"/>
        <v>400</v>
      </c>
      <c r="K307" s="46"/>
    </row>
    <row r="308" ht="19.5" customHeight="1">
      <c r="A308" s="46">
        <v>12.0</v>
      </c>
      <c r="B308" s="37" t="s">
        <v>254</v>
      </c>
      <c r="C308" s="46" t="s">
        <v>108</v>
      </c>
      <c r="D308" s="123">
        <v>4000.0</v>
      </c>
      <c r="E308" s="37">
        <v>1.0</v>
      </c>
      <c r="F308" s="40"/>
      <c r="G308" s="40"/>
      <c r="H308" s="40">
        <f t="shared" si="102"/>
        <v>4000</v>
      </c>
      <c r="I308" s="40"/>
      <c r="J308" s="64">
        <f t="shared" si="101"/>
        <v>4000</v>
      </c>
      <c r="K308" s="46"/>
    </row>
    <row r="309" ht="19.5" customHeight="1">
      <c r="A309" s="46">
        <f t="shared" ref="A309:A315" si="103">A308+1</f>
        <v>13</v>
      </c>
      <c r="B309" s="37" t="s">
        <v>255</v>
      </c>
      <c r="C309" s="46" t="s">
        <v>108</v>
      </c>
      <c r="D309" s="123">
        <v>400.0</v>
      </c>
      <c r="E309" s="37">
        <v>19.0</v>
      </c>
      <c r="F309" s="40"/>
      <c r="G309" s="40"/>
      <c r="H309" s="40">
        <f t="shared" si="102"/>
        <v>7600</v>
      </c>
      <c r="I309" s="40"/>
      <c r="J309" s="64">
        <f t="shared" si="101"/>
        <v>7600</v>
      </c>
      <c r="K309" s="46"/>
    </row>
    <row r="310" ht="19.5" customHeight="1">
      <c r="A310" s="46">
        <f t="shared" si="103"/>
        <v>14</v>
      </c>
      <c r="B310" s="37" t="s">
        <v>256</v>
      </c>
      <c r="C310" s="46" t="s">
        <v>108</v>
      </c>
      <c r="D310" s="123">
        <v>100.0</v>
      </c>
      <c r="E310" s="37">
        <v>1.0</v>
      </c>
      <c r="F310" s="40"/>
      <c r="G310" s="40"/>
      <c r="H310" s="40">
        <f t="shared" si="102"/>
        <v>100</v>
      </c>
      <c r="I310" s="40"/>
      <c r="J310" s="64">
        <f t="shared" si="101"/>
        <v>100</v>
      </c>
      <c r="K310" s="46"/>
    </row>
    <row r="311" ht="19.5" customHeight="1">
      <c r="A311" s="46">
        <f t="shared" si="103"/>
        <v>15</v>
      </c>
      <c r="B311" s="37" t="s">
        <v>257</v>
      </c>
      <c r="C311" s="46" t="s">
        <v>106</v>
      </c>
      <c r="D311" s="123">
        <v>3.0</v>
      </c>
      <c r="E311" s="37">
        <v>1.0</v>
      </c>
      <c r="F311" s="40"/>
      <c r="G311" s="40"/>
      <c r="H311" s="40">
        <f t="shared" si="102"/>
        <v>3</v>
      </c>
      <c r="I311" s="40"/>
      <c r="J311" s="64">
        <f t="shared" si="101"/>
        <v>3</v>
      </c>
      <c r="K311" s="46"/>
    </row>
    <row r="312" ht="19.5" customHeight="1">
      <c r="A312" s="46">
        <f t="shared" si="103"/>
        <v>16</v>
      </c>
      <c r="B312" s="37" t="s">
        <v>258</v>
      </c>
      <c r="C312" s="46" t="s">
        <v>106</v>
      </c>
      <c r="D312" s="123">
        <v>12.0</v>
      </c>
      <c r="E312" s="37">
        <v>1.0</v>
      </c>
      <c r="F312" s="40"/>
      <c r="G312" s="40"/>
      <c r="H312" s="40">
        <f t="shared" si="102"/>
        <v>12</v>
      </c>
      <c r="I312" s="40"/>
      <c r="J312" s="64">
        <f t="shared" si="101"/>
        <v>12</v>
      </c>
      <c r="K312" s="46"/>
    </row>
    <row r="313" ht="19.5" customHeight="1">
      <c r="A313" s="46">
        <f t="shared" si="103"/>
        <v>17</v>
      </c>
      <c r="B313" s="37" t="s">
        <v>259</v>
      </c>
      <c r="C313" s="46" t="s">
        <v>108</v>
      </c>
      <c r="D313" s="123">
        <v>100.0</v>
      </c>
      <c r="E313" s="37">
        <v>1.0</v>
      </c>
      <c r="F313" s="40"/>
      <c r="G313" s="40"/>
      <c r="H313" s="40">
        <f t="shared" si="102"/>
        <v>100</v>
      </c>
      <c r="I313" s="40"/>
      <c r="J313" s="64">
        <f t="shared" si="101"/>
        <v>100</v>
      </c>
      <c r="K313" s="46"/>
    </row>
    <row r="314" ht="19.5" customHeight="1">
      <c r="A314" s="46">
        <f t="shared" si="103"/>
        <v>18</v>
      </c>
      <c r="B314" s="37" t="s">
        <v>260</v>
      </c>
      <c r="C314" s="46" t="s">
        <v>108</v>
      </c>
      <c r="D314" s="123">
        <v>60.0</v>
      </c>
      <c r="E314" s="37">
        <v>1.0</v>
      </c>
      <c r="F314" s="40"/>
      <c r="G314" s="40"/>
      <c r="H314" s="40">
        <f t="shared" si="102"/>
        <v>60</v>
      </c>
      <c r="I314" s="40"/>
      <c r="J314" s="64">
        <f t="shared" si="101"/>
        <v>60</v>
      </c>
      <c r="K314" s="46"/>
    </row>
    <row r="315" ht="19.5" customHeight="1">
      <c r="A315" s="46">
        <f t="shared" si="103"/>
        <v>19</v>
      </c>
      <c r="B315" s="37" t="s">
        <v>261</v>
      </c>
      <c r="C315" s="46" t="s">
        <v>106</v>
      </c>
      <c r="D315" s="123">
        <v>6.0</v>
      </c>
      <c r="E315" s="37">
        <v>1.0</v>
      </c>
      <c r="F315" s="40"/>
      <c r="G315" s="40"/>
      <c r="H315" s="40">
        <f t="shared" si="102"/>
        <v>6</v>
      </c>
      <c r="I315" s="40"/>
      <c r="J315" s="64">
        <f t="shared" si="101"/>
        <v>6</v>
      </c>
      <c r="K315" s="46"/>
    </row>
    <row r="316" ht="19.5" customHeight="1">
      <c r="A316" s="12"/>
      <c r="C316" s="12"/>
      <c r="D316" s="87"/>
      <c r="F316" s="14"/>
      <c r="G316" s="14"/>
      <c r="H316" s="14"/>
      <c r="I316" s="14"/>
      <c r="J316" s="14"/>
      <c r="K316" s="12"/>
    </row>
    <row r="317" ht="19.5" customHeight="1">
      <c r="A317" s="74" t="s">
        <v>1</v>
      </c>
      <c r="B317" s="74" t="s">
        <v>91</v>
      </c>
      <c r="C317" s="74" t="s">
        <v>92</v>
      </c>
      <c r="D317" s="76" t="s">
        <v>93</v>
      </c>
      <c r="E317" s="50" t="s">
        <v>161</v>
      </c>
      <c r="F317" s="53" t="s">
        <v>121</v>
      </c>
      <c r="G317" s="53" t="s">
        <v>99</v>
      </c>
      <c r="H317" s="53" t="s">
        <v>100</v>
      </c>
      <c r="I317" s="53" t="s">
        <v>101</v>
      </c>
      <c r="J317" s="76" t="s">
        <v>95</v>
      </c>
      <c r="K317" s="74" t="s">
        <v>96</v>
      </c>
    </row>
    <row r="318" ht="19.5" customHeight="1">
      <c r="A318" s="46">
        <v>1.0</v>
      </c>
      <c r="B318" s="37" t="s">
        <v>262</v>
      </c>
      <c r="C318" s="46" t="s">
        <v>108</v>
      </c>
      <c r="D318" s="78">
        <v>400.0</v>
      </c>
      <c r="E318" s="37">
        <v>1.0</v>
      </c>
      <c r="F318" s="78"/>
      <c r="G318" s="40"/>
      <c r="H318" s="40">
        <f t="shared" ref="H318:H341" si="104">E318*D318</f>
        <v>400</v>
      </c>
      <c r="I318" s="42"/>
      <c r="J318" s="64">
        <f t="shared" ref="J318:J341" si="105">H318</f>
        <v>400</v>
      </c>
      <c r="K318" s="46"/>
    </row>
    <row r="319" ht="19.5" customHeight="1">
      <c r="A319" s="46">
        <f t="shared" ref="A319:A341" si="106">A318+1</f>
        <v>2</v>
      </c>
      <c r="B319" s="37" t="s">
        <v>263</v>
      </c>
      <c r="C319" s="46" t="s">
        <v>108</v>
      </c>
      <c r="D319" s="123">
        <v>200.0</v>
      </c>
      <c r="E319" s="37">
        <v>1.0</v>
      </c>
      <c r="F319" s="40"/>
      <c r="G319" s="40"/>
      <c r="H319" s="40">
        <f t="shared" si="104"/>
        <v>200</v>
      </c>
      <c r="I319" s="40"/>
      <c r="J319" s="64">
        <f t="shared" si="105"/>
        <v>200</v>
      </c>
      <c r="K319" s="46"/>
    </row>
    <row r="320" ht="19.5" customHeight="1">
      <c r="A320" s="46">
        <f t="shared" si="106"/>
        <v>3</v>
      </c>
      <c r="B320" s="37" t="s">
        <v>264</v>
      </c>
      <c r="C320" s="46" t="s">
        <v>108</v>
      </c>
      <c r="D320" s="123">
        <v>100.0</v>
      </c>
      <c r="E320" s="37">
        <v>1.0</v>
      </c>
      <c r="F320" s="40"/>
      <c r="G320" s="40"/>
      <c r="H320" s="40">
        <f t="shared" si="104"/>
        <v>100</v>
      </c>
      <c r="I320" s="40"/>
      <c r="J320" s="64">
        <f t="shared" si="105"/>
        <v>100</v>
      </c>
      <c r="K320" s="46"/>
    </row>
    <row r="321" ht="19.5" customHeight="1">
      <c r="A321" s="46">
        <f t="shared" si="106"/>
        <v>4</v>
      </c>
      <c r="B321" s="37" t="s">
        <v>265</v>
      </c>
      <c r="C321" s="46" t="s">
        <v>106</v>
      </c>
      <c r="D321" s="123">
        <v>8.0</v>
      </c>
      <c r="E321" s="37">
        <v>1.0</v>
      </c>
      <c r="F321" s="40"/>
      <c r="G321" s="40"/>
      <c r="H321" s="40">
        <f t="shared" si="104"/>
        <v>8</v>
      </c>
      <c r="I321" s="40"/>
      <c r="J321" s="64">
        <f t="shared" si="105"/>
        <v>8</v>
      </c>
      <c r="K321" s="46"/>
    </row>
    <row r="322" ht="19.5" customHeight="1">
      <c r="A322" s="46">
        <f t="shared" si="106"/>
        <v>5</v>
      </c>
      <c r="B322" s="37" t="s">
        <v>266</v>
      </c>
      <c r="C322" s="46" t="s">
        <v>106</v>
      </c>
      <c r="D322" s="123">
        <v>12.0</v>
      </c>
      <c r="E322" s="37">
        <v>1.0</v>
      </c>
      <c r="F322" s="40"/>
      <c r="G322" s="40"/>
      <c r="H322" s="40">
        <f t="shared" si="104"/>
        <v>12</v>
      </c>
      <c r="I322" s="40"/>
      <c r="J322" s="64">
        <f t="shared" si="105"/>
        <v>12</v>
      </c>
      <c r="K322" s="46"/>
    </row>
    <row r="323" ht="19.5" customHeight="1">
      <c r="A323" s="46">
        <f t="shared" si="106"/>
        <v>6</v>
      </c>
      <c r="B323" s="37" t="s">
        <v>267</v>
      </c>
      <c r="C323" s="46" t="s">
        <v>106</v>
      </c>
      <c r="D323" s="123">
        <v>12.0</v>
      </c>
      <c r="E323" s="37">
        <v>1.0</v>
      </c>
      <c r="F323" s="40"/>
      <c r="G323" s="40"/>
      <c r="H323" s="40">
        <f t="shared" si="104"/>
        <v>12</v>
      </c>
      <c r="I323" s="40"/>
      <c r="J323" s="64">
        <f t="shared" si="105"/>
        <v>12</v>
      </c>
      <c r="K323" s="46"/>
    </row>
    <row r="324" ht="19.5" customHeight="1">
      <c r="A324" s="46">
        <f t="shared" si="106"/>
        <v>7</v>
      </c>
      <c r="B324" s="37" t="s">
        <v>268</v>
      </c>
      <c r="C324" s="46" t="s">
        <v>106</v>
      </c>
      <c r="D324" s="123">
        <v>12.0</v>
      </c>
      <c r="E324" s="37">
        <v>1.0</v>
      </c>
      <c r="F324" s="40"/>
      <c r="G324" s="40"/>
      <c r="H324" s="40">
        <f t="shared" si="104"/>
        <v>12</v>
      </c>
      <c r="I324" s="40"/>
      <c r="J324" s="64">
        <f t="shared" si="105"/>
        <v>12</v>
      </c>
      <c r="K324" s="46"/>
    </row>
    <row r="325" ht="19.5" customHeight="1">
      <c r="A325" s="46">
        <f t="shared" si="106"/>
        <v>8</v>
      </c>
      <c r="B325" s="37" t="s">
        <v>269</v>
      </c>
      <c r="C325" s="46" t="s">
        <v>106</v>
      </c>
      <c r="D325" s="123">
        <v>12.0</v>
      </c>
      <c r="E325" s="37">
        <v>1.0</v>
      </c>
      <c r="F325" s="40"/>
      <c r="G325" s="40"/>
      <c r="H325" s="40">
        <f t="shared" si="104"/>
        <v>12</v>
      </c>
      <c r="I325" s="40"/>
      <c r="J325" s="64">
        <f t="shared" si="105"/>
        <v>12</v>
      </c>
      <c r="K325" s="46"/>
    </row>
    <row r="326" ht="19.5" customHeight="1">
      <c r="A326" s="46">
        <f t="shared" si="106"/>
        <v>9</v>
      </c>
      <c r="B326" s="37" t="s">
        <v>270</v>
      </c>
      <c r="C326" s="46" t="s">
        <v>106</v>
      </c>
      <c r="D326" s="123">
        <v>12.0</v>
      </c>
      <c r="E326" s="37">
        <v>1.0</v>
      </c>
      <c r="F326" s="40"/>
      <c r="G326" s="40"/>
      <c r="H326" s="40">
        <f t="shared" si="104"/>
        <v>12</v>
      </c>
      <c r="I326" s="40"/>
      <c r="J326" s="64">
        <f t="shared" si="105"/>
        <v>12</v>
      </c>
      <c r="K326" s="46"/>
    </row>
    <row r="327" ht="19.5" customHeight="1">
      <c r="A327" s="46">
        <f t="shared" si="106"/>
        <v>10</v>
      </c>
      <c r="B327" s="37" t="s">
        <v>271</v>
      </c>
      <c r="C327" s="46" t="s">
        <v>106</v>
      </c>
      <c r="D327" s="123">
        <v>6.0</v>
      </c>
      <c r="E327" s="37">
        <v>1.0</v>
      </c>
      <c r="F327" s="40"/>
      <c r="G327" s="40"/>
      <c r="H327" s="40">
        <f t="shared" si="104"/>
        <v>6</v>
      </c>
      <c r="I327" s="40"/>
      <c r="J327" s="64">
        <f t="shared" si="105"/>
        <v>6</v>
      </c>
      <c r="K327" s="46"/>
    </row>
    <row r="328" ht="19.5" customHeight="1">
      <c r="A328" s="46">
        <f t="shared" si="106"/>
        <v>11</v>
      </c>
      <c r="B328" s="37" t="s">
        <v>272</v>
      </c>
      <c r="C328" s="46" t="s">
        <v>106</v>
      </c>
      <c r="D328" s="123">
        <v>6.0</v>
      </c>
      <c r="E328" s="37">
        <v>1.0</v>
      </c>
      <c r="F328" s="40"/>
      <c r="G328" s="40"/>
      <c r="H328" s="40">
        <f t="shared" si="104"/>
        <v>6</v>
      </c>
      <c r="I328" s="40"/>
      <c r="J328" s="64">
        <f t="shared" si="105"/>
        <v>6</v>
      </c>
      <c r="K328" s="46"/>
    </row>
    <row r="329" ht="19.5" customHeight="1">
      <c r="A329" s="46">
        <f t="shared" si="106"/>
        <v>12</v>
      </c>
      <c r="B329" s="37" t="s">
        <v>273</v>
      </c>
      <c r="C329" s="46" t="s">
        <v>106</v>
      </c>
      <c r="D329" s="123">
        <v>6.0</v>
      </c>
      <c r="E329" s="37">
        <v>1.0</v>
      </c>
      <c r="F329" s="40"/>
      <c r="G329" s="40"/>
      <c r="H329" s="40">
        <f t="shared" si="104"/>
        <v>6</v>
      </c>
      <c r="I329" s="40"/>
      <c r="J329" s="64">
        <f t="shared" si="105"/>
        <v>6</v>
      </c>
      <c r="K329" s="46"/>
    </row>
    <row r="330" ht="19.5" customHeight="1">
      <c r="A330" s="46">
        <f t="shared" si="106"/>
        <v>13</v>
      </c>
      <c r="B330" s="37" t="s">
        <v>274</v>
      </c>
      <c r="C330" s="46" t="s">
        <v>106</v>
      </c>
      <c r="D330" s="123">
        <v>6.0</v>
      </c>
      <c r="E330" s="37">
        <v>1.0</v>
      </c>
      <c r="F330" s="40"/>
      <c r="G330" s="40"/>
      <c r="H330" s="40">
        <f t="shared" si="104"/>
        <v>6</v>
      </c>
      <c r="I330" s="40"/>
      <c r="J330" s="64">
        <f t="shared" si="105"/>
        <v>6</v>
      </c>
      <c r="K330" s="46"/>
    </row>
    <row r="331" ht="19.5" customHeight="1">
      <c r="A331" s="46">
        <f t="shared" si="106"/>
        <v>14</v>
      </c>
      <c r="B331" s="37" t="s">
        <v>275</v>
      </c>
      <c r="C331" s="46" t="s">
        <v>106</v>
      </c>
      <c r="D331" s="123">
        <v>6.0</v>
      </c>
      <c r="E331" s="37">
        <v>1.0</v>
      </c>
      <c r="F331" s="40"/>
      <c r="G331" s="40"/>
      <c r="H331" s="40">
        <f t="shared" si="104"/>
        <v>6</v>
      </c>
      <c r="I331" s="40"/>
      <c r="J331" s="64">
        <f t="shared" si="105"/>
        <v>6</v>
      </c>
      <c r="K331" s="46"/>
    </row>
    <row r="332" ht="19.5" customHeight="1">
      <c r="A332" s="46">
        <f t="shared" si="106"/>
        <v>15</v>
      </c>
      <c r="B332" s="37" t="s">
        <v>276</v>
      </c>
      <c r="C332" s="46" t="s">
        <v>106</v>
      </c>
      <c r="D332" s="123">
        <v>6.0</v>
      </c>
      <c r="E332" s="37">
        <v>1.0</v>
      </c>
      <c r="F332" s="40"/>
      <c r="G332" s="40"/>
      <c r="H332" s="40">
        <f t="shared" si="104"/>
        <v>6</v>
      </c>
      <c r="I332" s="40"/>
      <c r="J332" s="64">
        <f t="shared" si="105"/>
        <v>6</v>
      </c>
      <c r="K332" s="46"/>
    </row>
    <row r="333" ht="19.5" customHeight="1">
      <c r="A333" s="46">
        <f t="shared" si="106"/>
        <v>16</v>
      </c>
      <c r="B333" s="37" t="s">
        <v>277</v>
      </c>
      <c r="C333" s="46" t="s">
        <v>106</v>
      </c>
      <c r="D333" s="123">
        <v>6.0</v>
      </c>
      <c r="E333" s="37">
        <v>1.0</v>
      </c>
      <c r="F333" s="40"/>
      <c r="G333" s="40"/>
      <c r="H333" s="40">
        <f t="shared" si="104"/>
        <v>6</v>
      </c>
      <c r="I333" s="40"/>
      <c r="J333" s="64">
        <f t="shared" si="105"/>
        <v>6</v>
      </c>
      <c r="K333" s="46"/>
    </row>
    <row r="334" ht="19.5" customHeight="1">
      <c r="A334" s="46">
        <f t="shared" si="106"/>
        <v>17</v>
      </c>
      <c r="B334" s="37" t="s">
        <v>278</v>
      </c>
      <c r="C334" s="46" t="s">
        <v>106</v>
      </c>
      <c r="D334" s="123">
        <v>6.0</v>
      </c>
      <c r="E334" s="37">
        <v>1.0</v>
      </c>
      <c r="F334" s="40"/>
      <c r="G334" s="40"/>
      <c r="H334" s="40">
        <f t="shared" si="104"/>
        <v>6</v>
      </c>
      <c r="I334" s="40"/>
      <c r="J334" s="64">
        <f t="shared" si="105"/>
        <v>6</v>
      </c>
      <c r="K334" s="46"/>
    </row>
    <row r="335" ht="19.5" customHeight="1">
      <c r="A335" s="46">
        <f t="shared" si="106"/>
        <v>18</v>
      </c>
      <c r="B335" s="37" t="s">
        <v>279</v>
      </c>
      <c r="C335" s="46" t="s">
        <v>106</v>
      </c>
      <c r="D335" s="123">
        <v>30.0</v>
      </c>
      <c r="E335" s="37">
        <v>1.0</v>
      </c>
      <c r="F335" s="40"/>
      <c r="G335" s="40"/>
      <c r="H335" s="40">
        <f t="shared" si="104"/>
        <v>30</v>
      </c>
      <c r="I335" s="40"/>
      <c r="J335" s="64">
        <f t="shared" si="105"/>
        <v>30</v>
      </c>
      <c r="K335" s="46"/>
    </row>
    <row r="336" ht="19.5" customHeight="1">
      <c r="A336" s="46">
        <f t="shared" si="106"/>
        <v>19</v>
      </c>
      <c r="B336" s="37" t="s">
        <v>280</v>
      </c>
      <c r="C336" s="46" t="s">
        <v>106</v>
      </c>
      <c r="D336" s="123">
        <v>25.0</v>
      </c>
      <c r="E336" s="37">
        <v>1.0</v>
      </c>
      <c r="F336" s="40"/>
      <c r="G336" s="40"/>
      <c r="H336" s="40">
        <f t="shared" si="104"/>
        <v>25</v>
      </c>
      <c r="I336" s="40"/>
      <c r="J336" s="64">
        <f t="shared" si="105"/>
        <v>25</v>
      </c>
      <c r="K336" s="46"/>
    </row>
    <row r="337" ht="19.5" customHeight="1">
      <c r="A337" s="46">
        <f t="shared" si="106"/>
        <v>20</v>
      </c>
      <c r="B337" s="37" t="s">
        <v>281</v>
      </c>
      <c r="C337" s="46" t="s">
        <v>106</v>
      </c>
      <c r="D337" s="123">
        <v>6.0</v>
      </c>
      <c r="E337" s="37">
        <v>1.0</v>
      </c>
      <c r="F337" s="40"/>
      <c r="G337" s="40"/>
      <c r="H337" s="40">
        <f t="shared" si="104"/>
        <v>6</v>
      </c>
      <c r="I337" s="40"/>
      <c r="J337" s="64">
        <f t="shared" si="105"/>
        <v>6</v>
      </c>
      <c r="K337" s="46"/>
    </row>
    <row r="338" ht="19.5" customHeight="1">
      <c r="A338" s="46">
        <f t="shared" si="106"/>
        <v>21</v>
      </c>
      <c r="B338" s="37" t="s">
        <v>378</v>
      </c>
      <c r="C338" s="46" t="s">
        <v>106</v>
      </c>
      <c r="D338" s="123">
        <v>6.0</v>
      </c>
      <c r="E338" s="37">
        <v>1.0</v>
      </c>
      <c r="F338" s="40"/>
      <c r="G338" s="40"/>
      <c r="H338" s="40">
        <f t="shared" si="104"/>
        <v>6</v>
      </c>
      <c r="I338" s="40"/>
      <c r="J338" s="64">
        <f t="shared" si="105"/>
        <v>6</v>
      </c>
      <c r="K338" s="46"/>
    </row>
    <row r="339" ht="19.5" customHeight="1">
      <c r="A339" s="46">
        <f t="shared" si="106"/>
        <v>22</v>
      </c>
      <c r="B339" s="37" t="s">
        <v>284</v>
      </c>
      <c r="C339" s="46" t="s">
        <v>106</v>
      </c>
      <c r="D339" s="123"/>
      <c r="E339" s="37">
        <v>1.0</v>
      </c>
      <c r="F339" s="40"/>
      <c r="G339" s="40"/>
      <c r="H339" s="40">
        <f t="shared" si="104"/>
        <v>0</v>
      </c>
      <c r="I339" s="40"/>
      <c r="J339" s="64">
        <f t="shared" si="105"/>
        <v>0</v>
      </c>
      <c r="K339" s="46"/>
    </row>
    <row r="340" ht="19.5" customHeight="1">
      <c r="A340" s="46">
        <f t="shared" si="106"/>
        <v>23</v>
      </c>
      <c r="B340" s="37" t="s">
        <v>285</v>
      </c>
      <c r="C340" s="46" t="s">
        <v>106</v>
      </c>
      <c r="D340" s="123">
        <v>3.0</v>
      </c>
      <c r="E340" s="37">
        <v>1.0</v>
      </c>
      <c r="F340" s="40"/>
      <c r="G340" s="40"/>
      <c r="H340" s="40">
        <f t="shared" si="104"/>
        <v>3</v>
      </c>
      <c r="I340" s="40"/>
      <c r="J340" s="64">
        <f t="shared" si="105"/>
        <v>3</v>
      </c>
      <c r="K340" s="79"/>
    </row>
    <row r="341" ht="19.5" customHeight="1">
      <c r="A341" s="46">
        <f t="shared" si="106"/>
        <v>24</v>
      </c>
      <c r="B341" s="37" t="s">
        <v>286</v>
      </c>
      <c r="C341" s="46" t="s">
        <v>106</v>
      </c>
      <c r="D341" s="123"/>
      <c r="E341" s="37">
        <v>1.0</v>
      </c>
      <c r="F341" s="40"/>
      <c r="G341" s="40"/>
      <c r="H341" s="40">
        <f t="shared" si="104"/>
        <v>0</v>
      </c>
      <c r="I341" s="40"/>
      <c r="J341" s="64">
        <f t="shared" si="105"/>
        <v>0</v>
      </c>
      <c r="K341" s="79"/>
    </row>
    <row r="342" ht="19.5" customHeight="1">
      <c r="A342" s="74" t="s">
        <v>1</v>
      </c>
      <c r="B342" s="74" t="s">
        <v>91</v>
      </c>
      <c r="C342" s="74" t="s">
        <v>92</v>
      </c>
      <c r="D342" s="76" t="s">
        <v>93</v>
      </c>
      <c r="E342" s="50" t="s">
        <v>161</v>
      </c>
      <c r="F342" s="53" t="s">
        <v>121</v>
      </c>
      <c r="G342" s="53" t="s">
        <v>99</v>
      </c>
      <c r="H342" s="53" t="s">
        <v>100</v>
      </c>
      <c r="I342" s="53" t="s">
        <v>101</v>
      </c>
      <c r="J342" s="76" t="s">
        <v>95</v>
      </c>
      <c r="K342" s="74" t="s">
        <v>96</v>
      </c>
    </row>
    <row r="343" ht="19.5" customHeight="1">
      <c r="A343" s="46">
        <v>1.0</v>
      </c>
      <c r="B343" s="37" t="s">
        <v>287</v>
      </c>
      <c r="C343" s="46" t="s">
        <v>108</v>
      </c>
      <c r="D343" s="78">
        <v>0.0</v>
      </c>
      <c r="E343" s="37">
        <v>1.0</v>
      </c>
      <c r="F343" s="78"/>
      <c r="G343" s="40"/>
      <c r="H343" s="40">
        <f t="shared" ref="H343:H384" si="107">E343*D343</f>
        <v>0</v>
      </c>
      <c r="I343" s="42"/>
      <c r="J343" s="64">
        <f t="shared" ref="J343:J384" si="108">H343</f>
        <v>0</v>
      </c>
      <c r="K343" s="46"/>
    </row>
    <row r="344" ht="19.5" customHeight="1">
      <c r="A344" s="46">
        <f t="shared" ref="A344:A384" si="109">A343+1</f>
        <v>2</v>
      </c>
      <c r="B344" s="37" t="s">
        <v>288</v>
      </c>
      <c r="C344" s="46" t="s">
        <v>108</v>
      </c>
      <c r="D344" s="78">
        <v>100.0</v>
      </c>
      <c r="E344" s="37">
        <v>1.0</v>
      </c>
      <c r="F344" s="78"/>
      <c r="G344" s="40"/>
      <c r="H344" s="40">
        <f t="shared" si="107"/>
        <v>100</v>
      </c>
      <c r="I344" s="42"/>
      <c r="J344" s="64">
        <f t="shared" si="108"/>
        <v>100</v>
      </c>
      <c r="K344" s="46"/>
    </row>
    <row r="345" ht="19.5" customHeight="1">
      <c r="A345" s="46">
        <f t="shared" si="109"/>
        <v>3</v>
      </c>
      <c r="B345" s="37" t="s">
        <v>289</v>
      </c>
      <c r="C345" s="46" t="s">
        <v>108</v>
      </c>
      <c r="D345" s="78">
        <v>50.0</v>
      </c>
      <c r="E345" s="37">
        <v>1.0</v>
      </c>
      <c r="F345" s="78"/>
      <c r="G345" s="40"/>
      <c r="H345" s="40">
        <f t="shared" si="107"/>
        <v>50</v>
      </c>
      <c r="I345" s="42"/>
      <c r="J345" s="64">
        <f t="shared" si="108"/>
        <v>50</v>
      </c>
      <c r="K345" s="46"/>
    </row>
    <row r="346" ht="19.5" customHeight="1">
      <c r="A346" s="46">
        <f t="shared" si="109"/>
        <v>4</v>
      </c>
      <c r="B346" s="37" t="s">
        <v>263</v>
      </c>
      <c r="C346" s="46" t="s">
        <v>108</v>
      </c>
      <c r="D346" s="78">
        <v>100.0</v>
      </c>
      <c r="E346" s="37">
        <v>1.0</v>
      </c>
      <c r="F346" s="78"/>
      <c r="G346" s="40"/>
      <c r="H346" s="40">
        <f t="shared" si="107"/>
        <v>100</v>
      </c>
      <c r="I346" s="42"/>
      <c r="J346" s="64">
        <f t="shared" si="108"/>
        <v>100</v>
      </c>
      <c r="K346" s="46"/>
    </row>
    <row r="347" ht="19.5" customHeight="1">
      <c r="A347" s="46">
        <f t="shared" si="109"/>
        <v>5</v>
      </c>
      <c r="B347" s="37" t="s">
        <v>264</v>
      </c>
      <c r="C347" s="46" t="s">
        <v>108</v>
      </c>
      <c r="D347" s="123">
        <v>100.0</v>
      </c>
      <c r="E347" s="37">
        <v>1.0</v>
      </c>
      <c r="F347" s="40"/>
      <c r="G347" s="40"/>
      <c r="H347" s="40">
        <f t="shared" si="107"/>
        <v>100</v>
      </c>
      <c r="I347" s="40"/>
      <c r="J347" s="64">
        <f t="shared" si="108"/>
        <v>100</v>
      </c>
      <c r="K347" s="46"/>
    </row>
    <row r="348" ht="19.5" customHeight="1">
      <c r="A348" s="46">
        <f t="shared" si="109"/>
        <v>6</v>
      </c>
      <c r="B348" s="37" t="s">
        <v>290</v>
      </c>
      <c r="C348" s="46" t="s">
        <v>108</v>
      </c>
      <c r="D348" s="123">
        <v>160.0</v>
      </c>
      <c r="E348" s="37">
        <v>1.0</v>
      </c>
      <c r="F348" s="40"/>
      <c r="G348" s="40"/>
      <c r="H348" s="40">
        <f t="shared" si="107"/>
        <v>160</v>
      </c>
      <c r="I348" s="40"/>
      <c r="J348" s="64">
        <f t="shared" si="108"/>
        <v>160</v>
      </c>
      <c r="K348" s="46"/>
    </row>
    <row r="349" ht="19.5" customHeight="1">
      <c r="A349" s="46">
        <f t="shared" si="109"/>
        <v>7</v>
      </c>
      <c r="B349" s="37" t="s">
        <v>291</v>
      </c>
      <c r="C349" s="46" t="s">
        <v>108</v>
      </c>
      <c r="D349" s="123">
        <v>200.0</v>
      </c>
      <c r="E349" s="37">
        <v>1.0</v>
      </c>
      <c r="F349" s="40"/>
      <c r="G349" s="40"/>
      <c r="H349" s="40">
        <f t="shared" si="107"/>
        <v>200</v>
      </c>
      <c r="I349" s="40"/>
      <c r="J349" s="64">
        <f t="shared" si="108"/>
        <v>200</v>
      </c>
      <c r="K349" s="46"/>
    </row>
    <row r="350" ht="19.5" customHeight="1">
      <c r="A350" s="46">
        <f t="shared" si="109"/>
        <v>8</v>
      </c>
      <c r="B350" s="37" t="s">
        <v>292</v>
      </c>
      <c r="C350" s="46" t="s">
        <v>106</v>
      </c>
      <c r="D350" s="123">
        <v>0.0</v>
      </c>
      <c r="E350" s="37">
        <v>1.0</v>
      </c>
      <c r="F350" s="40"/>
      <c r="G350" s="40"/>
      <c r="H350" s="40">
        <f t="shared" si="107"/>
        <v>0</v>
      </c>
      <c r="I350" s="40"/>
      <c r="J350" s="64">
        <f t="shared" si="108"/>
        <v>0</v>
      </c>
      <c r="K350" s="46"/>
    </row>
    <row r="351" ht="19.5" customHeight="1">
      <c r="A351" s="46">
        <f t="shared" si="109"/>
        <v>9</v>
      </c>
      <c r="B351" s="37" t="s">
        <v>293</v>
      </c>
      <c r="C351" s="46" t="s">
        <v>106</v>
      </c>
      <c r="D351" s="123">
        <v>4.0</v>
      </c>
      <c r="E351" s="37">
        <v>1.0</v>
      </c>
      <c r="F351" s="40"/>
      <c r="G351" s="40"/>
      <c r="H351" s="40">
        <f t="shared" si="107"/>
        <v>4</v>
      </c>
      <c r="I351" s="40"/>
      <c r="J351" s="64">
        <f t="shared" si="108"/>
        <v>4</v>
      </c>
      <c r="K351" s="46"/>
    </row>
    <row r="352" ht="19.5" customHeight="1">
      <c r="A352" s="46">
        <f t="shared" si="109"/>
        <v>10</v>
      </c>
      <c r="B352" s="37" t="s">
        <v>294</v>
      </c>
      <c r="C352" s="46" t="s">
        <v>106</v>
      </c>
      <c r="D352" s="123">
        <v>4.0</v>
      </c>
      <c r="E352" s="37">
        <v>1.0</v>
      </c>
      <c r="F352" s="40"/>
      <c r="G352" s="40"/>
      <c r="H352" s="40">
        <f t="shared" si="107"/>
        <v>4</v>
      </c>
      <c r="I352" s="40"/>
      <c r="J352" s="64">
        <f t="shared" si="108"/>
        <v>4</v>
      </c>
      <c r="K352" s="46"/>
    </row>
    <row r="353" ht="19.5" customHeight="1">
      <c r="A353" s="46">
        <f t="shared" si="109"/>
        <v>11</v>
      </c>
      <c r="B353" s="37" t="s">
        <v>295</v>
      </c>
      <c r="C353" s="46" t="s">
        <v>106</v>
      </c>
      <c r="D353" s="123">
        <v>4.0</v>
      </c>
      <c r="E353" s="37">
        <v>1.0</v>
      </c>
      <c r="F353" s="40"/>
      <c r="G353" s="40"/>
      <c r="H353" s="40">
        <f t="shared" si="107"/>
        <v>4</v>
      </c>
      <c r="I353" s="40"/>
      <c r="J353" s="64">
        <f t="shared" si="108"/>
        <v>4</v>
      </c>
      <c r="K353" s="46"/>
    </row>
    <row r="354" ht="19.5" customHeight="1">
      <c r="A354" s="46">
        <f t="shared" si="109"/>
        <v>12</v>
      </c>
      <c r="B354" s="37" t="s">
        <v>270</v>
      </c>
      <c r="C354" s="46" t="s">
        <v>106</v>
      </c>
      <c r="D354" s="123">
        <v>4.0</v>
      </c>
      <c r="E354" s="37">
        <v>1.0</v>
      </c>
      <c r="F354" s="40"/>
      <c r="G354" s="40"/>
      <c r="H354" s="40">
        <f t="shared" si="107"/>
        <v>4</v>
      </c>
      <c r="I354" s="40"/>
      <c r="J354" s="64">
        <f t="shared" si="108"/>
        <v>4</v>
      </c>
      <c r="K354" s="46"/>
    </row>
    <row r="355" ht="19.5" customHeight="1">
      <c r="A355" s="46">
        <f t="shared" si="109"/>
        <v>13</v>
      </c>
      <c r="B355" s="37" t="s">
        <v>296</v>
      </c>
      <c r="C355" s="46" t="s">
        <v>106</v>
      </c>
      <c r="D355" s="123">
        <v>20.0</v>
      </c>
      <c r="E355" s="37">
        <v>2.0</v>
      </c>
      <c r="F355" s="40"/>
      <c r="G355" s="40"/>
      <c r="H355" s="40">
        <f t="shared" si="107"/>
        <v>40</v>
      </c>
      <c r="I355" s="40"/>
      <c r="J355" s="64">
        <f t="shared" si="108"/>
        <v>40</v>
      </c>
      <c r="K355" s="46"/>
    </row>
    <row r="356" ht="19.5" customHeight="1">
      <c r="A356" s="46">
        <f t="shared" si="109"/>
        <v>14</v>
      </c>
      <c r="B356" s="37" t="s">
        <v>297</v>
      </c>
      <c r="C356" s="46" t="s">
        <v>106</v>
      </c>
      <c r="D356" s="123">
        <v>20.0</v>
      </c>
      <c r="E356" s="37">
        <v>2.0</v>
      </c>
      <c r="F356" s="40"/>
      <c r="G356" s="40"/>
      <c r="H356" s="40">
        <f t="shared" si="107"/>
        <v>40</v>
      </c>
      <c r="I356" s="40"/>
      <c r="J356" s="64">
        <f t="shared" si="108"/>
        <v>40</v>
      </c>
      <c r="K356" s="46"/>
    </row>
    <row r="357" ht="19.5" customHeight="1">
      <c r="A357" s="46">
        <f t="shared" si="109"/>
        <v>15</v>
      </c>
      <c r="B357" s="37" t="s">
        <v>298</v>
      </c>
      <c r="C357" s="46" t="s">
        <v>106</v>
      </c>
      <c r="D357" s="123">
        <v>4.0</v>
      </c>
      <c r="E357" s="37">
        <v>1.0</v>
      </c>
      <c r="F357" s="40"/>
      <c r="G357" s="40"/>
      <c r="H357" s="40">
        <f t="shared" si="107"/>
        <v>4</v>
      </c>
      <c r="I357" s="40"/>
      <c r="J357" s="64">
        <f t="shared" si="108"/>
        <v>4</v>
      </c>
      <c r="K357" s="46"/>
    </row>
    <row r="358" ht="19.5" customHeight="1">
      <c r="A358" s="46">
        <f t="shared" si="109"/>
        <v>16</v>
      </c>
      <c r="B358" s="37" t="s">
        <v>299</v>
      </c>
      <c r="C358" s="46" t="s">
        <v>106</v>
      </c>
      <c r="D358" s="123">
        <v>4.0</v>
      </c>
      <c r="E358" s="37">
        <v>1.0</v>
      </c>
      <c r="F358" s="40"/>
      <c r="G358" s="40"/>
      <c r="H358" s="40">
        <f t="shared" si="107"/>
        <v>4</v>
      </c>
      <c r="I358" s="40"/>
      <c r="J358" s="64">
        <f t="shared" si="108"/>
        <v>4</v>
      </c>
      <c r="K358" s="46"/>
    </row>
    <row r="359" ht="19.5" customHeight="1">
      <c r="A359" s="46">
        <f t="shared" si="109"/>
        <v>17</v>
      </c>
      <c r="B359" s="37" t="s">
        <v>300</v>
      </c>
      <c r="C359" s="46" t="s">
        <v>106</v>
      </c>
      <c r="D359" s="123">
        <v>4.0</v>
      </c>
      <c r="E359" s="37">
        <v>1.0</v>
      </c>
      <c r="F359" s="40"/>
      <c r="G359" s="40"/>
      <c r="H359" s="40">
        <f t="shared" si="107"/>
        <v>4</v>
      </c>
      <c r="I359" s="40"/>
      <c r="J359" s="64">
        <f t="shared" si="108"/>
        <v>4</v>
      </c>
      <c r="K359" s="46"/>
    </row>
    <row r="360" ht="19.5" customHeight="1">
      <c r="A360" s="46">
        <f t="shared" si="109"/>
        <v>18</v>
      </c>
      <c r="B360" s="37" t="s">
        <v>301</v>
      </c>
      <c r="C360" s="46" t="s">
        <v>106</v>
      </c>
      <c r="D360" s="123">
        <v>4.0</v>
      </c>
      <c r="E360" s="37">
        <v>1.0</v>
      </c>
      <c r="F360" s="40"/>
      <c r="G360" s="40"/>
      <c r="H360" s="40">
        <f t="shared" si="107"/>
        <v>4</v>
      </c>
      <c r="I360" s="40"/>
      <c r="J360" s="64">
        <f t="shared" si="108"/>
        <v>4</v>
      </c>
      <c r="K360" s="46"/>
    </row>
    <row r="361" ht="19.5" customHeight="1">
      <c r="A361" s="46">
        <f t="shared" si="109"/>
        <v>19</v>
      </c>
      <c r="B361" s="37" t="s">
        <v>302</v>
      </c>
      <c r="C361" s="46" t="s">
        <v>106</v>
      </c>
      <c r="D361" s="123">
        <v>4.0</v>
      </c>
      <c r="E361" s="37">
        <v>1.0</v>
      </c>
      <c r="F361" s="40"/>
      <c r="G361" s="40"/>
      <c r="H361" s="40">
        <f t="shared" si="107"/>
        <v>4</v>
      </c>
      <c r="I361" s="40"/>
      <c r="J361" s="64">
        <f t="shared" si="108"/>
        <v>4</v>
      </c>
      <c r="K361" s="46"/>
    </row>
    <row r="362" ht="19.5" customHeight="1">
      <c r="A362" s="46">
        <f t="shared" si="109"/>
        <v>20</v>
      </c>
      <c r="B362" s="37" t="s">
        <v>303</v>
      </c>
      <c r="C362" s="46" t="s">
        <v>106</v>
      </c>
      <c r="D362" s="123">
        <v>20.0</v>
      </c>
      <c r="E362" s="37">
        <v>1.0</v>
      </c>
      <c r="F362" s="40"/>
      <c r="G362" s="40"/>
      <c r="H362" s="40">
        <f t="shared" si="107"/>
        <v>20</v>
      </c>
      <c r="I362" s="40"/>
      <c r="J362" s="64">
        <f t="shared" si="108"/>
        <v>20</v>
      </c>
      <c r="K362" s="46"/>
    </row>
    <row r="363" ht="19.5" customHeight="1">
      <c r="A363" s="46">
        <f t="shared" si="109"/>
        <v>21</v>
      </c>
      <c r="B363" s="37" t="s">
        <v>304</v>
      </c>
      <c r="C363" s="46" t="s">
        <v>106</v>
      </c>
      <c r="D363" s="123">
        <v>20.0</v>
      </c>
      <c r="E363" s="37">
        <v>1.0</v>
      </c>
      <c r="F363" s="40"/>
      <c r="G363" s="40"/>
      <c r="H363" s="40">
        <f t="shared" si="107"/>
        <v>20</v>
      </c>
      <c r="I363" s="40"/>
      <c r="J363" s="64">
        <f t="shared" si="108"/>
        <v>20</v>
      </c>
      <c r="K363" s="46"/>
    </row>
    <row r="364" ht="19.5" customHeight="1">
      <c r="A364" s="46">
        <f t="shared" si="109"/>
        <v>22</v>
      </c>
      <c r="B364" s="37" t="s">
        <v>305</v>
      </c>
      <c r="C364" s="46" t="s">
        <v>106</v>
      </c>
      <c r="D364" s="123">
        <v>0.0</v>
      </c>
      <c r="E364" s="37">
        <v>1.0</v>
      </c>
      <c r="F364" s="40"/>
      <c r="G364" s="40"/>
      <c r="H364" s="40">
        <f t="shared" si="107"/>
        <v>0</v>
      </c>
      <c r="I364" s="40"/>
      <c r="J364" s="64">
        <f t="shared" si="108"/>
        <v>0</v>
      </c>
      <c r="K364" s="46"/>
    </row>
    <row r="365" ht="19.5" customHeight="1">
      <c r="A365" s="46">
        <f t="shared" si="109"/>
        <v>23</v>
      </c>
      <c r="B365" s="37" t="s">
        <v>306</v>
      </c>
      <c r="C365" s="46" t="s">
        <v>106</v>
      </c>
      <c r="D365" s="123">
        <v>2.0</v>
      </c>
      <c r="E365" s="37">
        <v>1.0</v>
      </c>
      <c r="F365" s="40"/>
      <c r="G365" s="40"/>
      <c r="H365" s="40">
        <f t="shared" si="107"/>
        <v>2</v>
      </c>
      <c r="I365" s="40"/>
      <c r="J365" s="64">
        <f t="shared" si="108"/>
        <v>2</v>
      </c>
      <c r="K365" s="46"/>
    </row>
    <row r="366" ht="19.5" customHeight="1">
      <c r="A366" s="46">
        <f t="shared" si="109"/>
        <v>24</v>
      </c>
      <c r="B366" s="37" t="s">
        <v>307</v>
      </c>
      <c r="C366" s="46" t="s">
        <v>106</v>
      </c>
      <c r="D366" s="123">
        <v>2.0</v>
      </c>
      <c r="E366" s="37">
        <v>1.0</v>
      </c>
      <c r="F366" s="40"/>
      <c r="G366" s="40"/>
      <c r="H366" s="40">
        <f t="shared" si="107"/>
        <v>2</v>
      </c>
      <c r="I366" s="40"/>
      <c r="J366" s="64">
        <f t="shared" si="108"/>
        <v>2</v>
      </c>
      <c r="K366" s="46"/>
    </row>
    <row r="367" ht="19.5" customHeight="1">
      <c r="A367" s="46">
        <f t="shared" si="109"/>
        <v>25</v>
      </c>
      <c r="B367" s="37" t="s">
        <v>308</v>
      </c>
      <c r="C367" s="46" t="s">
        <v>106</v>
      </c>
      <c r="D367" s="123">
        <v>2.0</v>
      </c>
      <c r="E367" s="37">
        <v>1.0</v>
      </c>
      <c r="F367" s="40"/>
      <c r="G367" s="40"/>
      <c r="H367" s="40">
        <f t="shared" si="107"/>
        <v>2</v>
      </c>
      <c r="I367" s="40"/>
      <c r="J367" s="64">
        <f t="shared" si="108"/>
        <v>2</v>
      </c>
      <c r="K367" s="46"/>
    </row>
    <row r="368" ht="19.5" customHeight="1">
      <c r="A368" s="46">
        <f t="shared" si="109"/>
        <v>26</v>
      </c>
      <c r="B368" s="37" t="s">
        <v>309</v>
      </c>
      <c r="C368" s="46" t="s">
        <v>106</v>
      </c>
      <c r="D368" s="123">
        <v>4.0</v>
      </c>
      <c r="E368" s="37">
        <v>1.0</v>
      </c>
      <c r="F368" s="40"/>
      <c r="G368" s="40"/>
      <c r="H368" s="40">
        <f t="shared" si="107"/>
        <v>4</v>
      </c>
      <c r="I368" s="40"/>
      <c r="J368" s="64">
        <f t="shared" si="108"/>
        <v>4</v>
      </c>
      <c r="K368" s="46"/>
    </row>
    <row r="369" ht="19.5" customHeight="1">
      <c r="A369" s="46">
        <f t="shared" si="109"/>
        <v>27</v>
      </c>
      <c r="B369" s="37" t="s">
        <v>310</v>
      </c>
      <c r="C369" s="46" t="s">
        <v>106</v>
      </c>
      <c r="D369" s="123">
        <v>20.0</v>
      </c>
      <c r="E369" s="37">
        <v>1.0</v>
      </c>
      <c r="F369" s="40"/>
      <c r="G369" s="40"/>
      <c r="H369" s="40">
        <f t="shared" si="107"/>
        <v>20</v>
      </c>
      <c r="I369" s="40"/>
      <c r="J369" s="64">
        <f t="shared" si="108"/>
        <v>20</v>
      </c>
      <c r="K369" s="46"/>
    </row>
    <row r="370" ht="19.5" customHeight="1">
      <c r="A370" s="46">
        <f t="shared" si="109"/>
        <v>28</v>
      </c>
      <c r="B370" s="37" t="s">
        <v>311</v>
      </c>
      <c r="C370" s="46" t="s">
        <v>106</v>
      </c>
      <c r="D370" s="123">
        <v>20.0</v>
      </c>
      <c r="E370" s="37">
        <v>1.0</v>
      </c>
      <c r="F370" s="40"/>
      <c r="G370" s="40"/>
      <c r="H370" s="40">
        <f t="shared" si="107"/>
        <v>20</v>
      </c>
      <c r="I370" s="40"/>
      <c r="J370" s="64">
        <f t="shared" si="108"/>
        <v>20</v>
      </c>
      <c r="K370" s="46"/>
    </row>
    <row r="371" ht="19.5" customHeight="1">
      <c r="A371" s="46">
        <f t="shared" si="109"/>
        <v>29</v>
      </c>
      <c r="B371" s="37" t="s">
        <v>312</v>
      </c>
      <c r="C371" s="46" t="s">
        <v>106</v>
      </c>
      <c r="D371" s="123">
        <v>20.0</v>
      </c>
      <c r="E371" s="37">
        <v>1.0</v>
      </c>
      <c r="F371" s="40"/>
      <c r="G371" s="40"/>
      <c r="H371" s="40">
        <f t="shared" si="107"/>
        <v>20</v>
      </c>
      <c r="I371" s="40"/>
      <c r="J371" s="64">
        <f t="shared" si="108"/>
        <v>20</v>
      </c>
      <c r="K371" s="46"/>
    </row>
    <row r="372" ht="19.5" customHeight="1">
      <c r="A372" s="46">
        <f t="shared" si="109"/>
        <v>30</v>
      </c>
      <c r="B372" s="37" t="s">
        <v>313</v>
      </c>
      <c r="C372" s="46" t="s">
        <v>106</v>
      </c>
      <c r="D372" s="123">
        <v>20.0</v>
      </c>
      <c r="E372" s="37">
        <v>1.0</v>
      </c>
      <c r="F372" s="40"/>
      <c r="G372" s="40"/>
      <c r="H372" s="40">
        <f t="shared" si="107"/>
        <v>20</v>
      </c>
      <c r="I372" s="40"/>
      <c r="J372" s="64">
        <f t="shared" si="108"/>
        <v>20</v>
      </c>
      <c r="K372" s="46"/>
    </row>
    <row r="373" ht="19.5" customHeight="1">
      <c r="A373" s="46">
        <f t="shared" si="109"/>
        <v>31</v>
      </c>
      <c r="B373" s="37" t="s">
        <v>314</v>
      </c>
      <c r="C373" s="46" t="s">
        <v>106</v>
      </c>
      <c r="D373" s="123">
        <v>10.0</v>
      </c>
      <c r="E373" s="37">
        <v>1.0</v>
      </c>
      <c r="F373" s="40"/>
      <c r="G373" s="40"/>
      <c r="H373" s="40">
        <f t="shared" si="107"/>
        <v>10</v>
      </c>
      <c r="I373" s="40"/>
      <c r="J373" s="64">
        <f t="shared" si="108"/>
        <v>10</v>
      </c>
      <c r="K373" s="46"/>
    </row>
    <row r="374" ht="19.5" customHeight="1">
      <c r="A374" s="46">
        <f t="shared" si="109"/>
        <v>32</v>
      </c>
      <c r="B374" s="37" t="s">
        <v>315</v>
      </c>
      <c r="C374" s="46" t="s">
        <v>106</v>
      </c>
      <c r="D374" s="123">
        <v>4.0</v>
      </c>
      <c r="E374" s="37">
        <v>1.0</v>
      </c>
      <c r="F374" s="40"/>
      <c r="G374" s="40"/>
      <c r="H374" s="40">
        <f t="shared" si="107"/>
        <v>4</v>
      </c>
      <c r="I374" s="40"/>
      <c r="J374" s="64">
        <f t="shared" si="108"/>
        <v>4</v>
      </c>
      <c r="K374" s="46"/>
    </row>
    <row r="375" ht="19.5" customHeight="1">
      <c r="A375" s="46">
        <f t="shared" si="109"/>
        <v>33</v>
      </c>
      <c r="B375" s="37" t="s">
        <v>316</v>
      </c>
      <c r="C375" s="46" t="s">
        <v>106</v>
      </c>
      <c r="D375" s="123">
        <v>6.0</v>
      </c>
      <c r="E375" s="37">
        <v>1.0</v>
      </c>
      <c r="F375" s="40"/>
      <c r="G375" s="40"/>
      <c r="H375" s="40">
        <f t="shared" si="107"/>
        <v>6</v>
      </c>
      <c r="I375" s="40"/>
      <c r="J375" s="64">
        <f t="shared" si="108"/>
        <v>6</v>
      </c>
      <c r="K375" s="46"/>
    </row>
    <row r="376" ht="19.5" customHeight="1">
      <c r="A376" s="46">
        <f t="shared" si="109"/>
        <v>34</v>
      </c>
      <c r="B376" s="37" t="s">
        <v>317</v>
      </c>
      <c r="C376" s="46" t="s">
        <v>106</v>
      </c>
      <c r="D376" s="123">
        <v>3.0</v>
      </c>
      <c r="E376" s="37">
        <v>1.0</v>
      </c>
      <c r="F376" s="40"/>
      <c r="G376" s="40"/>
      <c r="H376" s="40">
        <f t="shared" si="107"/>
        <v>3</v>
      </c>
      <c r="I376" s="40"/>
      <c r="J376" s="64">
        <f t="shared" si="108"/>
        <v>3</v>
      </c>
      <c r="K376" s="46"/>
    </row>
    <row r="377" ht="19.5" customHeight="1">
      <c r="A377" s="46">
        <f t="shared" si="109"/>
        <v>35</v>
      </c>
      <c r="B377" s="37" t="s">
        <v>318</v>
      </c>
      <c r="C377" s="46" t="s">
        <v>106</v>
      </c>
      <c r="D377" s="123">
        <v>1.0</v>
      </c>
      <c r="E377" s="37">
        <v>1.0</v>
      </c>
      <c r="F377" s="40"/>
      <c r="G377" s="40"/>
      <c r="H377" s="40">
        <f t="shared" si="107"/>
        <v>1</v>
      </c>
      <c r="I377" s="40"/>
      <c r="J377" s="64">
        <f t="shared" si="108"/>
        <v>1</v>
      </c>
      <c r="K377" s="46"/>
    </row>
    <row r="378" ht="19.5" customHeight="1">
      <c r="A378" s="46">
        <f t="shared" si="109"/>
        <v>36</v>
      </c>
      <c r="B378" s="37" t="s">
        <v>319</v>
      </c>
      <c r="C378" s="46" t="s">
        <v>106</v>
      </c>
      <c r="D378" s="123">
        <v>30.0</v>
      </c>
      <c r="E378" s="37">
        <v>1.0</v>
      </c>
      <c r="F378" s="40"/>
      <c r="G378" s="40"/>
      <c r="H378" s="40">
        <f t="shared" si="107"/>
        <v>30</v>
      </c>
      <c r="I378" s="40"/>
      <c r="J378" s="64">
        <f t="shared" si="108"/>
        <v>30</v>
      </c>
      <c r="K378" s="46"/>
    </row>
    <row r="379" ht="19.5" customHeight="1">
      <c r="A379" s="46">
        <f t="shared" si="109"/>
        <v>37</v>
      </c>
      <c r="B379" s="37" t="s">
        <v>320</v>
      </c>
      <c r="C379" s="46" t="s">
        <v>106</v>
      </c>
      <c r="D379" s="123">
        <v>6.0</v>
      </c>
      <c r="E379" s="37">
        <v>1.0</v>
      </c>
      <c r="F379" s="40"/>
      <c r="G379" s="40"/>
      <c r="H379" s="40">
        <f t="shared" si="107"/>
        <v>6</v>
      </c>
      <c r="I379" s="40"/>
      <c r="J379" s="64">
        <f t="shared" si="108"/>
        <v>6</v>
      </c>
      <c r="K379" s="46"/>
    </row>
    <row r="380" ht="19.5" customHeight="1">
      <c r="A380" s="46">
        <f t="shared" si="109"/>
        <v>38</v>
      </c>
      <c r="B380" s="37" t="s">
        <v>966</v>
      </c>
      <c r="C380" s="46" t="s">
        <v>106</v>
      </c>
      <c r="D380" s="123">
        <v>13.0</v>
      </c>
      <c r="E380" s="37">
        <v>1.0</v>
      </c>
      <c r="F380" s="40"/>
      <c r="G380" s="40"/>
      <c r="H380" s="40">
        <f t="shared" si="107"/>
        <v>13</v>
      </c>
      <c r="I380" s="40"/>
      <c r="J380" s="64">
        <f t="shared" si="108"/>
        <v>13</v>
      </c>
      <c r="K380" s="46"/>
    </row>
    <row r="381" ht="19.5" customHeight="1">
      <c r="A381" s="46">
        <f t="shared" si="109"/>
        <v>39</v>
      </c>
      <c r="B381" s="37" t="s">
        <v>321</v>
      </c>
      <c r="C381" s="46" t="s">
        <v>106</v>
      </c>
      <c r="D381" s="123">
        <v>6.0</v>
      </c>
      <c r="E381" s="37">
        <v>1.0</v>
      </c>
      <c r="F381" s="40"/>
      <c r="G381" s="40"/>
      <c r="H381" s="40">
        <f t="shared" si="107"/>
        <v>6</v>
      </c>
      <c r="I381" s="40"/>
      <c r="J381" s="64">
        <f t="shared" si="108"/>
        <v>6</v>
      </c>
      <c r="K381" s="46"/>
    </row>
    <row r="382" ht="19.5" customHeight="1">
      <c r="A382" s="46">
        <f t="shared" si="109"/>
        <v>40</v>
      </c>
      <c r="B382" s="37" t="s">
        <v>322</v>
      </c>
      <c r="C382" s="46" t="s">
        <v>106</v>
      </c>
      <c r="D382" s="123">
        <v>6.0</v>
      </c>
      <c r="E382" s="37">
        <v>1.0</v>
      </c>
      <c r="F382" s="40"/>
      <c r="G382" s="40"/>
      <c r="H382" s="40">
        <f t="shared" si="107"/>
        <v>6</v>
      </c>
      <c r="I382" s="40"/>
      <c r="J382" s="64">
        <f t="shared" si="108"/>
        <v>6</v>
      </c>
      <c r="K382" s="46"/>
    </row>
    <row r="383" ht="19.5" customHeight="1">
      <c r="A383" s="46">
        <f t="shared" si="109"/>
        <v>41</v>
      </c>
      <c r="B383" s="37" t="s">
        <v>323</v>
      </c>
      <c r="C383" s="46" t="s">
        <v>108</v>
      </c>
      <c r="D383" s="123">
        <v>400.0</v>
      </c>
      <c r="E383" s="37">
        <v>1.0</v>
      </c>
      <c r="F383" s="40"/>
      <c r="G383" s="40"/>
      <c r="H383" s="40">
        <f t="shared" si="107"/>
        <v>400</v>
      </c>
      <c r="I383" s="40"/>
      <c r="J383" s="64">
        <f t="shared" si="108"/>
        <v>400</v>
      </c>
      <c r="K383" s="46"/>
    </row>
    <row r="384" ht="19.5" customHeight="1">
      <c r="A384" s="46">
        <f t="shared" si="109"/>
        <v>42</v>
      </c>
      <c r="B384" s="37" t="s">
        <v>324</v>
      </c>
      <c r="C384" s="46" t="s">
        <v>325</v>
      </c>
      <c r="D384" s="123">
        <v>40.0</v>
      </c>
      <c r="E384" s="37">
        <v>1.0</v>
      </c>
      <c r="F384" s="40"/>
      <c r="G384" s="40"/>
      <c r="H384" s="40">
        <f t="shared" si="107"/>
        <v>40</v>
      </c>
      <c r="I384" s="40"/>
      <c r="J384" s="64">
        <f t="shared" si="108"/>
        <v>40</v>
      </c>
      <c r="K384" s="46"/>
    </row>
    <row r="385" ht="19.5" customHeight="1">
      <c r="A385" s="12"/>
      <c r="C385" s="12"/>
      <c r="D385" s="87"/>
      <c r="F385" s="14"/>
      <c r="G385" s="14"/>
      <c r="H385" s="14"/>
      <c r="I385" s="14"/>
      <c r="J385" s="14"/>
      <c r="K385" s="12"/>
    </row>
    <row r="386" ht="19.5" customHeight="1">
      <c r="A386" s="74" t="s">
        <v>1</v>
      </c>
      <c r="B386" s="74" t="s">
        <v>91</v>
      </c>
      <c r="C386" s="74" t="s">
        <v>92</v>
      </c>
      <c r="D386" s="76" t="s">
        <v>93</v>
      </c>
      <c r="E386" s="50" t="s">
        <v>161</v>
      </c>
      <c r="F386" s="53" t="s">
        <v>121</v>
      </c>
      <c r="G386" s="53" t="s">
        <v>99</v>
      </c>
      <c r="H386" s="53" t="s">
        <v>100</v>
      </c>
      <c r="I386" s="53" t="s">
        <v>101</v>
      </c>
      <c r="J386" s="76" t="s">
        <v>95</v>
      </c>
      <c r="K386" s="74" t="s">
        <v>96</v>
      </c>
    </row>
    <row r="387" ht="19.5" customHeight="1">
      <c r="A387" s="46">
        <v>1.0</v>
      </c>
      <c r="B387" s="37" t="s">
        <v>326</v>
      </c>
      <c r="C387" s="46" t="s">
        <v>106</v>
      </c>
      <c r="D387" s="78">
        <v>6.0</v>
      </c>
      <c r="E387" s="37">
        <v>1.0</v>
      </c>
      <c r="F387" s="78"/>
      <c r="G387" s="40"/>
      <c r="H387" s="40">
        <f t="shared" ref="H387:H395" si="110">E387*D387</f>
        <v>6</v>
      </c>
      <c r="I387" s="42"/>
      <c r="J387" s="43">
        <f t="shared" ref="J387:J395" si="111">H387</f>
        <v>6</v>
      </c>
      <c r="K387" s="46"/>
    </row>
    <row r="388" ht="19.5" customHeight="1">
      <c r="A388" s="46">
        <v>2.0</v>
      </c>
      <c r="B388" s="37" t="s">
        <v>327</v>
      </c>
      <c r="C388" s="46" t="s">
        <v>106</v>
      </c>
      <c r="D388" s="123">
        <v>6.0</v>
      </c>
      <c r="E388" s="37">
        <v>1.0</v>
      </c>
      <c r="F388" s="40"/>
      <c r="G388" s="40"/>
      <c r="H388" s="40">
        <f t="shared" si="110"/>
        <v>6</v>
      </c>
      <c r="I388" s="40"/>
      <c r="J388" s="43">
        <f t="shared" si="111"/>
        <v>6</v>
      </c>
      <c r="K388" s="46"/>
    </row>
    <row r="389" ht="19.5" customHeight="1">
      <c r="A389" s="46">
        <v>3.0</v>
      </c>
      <c r="B389" s="37" t="s">
        <v>379</v>
      </c>
      <c r="C389" s="46" t="s">
        <v>106</v>
      </c>
      <c r="D389" s="123">
        <v>6.0</v>
      </c>
      <c r="E389" s="37">
        <v>1.0</v>
      </c>
      <c r="F389" s="40"/>
      <c r="G389" s="40"/>
      <c r="H389" s="40">
        <f t="shared" si="110"/>
        <v>6</v>
      </c>
      <c r="I389" s="40"/>
      <c r="J389" s="43">
        <f t="shared" si="111"/>
        <v>6</v>
      </c>
      <c r="K389" s="46"/>
    </row>
    <row r="390" ht="19.5" customHeight="1">
      <c r="A390" s="46">
        <v>4.0</v>
      </c>
      <c r="B390" s="37" t="s">
        <v>330</v>
      </c>
      <c r="C390" s="46" t="s">
        <v>103</v>
      </c>
      <c r="D390" s="123">
        <v>6.0</v>
      </c>
      <c r="E390" s="37">
        <v>1.0</v>
      </c>
      <c r="F390" s="40"/>
      <c r="G390" s="40"/>
      <c r="H390" s="40">
        <f t="shared" si="110"/>
        <v>6</v>
      </c>
      <c r="I390" s="40"/>
      <c r="J390" s="43">
        <f t="shared" si="111"/>
        <v>6</v>
      </c>
      <c r="K390" s="46"/>
    </row>
    <row r="391" ht="19.5" customHeight="1">
      <c r="A391" s="46">
        <v>5.0</v>
      </c>
      <c r="B391" s="37" t="s">
        <v>967</v>
      </c>
      <c r="C391" s="46" t="s">
        <v>108</v>
      </c>
      <c r="D391" s="123">
        <v>15.0</v>
      </c>
      <c r="E391" s="37">
        <v>1.0</v>
      </c>
      <c r="F391" s="40"/>
      <c r="G391" s="40"/>
      <c r="H391" s="40">
        <f t="shared" si="110"/>
        <v>15</v>
      </c>
      <c r="I391" s="40"/>
      <c r="J391" s="43">
        <f t="shared" si="111"/>
        <v>15</v>
      </c>
      <c r="K391" s="46"/>
    </row>
    <row r="392" ht="19.5" customHeight="1">
      <c r="A392" s="46">
        <v>6.0</v>
      </c>
      <c r="B392" s="37" t="s">
        <v>968</v>
      </c>
      <c r="C392" s="46" t="s">
        <v>106</v>
      </c>
      <c r="D392" s="123">
        <v>1.0</v>
      </c>
      <c r="E392" s="37">
        <v>1.0</v>
      </c>
      <c r="F392" s="40"/>
      <c r="G392" s="40"/>
      <c r="H392" s="40">
        <f t="shared" si="110"/>
        <v>1</v>
      </c>
      <c r="I392" s="40"/>
      <c r="J392" s="43">
        <f t="shared" si="111"/>
        <v>1</v>
      </c>
      <c r="K392" s="46"/>
    </row>
    <row r="393" ht="19.5" customHeight="1">
      <c r="A393" s="46">
        <v>7.0</v>
      </c>
      <c r="B393" s="37" t="s">
        <v>969</v>
      </c>
      <c r="C393" s="46" t="s">
        <v>106</v>
      </c>
      <c r="D393" s="123">
        <v>8.0</v>
      </c>
      <c r="E393" s="37">
        <v>1.0</v>
      </c>
      <c r="F393" s="40"/>
      <c r="G393" s="40"/>
      <c r="H393" s="40">
        <f t="shared" si="110"/>
        <v>8</v>
      </c>
      <c r="I393" s="40"/>
      <c r="J393" s="43">
        <f t="shared" si="111"/>
        <v>8</v>
      </c>
      <c r="K393" s="46"/>
    </row>
    <row r="394" ht="19.5" customHeight="1">
      <c r="A394" s="46">
        <v>8.0</v>
      </c>
      <c r="B394" s="37" t="s">
        <v>970</v>
      </c>
      <c r="C394" s="46" t="s">
        <v>106</v>
      </c>
      <c r="D394" s="123">
        <v>1.0</v>
      </c>
      <c r="E394" s="37">
        <v>1.0</v>
      </c>
      <c r="F394" s="40"/>
      <c r="G394" s="40"/>
      <c r="H394" s="40">
        <f t="shared" si="110"/>
        <v>1</v>
      </c>
      <c r="I394" s="40"/>
      <c r="J394" s="43">
        <f t="shared" si="111"/>
        <v>1</v>
      </c>
      <c r="K394" s="46"/>
    </row>
    <row r="395" ht="19.5" customHeight="1">
      <c r="A395" s="46">
        <v>9.0</v>
      </c>
      <c r="B395" s="37" t="s">
        <v>971</v>
      </c>
      <c r="C395" s="46" t="s">
        <v>106</v>
      </c>
      <c r="D395" s="123">
        <v>30.0</v>
      </c>
      <c r="E395" s="37">
        <v>1.0</v>
      </c>
      <c r="F395" s="40"/>
      <c r="G395" s="40"/>
      <c r="H395" s="40">
        <f t="shared" si="110"/>
        <v>30</v>
      </c>
      <c r="I395" s="40"/>
      <c r="J395" s="43">
        <f t="shared" si="111"/>
        <v>30</v>
      </c>
      <c r="K395" s="12"/>
    </row>
    <row r="396" ht="19.5" customHeight="1">
      <c r="A396" s="12"/>
      <c r="C396" s="12"/>
      <c r="D396" s="87"/>
      <c r="F396" s="14"/>
      <c r="G396" s="14"/>
      <c r="H396" s="14"/>
      <c r="I396" s="14"/>
      <c r="J396" s="14"/>
      <c r="K396" s="12"/>
    </row>
    <row r="397" ht="19.5" customHeight="1">
      <c r="A397" s="12"/>
      <c r="C397" s="12"/>
      <c r="D397" s="87"/>
      <c r="F397" s="14"/>
      <c r="G397" s="14"/>
      <c r="H397" s="14"/>
      <c r="I397" s="14"/>
      <c r="J397" s="14"/>
      <c r="K397" s="12"/>
    </row>
    <row r="398" ht="19.5" customHeight="1"/>
    <row r="399" ht="19.5" customHeight="1"/>
    <row r="400" ht="19.5" customHeight="1"/>
    <row r="401" ht="19.5" customHeight="1"/>
    <row r="402" ht="19.5" customHeight="1">
      <c r="A402" s="12"/>
      <c r="C402" s="12"/>
      <c r="D402" s="87"/>
      <c r="F402" s="14"/>
      <c r="G402" s="14"/>
      <c r="H402" s="14"/>
      <c r="I402" s="14"/>
      <c r="J402" s="14"/>
      <c r="K402" s="12"/>
    </row>
    <row r="403" ht="19.5" customHeight="1">
      <c r="A403" s="12"/>
      <c r="C403" s="12"/>
      <c r="D403" s="87"/>
      <c r="F403" s="14"/>
      <c r="G403" s="14"/>
      <c r="H403" s="14"/>
      <c r="I403" s="14"/>
      <c r="J403" s="14"/>
      <c r="K403" s="12"/>
    </row>
    <row r="404" ht="19.5" customHeight="1">
      <c r="A404" s="12"/>
      <c r="C404" s="12"/>
      <c r="D404" s="87"/>
      <c r="F404" s="14"/>
      <c r="G404" s="14"/>
      <c r="H404" s="14"/>
      <c r="I404" s="14"/>
      <c r="J404" s="14"/>
      <c r="K404" s="12"/>
    </row>
    <row r="405" ht="19.5" customHeight="1">
      <c r="A405" s="12"/>
      <c r="C405" s="12"/>
      <c r="D405" s="87"/>
      <c r="F405" s="14"/>
      <c r="G405" s="14"/>
      <c r="H405" s="14"/>
      <c r="I405" s="14"/>
      <c r="J405" s="14"/>
      <c r="K405" s="12"/>
    </row>
    <row r="406" ht="19.5" customHeight="1">
      <c r="A406" s="12"/>
      <c r="C406" s="12"/>
      <c r="D406" s="87"/>
      <c r="F406" s="14"/>
      <c r="G406" s="14"/>
      <c r="H406" s="14"/>
      <c r="I406" s="14"/>
      <c r="J406" s="14"/>
      <c r="K406" s="12"/>
    </row>
    <row r="407" ht="19.5" customHeight="1">
      <c r="A407" s="12"/>
      <c r="C407" s="12"/>
      <c r="D407" s="87"/>
      <c r="F407" s="14"/>
      <c r="G407" s="14"/>
      <c r="H407" s="14"/>
      <c r="I407" s="14"/>
      <c r="J407" s="14"/>
      <c r="K407" s="12"/>
    </row>
    <row r="408" ht="19.5" customHeight="1">
      <c r="A408" s="12"/>
      <c r="C408" s="12"/>
      <c r="D408" s="87"/>
      <c r="F408" s="14"/>
      <c r="G408" s="14"/>
      <c r="H408" s="14"/>
      <c r="I408" s="14"/>
      <c r="J408" s="14"/>
      <c r="K408" s="12"/>
    </row>
    <row r="409" ht="19.5" customHeight="1">
      <c r="A409" s="12"/>
      <c r="C409" s="12"/>
      <c r="D409" s="87"/>
      <c r="F409" s="14"/>
      <c r="G409" s="14"/>
      <c r="H409" s="14"/>
      <c r="I409" s="14"/>
      <c r="J409" s="14"/>
      <c r="K409" s="12"/>
    </row>
    <row r="410" ht="19.5" customHeight="1">
      <c r="A410" s="12"/>
      <c r="C410" s="12"/>
      <c r="D410" s="87"/>
      <c r="F410" s="14"/>
      <c r="G410" s="14"/>
      <c r="H410" s="14"/>
      <c r="I410" s="14"/>
      <c r="J410" s="14"/>
      <c r="K410" s="12"/>
    </row>
    <row r="411" ht="19.5" customHeight="1">
      <c r="A411" s="12"/>
      <c r="C411" s="12"/>
      <c r="D411" s="87"/>
      <c r="F411" s="14"/>
      <c r="G411" s="14"/>
      <c r="H411" s="14"/>
      <c r="I411" s="14"/>
      <c r="J411" s="14"/>
      <c r="K411" s="12"/>
    </row>
    <row r="412" ht="19.5" customHeight="1">
      <c r="A412" s="12"/>
      <c r="C412" s="12"/>
      <c r="D412" s="87"/>
      <c r="F412" s="14"/>
      <c r="G412" s="14"/>
      <c r="H412" s="14"/>
      <c r="I412" s="14"/>
      <c r="J412" s="14"/>
      <c r="K412" s="12"/>
    </row>
    <row r="413" ht="19.5" customHeight="1">
      <c r="A413" s="12"/>
      <c r="C413" s="12"/>
      <c r="D413" s="87"/>
      <c r="F413" s="14"/>
      <c r="G413" s="14"/>
      <c r="H413" s="14"/>
      <c r="I413" s="14"/>
      <c r="J413" s="14"/>
      <c r="K413" s="12"/>
    </row>
    <row r="414" ht="19.5" customHeight="1">
      <c r="A414" s="12"/>
      <c r="C414" s="12"/>
      <c r="D414" s="87"/>
      <c r="F414" s="14"/>
      <c r="G414" s="14"/>
      <c r="H414" s="14"/>
      <c r="I414" s="14"/>
      <c r="J414" s="14"/>
      <c r="K414" s="12"/>
    </row>
    <row r="415" ht="19.5" customHeight="1">
      <c r="A415" s="12"/>
      <c r="C415" s="12"/>
      <c r="D415" s="87"/>
      <c r="F415" s="14"/>
      <c r="G415" s="14"/>
      <c r="H415" s="14"/>
      <c r="I415" s="14"/>
      <c r="J415" s="14"/>
      <c r="K415" s="12"/>
    </row>
    <row r="416" ht="19.5" customHeight="1">
      <c r="A416" s="12"/>
      <c r="C416" s="12"/>
      <c r="D416" s="87"/>
      <c r="F416" s="14"/>
      <c r="G416" s="14"/>
      <c r="H416" s="14"/>
      <c r="I416" s="14"/>
      <c r="J416" s="14"/>
      <c r="K416" s="12"/>
    </row>
    <row r="417" ht="19.5" customHeight="1">
      <c r="A417" s="12"/>
      <c r="C417" s="12"/>
      <c r="D417" s="87"/>
      <c r="F417" s="14"/>
      <c r="G417" s="14"/>
      <c r="H417" s="14"/>
      <c r="I417" s="14"/>
      <c r="J417" s="14"/>
      <c r="K417" s="12"/>
    </row>
    <row r="418" ht="19.5" customHeight="1">
      <c r="A418" s="12"/>
      <c r="C418" s="12"/>
      <c r="D418" s="87"/>
      <c r="F418" s="14"/>
      <c r="G418" s="14"/>
      <c r="H418" s="14"/>
      <c r="I418" s="14"/>
      <c r="J418" s="14"/>
      <c r="K418" s="12"/>
    </row>
    <row r="419" ht="19.5" customHeight="1">
      <c r="A419" s="12"/>
      <c r="C419" s="12"/>
      <c r="D419" s="87"/>
      <c r="F419" s="14"/>
      <c r="G419" s="14"/>
      <c r="H419" s="14"/>
      <c r="I419" s="14"/>
      <c r="J419" s="14"/>
      <c r="K419" s="12"/>
    </row>
    <row r="420" ht="19.5" customHeight="1">
      <c r="A420" s="12"/>
      <c r="C420" s="12"/>
      <c r="D420" s="87"/>
      <c r="F420" s="14"/>
      <c r="G420" s="14"/>
      <c r="H420" s="14"/>
      <c r="I420" s="14"/>
      <c r="J420" s="14"/>
      <c r="K420" s="12"/>
    </row>
    <row r="421" ht="19.5" customHeight="1">
      <c r="A421" s="12"/>
      <c r="C421" s="12"/>
      <c r="D421" s="87"/>
      <c r="F421" s="14"/>
      <c r="G421" s="14"/>
      <c r="H421" s="14"/>
      <c r="I421" s="14"/>
      <c r="J421" s="14"/>
      <c r="K421" s="12"/>
    </row>
    <row r="422" ht="19.5" customHeight="1">
      <c r="A422" s="12"/>
      <c r="C422" s="12"/>
      <c r="D422" s="87"/>
      <c r="F422" s="14"/>
      <c r="G422" s="14"/>
      <c r="H422" s="14"/>
      <c r="I422" s="14"/>
      <c r="J422" s="14"/>
      <c r="K422" s="12"/>
    </row>
    <row r="423" ht="19.5" customHeight="1">
      <c r="A423" s="12"/>
      <c r="C423" s="12"/>
      <c r="D423" s="87"/>
      <c r="F423" s="14"/>
      <c r="G423" s="14"/>
      <c r="H423" s="14"/>
      <c r="I423" s="14"/>
      <c r="J423" s="14"/>
      <c r="K423" s="12"/>
    </row>
    <row r="424" ht="19.5" customHeight="1">
      <c r="A424" s="12"/>
      <c r="C424" s="12"/>
      <c r="D424" s="87"/>
      <c r="F424" s="14"/>
      <c r="G424" s="14"/>
      <c r="H424" s="14"/>
      <c r="I424" s="14"/>
      <c r="J424" s="14"/>
      <c r="K424" s="12"/>
    </row>
    <row r="425" ht="19.5" customHeight="1">
      <c r="A425" s="12"/>
      <c r="C425" s="12"/>
      <c r="D425" s="87"/>
      <c r="F425" s="14"/>
      <c r="G425" s="14"/>
      <c r="H425" s="14"/>
      <c r="I425" s="14"/>
      <c r="J425" s="14"/>
      <c r="K425" s="12"/>
    </row>
    <row r="426" ht="19.5" customHeight="1">
      <c r="A426" s="12"/>
      <c r="C426" s="12"/>
      <c r="D426" s="87"/>
      <c r="F426" s="14"/>
      <c r="G426" s="14"/>
      <c r="H426" s="14"/>
      <c r="I426" s="14"/>
      <c r="J426" s="14"/>
      <c r="K426" s="12"/>
    </row>
    <row r="427" ht="19.5" customHeight="1">
      <c r="A427" s="12"/>
      <c r="C427" s="12"/>
      <c r="D427" s="87"/>
      <c r="F427" s="14"/>
      <c r="G427" s="14"/>
      <c r="H427" s="14"/>
      <c r="I427" s="14"/>
      <c r="J427" s="14"/>
      <c r="K427" s="12"/>
    </row>
    <row r="428" ht="19.5" customHeight="1">
      <c r="A428" s="12"/>
      <c r="C428" s="12"/>
      <c r="D428" s="87"/>
      <c r="F428" s="14"/>
      <c r="G428" s="14"/>
      <c r="H428" s="14"/>
      <c r="I428" s="14"/>
      <c r="J428" s="14"/>
      <c r="K428" s="12"/>
    </row>
    <row r="429" ht="19.5" customHeight="1">
      <c r="A429" s="12"/>
      <c r="C429" s="12"/>
      <c r="D429" s="87"/>
      <c r="F429" s="14"/>
      <c r="G429" s="14"/>
      <c r="H429" s="14"/>
      <c r="I429" s="14"/>
      <c r="J429" s="14"/>
      <c r="K429" s="12"/>
    </row>
    <row r="430" ht="19.5" customHeight="1">
      <c r="A430" s="12"/>
      <c r="C430" s="12"/>
      <c r="D430" s="87"/>
      <c r="F430" s="14"/>
      <c r="G430" s="14"/>
      <c r="H430" s="14"/>
      <c r="I430" s="14"/>
      <c r="J430" s="14"/>
      <c r="K430" s="12"/>
    </row>
    <row r="431" ht="19.5" customHeight="1">
      <c r="A431" s="12"/>
      <c r="C431" s="12"/>
      <c r="D431" s="87"/>
      <c r="F431" s="14"/>
      <c r="G431" s="14"/>
      <c r="H431" s="14"/>
      <c r="I431" s="14"/>
      <c r="J431" s="14"/>
      <c r="K431" s="12"/>
    </row>
    <row r="432" ht="19.5" customHeight="1">
      <c r="A432" s="12"/>
      <c r="C432" s="12"/>
      <c r="D432" s="87"/>
      <c r="F432" s="14"/>
      <c r="G432" s="14"/>
      <c r="H432" s="14"/>
      <c r="I432" s="14"/>
      <c r="J432" s="14"/>
      <c r="K432" s="12"/>
    </row>
    <row r="433" ht="19.5" customHeight="1">
      <c r="A433" s="12"/>
      <c r="C433" s="12"/>
      <c r="D433" s="87"/>
      <c r="F433" s="14"/>
      <c r="G433" s="14"/>
      <c r="H433" s="14"/>
      <c r="I433" s="14"/>
      <c r="J433" s="14"/>
      <c r="K433" s="12"/>
    </row>
    <row r="434" ht="19.5" customHeight="1">
      <c r="A434" s="12"/>
      <c r="C434" s="12"/>
      <c r="D434" s="87"/>
      <c r="F434" s="14"/>
      <c r="G434" s="14"/>
      <c r="H434" s="14"/>
      <c r="I434" s="14"/>
      <c r="J434" s="14"/>
      <c r="K434" s="12"/>
    </row>
    <row r="435" ht="19.5" customHeight="1">
      <c r="A435" s="12"/>
      <c r="C435" s="12"/>
      <c r="D435" s="87"/>
      <c r="F435" s="14"/>
      <c r="G435" s="14"/>
      <c r="H435" s="14"/>
      <c r="I435" s="14"/>
      <c r="J435" s="14"/>
      <c r="K435" s="12"/>
    </row>
    <row r="436" ht="19.5" customHeight="1">
      <c r="A436" s="12"/>
      <c r="C436" s="12"/>
      <c r="D436" s="87"/>
      <c r="F436" s="14"/>
      <c r="G436" s="14"/>
      <c r="H436" s="14"/>
      <c r="I436" s="14"/>
      <c r="J436" s="14"/>
      <c r="K436" s="12"/>
    </row>
    <row r="437" ht="19.5" customHeight="1">
      <c r="A437" s="12"/>
      <c r="C437" s="12"/>
      <c r="D437" s="87"/>
      <c r="F437" s="14"/>
      <c r="G437" s="14"/>
      <c r="H437" s="14"/>
      <c r="I437" s="14"/>
      <c r="J437" s="14"/>
      <c r="K437" s="12"/>
    </row>
    <row r="438" ht="19.5" customHeight="1">
      <c r="A438" s="12"/>
      <c r="C438" s="12"/>
      <c r="D438" s="87"/>
      <c r="F438" s="14"/>
      <c r="G438" s="14"/>
      <c r="H438" s="14"/>
      <c r="I438" s="14"/>
      <c r="J438" s="14"/>
      <c r="K438" s="12"/>
    </row>
    <row r="439" ht="19.5" customHeight="1">
      <c r="A439" s="12"/>
      <c r="C439" s="12"/>
      <c r="D439" s="87"/>
      <c r="F439" s="14"/>
      <c r="G439" s="14"/>
      <c r="H439" s="14"/>
      <c r="I439" s="14"/>
      <c r="J439" s="14"/>
      <c r="K439" s="12"/>
    </row>
    <row r="440" ht="19.5" customHeight="1">
      <c r="A440" s="12"/>
      <c r="C440" s="12"/>
      <c r="D440" s="87"/>
      <c r="F440" s="14"/>
      <c r="G440" s="14"/>
      <c r="H440" s="14"/>
      <c r="I440" s="14"/>
      <c r="J440" s="14"/>
      <c r="K440" s="12"/>
    </row>
    <row r="441" ht="19.5" customHeight="1">
      <c r="A441" s="12"/>
      <c r="C441" s="12"/>
      <c r="D441" s="87"/>
      <c r="F441" s="14"/>
      <c r="G441" s="14"/>
      <c r="H441" s="14"/>
      <c r="I441" s="14"/>
      <c r="J441" s="14"/>
      <c r="K441" s="12"/>
    </row>
    <row r="442" ht="19.5" customHeight="1">
      <c r="A442" s="12"/>
      <c r="C442" s="12"/>
      <c r="D442" s="87"/>
      <c r="F442" s="14"/>
      <c r="G442" s="14"/>
      <c r="H442" s="14"/>
      <c r="I442" s="14"/>
      <c r="J442" s="14"/>
      <c r="K442" s="12"/>
    </row>
    <row r="443" ht="19.5" customHeight="1">
      <c r="A443" s="12"/>
      <c r="C443" s="12"/>
      <c r="D443" s="87"/>
      <c r="F443" s="14"/>
      <c r="G443" s="14"/>
      <c r="H443" s="14"/>
      <c r="I443" s="14"/>
      <c r="J443" s="14"/>
      <c r="K443" s="12"/>
    </row>
    <row r="444" ht="19.5" customHeight="1">
      <c r="A444" s="12"/>
      <c r="C444" s="12"/>
      <c r="D444" s="87"/>
      <c r="F444" s="14"/>
      <c r="G444" s="14"/>
      <c r="H444" s="14"/>
      <c r="I444" s="14"/>
      <c r="J444" s="14"/>
      <c r="K444" s="12"/>
    </row>
    <row r="445" ht="19.5" customHeight="1">
      <c r="A445" s="12"/>
      <c r="C445" s="12"/>
      <c r="D445" s="87"/>
      <c r="F445" s="14"/>
      <c r="G445" s="14"/>
      <c r="H445" s="14"/>
      <c r="I445" s="14"/>
      <c r="J445" s="14"/>
      <c r="K445" s="12"/>
    </row>
    <row r="446" ht="19.5" customHeight="1">
      <c r="A446" s="12"/>
      <c r="C446" s="12"/>
      <c r="D446" s="87"/>
      <c r="F446" s="14"/>
      <c r="G446" s="14"/>
      <c r="H446" s="14"/>
      <c r="I446" s="14"/>
      <c r="J446" s="14"/>
      <c r="K446" s="12"/>
    </row>
    <row r="447" ht="19.5" customHeight="1">
      <c r="A447" s="12"/>
      <c r="C447" s="12"/>
      <c r="D447" s="87"/>
      <c r="F447" s="14"/>
      <c r="G447" s="14"/>
      <c r="H447" s="14"/>
      <c r="I447" s="14"/>
      <c r="J447" s="14"/>
      <c r="K447" s="12"/>
    </row>
    <row r="448" ht="19.5" customHeight="1">
      <c r="A448" s="12"/>
      <c r="C448" s="12"/>
      <c r="D448" s="87"/>
      <c r="F448" s="14"/>
      <c r="G448" s="14"/>
      <c r="H448" s="14"/>
      <c r="I448" s="14"/>
      <c r="J448" s="14"/>
      <c r="K448" s="12"/>
    </row>
    <row r="449" ht="19.5" customHeight="1">
      <c r="A449" s="12"/>
      <c r="C449" s="12"/>
      <c r="D449" s="87"/>
      <c r="F449" s="14"/>
      <c r="G449" s="14"/>
      <c r="H449" s="14"/>
      <c r="I449" s="14"/>
      <c r="J449" s="14"/>
      <c r="K449" s="12"/>
    </row>
    <row r="450" ht="19.5" customHeight="1">
      <c r="A450" s="12"/>
      <c r="C450" s="12"/>
      <c r="D450" s="87"/>
      <c r="F450" s="14"/>
      <c r="G450" s="14"/>
      <c r="H450" s="14"/>
      <c r="I450" s="14"/>
      <c r="J450" s="14"/>
      <c r="K450" s="12"/>
    </row>
    <row r="451" ht="19.5" customHeight="1">
      <c r="A451" s="12"/>
      <c r="C451" s="12"/>
      <c r="D451" s="87"/>
      <c r="F451" s="14"/>
      <c r="G451" s="14"/>
      <c r="H451" s="14"/>
      <c r="I451" s="14"/>
      <c r="J451" s="14"/>
      <c r="K451" s="12"/>
    </row>
    <row r="452" ht="19.5" customHeight="1">
      <c r="A452" s="12"/>
      <c r="C452" s="12"/>
      <c r="D452" s="87"/>
      <c r="F452" s="14"/>
      <c r="G452" s="14"/>
      <c r="H452" s="14"/>
      <c r="I452" s="14"/>
      <c r="J452" s="14"/>
      <c r="K452" s="12"/>
    </row>
    <row r="453" ht="19.5" customHeight="1">
      <c r="A453" s="12"/>
      <c r="C453" s="12"/>
      <c r="D453" s="87"/>
      <c r="F453" s="14"/>
      <c r="G453" s="14"/>
      <c r="H453" s="14"/>
      <c r="I453" s="14"/>
      <c r="J453" s="14"/>
      <c r="K453" s="12"/>
    </row>
    <row r="454" ht="19.5" customHeight="1">
      <c r="A454" s="12"/>
      <c r="C454" s="12"/>
      <c r="D454" s="87"/>
      <c r="F454" s="14"/>
      <c r="G454" s="14"/>
      <c r="H454" s="14"/>
      <c r="I454" s="14"/>
      <c r="J454" s="14"/>
      <c r="K454" s="12"/>
    </row>
    <row r="455" ht="19.5" customHeight="1">
      <c r="A455" s="12"/>
      <c r="C455" s="12"/>
      <c r="D455" s="87"/>
      <c r="F455" s="14"/>
      <c r="G455" s="14"/>
      <c r="H455" s="14"/>
      <c r="I455" s="14"/>
      <c r="J455" s="14"/>
      <c r="K455" s="12"/>
    </row>
    <row r="456" ht="19.5" customHeight="1">
      <c r="A456" s="12"/>
      <c r="C456" s="12"/>
      <c r="D456" s="87"/>
      <c r="F456" s="14"/>
      <c r="G456" s="14"/>
      <c r="H456" s="14"/>
      <c r="I456" s="14"/>
      <c r="J456" s="14"/>
      <c r="K456" s="12"/>
    </row>
    <row r="457" ht="19.5" customHeight="1">
      <c r="A457" s="12"/>
      <c r="C457" s="12"/>
      <c r="D457" s="87"/>
      <c r="F457" s="14"/>
      <c r="G457" s="14"/>
      <c r="H457" s="14"/>
      <c r="I457" s="14"/>
      <c r="J457" s="14"/>
      <c r="K457" s="12"/>
    </row>
    <row r="458" ht="19.5" customHeight="1">
      <c r="A458" s="12"/>
      <c r="C458" s="12"/>
      <c r="D458" s="87"/>
      <c r="F458" s="14"/>
      <c r="G458" s="14"/>
      <c r="H458" s="14"/>
      <c r="I458" s="14"/>
      <c r="J458" s="14"/>
      <c r="K458" s="12"/>
    </row>
    <row r="459" ht="19.5" customHeight="1">
      <c r="A459" s="12"/>
      <c r="C459" s="12"/>
      <c r="D459" s="87"/>
      <c r="F459" s="14"/>
      <c r="G459" s="14"/>
      <c r="H459" s="14"/>
      <c r="I459" s="14"/>
      <c r="J459" s="14"/>
      <c r="K459" s="12"/>
    </row>
    <row r="460" ht="19.5" customHeight="1">
      <c r="A460" s="12"/>
      <c r="C460" s="12"/>
      <c r="D460" s="87"/>
      <c r="F460" s="14"/>
      <c r="G460" s="14"/>
      <c r="H460" s="14"/>
      <c r="I460" s="14"/>
      <c r="J460" s="14"/>
      <c r="K460" s="12"/>
    </row>
    <row r="461" ht="19.5" customHeight="1">
      <c r="A461" s="12"/>
      <c r="C461" s="12"/>
      <c r="D461" s="87"/>
      <c r="F461" s="14"/>
      <c r="G461" s="14"/>
      <c r="H461" s="14"/>
      <c r="I461" s="14"/>
      <c r="J461" s="14"/>
      <c r="K461" s="12"/>
    </row>
    <row r="462" ht="19.5" customHeight="1">
      <c r="A462" s="12"/>
      <c r="C462" s="12"/>
      <c r="D462" s="87"/>
      <c r="F462" s="14"/>
      <c r="G462" s="14"/>
      <c r="H462" s="14"/>
      <c r="I462" s="14"/>
      <c r="J462" s="14"/>
      <c r="K462" s="12"/>
    </row>
    <row r="463" ht="19.5" customHeight="1">
      <c r="A463" s="12"/>
      <c r="C463" s="12"/>
      <c r="D463" s="87"/>
      <c r="F463" s="14"/>
      <c r="G463" s="14"/>
      <c r="H463" s="14"/>
      <c r="I463" s="14"/>
      <c r="J463" s="14"/>
      <c r="K463" s="12"/>
    </row>
    <row r="464" ht="19.5" customHeight="1">
      <c r="A464" s="12"/>
      <c r="C464" s="12"/>
      <c r="D464" s="87"/>
      <c r="F464" s="14"/>
      <c r="G464" s="14"/>
      <c r="H464" s="14"/>
      <c r="I464" s="14"/>
      <c r="J464" s="14"/>
      <c r="K464" s="12"/>
    </row>
    <row r="465" ht="19.5" customHeight="1">
      <c r="A465" s="12"/>
      <c r="C465" s="12"/>
      <c r="D465" s="87"/>
      <c r="F465" s="14"/>
      <c r="G465" s="14"/>
      <c r="H465" s="14"/>
      <c r="I465" s="14"/>
      <c r="J465" s="14"/>
      <c r="K465" s="12"/>
    </row>
    <row r="466" ht="19.5" customHeight="1">
      <c r="A466" s="12"/>
      <c r="C466" s="12"/>
      <c r="D466" s="87"/>
      <c r="F466" s="14"/>
      <c r="G466" s="14"/>
      <c r="H466" s="14"/>
      <c r="I466" s="14"/>
      <c r="J466" s="14"/>
      <c r="K466" s="12"/>
    </row>
    <row r="467" ht="19.5" customHeight="1">
      <c r="A467" s="12"/>
      <c r="C467" s="12"/>
      <c r="D467" s="87"/>
      <c r="F467" s="14"/>
      <c r="G467" s="14"/>
      <c r="H467" s="14"/>
      <c r="I467" s="14"/>
      <c r="J467" s="14"/>
      <c r="K467" s="12"/>
    </row>
    <row r="468" ht="19.5" customHeight="1">
      <c r="A468" s="12"/>
      <c r="C468" s="12"/>
      <c r="D468" s="87"/>
      <c r="F468" s="14"/>
      <c r="G468" s="14"/>
      <c r="H468" s="14"/>
      <c r="I468" s="14"/>
      <c r="J468" s="14"/>
      <c r="K468" s="12"/>
    </row>
    <row r="469" ht="19.5" customHeight="1">
      <c r="A469" s="12"/>
      <c r="C469" s="12"/>
      <c r="D469" s="87"/>
      <c r="F469" s="14"/>
      <c r="G469" s="14"/>
      <c r="H469" s="14"/>
      <c r="I469" s="14"/>
      <c r="J469" s="14"/>
      <c r="K469" s="12"/>
    </row>
    <row r="470" ht="19.5" customHeight="1">
      <c r="A470" s="12"/>
      <c r="C470" s="12"/>
      <c r="D470" s="87"/>
      <c r="F470" s="14"/>
      <c r="G470" s="14"/>
      <c r="H470" s="14"/>
      <c r="I470" s="14"/>
      <c r="J470" s="14"/>
      <c r="K470" s="12"/>
    </row>
    <row r="471" ht="19.5" customHeight="1">
      <c r="A471" s="12"/>
      <c r="C471" s="12"/>
      <c r="D471" s="87"/>
      <c r="F471" s="14"/>
      <c r="G471" s="14"/>
      <c r="H471" s="14"/>
      <c r="I471" s="14"/>
      <c r="J471" s="14"/>
      <c r="K471" s="12"/>
    </row>
    <row r="472" ht="19.5" customHeight="1">
      <c r="A472" s="12"/>
      <c r="C472" s="12"/>
      <c r="D472" s="87"/>
      <c r="F472" s="14"/>
      <c r="G472" s="14"/>
      <c r="H472" s="14"/>
      <c r="I472" s="14"/>
      <c r="J472" s="14"/>
      <c r="K472" s="12"/>
    </row>
    <row r="473" ht="19.5" customHeight="1">
      <c r="A473" s="12"/>
      <c r="C473" s="12"/>
      <c r="D473" s="87"/>
      <c r="F473" s="14"/>
      <c r="G473" s="14"/>
      <c r="H473" s="14"/>
      <c r="I473" s="14"/>
      <c r="J473" s="14"/>
      <c r="K473" s="12"/>
    </row>
    <row r="474" ht="19.5" customHeight="1">
      <c r="A474" s="12"/>
      <c r="C474" s="12"/>
      <c r="D474" s="87"/>
      <c r="F474" s="14"/>
      <c r="G474" s="14"/>
      <c r="H474" s="14"/>
      <c r="I474" s="14"/>
      <c r="J474" s="14"/>
      <c r="K474" s="12"/>
    </row>
    <row r="475" ht="19.5" customHeight="1">
      <c r="A475" s="12"/>
      <c r="C475" s="12"/>
      <c r="D475" s="87"/>
      <c r="F475" s="14"/>
      <c r="G475" s="14"/>
      <c r="H475" s="14"/>
      <c r="I475" s="14"/>
      <c r="J475" s="14"/>
      <c r="K475" s="12"/>
    </row>
    <row r="476" ht="19.5" customHeight="1">
      <c r="A476" s="12"/>
      <c r="C476" s="12"/>
      <c r="D476" s="87"/>
      <c r="F476" s="14"/>
      <c r="G476" s="14"/>
      <c r="H476" s="14"/>
      <c r="I476" s="14"/>
      <c r="J476" s="14"/>
      <c r="K476" s="12"/>
    </row>
    <row r="477" ht="19.5" customHeight="1">
      <c r="A477" s="12"/>
      <c r="C477" s="12"/>
      <c r="D477" s="87"/>
      <c r="F477" s="14"/>
      <c r="G477" s="14"/>
      <c r="H477" s="14"/>
      <c r="I477" s="14"/>
      <c r="J477" s="14"/>
      <c r="K477" s="12"/>
    </row>
    <row r="478" ht="19.5" customHeight="1">
      <c r="A478" s="12"/>
      <c r="C478" s="12"/>
      <c r="D478" s="87"/>
      <c r="F478" s="14"/>
      <c r="G478" s="14"/>
      <c r="H478" s="14"/>
      <c r="I478" s="14"/>
      <c r="J478" s="14"/>
      <c r="K478" s="12"/>
    </row>
    <row r="479" ht="19.5" customHeight="1">
      <c r="A479" s="12"/>
      <c r="C479" s="12"/>
      <c r="D479" s="87"/>
      <c r="F479" s="14"/>
      <c r="G479" s="14"/>
      <c r="H479" s="14"/>
      <c r="I479" s="14"/>
      <c r="J479" s="14"/>
      <c r="K479" s="12"/>
    </row>
    <row r="480" ht="19.5" customHeight="1">
      <c r="A480" s="12"/>
      <c r="C480" s="12"/>
      <c r="D480" s="87"/>
      <c r="F480" s="14"/>
      <c r="G480" s="14"/>
      <c r="H480" s="14"/>
      <c r="I480" s="14"/>
      <c r="J480" s="14"/>
      <c r="K480" s="12"/>
    </row>
    <row r="481" ht="19.5" customHeight="1">
      <c r="A481" s="12"/>
      <c r="C481" s="12"/>
      <c r="D481" s="87"/>
      <c r="F481" s="14"/>
      <c r="G481" s="14"/>
      <c r="H481" s="14"/>
      <c r="I481" s="14"/>
      <c r="J481" s="14"/>
      <c r="K481" s="12"/>
    </row>
    <row r="482" ht="19.5" customHeight="1">
      <c r="A482" s="12"/>
      <c r="C482" s="12"/>
      <c r="D482" s="87"/>
      <c r="F482" s="14"/>
      <c r="G482" s="14"/>
      <c r="H482" s="14"/>
      <c r="I482" s="14"/>
      <c r="J482" s="14"/>
      <c r="K482" s="12"/>
    </row>
    <row r="483" ht="19.5" customHeight="1">
      <c r="A483" s="12"/>
      <c r="C483" s="12"/>
      <c r="D483" s="87"/>
      <c r="F483" s="14"/>
      <c r="G483" s="14"/>
      <c r="H483" s="14"/>
      <c r="I483" s="14"/>
      <c r="J483" s="14"/>
      <c r="K483" s="12"/>
    </row>
    <row r="484" ht="19.5" customHeight="1">
      <c r="A484" s="12"/>
      <c r="C484" s="12"/>
      <c r="D484" s="87"/>
      <c r="F484" s="14"/>
      <c r="G484" s="14"/>
      <c r="H484" s="14"/>
      <c r="I484" s="14"/>
      <c r="J484" s="14"/>
      <c r="K484" s="12"/>
    </row>
    <row r="485" ht="19.5" customHeight="1">
      <c r="A485" s="12"/>
      <c r="C485" s="12"/>
      <c r="D485" s="87"/>
      <c r="F485" s="14"/>
      <c r="G485" s="14"/>
      <c r="H485" s="14"/>
      <c r="I485" s="14"/>
      <c r="J485" s="14"/>
      <c r="K485" s="12"/>
    </row>
    <row r="486" ht="19.5" customHeight="1">
      <c r="A486" s="12"/>
      <c r="C486" s="12"/>
      <c r="D486" s="87"/>
      <c r="F486" s="14"/>
      <c r="G486" s="14"/>
      <c r="H486" s="14"/>
      <c r="I486" s="14"/>
      <c r="J486" s="14"/>
      <c r="K486" s="12"/>
    </row>
    <row r="487" ht="19.5" customHeight="1">
      <c r="A487" s="12"/>
      <c r="C487" s="12"/>
      <c r="D487" s="87"/>
      <c r="F487" s="14"/>
      <c r="G487" s="14"/>
      <c r="H487" s="14"/>
      <c r="I487" s="14"/>
      <c r="J487" s="14"/>
      <c r="K487" s="12"/>
    </row>
    <row r="488" ht="19.5" customHeight="1">
      <c r="A488" s="12"/>
      <c r="C488" s="12"/>
      <c r="D488" s="87"/>
      <c r="F488" s="14"/>
      <c r="G488" s="14"/>
      <c r="H488" s="14"/>
      <c r="I488" s="14"/>
      <c r="J488" s="14"/>
      <c r="K488" s="12"/>
    </row>
    <row r="489" ht="19.5" customHeight="1">
      <c r="A489" s="12"/>
      <c r="C489" s="12"/>
      <c r="D489" s="87"/>
      <c r="F489" s="14"/>
      <c r="G489" s="14"/>
      <c r="H489" s="14"/>
      <c r="I489" s="14"/>
      <c r="J489" s="14"/>
      <c r="K489" s="12"/>
    </row>
    <row r="490" ht="19.5" customHeight="1">
      <c r="A490" s="12"/>
      <c r="C490" s="12"/>
      <c r="D490" s="87"/>
      <c r="F490" s="14"/>
      <c r="G490" s="14"/>
      <c r="H490" s="14"/>
      <c r="I490" s="14"/>
      <c r="J490" s="14"/>
      <c r="K490" s="12"/>
    </row>
    <row r="491" ht="19.5" customHeight="1">
      <c r="A491" s="12"/>
      <c r="C491" s="12"/>
      <c r="D491" s="87"/>
      <c r="F491" s="14"/>
      <c r="G491" s="14"/>
      <c r="H491" s="14"/>
      <c r="I491" s="14"/>
      <c r="J491" s="14"/>
      <c r="K491" s="12"/>
    </row>
    <row r="492" ht="19.5" customHeight="1">
      <c r="A492" s="12"/>
      <c r="C492" s="12"/>
      <c r="D492" s="87"/>
      <c r="F492" s="14"/>
      <c r="G492" s="14"/>
      <c r="H492" s="14"/>
      <c r="I492" s="14"/>
      <c r="J492" s="14"/>
      <c r="K492" s="12"/>
    </row>
    <row r="493" ht="19.5" customHeight="1">
      <c r="A493" s="12"/>
      <c r="C493" s="12"/>
      <c r="D493" s="87"/>
      <c r="F493" s="14"/>
      <c r="G493" s="14"/>
      <c r="H493" s="14"/>
      <c r="I493" s="14"/>
      <c r="J493" s="14"/>
      <c r="K493" s="12"/>
    </row>
    <row r="494" ht="19.5" customHeight="1">
      <c r="A494" s="12"/>
      <c r="C494" s="12"/>
      <c r="D494" s="87"/>
      <c r="F494" s="14"/>
      <c r="G494" s="14"/>
      <c r="H494" s="14"/>
      <c r="I494" s="14"/>
      <c r="J494" s="14"/>
      <c r="K494" s="12"/>
    </row>
    <row r="495" ht="19.5" customHeight="1">
      <c r="A495" s="12"/>
      <c r="C495" s="12"/>
      <c r="D495" s="87"/>
      <c r="F495" s="14"/>
      <c r="G495" s="14"/>
      <c r="H495" s="14"/>
      <c r="I495" s="14"/>
      <c r="J495" s="14"/>
      <c r="K495" s="12"/>
    </row>
    <row r="496" ht="19.5" customHeight="1">
      <c r="A496" s="12"/>
      <c r="C496" s="12"/>
      <c r="D496" s="87"/>
      <c r="F496" s="14"/>
      <c r="G496" s="14"/>
      <c r="H496" s="14"/>
      <c r="I496" s="14"/>
      <c r="J496" s="14"/>
      <c r="K496" s="12"/>
    </row>
    <row r="497" ht="19.5" customHeight="1">
      <c r="A497" s="12"/>
      <c r="C497" s="12"/>
      <c r="D497" s="87"/>
      <c r="F497" s="14"/>
      <c r="G497" s="14"/>
      <c r="H497" s="14"/>
      <c r="I497" s="14"/>
      <c r="J497" s="14"/>
      <c r="K497" s="12"/>
    </row>
    <row r="498" ht="19.5" customHeight="1">
      <c r="A498" s="12"/>
      <c r="C498" s="12"/>
      <c r="D498" s="87"/>
      <c r="F498" s="14"/>
      <c r="G498" s="14"/>
      <c r="H498" s="14"/>
      <c r="I498" s="14"/>
      <c r="J498" s="14"/>
      <c r="K498" s="12"/>
    </row>
    <row r="499" ht="19.5" customHeight="1">
      <c r="A499" s="12"/>
      <c r="C499" s="12"/>
      <c r="D499" s="87"/>
      <c r="F499" s="14"/>
      <c r="G499" s="14"/>
      <c r="H499" s="14"/>
      <c r="I499" s="14"/>
      <c r="J499" s="14"/>
      <c r="K499" s="12"/>
    </row>
    <row r="500" ht="19.5" customHeight="1">
      <c r="A500" s="12"/>
      <c r="C500" s="12"/>
      <c r="D500" s="87"/>
      <c r="F500" s="14"/>
      <c r="G500" s="14"/>
      <c r="H500" s="14"/>
      <c r="I500" s="14"/>
      <c r="J500" s="14"/>
      <c r="K500" s="12"/>
    </row>
    <row r="501" ht="19.5" customHeight="1">
      <c r="A501" s="12"/>
      <c r="C501" s="12"/>
      <c r="D501" s="87"/>
      <c r="F501" s="14"/>
      <c r="G501" s="14"/>
      <c r="H501" s="14"/>
      <c r="I501" s="14"/>
      <c r="J501" s="14"/>
      <c r="K501" s="12"/>
    </row>
    <row r="502" ht="19.5" customHeight="1">
      <c r="A502" s="12"/>
      <c r="C502" s="12"/>
      <c r="D502" s="87"/>
      <c r="F502" s="14"/>
      <c r="G502" s="14"/>
      <c r="H502" s="14"/>
      <c r="I502" s="14"/>
      <c r="J502" s="14"/>
      <c r="K502" s="12"/>
    </row>
    <row r="503" ht="19.5" customHeight="1">
      <c r="A503" s="12"/>
      <c r="C503" s="12"/>
      <c r="D503" s="87"/>
      <c r="F503" s="14"/>
      <c r="G503" s="14"/>
      <c r="H503" s="14"/>
      <c r="I503" s="14"/>
      <c r="J503" s="14"/>
      <c r="K503" s="12"/>
    </row>
    <row r="504" ht="19.5" customHeight="1">
      <c r="A504" s="12"/>
      <c r="C504" s="12"/>
      <c r="D504" s="87"/>
      <c r="F504" s="14"/>
      <c r="G504" s="14"/>
      <c r="H504" s="14"/>
      <c r="I504" s="14"/>
      <c r="J504" s="14"/>
      <c r="K504" s="12"/>
    </row>
    <row r="505" ht="19.5" customHeight="1">
      <c r="A505" s="12"/>
      <c r="C505" s="12"/>
      <c r="D505" s="87"/>
      <c r="F505" s="14"/>
      <c r="G505" s="14"/>
      <c r="H505" s="14"/>
      <c r="I505" s="14"/>
      <c r="J505" s="14"/>
      <c r="K505" s="12"/>
    </row>
    <row r="506" ht="19.5" customHeight="1">
      <c r="A506" s="12"/>
      <c r="C506" s="12"/>
      <c r="D506" s="87"/>
      <c r="F506" s="14"/>
      <c r="G506" s="14"/>
      <c r="H506" s="14"/>
      <c r="I506" s="14"/>
      <c r="J506" s="14"/>
      <c r="K506" s="12"/>
    </row>
    <row r="507" ht="19.5" customHeight="1">
      <c r="A507" s="12"/>
      <c r="C507" s="12"/>
      <c r="D507" s="87"/>
      <c r="F507" s="14"/>
      <c r="G507" s="14"/>
      <c r="H507" s="14"/>
      <c r="I507" s="14"/>
      <c r="J507" s="14"/>
      <c r="K507" s="12"/>
    </row>
    <row r="508" ht="19.5" customHeight="1">
      <c r="A508" s="12"/>
      <c r="C508" s="12"/>
      <c r="D508" s="87"/>
      <c r="F508" s="14"/>
      <c r="G508" s="14"/>
      <c r="H508" s="14"/>
      <c r="I508" s="14"/>
      <c r="J508" s="14"/>
      <c r="K508" s="12"/>
    </row>
    <row r="509" ht="19.5" customHeight="1">
      <c r="A509" s="12"/>
      <c r="C509" s="12"/>
      <c r="D509" s="87"/>
      <c r="F509" s="14"/>
      <c r="G509" s="14"/>
      <c r="H509" s="14"/>
      <c r="I509" s="14"/>
      <c r="J509" s="14"/>
      <c r="K509" s="12"/>
    </row>
    <row r="510" ht="19.5" customHeight="1">
      <c r="A510" s="12"/>
      <c r="C510" s="12"/>
      <c r="D510" s="87"/>
      <c r="F510" s="14"/>
      <c r="G510" s="14"/>
      <c r="H510" s="14"/>
      <c r="I510" s="14"/>
      <c r="J510" s="14"/>
      <c r="K510" s="12"/>
    </row>
    <row r="511" ht="19.5" customHeight="1">
      <c r="A511" s="12"/>
      <c r="C511" s="12"/>
      <c r="D511" s="87"/>
      <c r="F511" s="14"/>
      <c r="G511" s="14"/>
      <c r="H511" s="14"/>
      <c r="I511" s="14"/>
      <c r="J511" s="14"/>
      <c r="K511" s="12"/>
    </row>
    <row r="512" ht="19.5" customHeight="1">
      <c r="A512" s="12"/>
      <c r="C512" s="12"/>
      <c r="D512" s="87"/>
      <c r="F512" s="14"/>
      <c r="G512" s="14"/>
      <c r="H512" s="14"/>
      <c r="I512" s="14"/>
      <c r="J512" s="14"/>
      <c r="K512" s="12"/>
    </row>
    <row r="513" ht="19.5" customHeight="1">
      <c r="A513" s="12"/>
      <c r="C513" s="12"/>
      <c r="D513" s="87"/>
      <c r="F513" s="14"/>
      <c r="G513" s="14"/>
      <c r="H513" s="14"/>
      <c r="I513" s="14"/>
      <c r="J513" s="14"/>
      <c r="K513" s="12"/>
    </row>
    <row r="514" ht="19.5" customHeight="1">
      <c r="A514" s="12"/>
      <c r="C514" s="12"/>
      <c r="D514" s="87"/>
      <c r="F514" s="14"/>
      <c r="G514" s="14"/>
      <c r="H514" s="14"/>
      <c r="I514" s="14"/>
      <c r="J514" s="14"/>
      <c r="K514" s="12"/>
    </row>
    <row r="515" ht="19.5" customHeight="1">
      <c r="A515" s="12"/>
      <c r="C515" s="12"/>
      <c r="D515" s="87"/>
      <c r="F515" s="14"/>
      <c r="G515" s="14"/>
      <c r="H515" s="14"/>
      <c r="I515" s="14"/>
      <c r="J515" s="14"/>
      <c r="K515" s="12"/>
    </row>
    <row r="516" ht="19.5" customHeight="1">
      <c r="A516" s="12"/>
      <c r="C516" s="12"/>
      <c r="D516" s="87"/>
      <c r="F516" s="14"/>
      <c r="G516" s="14"/>
      <c r="H516" s="14"/>
      <c r="I516" s="14"/>
      <c r="J516" s="14"/>
      <c r="K516" s="12"/>
    </row>
    <row r="517" ht="19.5" customHeight="1">
      <c r="A517" s="12"/>
      <c r="C517" s="12"/>
      <c r="D517" s="87"/>
      <c r="F517" s="14"/>
      <c r="G517" s="14"/>
      <c r="H517" s="14"/>
      <c r="I517" s="14"/>
      <c r="J517" s="14"/>
      <c r="K517" s="12"/>
    </row>
    <row r="518" ht="19.5" customHeight="1">
      <c r="A518" s="12"/>
      <c r="C518" s="12"/>
      <c r="D518" s="87"/>
      <c r="F518" s="14"/>
      <c r="G518" s="14"/>
      <c r="H518" s="14"/>
      <c r="I518" s="14"/>
      <c r="J518" s="14"/>
      <c r="K518" s="12"/>
    </row>
    <row r="519" ht="19.5" customHeight="1">
      <c r="A519" s="12"/>
      <c r="C519" s="12"/>
      <c r="D519" s="87"/>
      <c r="F519" s="14"/>
      <c r="G519" s="14"/>
      <c r="H519" s="14"/>
      <c r="I519" s="14"/>
      <c r="J519" s="14"/>
      <c r="K519" s="12"/>
    </row>
    <row r="520" ht="19.5" customHeight="1">
      <c r="A520" s="12"/>
      <c r="C520" s="12"/>
      <c r="D520" s="87"/>
      <c r="F520" s="14"/>
      <c r="G520" s="14"/>
      <c r="H520" s="14"/>
      <c r="I520" s="14"/>
      <c r="J520" s="14"/>
      <c r="K520" s="12"/>
    </row>
    <row r="521" ht="19.5" customHeight="1">
      <c r="A521" s="12"/>
      <c r="C521" s="12"/>
      <c r="D521" s="87"/>
      <c r="F521" s="14"/>
      <c r="G521" s="14"/>
      <c r="H521" s="14"/>
      <c r="I521" s="14"/>
      <c r="J521" s="14"/>
      <c r="K521" s="12"/>
    </row>
    <row r="522" ht="19.5" customHeight="1">
      <c r="A522" s="12"/>
      <c r="C522" s="12"/>
      <c r="D522" s="87"/>
      <c r="F522" s="14"/>
      <c r="G522" s="14"/>
      <c r="H522" s="14"/>
      <c r="I522" s="14"/>
      <c r="J522" s="14"/>
      <c r="K522" s="12"/>
    </row>
    <row r="523" ht="19.5" customHeight="1">
      <c r="A523" s="12"/>
      <c r="C523" s="12"/>
      <c r="D523" s="87"/>
      <c r="F523" s="14"/>
      <c r="G523" s="14"/>
      <c r="H523" s="14"/>
      <c r="I523" s="14"/>
      <c r="J523" s="14"/>
      <c r="K523" s="12"/>
    </row>
    <row r="524" ht="19.5" customHeight="1">
      <c r="A524" s="12"/>
      <c r="C524" s="12"/>
      <c r="D524" s="87"/>
      <c r="F524" s="14"/>
      <c r="G524" s="14"/>
      <c r="H524" s="14"/>
      <c r="I524" s="14"/>
      <c r="J524" s="14"/>
      <c r="K524" s="12"/>
    </row>
    <row r="525" ht="19.5" customHeight="1">
      <c r="A525" s="12"/>
      <c r="C525" s="12"/>
      <c r="D525" s="87"/>
      <c r="F525" s="14"/>
      <c r="G525" s="14"/>
      <c r="H525" s="14"/>
      <c r="I525" s="14"/>
      <c r="J525" s="14"/>
      <c r="K525" s="12"/>
    </row>
    <row r="526" ht="19.5" customHeight="1">
      <c r="A526" s="12"/>
      <c r="C526" s="12"/>
      <c r="D526" s="87"/>
      <c r="F526" s="14"/>
      <c r="G526" s="14"/>
      <c r="H526" s="14"/>
      <c r="I526" s="14"/>
      <c r="J526" s="14"/>
      <c r="K526" s="12"/>
    </row>
    <row r="527" ht="19.5" customHeight="1">
      <c r="A527" s="12"/>
      <c r="C527" s="12"/>
      <c r="D527" s="87"/>
      <c r="F527" s="14"/>
      <c r="G527" s="14"/>
      <c r="H527" s="14"/>
      <c r="I527" s="14"/>
      <c r="J527" s="14"/>
      <c r="K527" s="12"/>
    </row>
    <row r="528" ht="19.5" customHeight="1">
      <c r="A528" s="12"/>
      <c r="C528" s="12"/>
      <c r="D528" s="87"/>
      <c r="F528" s="14"/>
      <c r="G528" s="14"/>
      <c r="H528" s="14"/>
      <c r="I528" s="14"/>
      <c r="J528" s="14"/>
      <c r="K528" s="12"/>
    </row>
    <row r="529" ht="19.5" customHeight="1">
      <c r="A529" s="12"/>
      <c r="C529" s="12"/>
      <c r="D529" s="87"/>
      <c r="F529" s="14"/>
      <c r="G529" s="14"/>
      <c r="H529" s="14"/>
      <c r="I529" s="14"/>
      <c r="J529" s="14"/>
      <c r="K529" s="12"/>
    </row>
    <row r="530" ht="19.5" customHeight="1">
      <c r="A530" s="12"/>
      <c r="C530" s="12"/>
      <c r="D530" s="87"/>
      <c r="F530" s="14"/>
      <c r="G530" s="14"/>
      <c r="H530" s="14"/>
      <c r="I530" s="14"/>
      <c r="J530" s="14"/>
      <c r="K530" s="12"/>
    </row>
    <row r="531" ht="19.5" customHeight="1">
      <c r="A531" s="12"/>
      <c r="C531" s="12"/>
      <c r="D531" s="87"/>
      <c r="F531" s="14"/>
      <c r="G531" s="14"/>
      <c r="H531" s="14"/>
      <c r="I531" s="14"/>
      <c r="J531" s="14"/>
      <c r="K531" s="12"/>
    </row>
    <row r="532" ht="19.5" customHeight="1">
      <c r="A532" s="12"/>
      <c r="C532" s="12"/>
      <c r="D532" s="87"/>
      <c r="F532" s="14"/>
      <c r="G532" s="14"/>
      <c r="H532" s="14"/>
      <c r="I532" s="14"/>
      <c r="J532" s="14"/>
      <c r="K532" s="12"/>
    </row>
    <row r="533" ht="19.5" customHeight="1">
      <c r="A533" s="12"/>
      <c r="C533" s="12"/>
      <c r="D533" s="87"/>
      <c r="F533" s="14"/>
      <c r="G533" s="14"/>
      <c r="H533" s="14"/>
      <c r="I533" s="14"/>
      <c r="J533" s="14"/>
      <c r="K533" s="12"/>
    </row>
    <row r="534" ht="19.5" customHeight="1">
      <c r="A534" s="12"/>
      <c r="C534" s="12"/>
      <c r="D534" s="87"/>
      <c r="F534" s="14"/>
      <c r="G534" s="14"/>
      <c r="H534" s="14"/>
      <c r="I534" s="14"/>
      <c r="J534" s="14"/>
      <c r="K534" s="12"/>
    </row>
    <row r="535" ht="19.5" customHeight="1">
      <c r="A535" s="12"/>
      <c r="C535" s="12"/>
      <c r="D535" s="87"/>
      <c r="F535" s="14"/>
      <c r="G535" s="14"/>
      <c r="H535" s="14"/>
      <c r="I535" s="14"/>
      <c r="J535" s="14"/>
      <c r="K535" s="12"/>
    </row>
    <row r="536" ht="19.5" customHeight="1">
      <c r="A536" s="12"/>
      <c r="C536" s="12"/>
      <c r="D536" s="87"/>
      <c r="F536" s="14"/>
      <c r="G536" s="14"/>
      <c r="H536" s="14"/>
      <c r="I536" s="14"/>
      <c r="J536" s="14"/>
      <c r="K536" s="12"/>
    </row>
    <row r="537" ht="19.5" customHeight="1">
      <c r="A537" s="12"/>
      <c r="C537" s="12"/>
      <c r="D537" s="87"/>
      <c r="F537" s="14"/>
      <c r="G537" s="14"/>
      <c r="H537" s="14"/>
      <c r="I537" s="14"/>
      <c r="J537" s="14"/>
      <c r="K537" s="12"/>
    </row>
    <row r="538" ht="19.5" customHeight="1">
      <c r="A538" s="12"/>
      <c r="C538" s="12"/>
      <c r="D538" s="87"/>
      <c r="F538" s="14"/>
      <c r="G538" s="14"/>
      <c r="H538" s="14"/>
      <c r="I538" s="14"/>
      <c r="J538" s="14"/>
      <c r="K538" s="12"/>
    </row>
    <row r="539" ht="19.5" customHeight="1">
      <c r="A539" s="12"/>
      <c r="C539" s="12"/>
      <c r="D539" s="87"/>
      <c r="F539" s="14"/>
      <c r="G539" s="14"/>
      <c r="H539" s="14"/>
      <c r="I539" s="14"/>
      <c r="J539" s="14"/>
      <c r="K539" s="12"/>
    </row>
    <row r="540" ht="19.5" customHeight="1">
      <c r="A540" s="12"/>
      <c r="C540" s="12"/>
      <c r="D540" s="87"/>
      <c r="F540" s="14"/>
      <c r="G540" s="14"/>
      <c r="H540" s="14"/>
      <c r="I540" s="14"/>
      <c r="J540" s="14"/>
      <c r="K540" s="12"/>
    </row>
    <row r="541" ht="19.5" customHeight="1">
      <c r="A541" s="12"/>
      <c r="C541" s="12"/>
      <c r="D541" s="87"/>
      <c r="F541" s="14"/>
      <c r="G541" s="14"/>
      <c r="H541" s="14"/>
      <c r="I541" s="14"/>
      <c r="J541" s="14"/>
      <c r="K541" s="12"/>
    </row>
    <row r="542" ht="19.5" customHeight="1">
      <c r="A542" s="12"/>
      <c r="C542" s="12"/>
      <c r="D542" s="87"/>
      <c r="F542" s="14"/>
      <c r="G542" s="14"/>
      <c r="H542" s="14"/>
      <c r="I542" s="14"/>
      <c r="J542" s="14"/>
      <c r="K542" s="12"/>
    </row>
    <row r="543" ht="19.5" customHeight="1">
      <c r="A543" s="12"/>
      <c r="C543" s="12"/>
      <c r="D543" s="87"/>
      <c r="F543" s="14"/>
      <c r="G543" s="14"/>
      <c r="H543" s="14"/>
      <c r="I543" s="14"/>
      <c r="J543" s="14"/>
      <c r="K543" s="12"/>
    </row>
    <row r="544" ht="19.5" customHeight="1">
      <c r="A544" s="12"/>
      <c r="C544" s="12"/>
      <c r="D544" s="87"/>
      <c r="F544" s="14"/>
      <c r="G544" s="14"/>
      <c r="H544" s="14"/>
      <c r="I544" s="14"/>
      <c r="J544" s="14"/>
      <c r="K544" s="12"/>
    </row>
    <row r="545" ht="19.5" customHeight="1">
      <c r="A545" s="12"/>
      <c r="C545" s="12"/>
      <c r="D545" s="87"/>
      <c r="F545" s="14"/>
      <c r="G545" s="14"/>
      <c r="H545" s="14"/>
      <c r="I545" s="14"/>
      <c r="J545" s="14"/>
      <c r="K545" s="12"/>
    </row>
    <row r="546" ht="19.5" customHeight="1">
      <c r="A546" s="12"/>
      <c r="C546" s="12"/>
      <c r="D546" s="87"/>
      <c r="F546" s="14"/>
      <c r="G546" s="14"/>
      <c r="H546" s="14"/>
      <c r="I546" s="14"/>
      <c r="J546" s="14"/>
      <c r="K546" s="12"/>
    </row>
    <row r="547" ht="19.5" customHeight="1">
      <c r="A547" s="12"/>
      <c r="C547" s="12"/>
      <c r="D547" s="87"/>
      <c r="F547" s="14"/>
      <c r="G547" s="14"/>
      <c r="H547" s="14"/>
      <c r="I547" s="14"/>
      <c r="J547" s="14"/>
      <c r="K547" s="12"/>
    </row>
    <row r="548" ht="19.5" customHeight="1">
      <c r="A548" s="12"/>
      <c r="C548" s="12"/>
      <c r="D548" s="87"/>
      <c r="F548" s="14"/>
      <c r="G548" s="14"/>
      <c r="H548" s="14"/>
      <c r="I548" s="14"/>
      <c r="J548" s="14"/>
      <c r="K548" s="12"/>
    </row>
    <row r="549" ht="19.5" customHeight="1">
      <c r="A549" s="12"/>
      <c r="C549" s="12"/>
      <c r="D549" s="87"/>
      <c r="F549" s="14"/>
      <c r="G549" s="14"/>
      <c r="H549" s="14"/>
      <c r="I549" s="14"/>
      <c r="J549" s="14"/>
      <c r="K549" s="12"/>
    </row>
    <row r="550" ht="19.5" customHeight="1">
      <c r="A550" s="12"/>
      <c r="C550" s="12"/>
      <c r="D550" s="87"/>
      <c r="F550" s="14"/>
      <c r="G550" s="14"/>
      <c r="H550" s="14"/>
      <c r="I550" s="14"/>
      <c r="J550" s="14"/>
      <c r="K550" s="12"/>
    </row>
    <row r="551" ht="19.5" customHeight="1">
      <c r="A551" s="12"/>
      <c r="C551" s="12"/>
      <c r="D551" s="87"/>
      <c r="F551" s="14"/>
      <c r="G551" s="14"/>
      <c r="H551" s="14"/>
      <c r="I551" s="14"/>
      <c r="J551" s="14"/>
      <c r="K551" s="12"/>
    </row>
    <row r="552" ht="19.5" customHeight="1">
      <c r="A552" s="12"/>
      <c r="C552" s="12"/>
      <c r="D552" s="87"/>
      <c r="F552" s="14"/>
      <c r="G552" s="14"/>
      <c r="H552" s="14"/>
      <c r="I552" s="14"/>
      <c r="J552" s="14"/>
      <c r="K552" s="12"/>
    </row>
    <row r="553" ht="19.5" customHeight="1">
      <c r="A553" s="12"/>
      <c r="C553" s="12"/>
      <c r="D553" s="87"/>
      <c r="F553" s="14"/>
      <c r="G553" s="14"/>
      <c r="H553" s="14"/>
      <c r="I553" s="14"/>
      <c r="J553" s="14"/>
      <c r="K553" s="12"/>
    </row>
    <row r="554" ht="19.5" customHeight="1">
      <c r="A554" s="12"/>
      <c r="C554" s="12"/>
      <c r="D554" s="87"/>
      <c r="F554" s="14"/>
      <c r="G554" s="14"/>
      <c r="H554" s="14"/>
      <c r="I554" s="14"/>
      <c r="J554" s="14"/>
      <c r="K554" s="12"/>
    </row>
    <row r="555" ht="19.5" customHeight="1">
      <c r="A555" s="12"/>
      <c r="C555" s="12"/>
      <c r="D555" s="87"/>
      <c r="F555" s="14"/>
      <c r="G555" s="14"/>
      <c r="H555" s="14"/>
      <c r="I555" s="14"/>
      <c r="J555" s="14"/>
      <c r="K555" s="12"/>
    </row>
    <row r="556" ht="19.5" customHeight="1">
      <c r="A556" s="12"/>
      <c r="C556" s="12"/>
      <c r="D556" s="87"/>
      <c r="F556" s="14"/>
      <c r="G556" s="14"/>
      <c r="H556" s="14"/>
      <c r="I556" s="14"/>
      <c r="J556" s="14"/>
      <c r="K556" s="12"/>
    </row>
    <row r="557" ht="19.5" customHeight="1">
      <c r="A557" s="12"/>
      <c r="C557" s="12"/>
      <c r="D557" s="87"/>
      <c r="F557" s="14"/>
      <c r="G557" s="14"/>
      <c r="H557" s="14"/>
      <c r="I557" s="14"/>
      <c r="J557" s="14"/>
      <c r="K557" s="12"/>
    </row>
    <row r="558" ht="19.5" customHeight="1">
      <c r="A558" s="12"/>
      <c r="C558" s="12"/>
      <c r="D558" s="87"/>
      <c r="F558" s="14"/>
      <c r="G558" s="14"/>
      <c r="H558" s="14"/>
      <c r="I558" s="14"/>
      <c r="J558" s="14"/>
      <c r="K558" s="12"/>
    </row>
    <row r="559" ht="19.5" customHeight="1">
      <c r="A559" s="12"/>
      <c r="C559" s="12"/>
      <c r="D559" s="87"/>
      <c r="F559" s="14"/>
      <c r="G559" s="14"/>
      <c r="H559" s="14"/>
      <c r="I559" s="14"/>
      <c r="J559" s="14"/>
      <c r="K559" s="12"/>
    </row>
    <row r="560" ht="19.5" customHeight="1">
      <c r="A560" s="12"/>
      <c r="C560" s="12"/>
      <c r="D560" s="87"/>
      <c r="F560" s="14"/>
      <c r="G560" s="14"/>
      <c r="H560" s="14"/>
      <c r="I560" s="14"/>
      <c r="J560" s="14"/>
      <c r="K560" s="12"/>
    </row>
    <row r="561" ht="19.5" customHeight="1">
      <c r="A561" s="12"/>
      <c r="C561" s="12"/>
      <c r="D561" s="87"/>
      <c r="F561" s="14"/>
      <c r="G561" s="14"/>
      <c r="H561" s="14"/>
      <c r="I561" s="14"/>
      <c r="J561" s="14"/>
      <c r="K561" s="12"/>
    </row>
    <row r="562" ht="19.5" customHeight="1">
      <c r="A562" s="12"/>
      <c r="C562" s="12"/>
      <c r="D562" s="87"/>
      <c r="F562" s="14"/>
      <c r="G562" s="14"/>
      <c r="H562" s="14"/>
      <c r="I562" s="14"/>
      <c r="J562" s="14"/>
      <c r="K562" s="12"/>
    </row>
    <row r="563" ht="19.5" customHeight="1">
      <c r="A563" s="12"/>
      <c r="C563" s="12"/>
      <c r="D563" s="87"/>
      <c r="F563" s="14"/>
      <c r="G563" s="14"/>
      <c r="H563" s="14"/>
      <c r="I563" s="14"/>
      <c r="J563" s="14"/>
      <c r="K563" s="12"/>
    </row>
    <row r="564" ht="19.5" customHeight="1">
      <c r="A564" s="12"/>
      <c r="C564" s="12"/>
      <c r="D564" s="87"/>
      <c r="F564" s="14"/>
      <c r="G564" s="14"/>
      <c r="H564" s="14"/>
      <c r="I564" s="14"/>
      <c r="J564" s="14"/>
      <c r="K564" s="12"/>
    </row>
    <row r="565" ht="19.5" customHeight="1">
      <c r="A565" s="12"/>
      <c r="C565" s="12"/>
      <c r="D565" s="87"/>
      <c r="F565" s="14"/>
      <c r="G565" s="14"/>
      <c r="H565" s="14"/>
      <c r="I565" s="14"/>
      <c r="J565" s="14"/>
      <c r="K565" s="12"/>
    </row>
    <row r="566" ht="19.5" customHeight="1">
      <c r="A566" s="12"/>
      <c r="C566" s="12"/>
      <c r="D566" s="87"/>
      <c r="F566" s="14"/>
      <c r="G566" s="14"/>
      <c r="H566" s="14"/>
      <c r="I566" s="14"/>
      <c r="J566" s="14"/>
      <c r="K566" s="12"/>
    </row>
    <row r="567" ht="19.5" customHeight="1">
      <c r="A567" s="12"/>
      <c r="C567" s="12"/>
      <c r="D567" s="87"/>
      <c r="F567" s="14"/>
      <c r="G567" s="14"/>
      <c r="H567" s="14"/>
      <c r="I567" s="14"/>
      <c r="J567" s="14"/>
      <c r="K567" s="12"/>
    </row>
    <row r="568" ht="19.5" customHeight="1">
      <c r="A568" s="12"/>
      <c r="C568" s="12"/>
      <c r="D568" s="87"/>
      <c r="F568" s="14"/>
      <c r="G568" s="14"/>
      <c r="H568" s="14"/>
      <c r="I568" s="14"/>
      <c r="J568" s="14"/>
      <c r="K568" s="12"/>
    </row>
    <row r="569" ht="19.5" customHeight="1">
      <c r="A569" s="12"/>
      <c r="C569" s="12"/>
      <c r="D569" s="87"/>
      <c r="F569" s="14"/>
      <c r="G569" s="14"/>
      <c r="H569" s="14"/>
      <c r="I569" s="14"/>
      <c r="J569" s="14"/>
      <c r="K569" s="12"/>
    </row>
    <row r="570" ht="19.5" customHeight="1">
      <c r="A570" s="12"/>
      <c r="C570" s="12"/>
      <c r="D570" s="87"/>
      <c r="F570" s="14"/>
      <c r="G570" s="14"/>
      <c r="H570" s="14"/>
      <c r="I570" s="14"/>
      <c r="J570" s="14"/>
      <c r="K570" s="12"/>
    </row>
    <row r="571" ht="19.5" customHeight="1">
      <c r="A571" s="12"/>
      <c r="C571" s="12"/>
      <c r="D571" s="87"/>
      <c r="F571" s="14"/>
      <c r="G571" s="14"/>
      <c r="H571" s="14"/>
      <c r="I571" s="14"/>
      <c r="J571" s="14"/>
      <c r="K571" s="12"/>
    </row>
    <row r="572" ht="19.5" customHeight="1">
      <c r="A572" s="12"/>
      <c r="C572" s="12"/>
      <c r="D572" s="87"/>
      <c r="F572" s="14"/>
      <c r="G572" s="14"/>
      <c r="H572" s="14"/>
      <c r="I572" s="14"/>
      <c r="J572" s="14"/>
      <c r="K572" s="12"/>
    </row>
    <row r="573" ht="19.5" customHeight="1">
      <c r="A573" s="12"/>
      <c r="C573" s="12"/>
      <c r="D573" s="87"/>
      <c r="F573" s="14"/>
      <c r="G573" s="14"/>
      <c r="H573" s="14"/>
      <c r="I573" s="14"/>
      <c r="J573" s="14"/>
      <c r="K573" s="12"/>
    </row>
    <row r="574" ht="19.5" customHeight="1">
      <c r="A574" s="12"/>
      <c r="C574" s="12"/>
      <c r="D574" s="87"/>
      <c r="F574" s="14"/>
      <c r="G574" s="14"/>
      <c r="H574" s="14"/>
      <c r="I574" s="14"/>
      <c r="J574" s="14"/>
      <c r="K574" s="12"/>
    </row>
    <row r="575" ht="19.5" customHeight="1">
      <c r="A575" s="12"/>
      <c r="C575" s="12"/>
      <c r="D575" s="87"/>
      <c r="F575" s="14"/>
      <c r="G575" s="14"/>
      <c r="H575" s="14"/>
      <c r="I575" s="14"/>
      <c r="J575" s="14"/>
      <c r="K575" s="12"/>
    </row>
    <row r="576" ht="19.5" customHeight="1">
      <c r="A576" s="12"/>
      <c r="C576" s="12"/>
      <c r="D576" s="87"/>
      <c r="F576" s="14"/>
      <c r="G576" s="14"/>
      <c r="H576" s="14"/>
      <c r="I576" s="14"/>
      <c r="J576" s="14"/>
      <c r="K576" s="12"/>
    </row>
    <row r="577" ht="19.5" customHeight="1">
      <c r="A577" s="12"/>
      <c r="C577" s="12"/>
      <c r="D577" s="87"/>
      <c r="F577" s="14"/>
      <c r="G577" s="14"/>
      <c r="H577" s="14"/>
      <c r="I577" s="14"/>
      <c r="J577" s="14"/>
      <c r="K577" s="12"/>
    </row>
    <row r="578" ht="19.5" customHeight="1">
      <c r="A578" s="12"/>
      <c r="C578" s="12"/>
      <c r="D578" s="87"/>
      <c r="F578" s="14"/>
      <c r="G578" s="14"/>
      <c r="H578" s="14"/>
      <c r="I578" s="14"/>
      <c r="J578" s="14"/>
      <c r="K578" s="12"/>
    </row>
    <row r="579" ht="19.5" customHeight="1">
      <c r="A579" s="12"/>
      <c r="C579" s="12"/>
      <c r="D579" s="87"/>
      <c r="F579" s="14"/>
      <c r="G579" s="14"/>
      <c r="H579" s="14"/>
      <c r="I579" s="14"/>
      <c r="J579" s="14"/>
      <c r="K579" s="12"/>
    </row>
    <row r="580" ht="19.5" customHeight="1">
      <c r="A580" s="12"/>
      <c r="C580" s="12"/>
      <c r="D580" s="87"/>
      <c r="F580" s="14"/>
      <c r="G580" s="14"/>
      <c r="H580" s="14"/>
      <c r="I580" s="14"/>
      <c r="J580" s="14"/>
      <c r="K580" s="12"/>
    </row>
    <row r="581" ht="19.5" customHeight="1">
      <c r="A581" s="12"/>
      <c r="C581" s="12"/>
      <c r="D581" s="87"/>
      <c r="F581" s="14"/>
      <c r="G581" s="14"/>
      <c r="H581" s="14"/>
      <c r="I581" s="14"/>
      <c r="J581" s="14"/>
      <c r="K581" s="12"/>
    </row>
    <row r="582" ht="19.5" customHeight="1">
      <c r="A582" s="12"/>
      <c r="C582" s="12"/>
      <c r="D582" s="87"/>
      <c r="F582" s="14"/>
      <c r="G582" s="14"/>
      <c r="H582" s="14"/>
      <c r="I582" s="14"/>
      <c r="J582" s="14"/>
      <c r="K582" s="12"/>
    </row>
    <row r="583" ht="19.5" customHeight="1">
      <c r="A583" s="12"/>
      <c r="C583" s="12"/>
      <c r="D583" s="87"/>
      <c r="F583" s="14"/>
      <c r="G583" s="14"/>
      <c r="H583" s="14"/>
      <c r="I583" s="14"/>
      <c r="J583" s="14"/>
      <c r="K583" s="12"/>
    </row>
    <row r="584" ht="19.5" customHeight="1">
      <c r="A584" s="12"/>
      <c r="C584" s="12"/>
      <c r="D584" s="87"/>
      <c r="F584" s="14"/>
      <c r="G584" s="14"/>
      <c r="H584" s="14"/>
      <c r="I584" s="14"/>
      <c r="J584" s="14"/>
      <c r="K584" s="12"/>
    </row>
    <row r="585" ht="19.5" customHeight="1">
      <c r="A585" s="12"/>
      <c r="C585" s="12"/>
      <c r="D585" s="87"/>
      <c r="F585" s="14"/>
      <c r="G585" s="14"/>
      <c r="H585" s="14"/>
      <c r="I585" s="14"/>
      <c r="J585" s="14"/>
      <c r="K585" s="12"/>
    </row>
    <row r="586" ht="19.5" customHeight="1">
      <c r="A586" s="12"/>
      <c r="C586" s="12"/>
      <c r="D586" s="87"/>
      <c r="F586" s="14"/>
      <c r="G586" s="14"/>
      <c r="H586" s="14"/>
      <c r="I586" s="14"/>
      <c r="J586" s="14"/>
      <c r="K586" s="12"/>
    </row>
    <row r="587" ht="19.5" customHeight="1">
      <c r="A587" s="12"/>
      <c r="C587" s="12"/>
      <c r="D587" s="87"/>
      <c r="F587" s="14"/>
      <c r="G587" s="14"/>
      <c r="H587" s="14"/>
      <c r="I587" s="14"/>
      <c r="J587" s="14"/>
      <c r="K587" s="12"/>
    </row>
    <row r="588" ht="19.5" customHeight="1">
      <c r="A588" s="12"/>
      <c r="C588" s="12"/>
      <c r="D588" s="87"/>
      <c r="F588" s="14"/>
      <c r="G588" s="14"/>
      <c r="H588" s="14"/>
      <c r="I588" s="14"/>
      <c r="J588" s="14"/>
      <c r="K588" s="12"/>
    </row>
    <row r="589" ht="19.5" customHeight="1">
      <c r="A589" s="12"/>
      <c r="C589" s="12"/>
      <c r="D589" s="87"/>
      <c r="F589" s="14"/>
      <c r="G589" s="14"/>
      <c r="H589" s="14"/>
      <c r="I589" s="14"/>
      <c r="J589" s="14"/>
      <c r="K589" s="12"/>
    </row>
    <row r="590" ht="19.5" customHeight="1">
      <c r="A590" s="12"/>
      <c r="C590" s="12"/>
      <c r="D590" s="87"/>
      <c r="F590" s="14"/>
      <c r="G590" s="14"/>
      <c r="H590" s="14"/>
      <c r="I590" s="14"/>
      <c r="J590" s="14"/>
      <c r="K590" s="12"/>
    </row>
    <row r="591" ht="19.5" customHeight="1">
      <c r="A591" s="12"/>
      <c r="C591" s="12"/>
      <c r="D591" s="87"/>
      <c r="F591" s="14"/>
      <c r="G591" s="14"/>
      <c r="H591" s="14"/>
      <c r="I591" s="14"/>
      <c r="J591" s="14"/>
      <c r="K591" s="12"/>
    </row>
    <row r="592" ht="19.5" customHeight="1">
      <c r="A592" s="12"/>
      <c r="C592" s="12"/>
      <c r="D592" s="87"/>
      <c r="F592" s="14"/>
      <c r="G592" s="14"/>
      <c r="H592" s="14"/>
      <c r="I592" s="14"/>
      <c r="J592" s="14"/>
      <c r="K592" s="12"/>
    </row>
    <row r="593" ht="19.5" customHeight="1">
      <c r="A593" s="12"/>
      <c r="C593" s="12"/>
      <c r="D593" s="87"/>
      <c r="F593" s="14"/>
      <c r="G593" s="14"/>
      <c r="H593" s="14"/>
      <c r="I593" s="14"/>
      <c r="J593" s="14"/>
      <c r="K593" s="12"/>
    </row>
    <row r="594" ht="19.5" customHeight="1">
      <c r="A594" s="12"/>
      <c r="C594" s="12"/>
      <c r="D594" s="87"/>
      <c r="F594" s="14"/>
      <c r="G594" s="14"/>
      <c r="H594" s="14"/>
      <c r="I594" s="14"/>
      <c r="J594" s="14"/>
      <c r="K594" s="12"/>
    </row>
    <row r="595" ht="19.5" customHeight="1">
      <c r="A595" s="12"/>
      <c r="C595" s="12"/>
      <c r="D595" s="87"/>
      <c r="F595" s="14"/>
      <c r="G595" s="14"/>
      <c r="H595" s="14"/>
      <c r="I595" s="14"/>
      <c r="J595" s="14"/>
      <c r="K595" s="12"/>
    </row>
    <row r="596" ht="19.5" customHeight="1">
      <c r="A596" s="12"/>
      <c r="C596" s="12"/>
      <c r="D596" s="87"/>
      <c r="F596" s="14"/>
      <c r="G596" s="14"/>
      <c r="H596" s="14"/>
      <c r="I596" s="14"/>
      <c r="J596" s="14"/>
      <c r="K596" s="12"/>
    </row>
    <row r="597" ht="19.5" customHeight="1">
      <c r="A597" s="12"/>
      <c r="C597" s="12"/>
      <c r="D597" s="87"/>
      <c r="F597" s="14"/>
      <c r="G597" s="14"/>
      <c r="H597" s="14"/>
      <c r="I597" s="14"/>
      <c r="J597" s="14"/>
      <c r="K597" s="12"/>
    </row>
    <row r="598" ht="19.5" customHeight="1">
      <c r="A598" s="12"/>
      <c r="C598" s="12"/>
      <c r="D598" s="87"/>
      <c r="F598" s="14"/>
      <c r="G598" s="14"/>
      <c r="H598" s="14"/>
      <c r="I598" s="14"/>
      <c r="J598" s="14"/>
      <c r="K598" s="12"/>
    </row>
    <row r="599" ht="19.5" customHeight="1">
      <c r="A599" s="12"/>
      <c r="C599" s="12"/>
      <c r="D599" s="87"/>
      <c r="F599" s="14"/>
      <c r="G599" s="14"/>
      <c r="H599" s="14"/>
      <c r="I599" s="14"/>
      <c r="J599" s="14"/>
      <c r="K599" s="12"/>
    </row>
    <row r="600" ht="19.5" customHeight="1">
      <c r="A600" s="12"/>
      <c r="C600" s="12"/>
      <c r="D600" s="87"/>
      <c r="F600" s="14"/>
      <c r="G600" s="14"/>
      <c r="H600" s="14"/>
      <c r="I600" s="14"/>
      <c r="J600" s="14"/>
      <c r="K600" s="12"/>
    </row>
    <row r="601" ht="19.5" customHeight="1">
      <c r="A601" s="12"/>
      <c r="C601" s="12"/>
      <c r="D601" s="87"/>
      <c r="F601" s="14"/>
      <c r="G601" s="14"/>
      <c r="H601" s="14"/>
      <c r="I601" s="14"/>
      <c r="J601" s="14"/>
      <c r="K601" s="12"/>
    </row>
    <row r="602" ht="19.5" customHeight="1">
      <c r="A602" s="12"/>
      <c r="C602" s="12"/>
      <c r="D602" s="87"/>
      <c r="F602" s="14"/>
      <c r="G602" s="14"/>
      <c r="H602" s="14"/>
      <c r="I602" s="14"/>
      <c r="J602" s="14"/>
      <c r="K602" s="12"/>
    </row>
    <row r="603" ht="19.5" customHeight="1">
      <c r="A603" s="12"/>
      <c r="C603" s="12"/>
      <c r="D603" s="87"/>
      <c r="F603" s="14"/>
      <c r="G603" s="14"/>
      <c r="H603" s="14"/>
      <c r="I603" s="14"/>
      <c r="J603" s="14"/>
      <c r="K603" s="12"/>
    </row>
    <row r="604" ht="19.5" customHeight="1">
      <c r="A604" s="12"/>
      <c r="C604" s="12"/>
      <c r="D604" s="87"/>
      <c r="F604" s="14"/>
      <c r="G604" s="14"/>
      <c r="H604" s="14"/>
      <c r="I604" s="14"/>
      <c r="J604" s="14"/>
      <c r="K604" s="12"/>
    </row>
    <row r="605" ht="19.5" customHeight="1">
      <c r="A605" s="12"/>
      <c r="C605" s="12"/>
      <c r="D605" s="87"/>
      <c r="F605" s="14"/>
      <c r="G605" s="14"/>
      <c r="H605" s="14"/>
      <c r="I605" s="14"/>
      <c r="J605" s="14"/>
      <c r="K605" s="12"/>
    </row>
    <row r="606" ht="19.5" customHeight="1">
      <c r="A606" s="12"/>
      <c r="C606" s="12"/>
      <c r="D606" s="87"/>
      <c r="F606" s="14"/>
      <c r="G606" s="14"/>
      <c r="H606" s="14"/>
      <c r="I606" s="14"/>
      <c r="J606" s="14"/>
      <c r="K606" s="12"/>
    </row>
    <row r="607" ht="19.5" customHeight="1">
      <c r="A607" s="12"/>
      <c r="C607" s="12"/>
      <c r="D607" s="87"/>
      <c r="F607" s="14"/>
      <c r="G607" s="14"/>
      <c r="H607" s="14"/>
      <c r="I607" s="14"/>
      <c r="J607" s="14"/>
      <c r="K607" s="12"/>
    </row>
    <row r="608" ht="19.5" customHeight="1">
      <c r="A608" s="12"/>
      <c r="C608" s="12"/>
      <c r="D608" s="87"/>
      <c r="F608" s="14"/>
      <c r="G608" s="14"/>
      <c r="H608" s="14"/>
      <c r="I608" s="14"/>
      <c r="J608" s="14"/>
      <c r="K608" s="12"/>
    </row>
    <row r="609" ht="19.5" customHeight="1">
      <c r="A609" s="12"/>
      <c r="C609" s="12"/>
      <c r="D609" s="87"/>
      <c r="F609" s="14"/>
      <c r="G609" s="14"/>
      <c r="H609" s="14"/>
      <c r="I609" s="14"/>
      <c r="J609" s="14"/>
      <c r="K609" s="12"/>
    </row>
    <row r="610" ht="19.5" customHeight="1">
      <c r="A610" s="12"/>
      <c r="C610" s="12"/>
      <c r="D610" s="87"/>
      <c r="F610" s="14"/>
      <c r="G610" s="14"/>
      <c r="H610" s="14"/>
      <c r="I610" s="14"/>
      <c r="J610" s="14"/>
      <c r="K610" s="12"/>
    </row>
    <row r="611" ht="19.5" customHeight="1">
      <c r="A611" s="12"/>
      <c r="C611" s="12"/>
      <c r="D611" s="87"/>
      <c r="F611" s="14"/>
      <c r="G611" s="14"/>
      <c r="H611" s="14"/>
      <c r="I611" s="14"/>
      <c r="J611" s="14"/>
      <c r="K611" s="12"/>
    </row>
    <row r="612" ht="19.5" customHeight="1">
      <c r="A612" s="12"/>
      <c r="C612" s="12"/>
      <c r="D612" s="87"/>
      <c r="F612" s="14"/>
      <c r="G612" s="14"/>
      <c r="H612" s="14"/>
      <c r="I612" s="14"/>
      <c r="J612" s="14"/>
      <c r="K612" s="12"/>
    </row>
    <row r="613" ht="19.5" customHeight="1">
      <c r="A613" s="12"/>
      <c r="C613" s="12"/>
      <c r="D613" s="87"/>
      <c r="F613" s="14"/>
      <c r="G613" s="14"/>
      <c r="H613" s="14"/>
      <c r="I613" s="14"/>
      <c r="J613" s="14"/>
      <c r="K613" s="12"/>
    </row>
    <row r="614" ht="19.5" customHeight="1">
      <c r="A614" s="12"/>
      <c r="C614" s="12"/>
      <c r="D614" s="87"/>
      <c r="F614" s="14"/>
      <c r="G614" s="14"/>
      <c r="H614" s="14"/>
      <c r="I614" s="14"/>
      <c r="J614" s="14"/>
      <c r="K614" s="12"/>
    </row>
    <row r="615" ht="19.5" customHeight="1">
      <c r="A615" s="12"/>
      <c r="C615" s="12"/>
      <c r="D615" s="87"/>
      <c r="F615" s="14"/>
      <c r="G615" s="14"/>
      <c r="H615" s="14"/>
      <c r="I615" s="14"/>
      <c r="J615" s="14"/>
      <c r="K615" s="12"/>
    </row>
    <row r="616" ht="19.5" customHeight="1">
      <c r="A616" s="12"/>
      <c r="C616" s="12"/>
      <c r="D616" s="87"/>
      <c r="F616" s="14"/>
      <c r="G616" s="14"/>
      <c r="H616" s="14"/>
      <c r="I616" s="14"/>
      <c r="J616" s="14"/>
      <c r="K616" s="12"/>
    </row>
    <row r="617" ht="19.5" customHeight="1">
      <c r="A617" s="12"/>
      <c r="C617" s="12"/>
      <c r="D617" s="87"/>
      <c r="F617" s="14"/>
      <c r="G617" s="14"/>
      <c r="H617" s="14"/>
      <c r="I617" s="14"/>
      <c r="J617" s="14"/>
      <c r="K617" s="12"/>
    </row>
    <row r="618" ht="19.5" customHeight="1">
      <c r="A618" s="12"/>
      <c r="C618" s="12"/>
      <c r="D618" s="87"/>
      <c r="F618" s="14"/>
      <c r="G618" s="14"/>
      <c r="H618" s="14"/>
      <c r="I618" s="14"/>
      <c r="J618" s="14"/>
      <c r="K618" s="12"/>
    </row>
    <row r="619" ht="19.5" customHeight="1">
      <c r="A619" s="12"/>
      <c r="C619" s="12"/>
      <c r="D619" s="87"/>
      <c r="F619" s="14"/>
      <c r="G619" s="14"/>
      <c r="H619" s="14"/>
      <c r="I619" s="14"/>
      <c r="J619" s="14"/>
      <c r="K619" s="12"/>
    </row>
    <row r="620" ht="19.5" customHeight="1">
      <c r="A620" s="12"/>
      <c r="C620" s="12"/>
      <c r="D620" s="87"/>
      <c r="F620" s="14"/>
      <c r="G620" s="14"/>
      <c r="H620" s="14"/>
      <c r="I620" s="14"/>
      <c r="J620" s="14"/>
      <c r="K620" s="12"/>
    </row>
    <row r="621" ht="19.5" customHeight="1">
      <c r="A621" s="12"/>
      <c r="C621" s="12"/>
      <c r="D621" s="87"/>
      <c r="F621" s="14"/>
      <c r="G621" s="14"/>
      <c r="H621" s="14"/>
      <c r="I621" s="14"/>
      <c r="J621" s="14"/>
      <c r="K621" s="12"/>
    </row>
    <row r="622" ht="19.5" customHeight="1">
      <c r="A622" s="12"/>
      <c r="C622" s="12"/>
      <c r="D622" s="87"/>
      <c r="F622" s="14"/>
      <c r="G622" s="14"/>
      <c r="H622" s="14"/>
      <c r="I622" s="14"/>
      <c r="J622" s="14"/>
      <c r="K622" s="12"/>
    </row>
    <row r="623" ht="19.5" customHeight="1">
      <c r="A623" s="12"/>
      <c r="C623" s="12"/>
      <c r="D623" s="87"/>
      <c r="F623" s="14"/>
      <c r="G623" s="14"/>
      <c r="H623" s="14"/>
      <c r="I623" s="14"/>
      <c r="J623" s="14"/>
      <c r="K623" s="12"/>
    </row>
    <row r="624" ht="19.5" customHeight="1">
      <c r="A624" s="12"/>
      <c r="C624" s="12"/>
      <c r="D624" s="87"/>
      <c r="F624" s="14"/>
      <c r="G624" s="14"/>
      <c r="H624" s="14"/>
      <c r="I624" s="14"/>
      <c r="J624" s="14"/>
      <c r="K624" s="12"/>
    </row>
    <row r="625" ht="19.5" customHeight="1">
      <c r="A625" s="12"/>
      <c r="C625" s="12"/>
      <c r="D625" s="87"/>
      <c r="F625" s="14"/>
      <c r="G625" s="14"/>
      <c r="H625" s="14"/>
      <c r="I625" s="14"/>
      <c r="J625" s="14"/>
      <c r="K625" s="12"/>
    </row>
    <row r="626" ht="19.5" customHeight="1">
      <c r="A626" s="12"/>
      <c r="C626" s="12"/>
      <c r="D626" s="87"/>
      <c r="F626" s="14"/>
      <c r="G626" s="14"/>
      <c r="H626" s="14"/>
      <c r="I626" s="14"/>
      <c r="J626" s="14"/>
      <c r="K626" s="12"/>
    </row>
    <row r="627" ht="19.5" customHeight="1">
      <c r="A627" s="12"/>
      <c r="C627" s="12"/>
      <c r="D627" s="87"/>
      <c r="F627" s="14"/>
      <c r="G627" s="14"/>
      <c r="H627" s="14"/>
      <c r="I627" s="14"/>
      <c r="J627" s="14"/>
      <c r="K627" s="12"/>
    </row>
    <row r="628" ht="19.5" customHeight="1">
      <c r="A628" s="12"/>
      <c r="C628" s="12"/>
      <c r="D628" s="87"/>
      <c r="F628" s="14"/>
      <c r="G628" s="14"/>
      <c r="H628" s="14"/>
      <c r="I628" s="14"/>
      <c r="J628" s="14"/>
      <c r="K628" s="12"/>
    </row>
    <row r="629" ht="19.5" customHeight="1">
      <c r="A629" s="12"/>
      <c r="C629" s="12"/>
      <c r="D629" s="87"/>
      <c r="F629" s="14"/>
      <c r="G629" s="14"/>
      <c r="H629" s="14"/>
      <c r="I629" s="14"/>
      <c r="J629" s="14"/>
      <c r="K629" s="12"/>
    </row>
    <row r="630" ht="19.5" customHeight="1">
      <c r="A630" s="12"/>
      <c r="C630" s="12"/>
      <c r="D630" s="87"/>
      <c r="F630" s="14"/>
      <c r="G630" s="14"/>
      <c r="H630" s="14"/>
      <c r="I630" s="14"/>
      <c r="J630" s="14"/>
      <c r="K630" s="12"/>
    </row>
    <row r="631" ht="19.5" customHeight="1">
      <c r="A631" s="12"/>
      <c r="C631" s="12"/>
      <c r="D631" s="87"/>
      <c r="F631" s="14"/>
      <c r="G631" s="14"/>
      <c r="H631" s="14"/>
      <c r="I631" s="14"/>
      <c r="J631" s="14"/>
      <c r="K631" s="12"/>
    </row>
    <row r="632" ht="19.5" customHeight="1">
      <c r="A632" s="12"/>
      <c r="C632" s="12"/>
      <c r="D632" s="87"/>
      <c r="F632" s="14"/>
      <c r="G632" s="14"/>
      <c r="H632" s="14"/>
      <c r="I632" s="14"/>
      <c r="J632" s="14"/>
      <c r="K632" s="12"/>
    </row>
    <row r="633" ht="19.5" customHeight="1">
      <c r="A633" s="12"/>
      <c r="C633" s="12"/>
      <c r="D633" s="87"/>
      <c r="F633" s="14"/>
      <c r="G633" s="14"/>
      <c r="H633" s="14"/>
      <c r="I633" s="14"/>
      <c r="J633" s="14"/>
      <c r="K633" s="12"/>
    </row>
    <row r="634" ht="19.5" customHeight="1">
      <c r="A634" s="12"/>
      <c r="C634" s="12"/>
      <c r="D634" s="87"/>
      <c r="F634" s="14"/>
      <c r="G634" s="14"/>
      <c r="H634" s="14"/>
      <c r="I634" s="14"/>
      <c r="J634" s="14"/>
      <c r="K634" s="12"/>
    </row>
    <row r="635" ht="19.5" customHeight="1">
      <c r="A635" s="12"/>
      <c r="C635" s="12"/>
      <c r="D635" s="87"/>
      <c r="F635" s="14"/>
      <c r="G635" s="14"/>
      <c r="H635" s="14"/>
      <c r="I635" s="14"/>
      <c r="J635" s="14"/>
      <c r="K635" s="12"/>
    </row>
    <row r="636" ht="19.5" customHeight="1">
      <c r="A636" s="12"/>
      <c r="C636" s="12"/>
      <c r="D636" s="87"/>
      <c r="F636" s="14"/>
      <c r="G636" s="14"/>
      <c r="H636" s="14"/>
      <c r="I636" s="14"/>
      <c r="J636" s="14"/>
      <c r="K636" s="12"/>
    </row>
    <row r="637" ht="19.5" customHeight="1">
      <c r="A637" s="12"/>
      <c r="C637" s="12"/>
      <c r="D637" s="87"/>
      <c r="F637" s="14"/>
      <c r="G637" s="14"/>
      <c r="H637" s="14"/>
      <c r="I637" s="14"/>
      <c r="J637" s="14"/>
      <c r="K637" s="12"/>
    </row>
    <row r="638" ht="19.5" customHeight="1">
      <c r="A638" s="12"/>
      <c r="C638" s="12"/>
      <c r="D638" s="87"/>
      <c r="F638" s="14"/>
      <c r="G638" s="14"/>
      <c r="H638" s="14"/>
      <c r="I638" s="14"/>
      <c r="J638" s="14"/>
      <c r="K638" s="12"/>
    </row>
    <row r="639" ht="19.5" customHeight="1">
      <c r="A639" s="12"/>
      <c r="C639" s="12"/>
      <c r="D639" s="87"/>
      <c r="F639" s="14"/>
      <c r="G639" s="14"/>
      <c r="H639" s="14"/>
      <c r="I639" s="14"/>
      <c r="J639" s="14"/>
      <c r="K639" s="12"/>
    </row>
    <row r="640" ht="19.5" customHeight="1">
      <c r="A640" s="12"/>
      <c r="C640" s="12"/>
      <c r="D640" s="87"/>
      <c r="F640" s="14"/>
      <c r="G640" s="14"/>
      <c r="H640" s="14"/>
      <c r="I640" s="14"/>
      <c r="J640" s="14"/>
      <c r="K640" s="12"/>
    </row>
    <row r="641" ht="19.5" customHeight="1">
      <c r="A641" s="12"/>
      <c r="C641" s="12"/>
      <c r="D641" s="87"/>
      <c r="F641" s="14"/>
      <c r="G641" s="14"/>
      <c r="H641" s="14"/>
      <c r="I641" s="14"/>
      <c r="J641" s="14"/>
      <c r="K641" s="12"/>
    </row>
    <row r="642" ht="19.5" customHeight="1">
      <c r="A642" s="12"/>
      <c r="C642" s="12"/>
      <c r="D642" s="87"/>
      <c r="F642" s="14"/>
      <c r="G642" s="14"/>
      <c r="H642" s="14"/>
      <c r="I642" s="14"/>
      <c r="J642" s="14"/>
      <c r="K642" s="12"/>
    </row>
    <row r="643" ht="19.5" customHeight="1">
      <c r="A643" s="12"/>
      <c r="C643" s="12"/>
      <c r="D643" s="87"/>
      <c r="F643" s="14"/>
      <c r="G643" s="14"/>
      <c r="H643" s="14"/>
      <c r="I643" s="14"/>
      <c r="J643" s="14"/>
      <c r="K643" s="12"/>
    </row>
    <row r="644" ht="19.5" customHeight="1">
      <c r="A644" s="12"/>
      <c r="C644" s="12"/>
      <c r="D644" s="87"/>
      <c r="F644" s="14"/>
      <c r="G644" s="14"/>
      <c r="H644" s="14"/>
      <c r="I644" s="14"/>
      <c r="J644" s="14"/>
      <c r="K644" s="12"/>
    </row>
    <row r="645" ht="19.5" customHeight="1">
      <c r="A645" s="12"/>
      <c r="C645" s="12"/>
      <c r="D645" s="87"/>
      <c r="F645" s="14"/>
      <c r="G645" s="14"/>
      <c r="H645" s="14"/>
      <c r="I645" s="14"/>
      <c r="J645" s="14"/>
      <c r="K645" s="12"/>
    </row>
    <row r="646" ht="19.5" customHeight="1">
      <c r="A646" s="12"/>
      <c r="C646" s="12"/>
      <c r="D646" s="87"/>
      <c r="F646" s="14"/>
      <c r="G646" s="14"/>
      <c r="H646" s="14"/>
      <c r="I646" s="14"/>
      <c r="J646" s="14"/>
      <c r="K646" s="12"/>
    </row>
    <row r="647" ht="19.5" customHeight="1">
      <c r="A647" s="12"/>
      <c r="C647" s="12"/>
      <c r="D647" s="87"/>
      <c r="F647" s="14"/>
      <c r="G647" s="14"/>
      <c r="H647" s="14"/>
      <c r="I647" s="14"/>
      <c r="J647" s="14"/>
      <c r="K647" s="12"/>
    </row>
    <row r="648" ht="19.5" customHeight="1">
      <c r="A648" s="12"/>
      <c r="C648" s="12"/>
      <c r="D648" s="87"/>
      <c r="F648" s="14"/>
      <c r="G648" s="14"/>
      <c r="H648" s="14"/>
      <c r="I648" s="14"/>
      <c r="J648" s="14"/>
      <c r="K648" s="12"/>
    </row>
    <row r="649" ht="19.5" customHeight="1">
      <c r="A649" s="12"/>
      <c r="C649" s="12"/>
      <c r="D649" s="87"/>
      <c r="F649" s="14"/>
      <c r="G649" s="14"/>
      <c r="H649" s="14"/>
      <c r="I649" s="14"/>
      <c r="J649" s="14"/>
      <c r="K649" s="12"/>
    </row>
    <row r="650" ht="19.5" customHeight="1">
      <c r="A650" s="12"/>
      <c r="C650" s="12"/>
      <c r="D650" s="87"/>
      <c r="F650" s="14"/>
      <c r="G650" s="14"/>
      <c r="H650" s="14"/>
      <c r="I650" s="14"/>
      <c r="J650" s="14"/>
      <c r="K650" s="12"/>
    </row>
    <row r="651" ht="19.5" customHeight="1">
      <c r="A651" s="12"/>
      <c r="C651" s="12"/>
      <c r="D651" s="87"/>
      <c r="F651" s="14"/>
      <c r="G651" s="14"/>
      <c r="H651" s="14"/>
      <c r="I651" s="14"/>
      <c r="J651" s="14"/>
      <c r="K651" s="12"/>
    </row>
    <row r="652" ht="19.5" customHeight="1">
      <c r="A652" s="12"/>
      <c r="C652" s="12"/>
      <c r="D652" s="87"/>
      <c r="F652" s="14"/>
      <c r="G652" s="14"/>
      <c r="H652" s="14"/>
      <c r="I652" s="14"/>
      <c r="J652" s="14"/>
      <c r="K652" s="12"/>
    </row>
    <row r="653" ht="19.5" customHeight="1">
      <c r="A653" s="12"/>
      <c r="C653" s="12"/>
      <c r="D653" s="87"/>
      <c r="F653" s="14"/>
      <c r="G653" s="14"/>
      <c r="H653" s="14"/>
      <c r="I653" s="14"/>
      <c r="J653" s="14"/>
      <c r="K653" s="12"/>
    </row>
    <row r="654" ht="19.5" customHeight="1">
      <c r="A654" s="12"/>
      <c r="C654" s="12"/>
      <c r="D654" s="87"/>
      <c r="F654" s="14"/>
      <c r="G654" s="14"/>
      <c r="H654" s="14"/>
      <c r="I654" s="14"/>
      <c r="J654" s="14"/>
      <c r="K654" s="12"/>
    </row>
    <row r="655" ht="19.5" customHeight="1">
      <c r="A655" s="12"/>
      <c r="C655" s="12"/>
      <c r="D655" s="87"/>
      <c r="F655" s="14"/>
      <c r="G655" s="14"/>
      <c r="H655" s="14"/>
      <c r="I655" s="14"/>
      <c r="J655" s="14"/>
      <c r="K655" s="12"/>
    </row>
    <row r="656" ht="19.5" customHeight="1">
      <c r="A656" s="12"/>
      <c r="C656" s="12"/>
      <c r="D656" s="87"/>
      <c r="F656" s="14"/>
      <c r="G656" s="14"/>
      <c r="H656" s="14"/>
      <c r="I656" s="14"/>
      <c r="J656" s="14"/>
      <c r="K656" s="12"/>
    </row>
    <row r="657" ht="19.5" customHeight="1">
      <c r="A657" s="12"/>
      <c r="C657" s="12"/>
      <c r="D657" s="87"/>
      <c r="F657" s="14"/>
      <c r="G657" s="14"/>
      <c r="H657" s="14"/>
      <c r="I657" s="14"/>
      <c r="J657" s="14"/>
      <c r="K657" s="12"/>
    </row>
    <row r="658" ht="19.5" customHeight="1">
      <c r="A658" s="12"/>
      <c r="C658" s="12"/>
      <c r="D658" s="87"/>
      <c r="F658" s="14"/>
      <c r="G658" s="14"/>
      <c r="H658" s="14"/>
      <c r="I658" s="14"/>
      <c r="J658" s="14"/>
      <c r="K658" s="12"/>
    </row>
    <row r="659" ht="19.5" customHeight="1">
      <c r="A659" s="12"/>
      <c r="C659" s="12"/>
      <c r="D659" s="87"/>
      <c r="F659" s="14"/>
      <c r="G659" s="14"/>
      <c r="H659" s="14"/>
      <c r="I659" s="14"/>
      <c r="J659" s="14"/>
      <c r="K659" s="12"/>
    </row>
    <row r="660" ht="19.5" customHeight="1">
      <c r="A660" s="12"/>
      <c r="C660" s="12"/>
      <c r="D660" s="87"/>
      <c r="F660" s="14"/>
      <c r="G660" s="14"/>
      <c r="H660" s="14"/>
      <c r="I660" s="14"/>
      <c r="J660" s="14"/>
      <c r="K660" s="12"/>
    </row>
    <row r="661" ht="19.5" customHeight="1">
      <c r="A661" s="12"/>
      <c r="C661" s="12"/>
      <c r="D661" s="87"/>
      <c r="F661" s="14"/>
      <c r="G661" s="14"/>
      <c r="H661" s="14"/>
      <c r="I661" s="14"/>
      <c r="J661" s="14"/>
      <c r="K661" s="12"/>
    </row>
    <row r="662" ht="19.5" customHeight="1">
      <c r="A662" s="12"/>
      <c r="C662" s="12"/>
      <c r="D662" s="87"/>
      <c r="F662" s="14"/>
      <c r="G662" s="14"/>
      <c r="H662" s="14"/>
      <c r="I662" s="14"/>
      <c r="J662" s="14"/>
      <c r="K662" s="12"/>
    </row>
    <row r="663" ht="19.5" customHeight="1">
      <c r="A663" s="12"/>
      <c r="C663" s="12"/>
      <c r="D663" s="87"/>
      <c r="F663" s="14"/>
      <c r="G663" s="14"/>
      <c r="H663" s="14"/>
      <c r="I663" s="14"/>
      <c r="J663" s="14"/>
      <c r="K663" s="12"/>
    </row>
    <row r="664" ht="19.5" customHeight="1">
      <c r="A664" s="12"/>
      <c r="C664" s="12"/>
      <c r="D664" s="87"/>
      <c r="F664" s="14"/>
      <c r="G664" s="14"/>
      <c r="H664" s="14"/>
      <c r="I664" s="14"/>
      <c r="J664" s="14"/>
      <c r="K664" s="12"/>
    </row>
    <row r="665" ht="19.5" customHeight="1">
      <c r="A665" s="12"/>
      <c r="C665" s="12"/>
      <c r="D665" s="87"/>
      <c r="F665" s="14"/>
      <c r="G665" s="14"/>
      <c r="H665" s="14"/>
      <c r="I665" s="14"/>
      <c r="J665" s="14"/>
      <c r="K665" s="12"/>
    </row>
    <row r="666" ht="19.5" customHeight="1">
      <c r="A666" s="12"/>
      <c r="C666" s="12"/>
      <c r="D666" s="87"/>
      <c r="F666" s="14"/>
      <c r="G666" s="14"/>
      <c r="H666" s="14"/>
      <c r="I666" s="14"/>
      <c r="J666" s="14"/>
      <c r="K666" s="12"/>
    </row>
    <row r="667" ht="19.5" customHeight="1">
      <c r="A667" s="12"/>
      <c r="C667" s="12"/>
      <c r="D667" s="87"/>
      <c r="F667" s="14"/>
      <c r="G667" s="14"/>
      <c r="H667" s="14"/>
      <c r="I667" s="14"/>
      <c r="J667" s="14"/>
      <c r="K667" s="12"/>
    </row>
    <row r="668" ht="19.5" customHeight="1">
      <c r="A668" s="12"/>
      <c r="C668" s="12"/>
      <c r="D668" s="87"/>
      <c r="F668" s="14"/>
      <c r="G668" s="14"/>
      <c r="H668" s="14"/>
      <c r="I668" s="14"/>
      <c r="J668" s="14"/>
      <c r="K668" s="12"/>
    </row>
    <row r="669" ht="19.5" customHeight="1">
      <c r="A669" s="12"/>
      <c r="C669" s="12"/>
      <c r="D669" s="87"/>
      <c r="F669" s="14"/>
      <c r="G669" s="14"/>
      <c r="H669" s="14"/>
      <c r="I669" s="14"/>
      <c r="J669" s="14"/>
      <c r="K669" s="12"/>
    </row>
    <row r="670" ht="19.5" customHeight="1">
      <c r="A670" s="12"/>
      <c r="C670" s="12"/>
      <c r="D670" s="87"/>
      <c r="F670" s="14"/>
      <c r="G670" s="14"/>
      <c r="H670" s="14"/>
      <c r="I670" s="14"/>
      <c r="J670" s="14"/>
      <c r="K670" s="12"/>
    </row>
    <row r="671" ht="19.5" customHeight="1">
      <c r="A671" s="12"/>
      <c r="C671" s="12"/>
      <c r="D671" s="87"/>
      <c r="F671" s="14"/>
      <c r="G671" s="14"/>
      <c r="H671" s="14"/>
      <c r="I671" s="14"/>
      <c r="J671" s="14"/>
      <c r="K671" s="12"/>
    </row>
    <row r="672" ht="19.5" customHeight="1">
      <c r="A672" s="12"/>
      <c r="C672" s="12"/>
      <c r="D672" s="87"/>
      <c r="F672" s="14"/>
      <c r="G672" s="14"/>
      <c r="H672" s="14"/>
      <c r="I672" s="14"/>
      <c r="J672" s="14"/>
      <c r="K672" s="12"/>
    </row>
    <row r="673" ht="19.5" customHeight="1">
      <c r="A673" s="12"/>
      <c r="C673" s="12"/>
      <c r="D673" s="87"/>
      <c r="F673" s="14"/>
      <c r="G673" s="14"/>
      <c r="H673" s="14"/>
      <c r="I673" s="14"/>
      <c r="J673" s="14"/>
      <c r="K673" s="12"/>
    </row>
    <row r="674" ht="19.5" customHeight="1">
      <c r="A674" s="12"/>
      <c r="C674" s="12"/>
      <c r="D674" s="87"/>
      <c r="F674" s="14"/>
      <c r="G674" s="14"/>
      <c r="H674" s="14"/>
      <c r="I674" s="14"/>
      <c r="J674" s="14"/>
      <c r="K674" s="12"/>
    </row>
    <row r="675" ht="19.5" customHeight="1">
      <c r="A675" s="12"/>
      <c r="C675" s="12"/>
      <c r="D675" s="87"/>
      <c r="F675" s="14"/>
      <c r="G675" s="14"/>
      <c r="H675" s="14"/>
      <c r="I675" s="14"/>
      <c r="J675" s="14"/>
      <c r="K675" s="12"/>
    </row>
    <row r="676" ht="19.5" customHeight="1">
      <c r="A676" s="12"/>
      <c r="C676" s="12"/>
      <c r="D676" s="87"/>
      <c r="F676" s="14"/>
      <c r="G676" s="14"/>
      <c r="H676" s="14"/>
      <c r="I676" s="14"/>
      <c r="J676" s="14"/>
      <c r="K676" s="12"/>
    </row>
    <row r="677" ht="19.5" customHeight="1">
      <c r="A677" s="12"/>
      <c r="C677" s="12"/>
      <c r="D677" s="87"/>
      <c r="F677" s="14"/>
      <c r="G677" s="14"/>
      <c r="H677" s="14"/>
      <c r="I677" s="14"/>
      <c r="J677" s="14"/>
      <c r="K677" s="12"/>
    </row>
    <row r="678" ht="19.5" customHeight="1">
      <c r="A678" s="12"/>
      <c r="C678" s="12"/>
      <c r="D678" s="87"/>
      <c r="F678" s="14"/>
      <c r="G678" s="14"/>
      <c r="H678" s="14"/>
      <c r="I678" s="14"/>
      <c r="J678" s="14"/>
      <c r="K678" s="12"/>
    </row>
    <row r="679" ht="19.5" customHeight="1">
      <c r="A679" s="12"/>
      <c r="C679" s="12"/>
      <c r="D679" s="87"/>
      <c r="F679" s="14"/>
      <c r="G679" s="14"/>
      <c r="H679" s="14"/>
      <c r="I679" s="14"/>
      <c r="J679" s="14"/>
      <c r="K679" s="12"/>
    </row>
    <row r="680" ht="19.5" customHeight="1">
      <c r="A680" s="12"/>
      <c r="C680" s="12"/>
      <c r="D680" s="87"/>
      <c r="F680" s="14"/>
      <c r="G680" s="14"/>
      <c r="H680" s="14"/>
      <c r="I680" s="14"/>
      <c r="J680" s="14"/>
      <c r="K680" s="12"/>
    </row>
    <row r="681" ht="19.5" customHeight="1">
      <c r="A681" s="12"/>
      <c r="C681" s="12"/>
      <c r="D681" s="87"/>
      <c r="F681" s="14"/>
      <c r="G681" s="14"/>
      <c r="H681" s="14"/>
      <c r="I681" s="14"/>
      <c r="J681" s="14"/>
      <c r="K681" s="12"/>
    </row>
    <row r="682" ht="19.5" customHeight="1">
      <c r="A682" s="12"/>
      <c r="C682" s="12"/>
      <c r="D682" s="87"/>
      <c r="F682" s="14"/>
      <c r="G682" s="14"/>
      <c r="H682" s="14"/>
      <c r="I682" s="14"/>
      <c r="J682" s="14"/>
      <c r="K682" s="12"/>
    </row>
    <row r="683" ht="19.5" customHeight="1">
      <c r="A683" s="12"/>
      <c r="C683" s="12"/>
      <c r="D683" s="87"/>
      <c r="F683" s="14"/>
      <c r="G683" s="14"/>
      <c r="H683" s="14"/>
      <c r="I683" s="14"/>
      <c r="J683" s="14"/>
      <c r="K683" s="12"/>
    </row>
    <row r="684" ht="19.5" customHeight="1">
      <c r="A684" s="12"/>
      <c r="C684" s="12"/>
      <c r="D684" s="87"/>
      <c r="F684" s="14"/>
      <c r="G684" s="14"/>
      <c r="H684" s="14"/>
      <c r="I684" s="14"/>
      <c r="J684" s="14"/>
      <c r="K684" s="12"/>
    </row>
    <row r="685" ht="19.5" customHeight="1">
      <c r="A685" s="12"/>
      <c r="C685" s="12"/>
      <c r="D685" s="87"/>
      <c r="F685" s="14"/>
      <c r="G685" s="14"/>
      <c r="H685" s="14"/>
      <c r="I685" s="14"/>
      <c r="J685" s="14"/>
      <c r="K685" s="12"/>
    </row>
    <row r="686" ht="19.5" customHeight="1">
      <c r="A686" s="12"/>
      <c r="C686" s="12"/>
      <c r="D686" s="87"/>
      <c r="F686" s="14"/>
      <c r="G686" s="14"/>
      <c r="H686" s="14"/>
      <c r="I686" s="14"/>
      <c r="J686" s="14"/>
      <c r="K686" s="12"/>
    </row>
    <row r="687" ht="19.5" customHeight="1">
      <c r="A687" s="12"/>
      <c r="C687" s="12"/>
      <c r="D687" s="87"/>
      <c r="F687" s="14"/>
      <c r="G687" s="14"/>
      <c r="H687" s="14"/>
      <c r="I687" s="14"/>
      <c r="J687" s="14"/>
      <c r="K687" s="12"/>
    </row>
    <row r="688" ht="19.5" customHeight="1">
      <c r="A688" s="12"/>
      <c r="C688" s="12"/>
      <c r="D688" s="87"/>
      <c r="F688" s="14"/>
      <c r="G688" s="14"/>
      <c r="H688" s="14"/>
      <c r="I688" s="14"/>
      <c r="J688" s="14"/>
      <c r="K688" s="12"/>
    </row>
    <row r="689" ht="19.5" customHeight="1">
      <c r="A689" s="12"/>
      <c r="C689" s="12"/>
      <c r="D689" s="87"/>
      <c r="F689" s="14"/>
      <c r="G689" s="14"/>
      <c r="H689" s="14"/>
      <c r="I689" s="14"/>
      <c r="J689" s="14"/>
      <c r="K689" s="12"/>
    </row>
    <row r="690" ht="19.5" customHeight="1">
      <c r="A690" s="12"/>
      <c r="C690" s="12"/>
      <c r="D690" s="87"/>
      <c r="F690" s="14"/>
      <c r="G690" s="14"/>
      <c r="H690" s="14"/>
      <c r="I690" s="14"/>
      <c r="J690" s="14"/>
      <c r="K690" s="12"/>
    </row>
    <row r="691" ht="19.5" customHeight="1">
      <c r="A691" s="12"/>
      <c r="C691" s="12"/>
      <c r="D691" s="87"/>
      <c r="F691" s="14"/>
      <c r="G691" s="14"/>
      <c r="H691" s="14"/>
      <c r="I691" s="14"/>
      <c r="J691" s="14"/>
      <c r="K691" s="12"/>
    </row>
    <row r="692" ht="19.5" customHeight="1">
      <c r="A692" s="12"/>
      <c r="C692" s="12"/>
      <c r="D692" s="87"/>
      <c r="F692" s="14"/>
      <c r="G692" s="14"/>
      <c r="H692" s="14"/>
      <c r="I692" s="14"/>
      <c r="J692" s="14"/>
      <c r="K692" s="12"/>
    </row>
    <row r="693" ht="19.5" customHeight="1">
      <c r="A693" s="12"/>
      <c r="C693" s="12"/>
      <c r="D693" s="87"/>
      <c r="F693" s="14"/>
      <c r="G693" s="14"/>
      <c r="H693" s="14"/>
      <c r="I693" s="14"/>
      <c r="J693" s="14"/>
      <c r="K693" s="12"/>
    </row>
    <row r="694" ht="19.5" customHeight="1">
      <c r="A694" s="12"/>
      <c r="C694" s="12"/>
      <c r="D694" s="87"/>
      <c r="F694" s="14"/>
      <c r="G694" s="14"/>
      <c r="H694" s="14"/>
      <c r="I694" s="14"/>
      <c r="J694" s="14"/>
      <c r="K694" s="12"/>
    </row>
    <row r="695" ht="19.5" customHeight="1">
      <c r="A695" s="12"/>
      <c r="C695" s="12"/>
      <c r="D695" s="87"/>
      <c r="F695" s="14"/>
      <c r="G695" s="14"/>
      <c r="H695" s="14"/>
      <c r="I695" s="14"/>
      <c r="J695" s="14"/>
      <c r="K695" s="12"/>
    </row>
    <row r="696" ht="19.5" customHeight="1">
      <c r="A696" s="12"/>
      <c r="C696" s="12"/>
      <c r="D696" s="87"/>
      <c r="F696" s="14"/>
      <c r="G696" s="14"/>
      <c r="H696" s="14"/>
      <c r="I696" s="14"/>
      <c r="J696" s="14"/>
      <c r="K696" s="12"/>
    </row>
    <row r="697" ht="19.5" customHeight="1">
      <c r="A697" s="12"/>
      <c r="C697" s="12"/>
      <c r="D697" s="87"/>
      <c r="F697" s="14"/>
      <c r="G697" s="14"/>
      <c r="H697" s="14"/>
      <c r="I697" s="14"/>
      <c r="J697" s="14"/>
      <c r="K697" s="12"/>
    </row>
    <row r="698" ht="19.5" customHeight="1">
      <c r="A698" s="12"/>
      <c r="C698" s="12"/>
      <c r="D698" s="87"/>
      <c r="F698" s="14"/>
      <c r="G698" s="14"/>
      <c r="H698" s="14"/>
      <c r="I698" s="14"/>
      <c r="J698" s="14"/>
      <c r="K698" s="12"/>
    </row>
    <row r="699" ht="19.5" customHeight="1">
      <c r="A699" s="12"/>
      <c r="C699" s="12"/>
      <c r="D699" s="87"/>
      <c r="F699" s="14"/>
      <c r="G699" s="14"/>
      <c r="H699" s="14"/>
      <c r="I699" s="14"/>
      <c r="J699" s="14"/>
      <c r="K699" s="12"/>
    </row>
    <row r="700" ht="19.5" customHeight="1">
      <c r="A700" s="12"/>
      <c r="C700" s="12"/>
      <c r="D700" s="87"/>
      <c r="F700" s="14"/>
      <c r="G700" s="14"/>
      <c r="H700" s="14"/>
      <c r="I700" s="14"/>
      <c r="J700" s="14"/>
      <c r="K700" s="12"/>
    </row>
    <row r="701" ht="19.5" customHeight="1">
      <c r="A701" s="12"/>
      <c r="C701" s="12"/>
      <c r="D701" s="87"/>
      <c r="F701" s="14"/>
      <c r="G701" s="14"/>
      <c r="H701" s="14"/>
      <c r="I701" s="14"/>
      <c r="J701" s="14"/>
      <c r="K701" s="12"/>
    </row>
    <row r="702" ht="19.5" customHeight="1">
      <c r="A702" s="12"/>
      <c r="C702" s="12"/>
      <c r="D702" s="87"/>
      <c r="F702" s="14"/>
      <c r="G702" s="14"/>
      <c r="H702" s="14"/>
      <c r="I702" s="14"/>
      <c r="J702" s="14"/>
      <c r="K702" s="12"/>
    </row>
    <row r="703" ht="19.5" customHeight="1">
      <c r="A703" s="12"/>
      <c r="C703" s="12"/>
      <c r="D703" s="87"/>
      <c r="F703" s="14"/>
      <c r="G703" s="14"/>
      <c r="H703" s="14"/>
      <c r="I703" s="14"/>
      <c r="J703" s="14"/>
      <c r="K703" s="12"/>
    </row>
    <row r="704" ht="19.5" customHeight="1">
      <c r="A704" s="12"/>
      <c r="C704" s="12"/>
      <c r="D704" s="87"/>
      <c r="F704" s="14"/>
      <c r="G704" s="14"/>
      <c r="H704" s="14"/>
      <c r="I704" s="14"/>
      <c r="J704" s="14"/>
      <c r="K704" s="12"/>
    </row>
    <row r="705" ht="19.5" customHeight="1">
      <c r="A705" s="12"/>
      <c r="C705" s="12"/>
      <c r="D705" s="87"/>
      <c r="F705" s="14"/>
      <c r="G705" s="14"/>
      <c r="H705" s="14"/>
      <c r="I705" s="14"/>
      <c r="J705" s="14"/>
      <c r="K705" s="12"/>
    </row>
    <row r="706" ht="19.5" customHeight="1">
      <c r="A706" s="12"/>
      <c r="C706" s="12"/>
      <c r="D706" s="87"/>
      <c r="F706" s="14"/>
      <c r="G706" s="14"/>
      <c r="H706" s="14"/>
      <c r="I706" s="14"/>
      <c r="J706" s="14"/>
      <c r="K706" s="12"/>
    </row>
    <row r="707" ht="19.5" customHeight="1">
      <c r="A707" s="12"/>
      <c r="C707" s="12"/>
      <c r="D707" s="87"/>
      <c r="F707" s="14"/>
      <c r="G707" s="14"/>
      <c r="H707" s="14"/>
      <c r="I707" s="14"/>
      <c r="J707" s="14"/>
      <c r="K707" s="12"/>
    </row>
    <row r="708" ht="19.5" customHeight="1">
      <c r="A708" s="12"/>
      <c r="C708" s="12"/>
      <c r="D708" s="87"/>
      <c r="F708" s="14"/>
      <c r="G708" s="14"/>
      <c r="H708" s="14"/>
      <c r="I708" s="14"/>
      <c r="J708" s="14"/>
      <c r="K708" s="12"/>
    </row>
    <row r="709" ht="19.5" customHeight="1">
      <c r="A709" s="12"/>
      <c r="C709" s="12"/>
      <c r="D709" s="87"/>
      <c r="F709" s="14"/>
      <c r="G709" s="14"/>
      <c r="H709" s="14"/>
      <c r="I709" s="14"/>
      <c r="J709" s="14"/>
      <c r="K709" s="12"/>
    </row>
    <row r="710" ht="19.5" customHeight="1">
      <c r="A710" s="12"/>
      <c r="C710" s="12"/>
      <c r="D710" s="87"/>
      <c r="F710" s="14"/>
      <c r="G710" s="14"/>
      <c r="H710" s="14"/>
      <c r="I710" s="14"/>
      <c r="J710" s="14"/>
      <c r="K710" s="12"/>
    </row>
    <row r="711" ht="19.5" customHeight="1">
      <c r="A711" s="12"/>
      <c r="C711" s="12"/>
      <c r="D711" s="87"/>
      <c r="F711" s="14"/>
      <c r="G711" s="14"/>
      <c r="H711" s="14"/>
      <c r="I711" s="14"/>
      <c r="J711" s="14"/>
      <c r="K711" s="12"/>
    </row>
    <row r="712" ht="19.5" customHeight="1">
      <c r="A712" s="12"/>
      <c r="C712" s="12"/>
      <c r="D712" s="87"/>
      <c r="F712" s="14"/>
      <c r="G712" s="14"/>
      <c r="H712" s="14"/>
      <c r="I712" s="14"/>
      <c r="J712" s="14"/>
      <c r="K712" s="12"/>
    </row>
    <row r="713" ht="19.5" customHeight="1">
      <c r="A713" s="12"/>
      <c r="C713" s="12"/>
      <c r="D713" s="87"/>
      <c r="F713" s="14"/>
      <c r="G713" s="14"/>
      <c r="H713" s="14"/>
      <c r="I713" s="14"/>
      <c r="J713" s="14"/>
      <c r="K713" s="12"/>
    </row>
    <row r="714" ht="19.5" customHeight="1">
      <c r="A714" s="12"/>
      <c r="C714" s="12"/>
      <c r="D714" s="87"/>
      <c r="F714" s="14"/>
      <c r="G714" s="14"/>
      <c r="H714" s="14"/>
      <c r="I714" s="14"/>
      <c r="J714" s="14"/>
      <c r="K714" s="12"/>
    </row>
    <row r="715" ht="19.5" customHeight="1">
      <c r="A715" s="12"/>
      <c r="C715" s="12"/>
      <c r="D715" s="87"/>
      <c r="F715" s="14"/>
      <c r="G715" s="14"/>
      <c r="H715" s="14"/>
      <c r="I715" s="14"/>
      <c r="J715" s="14"/>
      <c r="K715" s="12"/>
    </row>
    <row r="716" ht="19.5" customHeight="1">
      <c r="A716" s="12"/>
      <c r="C716" s="12"/>
      <c r="D716" s="87"/>
      <c r="F716" s="14"/>
      <c r="G716" s="14"/>
      <c r="H716" s="14"/>
      <c r="I716" s="14"/>
      <c r="J716" s="14"/>
      <c r="K716" s="12"/>
    </row>
    <row r="717" ht="19.5" customHeight="1">
      <c r="A717" s="12"/>
      <c r="C717" s="12"/>
      <c r="D717" s="87"/>
      <c r="F717" s="14"/>
      <c r="G717" s="14"/>
      <c r="H717" s="14"/>
      <c r="I717" s="14"/>
      <c r="J717" s="14"/>
      <c r="K717" s="12"/>
    </row>
    <row r="718" ht="19.5" customHeight="1">
      <c r="A718" s="12"/>
      <c r="C718" s="12"/>
      <c r="D718" s="87"/>
      <c r="F718" s="14"/>
      <c r="G718" s="14"/>
      <c r="H718" s="14"/>
      <c r="I718" s="14"/>
      <c r="J718" s="14"/>
      <c r="K718" s="12"/>
    </row>
    <row r="719" ht="19.5" customHeight="1">
      <c r="A719" s="12"/>
      <c r="C719" s="12"/>
      <c r="D719" s="87"/>
      <c r="F719" s="14"/>
      <c r="G719" s="14"/>
      <c r="H719" s="14"/>
      <c r="I719" s="14"/>
      <c r="J719" s="14"/>
      <c r="K719" s="12"/>
    </row>
    <row r="720" ht="19.5" customHeight="1">
      <c r="A720" s="12"/>
      <c r="C720" s="12"/>
      <c r="D720" s="87"/>
      <c r="F720" s="14"/>
      <c r="G720" s="14"/>
      <c r="H720" s="14"/>
      <c r="I720" s="14"/>
      <c r="J720" s="14"/>
      <c r="K720" s="12"/>
    </row>
    <row r="721" ht="19.5" customHeight="1">
      <c r="A721" s="12"/>
      <c r="C721" s="12"/>
      <c r="D721" s="87"/>
      <c r="F721" s="14"/>
      <c r="G721" s="14"/>
      <c r="H721" s="14"/>
      <c r="I721" s="14"/>
      <c r="J721" s="14"/>
      <c r="K721" s="12"/>
    </row>
    <row r="722" ht="19.5" customHeight="1">
      <c r="A722" s="12"/>
      <c r="C722" s="12"/>
      <c r="D722" s="87"/>
      <c r="F722" s="14"/>
      <c r="G722" s="14"/>
      <c r="H722" s="14"/>
      <c r="I722" s="14"/>
      <c r="J722" s="14"/>
      <c r="K722" s="12"/>
    </row>
    <row r="723" ht="19.5" customHeight="1">
      <c r="A723" s="12"/>
      <c r="C723" s="12"/>
      <c r="D723" s="87"/>
      <c r="F723" s="14"/>
      <c r="G723" s="14"/>
      <c r="H723" s="14"/>
      <c r="I723" s="14"/>
      <c r="J723" s="14"/>
      <c r="K723" s="12"/>
    </row>
    <row r="724" ht="19.5" customHeight="1">
      <c r="A724" s="12"/>
      <c r="C724" s="12"/>
      <c r="D724" s="87"/>
      <c r="F724" s="14"/>
      <c r="G724" s="14"/>
      <c r="H724" s="14"/>
      <c r="I724" s="14"/>
      <c r="J724" s="14"/>
      <c r="K724" s="12"/>
    </row>
    <row r="725" ht="19.5" customHeight="1">
      <c r="A725" s="12"/>
      <c r="C725" s="12"/>
      <c r="D725" s="87"/>
      <c r="F725" s="14"/>
      <c r="G725" s="14"/>
      <c r="H725" s="14"/>
      <c r="I725" s="14"/>
      <c r="J725" s="14"/>
      <c r="K725" s="12"/>
    </row>
    <row r="726" ht="19.5" customHeight="1">
      <c r="A726" s="12"/>
      <c r="C726" s="12"/>
      <c r="D726" s="87"/>
      <c r="F726" s="14"/>
      <c r="G726" s="14"/>
      <c r="H726" s="14"/>
      <c r="I726" s="14"/>
      <c r="J726" s="14"/>
      <c r="K726" s="12"/>
    </row>
    <row r="727" ht="19.5" customHeight="1">
      <c r="A727" s="12"/>
      <c r="C727" s="12"/>
      <c r="D727" s="87"/>
      <c r="F727" s="14"/>
      <c r="G727" s="14"/>
      <c r="H727" s="14"/>
      <c r="I727" s="14"/>
      <c r="J727" s="14"/>
      <c r="K727" s="12"/>
    </row>
    <row r="728" ht="19.5" customHeight="1">
      <c r="A728" s="12"/>
      <c r="C728" s="12"/>
      <c r="D728" s="87"/>
      <c r="F728" s="14"/>
      <c r="G728" s="14"/>
      <c r="H728" s="14"/>
      <c r="I728" s="14"/>
      <c r="J728" s="14"/>
      <c r="K728" s="12"/>
    </row>
    <row r="729" ht="19.5" customHeight="1">
      <c r="A729" s="12"/>
      <c r="C729" s="12"/>
      <c r="D729" s="87"/>
      <c r="F729" s="14"/>
      <c r="G729" s="14"/>
      <c r="H729" s="14"/>
      <c r="I729" s="14"/>
      <c r="J729" s="14"/>
      <c r="K729" s="12"/>
    </row>
    <row r="730" ht="19.5" customHeight="1">
      <c r="A730" s="12"/>
      <c r="C730" s="12"/>
      <c r="D730" s="87"/>
      <c r="F730" s="14"/>
      <c r="G730" s="14"/>
      <c r="H730" s="14"/>
      <c r="I730" s="14"/>
      <c r="J730" s="14"/>
      <c r="K730" s="12"/>
    </row>
    <row r="731" ht="19.5" customHeight="1">
      <c r="A731" s="12"/>
      <c r="C731" s="12"/>
      <c r="D731" s="87"/>
      <c r="F731" s="14"/>
      <c r="G731" s="14"/>
      <c r="H731" s="14"/>
      <c r="I731" s="14"/>
      <c r="J731" s="14"/>
      <c r="K731" s="12"/>
    </row>
    <row r="732" ht="19.5" customHeight="1">
      <c r="A732" s="12"/>
      <c r="C732" s="12"/>
      <c r="D732" s="87"/>
      <c r="F732" s="14"/>
      <c r="G732" s="14"/>
      <c r="H732" s="14"/>
      <c r="I732" s="14"/>
      <c r="J732" s="14"/>
      <c r="K732" s="12"/>
    </row>
    <row r="733" ht="19.5" customHeight="1">
      <c r="A733" s="12"/>
      <c r="C733" s="12"/>
      <c r="D733" s="87"/>
      <c r="F733" s="14"/>
      <c r="G733" s="14"/>
      <c r="H733" s="14"/>
      <c r="I733" s="14"/>
      <c r="J733" s="14"/>
      <c r="K733" s="12"/>
    </row>
    <row r="734" ht="19.5" customHeight="1">
      <c r="A734" s="12"/>
      <c r="C734" s="12"/>
      <c r="D734" s="87"/>
      <c r="F734" s="14"/>
      <c r="G734" s="14"/>
      <c r="H734" s="14"/>
      <c r="I734" s="14"/>
      <c r="J734" s="14"/>
      <c r="K734" s="12"/>
    </row>
    <row r="735" ht="19.5" customHeight="1">
      <c r="A735" s="12"/>
      <c r="C735" s="12"/>
      <c r="D735" s="87"/>
      <c r="F735" s="14"/>
      <c r="G735" s="14"/>
      <c r="H735" s="14"/>
      <c r="I735" s="14"/>
      <c r="J735" s="14"/>
      <c r="K735" s="12"/>
    </row>
    <row r="736" ht="19.5" customHeight="1">
      <c r="A736" s="12"/>
      <c r="C736" s="12"/>
      <c r="D736" s="87"/>
      <c r="F736" s="14"/>
      <c r="G736" s="14"/>
      <c r="H736" s="14"/>
      <c r="I736" s="14"/>
      <c r="J736" s="14"/>
      <c r="K736" s="12"/>
    </row>
    <row r="737" ht="19.5" customHeight="1">
      <c r="A737" s="12"/>
      <c r="C737" s="12"/>
      <c r="D737" s="87"/>
      <c r="F737" s="14"/>
      <c r="G737" s="14"/>
      <c r="H737" s="14"/>
      <c r="I737" s="14"/>
      <c r="J737" s="14"/>
      <c r="K737" s="12"/>
    </row>
    <row r="738" ht="19.5" customHeight="1">
      <c r="A738" s="12"/>
      <c r="C738" s="12"/>
      <c r="D738" s="87"/>
      <c r="F738" s="14"/>
      <c r="G738" s="14"/>
      <c r="H738" s="14"/>
      <c r="I738" s="14"/>
      <c r="J738" s="14"/>
      <c r="K738" s="12"/>
    </row>
    <row r="739" ht="19.5" customHeight="1">
      <c r="A739" s="12"/>
      <c r="C739" s="12"/>
      <c r="D739" s="87"/>
      <c r="F739" s="14"/>
      <c r="G739" s="14"/>
      <c r="H739" s="14"/>
      <c r="I739" s="14"/>
      <c r="J739" s="14"/>
      <c r="K739" s="12"/>
    </row>
    <row r="740" ht="19.5" customHeight="1">
      <c r="A740" s="12"/>
      <c r="C740" s="12"/>
      <c r="D740" s="87"/>
      <c r="F740" s="14"/>
      <c r="G740" s="14"/>
      <c r="H740" s="14"/>
      <c r="I740" s="14"/>
      <c r="J740" s="14"/>
      <c r="K740" s="12"/>
    </row>
    <row r="741" ht="19.5" customHeight="1">
      <c r="A741" s="12"/>
      <c r="C741" s="12"/>
      <c r="D741" s="87"/>
      <c r="F741" s="14"/>
      <c r="G741" s="14"/>
      <c r="H741" s="14"/>
      <c r="I741" s="14"/>
      <c r="J741" s="14"/>
      <c r="K741" s="12"/>
    </row>
    <row r="742" ht="19.5" customHeight="1">
      <c r="A742" s="12"/>
      <c r="C742" s="12"/>
      <c r="D742" s="87"/>
      <c r="F742" s="14"/>
      <c r="G742" s="14"/>
      <c r="H742" s="14"/>
      <c r="I742" s="14"/>
      <c r="J742" s="14"/>
      <c r="K742" s="12"/>
    </row>
    <row r="743" ht="19.5" customHeight="1">
      <c r="A743" s="12"/>
      <c r="C743" s="12"/>
      <c r="D743" s="87"/>
      <c r="F743" s="14"/>
      <c r="G743" s="14"/>
      <c r="H743" s="14"/>
      <c r="I743" s="14"/>
      <c r="J743" s="14"/>
      <c r="K743" s="12"/>
    </row>
    <row r="744" ht="19.5" customHeight="1">
      <c r="A744" s="12"/>
      <c r="C744" s="12"/>
      <c r="D744" s="87"/>
      <c r="F744" s="14"/>
      <c r="G744" s="14"/>
      <c r="H744" s="14"/>
      <c r="I744" s="14"/>
      <c r="J744" s="14"/>
      <c r="K744" s="12"/>
    </row>
    <row r="745" ht="19.5" customHeight="1">
      <c r="A745" s="12"/>
      <c r="C745" s="12"/>
      <c r="D745" s="87"/>
      <c r="F745" s="14"/>
      <c r="G745" s="14"/>
      <c r="H745" s="14"/>
      <c r="I745" s="14"/>
      <c r="J745" s="14"/>
      <c r="K745" s="12"/>
    </row>
    <row r="746" ht="19.5" customHeight="1">
      <c r="A746" s="12"/>
      <c r="C746" s="12"/>
      <c r="D746" s="87"/>
      <c r="F746" s="14"/>
      <c r="G746" s="14"/>
      <c r="H746" s="14"/>
      <c r="I746" s="14"/>
      <c r="J746" s="14"/>
      <c r="K746" s="12"/>
    </row>
    <row r="747" ht="19.5" customHeight="1">
      <c r="A747" s="12"/>
      <c r="C747" s="12"/>
      <c r="D747" s="87"/>
      <c r="F747" s="14"/>
      <c r="G747" s="14"/>
      <c r="H747" s="14"/>
      <c r="I747" s="14"/>
      <c r="J747" s="14"/>
      <c r="K747" s="12"/>
    </row>
    <row r="748" ht="19.5" customHeight="1">
      <c r="A748" s="12"/>
      <c r="C748" s="12"/>
      <c r="D748" s="87"/>
      <c r="F748" s="14"/>
      <c r="G748" s="14"/>
      <c r="H748" s="14"/>
      <c r="I748" s="14"/>
      <c r="J748" s="14"/>
      <c r="K748" s="12"/>
    </row>
    <row r="749" ht="19.5" customHeight="1">
      <c r="A749" s="12"/>
      <c r="C749" s="12"/>
      <c r="D749" s="87"/>
      <c r="F749" s="14"/>
      <c r="G749" s="14"/>
      <c r="H749" s="14"/>
      <c r="I749" s="14"/>
      <c r="J749" s="14"/>
      <c r="K749" s="12"/>
    </row>
    <row r="750" ht="19.5" customHeight="1">
      <c r="A750" s="12"/>
      <c r="C750" s="12"/>
      <c r="D750" s="87"/>
      <c r="F750" s="14"/>
      <c r="G750" s="14"/>
      <c r="H750" s="14"/>
      <c r="I750" s="14"/>
      <c r="J750" s="14"/>
      <c r="K750" s="12"/>
    </row>
    <row r="751" ht="19.5" customHeight="1">
      <c r="A751" s="12"/>
      <c r="C751" s="12"/>
      <c r="D751" s="87"/>
      <c r="F751" s="14"/>
      <c r="G751" s="14"/>
      <c r="H751" s="14"/>
      <c r="I751" s="14"/>
      <c r="J751" s="14"/>
      <c r="K751" s="12"/>
    </row>
    <row r="752" ht="19.5" customHeight="1">
      <c r="A752" s="12"/>
      <c r="C752" s="12"/>
      <c r="D752" s="87"/>
      <c r="F752" s="14"/>
      <c r="G752" s="14"/>
      <c r="H752" s="14"/>
      <c r="I752" s="14"/>
      <c r="J752" s="14"/>
      <c r="K752" s="12"/>
    </row>
    <row r="753" ht="19.5" customHeight="1">
      <c r="A753" s="12"/>
      <c r="C753" s="12"/>
      <c r="D753" s="87"/>
      <c r="F753" s="14"/>
      <c r="G753" s="14"/>
      <c r="H753" s="14"/>
      <c r="I753" s="14"/>
      <c r="J753" s="14"/>
      <c r="K753" s="12"/>
    </row>
    <row r="754" ht="19.5" customHeight="1">
      <c r="A754" s="12"/>
      <c r="C754" s="12"/>
      <c r="D754" s="87"/>
      <c r="F754" s="14"/>
      <c r="G754" s="14"/>
      <c r="H754" s="14"/>
      <c r="I754" s="14"/>
      <c r="J754" s="14"/>
      <c r="K754" s="12"/>
    </row>
    <row r="755" ht="19.5" customHeight="1">
      <c r="A755" s="12"/>
      <c r="C755" s="12"/>
      <c r="D755" s="87"/>
      <c r="F755" s="14"/>
      <c r="G755" s="14"/>
      <c r="H755" s="14"/>
      <c r="I755" s="14"/>
      <c r="J755" s="14"/>
      <c r="K755" s="12"/>
    </row>
    <row r="756" ht="19.5" customHeight="1">
      <c r="A756" s="12"/>
      <c r="C756" s="12"/>
      <c r="D756" s="87"/>
      <c r="F756" s="14"/>
      <c r="G756" s="14"/>
      <c r="H756" s="14"/>
      <c r="I756" s="14"/>
      <c r="J756" s="14"/>
      <c r="K756" s="12"/>
    </row>
    <row r="757" ht="19.5" customHeight="1">
      <c r="A757" s="12"/>
      <c r="C757" s="12"/>
      <c r="D757" s="87"/>
      <c r="F757" s="14"/>
      <c r="G757" s="14"/>
      <c r="H757" s="14"/>
      <c r="I757" s="14"/>
      <c r="J757" s="14"/>
      <c r="K757" s="12"/>
    </row>
    <row r="758" ht="19.5" customHeight="1">
      <c r="A758" s="12"/>
      <c r="C758" s="12"/>
      <c r="D758" s="87"/>
      <c r="F758" s="14"/>
      <c r="G758" s="14"/>
      <c r="H758" s="14"/>
      <c r="I758" s="14"/>
      <c r="J758" s="14"/>
      <c r="K758" s="12"/>
    </row>
    <row r="759" ht="19.5" customHeight="1">
      <c r="A759" s="12"/>
      <c r="C759" s="12"/>
      <c r="D759" s="87"/>
      <c r="F759" s="14"/>
      <c r="G759" s="14"/>
      <c r="H759" s="14"/>
      <c r="I759" s="14"/>
      <c r="J759" s="14"/>
      <c r="K759" s="12"/>
    </row>
    <row r="760" ht="19.5" customHeight="1">
      <c r="A760" s="12"/>
      <c r="C760" s="12"/>
      <c r="D760" s="87"/>
      <c r="F760" s="14"/>
      <c r="G760" s="14"/>
      <c r="H760" s="14"/>
      <c r="I760" s="14"/>
      <c r="J760" s="14"/>
      <c r="K760" s="12"/>
    </row>
    <row r="761" ht="19.5" customHeight="1">
      <c r="A761" s="12"/>
      <c r="C761" s="12"/>
      <c r="D761" s="87"/>
      <c r="F761" s="14"/>
      <c r="G761" s="14"/>
      <c r="H761" s="14"/>
      <c r="I761" s="14"/>
      <c r="J761" s="14"/>
      <c r="K761" s="12"/>
    </row>
    <row r="762" ht="19.5" customHeight="1">
      <c r="A762" s="12"/>
      <c r="C762" s="12"/>
      <c r="D762" s="87"/>
      <c r="F762" s="14"/>
      <c r="G762" s="14"/>
      <c r="H762" s="14"/>
      <c r="I762" s="14"/>
      <c r="J762" s="14"/>
      <c r="K762" s="12"/>
    </row>
    <row r="763" ht="19.5" customHeight="1">
      <c r="A763" s="12"/>
      <c r="C763" s="12"/>
      <c r="D763" s="87"/>
      <c r="F763" s="14"/>
      <c r="G763" s="14"/>
      <c r="H763" s="14"/>
      <c r="I763" s="14"/>
      <c r="J763" s="14"/>
      <c r="K763" s="12"/>
    </row>
    <row r="764" ht="19.5" customHeight="1">
      <c r="A764" s="12"/>
      <c r="C764" s="12"/>
      <c r="D764" s="87"/>
      <c r="F764" s="14"/>
      <c r="G764" s="14"/>
      <c r="H764" s="14"/>
      <c r="I764" s="14"/>
      <c r="J764" s="14"/>
      <c r="K764" s="12"/>
    </row>
    <row r="765" ht="19.5" customHeight="1">
      <c r="A765" s="12"/>
      <c r="C765" s="12"/>
      <c r="D765" s="87"/>
      <c r="F765" s="14"/>
      <c r="G765" s="14"/>
      <c r="H765" s="14"/>
      <c r="I765" s="14"/>
      <c r="J765" s="14"/>
      <c r="K765" s="12"/>
    </row>
    <row r="766" ht="19.5" customHeight="1">
      <c r="A766" s="12"/>
      <c r="C766" s="12"/>
      <c r="D766" s="87"/>
      <c r="F766" s="14"/>
      <c r="G766" s="14"/>
      <c r="H766" s="14"/>
      <c r="I766" s="14"/>
      <c r="J766" s="14"/>
      <c r="K766" s="12"/>
    </row>
    <row r="767" ht="19.5" customHeight="1">
      <c r="A767" s="12"/>
      <c r="C767" s="12"/>
      <c r="D767" s="87"/>
      <c r="F767" s="14"/>
      <c r="G767" s="14"/>
      <c r="H767" s="14"/>
      <c r="I767" s="14"/>
      <c r="J767" s="14"/>
      <c r="K767" s="12"/>
    </row>
    <row r="768" ht="19.5" customHeight="1">
      <c r="A768" s="12"/>
      <c r="C768" s="12"/>
      <c r="D768" s="87"/>
      <c r="F768" s="14"/>
      <c r="G768" s="14"/>
      <c r="H768" s="14"/>
      <c r="I768" s="14"/>
      <c r="J768" s="14"/>
      <c r="K768" s="12"/>
    </row>
    <row r="769" ht="19.5" customHeight="1">
      <c r="A769" s="12"/>
      <c r="C769" s="12"/>
      <c r="D769" s="87"/>
      <c r="F769" s="14"/>
      <c r="G769" s="14"/>
      <c r="H769" s="14"/>
      <c r="I769" s="14"/>
      <c r="J769" s="14"/>
      <c r="K769" s="12"/>
    </row>
    <row r="770" ht="19.5" customHeight="1">
      <c r="A770" s="12"/>
      <c r="C770" s="12"/>
      <c r="D770" s="87"/>
      <c r="F770" s="14"/>
      <c r="G770" s="14"/>
      <c r="H770" s="14"/>
      <c r="I770" s="14"/>
      <c r="J770" s="14"/>
      <c r="K770" s="12"/>
    </row>
    <row r="771" ht="19.5" customHeight="1">
      <c r="A771" s="12"/>
      <c r="C771" s="12"/>
      <c r="D771" s="87"/>
      <c r="F771" s="14"/>
      <c r="G771" s="14"/>
      <c r="H771" s="14"/>
      <c r="I771" s="14"/>
      <c r="J771" s="14"/>
      <c r="K771" s="12"/>
    </row>
    <row r="772" ht="19.5" customHeight="1">
      <c r="A772" s="12"/>
      <c r="C772" s="12"/>
      <c r="D772" s="87"/>
      <c r="F772" s="14"/>
      <c r="G772" s="14"/>
      <c r="H772" s="14"/>
      <c r="I772" s="14"/>
      <c r="J772" s="14"/>
      <c r="K772" s="12"/>
    </row>
    <row r="773" ht="19.5" customHeight="1">
      <c r="A773" s="12"/>
      <c r="C773" s="12"/>
      <c r="D773" s="87"/>
      <c r="F773" s="14"/>
      <c r="G773" s="14"/>
      <c r="H773" s="14"/>
      <c r="I773" s="14"/>
      <c r="J773" s="14"/>
      <c r="K773" s="12"/>
    </row>
    <row r="774" ht="19.5" customHeight="1">
      <c r="A774" s="12"/>
      <c r="C774" s="12"/>
      <c r="D774" s="87"/>
      <c r="F774" s="14"/>
      <c r="G774" s="14"/>
      <c r="H774" s="14"/>
      <c r="I774" s="14"/>
      <c r="J774" s="14"/>
      <c r="K774" s="12"/>
    </row>
    <row r="775" ht="19.5" customHeight="1">
      <c r="A775" s="12"/>
      <c r="C775" s="12"/>
      <c r="D775" s="87"/>
      <c r="F775" s="14"/>
      <c r="G775" s="14"/>
      <c r="H775" s="14"/>
      <c r="I775" s="14"/>
      <c r="J775" s="14"/>
      <c r="K775" s="12"/>
    </row>
    <row r="776" ht="19.5" customHeight="1">
      <c r="A776" s="12"/>
      <c r="C776" s="12"/>
      <c r="D776" s="87"/>
      <c r="F776" s="14"/>
      <c r="G776" s="14"/>
      <c r="H776" s="14"/>
      <c r="I776" s="14"/>
      <c r="J776" s="14"/>
      <c r="K776" s="12"/>
    </row>
    <row r="777" ht="19.5" customHeight="1">
      <c r="A777" s="12"/>
      <c r="C777" s="12"/>
      <c r="D777" s="87"/>
      <c r="F777" s="14"/>
      <c r="G777" s="14"/>
      <c r="H777" s="14"/>
      <c r="I777" s="14"/>
      <c r="J777" s="14"/>
      <c r="K777" s="12"/>
    </row>
    <row r="778" ht="19.5" customHeight="1">
      <c r="A778" s="12"/>
      <c r="C778" s="12"/>
      <c r="D778" s="87"/>
      <c r="F778" s="14"/>
      <c r="G778" s="14"/>
      <c r="H778" s="14"/>
      <c r="I778" s="14"/>
      <c r="J778" s="14"/>
      <c r="K778" s="12"/>
    </row>
    <row r="779" ht="19.5" customHeight="1">
      <c r="A779" s="12"/>
      <c r="C779" s="12"/>
      <c r="D779" s="87"/>
      <c r="F779" s="14"/>
      <c r="G779" s="14"/>
      <c r="H779" s="14"/>
      <c r="I779" s="14"/>
      <c r="J779" s="14"/>
      <c r="K779" s="12"/>
    </row>
    <row r="780" ht="19.5" customHeight="1">
      <c r="A780" s="12"/>
      <c r="C780" s="12"/>
      <c r="D780" s="87"/>
      <c r="F780" s="14"/>
      <c r="G780" s="14"/>
      <c r="H780" s="14"/>
      <c r="I780" s="14"/>
      <c r="J780" s="14"/>
      <c r="K780" s="12"/>
    </row>
    <row r="781" ht="19.5" customHeight="1">
      <c r="A781" s="12"/>
      <c r="C781" s="12"/>
      <c r="D781" s="87"/>
      <c r="F781" s="14"/>
      <c r="G781" s="14"/>
      <c r="H781" s="14"/>
      <c r="I781" s="14"/>
      <c r="J781" s="14"/>
      <c r="K781" s="12"/>
    </row>
    <row r="782" ht="19.5" customHeight="1">
      <c r="A782" s="12"/>
      <c r="C782" s="12"/>
      <c r="D782" s="87"/>
      <c r="F782" s="14"/>
      <c r="G782" s="14"/>
      <c r="H782" s="14"/>
      <c r="I782" s="14"/>
      <c r="J782" s="14"/>
      <c r="K782" s="12"/>
    </row>
    <row r="783" ht="19.5" customHeight="1">
      <c r="A783" s="12"/>
      <c r="C783" s="12"/>
      <c r="D783" s="87"/>
      <c r="F783" s="14"/>
      <c r="G783" s="14"/>
      <c r="H783" s="14"/>
      <c r="I783" s="14"/>
      <c r="J783" s="14"/>
      <c r="K783" s="12"/>
    </row>
    <row r="784" ht="19.5" customHeight="1">
      <c r="A784" s="12"/>
      <c r="C784" s="12"/>
      <c r="D784" s="87"/>
      <c r="F784" s="14"/>
      <c r="G784" s="14"/>
      <c r="H784" s="14"/>
      <c r="I784" s="14"/>
      <c r="J784" s="14"/>
      <c r="K784" s="12"/>
    </row>
    <row r="785" ht="19.5" customHeight="1">
      <c r="A785" s="12"/>
      <c r="C785" s="12"/>
      <c r="D785" s="87"/>
      <c r="F785" s="14"/>
      <c r="G785" s="14"/>
      <c r="H785" s="14"/>
      <c r="I785" s="14"/>
      <c r="J785" s="14"/>
      <c r="K785" s="12"/>
    </row>
    <row r="786" ht="19.5" customHeight="1">
      <c r="A786" s="12"/>
      <c r="C786" s="12"/>
      <c r="D786" s="87"/>
      <c r="F786" s="14"/>
      <c r="G786" s="14"/>
      <c r="H786" s="14"/>
      <c r="I786" s="14"/>
      <c r="J786" s="14"/>
      <c r="K786" s="12"/>
    </row>
    <row r="787" ht="19.5" customHeight="1">
      <c r="A787" s="12"/>
      <c r="C787" s="12"/>
      <c r="D787" s="87"/>
      <c r="F787" s="14"/>
      <c r="G787" s="14"/>
      <c r="H787" s="14"/>
      <c r="I787" s="14"/>
      <c r="J787" s="14"/>
      <c r="K787" s="12"/>
    </row>
    <row r="788" ht="19.5" customHeight="1">
      <c r="A788" s="12"/>
      <c r="C788" s="12"/>
      <c r="D788" s="87"/>
      <c r="F788" s="14"/>
      <c r="G788" s="14"/>
      <c r="H788" s="14"/>
      <c r="I788" s="14"/>
      <c r="J788" s="14"/>
      <c r="K788" s="12"/>
    </row>
    <row r="789" ht="19.5" customHeight="1">
      <c r="A789" s="12"/>
      <c r="C789" s="12"/>
      <c r="D789" s="87"/>
      <c r="F789" s="14"/>
      <c r="G789" s="14"/>
      <c r="H789" s="14"/>
      <c r="I789" s="14"/>
      <c r="J789" s="14"/>
      <c r="K789" s="12"/>
    </row>
    <row r="790" ht="19.5" customHeight="1">
      <c r="A790" s="12"/>
      <c r="C790" s="12"/>
      <c r="D790" s="87"/>
      <c r="F790" s="14"/>
      <c r="G790" s="14"/>
      <c r="H790" s="14"/>
      <c r="I790" s="14"/>
      <c r="J790" s="14"/>
      <c r="K790" s="12"/>
    </row>
    <row r="791" ht="19.5" customHeight="1">
      <c r="A791" s="12"/>
      <c r="C791" s="12"/>
      <c r="D791" s="87"/>
      <c r="F791" s="14"/>
      <c r="G791" s="14"/>
      <c r="H791" s="14"/>
      <c r="I791" s="14"/>
      <c r="J791" s="14"/>
      <c r="K791" s="12"/>
    </row>
    <row r="792" ht="19.5" customHeight="1">
      <c r="A792" s="12"/>
      <c r="C792" s="12"/>
      <c r="D792" s="87"/>
      <c r="F792" s="14"/>
      <c r="G792" s="14"/>
      <c r="H792" s="14"/>
      <c r="I792" s="14"/>
      <c r="J792" s="14"/>
      <c r="K792" s="12"/>
    </row>
    <row r="793" ht="19.5" customHeight="1">
      <c r="A793" s="12"/>
      <c r="C793" s="12"/>
      <c r="D793" s="87"/>
      <c r="F793" s="14"/>
      <c r="G793" s="14"/>
      <c r="H793" s="14"/>
      <c r="I793" s="14"/>
      <c r="J793" s="14"/>
      <c r="K793" s="12"/>
    </row>
    <row r="794" ht="19.5" customHeight="1">
      <c r="A794" s="12"/>
      <c r="C794" s="12"/>
      <c r="D794" s="87"/>
      <c r="F794" s="14"/>
      <c r="G794" s="14"/>
      <c r="H794" s="14"/>
      <c r="I794" s="14"/>
      <c r="J794" s="14"/>
      <c r="K794" s="12"/>
    </row>
    <row r="795" ht="19.5" customHeight="1">
      <c r="A795" s="12"/>
      <c r="C795" s="12"/>
      <c r="D795" s="87"/>
      <c r="F795" s="14"/>
      <c r="G795" s="14"/>
      <c r="H795" s="14"/>
      <c r="I795" s="14"/>
      <c r="J795" s="14"/>
      <c r="K795" s="12"/>
    </row>
    <row r="796" ht="19.5" customHeight="1">
      <c r="A796" s="12"/>
      <c r="C796" s="12"/>
      <c r="D796" s="87"/>
      <c r="F796" s="14"/>
      <c r="G796" s="14"/>
      <c r="H796" s="14"/>
      <c r="I796" s="14"/>
      <c r="J796" s="14"/>
      <c r="K796" s="12"/>
    </row>
    <row r="797" ht="19.5" customHeight="1">
      <c r="A797" s="12"/>
      <c r="C797" s="12"/>
      <c r="D797" s="87"/>
      <c r="F797" s="14"/>
      <c r="G797" s="14"/>
      <c r="H797" s="14"/>
      <c r="I797" s="14"/>
      <c r="J797" s="14"/>
      <c r="K797" s="12"/>
    </row>
    <row r="798" ht="19.5" customHeight="1">
      <c r="A798" s="12"/>
      <c r="C798" s="12"/>
      <c r="D798" s="87"/>
      <c r="F798" s="14"/>
      <c r="G798" s="14"/>
      <c r="H798" s="14"/>
      <c r="I798" s="14"/>
      <c r="J798" s="14"/>
      <c r="K798" s="12"/>
    </row>
    <row r="799" ht="19.5" customHeight="1">
      <c r="A799" s="12"/>
      <c r="C799" s="12"/>
      <c r="D799" s="87"/>
      <c r="F799" s="14"/>
      <c r="G799" s="14"/>
      <c r="H799" s="14"/>
      <c r="I799" s="14"/>
      <c r="J799" s="14"/>
      <c r="K799" s="12"/>
    </row>
    <row r="800" ht="19.5" customHeight="1">
      <c r="A800" s="12"/>
      <c r="C800" s="12"/>
      <c r="D800" s="87"/>
      <c r="F800" s="14"/>
      <c r="G800" s="14"/>
      <c r="H800" s="14"/>
      <c r="I800" s="14"/>
      <c r="J800" s="14"/>
      <c r="K800" s="12"/>
    </row>
    <row r="801" ht="19.5" customHeight="1">
      <c r="A801" s="12"/>
      <c r="C801" s="12"/>
      <c r="D801" s="87"/>
      <c r="F801" s="14"/>
      <c r="G801" s="14"/>
      <c r="H801" s="14"/>
      <c r="I801" s="14"/>
      <c r="J801" s="14"/>
      <c r="K801" s="12"/>
    </row>
    <row r="802" ht="19.5" customHeight="1">
      <c r="A802" s="12"/>
      <c r="C802" s="12"/>
      <c r="D802" s="87"/>
      <c r="F802" s="14"/>
      <c r="G802" s="14"/>
      <c r="H802" s="14"/>
      <c r="I802" s="14"/>
      <c r="J802" s="14"/>
      <c r="K802" s="12"/>
    </row>
    <row r="803" ht="19.5" customHeight="1">
      <c r="A803" s="12"/>
      <c r="C803" s="12"/>
      <c r="D803" s="87"/>
      <c r="F803" s="14"/>
      <c r="G803" s="14"/>
      <c r="H803" s="14"/>
      <c r="I803" s="14"/>
      <c r="J803" s="14"/>
      <c r="K803" s="12"/>
    </row>
    <row r="804" ht="19.5" customHeight="1">
      <c r="A804" s="12"/>
      <c r="C804" s="12"/>
      <c r="D804" s="87"/>
      <c r="F804" s="14"/>
      <c r="G804" s="14"/>
      <c r="H804" s="14"/>
      <c r="I804" s="14"/>
      <c r="J804" s="14"/>
      <c r="K804" s="12"/>
    </row>
    <row r="805" ht="19.5" customHeight="1">
      <c r="A805" s="12"/>
      <c r="C805" s="12"/>
      <c r="D805" s="87"/>
      <c r="F805" s="14"/>
      <c r="G805" s="14"/>
      <c r="H805" s="14"/>
      <c r="I805" s="14"/>
      <c r="J805" s="14"/>
      <c r="K805" s="12"/>
    </row>
    <row r="806" ht="19.5" customHeight="1">
      <c r="A806" s="12"/>
      <c r="C806" s="12"/>
      <c r="D806" s="87"/>
      <c r="F806" s="14"/>
      <c r="G806" s="14"/>
      <c r="H806" s="14"/>
      <c r="I806" s="14"/>
      <c r="J806" s="14"/>
      <c r="K806" s="12"/>
    </row>
    <row r="807" ht="19.5" customHeight="1">
      <c r="A807" s="12"/>
      <c r="C807" s="12"/>
      <c r="D807" s="87"/>
      <c r="F807" s="14"/>
      <c r="G807" s="14"/>
      <c r="H807" s="14"/>
      <c r="I807" s="14"/>
      <c r="J807" s="14"/>
      <c r="K807" s="12"/>
    </row>
    <row r="808" ht="19.5" customHeight="1">
      <c r="A808" s="12"/>
      <c r="C808" s="12"/>
      <c r="D808" s="87"/>
      <c r="F808" s="14"/>
      <c r="G808" s="14"/>
      <c r="H808" s="14"/>
      <c r="I808" s="14"/>
      <c r="J808" s="14"/>
      <c r="K808" s="12"/>
    </row>
    <row r="809" ht="19.5" customHeight="1">
      <c r="A809" s="12"/>
      <c r="C809" s="12"/>
      <c r="D809" s="87"/>
      <c r="F809" s="14"/>
      <c r="G809" s="14"/>
      <c r="H809" s="14"/>
      <c r="I809" s="14"/>
      <c r="J809" s="14"/>
      <c r="K809" s="12"/>
    </row>
    <row r="810" ht="19.5" customHeight="1">
      <c r="A810" s="12"/>
      <c r="C810" s="12"/>
      <c r="D810" s="87"/>
      <c r="F810" s="14"/>
      <c r="G810" s="14"/>
      <c r="H810" s="14"/>
      <c r="I810" s="14"/>
      <c r="J810" s="14"/>
      <c r="K810" s="12"/>
    </row>
    <row r="811" ht="19.5" customHeight="1">
      <c r="A811" s="12"/>
      <c r="C811" s="12"/>
      <c r="D811" s="87"/>
      <c r="F811" s="14"/>
      <c r="G811" s="14"/>
      <c r="H811" s="14"/>
      <c r="I811" s="14"/>
      <c r="J811" s="14"/>
      <c r="K811" s="12"/>
    </row>
    <row r="812" ht="19.5" customHeight="1">
      <c r="A812" s="12"/>
      <c r="C812" s="12"/>
      <c r="D812" s="87"/>
      <c r="F812" s="14"/>
      <c r="G812" s="14"/>
      <c r="H812" s="14"/>
      <c r="I812" s="14"/>
      <c r="J812" s="14"/>
      <c r="K812" s="12"/>
    </row>
    <row r="813" ht="19.5" customHeight="1">
      <c r="A813" s="12"/>
      <c r="C813" s="12"/>
      <c r="D813" s="87"/>
      <c r="F813" s="14"/>
      <c r="G813" s="14"/>
      <c r="H813" s="14"/>
      <c r="I813" s="14"/>
      <c r="J813" s="14"/>
      <c r="K813" s="12"/>
    </row>
    <row r="814" ht="19.5" customHeight="1">
      <c r="A814" s="12"/>
      <c r="C814" s="12"/>
      <c r="D814" s="87"/>
      <c r="F814" s="14"/>
      <c r="G814" s="14"/>
      <c r="H814" s="14"/>
      <c r="I814" s="14"/>
      <c r="J814" s="14"/>
      <c r="K814" s="12"/>
    </row>
    <row r="815" ht="19.5" customHeight="1">
      <c r="A815" s="12"/>
      <c r="C815" s="12"/>
      <c r="D815" s="87"/>
      <c r="F815" s="14"/>
      <c r="G815" s="14"/>
      <c r="H815" s="14"/>
      <c r="I815" s="14"/>
      <c r="J815" s="14"/>
      <c r="K815" s="12"/>
    </row>
    <row r="816" ht="19.5" customHeight="1">
      <c r="A816" s="12"/>
      <c r="C816" s="12"/>
      <c r="D816" s="87"/>
      <c r="F816" s="14"/>
      <c r="G816" s="14"/>
      <c r="H816" s="14"/>
      <c r="I816" s="14"/>
      <c r="J816" s="14"/>
      <c r="K816" s="12"/>
    </row>
    <row r="817" ht="19.5" customHeight="1">
      <c r="A817" s="12"/>
      <c r="C817" s="12"/>
      <c r="D817" s="87"/>
      <c r="F817" s="14"/>
      <c r="G817" s="14"/>
      <c r="H817" s="14"/>
      <c r="I817" s="14"/>
      <c r="J817" s="14"/>
      <c r="K817" s="12"/>
    </row>
    <row r="818" ht="19.5" customHeight="1">
      <c r="A818" s="12"/>
      <c r="C818" s="12"/>
      <c r="D818" s="87"/>
      <c r="F818" s="14"/>
      <c r="G818" s="14"/>
      <c r="H818" s="14"/>
      <c r="I818" s="14"/>
      <c r="J818" s="14"/>
      <c r="K818" s="12"/>
    </row>
    <row r="819" ht="19.5" customHeight="1">
      <c r="A819" s="12"/>
      <c r="C819" s="12"/>
      <c r="D819" s="87"/>
      <c r="F819" s="14"/>
      <c r="G819" s="14"/>
      <c r="H819" s="14"/>
      <c r="I819" s="14"/>
      <c r="J819" s="14"/>
      <c r="K819" s="12"/>
    </row>
    <row r="820" ht="19.5" customHeight="1">
      <c r="A820" s="12"/>
      <c r="C820" s="12"/>
      <c r="D820" s="87"/>
      <c r="F820" s="14"/>
      <c r="G820" s="14"/>
      <c r="H820" s="14"/>
      <c r="I820" s="14"/>
      <c r="J820" s="14"/>
      <c r="K820" s="12"/>
    </row>
    <row r="821" ht="19.5" customHeight="1">
      <c r="A821" s="12"/>
      <c r="C821" s="12"/>
      <c r="D821" s="87"/>
      <c r="F821" s="14"/>
      <c r="G821" s="14"/>
      <c r="H821" s="14"/>
      <c r="I821" s="14"/>
      <c r="J821" s="14"/>
      <c r="K821" s="12"/>
    </row>
    <row r="822" ht="19.5" customHeight="1">
      <c r="A822" s="12"/>
      <c r="C822" s="12"/>
      <c r="D822" s="87"/>
      <c r="F822" s="14"/>
      <c r="G822" s="14"/>
      <c r="H822" s="14"/>
      <c r="I822" s="14"/>
      <c r="J822" s="14"/>
      <c r="K822" s="12"/>
    </row>
    <row r="823" ht="19.5" customHeight="1">
      <c r="A823" s="12"/>
      <c r="C823" s="12"/>
      <c r="D823" s="87"/>
      <c r="F823" s="14"/>
      <c r="G823" s="14"/>
      <c r="H823" s="14"/>
      <c r="I823" s="14"/>
      <c r="J823" s="14"/>
      <c r="K823" s="12"/>
    </row>
    <row r="824" ht="19.5" customHeight="1">
      <c r="A824" s="12"/>
      <c r="C824" s="12"/>
      <c r="D824" s="87"/>
      <c r="F824" s="14"/>
      <c r="G824" s="14"/>
      <c r="H824" s="14"/>
      <c r="I824" s="14"/>
      <c r="J824" s="14"/>
      <c r="K824" s="12"/>
    </row>
    <row r="825" ht="19.5" customHeight="1">
      <c r="A825" s="12"/>
      <c r="C825" s="12"/>
      <c r="D825" s="87"/>
      <c r="F825" s="14"/>
      <c r="G825" s="14"/>
      <c r="H825" s="14"/>
      <c r="I825" s="14"/>
      <c r="J825" s="14"/>
      <c r="K825" s="12"/>
    </row>
    <row r="826" ht="19.5" customHeight="1">
      <c r="A826" s="12"/>
      <c r="C826" s="12"/>
      <c r="D826" s="87"/>
      <c r="F826" s="14"/>
      <c r="G826" s="14"/>
      <c r="H826" s="14"/>
      <c r="I826" s="14"/>
      <c r="J826" s="14"/>
      <c r="K826" s="12"/>
    </row>
    <row r="827" ht="19.5" customHeight="1">
      <c r="A827" s="12"/>
      <c r="C827" s="12"/>
      <c r="D827" s="87"/>
      <c r="F827" s="14"/>
      <c r="G827" s="14"/>
      <c r="H827" s="14"/>
      <c r="I827" s="14"/>
      <c r="J827" s="14"/>
      <c r="K827" s="12"/>
    </row>
    <row r="828" ht="19.5" customHeight="1">
      <c r="A828" s="12"/>
      <c r="C828" s="12"/>
      <c r="D828" s="87"/>
      <c r="F828" s="14"/>
      <c r="G828" s="14"/>
      <c r="H828" s="14"/>
      <c r="I828" s="14"/>
      <c r="J828" s="14"/>
      <c r="K828" s="12"/>
    </row>
    <row r="829" ht="19.5" customHeight="1">
      <c r="A829" s="12"/>
      <c r="C829" s="12"/>
      <c r="D829" s="87"/>
      <c r="F829" s="14"/>
      <c r="G829" s="14"/>
      <c r="H829" s="14"/>
      <c r="I829" s="14"/>
      <c r="J829" s="14"/>
      <c r="K829" s="12"/>
    </row>
    <row r="830" ht="19.5" customHeight="1">
      <c r="A830" s="12"/>
      <c r="C830" s="12"/>
      <c r="D830" s="87"/>
      <c r="F830" s="14"/>
      <c r="G830" s="14"/>
      <c r="H830" s="14"/>
      <c r="I830" s="14"/>
      <c r="J830" s="14"/>
      <c r="K830" s="12"/>
    </row>
    <row r="831" ht="19.5" customHeight="1">
      <c r="A831" s="12"/>
      <c r="C831" s="12"/>
      <c r="D831" s="87"/>
      <c r="F831" s="14"/>
      <c r="G831" s="14"/>
      <c r="H831" s="14"/>
      <c r="I831" s="14"/>
      <c r="J831" s="14"/>
      <c r="K831" s="12"/>
    </row>
    <row r="832" ht="19.5" customHeight="1">
      <c r="A832" s="12"/>
      <c r="C832" s="12"/>
      <c r="D832" s="87"/>
      <c r="F832" s="14"/>
      <c r="G832" s="14"/>
      <c r="H832" s="14"/>
      <c r="I832" s="14"/>
      <c r="J832" s="14"/>
      <c r="K832" s="12"/>
    </row>
    <row r="833" ht="19.5" customHeight="1">
      <c r="A833" s="12"/>
      <c r="C833" s="12"/>
      <c r="D833" s="87"/>
      <c r="F833" s="14"/>
      <c r="G833" s="14"/>
      <c r="H833" s="14"/>
      <c r="I833" s="14"/>
      <c r="J833" s="14"/>
      <c r="K833" s="12"/>
    </row>
    <row r="834" ht="19.5" customHeight="1">
      <c r="A834" s="12"/>
      <c r="C834" s="12"/>
      <c r="D834" s="87"/>
      <c r="F834" s="14"/>
      <c r="G834" s="14"/>
      <c r="H834" s="14"/>
      <c r="I834" s="14"/>
      <c r="J834" s="14"/>
      <c r="K834" s="12"/>
    </row>
    <row r="835" ht="19.5" customHeight="1">
      <c r="A835" s="12"/>
      <c r="C835" s="12"/>
      <c r="D835" s="87"/>
      <c r="F835" s="14"/>
      <c r="G835" s="14"/>
      <c r="H835" s="14"/>
      <c r="I835" s="14"/>
      <c r="J835" s="14"/>
      <c r="K835" s="12"/>
    </row>
    <row r="836" ht="19.5" customHeight="1">
      <c r="A836" s="12"/>
      <c r="C836" s="12"/>
      <c r="D836" s="87"/>
      <c r="F836" s="14"/>
      <c r="G836" s="14"/>
      <c r="H836" s="14"/>
      <c r="I836" s="14"/>
      <c r="J836" s="14"/>
      <c r="K836" s="12"/>
    </row>
    <row r="837" ht="19.5" customHeight="1">
      <c r="A837" s="12"/>
      <c r="C837" s="12"/>
      <c r="D837" s="87"/>
      <c r="F837" s="14"/>
      <c r="G837" s="14"/>
      <c r="H837" s="14"/>
      <c r="I837" s="14"/>
      <c r="J837" s="14"/>
      <c r="K837" s="12"/>
    </row>
    <row r="838" ht="19.5" customHeight="1">
      <c r="A838" s="12"/>
      <c r="C838" s="12"/>
      <c r="D838" s="87"/>
      <c r="F838" s="14"/>
      <c r="G838" s="14"/>
      <c r="H838" s="14"/>
      <c r="I838" s="14"/>
      <c r="J838" s="14"/>
      <c r="K838" s="12"/>
    </row>
    <row r="839" ht="19.5" customHeight="1">
      <c r="A839" s="12"/>
      <c r="C839" s="12"/>
      <c r="D839" s="87"/>
      <c r="F839" s="14"/>
      <c r="G839" s="14"/>
      <c r="H839" s="14"/>
      <c r="I839" s="14"/>
      <c r="J839" s="14"/>
      <c r="K839" s="12"/>
    </row>
    <row r="840" ht="19.5" customHeight="1">
      <c r="A840" s="12"/>
      <c r="C840" s="12"/>
      <c r="D840" s="87"/>
      <c r="F840" s="14"/>
      <c r="G840" s="14"/>
      <c r="H840" s="14"/>
      <c r="I840" s="14"/>
      <c r="J840" s="14"/>
      <c r="K840" s="12"/>
    </row>
    <row r="841" ht="19.5" customHeight="1">
      <c r="A841" s="12"/>
      <c r="C841" s="12"/>
      <c r="D841" s="87"/>
      <c r="F841" s="14"/>
      <c r="G841" s="14"/>
      <c r="H841" s="14"/>
      <c r="I841" s="14"/>
      <c r="J841" s="14"/>
      <c r="K841" s="12"/>
    </row>
    <row r="842" ht="19.5" customHeight="1">
      <c r="A842" s="12"/>
      <c r="C842" s="12"/>
      <c r="D842" s="87"/>
      <c r="F842" s="14"/>
      <c r="G842" s="14"/>
      <c r="H842" s="14"/>
      <c r="I842" s="14"/>
      <c r="J842" s="14"/>
      <c r="K842" s="12"/>
    </row>
    <row r="843" ht="19.5" customHeight="1">
      <c r="A843" s="12"/>
      <c r="C843" s="12"/>
      <c r="D843" s="87"/>
      <c r="F843" s="14"/>
      <c r="G843" s="14"/>
      <c r="H843" s="14"/>
      <c r="I843" s="14"/>
      <c r="J843" s="14"/>
      <c r="K843" s="12"/>
    </row>
    <row r="844" ht="19.5" customHeight="1">
      <c r="A844" s="12"/>
      <c r="C844" s="12"/>
      <c r="D844" s="87"/>
      <c r="F844" s="14"/>
      <c r="G844" s="14"/>
      <c r="H844" s="14"/>
      <c r="I844" s="14"/>
      <c r="J844" s="14"/>
      <c r="K844" s="12"/>
    </row>
    <row r="845" ht="19.5" customHeight="1">
      <c r="A845" s="12"/>
      <c r="C845" s="12"/>
      <c r="D845" s="87"/>
      <c r="F845" s="14"/>
      <c r="G845" s="14"/>
      <c r="H845" s="14"/>
      <c r="I845" s="14"/>
      <c r="J845" s="14"/>
      <c r="K845" s="12"/>
    </row>
    <row r="846" ht="19.5" customHeight="1">
      <c r="A846" s="12"/>
      <c r="C846" s="12"/>
      <c r="D846" s="87"/>
      <c r="F846" s="14"/>
      <c r="G846" s="14"/>
      <c r="H846" s="14"/>
      <c r="I846" s="14"/>
      <c r="J846" s="14"/>
      <c r="K846" s="12"/>
    </row>
    <row r="847" ht="19.5" customHeight="1">
      <c r="A847" s="12"/>
      <c r="C847" s="12"/>
      <c r="D847" s="87"/>
      <c r="F847" s="14"/>
      <c r="G847" s="14"/>
      <c r="H847" s="14"/>
      <c r="I847" s="14"/>
      <c r="J847" s="14"/>
      <c r="K847" s="12"/>
    </row>
    <row r="848" ht="19.5" customHeight="1">
      <c r="A848" s="12"/>
      <c r="C848" s="12"/>
      <c r="D848" s="87"/>
      <c r="F848" s="14"/>
      <c r="G848" s="14"/>
      <c r="H848" s="14"/>
      <c r="I848" s="14"/>
      <c r="J848" s="14"/>
      <c r="K848" s="12"/>
    </row>
    <row r="849" ht="19.5" customHeight="1">
      <c r="A849" s="12"/>
      <c r="C849" s="12"/>
      <c r="D849" s="87"/>
      <c r="F849" s="14"/>
      <c r="G849" s="14"/>
      <c r="H849" s="14"/>
      <c r="I849" s="14"/>
      <c r="J849" s="14"/>
      <c r="K849" s="12"/>
    </row>
    <row r="850" ht="19.5" customHeight="1">
      <c r="A850" s="12"/>
      <c r="C850" s="12"/>
      <c r="D850" s="87"/>
      <c r="F850" s="14"/>
      <c r="G850" s="14"/>
      <c r="H850" s="14"/>
      <c r="I850" s="14"/>
      <c r="J850" s="14"/>
      <c r="K850" s="12"/>
    </row>
    <row r="851" ht="19.5" customHeight="1">
      <c r="A851" s="12"/>
      <c r="C851" s="12"/>
      <c r="D851" s="87"/>
      <c r="F851" s="14"/>
      <c r="G851" s="14"/>
      <c r="H851" s="14"/>
      <c r="I851" s="14"/>
      <c r="J851" s="14"/>
      <c r="K851" s="12"/>
    </row>
    <row r="852" ht="19.5" customHeight="1">
      <c r="A852" s="12"/>
      <c r="C852" s="12"/>
      <c r="D852" s="87"/>
      <c r="F852" s="14"/>
      <c r="G852" s="14"/>
      <c r="H852" s="14"/>
      <c r="I852" s="14"/>
      <c r="J852" s="14"/>
      <c r="K852" s="12"/>
    </row>
    <row r="853" ht="19.5" customHeight="1">
      <c r="A853" s="12"/>
      <c r="C853" s="12"/>
      <c r="D853" s="87"/>
      <c r="F853" s="14"/>
      <c r="G853" s="14"/>
      <c r="H853" s="14"/>
      <c r="I853" s="14"/>
      <c r="J853" s="14"/>
      <c r="K853" s="12"/>
    </row>
    <row r="854" ht="19.5" customHeight="1">
      <c r="A854" s="12"/>
      <c r="C854" s="12"/>
      <c r="D854" s="87"/>
      <c r="F854" s="14"/>
      <c r="G854" s="14"/>
      <c r="H854" s="14"/>
      <c r="I854" s="14"/>
      <c r="J854" s="14"/>
      <c r="K854" s="12"/>
    </row>
    <row r="855" ht="19.5" customHeight="1">
      <c r="A855" s="12"/>
      <c r="C855" s="12"/>
      <c r="D855" s="87"/>
      <c r="F855" s="14"/>
      <c r="G855" s="14"/>
      <c r="H855" s="14"/>
      <c r="I855" s="14"/>
      <c r="J855" s="14"/>
      <c r="K855" s="12"/>
    </row>
    <row r="856" ht="19.5" customHeight="1">
      <c r="A856" s="12"/>
      <c r="C856" s="12"/>
      <c r="D856" s="87"/>
      <c r="F856" s="14"/>
      <c r="G856" s="14"/>
      <c r="H856" s="14"/>
      <c r="I856" s="14"/>
      <c r="J856" s="14"/>
      <c r="K856" s="12"/>
    </row>
    <row r="857" ht="19.5" customHeight="1">
      <c r="A857" s="12"/>
      <c r="C857" s="12"/>
      <c r="D857" s="87"/>
      <c r="F857" s="14"/>
      <c r="G857" s="14"/>
      <c r="H857" s="14"/>
      <c r="I857" s="14"/>
      <c r="J857" s="14"/>
      <c r="K857" s="12"/>
    </row>
    <row r="858" ht="19.5" customHeight="1">
      <c r="A858" s="12"/>
      <c r="C858" s="12"/>
      <c r="D858" s="87"/>
      <c r="F858" s="14"/>
      <c r="G858" s="14"/>
      <c r="H858" s="14"/>
      <c r="I858" s="14"/>
      <c r="J858" s="14"/>
      <c r="K858" s="12"/>
    </row>
    <row r="859" ht="19.5" customHeight="1">
      <c r="A859" s="12"/>
      <c r="C859" s="12"/>
      <c r="D859" s="87"/>
      <c r="F859" s="14"/>
      <c r="G859" s="14"/>
      <c r="H859" s="14"/>
      <c r="I859" s="14"/>
      <c r="J859" s="14"/>
      <c r="K859" s="12"/>
    </row>
    <row r="860" ht="19.5" customHeight="1">
      <c r="A860" s="12"/>
      <c r="C860" s="12"/>
      <c r="D860" s="87"/>
      <c r="F860" s="14"/>
      <c r="G860" s="14"/>
      <c r="H860" s="14"/>
      <c r="I860" s="14"/>
      <c r="J860" s="14"/>
      <c r="K860" s="12"/>
    </row>
    <row r="861" ht="19.5" customHeight="1">
      <c r="A861" s="12"/>
      <c r="C861" s="12"/>
      <c r="D861" s="87"/>
      <c r="F861" s="14"/>
      <c r="G861" s="14"/>
      <c r="H861" s="14"/>
      <c r="I861" s="14"/>
      <c r="J861" s="14"/>
      <c r="K861" s="12"/>
    </row>
    <row r="862" ht="19.5" customHeight="1">
      <c r="A862" s="12"/>
      <c r="C862" s="12"/>
      <c r="D862" s="87"/>
      <c r="F862" s="14"/>
      <c r="G862" s="14"/>
      <c r="H862" s="14"/>
      <c r="I862" s="14"/>
      <c r="J862" s="14"/>
      <c r="K862" s="12"/>
    </row>
    <row r="863" ht="19.5" customHeight="1">
      <c r="A863" s="12"/>
      <c r="C863" s="12"/>
      <c r="D863" s="87"/>
      <c r="F863" s="14"/>
      <c r="G863" s="14"/>
      <c r="H863" s="14"/>
      <c r="I863" s="14"/>
      <c r="J863" s="14"/>
      <c r="K863" s="12"/>
    </row>
    <row r="864" ht="19.5" customHeight="1">
      <c r="A864" s="12"/>
      <c r="C864" s="12"/>
      <c r="D864" s="87"/>
      <c r="F864" s="14"/>
      <c r="G864" s="14"/>
      <c r="H864" s="14"/>
      <c r="I864" s="14"/>
      <c r="J864" s="14"/>
      <c r="K864" s="12"/>
    </row>
    <row r="865" ht="19.5" customHeight="1">
      <c r="A865" s="12"/>
      <c r="C865" s="12"/>
      <c r="D865" s="87"/>
      <c r="F865" s="14"/>
      <c r="G865" s="14"/>
      <c r="H865" s="14"/>
      <c r="I865" s="14"/>
      <c r="J865" s="14"/>
      <c r="K865" s="12"/>
    </row>
    <row r="866" ht="19.5" customHeight="1">
      <c r="A866" s="12"/>
      <c r="C866" s="12"/>
      <c r="D866" s="87"/>
      <c r="F866" s="14"/>
      <c r="G866" s="14"/>
      <c r="H866" s="14"/>
      <c r="I866" s="14"/>
      <c r="J866" s="14"/>
      <c r="K866" s="12"/>
    </row>
    <row r="867" ht="19.5" customHeight="1">
      <c r="A867" s="12"/>
      <c r="C867" s="12"/>
      <c r="D867" s="87"/>
      <c r="F867" s="14"/>
      <c r="G867" s="14"/>
      <c r="H867" s="14"/>
      <c r="I867" s="14"/>
      <c r="J867" s="14"/>
      <c r="K867" s="12"/>
    </row>
    <row r="868" ht="19.5" customHeight="1">
      <c r="A868" s="12"/>
      <c r="C868" s="12"/>
      <c r="D868" s="87"/>
      <c r="F868" s="14"/>
      <c r="G868" s="14"/>
      <c r="H868" s="14"/>
      <c r="I868" s="14"/>
      <c r="J868" s="14"/>
      <c r="K868" s="12"/>
    </row>
    <row r="869" ht="19.5" customHeight="1">
      <c r="A869" s="12"/>
      <c r="C869" s="12"/>
      <c r="D869" s="87"/>
      <c r="F869" s="14"/>
      <c r="G869" s="14"/>
      <c r="H869" s="14"/>
      <c r="I869" s="14"/>
      <c r="J869" s="14"/>
      <c r="K869" s="12"/>
    </row>
    <row r="870" ht="19.5" customHeight="1">
      <c r="A870" s="12"/>
      <c r="C870" s="12"/>
      <c r="D870" s="87"/>
      <c r="F870" s="14"/>
      <c r="G870" s="14"/>
      <c r="H870" s="14"/>
      <c r="I870" s="14"/>
      <c r="J870" s="14"/>
      <c r="K870" s="12"/>
    </row>
    <row r="871" ht="19.5" customHeight="1">
      <c r="A871" s="12"/>
      <c r="C871" s="12"/>
      <c r="D871" s="87"/>
      <c r="F871" s="14"/>
      <c r="G871" s="14"/>
      <c r="H871" s="14"/>
      <c r="I871" s="14"/>
      <c r="J871" s="14"/>
      <c r="K871" s="12"/>
    </row>
    <row r="872" ht="19.5" customHeight="1">
      <c r="A872" s="12"/>
      <c r="C872" s="12"/>
      <c r="D872" s="87"/>
      <c r="F872" s="14"/>
      <c r="G872" s="14"/>
      <c r="H872" s="14"/>
      <c r="I872" s="14"/>
      <c r="J872" s="14"/>
      <c r="K872" s="12"/>
    </row>
    <row r="873" ht="19.5" customHeight="1">
      <c r="A873" s="12"/>
      <c r="C873" s="12"/>
      <c r="D873" s="87"/>
      <c r="F873" s="14"/>
      <c r="G873" s="14"/>
      <c r="H873" s="14"/>
      <c r="I873" s="14"/>
      <c r="J873" s="14"/>
      <c r="K873" s="12"/>
    </row>
    <row r="874" ht="19.5" customHeight="1">
      <c r="A874" s="12"/>
      <c r="C874" s="12"/>
      <c r="D874" s="87"/>
      <c r="F874" s="14"/>
      <c r="G874" s="14"/>
      <c r="H874" s="14"/>
      <c r="I874" s="14"/>
      <c r="J874" s="14"/>
      <c r="K874" s="12"/>
    </row>
    <row r="875" ht="19.5" customHeight="1">
      <c r="A875" s="12"/>
      <c r="C875" s="12"/>
      <c r="D875" s="87"/>
      <c r="F875" s="14"/>
      <c r="G875" s="14"/>
      <c r="H875" s="14"/>
      <c r="I875" s="14"/>
      <c r="J875" s="14"/>
      <c r="K875" s="12"/>
    </row>
    <row r="876" ht="19.5" customHeight="1">
      <c r="A876" s="12"/>
      <c r="C876" s="12"/>
      <c r="D876" s="87"/>
      <c r="F876" s="14"/>
      <c r="G876" s="14"/>
      <c r="H876" s="14"/>
      <c r="I876" s="14"/>
      <c r="J876" s="14"/>
      <c r="K876" s="12"/>
    </row>
    <row r="877" ht="19.5" customHeight="1">
      <c r="A877" s="12"/>
      <c r="C877" s="12"/>
      <c r="D877" s="87"/>
      <c r="F877" s="14"/>
      <c r="G877" s="14"/>
      <c r="H877" s="14"/>
      <c r="I877" s="14"/>
      <c r="J877" s="14"/>
      <c r="K877" s="12"/>
    </row>
    <row r="878" ht="19.5" customHeight="1">
      <c r="A878" s="12"/>
      <c r="C878" s="12"/>
      <c r="D878" s="87"/>
      <c r="F878" s="14"/>
      <c r="G878" s="14"/>
      <c r="H878" s="14"/>
      <c r="I878" s="14"/>
      <c r="J878" s="14"/>
      <c r="K878" s="12"/>
    </row>
    <row r="879" ht="19.5" customHeight="1">
      <c r="A879" s="12"/>
      <c r="C879" s="12"/>
      <c r="D879" s="87"/>
      <c r="F879" s="14"/>
      <c r="G879" s="14"/>
      <c r="H879" s="14"/>
      <c r="I879" s="14"/>
      <c r="J879" s="14"/>
      <c r="K879" s="12"/>
    </row>
    <row r="880" ht="19.5" customHeight="1">
      <c r="A880" s="12"/>
      <c r="C880" s="12"/>
      <c r="D880" s="87"/>
      <c r="F880" s="14"/>
      <c r="G880" s="14"/>
      <c r="H880" s="14"/>
      <c r="I880" s="14"/>
      <c r="J880" s="14"/>
      <c r="K880" s="12"/>
    </row>
    <row r="881" ht="19.5" customHeight="1">
      <c r="A881" s="12"/>
      <c r="C881" s="12"/>
      <c r="D881" s="87"/>
      <c r="F881" s="14"/>
      <c r="G881" s="14"/>
      <c r="H881" s="14"/>
      <c r="I881" s="14"/>
      <c r="J881" s="14"/>
      <c r="K881" s="12"/>
    </row>
    <row r="882" ht="19.5" customHeight="1">
      <c r="A882" s="12"/>
      <c r="C882" s="12"/>
      <c r="D882" s="87"/>
      <c r="F882" s="14"/>
      <c r="G882" s="14"/>
      <c r="H882" s="14"/>
      <c r="I882" s="14"/>
      <c r="J882" s="14"/>
      <c r="K882" s="12"/>
    </row>
    <row r="883" ht="19.5" customHeight="1">
      <c r="A883" s="12"/>
      <c r="C883" s="12"/>
      <c r="D883" s="87"/>
      <c r="F883" s="14"/>
      <c r="G883" s="14"/>
      <c r="H883" s="14"/>
      <c r="I883" s="14"/>
      <c r="J883" s="14"/>
      <c r="K883" s="12"/>
    </row>
    <row r="884" ht="19.5" customHeight="1">
      <c r="A884" s="12"/>
      <c r="C884" s="12"/>
      <c r="D884" s="87"/>
      <c r="F884" s="14"/>
      <c r="G884" s="14"/>
      <c r="H884" s="14"/>
      <c r="I884" s="14"/>
      <c r="J884" s="14"/>
      <c r="K884" s="12"/>
    </row>
    <row r="885" ht="19.5" customHeight="1">
      <c r="A885" s="12"/>
      <c r="C885" s="12"/>
      <c r="D885" s="87"/>
      <c r="F885" s="14"/>
      <c r="G885" s="14"/>
      <c r="H885" s="14"/>
      <c r="I885" s="14"/>
      <c r="J885" s="14"/>
      <c r="K885" s="12"/>
    </row>
    <row r="886" ht="19.5" customHeight="1">
      <c r="A886" s="12"/>
      <c r="C886" s="12"/>
      <c r="D886" s="87"/>
      <c r="F886" s="14"/>
      <c r="G886" s="14"/>
      <c r="H886" s="14"/>
      <c r="I886" s="14"/>
      <c r="J886" s="14"/>
      <c r="K886" s="12"/>
    </row>
    <row r="887" ht="19.5" customHeight="1">
      <c r="A887" s="12"/>
      <c r="C887" s="12"/>
      <c r="D887" s="87"/>
      <c r="F887" s="14"/>
      <c r="G887" s="14"/>
      <c r="H887" s="14"/>
      <c r="I887" s="14"/>
      <c r="J887" s="14"/>
      <c r="K887" s="12"/>
    </row>
    <row r="888" ht="19.5" customHeight="1">
      <c r="A888" s="12"/>
      <c r="C888" s="12"/>
      <c r="D888" s="87"/>
      <c r="F888" s="14"/>
      <c r="G888" s="14"/>
      <c r="H888" s="14"/>
      <c r="I888" s="14"/>
      <c r="J888" s="14"/>
      <c r="K888" s="12"/>
    </row>
    <row r="889" ht="19.5" customHeight="1">
      <c r="A889" s="12"/>
      <c r="C889" s="12"/>
      <c r="D889" s="87"/>
      <c r="F889" s="14"/>
      <c r="G889" s="14"/>
      <c r="H889" s="14"/>
      <c r="I889" s="14"/>
      <c r="J889" s="14"/>
      <c r="K889" s="12"/>
    </row>
    <row r="890" ht="19.5" customHeight="1">
      <c r="A890" s="12"/>
      <c r="C890" s="12"/>
      <c r="D890" s="87"/>
      <c r="F890" s="14"/>
      <c r="G890" s="14"/>
      <c r="H890" s="14"/>
      <c r="I890" s="14"/>
      <c r="J890" s="14"/>
      <c r="K890" s="12"/>
    </row>
    <row r="891" ht="19.5" customHeight="1">
      <c r="A891" s="12"/>
      <c r="C891" s="12"/>
      <c r="D891" s="87"/>
      <c r="F891" s="14"/>
      <c r="G891" s="14"/>
      <c r="H891" s="14"/>
      <c r="I891" s="14"/>
      <c r="J891" s="14"/>
      <c r="K891" s="12"/>
    </row>
    <row r="892" ht="19.5" customHeight="1">
      <c r="A892" s="12"/>
      <c r="C892" s="12"/>
      <c r="D892" s="87"/>
      <c r="F892" s="14"/>
      <c r="G892" s="14"/>
      <c r="H892" s="14"/>
      <c r="I892" s="14"/>
      <c r="J892" s="14"/>
      <c r="K892" s="12"/>
    </row>
    <row r="893" ht="19.5" customHeight="1">
      <c r="A893" s="12"/>
      <c r="C893" s="12"/>
      <c r="D893" s="87"/>
      <c r="F893" s="14"/>
      <c r="G893" s="14"/>
      <c r="H893" s="14"/>
      <c r="I893" s="14"/>
      <c r="J893" s="14"/>
      <c r="K893" s="12"/>
    </row>
    <row r="894" ht="19.5" customHeight="1">
      <c r="A894" s="12"/>
      <c r="C894" s="12"/>
      <c r="D894" s="87"/>
      <c r="F894" s="14"/>
      <c r="G894" s="14"/>
      <c r="H894" s="14"/>
      <c r="I894" s="14"/>
      <c r="J894" s="14"/>
      <c r="K894" s="12"/>
    </row>
    <row r="895" ht="19.5" customHeight="1">
      <c r="A895" s="12"/>
      <c r="C895" s="12"/>
      <c r="D895" s="87"/>
      <c r="F895" s="14"/>
      <c r="G895" s="14"/>
      <c r="H895" s="14"/>
      <c r="I895" s="14"/>
      <c r="J895" s="14"/>
      <c r="K895" s="12"/>
    </row>
    <row r="896" ht="19.5" customHeight="1">
      <c r="A896" s="12"/>
      <c r="C896" s="12"/>
      <c r="D896" s="87"/>
      <c r="F896" s="14"/>
      <c r="G896" s="14"/>
      <c r="H896" s="14"/>
      <c r="I896" s="14"/>
      <c r="J896" s="14"/>
      <c r="K896" s="12"/>
    </row>
    <row r="897" ht="19.5" customHeight="1">
      <c r="A897" s="12"/>
      <c r="C897" s="12"/>
      <c r="D897" s="87"/>
      <c r="F897" s="14"/>
      <c r="G897" s="14"/>
      <c r="H897" s="14"/>
      <c r="I897" s="14"/>
      <c r="J897" s="14"/>
      <c r="K897" s="12"/>
    </row>
    <row r="898" ht="19.5" customHeight="1">
      <c r="A898" s="12"/>
      <c r="C898" s="12"/>
      <c r="D898" s="87"/>
      <c r="F898" s="14"/>
      <c r="G898" s="14"/>
      <c r="H898" s="14"/>
      <c r="I898" s="14"/>
      <c r="J898" s="14"/>
      <c r="K898" s="12"/>
    </row>
    <row r="899" ht="19.5" customHeight="1">
      <c r="A899" s="12"/>
      <c r="C899" s="12"/>
      <c r="D899" s="87"/>
      <c r="F899" s="14"/>
      <c r="G899" s="14"/>
      <c r="H899" s="14"/>
      <c r="I899" s="14"/>
      <c r="J899" s="14"/>
      <c r="K899" s="12"/>
    </row>
    <row r="900" ht="19.5" customHeight="1">
      <c r="A900" s="12"/>
      <c r="C900" s="12"/>
      <c r="D900" s="87"/>
      <c r="F900" s="14"/>
      <c r="G900" s="14"/>
      <c r="H900" s="14"/>
      <c r="I900" s="14"/>
      <c r="J900" s="14"/>
      <c r="K900" s="12"/>
    </row>
    <row r="901" ht="19.5" customHeight="1">
      <c r="A901" s="12"/>
      <c r="C901" s="12"/>
      <c r="D901" s="87"/>
      <c r="F901" s="14"/>
      <c r="G901" s="14"/>
      <c r="H901" s="14"/>
      <c r="I901" s="14"/>
      <c r="J901" s="14"/>
      <c r="K901" s="12"/>
    </row>
    <row r="902" ht="19.5" customHeight="1">
      <c r="A902" s="12"/>
      <c r="C902" s="12"/>
      <c r="D902" s="87"/>
      <c r="F902" s="14"/>
      <c r="G902" s="14"/>
      <c r="H902" s="14"/>
      <c r="I902" s="14"/>
      <c r="J902" s="14"/>
      <c r="K902" s="12"/>
    </row>
    <row r="903" ht="19.5" customHeight="1">
      <c r="A903" s="12"/>
      <c r="C903" s="12"/>
      <c r="D903" s="87"/>
      <c r="F903" s="14"/>
      <c r="G903" s="14"/>
      <c r="H903" s="14"/>
      <c r="I903" s="14"/>
      <c r="J903" s="14"/>
      <c r="K903" s="12"/>
    </row>
    <row r="904" ht="19.5" customHeight="1">
      <c r="A904" s="12"/>
      <c r="C904" s="12"/>
      <c r="D904" s="87"/>
      <c r="F904" s="14"/>
      <c r="G904" s="14"/>
      <c r="H904" s="14"/>
      <c r="I904" s="14"/>
      <c r="J904" s="14"/>
      <c r="K904" s="12"/>
    </row>
    <row r="905" ht="19.5" customHeight="1">
      <c r="A905" s="12"/>
      <c r="C905" s="12"/>
      <c r="D905" s="87"/>
      <c r="F905" s="14"/>
      <c r="G905" s="14"/>
      <c r="H905" s="14"/>
      <c r="I905" s="14"/>
      <c r="J905" s="14"/>
      <c r="K905" s="12"/>
    </row>
    <row r="906" ht="19.5" customHeight="1">
      <c r="A906" s="12"/>
      <c r="C906" s="12"/>
      <c r="D906" s="87"/>
      <c r="F906" s="14"/>
      <c r="G906" s="14"/>
      <c r="H906" s="14"/>
      <c r="I906" s="14"/>
      <c r="J906" s="14"/>
      <c r="K906" s="12"/>
    </row>
    <row r="907" ht="19.5" customHeight="1">
      <c r="A907" s="12"/>
      <c r="C907" s="12"/>
      <c r="D907" s="87"/>
      <c r="F907" s="14"/>
      <c r="G907" s="14"/>
      <c r="H907" s="14"/>
      <c r="I907" s="14"/>
      <c r="J907" s="14"/>
      <c r="K907" s="12"/>
    </row>
    <row r="908" ht="19.5" customHeight="1">
      <c r="A908" s="12"/>
      <c r="C908" s="12"/>
      <c r="D908" s="87"/>
      <c r="F908" s="14"/>
      <c r="G908" s="14"/>
      <c r="H908" s="14"/>
      <c r="I908" s="14"/>
      <c r="J908" s="14"/>
      <c r="K908" s="12"/>
    </row>
    <row r="909" ht="19.5" customHeight="1">
      <c r="A909" s="12"/>
      <c r="C909" s="12"/>
      <c r="D909" s="87"/>
      <c r="F909" s="14"/>
      <c r="G909" s="14"/>
      <c r="H909" s="14"/>
      <c r="I909" s="14"/>
      <c r="J909" s="14"/>
      <c r="K909" s="12"/>
    </row>
    <row r="910" ht="19.5" customHeight="1">
      <c r="A910" s="12"/>
      <c r="C910" s="12"/>
      <c r="D910" s="87"/>
      <c r="F910" s="14"/>
      <c r="G910" s="14"/>
      <c r="H910" s="14"/>
      <c r="I910" s="14"/>
      <c r="J910" s="14"/>
      <c r="K910" s="12"/>
    </row>
    <row r="911" ht="19.5" customHeight="1">
      <c r="A911" s="12"/>
      <c r="C911" s="12"/>
      <c r="D911" s="87"/>
      <c r="F911" s="14"/>
      <c r="G911" s="14"/>
      <c r="H911" s="14"/>
      <c r="I911" s="14"/>
      <c r="J911" s="14"/>
      <c r="K911" s="12"/>
    </row>
    <row r="912" ht="19.5" customHeight="1">
      <c r="A912" s="12"/>
      <c r="C912" s="12"/>
      <c r="D912" s="87"/>
      <c r="F912" s="14"/>
      <c r="G912" s="14"/>
      <c r="H912" s="14"/>
      <c r="I912" s="14"/>
      <c r="J912" s="14"/>
      <c r="K912" s="12"/>
    </row>
    <row r="913" ht="19.5" customHeight="1">
      <c r="A913" s="12"/>
      <c r="C913" s="12"/>
      <c r="D913" s="87"/>
      <c r="F913" s="14"/>
      <c r="G913" s="14"/>
      <c r="H913" s="14"/>
      <c r="I913" s="14"/>
      <c r="J913" s="14"/>
      <c r="K913" s="12"/>
    </row>
    <row r="914" ht="19.5" customHeight="1">
      <c r="A914" s="12"/>
      <c r="C914" s="12"/>
      <c r="D914" s="87"/>
      <c r="F914" s="14"/>
      <c r="G914" s="14"/>
      <c r="H914" s="14"/>
      <c r="I914" s="14"/>
      <c r="J914" s="14"/>
      <c r="K914" s="12"/>
    </row>
    <row r="915" ht="19.5" customHeight="1">
      <c r="A915" s="12"/>
      <c r="C915" s="12"/>
      <c r="D915" s="87"/>
      <c r="F915" s="14"/>
      <c r="G915" s="14"/>
      <c r="H915" s="14"/>
      <c r="I915" s="14"/>
      <c r="J915" s="14"/>
      <c r="K915" s="12"/>
    </row>
    <row r="916" ht="19.5" customHeight="1">
      <c r="A916" s="12"/>
      <c r="C916" s="12"/>
      <c r="D916" s="87"/>
      <c r="F916" s="14"/>
      <c r="G916" s="14"/>
      <c r="H916" s="14"/>
      <c r="I916" s="14"/>
      <c r="J916" s="14"/>
      <c r="K916" s="12"/>
    </row>
    <row r="917" ht="19.5" customHeight="1">
      <c r="A917" s="12"/>
      <c r="C917" s="12"/>
      <c r="D917" s="87"/>
      <c r="F917" s="14"/>
      <c r="G917" s="14"/>
      <c r="H917" s="14"/>
      <c r="I917" s="14"/>
      <c r="J917" s="14"/>
      <c r="K917" s="12"/>
    </row>
    <row r="918" ht="19.5" customHeight="1">
      <c r="A918" s="12"/>
      <c r="C918" s="12"/>
      <c r="D918" s="87"/>
      <c r="F918" s="14"/>
      <c r="G918" s="14"/>
      <c r="H918" s="14"/>
      <c r="I918" s="14"/>
      <c r="J918" s="14"/>
      <c r="K918" s="12"/>
    </row>
    <row r="919" ht="19.5" customHeight="1">
      <c r="A919" s="12"/>
      <c r="C919" s="12"/>
      <c r="D919" s="87"/>
      <c r="F919" s="14"/>
      <c r="G919" s="14"/>
      <c r="H919" s="14"/>
      <c r="I919" s="14"/>
      <c r="J919" s="14"/>
      <c r="K919" s="12"/>
    </row>
    <row r="920" ht="19.5" customHeight="1">
      <c r="A920" s="12"/>
      <c r="C920" s="12"/>
      <c r="D920" s="87"/>
      <c r="F920" s="14"/>
      <c r="G920" s="14"/>
      <c r="H920" s="14"/>
      <c r="I920" s="14"/>
      <c r="J920" s="14"/>
      <c r="K920" s="12"/>
    </row>
    <row r="921" ht="19.5" customHeight="1">
      <c r="A921" s="12"/>
      <c r="C921" s="12"/>
      <c r="D921" s="87"/>
      <c r="F921" s="14"/>
      <c r="G921" s="14"/>
      <c r="H921" s="14"/>
      <c r="I921" s="14"/>
      <c r="J921" s="14"/>
      <c r="K921" s="12"/>
    </row>
    <row r="922" ht="19.5" customHeight="1">
      <c r="A922" s="12"/>
      <c r="C922" s="12"/>
      <c r="D922" s="87"/>
      <c r="F922" s="14"/>
      <c r="G922" s="14"/>
      <c r="H922" s="14"/>
      <c r="I922" s="14"/>
      <c r="J922" s="14"/>
      <c r="K922" s="12"/>
    </row>
    <row r="923" ht="19.5" customHeight="1">
      <c r="A923" s="12"/>
      <c r="C923" s="12"/>
      <c r="D923" s="87"/>
      <c r="F923" s="14"/>
      <c r="G923" s="14"/>
      <c r="H923" s="14"/>
      <c r="I923" s="14"/>
      <c r="J923" s="14"/>
      <c r="K923" s="12"/>
    </row>
    <row r="924" ht="19.5" customHeight="1">
      <c r="A924" s="12"/>
      <c r="C924" s="12"/>
      <c r="D924" s="87"/>
      <c r="F924" s="14"/>
      <c r="G924" s="14"/>
      <c r="H924" s="14"/>
      <c r="I924" s="14"/>
      <c r="J924" s="14"/>
      <c r="K924" s="12"/>
    </row>
    <row r="925" ht="19.5" customHeight="1">
      <c r="A925" s="12"/>
      <c r="C925" s="12"/>
      <c r="D925" s="87"/>
      <c r="F925" s="14"/>
      <c r="G925" s="14"/>
      <c r="H925" s="14"/>
      <c r="I925" s="14"/>
      <c r="J925" s="14"/>
      <c r="K925" s="12"/>
    </row>
    <row r="926" ht="19.5" customHeight="1">
      <c r="A926" s="12"/>
      <c r="C926" s="12"/>
      <c r="D926" s="87"/>
      <c r="F926" s="14"/>
      <c r="G926" s="14"/>
      <c r="H926" s="14"/>
      <c r="I926" s="14"/>
      <c r="J926" s="14"/>
      <c r="K926" s="12"/>
    </row>
    <row r="927" ht="19.5" customHeight="1">
      <c r="A927" s="12"/>
      <c r="C927" s="12"/>
      <c r="D927" s="87"/>
      <c r="F927" s="14"/>
      <c r="G927" s="14"/>
      <c r="H927" s="14"/>
      <c r="I927" s="14"/>
      <c r="J927" s="14"/>
      <c r="K927" s="12"/>
    </row>
    <row r="928" ht="19.5" customHeight="1">
      <c r="A928" s="12"/>
      <c r="C928" s="12"/>
      <c r="D928" s="87"/>
      <c r="F928" s="14"/>
      <c r="G928" s="14"/>
      <c r="H928" s="14"/>
      <c r="I928" s="14"/>
      <c r="J928" s="14"/>
      <c r="K928" s="12"/>
    </row>
    <row r="929" ht="19.5" customHeight="1">
      <c r="A929" s="12"/>
      <c r="C929" s="12"/>
      <c r="D929" s="87"/>
      <c r="F929" s="14"/>
      <c r="G929" s="14"/>
      <c r="H929" s="14"/>
      <c r="I929" s="14"/>
      <c r="J929" s="14"/>
      <c r="K929" s="12"/>
    </row>
    <row r="930" ht="19.5" customHeight="1">
      <c r="A930" s="12"/>
      <c r="C930" s="12"/>
      <c r="D930" s="87"/>
      <c r="F930" s="14"/>
      <c r="G930" s="14"/>
      <c r="H930" s="14"/>
      <c r="I930" s="14"/>
      <c r="J930" s="14"/>
      <c r="K930" s="12"/>
    </row>
    <row r="931" ht="19.5" customHeight="1">
      <c r="A931" s="12"/>
      <c r="C931" s="12"/>
      <c r="D931" s="87"/>
      <c r="F931" s="14"/>
      <c r="G931" s="14"/>
      <c r="H931" s="14"/>
      <c r="I931" s="14"/>
      <c r="J931" s="14"/>
      <c r="K931" s="12"/>
    </row>
    <row r="932" ht="19.5" customHeight="1">
      <c r="A932" s="12"/>
      <c r="C932" s="12"/>
      <c r="D932" s="87"/>
      <c r="F932" s="14"/>
      <c r="G932" s="14"/>
      <c r="H932" s="14"/>
      <c r="I932" s="14"/>
      <c r="J932" s="14"/>
      <c r="K932" s="12"/>
    </row>
    <row r="933" ht="19.5" customHeight="1">
      <c r="A933" s="12"/>
      <c r="C933" s="12"/>
      <c r="D933" s="87"/>
      <c r="F933" s="14"/>
      <c r="G933" s="14"/>
      <c r="H933" s="14"/>
      <c r="I933" s="14"/>
      <c r="J933" s="14"/>
      <c r="K933" s="12"/>
    </row>
    <row r="934" ht="19.5" customHeight="1">
      <c r="A934" s="12"/>
      <c r="C934" s="12"/>
      <c r="D934" s="87"/>
      <c r="F934" s="14"/>
      <c r="G934" s="14"/>
      <c r="H934" s="14"/>
      <c r="I934" s="14"/>
      <c r="J934" s="14"/>
      <c r="K934" s="12"/>
    </row>
    <row r="935" ht="19.5" customHeight="1">
      <c r="A935" s="12"/>
      <c r="C935" s="12"/>
      <c r="D935" s="87"/>
      <c r="F935" s="14"/>
      <c r="G935" s="14"/>
      <c r="H935" s="14"/>
      <c r="I935" s="14"/>
      <c r="J935" s="14"/>
      <c r="K935" s="12"/>
    </row>
    <row r="936" ht="19.5" customHeight="1">
      <c r="A936" s="12"/>
      <c r="C936" s="12"/>
      <c r="D936" s="87"/>
      <c r="F936" s="14"/>
      <c r="G936" s="14"/>
      <c r="H936" s="14"/>
      <c r="I936" s="14"/>
      <c r="J936" s="14"/>
      <c r="K936" s="12"/>
    </row>
    <row r="937" ht="19.5" customHeight="1">
      <c r="A937" s="12"/>
      <c r="C937" s="12"/>
      <c r="D937" s="87"/>
      <c r="F937" s="14"/>
      <c r="G937" s="14"/>
      <c r="H937" s="14"/>
      <c r="I937" s="14"/>
      <c r="J937" s="14"/>
      <c r="K937" s="12"/>
    </row>
    <row r="938" ht="19.5" customHeight="1">
      <c r="A938" s="12"/>
      <c r="C938" s="12"/>
      <c r="D938" s="87"/>
      <c r="F938" s="14"/>
      <c r="G938" s="14"/>
      <c r="H938" s="14"/>
      <c r="I938" s="14"/>
      <c r="J938" s="14"/>
      <c r="K938" s="12"/>
    </row>
    <row r="939" ht="19.5" customHeight="1">
      <c r="A939" s="12"/>
      <c r="C939" s="12"/>
      <c r="D939" s="87"/>
      <c r="F939" s="14"/>
      <c r="G939" s="14"/>
      <c r="H939" s="14"/>
      <c r="I939" s="14"/>
      <c r="J939" s="14"/>
      <c r="K939" s="12"/>
    </row>
    <row r="940" ht="19.5" customHeight="1">
      <c r="A940" s="12"/>
      <c r="C940" s="12"/>
      <c r="D940" s="87"/>
      <c r="F940" s="14"/>
      <c r="G940" s="14"/>
      <c r="H940" s="14"/>
      <c r="I940" s="14"/>
      <c r="J940" s="14"/>
      <c r="K940" s="12"/>
    </row>
    <row r="941" ht="19.5" customHeight="1">
      <c r="A941" s="12"/>
      <c r="C941" s="12"/>
      <c r="D941" s="87"/>
      <c r="F941" s="14"/>
      <c r="G941" s="14"/>
      <c r="H941" s="14"/>
      <c r="I941" s="14"/>
      <c r="J941" s="14"/>
      <c r="K941" s="12"/>
    </row>
    <row r="942" ht="19.5" customHeight="1">
      <c r="A942" s="12"/>
      <c r="C942" s="12"/>
      <c r="D942" s="87"/>
      <c r="F942" s="14"/>
      <c r="G942" s="14"/>
      <c r="H942" s="14"/>
      <c r="I942" s="14"/>
      <c r="J942" s="14"/>
      <c r="K942" s="12"/>
    </row>
    <row r="943" ht="19.5" customHeight="1">
      <c r="A943" s="12"/>
      <c r="C943" s="12"/>
      <c r="D943" s="87"/>
      <c r="F943" s="14"/>
      <c r="G943" s="14"/>
      <c r="H943" s="14"/>
      <c r="I943" s="14"/>
      <c r="J943" s="14"/>
      <c r="K943" s="12"/>
    </row>
    <row r="944" ht="19.5" customHeight="1">
      <c r="A944" s="12"/>
      <c r="C944" s="12"/>
      <c r="D944" s="87"/>
      <c r="F944" s="14"/>
      <c r="G944" s="14"/>
      <c r="H944" s="14"/>
      <c r="I944" s="14"/>
      <c r="J944" s="14"/>
      <c r="K944" s="12"/>
    </row>
    <row r="945" ht="19.5" customHeight="1">
      <c r="A945" s="12"/>
      <c r="C945" s="12"/>
      <c r="D945" s="87"/>
      <c r="F945" s="14"/>
      <c r="G945" s="14"/>
      <c r="H945" s="14"/>
      <c r="I945" s="14"/>
      <c r="J945" s="14"/>
      <c r="K945" s="12"/>
    </row>
    <row r="946" ht="19.5" customHeight="1">
      <c r="A946" s="12"/>
      <c r="C946" s="12"/>
      <c r="D946" s="87"/>
      <c r="F946" s="14"/>
      <c r="G946" s="14"/>
      <c r="H946" s="14"/>
      <c r="I946" s="14"/>
      <c r="J946" s="14"/>
      <c r="K946" s="12"/>
    </row>
    <row r="947" ht="19.5" customHeight="1">
      <c r="A947" s="12"/>
      <c r="C947" s="12"/>
      <c r="D947" s="87"/>
      <c r="F947" s="14"/>
      <c r="G947" s="14"/>
      <c r="H947" s="14"/>
      <c r="I947" s="14"/>
      <c r="J947" s="14"/>
      <c r="K947" s="12"/>
    </row>
    <row r="948" ht="19.5" customHeight="1">
      <c r="A948" s="12"/>
      <c r="C948" s="12"/>
      <c r="D948" s="87"/>
      <c r="F948" s="14"/>
      <c r="G948" s="14"/>
      <c r="H948" s="14"/>
      <c r="I948" s="14"/>
      <c r="J948" s="14"/>
      <c r="K948" s="12"/>
    </row>
    <row r="949" ht="19.5" customHeight="1">
      <c r="A949" s="12"/>
      <c r="C949" s="12"/>
      <c r="D949" s="87"/>
      <c r="F949" s="14"/>
      <c r="G949" s="14"/>
      <c r="H949" s="14"/>
      <c r="I949" s="14"/>
      <c r="J949" s="14"/>
      <c r="K949" s="12"/>
    </row>
    <row r="950" ht="19.5" customHeight="1">
      <c r="A950" s="12"/>
      <c r="C950" s="12"/>
      <c r="D950" s="87"/>
      <c r="F950" s="14"/>
      <c r="G950" s="14"/>
      <c r="H950" s="14"/>
      <c r="I950" s="14"/>
      <c r="J950" s="14"/>
      <c r="K950" s="12"/>
    </row>
    <row r="951" ht="19.5" customHeight="1">
      <c r="A951" s="12"/>
      <c r="C951" s="12"/>
      <c r="D951" s="87"/>
      <c r="F951" s="14"/>
      <c r="G951" s="14"/>
      <c r="H951" s="14"/>
      <c r="I951" s="14"/>
      <c r="J951" s="14"/>
      <c r="K951" s="12"/>
    </row>
    <row r="952" ht="19.5" customHeight="1">
      <c r="A952" s="12"/>
      <c r="C952" s="12"/>
      <c r="D952" s="87"/>
      <c r="F952" s="14"/>
      <c r="G952" s="14"/>
      <c r="H952" s="14"/>
      <c r="I952" s="14"/>
      <c r="J952" s="14"/>
      <c r="K952" s="12"/>
    </row>
    <row r="953" ht="19.5" customHeight="1">
      <c r="A953" s="12"/>
      <c r="C953" s="12"/>
      <c r="D953" s="87"/>
      <c r="F953" s="14"/>
      <c r="G953" s="14"/>
      <c r="H953" s="14"/>
      <c r="I953" s="14"/>
      <c r="J953" s="14"/>
      <c r="K953" s="12"/>
    </row>
    <row r="954" ht="19.5" customHeight="1">
      <c r="A954" s="12"/>
      <c r="C954" s="12"/>
      <c r="D954" s="87"/>
      <c r="F954" s="14"/>
      <c r="G954" s="14"/>
      <c r="H954" s="14"/>
      <c r="I954" s="14"/>
      <c r="J954" s="14"/>
      <c r="K954" s="12"/>
    </row>
    <row r="955" ht="19.5" customHeight="1">
      <c r="A955" s="12"/>
      <c r="C955" s="12"/>
      <c r="D955" s="87"/>
      <c r="F955" s="14"/>
      <c r="G955" s="14"/>
      <c r="H955" s="14"/>
      <c r="I955" s="14"/>
      <c r="J955" s="14"/>
      <c r="K955" s="12"/>
    </row>
    <row r="956" ht="19.5" customHeight="1">
      <c r="A956" s="12"/>
      <c r="C956" s="12"/>
      <c r="D956" s="87"/>
      <c r="F956" s="14"/>
      <c r="G956" s="14"/>
      <c r="H956" s="14"/>
      <c r="I956" s="14"/>
      <c r="J956" s="14"/>
      <c r="K956" s="12"/>
    </row>
    <row r="957" ht="19.5" customHeight="1">
      <c r="A957" s="12"/>
      <c r="C957" s="12"/>
      <c r="D957" s="87"/>
      <c r="F957" s="14"/>
      <c r="G957" s="14"/>
      <c r="H957" s="14"/>
      <c r="I957" s="14"/>
      <c r="J957" s="14"/>
      <c r="K957" s="12"/>
    </row>
    <row r="958" ht="19.5" customHeight="1">
      <c r="A958" s="12"/>
      <c r="C958" s="12"/>
      <c r="D958" s="87"/>
      <c r="F958" s="14"/>
      <c r="G958" s="14"/>
      <c r="H958" s="14"/>
      <c r="I958" s="14"/>
      <c r="J958" s="14"/>
      <c r="K958" s="12"/>
    </row>
    <row r="959" ht="19.5" customHeight="1">
      <c r="A959" s="12"/>
      <c r="C959" s="12"/>
      <c r="D959" s="87"/>
      <c r="F959" s="14"/>
      <c r="G959" s="14"/>
      <c r="H959" s="14"/>
      <c r="I959" s="14"/>
      <c r="J959" s="14"/>
      <c r="K959" s="12"/>
    </row>
    <row r="960" ht="19.5" customHeight="1">
      <c r="A960" s="12"/>
      <c r="C960" s="12"/>
      <c r="D960" s="87"/>
      <c r="F960" s="14"/>
      <c r="G960" s="14"/>
      <c r="H960" s="14"/>
      <c r="I960" s="14"/>
      <c r="J960" s="14"/>
      <c r="K960" s="12"/>
    </row>
    <row r="961" ht="19.5" customHeight="1">
      <c r="A961" s="12"/>
      <c r="C961" s="12"/>
      <c r="D961" s="87"/>
      <c r="F961" s="14"/>
      <c r="G961" s="14"/>
      <c r="H961" s="14"/>
      <c r="I961" s="14"/>
      <c r="J961" s="14"/>
      <c r="K961" s="12"/>
    </row>
    <row r="962" ht="19.5" customHeight="1">
      <c r="A962" s="12"/>
      <c r="C962" s="12"/>
      <c r="D962" s="87"/>
      <c r="F962" s="14"/>
      <c r="G962" s="14"/>
      <c r="H962" s="14"/>
      <c r="I962" s="14"/>
      <c r="J962" s="14"/>
      <c r="K962" s="12"/>
    </row>
    <row r="963" ht="19.5" customHeight="1">
      <c r="A963" s="12"/>
      <c r="C963" s="12"/>
      <c r="D963" s="87"/>
      <c r="F963" s="14"/>
      <c r="G963" s="14"/>
      <c r="H963" s="14"/>
      <c r="I963" s="14"/>
      <c r="J963" s="14"/>
      <c r="K963" s="12"/>
    </row>
    <row r="964" ht="19.5" customHeight="1">
      <c r="A964" s="12"/>
      <c r="C964" s="12"/>
      <c r="D964" s="87"/>
      <c r="F964" s="14"/>
      <c r="G964" s="14"/>
      <c r="H964" s="14"/>
      <c r="I964" s="14"/>
      <c r="J964" s="14"/>
      <c r="K964" s="12"/>
    </row>
    <row r="965" ht="19.5" customHeight="1">
      <c r="A965" s="12"/>
      <c r="C965" s="12"/>
      <c r="D965" s="87"/>
      <c r="F965" s="14"/>
      <c r="G965" s="14"/>
      <c r="H965" s="14"/>
      <c r="I965" s="14"/>
      <c r="J965" s="14"/>
      <c r="K965" s="12"/>
    </row>
    <row r="966" ht="19.5" customHeight="1">
      <c r="A966" s="12"/>
      <c r="C966" s="12"/>
      <c r="D966" s="87"/>
      <c r="F966" s="14"/>
      <c r="G966" s="14"/>
      <c r="H966" s="14"/>
      <c r="I966" s="14"/>
      <c r="J966" s="14"/>
      <c r="K966" s="12"/>
    </row>
    <row r="967" ht="19.5" customHeight="1">
      <c r="A967" s="12"/>
      <c r="C967" s="12"/>
      <c r="D967" s="87"/>
      <c r="F967" s="14"/>
      <c r="G967" s="14"/>
      <c r="H967" s="14"/>
      <c r="I967" s="14"/>
      <c r="J967" s="14"/>
      <c r="K967" s="12"/>
    </row>
    <row r="968" ht="19.5" customHeight="1">
      <c r="A968" s="12"/>
      <c r="C968" s="12"/>
      <c r="D968" s="87"/>
      <c r="F968" s="14"/>
      <c r="G968" s="14"/>
      <c r="H968" s="14"/>
      <c r="I968" s="14"/>
      <c r="J968" s="14"/>
      <c r="K968" s="12"/>
    </row>
    <row r="969" ht="19.5" customHeight="1">
      <c r="A969" s="12"/>
      <c r="C969" s="12"/>
      <c r="D969" s="87"/>
      <c r="F969" s="14"/>
      <c r="G969" s="14"/>
      <c r="H969" s="14"/>
      <c r="I969" s="14"/>
      <c r="J969" s="14"/>
      <c r="K969" s="12"/>
    </row>
    <row r="970" ht="19.5" customHeight="1">
      <c r="A970" s="12"/>
      <c r="C970" s="12"/>
      <c r="D970" s="87"/>
      <c r="F970" s="14"/>
      <c r="G970" s="14"/>
      <c r="H970" s="14"/>
      <c r="I970" s="14"/>
      <c r="J970" s="14"/>
      <c r="K970" s="12"/>
    </row>
    <row r="971" ht="19.5" customHeight="1">
      <c r="A971" s="12"/>
      <c r="C971" s="12"/>
      <c r="D971" s="87"/>
      <c r="F971" s="14"/>
      <c r="G971" s="14"/>
      <c r="H971" s="14"/>
      <c r="I971" s="14"/>
      <c r="J971" s="14"/>
      <c r="K971" s="12"/>
    </row>
    <row r="972" ht="19.5" customHeight="1">
      <c r="A972" s="12"/>
      <c r="C972" s="12"/>
      <c r="D972" s="87"/>
      <c r="F972" s="14"/>
      <c r="G972" s="14"/>
      <c r="H972" s="14"/>
      <c r="I972" s="14"/>
      <c r="J972" s="14"/>
      <c r="K972" s="12"/>
    </row>
    <row r="973" ht="19.5" customHeight="1">
      <c r="A973" s="12"/>
      <c r="C973" s="12"/>
      <c r="D973" s="87"/>
      <c r="F973" s="14"/>
      <c r="G973" s="14"/>
      <c r="H973" s="14"/>
      <c r="I973" s="14"/>
      <c r="J973" s="14"/>
      <c r="K973" s="12"/>
    </row>
    <row r="974" ht="19.5" customHeight="1">
      <c r="A974" s="12"/>
      <c r="C974" s="12"/>
      <c r="D974" s="87"/>
      <c r="F974" s="14"/>
      <c r="G974" s="14"/>
      <c r="H974" s="14"/>
      <c r="I974" s="14"/>
      <c r="J974" s="14"/>
      <c r="K974" s="12"/>
    </row>
    <row r="975" ht="19.5" customHeight="1">
      <c r="A975" s="12"/>
      <c r="C975" s="12"/>
      <c r="D975" s="87"/>
      <c r="F975" s="14"/>
      <c r="G975" s="14"/>
      <c r="H975" s="14"/>
      <c r="I975" s="14"/>
      <c r="J975" s="14"/>
      <c r="K975" s="12"/>
    </row>
    <row r="976" ht="19.5" customHeight="1">
      <c r="A976" s="12"/>
      <c r="C976" s="12"/>
      <c r="D976" s="87"/>
      <c r="F976" s="14"/>
      <c r="G976" s="14"/>
      <c r="H976" s="14"/>
      <c r="I976" s="14"/>
      <c r="J976" s="14"/>
      <c r="K976" s="12"/>
    </row>
    <row r="977" ht="19.5" customHeight="1">
      <c r="A977" s="12"/>
      <c r="C977" s="12"/>
      <c r="D977" s="87"/>
      <c r="F977" s="14"/>
      <c r="G977" s="14"/>
      <c r="H977" s="14"/>
      <c r="I977" s="14"/>
      <c r="J977" s="14"/>
      <c r="K977" s="12"/>
    </row>
    <row r="978" ht="19.5" customHeight="1">
      <c r="A978" s="12"/>
      <c r="C978" s="12"/>
      <c r="D978" s="87"/>
      <c r="F978" s="14"/>
      <c r="G978" s="14"/>
      <c r="H978" s="14"/>
      <c r="I978" s="14"/>
      <c r="J978" s="14"/>
      <c r="K978" s="12"/>
    </row>
    <row r="979" ht="19.5" customHeight="1">
      <c r="A979" s="12"/>
      <c r="C979" s="12"/>
      <c r="D979" s="87"/>
      <c r="F979" s="14"/>
      <c r="G979" s="14"/>
      <c r="H979" s="14"/>
      <c r="I979" s="14"/>
      <c r="J979" s="14"/>
      <c r="K979" s="12"/>
    </row>
    <row r="980" ht="19.5" customHeight="1">
      <c r="A980" s="12"/>
      <c r="C980" s="12"/>
      <c r="D980" s="87"/>
      <c r="F980" s="14"/>
      <c r="G980" s="14"/>
      <c r="H980" s="14"/>
      <c r="I980" s="14"/>
      <c r="J980" s="14"/>
      <c r="K980" s="12"/>
    </row>
    <row r="981" ht="19.5" customHeight="1">
      <c r="A981" s="12"/>
      <c r="C981" s="12"/>
      <c r="D981" s="87"/>
      <c r="F981" s="14"/>
      <c r="G981" s="14"/>
      <c r="H981" s="14"/>
      <c r="I981" s="14"/>
      <c r="J981" s="14"/>
      <c r="K981" s="12"/>
    </row>
    <row r="982" ht="19.5" customHeight="1">
      <c r="A982" s="12"/>
      <c r="C982" s="12"/>
      <c r="D982" s="87"/>
      <c r="F982" s="14"/>
      <c r="G982" s="14"/>
      <c r="H982" s="14"/>
      <c r="I982" s="14"/>
      <c r="J982" s="14"/>
      <c r="K982" s="12"/>
    </row>
    <row r="983" ht="19.5" customHeight="1">
      <c r="A983" s="12"/>
      <c r="C983" s="12"/>
      <c r="D983" s="87"/>
      <c r="F983" s="14"/>
      <c r="G983" s="14"/>
      <c r="H983" s="14"/>
      <c r="I983" s="14"/>
      <c r="J983" s="14"/>
      <c r="K983" s="12"/>
    </row>
    <row r="984" ht="19.5" customHeight="1">
      <c r="A984" s="12"/>
      <c r="C984" s="12"/>
      <c r="D984" s="87"/>
      <c r="F984" s="14"/>
      <c r="G984" s="14"/>
      <c r="H984" s="14"/>
      <c r="I984" s="14"/>
      <c r="J984" s="14"/>
      <c r="K984" s="12"/>
    </row>
    <row r="985" ht="19.5" customHeight="1">
      <c r="A985" s="12"/>
      <c r="C985" s="12"/>
      <c r="D985" s="87"/>
      <c r="F985" s="14"/>
      <c r="G985" s="14"/>
      <c r="H985" s="14"/>
      <c r="I985" s="14"/>
      <c r="J985" s="14"/>
      <c r="K985" s="12"/>
    </row>
    <row r="986" ht="19.5" customHeight="1">
      <c r="A986" s="12"/>
      <c r="C986" s="12"/>
      <c r="D986" s="87"/>
      <c r="F986" s="14"/>
      <c r="G986" s="14"/>
      <c r="H986" s="14"/>
      <c r="I986" s="14"/>
      <c r="J986" s="14"/>
      <c r="K986" s="12"/>
    </row>
    <row r="987" ht="19.5" customHeight="1">
      <c r="A987" s="12"/>
      <c r="C987" s="12"/>
      <c r="D987" s="87"/>
      <c r="F987" s="14"/>
      <c r="G987" s="14"/>
      <c r="H987" s="14"/>
      <c r="I987" s="14"/>
      <c r="J987" s="14"/>
      <c r="K987" s="12"/>
    </row>
    <row r="988" ht="19.5" customHeight="1">
      <c r="A988" s="12"/>
      <c r="C988" s="12"/>
      <c r="D988" s="87"/>
      <c r="F988" s="14"/>
      <c r="G988" s="14"/>
      <c r="H988" s="14"/>
      <c r="I988" s="14"/>
      <c r="J988" s="14"/>
      <c r="K988" s="12"/>
    </row>
    <row r="989" ht="19.5" customHeight="1">
      <c r="A989" s="12"/>
      <c r="C989" s="12"/>
      <c r="D989" s="87"/>
      <c r="F989" s="14"/>
      <c r="G989" s="14"/>
      <c r="H989" s="14"/>
      <c r="I989" s="14"/>
      <c r="J989" s="14"/>
      <c r="K989" s="12"/>
    </row>
    <row r="990" ht="19.5" customHeight="1">
      <c r="A990" s="12"/>
      <c r="C990" s="12"/>
      <c r="D990" s="87"/>
      <c r="F990" s="14"/>
      <c r="G990" s="14"/>
      <c r="H990" s="14"/>
      <c r="I990" s="14"/>
      <c r="J990" s="14"/>
      <c r="K990" s="12"/>
    </row>
    <row r="991" ht="19.5" customHeight="1">
      <c r="A991" s="12"/>
      <c r="C991" s="12"/>
      <c r="D991" s="87"/>
      <c r="F991" s="14"/>
      <c r="G991" s="14"/>
      <c r="H991" s="14"/>
      <c r="I991" s="14"/>
      <c r="J991" s="14"/>
      <c r="K991" s="12"/>
    </row>
    <row r="992" ht="19.5" customHeight="1">
      <c r="A992" s="12"/>
      <c r="C992" s="12"/>
      <c r="D992" s="87"/>
      <c r="F992" s="14"/>
      <c r="G992" s="14"/>
      <c r="H992" s="14"/>
      <c r="I992" s="14"/>
      <c r="J992" s="14"/>
      <c r="K992" s="12"/>
    </row>
    <row r="993" ht="19.5" customHeight="1">
      <c r="A993" s="12"/>
      <c r="C993" s="12"/>
      <c r="D993" s="87"/>
      <c r="F993" s="14"/>
      <c r="G993" s="14"/>
      <c r="H993" s="14"/>
      <c r="I993" s="14"/>
      <c r="J993" s="14"/>
      <c r="K993" s="12"/>
    </row>
    <row r="994" ht="19.5" customHeight="1">
      <c r="A994" s="12"/>
      <c r="C994" s="12"/>
      <c r="D994" s="87"/>
      <c r="F994" s="14"/>
      <c r="G994" s="14"/>
      <c r="H994" s="14"/>
      <c r="I994" s="14"/>
      <c r="J994" s="14"/>
      <c r="K994" s="12"/>
    </row>
    <row r="995" ht="19.5" customHeight="1">
      <c r="A995" s="12"/>
      <c r="C995" s="12"/>
      <c r="D995" s="87"/>
      <c r="F995" s="14"/>
      <c r="G995" s="14"/>
      <c r="H995" s="14"/>
      <c r="I995" s="14"/>
      <c r="J995" s="14"/>
      <c r="K995" s="12"/>
    </row>
    <row r="996" ht="19.5" customHeight="1">
      <c r="A996" s="12"/>
      <c r="C996" s="12"/>
      <c r="D996" s="87"/>
      <c r="F996" s="14"/>
      <c r="G996" s="14"/>
      <c r="H996" s="14"/>
      <c r="I996" s="14"/>
      <c r="J996" s="14"/>
      <c r="K996" s="12"/>
    </row>
    <row r="997" ht="19.5" customHeight="1">
      <c r="A997" s="12"/>
      <c r="C997" s="12"/>
      <c r="D997" s="87"/>
      <c r="F997" s="14"/>
      <c r="G997" s="14"/>
      <c r="H997" s="14"/>
      <c r="I997" s="14"/>
      <c r="J997" s="14"/>
      <c r="K997" s="12"/>
    </row>
    <row r="998" ht="19.5" customHeight="1">
      <c r="A998" s="12"/>
      <c r="C998" s="12"/>
      <c r="D998" s="87"/>
      <c r="F998" s="14"/>
      <c r="G998" s="14"/>
      <c r="H998" s="14"/>
      <c r="I998" s="14"/>
      <c r="J998" s="14"/>
      <c r="K998" s="12"/>
    </row>
    <row r="999" ht="19.5" customHeight="1">
      <c r="A999" s="12"/>
      <c r="C999" s="12"/>
      <c r="D999" s="87"/>
      <c r="F999" s="14"/>
      <c r="G999" s="14"/>
      <c r="H999" s="14"/>
      <c r="I999" s="14"/>
      <c r="J999" s="14"/>
      <c r="K999" s="12"/>
    </row>
    <row r="1000" ht="19.5" customHeight="1">
      <c r="A1000" s="12"/>
      <c r="C1000" s="12"/>
      <c r="D1000" s="87"/>
      <c r="F1000" s="14"/>
      <c r="G1000" s="14"/>
      <c r="H1000" s="14"/>
      <c r="I1000" s="14"/>
      <c r="J1000" s="14"/>
      <c r="K1000" s="12"/>
    </row>
    <row r="1001" ht="19.5" customHeight="1">
      <c r="A1001" s="12"/>
      <c r="C1001" s="12"/>
      <c r="D1001" s="87"/>
      <c r="F1001" s="14"/>
      <c r="G1001" s="14"/>
      <c r="H1001" s="14"/>
      <c r="I1001" s="14"/>
      <c r="J1001" s="14"/>
      <c r="K1001" s="12"/>
    </row>
    <row r="1002" ht="19.5" customHeight="1">
      <c r="A1002" s="12"/>
      <c r="C1002" s="12"/>
      <c r="D1002" s="87"/>
      <c r="F1002" s="14"/>
      <c r="G1002" s="14"/>
      <c r="H1002" s="14"/>
      <c r="I1002" s="14"/>
      <c r="J1002" s="14"/>
      <c r="K1002" s="12"/>
    </row>
    <row r="1003" ht="19.5" customHeight="1">
      <c r="A1003" s="12"/>
      <c r="C1003" s="12"/>
      <c r="D1003" s="87"/>
      <c r="F1003" s="14"/>
      <c r="G1003" s="14"/>
      <c r="H1003" s="14"/>
      <c r="I1003" s="14"/>
      <c r="J1003" s="14"/>
      <c r="K1003" s="12"/>
    </row>
    <row r="1004" ht="19.5" customHeight="1">
      <c r="A1004" s="12"/>
      <c r="C1004" s="12"/>
      <c r="D1004" s="87"/>
      <c r="F1004" s="14"/>
      <c r="G1004" s="14"/>
      <c r="H1004" s="14"/>
      <c r="I1004" s="14"/>
      <c r="J1004" s="14"/>
      <c r="K1004" s="12"/>
    </row>
    <row r="1005" ht="19.5" customHeight="1">
      <c r="A1005" s="12"/>
      <c r="C1005" s="12"/>
      <c r="D1005" s="87"/>
      <c r="F1005" s="14"/>
      <c r="G1005" s="14"/>
      <c r="H1005" s="14"/>
      <c r="I1005" s="14"/>
      <c r="J1005" s="14"/>
      <c r="K1005" s="12"/>
    </row>
    <row r="1006" ht="19.5" customHeight="1">
      <c r="A1006" s="12"/>
      <c r="C1006" s="12"/>
      <c r="D1006" s="87"/>
      <c r="F1006" s="14"/>
      <c r="G1006" s="14"/>
      <c r="H1006" s="14"/>
      <c r="I1006" s="14"/>
      <c r="J1006" s="14"/>
      <c r="K1006" s="12"/>
    </row>
    <row r="1007" ht="19.5" customHeight="1">
      <c r="A1007" s="12"/>
      <c r="C1007" s="12"/>
      <c r="D1007" s="87"/>
      <c r="F1007" s="14"/>
      <c r="G1007" s="14"/>
      <c r="H1007" s="14"/>
      <c r="I1007" s="14"/>
      <c r="J1007" s="14"/>
      <c r="K1007" s="12"/>
    </row>
    <row r="1008" ht="19.5" customHeight="1">
      <c r="A1008" s="12"/>
      <c r="C1008" s="12"/>
      <c r="D1008" s="87"/>
      <c r="F1008" s="14"/>
      <c r="G1008" s="14"/>
      <c r="H1008" s="14"/>
      <c r="I1008" s="14"/>
      <c r="J1008" s="14"/>
      <c r="K1008" s="12"/>
    </row>
    <row r="1009" ht="19.5" customHeight="1">
      <c r="A1009" s="12"/>
      <c r="C1009" s="12"/>
      <c r="D1009" s="87"/>
      <c r="F1009" s="14"/>
      <c r="G1009" s="14"/>
      <c r="H1009" s="14"/>
      <c r="I1009" s="14"/>
      <c r="J1009" s="14"/>
      <c r="K1009" s="12"/>
    </row>
    <row r="1010" ht="19.5" customHeight="1">
      <c r="A1010" s="12"/>
      <c r="C1010" s="12"/>
      <c r="D1010" s="87"/>
      <c r="F1010" s="14"/>
      <c r="G1010" s="14"/>
      <c r="H1010" s="14"/>
      <c r="I1010" s="14"/>
      <c r="J1010" s="14"/>
      <c r="K1010" s="12"/>
    </row>
    <row r="1011" ht="19.5" customHeight="1">
      <c r="A1011" s="12"/>
      <c r="C1011" s="12"/>
      <c r="D1011" s="87"/>
      <c r="F1011" s="14"/>
      <c r="G1011" s="14"/>
      <c r="H1011" s="14"/>
      <c r="I1011" s="14"/>
      <c r="J1011" s="14"/>
      <c r="K1011" s="12"/>
    </row>
    <row r="1012" ht="19.5" customHeight="1">
      <c r="A1012" s="12"/>
      <c r="C1012" s="12"/>
      <c r="D1012" s="87"/>
      <c r="F1012" s="14"/>
      <c r="G1012" s="14"/>
      <c r="H1012" s="14"/>
      <c r="I1012" s="14"/>
      <c r="J1012" s="14"/>
      <c r="K1012" s="12"/>
    </row>
    <row r="1013" ht="19.5" customHeight="1">
      <c r="A1013" s="12"/>
      <c r="C1013" s="12"/>
      <c r="D1013" s="87"/>
      <c r="F1013" s="14"/>
      <c r="G1013" s="14"/>
      <c r="H1013" s="14"/>
      <c r="I1013" s="14"/>
      <c r="J1013" s="14"/>
      <c r="K1013" s="12"/>
    </row>
    <row r="1014" ht="19.5" customHeight="1">
      <c r="A1014" s="12"/>
      <c r="C1014" s="12"/>
      <c r="D1014" s="87"/>
      <c r="F1014" s="14"/>
      <c r="G1014" s="14"/>
      <c r="H1014" s="14"/>
      <c r="I1014" s="14"/>
      <c r="J1014" s="14"/>
      <c r="K1014" s="12"/>
    </row>
    <row r="1015" ht="19.5" customHeight="1">
      <c r="A1015" s="12"/>
      <c r="C1015" s="12"/>
      <c r="D1015" s="87"/>
      <c r="F1015" s="14"/>
      <c r="G1015" s="14"/>
      <c r="H1015" s="14"/>
      <c r="I1015" s="14"/>
      <c r="J1015" s="14"/>
      <c r="K1015" s="12"/>
    </row>
    <row r="1016" ht="19.5" customHeight="1">
      <c r="A1016" s="12"/>
      <c r="C1016" s="12"/>
      <c r="D1016" s="87"/>
      <c r="F1016" s="14"/>
      <c r="G1016" s="14"/>
      <c r="H1016" s="14"/>
      <c r="I1016" s="14"/>
      <c r="J1016" s="14"/>
      <c r="K1016" s="12"/>
    </row>
    <row r="1017" ht="19.5" customHeight="1">
      <c r="A1017" s="12"/>
      <c r="C1017" s="12"/>
      <c r="D1017" s="87"/>
      <c r="F1017" s="14"/>
      <c r="G1017" s="14"/>
      <c r="H1017" s="14"/>
      <c r="I1017" s="14"/>
      <c r="J1017" s="14"/>
      <c r="K1017" s="12"/>
    </row>
    <row r="1018" ht="19.5" customHeight="1">
      <c r="A1018" s="12"/>
      <c r="C1018" s="12"/>
      <c r="D1018" s="87"/>
      <c r="F1018" s="14"/>
      <c r="G1018" s="14"/>
      <c r="H1018" s="14"/>
      <c r="I1018" s="14"/>
      <c r="J1018" s="14"/>
      <c r="K1018" s="12"/>
    </row>
    <row r="1019" ht="19.5" customHeight="1">
      <c r="A1019" s="12"/>
      <c r="C1019" s="12"/>
      <c r="D1019" s="87"/>
      <c r="F1019" s="14"/>
      <c r="G1019" s="14"/>
      <c r="H1019" s="14"/>
      <c r="I1019" s="14"/>
      <c r="J1019" s="14"/>
      <c r="K1019" s="12"/>
    </row>
    <row r="1020" ht="19.5" customHeight="1">
      <c r="A1020" s="12"/>
      <c r="C1020" s="12"/>
      <c r="D1020" s="87"/>
      <c r="F1020" s="14"/>
      <c r="G1020" s="14"/>
      <c r="H1020" s="14"/>
      <c r="I1020" s="14"/>
      <c r="J1020" s="14"/>
      <c r="K1020" s="12"/>
    </row>
    <row r="1021" ht="19.5" customHeight="1">
      <c r="A1021" s="12"/>
      <c r="C1021" s="12"/>
      <c r="D1021" s="87"/>
      <c r="F1021" s="14"/>
      <c r="G1021" s="14"/>
      <c r="H1021" s="14"/>
      <c r="I1021" s="14"/>
      <c r="J1021" s="14"/>
      <c r="K1021" s="12"/>
    </row>
    <row r="1022" ht="19.5" customHeight="1">
      <c r="A1022" s="12"/>
      <c r="C1022" s="12"/>
      <c r="D1022" s="87"/>
      <c r="F1022" s="14"/>
      <c r="G1022" s="14"/>
      <c r="H1022" s="14"/>
      <c r="I1022" s="14"/>
      <c r="J1022" s="14"/>
      <c r="K1022" s="12"/>
    </row>
    <row r="1023" ht="19.5" customHeight="1">
      <c r="A1023" s="12"/>
      <c r="C1023" s="12"/>
      <c r="D1023" s="87"/>
      <c r="F1023" s="14"/>
      <c r="G1023" s="14"/>
      <c r="H1023" s="14"/>
      <c r="I1023" s="14"/>
      <c r="J1023" s="14"/>
      <c r="K1023" s="12"/>
    </row>
    <row r="1024" ht="19.5" customHeight="1">
      <c r="A1024" s="12"/>
      <c r="C1024" s="12"/>
      <c r="D1024" s="87"/>
      <c r="F1024" s="14"/>
      <c r="G1024" s="14"/>
      <c r="H1024" s="14"/>
      <c r="I1024" s="14"/>
      <c r="J1024" s="14"/>
      <c r="K1024" s="12"/>
    </row>
    <row r="1025" ht="19.5" customHeight="1">
      <c r="A1025" s="12"/>
      <c r="C1025" s="12"/>
      <c r="D1025" s="87"/>
      <c r="F1025" s="14"/>
      <c r="G1025" s="14"/>
      <c r="H1025" s="14"/>
      <c r="I1025" s="14"/>
      <c r="J1025" s="14"/>
      <c r="K1025" s="12"/>
    </row>
    <row r="1026" ht="19.5" customHeight="1">
      <c r="A1026" s="12"/>
      <c r="C1026" s="12"/>
      <c r="D1026" s="87"/>
      <c r="F1026" s="14"/>
      <c r="G1026" s="14"/>
      <c r="H1026" s="14"/>
      <c r="I1026" s="14"/>
      <c r="J1026" s="14"/>
      <c r="K1026" s="12"/>
    </row>
    <row r="1027" ht="19.5" customHeight="1">
      <c r="A1027" s="12"/>
      <c r="C1027" s="12"/>
      <c r="D1027" s="87"/>
      <c r="F1027" s="14"/>
      <c r="G1027" s="14"/>
      <c r="H1027" s="14"/>
      <c r="I1027" s="14"/>
      <c r="J1027" s="14"/>
      <c r="K1027" s="12"/>
    </row>
    <row r="1028" ht="19.5" customHeight="1">
      <c r="A1028" s="12"/>
      <c r="C1028" s="12"/>
      <c r="D1028" s="87"/>
      <c r="F1028" s="14"/>
      <c r="G1028" s="14"/>
      <c r="H1028" s="14"/>
      <c r="I1028" s="14"/>
      <c r="J1028" s="14"/>
      <c r="K1028" s="12"/>
    </row>
    <row r="1029" ht="19.5" customHeight="1">
      <c r="A1029" s="12"/>
      <c r="C1029" s="12"/>
      <c r="D1029" s="87"/>
      <c r="F1029" s="14"/>
      <c r="G1029" s="14"/>
      <c r="H1029" s="14"/>
      <c r="I1029" s="14"/>
      <c r="J1029" s="14"/>
      <c r="K1029" s="12"/>
    </row>
    <row r="1030" ht="19.5" customHeight="1">
      <c r="A1030" s="12"/>
      <c r="C1030" s="12"/>
      <c r="D1030" s="87"/>
      <c r="F1030" s="14"/>
      <c r="G1030" s="14"/>
      <c r="H1030" s="14"/>
      <c r="I1030" s="14"/>
      <c r="J1030" s="14"/>
      <c r="K1030" s="12"/>
    </row>
    <row r="1031" ht="19.5" customHeight="1">
      <c r="A1031" s="12"/>
      <c r="C1031" s="12"/>
      <c r="D1031" s="87"/>
      <c r="F1031" s="14"/>
      <c r="G1031" s="14"/>
      <c r="H1031" s="14"/>
      <c r="I1031" s="14"/>
      <c r="J1031" s="14"/>
      <c r="K1031" s="12"/>
    </row>
    <row r="1032" ht="19.5" customHeight="1">
      <c r="A1032" s="12"/>
      <c r="C1032" s="12"/>
      <c r="D1032" s="87"/>
      <c r="F1032" s="14"/>
      <c r="G1032" s="14"/>
      <c r="H1032" s="14"/>
      <c r="I1032" s="14"/>
      <c r="J1032" s="14"/>
      <c r="K1032" s="12"/>
    </row>
    <row r="1033" ht="19.5" customHeight="1">
      <c r="A1033" s="12"/>
      <c r="C1033" s="12"/>
      <c r="D1033" s="87"/>
      <c r="F1033" s="14"/>
      <c r="G1033" s="14"/>
      <c r="H1033" s="14"/>
      <c r="I1033" s="14"/>
      <c r="J1033" s="14"/>
      <c r="K1033" s="12"/>
    </row>
    <row r="1034" ht="19.5" customHeight="1">
      <c r="A1034" s="12"/>
      <c r="C1034" s="12"/>
      <c r="D1034" s="87"/>
      <c r="F1034" s="14"/>
      <c r="G1034" s="14"/>
      <c r="H1034" s="14"/>
      <c r="I1034" s="14"/>
      <c r="J1034" s="14"/>
      <c r="K1034" s="12"/>
    </row>
    <row r="1035" ht="19.5" customHeight="1">
      <c r="A1035" s="12"/>
      <c r="C1035" s="12"/>
      <c r="D1035" s="87"/>
      <c r="F1035" s="14"/>
      <c r="G1035" s="14"/>
      <c r="H1035" s="14"/>
      <c r="I1035" s="14"/>
      <c r="J1035" s="14"/>
      <c r="K1035" s="12"/>
    </row>
    <row r="1036" ht="19.5" customHeight="1">
      <c r="A1036" s="12"/>
      <c r="C1036" s="12"/>
      <c r="D1036" s="87"/>
      <c r="F1036" s="14"/>
      <c r="G1036" s="14"/>
      <c r="H1036" s="14"/>
      <c r="I1036" s="14"/>
      <c r="J1036" s="14"/>
      <c r="K1036" s="12"/>
    </row>
    <row r="1037" ht="19.5" customHeight="1">
      <c r="A1037" s="12"/>
      <c r="C1037" s="12"/>
      <c r="D1037" s="87"/>
      <c r="F1037" s="14"/>
      <c r="G1037" s="14"/>
      <c r="H1037" s="14"/>
      <c r="I1037" s="14"/>
      <c r="J1037" s="14"/>
      <c r="K1037" s="12"/>
    </row>
    <row r="1038" ht="19.5" customHeight="1">
      <c r="A1038" s="12"/>
      <c r="C1038" s="12"/>
      <c r="D1038" s="87"/>
      <c r="F1038" s="14"/>
      <c r="G1038" s="14"/>
      <c r="H1038" s="14"/>
      <c r="I1038" s="14"/>
      <c r="J1038" s="14"/>
      <c r="K1038" s="12"/>
    </row>
    <row r="1039" ht="19.5" customHeight="1">
      <c r="A1039" s="12"/>
      <c r="C1039" s="12"/>
      <c r="D1039" s="87"/>
      <c r="F1039" s="14"/>
      <c r="G1039" s="14"/>
      <c r="H1039" s="14"/>
      <c r="I1039" s="14"/>
      <c r="J1039" s="14"/>
      <c r="K1039" s="12"/>
    </row>
    <row r="1040" ht="19.5" customHeight="1">
      <c r="A1040" s="12"/>
      <c r="C1040" s="12"/>
      <c r="D1040" s="87"/>
      <c r="F1040" s="14"/>
      <c r="G1040" s="14"/>
      <c r="H1040" s="14"/>
      <c r="I1040" s="14"/>
      <c r="J1040" s="14"/>
      <c r="K1040" s="12"/>
    </row>
    <row r="1041" ht="19.5" customHeight="1">
      <c r="A1041" s="12"/>
      <c r="C1041" s="12"/>
      <c r="D1041" s="87"/>
      <c r="F1041" s="14"/>
      <c r="G1041" s="14"/>
      <c r="H1041" s="14"/>
      <c r="I1041" s="14"/>
      <c r="J1041" s="14"/>
      <c r="K1041" s="12"/>
    </row>
    <row r="1042" ht="19.5" customHeight="1">
      <c r="A1042" s="12"/>
      <c r="C1042" s="12"/>
      <c r="D1042" s="87"/>
      <c r="F1042" s="14"/>
      <c r="G1042" s="14"/>
      <c r="H1042" s="14"/>
      <c r="I1042" s="14"/>
      <c r="J1042" s="14"/>
      <c r="K1042" s="12"/>
    </row>
    <row r="1043" ht="19.5" customHeight="1">
      <c r="A1043" s="12"/>
      <c r="C1043" s="12"/>
      <c r="D1043" s="87"/>
      <c r="F1043" s="14"/>
      <c r="G1043" s="14"/>
      <c r="H1043" s="14"/>
      <c r="I1043" s="14"/>
      <c r="J1043" s="14"/>
      <c r="K1043" s="12"/>
    </row>
    <row r="1044" ht="19.5" customHeight="1">
      <c r="A1044" s="12"/>
      <c r="C1044" s="12"/>
      <c r="D1044" s="87"/>
      <c r="F1044" s="14"/>
      <c r="G1044" s="14"/>
      <c r="H1044" s="14"/>
      <c r="I1044" s="14"/>
      <c r="J1044" s="14"/>
      <c r="K1044" s="12"/>
    </row>
    <row r="1045" ht="19.5" customHeight="1">
      <c r="A1045" s="12"/>
      <c r="C1045" s="12"/>
      <c r="D1045" s="87"/>
      <c r="F1045" s="14"/>
      <c r="G1045" s="14"/>
      <c r="H1045" s="14"/>
      <c r="I1045" s="14"/>
      <c r="J1045" s="14"/>
      <c r="K1045" s="12"/>
    </row>
    <row r="1046" ht="19.5" customHeight="1">
      <c r="A1046" s="12"/>
      <c r="C1046" s="12"/>
      <c r="D1046" s="87"/>
      <c r="F1046" s="14"/>
      <c r="G1046" s="14"/>
      <c r="H1046" s="14"/>
      <c r="I1046" s="14"/>
      <c r="J1046" s="14"/>
      <c r="K1046" s="12"/>
    </row>
    <row r="1047" ht="19.5" customHeight="1">
      <c r="A1047" s="12"/>
      <c r="C1047" s="12"/>
      <c r="D1047" s="87"/>
      <c r="F1047" s="14"/>
      <c r="G1047" s="14"/>
      <c r="H1047" s="14"/>
      <c r="I1047" s="14"/>
      <c r="J1047" s="14"/>
      <c r="K1047" s="12"/>
    </row>
    <row r="1048" ht="19.5" customHeight="1">
      <c r="A1048" s="12"/>
      <c r="C1048" s="12"/>
      <c r="D1048" s="87"/>
      <c r="F1048" s="14"/>
      <c r="G1048" s="14"/>
      <c r="H1048" s="14"/>
      <c r="I1048" s="14"/>
      <c r="J1048" s="14"/>
      <c r="K1048" s="12"/>
    </row>
    <row r="1049" ht="19.5" customHeight="1">
      <c r="A1049" s="12"/>
      <c r="C1049" s="12"/>
      <c r="D1049" s="87"/>
      <c r="F1049" s="14"/>
      <c r="G1049" s="14"/>
      <c r="H1049" s="14"/>
      <c r="I1049" s="14"/>
      <c r="J1049" s="14"/>
      <c r="K1049" s="12"/>
    </row>
    <row r="1050" ht="19.5" customHeight="1">
      <c r="A1050" s="12"/>
      <c r="C1050" s="12"/>
      <c r="D1050" s="87"/>
      <c r="F1050" s="14"/>
      <c r="G1050" s="14"/>
      <c r="H1050" s="14"/>
      <c r="I1050" s="14"/>
      <c r="J1050" s="14"/>
      <c r="K1050" s="12"/>
    </row>
    <row r="1051" ht="19.5" customHeight="1">
      <c r="A1051" s="12"/>
      <c r="C1051" s="12"/>
      <c r="D1051" s="87"/>
      <c r="F1051" s="14"/>
      <c r="G1051" s="14"/>
      <c r="H1051" s="14"/>
      <c r="I1051" s="14"/>
      <c r="J1051" s="14"/>
      <c r="K1051" s="12"/>
    </row>
    <row r="1052" ht="19.5" customHeight="1">
      <c r="A1052" s="12"/>
      <c r="C1052" s="12"/>
      <c r="D1052" s="87"/>
      <c r="F1052" s="14"/>
      <c r="G1052" s="14"/>
      <c r="H1052" s="14"/>
      <c r="I1052" s="14"/>
      <c r="J1052" s="14"/>
      <c r="K1052" s="12"/>
    </row>
    <row r="1053" ht="19.5" customHeight="1">
      <c r="A1053" s="12"/>
      <c r="C1053" s="12"/>
      <c r="D1053" s="87"/>
      <c r="F1053" s="14"/>
      <c r="G1053" s="14"/>
      <c r="H1053" s="14"/>
      <c r="I1053" s="14"/>
      <c r="J1053" s="14"/>
      <c r="K1053" s="12"/>
    </row>
    <row r="1054" ht="19.5" customHeight="1">
      <c r="A1054" s="12"/>
      <c r="C1054" s="12"/>
      <c r="D1054" s="87"/>
      <c r="F1054" s="14"/>
      <c r="G1054" s="14"/>
      <c r="H1054" s="14"/>
      <c r="I1054" s="14"/>
      <c r="J1054" s="14"/>
      <c r="K1054" s="12"/>
    </row>
    <row r="1055" ht="19.5" customHeight="1">
      <c r="A1055" s="12"/>
      <c r="C1055" s="12"/>
      <c r="D1055" s="87"/>
      <c r="F1055" s="14"/>
      <c r="G1055" s="14"/>
      <c r="H1055" s="14"/>
      <c r="I1055" s="14"/>
      <c r="J1055" s="14"/>
      <c r="K1055" s="12"/>
    </row>
    <row r="1056" ht="19.5" customHeight="1">
      <c r="A1056" s="12"/>
      <c r="C1056" s="12"/>
      <c r="D1056" s="87"/>
      <c r="F1056" s="14"/>
      <c r="G1056" s="14"/>
      <c r="H1056" s="14"/>
      <c r="I1056" s="14"/>
      <c r="J1056" s="14"/>
      <c r="K1056" s="12"/>
    </row>
    <row r="1057" ht="19.5" customHeight="1">
      <c r="A1057" s="12"/>
      <c r="C1057" s="12"/>
      <c r="D1057" s="87"/>
      <c r="F1057" s="14"/>
      <c r="G1057" s="14"/>
      <c r="H1057" s="14"/>
      <c r="I1057" s="14"/>
      <c r="J1057" s="14"/>
      <c r="K1057" s="12"/>
    </row>
    <row r="1058" ht="19.5" customHeight="1">
      <c r="A1058" s="12"/>
      <c r="C1058" s="12"/>
      <c r="D1058" s="87"/>
      <c r="F1058" s="14"/>
      <c r="G1058" s="14"/>
      <c r="H1058" s="14"/>
      <c r="I1058" s="14"/>
      <c r="J1058" s="14"/>
      <c r="K1058" s="12"/>
    </row>
    <row r="1059" ht="19.5" customHeight="1">
      <c r="A1059" s="12"/>
      <c r="C1059" s="12"/>
      <c r="D1059" s="87"/>
      <c r="F1059" s="14"/>
      <c r="G1059" s="14"/>
      <c r="H1059" s="14"/>
      <c r="I1059" s="14"/>
      <c r="J1059" s="14"/>
      <c r="K1059" s="12"/>
    </row>
    <row r="1060" ht="19.5" customHeight="1">
      <c r="A1060" s="12"/>
      <c r="C1060" s="12"/>
      <c r="D1060" s="87"/>
      <c r="F1060" s="14"/>
      <c r="G1060" s="14"/>
      <c r="H1060" s="14"/>
      <c r="I1060" s="14"/>
      <c r="J1060" s="14"/>
      <c r="K1060" s="12"/>
    </row>
    <row r="1061" ht="19.5" customHeight="1">
      <c r="A1061" s="12"/>
      <c r="C1061" s="12"/>
      <c r="D1061" s="87"/>
      <c r="F1061" s="14"/>
      <c r="G1061" s="14"/>
      <c r="H1061" s="14"/>
      <c r="I1061" s="14"/>
      <c r="J1061" s="14"/>
      <c r="K1061" s="12"/>
    </row>
    <row r="1062" ht="19.5" customHeight="1">
      <c r="A1062" s="12"/>
      <c r="C1062" s="12"/>
      <c r="D1062" s="87"/>
      <c r="F1062" s="14"/>
      <c r="G1062" s="14"/>
      <c r="H1062" s="14"/>
      <c r="I1062" s="14"/>
      <c r="J1062" s="14"/>
      <c r="K1062" s="12"/>
    </row>
    <row r="1063" ht="19.5" customHeight="1">
      <c r="A1063" s="12"/>
      <c r="C1063" s="12"/>
      <c r="D1063" s="87"/>
      <c r="F1063" s="14"/>
      <c r="G1063" s="14"/>
      <c r="H1063" s="14"/>
      <c r="I1063" s="14"/>
      <c r="J1063" s="14"/>
      <c r="K1063" s="12"/>
    </row>
    <row r="1064" ht="19.5" customHeight="1">
      <c r="A1064" s="12"/>
      <c r="C1064" s="12"/>
      <c r="D1064" s="87"/>
      <c r="F1064" s="14"/>
      <c r="G1064" s="14"/>
      <c r="H1064" s="14"/>
      <c r="I1064" s="14"/>
      <c r="J1064" s="14"/>
      <c r="K1064" s="12"/>
    </row>
    <row r="1065" ht="19.5" customHeight="1">
      <c r="A1065" s="12"/>
      <c r="C1065" s="12"/>
      <c r="D1065" s="87"/>
      <c r="F1065" s="14"/>
      <c r="G1065" s="14"/>
      <c r="H1065" s="14"/>
      <c r="I1065" s="14"/>
      <c r="J1065" s="14"/>
      <c r="K1065" s="12"/>
    </row>
    <row r="1066" ht="19.5" customHeight="1">
      <c r="A1066" s="12"/>
      <c r="C1066" s="12"/>
      <c r="D1066" s="87"/>
      <c r="F1066" s="14"/>
      <c r="G1066" s="14"/>
      <c r="H1066" s="14"/>
      <c r="I1066" s="14"/>
      <c r="J1066" s="14"/>
      <c r="K1066" s="12"/>
    </row>
    <row r="1067" ht="19.5" customHeight="1">
      <c r="A1067" s="12"/>
      <c r="C1067" s="12"/>
      <c r="D1067" s="87"/>
      <c r="F1067" s="14"/>
      <c r="G1067" s="14"/>
      <c r="H1067" s="14"/>
      <c r="I1067" s="14"/>
      <c r="J1067" s="14"/>
      <c r="K1067" s="12"/>
    </row>
    <row r="1068" ht="19.5" customHeight="1">
      <c r="A1068" s="12"/>
      <c r="C1068" s="12"/>
      <c r="D1068" s="87"/>
      <c r="F1068" s="14"/>
      <c r="G1068" s="14"/>
      <c r="H1068" s="14"/>
      <c r="I1068" s="14"/>
      <c r="J1068" s="14"/>
      <c r="K1068" s="12"/>
    </row>
    <row r="1069" ht="19.5" customHeight="1">
      <c r="A1069" s="12"/>
      <c r="C1069" s="12"/>
      <c r="D1069" s="87"/>
      <c r="F1069" s="14"/>
      <c r="G1069" s="14"/>
      <c r="H1069" s="14"/>
      <c r="I1069" s="14"/>
      <c r="J1069" s="14"/>
      <c r="K1069" s="12"/>
    </row>
    <row r="1070" ht="19.5" customHeight="1">
      <c r="A1070" s="12"/>
      <c r="C1070" s="12"/>
      <c r="D1070" s="87"/>
      <c r="F1070" s="14"/>
      <c r="G1070" s="14"/>
      <c r="H1070" s="14"/>
      <c r="I1070" s="14"/>
      <c r="J1070" s="14"/>
      <c r="K1070" s="12"/>
    </row>
    <row r="1071" ht="19.5" customHeight="1">
      <c r="A1071" s="12"/>
      <c r="C1071" s="12"/>
      <c r="D1071" s="87"/>
      <c r="F1071" s="14"/>
      <c r="G1071" s="14"/>
      <c r="H1071" s="14"/>
      <c r="I1071" s="14"/>
      <c r="J1071" s="14"/>
      <c r="K1071" s="12"/>
    </row>
    <row r="1072" ht="19.5" customHeight="1">
      <c r="A1072" s="12"/>
      <c r="C1072" s="12"/>
      <c r="D1072" s="87"/>
      <c r="F1072" s="14"/>
      <c r="G1072" s="14"/>
      <c r="H1072" s="14"/>
      <c r="I1072" s="14"/>
      <c r="J1072" s="14"/>
      <c r="K1072" s="12"/>
    </row>
    <row r="1073" ht="19.5" customHeight="1">
      <c r="A1073" s="12"/>
      <c r="C1073" s="12"/>
      <c r="D1073" s="87"/>
      <c r="F1073" s="14"/>
      <c r="G1073" s="14"/>
      <c r="H1073" s="14"/>
      <c r="I1073" s="14"/>
      <c r="J1073" s="14"/>
      <c r="K1073" s="12"/>
    </row>
    <row r="1074" ht="19.5" customHeight="1">
      <c r="A1074" s="12"/>
      <c r="C1074" s="12"/>
      <c r="D1074" s="87"/>
      <c r="F1074" s="14"/>
      <c r="G1074" s="14"/>
      <c r="H1074" s="14"/>
      <c r="I1074" s="14"/>
      <c r="J1074" s="14"/>
      <c r="K1074" s="12"/>
    </row>
    <row r="1075" ht="19.5" customHeight="1">
      <c r="A1075" s="12"/>
      <c r="C1075" s="12"/>
      <c r="D1075" s="87"/>
      <c r="F1075" s="14"/>
      <c r="G1075" s="14"/>
      <c r="H1075" s="14"/>
      <c r="I1075" s="14"/>
      <c r="J1075" s="14"/>
      <c r="K1075" s="12"/>
    </row>
  </sheetData>
  <mergeCells count="17">
    <mergeCell ref="A6:K6"/>
    <mergeCell ref="A7:K7"/>
    <mergeCell ref="A8:K8"/>
    <mergeCell ref="A9:A10"/>
    <mergeCell ref="B9:B10"/>
    <mergeCell ref="C9:C10"/>
    <mergeCell ref="D9:D10"/>
    <mergeCell ref="K9:K10"/>
    <mergeCell ref="J249:J268"/>
    <mergeCell ref="J280:J281"/>
    <mergeCell ref="E9:G9"/>
    <mergeCell ref="J9:J10"/>
    <mergeCell ref="J103:J115"/>
    <mergeCell ref="J117:J130"/>
    <mergeCell ref="K134:K136"/>
    <mergeCell ref="J138:J151"/>
    <mergeCell ref="J171:J183"/>
  </mergeCells>
  <printOptions/>
  <pageMargins bottom="0.787401575" footer="0.0" header="0.0" left="0.511811024" right="0.511811024" top="0.787401575"/>
  <pageSetup paperSize="9" scale="60" orientation="landscape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42.13"/>
    <col customWidth="1" min="3" max="3" width="9.13"/>
    <col customWidth="1" min="4" max="4" width="16.25"/>
    <col customWidth="1" min="5" max="5" width="19.13"/>
    <col customWidth="1" min="6" max="6" width="17.75"/>
    <col customWidth="1" min="7" max="7" width="21.88"/>
    <col customWidth="1" min="8" max="8" width="20.13"/>
    <col customWidth="1" min="9" max="9" width="16.13"/>
    <col customWidth="1" min="10" max="10" width="18.25"/>
    <col customWidth="1" min="11" max="11" width="32.38"/>
    <col customWidth="1" min="12" max="26" width="8.63"/>
  </cols>
  <sheetData>
    <row r="1" ht="19.5" customHeight="1">
      <c r="A1" s="4"/>
      <c r="B1" s="5"/>
      <c r="C1" s="6"/>
      <c r="D1" s="86"/>
      <c r="E1" s="5"/>
      <c r="F1" s="8"/>
      <c r="G1" s="8"/>
      <c r="H1" s="8"/>
      <c r="I1" s="8"/>
      <c r="J1" s="8"/>
      <c r="K1" s="9"/>
    </row>
    <row r="2" ht="19.5" customHeight="1">
      <c r="A2" s="10" t="s">
        <v>83</v>
      </c>
      <c r="B2" s="11" t="s">
        <v>84</v>
      </c>
      <c r="C2" s="12"/>
      <c r="D2" s="87"/>
      <c r="F2" s="14"/>
      <c r="G2" s="14"/>
      <c r="H2" s="14"/>
      <c r="I2" s="14"/>
      <c r="J2" s="17" t="s">
        <v>144</v>
      </c>
      <c r="K2" s="18"/>
    </row>
    <row r="3" ht="19.5" customHeight="1">
      <c r="A3" s="10" t="s">
        <v>86</v>
      </c>
      <c r="B3" s="11" t="s">
        <v>87</v>
      </c>
      <c r="C3" s="12"/>
      <c r="D3" s="87"/>
      <c r="F3" s="14"/>
      <c r="G3" s="14"/>
      <c r="H3" s="14"/>
      <c r="I3" s="15"/>
      <c r="J3" s="16" t="s">
        <v>85</v>
      </c>
      <c r="K3" s="18"/>
    </row>
    <row r="4" ht="19.5" customHeight="1">
      <c r="A4" s="19"/>
      <c r="C4" s="12"/>
      <c r="D4" s="87"/>
      <c r="F4" s="14"/>
      <c r="G4" s="14"/>
      <c r="H4" s="14"/>
      <c r="I4" s="308"/>
      <c r="J4" s="16" t="s">
        <v>85</v>
      </c>
      <c r="K4" s="18"/>
    </row>
    <row r="5" ht="19.5" customHeight="1">
      <c r="A5" s="19"/>
      <c r="C5" s="12"/>
      <c r="D5" s="87"/>
      <c r="F5" s="14"/>
      <c r="G5" s="14"/>
      <c r="H5" s="14"/>
      <c r="I5" s="14"/>
      <c r="J5" s="14"/>
      <c r="K5" s="18"/>
    </row>
    <row r="6" ht="200.25" customHeight="1">
      <c r="A6" s="20" t="s">
        <v>901</v>
      </c>
      <c r="K6" s="21"/>
    </row>
    <row r="7" ht="64.5" customHeight="1">
      <c r="A7" s="22" t="s">
        <v>1021</v>
      </c>
      <c r="K7" s="21"/>
    </row>
    <row r="8" ht="37.5" customHeight="1">
      <c r="A8" s="88" t="s">
        <v>90</v>
      </c>
      <c r="B8" s="24"/>
      <c r="C8" s="24"/>
      <c r="D8" s="24"/>
      <c r="E8" s="24"/>
      <c r="F8" s="24"/>
      <c r="G8" s="24"/>
      <c r="H8" s="24"/>
      <c r="I8" s="24"/>
      <c r="J8" s="24"/>
      <c r="K8" s="25"/>
    </row>
    <row r="9" ht="19.5" customHeight="1">
      <c r="A9" s="26" t="s">
        <v>1</v>
      </c>
      <c r="B9" s="26" t="s">
        <v>91</v>
      </c>
      <c r="C9" s="26" t="s">
        <v>92</v>
      </c>
      <c r="D9" s="31" t="s">
        <v>93</v>
      </c>
      <c r="E9" s="27" t="s">
        <v>94</v>
      </c>
      <c r="F9" s="28"/>
      <c r="G9" s="29"/>
      <c r="H9" s="30"/>
      <c r="I9" s="30"/>
      <c r="J9" s="31" t="s">
        <v>95</v>
      </c>
      <c r="K9" s="26" t="s">
        <v>96</v>
      </c>
    </row>
    <row r="10" ht="19.5" customHeight="1">
      <c r="A10" s="32"/>
      <c r="B10" s="32"/>
      <c r="C10" s="32"/>
      <c r="D10" s="32"/>
      <c r="E10" s="33" t="s">
        <v>97</v>
      </c>
      <c r="F10" s="34" t="s">
        <v>121</v>
      </c>
      <c r="G10" s="34" t="s">
        <v>99</v>
      </c>
      <c r="H10" s="35" t="s">
        <v>100</v>
      </c>
      <c r="I10" s="35" t="s">
        <v>101</v>
      </c>
      <c r="J10" s="32"/>
      <c r="K10" s="32"/>
    </row>
    <row r="11" ht="19.5" customHeight="1">
      <c r="A11" s="304"/>
      <c r="B11" s="49" t="s">
        <v>973</v>
      </c>
      <c r="C11" s="46" t="s">
        <v>148</v>
      </c>
      <c r="D11" s="39">
        <v>1.0</v>
      </c>
      <c r="E11" s="49"/>
      <c r="F11" s="41"/>
      <c r="G11" s="41"/>
      <c r="H11" s="59">
        <f>K37</f>
        <v>5.3183205</v>
      </c>
      <c r="I11" s="82"/>
      <c r="J11" s="43">
        <f t="shared" ref="J11:J13" si="1">H11-I11</f>
        <v>5.3183205</v>
      </c>
      <c r="K11" s="79"/>
    </row>
    <row r="12" ht="19.5" customHeight="1">
      <c r="A12" s="304"/>
      <c r="B12" s="49" t="s">
        <v>674</v>
      </c>
      <c r="C12" s="46" t="s">
        <v>148</v>
      </c>
      <c r="D12" s="39">
        <v>1.0</v>
      </c>
      <c r="E12" s="49"/>
      <c r="F12" s="41"/>
      <c r="G12" s="41"/>
      <c r="H12" s="59">
        <f>K85</f>
        <v>75.39939</v>
      </c>
      <c r="I12" s="82"/>
      <c r="J12" s="43">
        <f t="shared" si="1"/>
        <v>75.39939</v>
      </c>
      <c r="K12" s="79"/>
    </row>
    <row r="13" ht="19.5" customHeight="1">
      <c r="A13" s="304"/>
      <c r="B13" s="49" t="s">
        <v>974</v>
      </c>
      <c r="C13" s="46" t="s">
        <v>148</v>
      </c>
      <c r="D13" s="39">
        <v>1.0</v>
      </c>
      <c r="E13" s="49">
        <v>0.4</v>
      </c>
      <c r="F13" s="41">
        <v>300.0</v>
      </c>
      <c r="G13" s="41">
        <v>0.4</v>
      </c>
      <c r="H13" s="40">
        <f>G13*F13*E13*D13</f>
        <v>48</v>
      </c>
      <c r="I13" s="82"/>
      <c r="J13" s="43">
        <f t="shared" si="1"/>
        <v>48</v>
      </c>
      <c r="K13" s="79"/>
    </row>
    <row r="14" ht="19.5" customHeight="1">
      <c r="A14" s="304"/>
      <c r="B14" s="114"/>
      <c r="C14" s="79"/>
      <c r="D14" s="115"/>
      <c r="E14" s="49"/>
      <c r="F14" s="41"/>
      <c r="G14" s="41"/>
      <c r="H14" s="59"/>
      <c r="I14" s="82"/>
      <c r="J14" s="143">
        <f>SUM(J11:J13)</f>
        <v>128.7177105</v>
      </c>
      <c r="K14" s="83" t="s">
        <v>95</v>
      </c>
    </row>
    <row r="15" ht="19.5" customHeight="1">
      <c r="A15" s="74" t="s">
        <v>1</v>
      </c>
      <c r="B15" s="74" t="s">
        <v>91</v>
      </c>
      <c r="C15" s="74" t="s">
        <v>92</v>
      </c>
      <c r="D15" s="76" t="s">
        <v>93</v>
      </c>
      <c r="E15" s="50" t="s">
        <v>97</v>
      </c>
      <c r="F15" s="53" t="s">
        <v>121</v>
      </c>
      <c r="G15" s="53" t="s">
        <v>99</v>
      </c>
      <c r="H15" s="75" t="s">
        <v>100</v>
      </c>
      <c r="I15" s="75" t="s">
        <v>101</v>
      </c>
      <c r="J15" s="76" t="s">
        <v>95</v>
      </c>
      <c r="K15" s="74" t="s">
        <v>96</v>
      </c>
    </row>
    <row r="16" ht="19.5" customHeight="1">
      <c r="A16" s="330"/>
      <c r="B16" s="331" t="s">
        <v>149</v>
      </c>
      <c r="C16" s="46" t="s">
        <v>148</v>
      </c>
      <c r="D16" s="148">
        <v>1.0</v>
      </c>
      <c r="E16" s="332"/>
      <c r="F16" s="123"/>
      <c r="G16" s="123"/>
      <c r="H16" s="333">
        <f>(F13*G13)+K36+K84</f>
        <v>159.935294</v>
      </c>
      <c r="I16" s="333"/>
      <c r="J16" s="43">
        <f>H16-I16</f>
        <v>159.935294</v>
      </c>
      <c r="K16" s="334" t="s">
        <v>975</v>
      </c>
    </row>
    <row r="17" ht="19.5" customHeight="1">
      <c r="A17" s="335"/>
      <c r="B17" s="335"/>
      <c r="C17" s="79"/>
      <c r="D17" s="128"/>
      <c r="E17" s="332"/>
      <c r="F17" s="123"/>
      <c r="G17" s="123"/>
      <c r="H17" s="333"/>
      <c r="I17" s="333"/>
      <c r="J17" s="128"/>
      <c r="K17" s="335"/>
    </row>
    <row r="18" ht="19.5" customHeight="1">
      <c r="A18" s="335"/>
      <c r="B18" s="335"/>
      <c r="C18" s="79"/>
      <c r="D18" s="128"/>
      <c r="E18" s="332"/>
      <c r="F18" s="123"/>
      <c r="G18" s="123"/>
      <c r="H18" s="333"/>
      <c r="I18" s="333"/>
      <c r="J18" s="128"/>
      <c r="K18" s="335"/>
    </row>
    <row r="19" ht="19.5" customHeight="1">
      <c r="A19" s="74" t="s">
        <v>1</v>
      </c>
      <c r="B19" s="74" t="s">
        <v>91</v>
      </c>
      <c r="C19" s="74" t="s">
        <v>92</v>
      </c>
      <c r="D19" s="76" t="s">
        <v>93</v>
      </c>
      <c r="E19" s="50" t="s">
        <v>97</v>
      </c>
      <c r="F19" s="53" t="s">
        <v>121</v>
      </c>
      <c r="G19" s="53" t="s">
        <v>99</v>
      </c>
      <c r="H19" s="75" t="s">
        <v>100</v>
      </c>
      <c r="I19" s="75" t="s">
        <v>101</v>
      </c>
      <c r="J19" s="76" t="s">
        <v>95</v>
      </c>
      <c r="K19" s="74" t="s">
        <v>96</v>
      </c>
    </row>
    <row r="20" ht="19.5" customHeight="1">
      <c r="A20" s="288">
        <v>1.0</v>
      </c>
      <c r="B20" s="15" t="s">
        <v>150</v>
      </c>
      <c r="C20" s="38" t="s">
        <v>108</v>
      </c>
      <c r="D20" s="78">
        <v>2.0</v>
      </c>
      <c r="E20" s="37"/>
      <c r="F20" s="15">
        <v>29.68</v>
      </c>
      <c r="G20" s="15">
        <v>24.25</v>
      </c>
      <c r="H20" s="40">
        <f>(G20+F20)*D20</f>
        <v>107.86</v>
      </c>
      <c r="I20" s="42"/>
      <c r="J20" s="64">
        <f>H20</f>
        <v>107.86</v>
      </c>
      <c r="K20" s="46"/>
    </row>
    <row r="21" ht="19.5" customHeight="1">
      <c r="A21" s="74" t="s">
        <v>1</v>
      </c>
      <c r="B21" s="74" t="s">
        <v>91</v>
      </c>
      <c r="C21" s="74" t="s">
        <v>92</v>
      </c>
      <c r="D21" s="76" t="s">
        <v>93</v>
      </c>
      <c r="E21" s="50" t="s">
        <v>97</v>
      </c>
      <c r="F21" s="53" t="s">
        <v>121</v>
      </c>
      <c r="G21" s="53" t="s">
        <v>99</v>
      </c>
      <c r="H21" s="75" t="s">
        <v>100</v>
      </c>
      <c r="I21" s="75" t="s">
        <v>101</v>
      </c>
      <c r="J21" s="76" t="s">
        <v>95</v>
      </c>
      <c r="K21" s="74" t="s">
        <v>96</v>
      </c>
      <c r="L21" s="2"/>
      <c r="M21" s="2"/>
      <c r="N21" s="2"/>
    </row>
    <row r="22" ht="19.5" customHeight="1">
      <c r="A22" s="288">
        <v>1.0</v>
      </c>
      <c r="B22" s="49" t="s">
        <v>976</v>
      </c>
      <c r="C22" s="46" t="s">
        <v>148</v>
      </c>
      <c r="D22" s="39">
        <v>54.0</v>
      </c>
      <c r="E22" s="49">
        <v>3.3</v>
      </c>
      <c r="F22" s="41">
        <v>0.2</v>
      </c>
      <c r="G22" s="41">
        <v>0.2</v>
      </c>
      <c r="H22" s="40">
        <f t="shared" ref="H22:H23" si="2">G22*F22*E22*D22</f>
        <v>7.128</v>
      </c>
      <c r="I22" s="42"/>
      <c r="J22" s="107"/>
      <c r="K22" s="46"/>
      <c r="L22" s="2"/>
      <c r="M22" s="2"/>
      <c r="N22" s="2"/>
    </row>
    <row r="23" ht="19.5" customHeight="1">
      <c r="A23" s="288">
        <v>2.0</v>
      </c>
      <c r="B23" s="49" t="s">
        <v>977</v>
      </c>
      <c r="C23" s="46" t="s">
        <v>148</v>
      </c>
      <c r="D23" s="39">
        <v>7.0</v>
      </c>
      <c r="E23" s="37">
        <f>3.3+2.25</f>
        <v>5.55</v>
      </c>
      <c r="F23" s="41">
        <v>0.2</v>
      </c>
      <c r="G23" s="41">
        <v>0.2</v>
      </c>
      <c r="H23" s="40">
        <f t="shared" si="2"/>
        <v>1.554</v>
      </c>
      <c r="I23" s="42"/>
      <c r="J23" s="121"/>
      <c r="K23" s="79"/>
    </row>
    <row r="24" ht="19.5" customHeight="1">
      <c r="A24" s="46"/>
      <c r="B24" s="37"/>
      <c r="C24" s="46"/>
      <c r="D24" s="78"/>
      <c r="E24" s="37"/>
      <c r="F24" s="40"/>
      <c r="G24" s="40"/>
      <c r="H24" s="40"/>
      <c r="I24" s="42"/>
      <c r="J24" s="121"/>
      <c r="K24" s="79"/>
    </row>
    <row r="25" ht="19.5" customHeight="1">
      <c r="A25" s="288"/>
      <c r="B25" s="67" t="s">
        <v>978</v>
      </c>
      <c r="C25" s="191" t="s">
        <v>103</v>
      </c>
      <c r="D25" s="182"/>
      <c r="E25" s="243"/>
      <c r="F25" s="78"/>
      <c r="G25" s="41"/>
      <c r="H25" s="59"/>
      <c r="I25" s="82"/>
      <c r="J25" s="143">
        <f>161.04+12.6</f>
        <v>173.64</v>
      </c>
      <c r="K25" s="336"/>
    </row>
    <row r="26" ht="19.5" customHeight="1">
      <c r="A26" s="288"/>
      <c r="B26" s="67" t="s">
        <v>979</v>
      </c>
      <c r="C26" s="46" t="s">
        <v>148</v>
      </c>
      <c r="D26" s="182"/>
      <c r="E26" s="243"/>
      <c r="F26" s="78"/>
      <c r="G26" s="41"/>
      <c r="H26" s="59"/>
      <c r="I26" s="82"/>
      <c r="J26" s="143">
        <f>8.05+0.63</f>
        <v>8.68</v>
      </c>
      <c r="K26" s="336"/>
    </row>
    <row r="27" ht="19.5" customHeight="1">
      <c r="A27" s="46"/>
      <c r="B27" s="194"/>
      <c r="C27" s="337" t="s">
        <v>683</v>
      </c>
      <c r="D27" s="338" t="s">
        <v>108</v>
      </c>
      <c r="E27" s="337" t="s">
        <v>684</v>
      </c>
      <c r="F27" s="78"/>
      <c r="G27" s="41"/>
      <c r="H27" s="59"/>
      <c r="I27" s="82"/>
      <c r="J27" s="337" t="s">
        <v>158</v>
      </c>
      <c r="K27" s="79"/>
    </row>
    <row r="28" ht="19.5" customHeight="1">
      <c r="A28" s="288"/>
      <c r="B28" s="194" t="s">
        <v>980</v>
      </c>
      <c r="C28" s="67" t="s">
        <v>686</v>
      </c>
      <c r="D28" s="189">
        <f>1144.4+89.1</f>
        <v>1233.5</v>
      </c>
      <c r="E28" s="67">
        <v>0.154</v>
      </c>
      <c r="F28" s="78"/>
      <c r="G28" s="41"/>
      <c r="H28" s="59"/>
      <c r="I28" s="82"/>
      <c r="J28" s="143">
        <f t="shared" ref="J28:J29" si="3">D28*E28</f>
        <v>189.959</v>
      </c>
      <c r="K28" s="79"/>
    </row>
    <row r="29" ht="19.5" customHeight="1">
      <c r="A29" s="46"/>
      <c r="B29" s="194"/>
      <c r="C29" s="209">
        <v>10.0</v>
      </c>
      <c r="D29" s="189">
        <f>809.4+62.2</f>
        <v>871.6</v>
      </c>
      <c r="E29" s="67">
        <v>0.617</v>
      </c>
      <c r="F29" s="78"/>
      <c r="G29" s="41"/>
      <c r="H29" s="59"/>
      <c r="I29" s="82"/>
      <c r="J29" s="143">
        <f t="shared" si="3"/>
        <v>537.7772</v>
      </c>
      <c r="K29" s="79"/>
    </row>
    <row r="30" ht="19.5" customHeight="1">
      <c r="A30" s="46"/>
      <c r="B30" s="37"/>
      <c r="C30" s="46"/>
      <c r="D30" s="78"/>
      <c r="E30" s="37"/>
      <c r="F30" s="40"/>
      <c r="G30" s="40"/>
      <c r="H30" s="40"/>
      <c r="I30" s="42"/>
      <c r="J30" s="121"/>
      <c r="K30" s="79"/>
    </row>
    <row r="31" ht="19.5" customHeight="1">
      <c r="A31" s="74" t="s">
        <v>1</v>
      </c>
      <c r="B31" s="74" t="s">
        <v>91</v>
      </c>
      <c r="C31" s="74" t="s">
        <v>92</v>
      </c>
      <c r="D31" s="76" t="s">
        <v>93</v>
      </c>
      <c r="E31" s="50" t="s">
        <v>97</v>
      </c>
      <c r="F31" s="53" t="s">
        <v>121</v>
      </c>
      <c r="G31" s="53" t="s">
        <v>99</v>
      </c>
      <c r="H31" s="178" t="s">
        <v>650</v>
      </c>
      <c r="I31" s="178" t="s">
        <v>651</v>
      </c>
      <c r="J31" s="177" t="s">
        <v>652</v>
      </c>
      <c r="K31" s="179" t="s">
        <v>653</v>
      </c>
    </row>
    <row r="32" ht="19.5" customHeight="1">
      <c r="A32" s="46"/>
      <c r="B32" s="49" t="s">
        <v>981</v>
      </c>
      <c r="C32" s="46" t="s">
        <v>148</v>
      </c>
      <c r="D32" s="39">
        <v>1.0</v>
      </c>
      <c r="E32" s="49">
        <v>0.7</v>
      </c>
      <c r="F32" s="41">
        <v>1.593</v>
      </c>
      <c r="G32" s="41">
        <v>1.379</v>
      </c>
      <c r="H32" s="40">
        <f t="shared" ref="H32:H33" si="4">D32*(E32+0.05)*(F32+0.4)*(G32+0.4)</f>
        <v>2.65916025</v>
      </c>
      <c r="I32" s="42">
        <f t="shared" ref="I32:I33" si="5">D32*F32*G32</f>
        <v>2.196747</v>
      </c>
      <c r="J32" s="40">
        <f t="shared" ref="J32:J33" si="6">2*(D32*E32*F32)</f>
        <v>2.2302</v>
      </c>
      <c r="K32" s="251">
        <f t="shared" ref="K32:K33" si="7">F32*((G32+E32)*2)</f>
        <v>6.623694</v>
      </c>
    </row>
    <row r="33" ht="19.5" customHeight="1">
      <c r="A33" s="46"/>
      <c r="B33" s="49" t="s">
        <v>982</v>
      </c>
      <c r="C33" s="46" t="s">
        <v>148</v>
      </c>
      <c r="D33" s="39">
        <v>1.0</v>
      </c>
      <c r="E33" s="49">
        <v>0.7</v>
      </c>
      <c r="F33" s="41">
        <v>1.593</v>
      </c>
      <c r="G33" s="41">
        <v>1.379</v>
      </c>
      <c r="H33" s="40">
        <f t="shared" si="4"/>
        <v>2.65916025</v>
      </c>
      <c r="I33" s="42">
        <f t="shared" si="5"/>
        <v>2.196747</v>
      </c>
      <c r="J33" s="40">
        <f t="shared" si="6"/>
        <v>2.2302</v>
      </c>
      <c r="K33" s="251">
        <f t="shared" si="7"/>
        <v>6.623694</v>
      </c>
    </row>
    <row r="34" ht="19.5" customHeight="1">
      <c r="A34" s="243"/>
      <c r="B34" s="243"/>
      <c r="C34" s="243"/>
      <c r="D34" s="78"/>
      <c r="E34" s="37"/>
      <c r="F34" s="40"/>
      <c r="G34" s="40"/>
      <c r="H34" s="40"/>
      <c r="I34" s="42"/>
      <c r="J34" s="101"/>
      <c r="K34" s="83"/>
      <c r="L34" s="2"/>
    </row>
    <row r="35" ht="19.5" customHeight="1">
      <c r="A35" s="243"/>
      <c r="B35" s="67" t="s">
        <v>983</v>
      </c>
      <c r="C35" s="191" t="s">
        <v>103</v>
      </c>
      <c r="D35" s="182"/>
      <c r="E35" s="243"/>
      <c r="F35" s="78"/>
      <c r="G35" s="41"/>
      <c r="H35" s="59"/>
      <c r="I35" s="82"/>
      <c r="J35" s="121"/>
      <c r="K35" s="339">
        <f>SUM(K32:K33)</f>
        <v>13.247388</v>
      </c>
      <c r="L35" s="2"/>
    </row>
    <row r="36" ht="19.5" customHeight="1">
      <c r="A36" s="243"/>
      <c r="B36" s="194" t="s">
        <v>984</v>
      </c>
      <c r="C36" s="191" t="s">
        <v>103</v>
      </c>
      <c r="D36" s="182"/>
      <c r="E36" s="243"/>
      <c r="F36" s="78"/>
      <c r="G36" s="41"/>
      <c r="H36" s="59"/>
      <c r="I36" s="82"/>
      <c r="J36" s="121"/>
      <c r="K36" s="339">
        <f>SUM(I32:I33)</f>
        <v>4.393494</v>
      </c>
      <c r="L36" s="2"/>
    </row>
    <row r="37" ht="19.5" customHeight="1">
      <c r="A37" s="243"/>
      <c r="B37" s="194" t="s">
        <v>973</v>
      </c>
      <c r="C37" s="46" t="s">
        <v>148</v>
      </c>
      <c r="D37" s="182"/>
      <c r="E37" s="243"/>
      <c r="F37" s="78"/>
      <c r="G37" s="41"/>
      <c r="H37" s="59"/>
      <c r="I37" s="82"/>
      <c r="J37" s="121"/>
      <c r="K37" s="339">
        <f>SUM(H32:H33)</f>
        <v>5.3183205</v>
      </c>
      <c r="L37" s="2"/>
    </row>
    <row r="38" ht="19.5" customHeight="1">
      <c r="A38" s="243"/>
      <c r="B38" s="194" t="s">
        <v>985</v>
      </c>
      <c r="C38" s="191" t="s">
        <v>103</v>
      </c>
      <c r="D38" s="182"/>
      <c r="E38" s="243"/>
      <c r="F38" s="78"/>
      <c r="G38" s="41"/>
      <c r="H38" s="59"/>
      <c r="I38" s="82"/>
      <c r="J38" s="121"/>
      <c r="K38" s="339">
        <f>K36*0.05</f>
        <v>0.2196747</v>
      </c>
      <c r="L38" s="2"/>
    </row>
    <row r="39" ht="19.5" customHeight="1">
      <c r="A39" s="243"/>
      <c r="B39" s="67" t="s">
        <v>681</v>
      </c>
      <c r="C39" s="191" t="s">
        <v>103</v>
      </c>
      <c r="D39" s="182"/>
      <c r="E39" s="243"/>
      <c r="F39" s="78"/>
      <c r="G39" s="41"/>
      <c r="H39" s="59"/>
      <c r="I39" s="82"/>
      <c r="J39" s="121"/>
      <c r="K39" s="340">
        <v>6.69</v>
      </c>
      <c r="L39" s="2"/>
    </row>
    <row r="40" ht="19.5" customHeight="1">
      <c r="A40" s="243"/>
      <c r="B40" s="67" t="s">
        <v>986</v>
      </c>
      <c r="C40" s="46" t="s">
        <v>148</v>
      </c>
      <c r="D40" s="182"/>
      <c r="E40" s="243"/>
      <c r="F40" s="78"/>
      <c r="G40" s="41"/>
      <c r="H40" s="59"/>
      <c r="I40" s="82"/>
      <c r="J40" s="121"/>
      <c r="K40" s="340">
        <v>2.0</v>
      </c>
      <c r="L40" s="2"/>
    </row>
    <row r="41" ht="19.5" customHeight="1">
      <c r="A41" s="243"/>
      <c r="B41" s="194"/>
      <c r="C41" s="337" t="s">
        <v>683</v>
      </c>
      <c r="D41" s="338" t="s">
        <v>108</v>
      </c>
      <c r="E41" s="337" t="s">
        <v>684</v>
      </c>
      <c r="F41" s="78"/>
      <c r="G41" s="41"/>
      <c r="H41" s="59"/>
      <c r="I41" s="82"/>
      <c r="J41" s="337" t="s">
        <v>158</v>
      </c>
      <c r="K41" s="79"/>
      <c r="L41" s="2"/>
    </row>
    <row r="42" ht="19.5" customHeight="1">
      <c r="A42" s="243"/>
      <c r="B42" s="194" t="s">
        <v>689</v>
      </c>
      <c r="C42" s="67" t="s">
        <v>686</v>
      </c>
      <c r="D42" s="189">
        <v>127.4</v>
      </c>
      <c r="E42" s="67">
        <v>0.154</v>
      </c>
      <c r="F42" s="78"/>
      <c r="G42" s="41"/>
      <c r="H42" s="59"/>
      <c r="I42" s="82"/>
      <c r="J42" s="143">
        <f t="shared" ref="J42:J44" si="8">D42*E42</f>
        <v>19.6196</v>
      </c>
      <c r="K42" s="79"/>
      <c r="L42" s="2"/>
    </row>
    <row r="43" ht="19.5" customHeight="1">
      <c r="A43" s="243"/>
      <c r="B43" s="194"/>
      <c r="C43" s="209">
        <v>8.0</v>
      </c>
      <c r="D43" s="189">
        <v>51.8</v>
      </c>
      <c r="E43" s="67">
        <v>0.395</v>
      </c>
      <c r="F43" s="78"/>
      <c r="G43" s="41"/>
      <c r="H43" s="59"/>
      <c r="I43" s="82"/>
      <c r="J43" s="143">
        <f t="shared" si="8"/>
        <v>20.461</v>
      </c>
      <c r="K43" s="79"/>
      <c r="L43" s="2"/>
    </row>
    <row r="44" ht="19.5" customHeight="1">
      <c r="A44" s="243"/>
      <c r="B44" s="194"/>
      <c r="C44" s="209">
        <v>10.0</v>
      </c>
      <c r="D44" s="189">
        <v>8.5</v>
      </c>
      <c r="E44" s="67">
        <v>0.617</v>
      </c>
      <c r="F44" s="78"/>
      <c r="G44" s="41"/>
      <c r="H44" s="59"/>
      <c r="I44" s="82"/>
      <c r="J44" s="143">
        <f t="shared" si="8"/>
        <v>5.2445</v>
      </c>
      <c r="K44" s="79"/>
      <c r="L44" s="2"/>
    </row>
    <row r="45" ht="19.5" customHeight="1">
      <c r="A45" s="243"/>
      <c r="B45" s="243"/>
      <c r="C45" s="243"/>
      <c r="D45" s="78"/>
      <c r="E45" s="37"/>
      <c r="F45" s="40"/>
      <c r="G45" s="40"/>
      <c r="H45" s="40"/>
      <c r="I45" s="42"/>
      <c r="J45" s="101"/>
      <c r="K45" s="83"/>
      <c r="L45" s="2"/>
    </row>
    <row r="46" ht="19.5" customHeight="1">
      <c r="A46" s="243"/>
      <c r="B46" s="243"/>
      <c r="C46" s="337" t="s">
        <v>695</v>
      </c>
      <c r="D46" s="337" t="s">
        <v>987</v>
      </c>
      <c r="E46" s="337" t="s">
        <v>988</v>
      </c>
      <c r="F46" s="337" t="s">
        <v>989</v>
      </c>
      <c r="G46" s="40"/>
      <c r="H46" s="40"/>
      <c r="I46" s="42"/>
      <c r="J46" s="40"/>
      <c r="K46" s="38"/>
      <c r="L46" s="2"/>
    </row>
    <row r="47" ht="19.5" customHeight="1">
      <c r="A47" s="213"/>
      <c r="B47" s="190" t="s">
        <v>694</v>
      </c>
      <c r="C47" s="210">
        <f>104+6</f>
        <v>110</v>
      </c>
      <c r="D47" s="192">
        <v>0.3</v>
      </c>
      <c r="E47" s="67">
        <v>10.0</v>
      </c>
      <c r="F47" s="205">
        <f>C47*E47</f>
        <v>1100</v>
      </c>
      <c r="G47" s="205"/>
      <c r="H47" s="206"/>
      <c r="I47" s="206"/>
      <c r="J47" s="196"/>
      <c r="K47" s="203"/>
      <c r="L47" s="2"/>
    </row>
    <row r="48" ht="19.5" customHeight="1">
      <c r="A48" s="46"/>
      <c r="B48" s="37"/>
      <c r="C48" s="46"/>
      <c r="D48" s="78"/>
      <c r="E48" s="37"/>
      <c r="F48" s="40"/>
      <c r="G48" s="40"/>
      <c r="H48" s="40"/>
      <c r="I48" s="42"/>
      <c r="J48" s="107"/>
      <c r="K48" s="79"/>
      <c r="L48" s="2"/>
      <c r="M48" s="2"/>
    </row>
    <row r="49" ht="19.5" customHeight="1">
      <c r="A49" s="186"/>
      <c r="B49" s="190"/>
      <c r="C49" s="337" t="s">
        <v>106</v>
      </c>
      <c r="D49" s="337" t="s">
        <v>695</v>
      </c>
      <c r="E49" s="337" t="s">
        <v>683</v>
      </c>
      <c r="F49" s="337" t="s">
        <v>696</v>
      </c>
      <c r="G49" s="337" t="s">
        <v>684</v>
      </c>
      <c r="H49" s="337" t="s">
        <v>697</v>
      </c>
      <c r="I49" s="206"/>
      <c r="J49" s="196"/>
      <c r="K49" s="203"/>
      <c r="L49" s="2"/>
    </row>
    <row r="50" ht="19.5" customHeight="1">
      <c r="A50" s="213"/>
      <c r="B50" s="190" t="s">
        <v>698</v>
      </c>
      <c r="C50" s="210">
        <f>C47</f>
        <v>110</v>
      </c>
      <c r="D50" s="192">
        <v>35.0</v>
      </c>
      <c r="E50" s="228" t="s">
        <v>686</v>
      </c>
      <c r="F50" s="207">
        <v>0.75</v>
      </c>
      <c r="G50" s="67">
        <v>0.154</v>
      </c>
      <c r="H50" s="206">
        <f t="shared" ref="H50:H51" si="9">C50*D50*F50*G50</f>
        <v>444.675</v>
      </c>
      <c r="I50" s="206"/>
      <c r="J50" s="196"/>
      <c r="K50" s="203"/>
      <c r="L50" s="2"/>
    </row>
    <row r="51" ht="19.5" customHeight="1">
      <c r="A51" s="186"/>
      <c r="B51" s="190"/>
      <c r="C51" s="210">
        <f>C47</f>
        <v>110</v>
      </c>
      <c r="D51" s="192">
        <v>6.0</v>
      </c>
      <c r="E51" s="215">
        <v>45424.0</v>
      </c>
      <c r="F51" s="207">
        <v>7.42</v>
      </c>
      <c r="G51" s="67">
        <v>0.963</v>
      </c>
      <c r="H51" s="206">
        <f t="shared" si="9"/>
        <v>4716.0036</v>
      </c>
      <c r="I51" s="206"/>
      <c r="J51" s="196"/>
      <c r="K51" s="203"/>
      <c r="L51" s="2"/>
    </row>
    <row r="52" ht="19.5" customHeight="1">
      <c r="A52" s="79"/>
      <c r="B52" s="95"/>
      <c r="C52" s="79"/>
      <c r="D52" s="122"/>
      <c r="E52" s="37"/>
      <c r="F52" s="40"/>
      <c r="G52" s="40"/>
      <c r="H52" s="59"/>
      <c r="I52" s="82"/>
      <c r="J52" s="121"/>
      <c r="K52" s="79"/>
      <c r="L52" s="2"/>
      <c r="M52" s="2"/>
    </row>
    <row r="53" ht="19.5" customHeight="1">
      <c r="A53" s="74" t="s">
        <v>1</v>
      </c>
      <c r="B53" s="74" t="s">
        <v>91</v>
      </c>
      <c r="C53" s="74" t="s">
        <v>92</v>
      </c>
      <c r="D53" s="76" t="s">
        <v>93</v>
      </c>
      <c r="E53" s="50" t="s">
        <v>97</v>
      </c>
      <c r="F53" s="53" t="s">
        <v>121</v>
      </c>
      <c r="G53" s="53" t="s">
        <v>99</v>
      </c>
      <c r="H53" s="178" t="s">
        <v>650</v>
      </c>
      <c r="I53" s="178" t="s">
        <v>651</v>
      </c>
      <c r="J53" s="177" t="s">
        <v>652</v>
      </c>
      <c r="K53" s="179" t="s">
        <v>653</v>
      </c>
      <c r="L53" s="2"/>
      <c r="M53" s="2"/>
    </row>
    <row r="54" ht="19.5" customHeight="1">
      <c r="A54" s="46">
        <v>1.0</v>
      </c>
      <c r="B54" s="49" t="s">
        <v>990</v>
      </c>
      <c r="C54" s="46" t="s">
        <v>148</v>
      </c>
      <c r="D54" s="115">
        <v>1.0</v>
      </c>
      <c r="E54" s="49">
        <v>0.5</v>
      </c>
      <c r="F54" s="39">
        <v>27.68</v>
      </c>
      <c r="G54" s="41">
        <v>0.14</v>
      </c>
      <c r="H54" s="40">
        <f t="shared" ref="H54:H81" si="10">D54*(E54+0.05)*F54*(G54+0.4)</f>
        <v>8.22096</v>
      </c>
      <c r="I54" s="42">
        <f t="shared" ref="I54:I81" si="11">D54*F54*G54</f>
        <v>3.8752</v>
      </c>
      <c r="J54" s="40">
        <f t="shared" ref="J54:J81" si="12">2*(D54*E54*F54)</f>
        <v>27.68</v>
      </c>
      <c r="K54" s="251">
        <f t="shared" ref="K54:K81" si="13">F54*((G54+E54)*2)</f>
        <v>35.4304</v>
      </c>
    </row>
    <row r="55" ht="19.5" customHeight="1">
      <c r="A55" s="46">
        <f t="shared" ref="A55:A81" si="14">A54+1</f>
        <v>2</v>
      </c>
      <c r="B55" s="49" t="s">
        <v>991</v>
      </c>
      <c r="C55" s="46" t="s">
        <v>148</v>
      </c>
      <c r="D55" s="39">
        <v>1.0</v>
      </c>
      <c r="E55" s="49">
        <v>0.5</v>
      </c>
      <c r="F55" s="39">
        <v>10.23</v>
      </c>
      <c r="G55" s="41">
        <v>0.14</v>
      </c>
      <c r="H55" s="40">
        <f t="shared" si="10"/>
        <v>3.03831</v>
      </c>
      <c r="I55" s="42">
        <f t="shared" si="11"/>
        <v>1.4322</v>
      </c>
      <c r="J55" s="40">
        <f t="shared" si="12"/>
        <v>10.23</v>
      </c>
      <c r="K55" s="251">
        <f t="shared" si="13"/>
        <v>13.0944</v>
      </c>
    </row>
    <row r="56" ht="19.5" customHeight="1">
      <c r="A56" s="46">
        <f t="shared" si="14"/>
        <v>3</v>
      </c>
      <c r="B56" s="49" t="s">
        <v>992</v>
      </c>
      <c r="C56" s="46" t="s">
        <v>148</v>
      </c>
      <c r="D56" s="39">
        <v>1.0</v>
      </c>
      <c r="E56" s="49">
        <v>0.5</v>
      </c>
      <c r="F56" s="39">
        <v>9.16</v>
      </c>
      <c r="G56" s="41">
        <v>0.14</v>
      </c>
      <c r="H56" s="40">
        <f t="shared" si="10"/>
        <v>2.72052</v>
      </c>
      <c r="I56" s="42">
        <f t="shared" si="11"/>
        <v>1.2824</v>
      </c>
      <c r="J56" s="40">
        <f t="shared" si="12"/>
        <v>9.16</v>
      </c>
      <c r="K56" s="251">
        <f t="shared" si="13"/>
        <v>11.7248</v>
      </c>
      <c r="L56" s="14"/>
    </row>
    <row r="57" ht="19.5" customHeight="1">
      <c r="A57" s="46">
        <f t="shared" si="14"/>
        <v>4</v>
      </c>
      <c r="B57" s="49" t="s">
        <v>993</v>
      </c>
      <c r="C57" s="46" t="s">
        <v>148</v>
      </c>
      <c r="D57" s="39">
        <v>1.0</v>
      </c>
      <c r="E57" s="49">
        <v>0.5</v>
      </c>
      <c r="F57" s="39">
        <v>2.01</v>
      </c>
      <c r="G57" s="41">
        <v>0.14</v>
      </c>
      <c r="H57" s="40">
        <f t="shared" si="10"/>
        <v>0.59697</v>
      </c>
      <c r="I57" s="42">
        <f t="shared" si="11"/>
        <v>0.2814</v>
      </c>
      <c r="J57" s="40">
        <f t="shared" si="12"/>
        <v>2.01</v>
      </c>
      <c r="K57" s="251">
        <f t="shared" si="13"/>
        <v>2.5728</v>
      </c>
      <c r="L57" s="14"/>
    </row>
    <row r="58" ht="19.5" customHeight="1">
      <c r="A58" s="46">
        <f t="shared" si="14"/>
        <v>5</v>
      </c>
      <c r="B58" s="49" t="s">
        <v>994</v>
      </c>
      <c r="C58" s="46" t="s">
        <v>148</v>
      </c>
      <c r="D58" s="39">
        <v>1.0</v>
      </c>
      <c r="E58" s="49">
        <v>0.5</v>
      </c>
      <c r="F58" s="39">
        <v>8.0</v>
      </c>
      <c r="G58" s="41">
        <v>0.14</v>
      </c>
      <c r="H58" s="40">
        <f t="shared" si="10"/>
        <v>2.376</v>
      </c>
      <c r="I58" s="42">
        <f t="shared" si="11"/>
        <v>1.12</v>
      </c>
      <c r="J58" s="40">
        <f t="shared" si="12"/>
        <v>8</v>
      </c>
      <c r="K58" s="251">
        <f t="shared" si="13"/>
        <v>10.24</v>
      </c>
      <c r="L58" s="14"/>
    </row>
    <row r="59" ht="19.5" customHeight="1">
      <c r="A59" s="46">
        <f t="shared" si="14"/>
        <v>6</v>
      </c>
      <c r="B59" s="49" t="s">
        <v>995</v>
      </c>
      <c r="C59" s="46" t="s">
        <v>148</v>
      </c>
      <c r="D59" s="39">
        <v>1.0</v>
      </c>
      <c r="E59" s="49">
        <v>0.5</v>
      </c>
      <c r="F59" s="39">
        <f t="shared" ref="F59:F60" si="15">F55</f>
        <v>10.23</v>
      </c>
      <c r="G59" s="41">
        <v>0.14</v>
      </c>
      <c r="H59" s="40">
        <f t="shared" si="10"/>
        <v>3.03831</v>
      </c>
      <c r="I59" s="42">
        <f t="shared" si="11"/>
        <v>1.4322</v>
      </c>
      <c r="J59" s="40">
        <f t="shared" si="12"/>
        <v>10.23</v>
      </c>
      <c r="K59" s="251">
        <f t="shared" si="13"/>
        <v>13.0944</v>
      </c>
      <c r="L59" s="14"/>
    </row>
    <row r="60" ht="19.5" customHeight="1">
      <c r="A60" s="46">
        <f t="shared" si="14"/>
        <v>7</v>
      </c>
      <c r="B60" s="49" t="s">
        <v>996</v>
      </c>
      <c r="C60" s="46" t="s">
        <v>148</v>
      </c>
      <c r="D60" s="39">
        <v>1.0</v>
      </c>
      <c r="E60" s="49">
        <v>0.5</v>
      </c>
      <c r="F60" s="39">
        <f t="shared" si="15"/>
        <v>9.16</v>
      </c>
      <c r="G60" s="41">
        <v>0.14</v>
      </c>
      <c r="H60" s="40">
        <f t="shared" si="10"/>
        <v>2.72052</v>
      </c>
      <c r="I60" s="42">
        <f t="shared" si="11"/>
        <v>1.2824</v>
      </c>
      <c r="J60" s="40">
        <f t="shared" si="12"/>
        <v>9.16</v>
      </c>
      <c r="K60" s="251">
        <f t="shared" si="13"/>
        <v>11.7248</v>
      </c>
      <c r="L60" s="14"/>
    </row>
    <row r="61" ht="19.5" customHeight="1">
      <c r="A61" s="46">
        <f t="shared" si="14"/>
        <v>8</v>
      </c>
      <c r="B61" s="49" t="s">
        <v>997</v>
      </c>
      <c r="C61" s="46" t="s">
        <v>148</v>
      </c>
      <c r="D61" s="39">
        <v>1.0</v>
      </c>
      <c r="E61" s="49">
        <v>0.5</v>
      </c>
      <c r="F61" s="39">
        <v>6.51</v>
      </c>
      <c r="G61" s="41">
        <v>0.14</v>
      </c>
      <c r="H61" s="40">
        <f t="shared" si="10"/>
        <v>1.93347</v>
      </c>
      <c r="I61" s="42">
        <f t="shared" si="11"/>
        <v>0.9114</v>
      </c>
      <c r="J61" s="40">
        <f t="shared" si="12"/>
        <v>6.51</v>
      </c>
      <c r="K61" s="251">
        <f t="shared" si="13"/>
        <v>8.3328</v>
      </c>
      <c r="L61" s="14"/>
    </row>
    <row r="62" ht="19.5" customHeight="1">
      <c r="A62" s="46">
        <f t="shared" si="14"/>
        <v>9</v>
      </c>
      <c r="B62" s="49" t="s">
        <v>998</v>
      </c>
      <c r="C62" s="46" t="s">
        <v>148</v>
      </c>
      <c r="D62" s="39">
        <v>1.0</v>
      </c>
      <c r="E62" s="49">
        <v>0.5</v>
      </c>
      <c r="F62" s="39">
        <v>3.95</v>
      </c>
      <c r="G62" s="41">
        <v>0.14</v>
      </c>
      <c r="H62" s="40">
        <f t="shared" si="10"/>
        <v>1.17315</v>
      </c>
      <c r="I62" s="42">
        <f t="shared" si="11"/>
        <v>0.553</v>
      </c>
      <c r="J62" s="40">
        <f t="shared" si="12"/>
        <v>3.95</v>
      </c>
      <c r="K62" s="251">
        <f t="shared" si="13"/>
        <v>5.056</v>
      </c>
      <c r="L62" s="14"/>
    </row>
    <row r="63" ht="19.5" customHeight="1">
      <c r="A63" s="46">
        <f t="shared" si="14"/>
        <v>10</v>
      </c>
      <c r="B63" s="49" t="s">
        <v>999</v>
      </c>
      <c r="C63" s="46" t="s">
        <v>148</v>
      </c>
      <c r="D63" s="39">
        <v>1.0</v>
      </c>
      <c r="E63" s="49">
        <v>0.5</v>
      </c>
      <c r="F63" s="39">
        <v>2.86</v>
      </c>
      <c r="G63" s="41">
        <v>0.14</v>
      </c>
      <c r="H63" s="40">
        <f t="shared" si="10"/>
        <v>0.84942</v>
      </c>
      <c r="I63" s="42">
        <f t="shared" si="11"/>
        <v>0.4004</v>
      </c>
      <c r="J63" s="40">
        <f t="shared" si="12"/>
        <v>2.86</v>
      </c>
      <c r="K63" s="251">
        <f t="shared" si="13"/>
        <v>3.6608</v>
      </c>
      <c r="L63" s="14"/>
    </row>
    <row r="64" ht="19.5" customHeight="1">
      <c r="A64" s="46">
        <f t="shared" si="14"/>
        <v>11</v>
      </c>
      <c r="B64" s="49" t="s">
        <v>1000</v>
      </c>
      <c r="C64" s="46" t="s">
        <v>148</v>
      </c>
      <c r="D64" s="39">
        <v>1.0</v>
      </c>
      <c r="E64" s="49">
        <v>0.5</v>
      </c>
      <c r="F64" s="39">
        <v>18.07</v>
      </c>
      <c r="G64" s="41">
        <v>0.14</v>
      </c>
      <c r="H64" s="40">
        <f t="shared" si="10"/>
        <v>5.36679</v>
      </c>
      <c r="I64" s="42">
        <f t="shared" si="11"/>
        <v>2.5298</v>
      </c>
      <c r="J64" s="40">
        <f t="shared" si="12"/>
        <v>18.07</v>
      </c>
      <c r="K64" s="251">
        <f t="shared" si="13"/>
        <v>23.1296</v>
      </c>
      <c r="L64" s="14"/>
    </row>
    <row r="65" ht="19.5" customHeight="1">
      <c r="A65" s="46">
        <f t="shared" si="14"/>
        <v>12</v>
      </c>
      <c r="B65" s="49" t="s">
        <v>1001</v>
      </c>
      <c r="C65" s="46" t="s">
        <v>148</v>
      </c>
      <c r="D65" s="39">
        <v>1.0</v>
      </c>
      <c r="E65" s="49">
        <v>0.5</v>
      </c>
      <c r="F65" s="39">
        <f>F61-1.2</f>
        <v>5.31</v>
      </c>
      <c r="G65" s="41">
        <v>0.14</v>
      </c>
      <c r="H65" s="40">
        <f t="shared" si="10"/>
        <v>1.57707</v>
      </c>
      <c r="I65" s="42">
        <f t="shared" si="11"/>
        <v>0.7434</v>
      </c>
      <c r="J65" s="40">
        <f t="shared" si="12"/>
        <v>5.31</v>
      </c>
      <c r="K65" s="251">
        <f t="shared" si="13"/>
        <v>6.7968</v>
      </c>
      <c r="L65" s="14"/>
    </row>
    <row r="66" ht="19.5" customHeight="1">
      <c r="A66" s="46">
        <f t="shared" si="14"/>
        <v>13</v>
      </c>
      <c r="B66" s="49" t="s">
        <v>1002</v>
      </c>
      <c r="C66" s="46" t="s">
        <v>148</v>
      </c>
      <c r="D66" s="39">
        <v>1.0</v>
      </c>
      <c r="E66" s="49">
        <v>0.5</v>
      </c>
      <c r="F66" s="39">
        <v>1.2</v>
      </c>
      <c r="G66" s="41">
        <v>0.14</v>
      </c>
      <c r="H66" s="40">
        <f t="shared" si="10"/>
        <v>0.3564</v>
      </c>
      <c r="I66" s="42">
        <f t="shared" si="11"/>
        <v>0.168</v>
      </c>
      <c r="J66" s="40">
        <f t="shared" si="12"/>
        <v>1.2</v>
      </c>
      <c r="K66" s="251">
        <f t="shared" si="13"/>
        <v>1.536</v>
      </c>
      <c r="L66" s="14"/>
    </row>
    <row r="67" ht="19.5" customHeight="1">
      <c r="A67" s="46">
        <f t="shared" si="14"/>
        <v>14</v>
      </c>
      <c r="B67" s="49" t="s">
        <v>1003</v>
      </c>
      <c r="C67" s="46" t="s">
        <v>148</v>
      </c>
      <c r="D67" s="39">
        <v>1.0</v>
      </c>
      <c r="E67" s="49">
        <v>0.5</v>
      </c>
      <c r="F67" s="39">
        <v>1.94</v>
      </c>
      <c r="G67" s="41">
        <v>0.14</v>
      </c>
      <c r="H67" s="40">
        <f t="shared" si="10"/>
        <v>0.57618</v>
      </c>
      <c r="I67" s="42">
        <f t="shared" si="11"/>
        <v>0.2716</v>
      </c>
      <c r="J67" s="40">
        <f t="shared" si="12"/>
        <v>1.94</v>
      </c>
      <c r="K67" s="251">
        <f t="shared" si="13"/>
        <v>2.4832</v>
      </c>
      <c r="L67" s="14"/>
    </row>
    <row r="68" ht="19.5" customHeight="1">
      <c r="A68" s="46">
        <f t="shared" si="14"/>
        <v>15</v>
      </c>
      <c r="B68" s="49" t="s">
        <v>1004</v>
      </c>
      <c r="C68" s="46" t="s">
        <v>148</v>
      </c>
      <c r="D68" s="39">
        <v>1.0</v>
      </c>
      <c r="E68" s="49">
        <v>0.5</v>
      </c>
      <c r="F68" s="39">
        <f>F54</f>
        <v>27.68</v>
      </c>
      <c r="G68" s="41">
        <v>0.14</v>
      </c>
      <c r="H68" s="40">
        <f t="shared" si="10"/>
        <v>8.22096</v>
      </c>
      <c r="I68" s="42">
        <f t="shared" si="11"/>
        <v>3.8752</v>
      </c>
      <c r="J68" s="40">
        <f t="shared" si="12"/>
        <v>27.68</v>
      </c>
      <c r="K68" s="251">
        <f t="shared" si="13"/>
        <v>35.4304</v>
      </c>
      <c r="L68" s="14"/>
    </row>
    <row r="69" ht="19.5" customHeight="1">
      <c r="A69" s="46">
        <f t="shared" si="14"/>
        <v>16</v>
      </c>
      <c r="B69" s="49" t="s">
        <v>1005</v>
      </c>
      <c r="C69" s="46" t="s">
        <v>148</v>
      </c>
      <c r="D69" s="39">
        <v>1.0</v>
      </c>
      <c r="E69" s="49">
        <v>0.5</v>
      </c>
      <c r="F69" s="39">
        <v>22.25</v>
      </c>
      <c r="G69" s="41">
        <v>0.14</v>
      </c>
      <c r="H69" s="40">
        <f t="shared" si="10"/>
        <v>6.60825</v>
      </c>
      <c r="I69" s="42">
        <f t="shared" si="11"/>
        <v>3.115</v>
      </c>
      <c r="J69" s="40">
        <f t="shared" si="12"/>
        <v>22.25</v>
      </c>
      <c r="K69" s="251">
        <f t="shared" si="13"/>
        <v>28.48</v>
      </c>
      <c r="L69" s="14"/>
    </row>
    <row r="70" ht="19.5" customHeight="1">
      <c r="A70" s="46">
        <f t="shared" si="14"/>
        <v>17</v>
      </c>
      <c r="B70" s="49" t="s">
        <v>1006</v>
      </c>
      <c r="C70" s="46" t="s">
        <v>148</v>
      </c>
      <c r="D70" s="39">
        <v>1.0</v>
      </c>
      <c r="E70" s="49">
        <v>0.5</v>
      </c>
      <c r="F70" s="39">
        <v>7.62</v>
      </c>
      <c r="G70" s="41">
        <v>0.14</v>
      </c>
      <c r="H70" s="40">
        <f t="shared" si="10"/>
        <v>2.26314</v>
      </c>
      <c r="I70" s="42">
        <f t="shared" si="11"/>
        <v>1.0668</v>
      </c>
      <c r="J70" s="40">
        <f t="shared" si="12"/>
        <v>7.62</v>
      </c>
      <c r="K70" s="251">
        <f t="shared" si="13"/>
        <v>9.7536</v>
      </c>
      <c r="L70" s="14"/>
    </row>
    <row r="71" ht="19.5" customHeight="1">
      <c r="A71" s="46">
        <f t="shared" si="14"/>
        <v>18</v>
      </c>
      <c r="B71" s="49" t="s">
        <v>1007</v>
      </c>
      <c r="C71" s="46" t="s">
        <v>148</v>
      </c>
      <c r="D71" s="39">
        <v>1.0</v>
      </c>
      <c r="E71" s="49">
        <v>0.5</v>
      </c>
      <c r="F71" s="39">
        <v>5.96</v>
      </c>
      <c r="G71" s="41">
        <v>0.14</v>
      </c>
      <c r="H71" s="40">
        <f t="shared" si="10"/>
        <v>1.77012</v>
      </c>
      <c r="I71" s="42">
        <f t="shared" si="11"/>
        <v>0.8344</v>
      </c>
      <c r="J71" s="40">
        <f t="shared" si="12"/>
        <v>5.96</v>
      </c>
      <c r="K71" s="251">
        <f t="shared" si="13"/>
        <v>7.6288</v>
      </c>
      <c r="L71" s="14"/>
    </row>
    <row r="72" ht="19.5" customHeight="1">
      <c r="A72" s="46">
        <f t="shared" si="14"/>
        <v>19</v>
      </c>
      <c r="B72" s="49" t="s">
        <v>1008</v>
      </c>
      <c r="C72" s="46" t="s">
        <v>148</v>
      </c>
      <c r="D72" s="39">
        <v>1.0</v>
      </c>
      <c r="E72" s="49">
        <v>0.5</v>
      </c>
      <c r="F72" s="39">
        <v>12.82</v>
      </c>
      <c r="G72" s="41">
        <v>0.14</v>
      </c>
      <c r="H72" s="40">
        <f t="shared" si="10"/>
        <v>3.80754</v>
      </c>
      <c r="I72" s="42">
        <f t="shared" si="11"/>
        <v>1.7948</v>
      </c>
      <c r="J72" s="40">
        <f t="shared" si="12"/>
        <v>12.82</v>
      </c>
      <c r="K72" s="251">
        <f t="shared" si="13"/>
        <v>16.4096</v>
      </c>
      <c r="L72" s="14"/>
    </row>
    <row r="73" ht="19.5" customHeight="1">
      <c r="A73" s="46">
        <f t="shared" si="14"/>
        <v>20</v>
      </c>
      <c r="B73" s="49" t="s">
        <v>1009</v>
      </c>
      <c r="C73" s="46" t="s">
        <v>148</v>
      </c>
      <c r="D73" s="39">
        <v>1.0</v>
      </c>
      <c r="E73" s="49">
        <v>0.5</v>
      </c>
      <c r="F73" s="39">
        <v>3.07</v>
      </c>
      <c r="G73" s="41">
        <v>0.14</v>
      </c>
      <c r="H73" s="40">
        <f t="shared" si="10"/>
        <v>0.91179</v>
      </c>
      <c r="I73" s="42">
        <f t="shared" si="11"/>
        <v>0.4298</v>
      </c>
      <c r="J73" s="40">
        <f t="shared" si="12"/>
        <v>3.07</v>
      </c>
      <c r="K73" s="251">
        <f t="shared" si="13"/>
        <v>3.9296</v>
      </c>
      <c r="L73" s="14"/>
    </row>
    <row r="74" ht="19.5" customHeight="1">
      <c r="A74" s="46">
        <f t="shared" si="14"/>
        <v>21</v>
      </c>
      <c r="B74" s="49" t="s">
        <v>1010</v>
      </c>
      <c r="C74" s="46" t="s">
        <v>148</v>
      </c>
      <c r="D74" s="39">
        <v>1.0</v>
      </c>
      <c r="E74" s="49">
        <v>0.5</v>
      </c>
      <c r="F74" s="39">
        <v>7.22</v>
      </c>
      <c r="G74" s="41">
        <v>0.14</v>
      </c>
      <c r="H74" s="40">
        <f t="shared" si="10"/>
        <v>2.14434</v>
      </c>
      <c r="I74" s="42">
        <f t="shared" si="11"/>
        <v>1.0108</v>
      </c>
      <c r="J74" s="40">
        <f t="shared" si="12"/>
        <v>7.22</v>
      </c>
      <c r="K74" s="251">
        <f t="shared" si="13"/>
        <v>9.2416</v>
      </c>
      <c r="L74" s="14"/>
    </row>
    <row r="75" ht="19.5" customHeight="1">
      <c r="A75" s="46">
        <f t="shared" si="14"/>
        <v>22</v>
      </c>
      <c r="B75" s="49" t="s">
        <v>1011</v>
      </c>
      <c r="C75" s="46" t="s">
        <v>148</v>
      </c>
      <c r="D75" s="39">
        <v>1.0</v>
      </c>
      <c r="E75" s="49">
        <v>0.5</v>
      </c>
      <c r="F75" s="39">
        <f>F73</f>
        <v>3.07</v>
      </c>
      <c r="G75" s="41">
        <v>0.14</v>
      </c>
      <c r="H75" s="40">
        <f t="shared" si="10"/>
        <v>0.91179</v>
      </c>
      <c r="I75" s="42">
        <f t="shared" si="11"/>
        <v>0.4298</v>
      </c>
      <c r="J75" s="40">
        <f t="shared" si="12"/>
        <v>3.07</v>
      </c>
      <c r="K75" s="251">
        <f t="shared" si="13"/>
        <v>3.9296</v>
      </c>
      <c r="L75" s="14"/>
    </row>
    <row r="76" ht="19.5" customHeight="1">
      <c r="A76" s="46">
        <f t="shared" si="14"/>
        <v>23</v>
      </c>
      <c r="B76" s="49" t="s">
        <v>1012</v>
      </c>
      <c r="C76" s="46" t="s">
        <v>148</v>
      </c>
      <c r="D76" s="39">
        <v>1.0</v>
      </c>
      <c r="E76" s="49">
        <v>0.5</v>
      </c>
      <c r="F76" s="39">
        <f>F73</f>
        <v>3.07</v>
      </c>
      <c r="G76" s="41">
        <v>0.14</v>
      </c>
      <c r="H76" s="40">
        <f t="shared" si="10"/>
        <v>0.91179</v>
      </c>
      <c r="I76" s="42">
        <f t="shared" si="11"/>
        <v>0.4298</v>
      </c>
      <c r="J76" s="40">
        <f t="shared" si="12"/>
        <v>3.07</v>
      </c>
      <c r="K76" s="251">
        <f t="shared" si="13"/>
        <v>3.9296</v>
      </c>
      <c r="L76" s="14"/>
    </row>
    <row r="77" ht="19.5" customHeight="1">
      <c r="A77" s="46">
        <f t="shared" si="14"/>
        <v>24</v>
      </c>
      <c r="B77" s="49" t="s">
        <v>1013</v>
      </c>
      <c r="C77" s="46" t="s">
        <v>148</v>
      </c>
      <c r="D77" s="39">
        <v>1.0</v>
      </c>
      <c r="E77" s="49">
        <v>0.5</v>
      </c>
      <c r="F77" s="39">
        <v>3.51</v>
      </c>
      <c r="G77" s="41">
        <v>0.14</v>
      </c>
      <c r="H77" s="40">
        <f t="shared" si="10"/>
        <v>1.04247</v>
      </c>
      <c r="I77" s="42">
        <f t="shared" si="11"/>
        <v>0.4914</v>
      </c>
      <c r="J77" s="40">
        <f t="shared" si="12"/>
        <v>3.51</v>
      </c>
      <c r="K77" s="251">
        <f t="shared" si="13"/>
        <v>4.4928</v>
      </c>
      <c r="L77" s="14"/>
    </row>
    <row r="78" ht="19.5" customHeight="1">
      <c r="A78" s="46">
        <f t="shared" si="14"/>
        <v>25</v>
      </c>
      <c r="B78" s="49" t="s">
        <v>1014</v>
      </c>
      <c r="C78" s="46" t="s">
        <v>148</v>
      </c>
      <c r="D78" s="39">
        <v>1.0</v>
      </c>
      <c r="E78" s="49">
        <v>0.5</v>
      </c>
      <c r="F78" s="39">
        <v>6.35</v>
      </c>
      <c r="G78" s="41">
        <v>0.14</v>
      </c>
      <c r="H78" s="40">
        <f t="shared" si="10"/>
        <v>1.88595</v>
      </c>
      <c r="I78" s="42">
        <f t="shared" si="11"/>
        <v>0.889</v>
      </c>
      <c r="J78" s="40">
        <f t="shared" si="12"/>
        <v>6.35</v>
      </c>
      <c r="K78" s="251">
        <f t="shared" si="13"/>
        <v>8.128</v>
      </c>
      <c r="L78" s="14"/>
    </row>
    <row r="79" ht="19.5" customHeight="1">
      <c r="A79" s="46">
        <f t="shared" si="14"/>
        <v>26</v>
      </c>
      <c r="B79" s="49" t="s">
        <v>1015</v>
      </c>
      <c r="C79" s="46" t="s">
        <v>148</v>
      </c>
      <c r="D79" s="39">
        <v>1.0</v>
      </c>
      <c r="E79" s="49">
        <v>0.5</v>
      </c>
      <c r="F79" s="39">
        <v>6.34</v>
      </c>
      <c r="G79" s="41">
        <v>0.14</v>
      </c>
      <c r="H79" s="40">
        <f t="shared" si="10"/>
        <v>1.88298</v>
      </c>
      <c r="I79" s="42">
        <f t="shared" si="11"/>
        <v>0.8876</v>
      </c>
      <c r="J79" s="40">
        <f t="shared" si="12"/>
        <v>6.34</v>
      </c>
      <c r="K79" s="251">
        <f t="shared" si="13"/>
        <v>8.1152</v>
      </c>
      <c r="L79" s="14"/>
    </row>
    <row r="80" ht="19.5" customHeight="1">
      <c r="A80" s="46">
        <f t="shared" si="14"/>
        <v>27</v>
      </c>
      <c r="B80" s="49" t="s">
        <v>1016</v>
      </c>
      <c r="C80" s="46" t="s">
        <v>148</v>
      </c>
      <c r="D80" s="39">
        <v>1.0</v>
      </c>
      <c r="E80" s="49">
        <v>0.5</v>
      </c>
      <c r="F80" s="39">
        <f>F78</f>
        <v>6.35</v>
      </c>
      <c r="G80" s="41">
        <v>0.14</v>
      </c>
      <c r="H80" s="40">
        <f t="shared" si="10"/>
        <v>1.88595</v>
      </c>
      <c r="I80" s="42">
        <f t="shared" si="11"/>
        <v>0.889</v>
      </c>
      <c r="J80" s="40">
        <f t="shared" si="12"/>
        <v>6.35</v>
      </c>
      <c r="K80" s="251">
        <f t="shared" si="13"/>
        <v>8.128</v>
      </c>
      <c r="L80" s="14"/>
    </row>
    <row r="81" ht="19.5" customHeight="1">
      <c r="A81" s="46">
        <f t="shared" si="14"/>
        <v>28</v>
      </c>
      <c r="B81" s="49" t="s">
        <v>1017</v>
      </c>
      <c r="C81" s="46" t="s">
        <v>148</v>
      </c>
      <c r="D81" s="39">
        <v>1.0</v>
      </c>
      <c r="E81" s="49">
        <v>0.5</v>
      </c>
      <c r="F81" s="39">
        <f>F69</f>
        <v>22.25</v>
      </c>
      <c r="G81" s="41">
        <v>0.14</v>
      </c>
      <c r="H81" s="40">
        <f t="shared" si="10"/>
        <v>6.60825</v>
      </c>
      <c r="I81" s="42">
        <f t="shared" si="11"/>
        <v>3.115</v>
      </c>
      <c r="J81" s="40">
        <f t="shared" si="12"/>
        <v>22.25</v>
      </c>
      <c r="K81" s="251">
        <f t="shared" si="13"/>
        <v>28.48</v>
      </c>
      <c r="L81" s="14"/>
    </row>
    <row r="82" ht="19.5" customHeight="1">
      <c r="A82" s="46"/>
      <c r="B82" s="49"/>
      <c r="C82" s="46"/>
      <c r="D82" s="39"/>
      <c r="E82" s="49"/>
      <c r="F82" s="78"/>
      <c r="G82" s="41"/>
      <c r="H82" s="341"/>
      <c r="I82" s="341"/>
      <c r="J82" s="341"/>
      <c r="K82" s="341"/>
      <c r="L82" s="14"/>
    </row>
    <row r="83" ht="19.5" customHeight="1">
      <c r="A83" s="46"/>
      <c r="B83" s="67" t="s">
        <v>1018</v>
      </c>
      <c r="C83" s="191" t="s">
        <v>103</v>
      </c>
      <c r="D83" s="182"/>
      <c r="E83" s="243"/>
      <c r="F83" s="78"/>
      <c r="G83" s="41"/>
      <c r="H83" s="59"/>
      <c r="I83" s="82"/>
      <c r="J83" s="121"/>
      <c r="K83" s="339">
        <f>SUM(K54:K81)</f>
        <v>324.9536</v>
      </c>
      <c r="L83" s="14"/>
    </row>
    <row r="84" ht="19.5" customHeight="1">
      <c r="A84" s="46"/>
      <c r="B84" s="194" t="s">
        <v>745</v>
      </c>
      <c r="C84" s="191" t="s">
        <v>103</v>
      </c>
      <c r="D84" s="182"/>
      <c r="E84" s="243"/>
      <c r="F84" s="78"/>
      <c r="G84" s="41"/>
      <c r="H84" s="59"/>
      <c r="I84" s="82"/>
      <c r="J84" s="121"/>
      <c r="K84" s="339">
        <f>SUM(I54:I81)</f>
        <v>35.5418</v>
      </c>
      <c r="L84" s="14"/>
    </row>
    <row r="85" ht="19.5" customHeight="1">
      <c r="A85" s="46"/>
      <c r="B85" s="194" t="s">
        <v>674</v>
      </c>
      <c r="C85" s="46" t="s">
        <v>148</v>
      </c>
      <c r="D85" s="182"/>
      <c r="E85" s="243"/>
      <c r="F85" s="78"/>
      <c r="G85" s="41"/>
      <c r="H85" s="59"/>
      <c r="I85" s="82"/>
      <c r="J85" s="121"/>
      <c r="K85" s="339">
        <f>SUM(H54:H81)</f>
        <v>75.39939</v>
      </c>
      <c r="L85" s="14"/>
    </row>
    <row r="86" ht="19.5" customHeight="1">
      <c r="A86" s="46"/>
      <c r="B86" s="194" t="s">
        <v>746</v>
      </c>
      <c r="C86" s="46" t="s">
        <v>148</v>
      </c>
      <c r="D86" s="182"/>
      <c r="E86" s="243"/>
      <c r="F86" s="78"/>
      <c r="G86" s="41"/>
      <c r="H86" s="59"/>
      <c r="I86" s="82"/>
      <c r="J86" s="342"/>
      <c r="K86" s="339">
        <f>K84*0.05</f>
        <v>1.77709</v>
      </c>
      <c r="L86" s="14"/>
    </row>
    <row r="87" ht="19.5" customHeight="1">
      <c r="A87" s="46"/>
      <c r="B87" s="67" t="s">
        <v>747</v>
      </c>
      <c r="C87" s="191" t="s">
        <v>103</v>
      </c>
      <c r="D87" s="182"/>
      <c r="E87" s="243"/>
      <c r="F87" s="78"/>
      <c r="G87" s="41"/>
      <c r="H87" s="59"/>
      <c r="I87" s="82"/>
      <c r="J87" s="121"/>
      <c r="K87" s="339">
        <f>100.2+85.33+102.92</f>
        <v>288.45</v>
      </c>
      <c r="L87" s="14"/>
    </row>
    <row r="88" ht="19.5" customHeight="1">
      <c r="A88" s="46"/>
      <c r="B88" s="67" t="s">
        <v>748</v>
      </c>
      <c r="C88" s="46" t="s">
        <v>148</v>
      </c>
      <c r="D88" s="182"/>
      <c r="E88" s="243"/>
      <c r="F88" s="78"/>
      <c r="G88" s="41"/>
      <c r="H88" s="59"/>
      <c r="I88" s="82"/>
      <c r="J88" s="121"/>
      <c r="K88" s="339">
        <f>6.16+5.25+6.33</f>
        <v>17.74</v>
      </c>
      <c r="L88" s="14"/>
    </row>
    <row r="89" ht="19.5" customHeight="1">
      <c r="A89" s="46"/>
      <c r="B89" s="194"/>
      <c r="C89" s="337" t="s">
        <v>683</v>
      </c>
      <c r="D89" s="338" t="s">
        <v>108</v>
      </c>
      <c r="E89" s="337" t="s">
        <v>684</v>
      </c>
      <c r="F89" s="78"/>
      <c r="G89" s="41"/>
      <c r="H89" s="59"/>
      <c r="I89" s="82"/>
      <c r="J89" s="337" t="s">
        <v>158</v>
      </c>
      <c r="K89" s="79"/>
      <c r="L89" s="14"/>
    </row>
    <row r="90" ht="19.5" customHeight="1">
      <c r="A90" s="46"/>
      <c r="B90" s="194" t="s">
        <v>1019</v>
      </c>
      <c r="C90" s="67" t="s">
        <v>686</v>
      </c>
      <c r="D90" s="189">
        <f>405.9+367.6+436.5</f>
        <v>1210</v>
      </c>
      <c r="E90" s="67">
        <v>0.154</v>
      </c>
      <c r="F90" s="78"/>
      <c r="G90" s="41"/>
      <c r="H90" s="59"/>
      <c r="I90" s="82"/>
      <c r="J90" s="143">
        <f t="shared" ref="J90:J93" si="16">D90*E90</f>
        <v>186.34</v>
      </c>
      <c r="K90" s="79"/>
      <c r="L90" s="14"/>
    </row>
    <row r="91" ht="19.5" customHeight="1">
      <c r="A91" s="46"/>
      <c r="B91" s="194"/>
      <c r="C91" s="208">
        <v>45357.0</v>
      </c>
      <c r="D91" s="189">
        <f>0.7+0.7+0.7</f>
        <v>2.1</v>
      </c>
      <c r="E91" s="67">
        <v>0.245</v>
      </c>
      <c r="F91" s="78"/>
      <c r="G91" s="41"/>
      <c r="H91" s="59"/>
      <c r="I91" s="82"/>
      <c r="J91" s="143">
        <f t="shared" si="16"/>
        <v>0.5145</v>
      </c>
      <c r="K91" s="79"/>
      <c r="L91" s="14"/>
    </row>
    <row r="92" ht="19.5" customHeight="1">
      <c r="A92" s="46"/>
      <c r="B92" s="194"/>
      <c r="C92" s="209">
        <v>8.0</v>
      </c>
      <c r="D92" s="189">
        <f>394.5+342.6+384.6</f>
        <v>1121.7</v>
      </c>
      <c r="E92" s="67">
        <v>0.395</v>
      </c>
      <c r="F92" s="78"/>
      <c r="G92" s="41"/>
      <c r="H92" s="59"/>
      <c r="I92" s="82"/>
      <c r="J92" s="143">
        <f t="shared" si="16"/>
        <v>443.0715</v>
      </c>
      <c r="K92" s="79"/>
      <c r="L92" s="14"/>
    </row>
    <row r="93" ht="19.5" customHeight="1">
      <c r="A93" s="46"/>
      <c r="B93" s="194"/>
      <c r="C93" s="209">
        <v>10.0</v>
      </c>
      <c r="D93" s="189">
        <f>63.6+63.6+123</f>
        <v>250.2</v>
      </c>
      <c r="E93" s="67">
        <v>0.617</v>
      </c>
      <c r="F93" s="78"/>
      <c r="G93" s="41"/>
      <c r="H93" s="59"/>
      <c r="I93" s="82"/>
      <c r="J93" s="143">
        <f t="shared" si="16"/>
        <v>154.3734</v>
      </c>
      <c r="K93" s="79"/>
      <c r="L93" s="14"/>
    </row>
    <row r="94" ht="19.5" customHeight="1">
      <c r="A94" s="79"/>
      <c r="B94" s="95"/>
      <c r="C94" s="79"/>
      <c r="D94" s="122"/>
      <c r="E94" s="49"/>
      <c r="F94" s="78"/>
      <c r="G94" s="41"/>
      <c r="H94" s="59"/>
      <c r="I94" s="82"/>
      <c r="J94" s="121"/>
      <c r="K94" s="79"/>
      <c r="L94" s="14"/>
    </row>
    <row r="95" ht="19.5" customHeight="1">
      <c r="A95" s="74" t="s">
        <v>1</v>
      </c>
      <c r="B95" s="74" t="s">
        <v>91</v>
      </c>
      <c r="C95" s="74" t="s">
        <v>92</v>
      </c>
      <c r="D95" s="76" t="s">
        <v>93</v>
      </c>
      <c r="E95" s="50" t="s">
        <v>97</v>
      </c>
      <c r="F95" s="53" t="s">
        <v>121</v>
      </c>
      <c r="G95" s="53" t="s">
        <v>99</v>
      </c>
      <c r="H95" s="75" t="s">
        <v>100</v>
      </c>
      <c r="I95" s="75" t="s">
        <v>101</v>
      </c>
      <c r="J95" s="76" t="s">
        <v>95</v>
      </c>
      <c r="K95" s="74" t="s">
        <v>96</v>
      </c>
      <c r="M95" s="45">
        <f>F67*E67+F67*E67+G67*F67</f>
        <v>2.2116</v>
      </c>
    </row>
    <row r="96" ht="19.5" customHeight="1">
      <c r="A96" s="46">
        <v>1.0</v>
      </c>
      <c r="B96" s="37" t="s">
        <v>339</v>
      </c>
      <c r="C96" s="46" t="s">
        <v>148</v>
      </c>
      <c r="D96" s="78">
        <f>J14</f>
        <v>128.7177105</v>
      </c>
      <c r="E96" s="37"/>
      <c r="F96" s="78"/>
      <c r="G96" s="40"/>
      <c r="H96" s="40">
        <f>D96</f>
        <v>128.7177105</v>
      </c>
      <c r="I96" s="42">
        <f>K40+K88</f>
        <v>19.74</v>
      </c>
      <c r="J96" s="43">
        <f>H96-I96</f>
        <v>108.9777105</v>
      </c>
      <c r="K96" s="46"/>
    </row>
    <row r="97" ht="19.5" customHeight="1">
      <c r="A97" s="46">
        <v>2.0</v>
      </c>
      <c r="B97" s="37" t="s">
        <v>340</v>
      </c>
      <c r="C97" s="46" t="s">
        <v>148</v>
      </c>
      <c r="D97" s="78">
        <v>1.0</v>
      </c>
      <c r="E97" s="37">
        <v>0.3</v>
      </c>
      <c r="F97" s="78">
        <v>27.68</v>
      </c>
      <c r="G97" s="40">
        <v>22.25</v>
      </c>
      <c r="H97" s="40">
        <f>(G97*F97*E97)-H96</f>
        <v>56.0462895</v>
      </c>
      <c r="I97" s="42"/>
      <c r="J97" s="43">
        <f>H97*1.5</f>
        <v>84.06943425</v>
      </c>
      <c r="K97" s="46" t="s">
        <v>341</v>
      </c>
    </row>
    <row r="98" ht="19.5" customHeight="1">
      <c r="A98" s="74" t="s">
        <v>1</v>
      </c>
      <c r="B98" s="74" t="s">
        <v>91</v>
      </c>
      <c r="C98" s="74" t="s">
        <v>92</v>
      </c>
      <c r="D98" s="76" t="s">
        <v>93</v>
      </c>
      <c r="E98" s="50" t="s">
        <v>97</v>
      </c>
      <c r="F98" s="53" t="s">
        <v>121</v>
      </c>
      <c r="G98" s="53" t="s">
        <v>99</v>
      </c>
      <c r="H98" s="75" t="s">
        <v>100</v>
      </c>
      <c r="I98" s="75" t="s">
        <v>101</v>
      </c>
      <c r="J98" s="76" t="s">
        <v>95</v>
      </c>
      <c r="K98" s="74" t="s">
        <v>96</v>
      </c>
      <c r="L98" s="14"/>
    </row>
    <row r="99" ht="19.5" customHeight="1">
      <c r="A99" s="46">
        <v>1.0</v>
      </c>
      <c r="B99" s="37" t="s">
        <v>172</v>
      </c>
      <c r="C99" s="46" t="s">
        <v>148</v>
      </c>
      <c r="D99" s="78">
        <v>1.0</v>
      </c>
      <c r="E99" s="37">
        <v>0.05</v>
      </c>
      <c r="F99" s="78">
        <f t="shared" ref="F99:G99" si="17">F97</f>
        <v>27.68</v>
      </c>
      <c r="G99" s="40">
        <f t="shared" si="17"/>
        <v>22.25</v>
      </c>
      <c r="H99" s="40">
        <f>G99*F99*E99*D99</f>
        <v>30.794</v>
      </c>
      <c r="I99" s="42"/>
      <c r="J99" s="43">
        <f t="shared" ref="J99:J101" si="19">H99</f>
        <v>30.794</v>
      </c>
      <c r="K99" s="46"/>
    </row>
    <row r="100" ht="19.5" customHeight="1">
      <c r="A100" s="46">
        <v>2.0</v>
      </c>
      <c r="B100" s="37" t="s">
        <v>342</v>
      </c>
      <c r="C100" s="46" t="s">
        <v>103</v>
      </c>
      <c r="D100" s="78">
        <v>1.0</v>
      </c>
      <c r="E100" s="37">
        <v>0.05</v>
      </c>
      <c r="F100" s="78">
        <f t="shared" ref="F100:G100" si="18">F99</f>
        <v>27.68</v>
      </c>
      <c r="G100" s="78">
        <f t="shared" si="18"/>
        <v>22.25</v>
      </c>
      <c r="H100" s="40">
        <f>G100*F100</f>
        <v>615.88</v>
      </c>
      <c r="I100" s="42"/>
      <c r="J100" s="43">
        <f t="shared" si="19"/>
        <v>615.88</v>
      </c>
      <c r="K100" s="46"/>
    </row>
    <row r="101" ht="19.5" customHeight="1">
      <c r="A101" s="46">
        <v>3.0</v>
      </c>
      <c r="B101" s="37" t="s">
        <v>343</v>
      </c>
      <c r="C101" s="46" t="s">
        <v>103</v>
      </c>
      <c r="D101" s="78">
        <v>1.0</v>
      </c>
      <c r="E101" s="37">
        <v>1.0</v>
      </c>
      <c r="F101" s="78">
        <f t="shared" ref="F101:G101" si="20">F100</f>
        <v>27.68</v>
      </c>
      <c r="G101" s="78">
        <f t="shared" si="20"/>
        <v>22.25</v>
      </c>
      <c r="H101" s="40">
        <f>G101*F101*E101</f>
        <v>615.88</v>
      </c>
      <c r="I101" s="42"/>
      <c r="J101" s="43">
        <f t="shared" si="19"/>
        <v>615.88</v>
      </c>
      <c r="K101" s="46"/>
    </row>
    <row r="102" ht="19.5" customHeight="1">
      <c r="A102" s="74" t="s">
        <v>1</v>
      </c>
      <c r="B102" s="74" t="s">
        <v>91</v>
      </c>
      <c r="C102" s="74" t="s">
        <v>92</v>
      </c>
      <c r="D102" s="76" t="s">
        <v>93</v>
      </c>
      <c r="E102" s="50" t="s">
        <v>97</v>
      </c>
      <c r="F102" s="53" t="s">
        <v>121</v>
      </c>
      <c r="G102" s="53" t="s">
        <v>99</v>
      </c>
      <c r="H102" s="75" t="s">
        <v>100</v>
      </c>
      <c r="I102" s="75" t="s">
        <v>101</v>
      </c>
      <c r="J102" s="76" t="s">
        <v>95</v>
      </c>
      <c r="K102" s="74" t="s">
        <v>96</v>
      </c>
    </row>
    <row r="103" ht="19.5" customHeight="1">
      <c r="A103" s="46">
        <v>1.0</v>
      </c>
      <c r="B103" s="37" t="s">
        <v>345</v>
      </c>
      <c r="C103" s="46" t="s">
        <v>148</v>
      </c>
      <c r="D103" s="78">
        <f t="shared" ref="D103:D115" si="22">D55</f>
        <v>1</v>
      </c>
      <c r="E103" s="37">
        <f t="shared" ref="E103:E115" si="23">0.2</f>
        <v>0.2</v>
      </c>
      <c r="F103" s="78">
        <f t="shared" ref="F103:G103" si="21">F55</f>
        <v>10.23</v>
      </c>
      <c r="G103" s="40">
        <f t="shared" si="21"/>
        <v>0.14</v>
      </c>
      <c r="H103" s="40">
        <f t="shared" ref="H103:H115" si="25">G103*F103*E103*D103</f>
        <v>0.28644</v>
      </c>
      <c r="I103" s="42"/>
      <c r="J103" s="312">
        <f>SUM(H103:H115)</f>
        <v>2.48164</v>
      </c>
      <c r="K103" s="38" t="s">
        <v>909</v>
      </c>
    </row>
    <row r="104" ht="19.5" customHeight="1">
      <c r="A104" s="46">
        <f t="shared" ref="A104:A115" si="26">A103+1</f>
        <v>2</v>
      </c>
      <c r="B104" s="37" t="s">
        <v>345</v>
      </c>
      <c r="C104" s="46" t="s">
        <v>148</v>
      </c>
      <c r="D104" s="78">
        <f t="shared" si="22"/>
        <v>1</v>
      </c>
      <c r="E104" s="37">
        <f t="shared" si="23"/>
        <v>0.2</v>
      </c>
      <c r="F104" s="78">
        <f t="shared" ref="F104:G104" si="24">F56</f>
        <v>9.16</v>
      </c>
      <c r="G104" s="40">
        <f t="shared" si="24"/>
        <v>0.14</v>
      </c>
      <c r="H104" s="40">
        <f t="shared" si="25"/>
        <v>0.25648</v>
      </c>
      <c r="I104" s="42"/>
      <c r="J104" s="147"/>
      <c r="K104" s="46"/>
    </row>
    <row r="105" ht="19.5" customHeight="1">
      <c r="A105" s="46">
        <f t="shared" si="26"/>
        <v>3</v>
      </c>
      <c r="B105" s="37" t="s">
        <v>345</v>
      </c>
      <c r="C105" s="46" t="s">
        <v>148</v>
      </c>
      <c r="D105" s="78">
        <f t="shared" si="22"/>
        <v>1</v>
      </c>
      <c r="E105" s="37">
        <f t="shared" si="23"/>
        <v>0.2</v>
      </c>
      <c r="F105" s="78">
        <f t="shared" ref="F105:G105" si="27">F57</f>
        <v>2.01</v>
      </c>
      <c r="G105" s="40">
        <f t="shared" si="27"/>
        <v>0.14</v>
      </c>
      <c r="H105" s="40">
        <f t="shared" si="25"/>
        <v>0.05628</v>
      </c>
      <c r="I105" s="42"/>
      <c r="J105" s="147"/>
      <c r="K105" s="79"/>
    </row>
    <row r="106" ht="19.5" customHeight="1">
      <c r="A106" s="46">
        <f t="shared" si="26"/>
        <v>4</v>
      </c>
      <c r="B106" s="37" t="s">
        <v>345</v>
      </c>
      <c r="C106" s="46" t="s">
        <v>148</v>
      </c>
      <c r="D106" s="78">
        <f t="shared" si="22"/>
        <v>1</v>
      </c>
      <c r="E106" s="37">
        <f t="shared" si="23"/>
        <v>0.2</v>
      </c>
      <c r="F106" s="78">
        <f t="shared" ref="F106:G106" si="28">F58</f>
        <v>8</v>
      </c>
      <c r="G106" s="40">
        <f t="shared" si="28"/>
        <v>0.14</v>
      </c>
      <c r="H106" s="40">
        <f t="shared" si="25"/>
        <v>0.224</v>
      </c>
      <c r="I106" s="42"/>
      <c r="J106" s="147"/>
      <c r="K106" s="79"/>
    </row>
    <row r="107" ht="19.5" customHeight="1">
      <c r="A107" s="46">
        <f t="shared" si="26"/>
        <v>5</v>
      </c>
      <c r="B107" s="37" t="s">
        <v>345</v>
      </c>
      <c r="C107" s="46" t="s">
        <v>148</v>
      </c>
      <c r="D107" s="78">
        <f t="shared" si="22"/>
        <v>1</v>
      </c>
      <c r="E107" s="37">
        <f t="shared" si="23"/>
        <v>0.2</v>
      </c>
      <c r="F107" s="78">
        <f t="shared" ref="F107:G107" si="29">F59</f>
        <v>10.23</v>
      </c>
      <c r="G107" s="40">
        <f t="shared" si="29"/>
        <v>0.14</v>
      </c>
      <c r="H107" s="40">
        <f t="shared" si="25"/>
        <v>0.28644</v>
      </c>
      <c r="I107" s="42"/>
      <c r="J107" s="147"/>
      <c r="K107" s="79"/>
    </row>
    <row r="108" ht="19.5" customHeight="1">
      <c r="A108" s="46">
        <f t="shared" si="26"/>
        <v>6</v>
      </c>
      <c r="B108" s="37" t="s">
        <v>345</v>
      </c>
      <c r="C108" s="46" t="s">
        <v>148</v>
      </c>
      <c r="D108" s="78">
        <f t="shared" si="22"/>
        <v>1</v>
      </c>
      <c r="E108" s="37">
        <f t="shared" si="23"/>
        <v>0.2</v>
      </c>
      <c r="F108" s="78">
        <f t="shared" ref="F108:G108" si="30">F60</f>
        <v>9.16</v>
      </c>
      <c r="G108" s="40">
        <f t="shared" si="30"/>
        <v>0.14</v>
      </c>
      <c r="H108" s="40">
        <f t="shared" si="25"/>
        <v>0.25648</v>
      </c>
      <c r="I108" s="42"/>
      <c r="J108" s="147"/>
      <c r="K108" s="79"/>
    </row>
    <row r="109" ht="19.5" customHeight="1">
      <c r="A109" s="46">
        <f t="shared" si="26"/>
        <v>7</v>
      </c>
      <c r="B109" s="37" t="s">
        <v>345</v>
      </c>
      <c r="C109" s="46" t="s">
        <v>148</v>
      </c>
      <c r="D109" s="78">
        <f t="shared" si="22"/>
        <v>1</v>
      </c>
      <c r="E109" s="37">
        <f t="shared" si="23"/>
        <v>0.2</v>
      </c>
      <c r="F109" s="78">
        <f t="shared" ref="F109:G109" si="31">F61</f>
        <v>6.51</v>
      </c>
      <c r="G109" s="40">
        <f t="shared" si="31"/>
        <v>0.14</v>
      </c>
      <c r="H109" s="40">
        <f t="shared" si="25"/>
        <v>0.18228</v>
      </c>
      <c r="I109" s="42"/>
      <c r="J109" s="147"/>
      <c r="K109" s="79"/>
    </row>
    <row r="110" ht="19.5" customHeight="1">
      <c r="A110" s="46">
        <f t="shared" si="26"/>
        <v>8</v>
      </c>
      <c r="B110" s="37" t="s">
        <v>345</v>
      </c>
      <c r="C110" s="46" t="s">
        <v>148</v>
      </c>
      <c r="D110" s="78">
        <f t="shared" si="22"/>
        <v>1</v>
      </c>
      <c r="E110" s="37">
        <f t="shared" si="23"/>
        <v>0.2</v>
      </c>
      <c r="F110" s="78">
        <f t="shared" ref="F110:G110" si="32">F62</f>
        <v>3.95</v>
      </c>
      <c r="G110" s="40">
        <f t="shared" si="32"/>
        <v>0.14</v>
      </c>
      <c r="H110" s="40">
        <f t="shared" si="25"/>
        <v>0.1106</v>
      </c>
      <c r="I110" s="42"/>
      <c r="J110" s="147"/>
      <c r="K110" s="79"/>
    </row>
    <row r="111" ht="19.5" customHeight="1">
      <c r="A111" s="46">
        <f t="shared" si="26"/>
        <v>9</v>
      </c>
      <c r="B111" s="37" t="s">
        <v>345</v>
      </c>
      <c r="C111" s="46" t="s">
        <v>148</v>
      </c>
      <c r="D111" s="78">
        <f t="shared" si="22"/>
        <v>1</v>
      </c>
      <c r="E111" s="37">
        <f t="shared" si="23"/>
        <v>0.2</v>
      </c>
      <c r="F111" s="78">
        <f t="shared" ref="F111:G111" si="33">F63</f>
        <v>2.86</v>
      </c>
      <c r="G111" s="40">
        <f t="shared" si="33"/>
        <v>0.14</v>
      </c>
      <c r="H111" s="40">
        <f t="shared" si="25"/>
        <v>0.08008</v>
      </c>
      <c r="I111" s="42"/>
      <c r="J111" s="147"/>
      <c r="K111" s="79"/>
    </row>
    <row r="112" ht="19.5" customHeight="1">
      <c r="A112" s="46">
        <f t="shared" si="26"/>
        <v>10</v>
      </c>
      <c r="B112" s="37" t="s">
        <v>345</v>
      </c>
      <c r="C112" s="46" t="s">
        <v>148</v>
      </c>
      <c r="D112" s="78">
        <f t="shared" si="22"/>
        <v>1</v>
      </c>
      <c r="E112" s="37">
        <f t="shared" si="23"/>
        <v>0.2</v>
      </c>
      <c r="F112" s="78">
        <f t="shared" ref="F112:G112" si="34">F64</f>
        <v>18.07</v>
      </c>
      <c r="G112" s="40">
        <f t="shared" si="34"/>
        <v>0.14</v>
      </c>
      <c r="H112" s="40">
        <f t="shared" si="25"/>
        <v>0.50596</v>
      </c>
      <c r="I112" s="42"/>
      <c r="J112" s="147"/>
      <c r="K112" s="79"/>
    </row>
    <row r="113" ht="19.5" customHeight="1">
      <c r="A113" s="46">
        <f t="shared" si="26"/>
        <v>11</v>
      </c>
      <c r="B113" s="37" t="s">
        <v>345</v>
      </c>
      <c r="C113" s="46" t="s">
        <v>148</v>
      </c>
      <c r="D113" s="78">
        <f t="shared" si="22"/>
        <v>1</v>
      </c>
      <c r="E113" s="37">
        <f t="shared" si="23"/>
        <v>0.2</v>
      </c>
      <c r="F113" s="78">
        <f t="shared" ref="F113:G113" si="35">F65</f>
        <v>5.31</v>
      </c>
      <c r="G113" s="40">
        <f t="shared" si="35"/>
        <v>0.14</v>
      </c>
      <c r="H113" s="40">
        <f t="shared" si="25"/>
        <v>0.14868</v>
      </c>
      <c r="I113" s="42"/>
      <c r="J113" s="147"/>
      <c r="K113" s="79"/>
    </row>
    <row r="114" ht="19.5" customHeight="1">
      <c r="A114" s="46">
        <f t="shared" si="26"/>
        <v>12</v>
      </c>
      <c r="B114" s="37" t="s">
        <v>345</v>
      </c>
      <c r="C114" s="46" t="s">
        <v>148</v>
      </c>
      <c r="D114" s="78">
        <f t="shared" si="22"/>
        <v>1</v>
      </c>
      <c r="E114" s="37">
        <f t="shared" si="23"/>
        <v>0.2</v>
      </c>
      <c r="F114" s="78">
        <f t="shared" ref="F114:G114" si="36">F66</f>
        <v>1.2</v>
      </c>
      <c r="G114" s="40">
        <f t="shared" si="36"/>
        <v>0.14</v>
      </c>
      <c r="H114" s="40">
        <f t="shared" si="25"/>
        <v>0.0336</v>
      </c>
      <c r="I114" s="42"/>
      <c r="J114" s="147"/>
      <c r="K114" s="79"/>
    </row>
    <row r="115" ht="19.5" customHeight="1">
      <c r="A115" s="46">
        <f t="shared" si="26"/>
        <v>13</v>
      </c>
      <c r="B115" s="37" t="s">
        <v>345</v>
      </c>
      <c r="C115" s="46" t="s">
        <v>148</v>
      </c>
      <c r="D115" s="78">
        <f t="shared" si="22"/>
        <v>1</v>
      </c>
      <c r="E115" s="37">
        <f t="shared" si="23"/>
        <v>0.2</v>
      </c>
      <c r="F115" s="78">
        <f t="shared" ref="F115:G115" si="37">F67</f>
        <v>1.94</v>
      </c>
      <c r="G115" s="40">
        <f t="shared" si="37"/>
        <v>0.14</v>
      </c>
      <c r="H115" s="40">
        <f t="shared" si="25"/>
        <v>0.05432</v>
      </c>
      <c r="I115" s="42"/>
      <c r="J115" s="32"/>
      <c r="K115" s="132"/>
    </row>
    <row r="116" ht="19.5" customHeight="1">
      <c r="A116" s="74" t="s">
        <v>1</v>
      </c>
      <c r="B116" s="74" t="s">
        <v>91</v>
      </c>
      <c r="C116" s="74" t="s">
        <v>92</v>
      </c>
      <c r="D116" s="76" t="s">
        <v>93</v>
      </c>
      <c r="E116" s="50" t="s">
        <v>97</v>
      </c>
      <c r="F116" s="53" t="s">
        <v>121</v>
      </c>
      <c r="G116" s="53" t="s">
        <v>99</v>
      </c>
      <c r="H116" s="75" t="s">
        <v>100</v>
      </c>
      <c r="I116" s="75" t="s">
        <v>101</v>
      </c>
      <c r="J116" s="76" t="s">
        <v>95</v>
      </c>
      <c r="K116" s="74" t="s">
        <v>96</v>
      </c>
    </row>
    <row r="117" ht="19.5" customHeight="1">
      <c r="A117" s="46">
        <v>1.0</v>
      </c>
      <c r="B117" s="37" t="s">
        <v>346</v>
      </c>
      <c r="C117" s="46" t="s">
        <v>148</v>
      </c>
      <c r="D117" s="78">
        <v>3.0</v>
      </c>
      <c r="E117" s="37">
        <v>0.25</v>
      </c>
      <c r="F117" s="40">
        <f t="shared" ref="F117:F129" si="38">F103</f>
        <v>10.23</v>
      </c>
      <c r="G117" s="40">
        <v>0.14</v>
      </c>
      <c r="H117" s="40">
        <f t="shared" ref="H117:H129" si="39">G117*F117*E117*D117</f>
        <v>1.07415</v>
      </c>
      <c r="I117" s="42"/>
      <c r="J117" s="264">
        <f>SUM(H117:H130)</f>
        <v>4.09815</v>
      </c>
      <c r="K117" s="46"/>
    </row>
    <row r="118" ht="19.5" customHeight="1">
      <c r="A118" s="46">
        <f t="shared" ref="A118:A119" si="40">A117+1</f>
        <v>2</v>
      </c>
      <c r="B118" s="37" t="s">
        <v>346</v>
      </c>
      <c r="C118" s="46" t="s">
        <v>148</v>
      </c>
      <c r="D118" s="78">
        <f t="shared" ref="D118:D119" si="41">D104</f>
        <v>1</v>
      </c>
      <c r="E118" s="37">
        <v>0.25</v>
      </c>
      <c r="F118" s="40">
        <f t="shared" si="38"/>
        <v>9.16</v>
      </c>
      <c r="G118" s="40">
        <v>0.14</v>
      </c>
      <c r="H118" s="40">
        <f t="shared" si="39"/>
        <v>0.3206</v>
      </c>
      <c r="I118" s="42"/>
      <c r="J118" s="147"/>
      <c r="K118" s="46"/>
      <c r="L118" s="14">
        <f>J118+J22+J56</f>
        <v>9.16</v>
      </c>
    </row>
    <row r="119" ht="19.5" customHeight="1">
      <c r="A119" s="46">
        <f t="shared" si="40"/>
        <v>3</v>
      </c>
      <c r="B119" s="37" t="s">
        <v>346</v>
      </c>
      <c r="C119" s="46" t="s">
        <v>148</v>
      </c>
      <c r="D119" s="78">
        <f t="shared" si="41"/>
        <v>1</v>
      </c>
      <c r="E119" s="37">
        <v>0.25</v>
      </c>
      <c r="F119" s="40">
        <f t="shared" si="38"/>
        <v>2.01</v>
      </c>
      <c r="G119" s="40">
        <v>0.14</v>
      </c>
      <c r="H119" s="40">
        <f t="shared" si="39"/>
        <v>0.07035</v>
      </c>
      <c r="I119" s="42"/>
      <c r="J119" s="147"/>
      <c r="K119" s="79"/>
      <c r="L119" s="14"/>
    </row>
    <row r="120" ht="19.5" customHeight="1">
      <c r="A120" s="46">
        <f>A118+1</f>
        <v>3</v>
      </c>
      <c r="B120" s="37" t="s">
        <v>346</v>
      </c>
      <c r="C120" s="46" t="s">
        <v>148</v>
      </c>
      <c r="D120" s="78">
        <v>2.0</v>
      </c>
      <c r="E120" s="37">
        <v>0.25</v>
      </c>
      <c r="F120" s="40">
        <f t="shared" si="38"/>
        <v>8</v>
      </c>
      <c r="G120" s="40">
        <v>0.14</v>
      </c>
      <c r="H120" s="40">
        <f t="shared" si="39"/>
        <v>0.56</v>
      </c>
      <c r="I120" s="42"/>
      <c r="J120" s="147"/>
      <c r="K120" s="79"/>
      <c r="L120" s="14"/>
    </row>
    <row r="121" ht="19.5" customHeight="1">
      <c r="A121" s="46">
        <f t="shared" ref="A121:A129" si="42">A120+1</f>
        <v>4</v>
      </c>
      <c r="B121" s="37" t="s">
        <v>346</v>
      </c>
      <c r="C121" s="46" t="s">
        <v>148</v>
      </c>
      <c r="D121" s="78">
        <v>1.0</v>
      </c>
      <c r="E121" s="37">
        <v>0.25</v>
      </c>
      <c r="F121" s="40">
        <f t="shared" si="38"/>
        <v>10.23</v>
      </c>
      <c r="G121" s="40">
        <v>0.14</v>
      </c>
      <c r="H121" s="40">
        <f t="shared" si="39"/>
        <v>0.35805</v>
      </c>
      <c r="I121" s="42"/>
      <c r="J121" s="147"/>
      <c r="K121" s="79"/>
      <c r="L121" s="14"/>
    </row>
    <row r="122" ht="19.5" customHeight="1">
      <c r="A122" s="46">
        <f t="shared" si="42"/>
        <v>5</v>
      </c>
      <c r="B122" s="37" t="s">
        <v>346</v>
      </c>
      <c r="C122" s="46" t="s">
        <v>148</v>
      </c>
      <c r="D122" s="78">
        <f t="shared" ref="D122:D129" si="43">D107</f>
        <v>1</v>
      </c>
      <c r="E122" s="37">
        <v>0.25</v>
      </c>
      <c r="F122" s="40">
        <f t="shared" si="38"/>
        <v>9.16</v>
      </c>
      <c r="G122" s="40">
        <v>0.14</v>
      </c>
      <c r="H122" s="40">
        <f t="shared" si="39"/>
        <v>0.3206</v>
      </c>
      <c r="I122" s="42"/>
      <c r="J122" s="147"/>
      <c r="K122" s="79"/>
      <c r="L122" s="14"/>
    </row>
    <row r="123" ht="19.5" customHeight="1">
      <c r="A123" s="46">
        <f t="shared" si="42"/>
        <v>6</v>
      </c>
      <c r="B123" s="37" t="s">
        <v>346</v>
      </c>
      <c r="C123" s="46" t="s">
        <v>148</v>
      </c>
      <c r="D123" s="78">
        <f t="shared" si="43"/>
        <v>1</v>
      </c>
      <c r="E123" s="37">
        <v>0.25</v>
      </c>
      <c r="F123" s="40">
        <f t="shared" si="38"/>
        <v>6.51</v>
      </c>
      <c r="G123" s="40">
        <v>0.14</v>
      </c>
      <c r="H123" s="40">
        <f t="shared" si="39"/>
        <v>0.22785</v>
      </c>
      <c r="I123" s="42"/>
      <c r="J123" s="147"/>
      <c r="K123" s="79"/>
      <c r="L123" s="14"/>
    </row>
    <row r="124" ht="19.5" customHeight="1">
      <c r="A124" s="46">
        <f t="shared" si="42"/>
        <v>7</v>
      </c>
      <c r="B124" s="37" t="s">
        <v>346</v>
      </c>
      <c r="C124" s="46" t="s">
        <v>148</v>
      </c>
      <c r="D124" s="78">
        <f t="shared" si="43"/>
        <v>1</v>
      </c>
      <c r="E124" s="37">
        <v>0.25</v>
      </c>
      <c r="F124" s="40">
        <f t="shared" si="38"/>
        <v>3.95</v>
      </c>
      <c r="G124" s="40">
        <v>0.14</v>
      </c>
      <c r="H124" s="40">
        <f t="shared" si="39"/>
        <v>0.13825</v>
      </c>
      <c r="I124" s="42"/>
      <c r="J124" s="147"/>
      <c r="K124" s="79"/>
      <c r="L124" s="14"/>
    </row>
    <row r="125" ht="19.5" customHeight="1">
      <c r="A125" s="46">
        <f t="shared" si="42"/>
        <v>8</v>
      </c>
      <c r="B125" s="37" t="s">
        <v>346</v>
      </c>
      <c r="C125" s="46" t="s">
        <v>148</v>
      </c>
      <c r="D125" s="78">
        <f t="shared" si="43"/>
        <v>1</v>
      </c>
      <c r="E125" s="37">
        <v>0.25</v>
      </c>
      <c r="F125" s="40">
        <f t="shared" si="38"/>
        <v>2.86</v>
      </c>
      <c r="G125" s="40">
        <v>0.14</v>
      </c>
      <c r="H125" s="40">
        <f t="shared" si="39"/>
        <v>0.1001</v>
      </c>
      <c r="I125" s="42"/>
      <c r="J125" s="147"/>
      <c r="K125" s="79"/>
      <c r="L125" s="14"/>
    </row>
    <row r="126" ht="19.5" customHeight="1">
      <c r="A126" s="46">
        <f t="shared" si="42"/>
        <v>9</v>
      </c>
      <c r="B126" s="37" t="s">
        <v>346</v>
      </c>
      <c r="C126" s="46" t="s">
        <v>148</v>
      </c>
      <c r="D126" s="78">
        <f t="shared" si="43"/>
        <v>1</v>
      </c>
      <c r="E126" s="37">
        <v>0.25</v>
      </c>
      <c r="F126" s="40">
        <f t="shared" si="38"/>
        <v>18.07</v>
      </c>
      <c r="G126" s="40">
        <v>0.14</v>
      </c>
      <c r="H126" s="40">
        <f t="shared" si="39"/>
        <v>0.63245</v>
      </c>
      <c r="I126" s="42"/>
      <c r="J126" s="147"/>
      <c r="K126" s="79"/>
      <c r="L126" s="14"/>
    </row>
    <row r="127" ht="19.5" customHeight="1">
      <c r="A127" s="46">
        <f t="shared" si="42"/>
        <v>10</v>
      </c>
      <c r="B127" s="37" t="s">
        <v>346</v>
      </c>
      <c r="C127" s="46" t="s">
        <v>148</v>
      </c>
      <c r="D127" s="78">
        <f t="shared" si="43"/>
        <v>1</v>
      </c>
      <c r="E127" s="37">
        <v>0.25</v>
      </c>
      <c r="F127" s="40">
        <f t="shared" si="38"/>
        <v>5.31</v>
      </c>
      <c r="G127" s="40">
        <v>0.14</v>
      </c>
      <c r="H127" s="40">
        <f t="shared" si="39"/>
        <v>0.18585</v>
      </c>
      <c r="I127" s="42"/>
      <c r="J127" s="147"/>
      <c r="K127" s="79"/>
      <c r="L127" s="14"/>
    </row>
    <row r="128" ht="19.5" customHeight="1">
      <c r="A128" s="46">
        <f t="shared" si="42"/>
        <v>11</v>
      </c>
      <c r="B128" s="37" t="s">
        <v>346</v>
      </c>
      <c r="C128" s="46" t="s">
        <v>148</v>
      </c>
      <c r="D128" s="78">
        <f t="shared" si="43"/>
        <v>1</v>
      </c>
      <c r="E128" s="37">
        <v>0.25</v>
      </c>
      <c r="F128" s="40">
        <f t="shared" si="38"/>
        <v>1.2</v>
      </c>
      <c r="G128" s="40">
        <v>0.14</v>
      </c>
      <c r="H128" s="40">
        <f t="shared" si="39"/>
        <v>0.042</v>
      </c>
      <c r="I128" s="42"/>
      <c r="J128" s="147"/>
      <c r="K128" s="79"/>
      <c r="L128" s="14"/>
    </row>
    <row r="129" ht="19.5" customHeight="1">
      <c r="A129" s="46">
        <f t="shared" si="42"/>
        <v>12</v>
      </c>
      <c r="B129" s="37" t="s">
        <v>346</v>
      </c>
      <c r="C129" s="46" t="s">
        <v>148</v>
      </c>
      <c r="D129" s="78">
        <f t="shared" si="43"/>
        <v>1</v>
      </c>
      <c r="E129" s="37">
        <v>0.25</v>
      </c>
      <c r="F129" s="40">
        <f t="shared" si="38"/>
        <v>1.94</v>
      </c>
      <c r="G129" s="40">
        <v>0.14</v>
      </c>
      <c r="H129" s="40">
        <f t="shared" si="39"/>
        <v>0.0679</v>
      </c>
      <c r="I129" s="42"/>
      <c r="J129" s="147"/>
      <c r="K129" s="79"/>
      <c r="L129" s="14"/>
    </row>
    <row r="130" ht="19.5" customHeight="1">
      <c r="A130" s="46"/>
      <c r="B130" s="37"/>
      <c r="C130" s="46"/>
      <c r="D130" s="78"/>
      <c r="E130" s="37"/>
      <c r="F130" s="40"/>
      <c r="G130" s="40"/>
      <c r="H130" s="40"/>
      <c r="I130" s="42"/>
      <c r="J130" s="32"/>
      <c r="K130" s="79"/>
      <c r="L130" s="14"/>
    </row>
    <row r="131" ht="19.5" customHeight="1">
      <c r="A131" s="74" t="s">
        <v>1</v>
      </c>
      <c r="B131" s="74" t="s">
        <v>91</v>
      </c>
      <c r="C131" s="74" t="s">
        <v>92</v>
      </c>
      <c r="D131" s="76" t="s">
        <v>93</v>
      </c>
      <c r="E131" s="50" t="s">
        <v>97</v>
      </c>
      <c r="F131" s="53" t="s">
        <v>121</v>
      </c>
      <c r="G131" s="53" t="s">
        <v>99</v>
      </c>
      <c r="H131" s="75" t="s">
        <v>100</v>
      </c>
      <c r="I131" s="75" t="s">
        <v>101</v>
      </c>
      <c r="J131" s="76" t="s">
        <v>95</v>
      </c>
      <c r="K131" s="74" t="s">
        <v>96</v>
      </c>
    </row>
    <row r="132" ht="19.5" customHeight="1">
      <c r="A132" s="46">
        <v>1.0</v>
      </c>
      <c r="B132" s="37" t="s">
        <v>176</v>
      </c>
      <c r="C132" s="46" t="s">
        <v>103</v>
      </c>
      <c r="D132" s="78"/>
      <c r="E132" s="37"/>
      <c r="F132" s="40"/>
      <c r="G132" s="40"/>
      <c r="H132" s="40"/>
      <c r="I132" s="42"/>
      <c r="J132" s="43" t="str">
        <f>H132</f>
        <v/>
      </c>
      <c r="K132" s="47"/>
    </row>
    <row r="133" ht="19.5" customHeight="1">
      <c r="A133" s="74" t="s">
        <v>1</v>
      </c>
      <c r="B133" s="74" t="s">
        <v>91</v>
      </c>
      <c r="C133" s="74" t="s">
        <v>92</v>
      </c>
      <c r="D133" s="76" t="s">
        <v>93</v>
      </c>
      <c r="E133" s="50" t="s">
        <v>148</v>
      </c>
      <c r="F133" s="53" t="s">
        <v>347</v>
      </c>
      <c r="G133" s="53" t="s">
        <v>348</v>
      </c>
      <c r="H133" s="75" t="s">
        <v>100</v>
      </c>
      <c r="I133" s="75" t="s">
        <v>101</v>
      </c>
      <c r="J133" s="76" t="s">
        <v>95</v>
      </c>
      <c r="K133" s="111" t="s">
        <v>96</v>
      </c>
      <c r="M133" s="310" t="s">
        <v>910</v>
      </c>
      <c r="N133" s="311"/>
      <c r="O133" s="311"/>
      <c r="P133" s="311"/>
      <c r="Q133" s="311"/>
    </row>
    <row r="134" ht="20.25" customHeight="1">
      <c r="A134" s="46">
        <v>1.0</v>
      </c>
      <c r="B134" s="37" t="s">
        <v>349</v>
      </c>
      <c r="C134" s="46" t="s">
        <v>103</v>
      </c>
      <c r="D134" s="123">
        <v>1.0</v>
      </c>
      <c r="E134" s="40" t="str">
        <f>J48</f>
        <v/>
      </c>
      <c r="F134" s="40">
        <v>10.0</v>
      </c>
      <c r="G134" s="40">
        <f t="shared" ref="G134:G136" si="44">E134/4</f>
        <v>0</v>
      </c>
      <c r="H134" s="40">
        <f t="shared" ref="H134:H136" si="45">G134*F134</f>
        <v>0</v>
      </c>
      <c r="I134" s="42"/>
      <c r="J134" s="107"/>
      <c r="K134" s="313" t="s">
        <v>1022</v>
      </c>
      <c r="L134" s="70"/>
      <c r="M134" s="310" t="s">
        <v>907</v>
      </c>
      <c r="N134" s="310">
        <v>7.12</v>
      </c>
      <c r="O134" s="310">
        <v>10.62</v>
      </c>
      <c r="P134" s="311">
        <f t="shared" ref="P134:P135" si="46">O134+N134</f>
        <v>17.74</v>
      </c>
      <c r="Q134" s="310" t="s">
        <v>148</v>
      </c>
    </row>
    <row r="135" ht="18.75" customHeight="1">
      <c r="A135" s="46">
        <v>2.0</v>
      </c>
      <c r="B135" s="37" t="s">
        <v>351</v>
      </c>
      <c r="C135" s="46" t="s">
        <v>103</v>
      </c>
      <c r="D135" s="128">
        <v>1.0</v>
      </c>
      <c r="E135" s="40" t="str">
        <f>#REF!+J67</f>
        <v>#REF!</v>
      </c>
      <c r="F135" s="40">
        <v>12.0</v>
      </c>
      <c r="G135" s="40" t="str">
        <f t="shared" si="44"/>
        <v>#REF!</v>
      </c>
      <c r="H135" s="59" t="str">
        <f t="shared" si="45"/>
        <v>#REF!</v>
      </c>
      <c r="I135" s="93"/>
      <c r="J135" s="107"/>
      <c r="K135" s="147"/>
      <c r="L135" s="12"/>
      <c r="M135" s="310" t="s">
        <v>912</v>
      </c>
      <c r="N135" s="310">
        <v>115.96</v>
      </c>
      <c r="O135" s="310">
        <v>172.93</v>
      </c>
      <c r="P135" s="311">
        <f t="shared" si="46"/>
        <v>288.89</v>
      </c>
      <c r="Q135" s="310" t="s">
        <v>103</v>
      </c>
    </row>
    <row r="136" ht="18.0" customHeight="1">
      <c r="A136" s="46">
        <v>3.0</v>
      </c>
      <c r="B136" s="37" t="s">
        <v>352</v>
      </c>
      <c r="C136" s="46" t="s">
        <v>103</v>
      </c>
      <c r="D136" s="128">
        <v>1.0</v>
      </c>
      <c r="E136" s="40">
        <f>J117+J22</f>
        <v>4.09815</v>
      </c>
      <c r="F136" s="40">
        <v>12.0</v>
      </c>
      <c r="G136" s="40">
        <f t="shared" si="44"/>
        <v>1.0245375</v>
      </c>
      <c r="H136" s="59">
        <f t="shared" si="45"/>
        <v>12.29445</v>
      </c>
      <c r="I136" s="93"/>
      <c r="J136" s="107" t="str">
        <f>SUM(H134:H136)</f>
        <v>#REF!</v>
      </c>
      <c r="K136" s="32"/>
      <c r="L136" s="314"/>
      <c r="M136" s="310" t="s">
        <v>913</v>
      </c>
      <c r="N136" s="311"/>
      <c r="O136" s="311"/>
      <c r="P136" s="311"/>
      <c r="Q136" s="311"/>
    </row>
    <row r="137" ht="19.5" customHeight="1">
      <c r="A137" s="74" t="s">
        <v>1</v>
      </c>
      <c r="B137" s="74" t="s">
        <v>91</v>
      </c>
      <c r="C137" s="74" t="s">
        <v>92</v>
      </c>
      <c r="D137" s="76" t="s">
        <v>93</v>
      </c>
      <c r="E137" s="50" t="s">
        <v>97</v>
      </c>
      <c r="F137" s="53" t="s">
        <v>121</v>
      </c>
      <c r="G137" s="53" t="s">
        <v>99</v>
      </c>
      <c r="H137" s="75" t="s">
        <v>100</v>
      </c>
      <c r="I137" s="75" t="s">
        <v>101</v>
      </c>
      <c r="J137" s="76" t="s">
        <v>95</v>
      </c>
      <c r="K137" s="74" t="s">
        <v>96</v>
      </c>
      <c r="M137" s="310" t="s">
        <v>907</v>
      </c>
      <c r="N137" s="310"/>
      <c r="O137" s="310"/>
      <c r="P137" s="311">
        <v>7.43</v>
      </c>
      <c r="Q137" s="310" t="s">
        <v>148</v>
      </c>
    </row>
    <row r="138" ht="19.5" customHeight="1">
      <c r="A138" s="124">
        <v>1.0</v>
      </c>
      <c r="B138" s="315" t="s">
        <v>177</v>
      </c>
      <c r="C138" s="124" t="s">
        <v>103</v>
      </c>
      <c r="D138" s="78">
        <v>3.0</v>
      </c>
      <c r="E138" s="37">
        <v>5.0</v>
      </c>
      <c r="F138" s="78">
        <f t="shared" ref="F138:F143" si="47">F117</f>
        <v>10.23</v>
      </c>
      <c r="G138" s="40">
        <v>0.09</v>
      </c>
      <c r="H138" s="40">
        <f t="shared" ref="H138:H150" si="48">F138*E138*D138</f>
        <v>153.45</v>
      </c>
      <c r="I138" s="42"/>
      <c r="J138" s="264">
        <f>SUM(H138:H150)-I139-I138</f>
        <v>547.45</v>
      </c>
      <c r="K138" s="145" t="s">
        <v>914</v>
      </c>
      <c r="M138" s="310" t="s">
        <v>912</v>
      </c>
      <c r="N138" s="310"/>
      <c r="O138" s="310"/>
      <c r="P138" s="311">
        <v>143.34</v>
      </c>
      <c r="Q138" s="310" t="s">
        <v>103</v>
      </c>
    </row>
    <row r="139" ht="19.5" customHeight="1">
      <c r="A139" s="124">
        <f t="shared" ref="A139:A150" si="49">A138+1</f>
        <v>2</v>
      </c>
      <c r="B139" s="315" t="s">
        <v>177</v>
      </c>
      <c r="C139" s="124" t="s">
        <v>103</v>
      </c>
      <c r="D139" s="78">
        <v>2.0</v>
      </c>
      <c r="E139" s="37">
        <v>5.0</v>
      </c>
      <c r="F139" s="78">
        <f t="shared" si="47"/>
        <v>9.16</v>
      </c>
      <c r="G139" s="40">
        <v>0.09</v>
      </c>
      <c r="H139" s="40">
        <f t="shared" si="48"/>
        <v>91.6</v>
      </c>
      <c r="I139" s="42"/>
      <c r="J139" s="147"/>
      <c r="K139" s="126">
        <f>F138*D138+F139*D139</f>
        <v>49.01</v>
      </c>
      <c r="L139" s="2" t="s">
        <v>915</v>
      </c>
    </row>
    <row r="140" ht="19.5" customHeight="1">
      <c r="A140" s="124">
        <f t="shared" si="49"/>
        <v>3</v>
      </c>
      <c r="B140" s="315" t="s">
        <v>177</v>
      </c>
      <c r="C140" s="124" t="s">
        <v>103</v>
      </c>
      <c r="D140" s="78">
        <v>5.0</v>
      </c>
      <c r="E140" s="316">
        <v>3.0</v>
      </c>
      <c r="F140" s="78">
        <f t="shared" si="47"/>
        <v>2.01</v>
      </c>
      <c r="G140" s="40">
        <v>0.09</v>
      </c>
      <c r="H140" s="40">
        <f t="shared" si="48"/>
        <v>30.15</v>
      </c>
      <c r="I140" s="42"/>
      <c r="J140" s="147"/>
      <c r="K140" s="126">
        <f>168.65-K139</f>
        <v>119.64</v>
      </c>
      <c r="L140" s="2" t="s">
        <v>916</v>
      </c>
    </row>
    <row r="141" ht="19.5" customHeight="1">
      <c r="A141" s="124">
        <f t="shared" si="49"/>
        <v>4</v>
      </c>
      <c r="B141" s="315" t="s">
        <v>177</v>
      </c>
      <c r="C141" s="124" t="s">
        <v>103</v>
      </c>
      <c r="D141" s="78">
        <v>2.0</v>
      </c>
      <c r="E141" s="316">
        <v>3.0</v>
      </c>
      <c r="F141" s="78">
        <f t="shared" si="47"/>
        <v>8</v>
      </c>
      <c r="G141" s="40">
        <v>0.09</v>
      </c>
      <c r="H141" s="40">
        <f t="shared" si="48"/>
        <v>48</v>
      </c>
      <c r="I141" s="42"/>
      <c r="J141" s="147"/>
      <c r="K141" s="126">
        <f>K139*5</f>
        <v>245.05</v>
      </c>
    </row>
    <row r="142" ht="19.5" customHeight="1">
      <c r="A142" s="124">
        <f t="shared" si="49"/>
        <v>5</v>
      </c>
      <c r="B142" s="315" t="s">
        <v>177</v>
      </c>
      <c r="C142" s="124" t="s">
        <v>103</v>
      </c>
      <c r="D142" s="78">
        <v>1.0</v>
      </c>
      <c r="E142" s="316">
        <v>3.0</v>
      </c>
      <c r="F142" s="78">
        <f t="shared" si="47"/>
        <v>10.23</v>
      </c>
      <c r="G142" s="40">
        <v>0.09</v>
      </c>
      <c r="H142" s="40">
        <f t="shared" si="48"/>
        <v>30.69</v>
      </c>
      <c r="I142" s="42"/>
      <c r="J142" s="147"/>
      <c r="K142" s="126">
        <f>K140*3</f>
        <v>358.92</v>
      </c>
    </row>
    <row r="143" ht="19.5" customHeight="1">
      <c r="A143" s="124">
        <f t="shared" si="49"/>
        <v>6</v>
      </c>
      <c r="B143" s="315" t="s">
        <v>177</v>
      </c>
      <c r="C143" s="124" t="s">
        <v>103</v>
      </c>
      <c r="D143" s="78">
        <v>1.0</v>
      </c>
      <c r="E143" s="316">
        <v>3.0</v>
      </c>
      <c r="F143" s="78">
        <f t="shared" si="47"/>
        <v>9.16</v>
      </c>
      <c r="G143" s="40">
        <v>0.09</v>
      </c>
      <c r="H143" s="40">
        <f t="shared" si="48"/>
        <v>27.48</v>
      </c>
      <c r="I143" s="42"/>
      <c r="J143" s="147"/>
      <c r="K143" s="145" t="s">
        <v>917</v>
      </c>
    </row>
    <row r="144" ht="19.5" customHeight="1">
      <c r="A144" s="124">
        <f t="shared" si="49"/>
        <v>7</v>
      </c>
      <c r="B144" s="315" t="s">
        <v>177</v>
      </c>
      <c r="C144" s="124" t="s">
        <v>103</v>
      </c>
      <c r="D144" s="78">
        <v>1.0</v>
      </c>
      <c r="E144" s="316">
        <v>3.0</v>
      </c>
      <c r="F144" s="78">
        <v>22.03</v>
      </c>
      <c r="G144" s="40">
        <v>0.09</v>
      </c>
      <c r="H144" s="40">
        <f t="shared" si="48"/>
        <v>66.09</v>
      </c>
      <c r="I144" s="42"/>
      <c r="J144" s="147"/>
      <c r="K144" s="126">
        <f>SUM(K141:K142)</f>
        <v>603.97</v>
      </c>
    </row>
    <row r="145" ht="19.5" customHeight="1">
      <c r="A145" s="124">
        <f t="shared" si="49"/>
        <v>8</v>
      </c>
      <c r="B145" s="315" t="s">
        <v>177</v>
      </c>
      <c r="C145" s="124" t="s">
        <v>103</v>
      </c>
      <c r="D145" s="78">
        <v>1.0</v>
      </c>
      <c r="E145" s="316">
        <v>3.0</v>
      </c>
      <c r="F145" s="78">
        <f t="shared" ref="F145:F150" si="50">F124</f>
        <v>3.95</v>
      </c>
      <c r="G145" s="40">
        <v>0.09</v>
      </c>
      <c r="H145" s="40">
        <f t="shared" si="48"/>
        <v>11.85</v>
      </c>
      <c r="I145" s="42"/>
      <c r="J145" s="147"/>
      <c r="K145" s="46"/>
    </row>
    <row r="146" ht="19.5" customHeight="1">
      <c r="A146" s="124">
        <f t="shared" si="49"/>
        <v>9</v>
      </c>
      <c r="B146" s="315" t="s">
        <v>177</v>
      </c>
      <c r="C146" s="124" t="s">
        <v>103</v>
      </c>
      <c r="D146" s="78">
        <v>1.0</v>
      </c>
      <c r="E146" s="316">
        <v>3.0</v>
      </c>
      <c r="F146" s="78">
        <f t="shared" si="50"/>
        <v>2.86</v>
      </c>
      <c r="G146" s="40">
        <v>0.09</v>
      </c>
      <c r="H146" s="40">
        <f t="shared" si="48"/>
        <v>8.58</v>
      </c>
      <c r="I146" s="42"/>
      <c r="J146" s="147"/>
      <c r="K146" s="46"/>
    </row>
    <row r="147" ht="19.5" customHeight="1">
      <c r="A147" s="124">
        <f t="shared" si="49"/>
        <v>10</v>
      </c>
      <c r="B147" s="315" t="s">
        <v>177</v>
      </c>
      <c r="C147" s="124" t="s">
        <v>103</v>
      </c>
      <c r="D147" s="78">
        <v>1.0</v>
      </c>
      <c r="E147" s="316">
        <v>3.0</v>
      </c>
      <c r="F147" s="78">
        <f t="shared" si="50"/>
        <v>18.07</v>
      </c>
      <c r="G147" s="40">
        <v>0.09</v>
      </c>
      <c r="H147" s="40">
        <f t="shared" si="48"/>
        <v>54.21</v>
      </c>
      <c r="I147" s="42"/>
      <c r="J147" s="147"/>
      <c r="K147" s="46"/>
    </row>
    <row r="148" ht="19.5" customHeight="1">
      <c r="A148" s="124">
        <f t="shared" si="49"/>
        <v>11</v>
      </c>
      <c r="B148" s="315" t="s">
        <v>177</v>
      </c>
      <c r="C148" s="124" t="s">
        <v>103</v>
      </c>
      <c r="D148" s="78">
        <v>1.0</v>
      </c>
      <c r="E148" s="316">
        <v>3.0</v>
      </c>
      <c r="F148" s="78">
        <f t="shared" si="50"/>
        <v>5.31</v>
      </c>
      <c r="G148" s="40">
        <v>0.09</v>
      </c>
      <c r="H148" s="40">
        <f t="shared" si="48"/>
        <v>15.93</v>
      </c>
      <c r="I148" s="42"/>
      <c r="J148" s="147"/>
      <c r="K148" s="46"/>
    </row>
    <row r="149" ht="19.5" customHeight="1">
      <c r="A149" s="124">
        <f t="shared" si="49"/>
        <v>12</v>
      </c>
      <c r="B149" s="315" t="s">
        <v>177</v>
      </c>
      <c r="C149" s="317" t="s">
        <v>103</v>
      </c>
      <c r="D149" s="78">
        <v>1.0</v>
      </c>
      <c r="E149" s="316">
        <v>3.0</v>
      </c>
      <c r="F149" s="78">
        <f t="shared" si="50"/>
        <v>1.2</v>
      </c>
      <c r="G149" s="40">
        <v>0.09</v>
      </c>
      <c r="H149" s="40">
        <f t="shared" si="48"/>
        <v>3.6</v>
      </c>
      <c r="I149" s="93"/>
      <c r="J149" s="147"/>
      <c r="K149" s="79"/>
    </row>
    <row r="150" ht="19.5" customHeight="1">
      <c r="A150" s="124">
        <f t="shared" si="49"/>
        <v>13</v>
      </c>
      <c r="B150" s="315" t="s">
        <v>177</v>
      </c>
      <c r="C150" s="317" t="s">
        <v>103</v>
      </c>
      <c r="D150" s="78">
        <v>1.0</v>
      </c>
      <c r="E150" s="316">
        <v>3.0</v>
      </c>
      <c r="F150" s="78">
        <f t="shared" si="50"/>
        <v>1.94</v>
      </c>
      <c r="G150" s="40">
        <v>0.09</v>
      </c>
      <c r="H150" s="40">
        <f t="shared" si="48"/>
        <v>5.82</v>
      </c>
      <c r="I150" s="93"/>
      <c r="J150" s="147"/>
      <c r="K150" s="132">
        <f>J138-K144</f>
        <v>-56.52</v>
      </c>
      <c r="L150" s="2" t="s">
        <v>918</v>
      </c>
    </row>
    <row r="151" ht="19.5" customHeight="1">
      <c r="A151" s="79"/>
      <c r="B151" s="95"/>
      <c r="C151" s="79"/>
      <c r="D151" s="92"/>
      <c r="E151" s="37"/>
      <c r="F151" s="78"/>
      <c r="G151" s="40"/>
      <c r="H151" s="59"/>
      <c r="I151" s="93"/>
      <c r="J151" s="32"/>
      <c r="K151" s="79"/>
    </row>
    <row r="152" ht="19.5" customHeight="1">
      <c r="A152" s="74" t="s">
        <v>1</v>
      </c>
      <c r="B152" s="74" t="s">
        <v>91</v>
      </c>
      <c r="C152" s="74" t="s">
        <v>92</v>
      </c>
      <c r="D152" s="76" t="s">
        <v>93</v>
      </c>
      <c r="E152" s="50" t="s">
        <v>97</v>
      </c>
      <c r="F152" s="53" t="s">
        <v>121</v>
      </c>
      <c r="G152" s="53" t="s">
        <v>99</v>
      </c>
      <c r="H152" s="75" t="s">
        <v>100</v>
      </c>
      <c r="I152" s="75" t="s">
        <v>101</v>
      </c>
      <c r="J152" s="76" t="s">
        <v>95</v>
      </c>
      <c r="K152" s="74" t="s">
        <v>96</v>
      </c>
    </row>
    <row r="153" ht="19.5" customHeight="1">
      <c r="A153" s="46">
        <v>1.0</v>
      </c>
      <c r="B153" s="37" t="s">
        <v>182</v>
      </c>
      <c r="C153" s="46" t="s">
        <v>103</v>
      </c>
      <c r="D153" s="78" t="str">
        <f>J132</f>
        <v/>
      </c>
      <c r="E153" s="37"/>
      <c r="F153" s="40"/>
      <c r="G153" s="40"/>
      <c r="H153" s="40" t="str">
        <f>D153</f>
        <v/>
      </c>
      <c r="I153" s="42"/>
      <c r="J153" s="43">
        <f>H153-I153</f>
        <v>0</v>
      </c>
      <c r="K153" s="46" t="s">
        <v>183</v>
      </c>
    </row>
    <row r="154" ht="19.5" customHeight="1">
      <c r="A154" s="74" t="s">
        <v>1</v>
      </c>
      <c r="B154" s="74" t="s">
        <v>91</v>
      </c>
      <c r="C154" s="74" t="s">
        <v>92</v>
      </c>
      <c r="D154" s="76" t="s">
        <v>93</v>
      </c>
      <c r="E154" s="50" t="s">
        <v>187</v>
      </c>
      <c r="F154" s="53"/>
      <c r="G154" s="53" t="s">
        <v>353</v>
      </c>
      <c r="H154" s="75" t="s">
        <v>100</v>
      </c>
      <c r="I154" s="75" t="s">
        <v>101</v>
      </c>
      <c r="J154" s="76" t="s">
        <v>95</v>
      </c>
      <c r="K154" s="74" t="s">
        <v>96</v>
      </c>
    </row>
    <row r="155" ht="19.5" customHeight="1">
      <c r="A155" s="46">
        <v>1.0</v>
      </c>
      <c r="B155" s="37" t="s">
        <v>354</v>
      </c>
      <c r="C155" s="46" t="s">
        <v>158</v>
      </c>
      <c r="D155" s="78" t="str">
        <f>J48</f>
        <v/>
      </c>
      <c r="E155" s="37">
        <v>80.0</v>
      </c>
      <c r="F155" s="40"/>
      <c r="G155" s="40">
        <f t="shared" ref="G155:G158" si="51">E155*D155</f>
        <v>0</v>
      </c>
      <c r="H155" s="40">
        <f t="shared" ref="H155:H158" si="52">E155*D155</f>
        <v>0</v>
      </c>
      <c r="I155" s="42"/>
      <c r="J155" s="107"/>
      <c r="K155" s="46" t="s">
        <v>355</v>
      </c>
    </row>
    <row r="156" ht="19.5" customHeight="1">
      <c r="A156" s="46">
        <v>2.0</v>
      </c>
      <c r="B156" s="37" t="s">
        <v>356</v>
      </c>
      <c r="C156" s="46" t="s">
        <v>158</v>
      </c>
      <c r="D156" s="78" t="str">
        <f>#REF!+J67</f>
        <v>#REF!</v>
      </c>
      <c r="E156" s="37">
        <v>90.0</v>
      </c>
      <c r="F156" s="40"/>
      <c r="G156" s="40" t="str">
        <f t="shared" si="51"/>
        <v>#REF!</v>
      </c>
      <c r="H156" s="40" t="str">
        <f t="shared" si="52"/>
        <v>#REF!</v>
      </c>
      <c r="I156" s="42"/>
      <c r="J156" s="121"/>
      <c r="K156" s="79"/>
    </row>
    <row r="157" ht="19.5" customHeight="1">
      <c r="A157" s="46">
        <v>3.0</v>
      </c>
      <c r="B157" s="37" t="s">
        <v>357</v>
      </c>
      <c r="C157" s="46" t="s">
        <v>158</v>
      </c>
      <c r="D157" s="78">
        <f>J117+J48</f>
        <v>4.09815</v>
      </c>
      <c r="E157" s="37">
        <v>100.0</v>
      </c>
      <c r="F157" s="40"/>
      <c r="G157" s="40">
        <f t="shared" si="51"/>
        <v>409.815</v>
      </c>
      <c r="H157" s="40">
        <f t="shared" si="52"/>
        <v>409.815</v>
      </c>
      <c r="I157" s="42"/>
      <c r="J157" s="121"/>
      <c r="K157" s="79"/>
    </row>
    <row r="158" ht="19.5" customHeight="1">
      <c r="A158" s="46">
        <v>4.0</v>
      </c>
      <c r="B158" s="37" t="s">
        <v>358</v>
      </c>
      <c r="C158" s="46" t="s">
        <v>158</v>
      </c>
      <c r="D158" s="78">
        <f>J132*0.15</f>
        <v>0</v>
      </c>
      <c r="E158" s="37"/>
      <c r="F158" s="40"/>
      <c r="G158" s="40">
        <f t="shared" si="51"/>
        <v>0</v>
      </c>
      <c r="H158" s="40">
        <f t="shared" si="52"/>
        <v>0</v>
      </c>
      <c r="I158" s="42"/>
      <c r="J158" s="96" t="str">
        <f>SUM(H155:H158)</f>
        <v>#REF!</v>
      </c>
      <c r="K158" s="79"/>
    </row>
    <row r="159" ht="19.5" customHeight="1">
      <c r="A159" s="74" t="s">
        <v>1</v>
      </c>
      <c r="B159" s="74" t="s">
        <v>91</v>
      </c>
      <c r="C159" s="74" t="s">
        <v>92</v>
      </c>
      <c r="D159" s="76" t="s">
        <v>93</v>
      </c>
      <c r="E159" s="50" t="s">
        <v>97</v>
      </c>
      <c r="F159" s="53" t="s">
        <v>121</v>
      </c>
      <c r="G159" s="53" t="s">
        <v>99</v>
      </c>
      <c r="H159" s="75" t="s">
        <v>100</v>
      </c>
      <c r="I159" s="75" t="s">
        <v>101</v>
      </c>
      <c r="J159" s="76" t="s">
        <v>95</v>
      </c>
      <c r="K159" s="74" t="s">
        <v>96</v>
      </c>
    </row>
    <row r="160" ht="19.5" customHeight="1">
      <c r="A160" s="46">
        <v>1.0</v>
      </c>
      <c r="B160" s="318" t="s">
        <v>919</v>
      </c>
      <c r="C160" s="46" t="s">
        <v>108</v>
      </c>
      <c r="D160" s="78">
        <v>2.0</v>
      </c>
      <c r="E160" s="37"/>
      <c r="F160" s="40">
        <f>F138</f>
        <v>10.23</v>
      </c>
      <c r="G160" s="40">
        <f>F139</f>
        <v>9.16</v>
      </c>
      <c r="H160" s="40">
        <f t="shared" ref="H160:H161" si="53">(G160+F160)*D160</f>
        <v>38.78</v>
      </c>
      <c r="I160" s="42"/>
      <c r="J160" s="77"/>
      <c r="K160" s="145" t="s">
        <v>920</v>
      </c>
    </row>
    <row r="161" ht="19.5" customHeight="1">
      <c r="A161" s="46">
        <v>2.0</v>
      </c>
      <c r="B161" s="318" t="s">
        <v>921</v>
      </c>
      <c r="C161" s="46" t="s">
        <v>108</v>
      </c>
      <c r="D161" s="319">
        <v>4.0</v>
      </c>
      <c r="E161" s="37"/>
      <c r="F161" s="40">
        <f>F138</f>
        <v>10.23</v>
      </c>
      <c r="G161" s="40">
        <f>G160</f>
        <v>9.16</v>
      </c>
      <c r="H161" s="40">
        <f t="shared" si="53"/>
        <v>77.56</v>
      </c>
      <c r="I161" s="42"/>
      <c r="J161" s="43">
        <f>H161+H160</f>
        <v>116.34</v>
      </c>
      <c r="K161" s="46" t="s">
        <v>186</v>
      </c>
    </row>
    <row r="162" ht="19.5" customHeight="1">
      <c r="A162" s="74" t="s">
        <v>1</v>
      </c>
      <c r="B162" s="74" t="s">
        <v>91</v>
      </c>
      <c r="C162" s="74" t="s">
        <v>92</v>
      </c>
      <c r="D162" s="76" t="s">
        <v>93</v>
      </c>
      <c r="E162" s="50" t="s">
        <v>187</v>
      </c>
      <c r="F162" s="53" t="s">
        <v>99</v>
      </c>
      <c r="G162" s="53" t="s">
        <v>121</v>
      </c>
      <c r="H162" s="75" t="s">
        <v>100</v>
      </c>
      <c r="I162" s="75" t="s">
        <v>101</v>
      </c>
      <c r="J162" s="76" t="s">
        <v>95</v>
      </c>
      <c r="K162" s="74" t="s">
        <v>96</v>
      </c>
    </row>
    <row r="163" ht="19.5" customHeight="1">
      <c r="A163" s="46">
        <v>1.0</v>
      </c>
      <c r="B163" s="315" t="s">
        <v>188</v>
      </c>
      <c r="C163" s="46" t="s">
        <v>103</v>
      </c>
      <c r="D163" s="78">
        <v>1.0</v>
      </c>
      <c r="E163" s="37">
        <v>12.0</v>
      </c>
      <c r="F163" s="40">
        <f>G160</f>
        <v>9.16</v>
      </c>
      <c r="G163" s="40">
        <f>F117</f>
        <v>10.23</v>
      </c>
      <c r="H163" s="40">
        <f>G163*F163</f>
        <v>93.7068</v>
      </c>
      <c r="I163" s="42"/>
      <c r="J163" s="43">
        <f>H163-I163</f>
        <v>93.7068</v>
      </c>
      <c r="K163" s="124" t="s">
        <v>359</v>
      </c>
    </row>
    <row r="164" ht="19.5" customHeight="1">
      <c r="A164" s="74" t="s">
        <v>1</v>
      </c>
      <c r="B164" s="74" t="s">
        <v>91</v>
      </c>
      <c r="C164" s="74" t="s">
        <v>92</v>
      </c>
      <c r="D164" s="76" t="s">
        <v>93</v>
      </c>
      <c r="E164" s="50" t="s">
        <v>187</v>
      </c>
      <c r="F164" s="53" t="s">
        <v>99</v>
      </c>
      <c r="G164" s="53" t="s">
        <v>121</v>
      </c>
      <c r="H164" s="75" t="s">
        <v>100</v>
      </c>
      <c r="I164" s="75" t="s">
        <v>101</v>
      </c>
      <c r="J164" s="76" t="s">
        <v>95</v>
      </c>
      <c r="K164" s="74" t="s">
        <v>96</v>
      </c>
    </row>
    <row r="165" ht="19.5" customHeight="1">
      <c r="A165" s="46">
        <v>1.0</v>
      </c>
      <c r="B165" s="315" t="s">
        <v>189</v>
      </c>
      <c r="C165" s="46" t="s">
        <v>103</v>
      </c>
      <c r="D165" s="78">
        <v>1.0</v>
      </c>
      <c r="E165" s="37">
        <v>6.0</v>
      </c>
      <c r="F165" s="40">
        <f t="shared" ref="F165:G165" si="54">F163</f>
        <v>9.16</v>
      </c>
      <c r="G165" s="40">
        <f t="shared" si="54"/>
        <v>10.23</v>
      </c>
      <c r="H165" s="40">
        <f>G165*F165</f>
        <v>93.7068</v>
      </c>
      <c r="I165" s="42"/>
      <c r="J165" s="43">
        <f>H165-I165</f>
        <v>93.7068</v>
      </c>
      <c r="K165" s="46"/>
    </row>
    <row r="166" ht="19.5" customHeight="1">
      <c r="A166" s="74" t="s">
        <v>1</v>
      </c>
      <c r="B166" s="74" t="s">
        <v>91</v>
      </c>
      <c r="C166" s="74" t="s">
        <v>92</v>
      </c>
      <c r="D166" s="76" t="s">
        <v>93</v>
      </c>
      <c r="E166" s="50" t="s">
        <v>99</v>
      </c>
      <c r="F166" s="53" t="s">
        <v>121</v>
      </c>
      <c r="G166" s="53" t="s">
        <v>97</v>
      </c>
      <c r="H166" s="75" t="s">
        <v>100</v>
      </c>
      <c r="I166" s="75" t="s">
        <v>101</v>
      </c>
      <c r="J166" s="76" t="s">
        <v>95</v>
      </c>
      <c r="K166" s="74" t="s">
        <v>96</v>
      </c>
    </row>
    <row r="167" ht="19.5" customHeight="1">
      <c r="A167" s="46">
        <v>1.0</v>
      </c>
      <c r="B167" s="320" t="s">
        <v>922</v>
      </c>
      <c r="C167" s="46" t="s">
        <v>103</v>
      </c>
      <c r="D167" s="78">
        <v>1.0</v>
      </c>
      <c r="E167" s="37">
        <v>1.2</v>
      </c>
      <c r="F167" s="40">
        <f>F161</f>
        <v>10.23</v>
      </c>
      <c r="G167" s="40"/>
      <c r="H167" s="40">
        <f>F167*E167*D167</f>
        <v>12.276</v>
      </c>
      <c r="I167" s="42"/>
      <c r="J167" s="43">
        <f>H167-I167</f>
        <v>12.276</v>
      </c>
      <c r="K167" s="126">
        <f>F167*2+3*4</f>
        <v>32.46</v>
      </c>
    </row>
    <row r="168" ht="19.5" customHeight="1">
      <c r="A168" s="74" t="s">
        <v>1</v>
      </c>
      <c r="B168" s="74" t="s">
        <v>91</v>
      </c>
      <c r="C168" s="74" t="s">
        <v>92</v>
      </c>
      <c r="D168" s="76" t="s">
        <v>93</v>
      </c>
      <c r="E168" s="50" t="s">
        <v>193</v>
      </c>
      <c r="F168" s="53" t="s">
        <v>121</v>
      </c>
      <c r="G168" s="53" t="s">
        <v>194</v>
      </c>
      <c r="H168" s="75" t="s">
        <v>100</v>
      </c>
      <c r="I168" s="75" t="s">
        <v>101</v>
      </c>
      <c r="J168" s="76" t="s">
        <v>95</v>
      </c>
      <c r="K168" s="74" t="s">
        <v>96</v>
      </c>
    </row>
    <row r="169" ht="19.5" customHeight="1">
      <c r="A169" s="46">
        <v>1.0</v>
      </c>
      <c r="B169" s="37" t="s">
        <v>361</v>
      </c>
      <c r="C169" s="46" t="s">
        <v>103</v>
      </c>
      <c r="D169" s="78"/>
      <c r="E169" s="37"/>
      <c r="F169" s="40"/>
      <c r="G169" s="40"/>
      <c r="H169" s="40"/>
      <c r="I169" s="42"/>
      <c r="J169" s="107"/>
      <c r="K169" s="46"/>
    </row>
    <row r="170" ht="19.5" customHeight="1">
      <c r="A170" s="46">
        <f t="shared" ref="A170:A183" si="55">A169+1</f>
        <v>2</v>
      </c>
      <c r="B170" s="37" t="s">
        <v>923</v>
      </c>
      <c r="C170" s="46" t="s">
        <v>103</v>
      </c>
      <c r="D170" s="78">
        <v>1.0</v>
      </c>
      <c r="E170" s="37">
        <v>48.0</v>
      </c>
      <c r="F170" s="40"/>
      <c r="G170" s="40"/>
      <c r="H170" s="40">
        <f>E170*D170</f>
        <v>48</v>
      </c>
      <c r="I170" s="42"/>
      <c r="J170" s="43">
        <f>H170-I170</f>
        <v>48</v>
      </c>
      <c r="K170" s="321" t="s">
        <v>924</v>
      </c>
    </row>
    <row r="171" ht="19.5" customHeight="1">
      <c r="A171" s="46">
        <f t="shared" si="55"/>
        <v>3</v>
      </c>
      <c r="B171" s="37" t="s">
        <v>362</v>
      </c>
      <c r="C171" s="46" t="s">
        <v>103</v>
      </c>
      <c r="D171" s="78">
        <f t="shared" ref="D171:D183" si="56">D117</f>
        <v>3</v>
      </c>
      <c r="E171" s="37">
        <v>0.8</v>
      </c>
      <c r="F171" s="40">
        <f t="shared" ref="F171:F183" si="57">F103</f>
        <v>10.23</v>
      </c>
      <c r="G171" s="40"/>
      <c r="H171" s="40">
        <f t="shared" ref="H171:H183" si="58">F171*E171*D171</f>
        <v>24.552</v>
      </c>
      <c r="I171" s="42"/>
      <c r="J171" s="264">
        <f>SUM(H171:H183)</f>
        <v>93.672</v>
      </c>
      <c r="K171" s="322" t="s">
        <v>925</v>
      </c>
    </row>
    <row r="172" ht="19.5" customHeight="1">
      <c r="A172" s="46">
        <f t="shared" si="55"/>
        <v>4</v>
      </c>
      <c r="B172" s="37" t="s">
        <v>362</v>
      </c>
      <c r="C172" s="46" t="s">
        <v>103</v>
      </c>
      <c r="D172" s="78">
        <f t="shared" si="56"/>
        <v>1</v>
      </c>
      <c r="E172" s="37">
        <v>0.8</v>
      </c>
      <c r="F172" s="40">
        <f t="shared" si="57"/>
        <v>9.16</v>
      </c>
      <c r="G172" s="40"/>
      <c r="H172" s="40">
        <f t="shared" si="58"/>
        <v>7.328</v>
      </c>
      <c r="I172" s="42"/>
      <c r="J172" s="147"/>
      <c r="K172" s="322" t="s">
        <v>926</v>
      </c>
    </row>
    <row r="173" ht="19.5" customHeight="1">
      <c r="A173" s="46">
        <f t="shared" si="55"/>
        <v>5</v>
      </c>
      <c r="B173" s="37" t="s">
        <v>362</v>
      </c>
      <c r="C173" s="46" t="s">
        <v>103</v>
      </c>
      <c r="D173" s="78">
        <f t="shared" si="56"/>
        <v>1</v>
      </c>
      <c r="E173" s="37">
        <v>0.8</v>
      </c>
      <c r="F173" s="40">
        <f t="shared" si="57"/>
        <v>2.01</v>
      </c>
      <c r="G173" s="40"/>
      <c r="H173" s="40">
        <f t="shared" si="58"/>
        <v>1.608</v>
      </c>
      <c r="I173" s="42"/>
      <c r="J173" s="147"/>
      <c r="K173" s="79"/>
    </row>
    <row r="174" ht="19.5" customHeight="1">
      <c r="A174" s="46">
        <f t="shared" si="55"/>
        <v>6</v>
      </c>
      <c r="B174" s="37" t="s">
        <v>362</v>
      </c>
      <c r="C174" s="46" t="s">
        <v>103</v>
      </c>
      <c r="D174" s="78">
        <f t="shared" si="56"/>
        <v>2</v>
      </c>
      <c r="E174" s="37">
        <v>0.8</v>
      </c>
      <c r="F174" s="40">
        <f t="shared" si="57"/>
        <v>8</v>
      </c>
      <c r="G174" s="40"/>
      <c r="H174" s="40">
        <f t="shared" si="58"/>
        <v>12.8</v>
      </c>
      <c r="I174" s="42"/>
      <c r="J174" s="147"/>
      <c r="K174" s="79"/>
    </row>
    <row r="175" ht="19.5" customHeight="1">
      <c r="A175" s="46">
        <f t="shared" si="55"/>
        <v>7</v>
      </c>
      <c r="B175" s="37" t="s">
        <v>362</v>
      </c>
      <c r="C175" s="46" t="s">
        <v>103</v>
      </c>
      <c r="D175" s="78">
        <f t="shared" si="56"/>
        <v>1</v>
      </c>
      <c r="E175" s="37">
        <v>0.8</v>
      </c>
      <c r="F175" s="40">
        <f t="shared" si="57"/>
        <v>10.23</v>
      </c>
      <c r="G175" s="40"/>
      <c r="H175" s="40">
        <f t="shared" si="58"/>
        <v>8.184</v>
      </c>
      <c r="I175" s="42"/>
      <c r="J175" s="147"/>
      <c r="K175" s="79"/>
    </row>
    <row r="176" ht="19.5" customHeight="1">
      <c r="A176" s="46">
        <f t="shared" si="55"/>
        <v>8</v>
      </c>
      <c r="B176" s="37" t="s">
        <v>362</v>
      </c>
      <c r="C176" s="46" t="s">
        <v>103</v>
      </c>
      <c r="D176" s="78">
        <f t="shared" si="56"/>
        <v>1</v>
      </c>
      <c r="E176" s="37">
        <v>0.8</v>
      </c>
      <c r="F176" s="40">
        <f t="shared" si="57"/>
        <v>9.16</v>
      </c>
      <c r="G176" s="40"/>
      <c r="H176" s="40">
        <f t="shared" si="58"/>
        <v>7.328</v>
      </c>
      <c r="I176" s="42"/>
      <c r="J176" s="147"/>
      <c r="K176" s="79"/>
    </row>
    <row r="177" ht="19.5" customHeight="1">
      <c r="A177" s="46">
        <f t="shared" si="55"/>
        <v>9</v>
      </c>
      <c r="B177" s="37" t="s">
        <v>362</v>
      </c>
      <c r="C177" s="46" t="s">
        <v>103</v>
      </c>
      <c r="D177" s="78">
        <f t="shared" si="56"/>
        <v>1</v>
      </c>
      <c r="E177" s="37">
        <v>0.8</v>
      </c>
      <c r="F177" s="40">
        <f t="shared" si="57"/>
        <v>6.51</v>
      </c>
      <c r="G177" s="40"/>
      <c r="H177" s="40">
        <f t="shared" si="58"/>
        <v>5.208</v>
      </c>
      <c r="I177" s="42"/>
      <c r="J177" s="147"/>
      <c r="K177" s="79"/>
    </row>
    <row r="178" ht="19.5" customHeight="1">
      <c r="A178" s="46">
        <f t="shared" si="55"/>
        <v>10</v>
      </c>
      <c r="B178" s="37" t="s">
        <v>362</v>
      </c>
      <c r="C178" s="46" t="s">
        <v>103</v>
      </c>
      <c r="D178" s="78">
        <f t="shared" si="56"/>
        <v>1</v>
      </c>
      <c r="E178" s="37">
        <v>0.8</v>
      </c>
      <c r="F178" s="40">
        <f t="shared" si="57"/>
        <v>3.95</v>
      </c>
      <c r="G178" s="40"/>
      <c r="H178" s="40">
        <f t="shared" si="58"/>
        <v>3.16</v>
      </c>
      <c r="I178" s="42"/>
      <c r="J178" s="147"/>
      <c r="K178" s="79"/>
    </row>
    <row r="179" ht="19.5" customHeight="1">
      <c r="A179" s="46">
        <f t="shared" si="55"/>
        <v>11</v>
      </c>
      <c r="B179" s="37" t="s">
        <v>362</v>
      </c>
      <c r="C179" s="46" t="s">
        <v>103</v>
      </c>
      <c r="D179" s="78">
        <f t="shared" si="56"/>
        <v>1</v>
      </c>
      <c r="E179" s="37">
        <v>0.8</v>
      </c>
      <c r="F179" s="40">
        <f t="shared" si="57"/>
        <v>2.86</v>
      </c>
      <c r="G179" s="40"/>
      <c r="H179" s="40">
        <f t="shared" si="58"/>
        <v>2.288</v>
      </c>
      <c r="I179" s="42"/>
      <c r="J179" s="147"/>
      <c r="K179" s="322" t="s">
        <v>927</v>
      </c>
    </row>
    <row r="180" ht="19.5" customHeight="1">
      <c r="A180" s="46">
        <f t="shared" si="55"/>
        <v>12</v>
      </c>
      <c r="B180" s="37" t="s">
        <v>362</v>
      </c>
      <c r="C180" s="46" t="s">
        <v>103</v>
      </c>
      <c r="D180" s="78">
        <f t="shared" si="56"/>
        <v>1</v>
      </c>
      <c r="E180" s="37">
        <v>0.8</v>
      </c>
      <c r="F180" s="40">
        <f t="shared" si="57"/>
        <v>18.07</v>
      </c>
      <c r="G180" s="40"/>
      <c r="H180" s="40">
        <f t="shared" si="58"/>
        <v>14.456</v>
      </c>
      <c r="I180" s="42"/>
      <c r="J180" s="147"/>
      <c r="K180" s="79"/>
    </row>
    <row r="181" ht="19.5" customHeight="1">
      <c r="A181" s="46">
        <f t="shared" si="55"/>
        <v>13</v>
      </c>
      <c r="B181" s="37" t="s">
        <v>362</v>
      </c>
      <c r="C181" s="46" t="s">
        <v>103</v>
      </c>
      <c r="D181" s="78">
        <f t="shared" si="56"/>
        <v>1</v>
      </c>
      <c r="E181" s="37">
        <v>0.8</v>
      </c>
      <c r="F181" s="40">
        <f t="shared" si="57"/>
        <v>5.31</v>
      </c>
      <c r="G181" s="40"/>
      <c r="H181" s="40">
        <f t="shared" si="58"/>
        <v>4.248</v>
      </c>
      <c r="I181" s="42"/>
      <c r="J181" s="147"/>
      <c r="K181" s="79"/>
    </row>
    <row r="182" ht="19.5" customHeight="1">
      <c r="A182" s="46">
        <f t="shared" si="55"/>
        <v>14</v>
      </c>
      <c r="B182" s="37" t="s">
        <v>362</v>
      </c>
      <c r="C182" s="46" t="s">
        <v>103</v>
      </c>
      <c r="D182" s="78">
        <f t="shared" si="56"/>
        <v>1</v>
      </c>
      <c r="E182" s="37">
        <v>0.8</v>
      </c>
      <c r="F182" s="40">
        <f t="shared" si="57"/>
        <v>1.2</v>
      </c>
      <c r="G182" s="40"/>
      <c r="H182" s="40">
        <f t="shared" si="58"/>
        <v>0.96</v>
      </c>
      <c r="I182" s="42"/>
      <c r="J182" s="147"/>
      <c r="K182" s="79"/>
    </row>
    <row r="183" ht="19.5" customHeight="1">
      <c r="A183" s="46">
        <f t="shared" si="55"/>
        <v>15</v>
      </c>
      <c r="B183" s="37" t="s">
        <v>362</v>
      </c>
      <c r="C183" s="46" t="s">
        <v>103</v>
      </c>
      <c r="D183" s="78">
        <f t="shared" si="56"/>
        <v>1</v>
      </c>
      <c r="E183" s="37">
        <v>0.8</v>
      </c>
      <c r="F183" s="40">
        <f t="shared" si="57"/>
        <v>1.94</v>
      </c>
      <c r="G183" s="40"/>
      <c r="H183" s="40">
        <f t="shared" si="58"/>
        <v>1.552</v>
      </c>
      <c r="I183" s="42"/>
      <c r="J183" s="32"/>
      <c r="K183" s="79"/>
    </row>
    <row r="184" ht="19.5" customHeight="1">
      <c r="A184" s="74" t="s">
        <v>1</v>
      </c>
      <c r="B184" s="74" t="s">
        <v>91</v>
      </c>
      <c r="C184" s="74" t="s">
        <v>92</v>
      </c>
      <c r="D184" s="76" t="s">
        <v>93</v>
      </c>
      <c r="E184" s="50" t="s">
        <v>161</v>
      </c>
      <c r="F184" s="52" t="s">
        <v>928</v>
      </c>
      <c r="G184" s="52" t="s">
        <v>929</v>
      </c>
      <c r="H184" s="75" t="s">
        <v>100</v>
      </c>
      <c r="I184" s="75" t="s">
        <v>101</v>
      </c>
      <c r="J184" s="76" t="s">
        <v>95</v>
      </c>
      <c r="K184" s="74" t="s">
        <v>96</v>
      </c>
    </row>
    <row r="185" ht="19.5" customHeight="1">
      <c r="A185" s="46">
        <v>1.0</v>
      </c>
      <c r="B185" s="37" t="s">
        <v>930</v>
      </c>
      <c r="C185" s="46" t="s">
        <v>103</v>
      </c>
      <c r="D185" s="78">
        <v>1.0</v>
      </c>
      <c r="E185" s="37"/>
      <c r="F185" s="40"/>
      <c r="G185" s="40"/>
      <c r="H185" s="40">
        <v>337.96</v>
      </c>
      <c r="I185" s="42"/>
      <c r="J185" s="43">
        <f t="shared" ref="J185:J186" si="59">H185-I185</f>
        <v>337.96</v>
      </c>
      <c r="K185" s="46"/>
    </row>
    <row r="186" ht="19.5" customHeight="1">
      <c r="A186" s="46">
        <v>2.0</v>
      </c>
      <c r="B186" s="37" t="s">
        <v>197</v>
      </c>
      <c r="C186" s="46" t="s">
        <v>103</v>
      </c>
      <c r="D186" s="78">
        <f>D163</f>
        <v>1</v>
      </c>
      <c r="E186" s="37"/>
      <c r="F186" s="40"/>
      <c r="G186" s="40"/>
      <c r="H186" s="40">
        <v>273.3</v>
      </c>
      <c r="I186" s="42"/>
      <c r="J186" s="43">
        <f t="shared" si="59"/>
        <v>273.3</v>
      </c>
      <c r="K186" s="46"/>
    </row>
    <row r="187" ht="19.5" customHeight="1">
      <c r="A187" s="79"/>
      <c r="B187" s="323" t="s">
        <v>931</v>
      </c>
      <c r="C187" s="324"/>
      <c r="D187" s="325"/>
      <c r="E187" s="320"/>
      <c r="F187" s="326">
        <v>201.53</v>
      </c>
      <c r="G187" s="326">
        <v>62.35</v>
      </c>
      <c r="H187" s="59">
        <f t="shared" ref="H187:H208" si="60">G187*3</f>
        <v>187.05</v>
      </c>
      <c r="I187" s="82"/>
      <c r="J187" s="143"/>
      <c r="K187" s="79"/>
    </row>
    <row r="188" ht="19.5" customHeight="1">
      <c r="A188" s="79"/>
      <c r="B188" s="323" t="s">
        <v>932</v>
      </c>
      <c r="C188" s="324"/>
      <c r="D188" s="325"/>
      <c r="E188" s="320"/>
      <c r="F188" s="326">
        <f>70.4+19</f>
        <v>89.4</v>
      </c>
      <c r="G188" s="326">
        <f>36.6+22.45</f>
        <v>59.05</v>
      </c>
      <c r="H188" s="59">
        <f t="shared" si="60"/>
        <v>177.15</v>
      </c>
      <c r="I188" s="82"/>
      <c r="J188" s="143"/>
      <c r="K188" s="79"/>
    </row>
    <row r="189" ht="19.5" customHeight="1">
      <c r="A189" s="79"/>
      <c r="B189" s="323" t="s">
        <v>933</v>
      </c>
      <c r="C189" s="324"/>
      <c r="D189" s="325"/>
      <c r="E189" s="320"/>
      <c r="F189" s="326">
        <v>3.5</v>
      </c>
      <c r="G189" s="326">
        <v>7.5</v>
      </c>
      <c r="H189" s="59">
        <f t="shared" si="60"/>
        <v>22.5</v>
      </c>
      <c r="I189" s="82"/>
      <c r="J189" s="143"/>
      <c r="K189" s="79"/>
    </row>
    <row r="190" ht="19.5" customHeight="1">
      <c r="A190" s="79"/>
      <c r="B190" s="323" t="s">
        <v>934</v>
      </c>
      <c r="C190" s="324"/>
      <c r="D190" s="325"/>
      <c r="E190" s="320"/>
      <c r="F190" s="326">
        <v>3.2</v>
      </c>
      <c r="G190" s="326">
        <v>7.2</v>
      </c>
      <c r="H190" s="59">
        <f t="shared" si="60"/>
        <v>21.6</v>
      </c>
      <c r="I190" s="82"/>
      <c r="J190" s="143"/>
      <c r="K190" s="79"/>
    </row>
    <row r="191" ht="19.5" customHeight="1">
      <c r="A191" s="79"/>
      <c r="B191" s="323" t="s">
        <v>935</v>
      </c>
      <c r="C191" s="324"/>
      <c r="D191" s="325"/>
      <c r="E191" s="320"/>
      <c r="F191" s="326">
        <v>17.24</v>
      </c>
      <c r="G191" s="326">
        <v>16.85</v>
      </c>
      <c r="H191" s="59">
        <f t="shared" si="60"/>
        <v>50.55</v>
      </c>
      <c r="I191" s="82"/>
      <c r="J191" s="143"/>
      <c r="K191" s="79"/>
    </row>
    <row r="192" ht="19.5" customHeight="1">
      <c r="A192" s="79"/>
      <c r="B192" s="323" t="s">
        <v>936</v>
      </c>
      <c r="C192" s="324"/>
      <c r="D192" s="325"/>
      <c r="E192" s="320"/>
      <c r="F192" s="326">
        <v>10.06</v>
      </c>
      <c r="G192" s="326">
        <v>12.75</v>
      </c>
      <c r="H192" s="59">
        <f t="shared" si="60"/>
        <v>38.25</v>
      </c>
      <c r="I192" s="82"/>
      <c r="J192" s="143"/>
      <c r="K192" s="79"/>
    </row>
    <row r="193" ht="19.5" customHeight="1">
      <c r="A193" s="79"/>
      <c r="B193" s="323" t="s">
        <v>937</v>
      </c>
      <c r="C193" s="324"/>
      <c r="D193" s="325"/>
      <c r="E193" s="320"/>
      <c r="F193" s="326">
        <v>21.2</v>
      </c>
      <c r="G193" s="326">
        <v>21.3</v>
      </c>
      <c r="H193" s="59">
        <f t="shared" si="60"/>
        <v>63.9</v>
      </c>
      <c r="I193" s="82"/>
      <c r="J193" s="143"/>
      <c r="K193" s="79"/>
    </row>
    <row r="194" ht="19.5" customHeight="1">
      <c r="A194" s="79"/>
      <c r="B194" s="323" t="s">
        <v>938</v>
      </c>
      <c r="C194" s="324"/>
      <c r="D194" s="325"/>
      <c r="E194" s="320"/>
      <c r="F194" s="326">
        <v>12.25</v>
      </c>
      <c r="G194" s="326">
        <v>14.0</v>
      </c>
      <c r="H194" s="59">
        <f t="shared" si="60"/>
        <v>42</v>
      </c>
      <c r="I194" s="82"/>
      <c r="J194" s="143"/>
      <c r="K194" s="79"/>
    </row>
    <row r="195" ht="19.5" customHeight="1">
      <c r="A195" s="79"/>
      <c r="B195" s="323" t="s">
        <v>939</v>
      </c>
      <c r="C195" s="324"/>
      <c r="D195" s="325"/>
      <c r="E195" s="320"/>
      <c r="F195" s="326">
        <v>14.31</v>
      </c>
      <c r="G195" s="326">
        <v>16.05</v>
      </c>
      <c r="H195" s="59">
        <f t="shared" si="60"/>
        <v>48.15</v>
      </c>
      <c r="I195" s="82"/>
      <c r="J195" s="143"/>
      <c r="K195" s="79"/>
    </row>
    <row r="196" ht="19.5" customHeight="1">
      <c r="A196" s="79"/>
      <c r="B196" s="323" t="s">
        <v>940</v>
      </c>
      <c r="C196" s="324"/>
      <c r="D196" s="325"/>
      <c r="E196" s="320"/>
      <c r="F196" s="326">
        <v>7.9</v>
      </c>
      <c r="G196" s="326">
        <v>11.9</v>
      </c>
      <c r="H196" s="59">
        <f t="shared" si="60"/>
        <v>35.7</v>
      </c>
      <c r="I196" s="82"/>
      <c r="J196" s="143"/>
      <c r="K196" s="79"/>
    </row>
    <row r="197" ht="19.5" customHeight="1">
      <c r="A197" s="79"/>
      <c r="B197" s="323" t="s">
        <v>941</v>
      </c>
      <c r="C197" s="324"/>
      <c r="D197" s="325"/>
      <c r="E197" s="320"/>
      <c r="F197" s="326">
        <v>7.0</v>
      </c>
      <c r="G197" s="326">
        <v>11.45</v>
      </c>
      <c r="H197" s="59">
        <f t="shared" si="60"/>
        <v>34.35</v>
      </c>
      <c r="I197" s="82"/>
      <c r="J197" s="143"/>
      <c r="K197" s="79"/>
    </row>
    <row r="198" ht="19.5" customHeight="1">
      <c r="A198" s="79"/>
      <c r="B198" s="323" t="s">
        <v>942</v>
      </c>
      <c r="C198" s="324"/>
      <c r="D198" s="325"/>
      <c r="E198" s="320"/>
      <c r="F198" s="326">
        <v>7.26</v>
      </c>
      <c r="G198" s="326">
        <v>11.55</v>
      </c>
      <c r="H198" s="59">
        <f t="shared" si="60"/>
        <v>34.65</v>
      </c>
      <c r="I198" s="82"/>
      <c r="J198" s="143"/>
      <c r="K198" s="79"/>
    </row>
    <row r="199" ht="19.5" customHeight="1">
      <c r="A199" s="79"/>
      <c r="B199" s="323" t="s">
        <v>943</v>
      </c>
      <c r="C199" s="324"/>
      <c r="D199" s="325"/>
      <c r="E199" s="320"/>
      <c r="F199" s="326">
        <v>17.86</v>
      </c>
      <c r="G199" s="326">
        <v>17.9</v>
      </c>
      <c r="H199" s="59">
        <f t="shared" si="60"/>
        <v>53.7</v>
      </c>
      <c r="I199" s="82"/>
      <c r="J199" s="143"/>
      <c r="K199" s="79"/>
    </row>
    <row r="200" ht="19.5" customHeight="1">
      <c r="A200" s="79"/>
      <c r="B200" s="323" t="s">
        <v>944</v>
      </c>
      <c r="C200" s="324"/>
      <c r="D200" s="325"/>
      <c r="E200" s="320"/>
      <c r="F200" s="326">
        <v>10.12</v>
      </c>
      <c r="G200" s="326">
        <v>12.8</v>
      </c>
      <c r="H200" s="59">
        <f t="shared" si="60"/>
        <v>38.4</v>
      </c>
      <c r="I200" s="82"/>
      <c r="J200" s="143"/>
      <c r="K200" s="79"/>
    </row>
    <row r="201" ht="19.5" customHeight="1">
      <c r="A201" s="79"/>
      <c r="B201" s="323" t="s">
        <v>945</v>
      </c>
      <c r="C201" s="324"/>
      <c r="D201" s="325"/>
      <c r="E201" s="320"/>
      <c r="F201" s="326">
        <v>82.82</v>
      </c>
      <c r="G201" s="326">
        <v>46.33</v>
      </c>
      <c r="H201" s="59">
        <f t="shared" si="60"/>
        <v>138.99</v>
      </c>
      <c r="I201" s="82"/>
      <c r="J201" s="143"/>
      <c r="K201" s="79"/>
    </row>
    <row r="202" ht="19.5" customHeight="1">
      <c r="A202" s="79"/>
      <c r="B202" s="323" t="s">
        <v>946</v>
      </c>
      <c r="C202" s="324"/>
      <c r="D202" s="325"/>
      <c r="E202" s="320"/>
      <c r="F202" s="326">
        <v>21.88</v>
      </c>
      <c r="G202" s="326">
        <v>20.45</v>
      </c>
      <c r="H202" s="59">
        <f t="shared" si="60"/>
        <v>61.35</v>
      </c>
      <c r="I202" s="82"/>
      <c r="J202" s="143"/>
      <c r="K202" s="79"/>
    </row>
    <row r="203" ht="19.5" customHeight="1">
      <c r="A203" s="79"/>
      <c r="B203" s="323" t="s">
        <v>933</v>
      </c>
      <c r="C203" s="324"/>
      <c r="D203" s="325"/>
      <c r="E203" s="320"/>
      <c r="F203" s="326">
        <v>2.9</v>
      </c>
      <c r="G203" s="326">
        <v>6.87</v>
      </c>
      <c r="H203" s="59">
        <f t="shared" si="60"/>
        <v>20.61</v>
      </c>
      <c r="I203" s="82"/>
      <c r="J203" s="143"/>
      <c r="K203" s="79"/>
    </row>
    <row r="204" ht="19.5" customHeight="1">
      <c r="A204" s="79"/>
      <c r="B204" s="323" t="s">
        <v>947</v>
      </c>
      <c r="C204" s="324"/>
      <c r="D204" s="325"/>
      <c r="E204" s="320"/>
      <c r="F204" s="326">
        <v>13.2</v>
      </c>
      <c r="G204" s="326">
        <v>14.7</v>
      </c>
      <c r="H204" s="59">
        <f t="shared" si="60"/>
        <v>44.1</v>
      </c>
      <c r="I204" s="82"/>
      <c r="J204" s="143"/>
      <c r="K204" s="79"/>
    </row>
    <row r="205" ht="19.5" customHeight="1">
      <c r="A205" s="79"/>
      <c r="B205" s="323" t="s">
        <v>948</v>
      </c>
      <c r="C205" s="324"/>
      <c r="D205" s="325"/>
      <c r="E205" s="320"/>
      <c r="F205" s="326">
        <v>12.66</v>
      </c>
      <c r="G205" s="326">
        <v>14.4</v>
      </c>
      <c r="H205" s="59">
        <f t="shared" si="60"/>
        <v>43.2</v>
      </c>
      <c r="I205" s="82"/>
      <c r="J205" s="143"/>
      <c r="K205" s="79"/>
    </row>
    <row r="206" ht="19.5" customHeight="1">
      <c r="A206" s="79"/>
      <c r="B206" s="323" t="s">
        <v>949</v>
      </c>
      <c r="C206" s="324"/>
      <c r="D206" s="325"/>
      <c r="E206" s="320"/>
      <c r="F206" s="326">
        <v>9.0</v>
      </c>
      <c r="G206" s="326">
        <v>12.03</v>
      </c>
      <c r="H206" s="59">
        <f t="shared" si="60"/>
        <v>36.09</v>
      </c>
      <c r="I206" s="82"/>
      <c r="J206" s="143"/>
      <c r="K206" s="79"/>
    </row>
    <row r="207" ht="19.5" customHeight="1">
      <c r="A207" s="79"/>
      <c r="B207" s="323" t="s">
        <v>950</v>
      </c>
      <c r="C207" s="324"/>
      <c r="D207" s="325"/>
      <c r="E207" s="320"/>
      <c r="F207" s="326">
        <v>19.6</v>
      </c>
      <c r="G207" s="326">
        <v>18.85</v>
      </c>
      <c r="H207" s="59">
        <f t="shared" si="60"/>
        <v>56.55</v>
      </c>
      <c r="I207" s="82"/>
      <c r="J207" s="143"/>
      <c r="K207" s="79"/>
    </row>
    <row r="208" ht="19.5" customHeight="1">
      <c r="A208" s="79"/>
      <c r="B208" s="323" t="s">
        <v>951</v>
      </c>
      <c r="C208" s="324"/>
      <c r="D208" s="325"/>
      <c r="E208" s="320"/>
      <c r="F208" s="326">
        <v>19.6</v>
      </c>
      <c r="G208" s="326">
        <v>18.85</v>
      </c>
      <c r="H208" s="59">
        <f t="shared" si="60"/>
        <v>56.55</v>
      </c>
      <c r="I208" s="82"/>
      <c r="J208" s="143"/>
      <c r="K208" s="79"/>
    </row>
    <row r="209" ht="19.5" customHeight="1">
      <c r="A209" s="79"/>
      <c r="B209" s="114"/>
      <c r="C209" s="79"/>
      <c r="D209" s="122"/>
      <c r="E209" s="37"/>
      <c r="F209" s="40"/>
      <c r="G209" s="40"/>
      <c r="H209" s="59"/>
      <c r="I209" s="82"/>
      <c r="J209" s="143"/>
      <c r="K209" s="79"/>
    </row>
    <row r="210" ht="19.5" customHeight="1">
      <c r="A210" s="74" t="s">
        <v>1</v>
      </c>
      <c r="B210" s="74" t="s">
        <v>91</v>
      </c>
      <c r="C210" s="74" t="s">
        <v>92</v>
      </c>
      <c r="D210" s="76" t="s">
        <v>93</v>
      </c>
      <c r="E210" s="50" t="s">
        <v>97</v>
      </c>
      <c r="F210" s="53" t="s">
        <v>121</v>
      </c>
      <c r="G210" s="53" t="s">
        <v>198</v>
      </c>
      <c r="H210" s="75" t="s">
        <v>100</v>
      </c>
      <c r="I210" s="75" t="s">
        <v>101</v>
      </c>
      <c r="J210" s="76" t="s">
        <v>95</v>
      </c>
      <c r="K210" s="74" t="s">
        <v>96</v>
      </c>
    </row>
    <row r="211" ht="19.5" customHeight="1">
      <c r="A211" s="46">
        <v>1.0</v>
      </c>
      <c r="B211" s="37" t="s">
        <v>363</v>
      </c>
      <c r="C211" s="46" t="s">
        <v>103</v>
      </c>
      <c r="D211" s="78">
        <f t="shared" ref="D211:F211" si="61">D138</f>
        <v>3</v>
      </c>
      <c r="E211" s="40">
        <f t="shared" si="61"/>
        <v>5</v>
      </c>
      <c r="F211" s="78">
        <f t="shared" si="61"/>
        <v>10.23</v>
      </c>
      <c r="G211" s="40">
        <v>2.0</v>
      </c>
      <c r="H211" s="40">
        <f t="shared" ref="H211:H223" si="63">G211*F211*E211*D211</f>
        <v>306.9</v>
      </c>
      <c r="I211" s="42">
        <v>60.0</v>
      </c>
      <c r="J211" s="40"/>
      <c r="K211" s="145" t="s">
        <v>952</v>
      </c>
    </row>
    <row r="212" ht="19.5" customHeight="1">
      <c r="A212" s="46">
        <f t="shared" ref="A212:A223" si="64">A211+1</f>
        <v>2</v>
      </c>
      <c r="B212" s="37" t="s">
        <v>363</v>
      </c>
      <c r="C212" s="46" t="s">
        <v>103</v>
      </c>
      <c r="D212" s="78">
        <f t="shared" ref="D212:F212" si="62">D139</f>
        <v>2</v>
      </c>
      <c r="E212" s="40">
        <f t="shared" si="62"/>
        <v>5</v>
      </c>
      <c r="F212" s="78">
        <f t="shared" si="62"/>
        <v>9.16</v>
      </c>
      <c r="G212" s="40">
        <v>2.0</v>
      </c>
      <c r="H212" s="40">
        <f t="shared" si="63"/>
        <v>183.2</v>
      </c>
      <c r="I212" s="42"/>
      <c r="J212" s="40"/>
      <c r="K212" s="46"/>
    </row>
    <row r="213" ht="19.5" customHeight="1">
      <c r="A213" s="46">
        <f t="shared" si="64"/>
        <v>3</v>
      </c>
      <c r="B213" s="37" t="s">
        <v>363</v>
      </c>
      <c r="C213" s="46" t="s">
        <v>103</v>
      </c>
      <c r="D213" s="78">
        <f t="shared" ref="D213:F213" si="65">D140</f>
        <v>5</v>
      </c>
      <c r="E213" s="40">
        <f t="shared" si="65"/>
        <v>3</v>
      </c>
      <c r="F213" s="78">
        <f t="shared" si="65"/>
        <v>2.01</v>
      </c>
      <c r="G213" s="40">
        <v>2.0</v>
      </c>
      <c r="H213" s="40">
        <f t="shared" si="63"/>
        <v>60.3</v>
      </c>
      <c r="I213" s="42"/>
      <c r="J213" s="40"/>
      <c r="K213" s="46"/>
    </row>
    <row r="214" ht="19.5" customHeight="1">
      <c r="A214" s="46">
        <f t="shared" si="64"/>
        <v>4</v>
      </c>
      <c r="B214" s="37" t="s">
        <v>363</v>
      </c>
      <c r="C214" s="46" t="s">
        <v>103</v>
      </c>
      <c r="D214" s="78">
        <f t="shared" ref="D214:F214" si="66">D141</f>
        <v>2</v>
      </c>
      <c r="E214" s="40">
        <f t="shared" si="66"/>
        <v>3</v>
      </c>
      <c r="F214" s="78">
        <f t="shared" si="66"/>
        <v>8</v>
      </c>
      <c r="G214" s="40">
        <v>2.0</v>
      </c>
      <c r="H214" s="40">
        <f t="shared" si="63"/>
        <v>96</v>
      </c>
      <c r="I214" s="42"/>
      <c r="J214" s="40"/>
      <c r="K214" s="46"/>
    </row>
    <row r="215" ht="19.5" customHeight="1">
      <c r="A215" s="46">
        <f t="shared" si="64"/>
        <v>5</v>
      </c>
      <c r="B215" s="37" t="s">
        <v>363</v>
      </c>
      <c r="C215" s="46" t="s">
        <v>103</v>
      </c>
      <c r="D215" s="78">
        <f t="shared" ref="D215:F215" si="67">D142</f>
        <v>1</v>
      </c>
      <c r="E215" s="40">
        <f t="shared" si="67"/>
        <v>3</v>
      </c>
      <c r="F215" s="78">
        <f t="shared" si="67"/>
        <v>10.23</v>
      </c>
      <c r="G215" s="40">
        <v>2.0</v>
      </c>
      <c r="H215" s="40">
        <f t="shared" si="63"/>
        <v>61.38</v>
      </c>
      <c r="I215" s="42"/>
      <c r="J215" s="40"/>
      <c r="K215" s="46"/>
    </row>
    <row r="216" ht="19.5" customHeight="1">
      <c r="A216" s="46">
        <f t="shared" si="64"/>
        <v>6</v>
      </c>
      <c r="B216" s="37" t="s">
        <v>363</v>
      </c>
      <c r="C216" s="46" t="s">
        <v>103</v>
      </c>
      <c r="D216" s="78">
        <f t="shared" ref="D216:F216" si="68">D143</f>
        <v>1</v>
      </c>
      <c r="E216" s="40">
        <f t="shared" si="68"/>
        <v>3</v>
      </c>
      <c r="F216" s="78">
        <f t="shared" si="68"/>
        <v>9.16</v>
      </c>
      <c r="G216" s="40">
        <v>2.0</v>
      </c>
      <c r="H216" s="40">
        <f t="shared" si="63"/>
        <v>54.96</v>
      </c>
      <c r="I216" s="42"/>
      <c r="J216" s="40"/>
      <c r="K216" s="46"/>
    </row>
    <row r="217" ht="19.5" customHeight="1">
      <c r="A217" s="46">
        <f t="shared" si="64"/>
        <v>7</v>
      </c>
      <c r="B217" s="37" t="s">
        <v>363</v>
      </c>
      <c r="C217" s="46" t="s">
        <v>103</v>
      </c>
      <c r="D217" s="78">
        <f t="shared" ref="D217:F217" si="69">D144</f>
        <v>1</v>
      </c>
      <c r="E217" s="40">
        <f t="shared" si="69"/>
        <v>3</v>
      </c>
      <c r="F217" s="78">
        <f t="shared" si="69"/>
        <v>22.03</v>
      </c>
      <c r="G217" s="40">
        <v>2.0</v>
      </c>
      <c r="H217" s="40">
        <f t="shared" si="63"/>
        <v>132.18</v>
      </c>
      <c r="I217" s="42"/>
      <c r="J217" s="40"/>
      <c r="K217" s="46"/>
    </row>
    <row r="218" ht="19.5" customHeight="1">
      <c r="A218" s="46">
        <f t="shared" si="64"/>
        <v>8</v>
      </c>
      <c r="B218" s="37" t="s">
        <v>363</v>
      </c>
      <c r="C218" s="46" t="s">
        <v>103</v>
      </c>
      <c r="D218" s="78">
        <f t="shared" ref="D218:F218" si="70">D145</f>
        <v>1</v>
      </c>
      <c r="E218" s="40">
        <f t="shared" si="70"/>
        <v>3</v>
      </c>
      <c r="F218" s="78">
        <f t="shared" si="70"/>
        <v>3.95</v>
      </c>
      <c r="G218" s="40">
        <v>2.0</v>
      </c>
      <c r="H218" s="40">
        <f t="shared" si="63"/>
        <v>23.7</v>
      </c>
      <c r="I218" s="42"/>
      <c r="J218" s="40"/>
      <c r="K218" s="46"/>
    </row>
    <row r="219" ht="19.5" customHeight="1">
      <c r="A219" s="46">
        <f t="shared" si="64"/>
        <v>9</v>
      </c>
      <c r="B219" s="37" t="s">
        <v>363</v>
      </c>
      <c r="C219" s="46" t="s">
        <v>103</v>
      </c>
      <c r="D219" s="78">
        <f t="shared" ref="D219:F219" si="71">D146</f>
        <v>1</v>
      </c>
      <c r="E219" s="40">
        <f t="shared" si="71"/>
        <v>3</v>
      </c>
      <c r="F219" s="78">
        <f t="shared" si="71"/>
        <v>2.86</v>
      </c>
      <c r="G219" s="40">
        <v>2.0</v>
      </c>
      <c r="H219" s="40">
        <f t="shared" si="63"/>
        <v>17.16</v>
      </c>
      <c r="I219" s="42"/>
      <c r="J219" s="40"/>
      <c r="K219" s="46"/>
    </row>
    <row r="220" ht="19.5" customHeight="1">
      <c r="A220" s="46">
        <f t="shared" si="64"/>
        <v>10</v>
      </c>
      <c r="B220" s="37" t="s">
        <v>363</v>
      </c>
      <c r="C220" s="46" t="s">
        <v>103</v>
      </c>
      <c r="D220" s="78">
        <f t="shared" ref="D220:F220" si="72">D147</f>
        <v>1</v>
      </c>
      <c r="E220" s="40">
        <f t="shared" si="72"/>
        <v>3</v>
      </c>
      <c r="F220" s="78">
        <f t="shared" si="72"/>
        <v>18.07</v>
      </c>
      <c r="G220" s="40">
        <v>2.0</v>
      </c>
      <c r="H220" s="40">
        <f t="shared" si="63"/>
        <v>108.42</v>
      </c>
      <c r="I220" s="42"/>
      <c r="J220" s="40"/>
      <c r="K220" s="46"/>
    </row>
    <row r="221" ht="19.5" customHeight="1">
      <c r="A221" s="46">
        <f t="shared" si="64"/>
        <v>11</v>
      </c>
      <c r="B221" s="37" t="s">
        <v>363</v>
      </c>
      <c r="C221" s="46" t="s">
        <v>103</v>
      </c>
      <c r="D221" s="78">
        <f t="shared" ref="D221:F221" si="73">D148</f>
        <v>1</v>
      </c>
      <c r="E221" s="40">
        <f t="shared" si="73"/>
        <v>3</v>
      </c>
      <c r="F221" s="78">
        <f t="shared" si="73"/>
        <v>5.31</v>
      </c>
      <c r="G221" s="40">
        <v>2.0</v>
      </c>
      <c r="H221" s="40">
        <f t="shared" si="63"/>
        <v>31.86</v>
      </c>
      <c r="I221" s="42"/>
      <c r="J221" s="40"/>
      <c r="K221" s="79"/>
    </row>
    <row r="222" ht="19.5" customHeight="1">
      <c r="A222" s="46">
        <f t="shared" si="64"/>
        <v>12</v>
      </c>
      <c r="B222" s="37" t="s">
        <v>363</v>
      </c>
      <c r="C222" s="46" t="s">
        <v>103</v>
      </c>
      <c r="D222" s="78">
        <f t="shared" ref="D222:F222" si="74">D149</f>
        <v>1</v>
      </c>
      <c r="E222" s="40">
        <f t="shared" si="74"/>
        <v>3</v>
      </c>
      <c r="F222" s="78">
        <f t="shared" si="74"/>
        <v>1.2</v>
      </c>
      <c r="G222" s="40">
        <v>2.0</v>
      </c>
      <c r="H222" s="40">
        <f t="shared" si="63"/>
        <v>7.2</v>
      </c>
      <c r="I222" s="42"/>
      <c r="J222" s="40"/>
      <c r="K222" s="79"/>
    </row>
    <row r="223" ht="19.5" customHeight="1">
      <c r="A223" s="46">
        <f t="shared" si="64"/>
        <v>13</v>
      </c>
      <c r="B223" s="37" t="s">
        <v>363</v>
      </c>
      <c r="C223" s="46" t="s">
        <v>103</v>
      </c>
      <c r="D223" s="78">
        <f t="shared" ref="D223:F223" si="75">D150</f>
        <v>1</v>
      </c>
      <c r="E223" s="40">
        <f t="shared" si="75"/>
        <v>3</v>
      </c>
      <c r="F223" s="78">
        <f t="shared" si="75"/>
        <v>1.94</v>
      </c>
      <c r="G223" s="40">
        <v>2.0</v>
      </c>
      <c r="H223" s="40">
        <f t="shared" si="63"/>
        <v>11.64</v>
      </c>
      <c r="I223" s="42"/>
      <c r="J223" s="40"/>
      <c r="K223" s="79"/>
    </row>
    <row r="224" ht="19.5" customHeight="1">
      <c r="A224" s="79"/>
      <c r="B224" s="95"/>
      <c r="C224" s="79"/>
      <c r="D224" s="92"/>
      <c r="E224" s="40"/>
      <c r="F224" s="78"/>
      <c r="G224" s="40"/>
      <c r="H224" s="59"/>
      <c r="I224" s="93"/>
      <c r="J224" s="96">
        <f>SUM(H211:H223)-I211</f>
        <v>1034.9</v>
      </c>
      <c r="K224" s="79"/>
    </row>
    <row r="225" ht="19.5" customHeight="1">
      <c r="A225" s="74" t="s">
        <v>1</v>
      </c>
      <c r="B225" s="74" t="s">
        <v>91</v>
      </c>
      <c r="C225" s="74" t="s">
        <v>92</v>
      </c>
      <c r="D225" s="76" t="s">
        <v>93</v>
      </c>
      <c r="E225" s="50" t="s">
        <v>97</v>
      </c>
      <c r="F225" s="53" t="s">
        <v>121</v>
      </c>
      <c r="G225" s="53" t="s">
        <v>198</v>
      </c>
      <c r="H225" s="75" t="s">
        <v>100</v>
      </c>
      <c r="I225" s="75" t="s">
        <v>101</v>
      </c>
      <c r="J225" s="76" t="s">
        <v>95</v>
      </c>
      <c r="K225" s="74" t="s">
        <v>96</v>
      </c>
    </row>
    <row r="226" ht="19.5" customHeight="1">
      <c r="A226" s="46">
        <v>1.0</v>
      </c>
      <c r="B226" s="37" t="s">
        <v>204</v>
      </c>
      <c r="C226" s="46" t="s">
        <v>103</v>
      </c>
      <c r="D226" s="78">
        <f t="shared" ref="D226:G226" si="76">D211</f>
        <v>3</v>
      </c>
      <c r="E226" s="40">
        <f t="shared" si="76"/>
        <v>5</v>
      </c>
      <c r="F226" s="78">
        <f t="shared" si="76"/>
        <v>10.23</v>
      </c>
      <c r="G226" s="40">
        <f t="shared" si="76"/>
        <v>2</v>
      </c>
      <c r="H226" s="40">
        <f t="shared" ref="H226:H238" si="78">G226*F226*E226*D226</f>
        <v>306.9</v>
      </c>
      <c r="I226" s="42">
        <v>120.0</v>
      </c>
      <c r="J226" s="40"/>
      <c r="K226" s="145" t="s">
        <v>952</v>
      </c>
    </row>
    <row r="227" ht="19.5" customHeight="1">
      <c r="A227" s="46">
        <f t="shared" ref="A227:A238" si="79">A226+1</f>
        <v>2</v>
      </c>
      <c r="B227" s="37" t="s">
        <v>204</v>
      </c>
      <c r="C227" s="46" t="s">
        <v>103</v>
      </c>
      <c r="D227" s="78">
        <f t="shared" ref="D227:G227" si="77">D212</f>
        <v>2</v>
      </c>
      <c r="E227" s="40">
        <f t="shared" si="77"/>
        <v>5</v>
      </c>
      <c r="F227" s="78">
        <f t="shared" si="77"/>
        <v>9.16</v>
      </c>
      <c r="G227" s="40">
        <f t="shared" si="77"/>
        <v>2</v>
      </c>
      <c r="H227" s="40">
        <f t="shared" si="78"/>
        <v>183.2</v>
      </c>
      <c r="I227" s="42"/>
      <c r="J227" s="40"/>
      <c r="K227" s="46"/>
    </row>
    <row r="228" ht="19.5" customHeight="1">
      <c r="A228" s="46">
        <f t="shared" si="79"/>
        <v>3</v>
      </c>
      <c r="B228" s="37" t="s">
        <v>204</v>
      </c>
      <c r="C228" s="46" t="s">
        <v>103</v>
      </c>
      <c r="D228" s="78">
        <f t="shared" ref="D228:G228" si="80">D213</f>
        <v>5</v>
      </c>
      <c r="E228" s="40">
        <f t="shared" si="80"/>
        <v>3</v>
      </c>
      <c r="F228" s="78">
        <f t="shared" si="80"/>
        <v>2.01</v>
      </c>
      <c r="G228" s="40">
        <f t="shared" si="80"/>
        <v>2</v>
      </c>
      <c r="H228" s="40">
        <f t="shared" si="78"/>
        <v>60.3</v>
      </c>
      <c r="I228" s="42"/>
      <c r="J228" s="40"/>
      <c r="K228" s="46"/>
    </row>
    <row r="229" ht="19.5" customHeight="1">
      <c r="A229" s="46">
        <f t="shared" si="79"/>
        <v>4</v>
      </c>
      <c r="B229" s="37" t="s">
        <v>204</v>
      </c>
      <c r="C229" s="46" t="s">
        <v>103</v>
      </c>
      <c r="D229" s="78">
        <f t="shared" ref="D229:G229" si="81">D214</f>
        <v>2</v>
      </c>
      <c r="E229" s="40">
        <f t="shared" si="81"/>
        <v>3</v>
      </c>
      <c r="F229" s="78">
        <f t="shared" si="81"/>
        <v>8</v>
      </c>
      <c r="G229" s="40">
        <f t="shared" si="81"/>
        <v>2</v>
      </c>
      <c r="H229" s="40">
        <f t="shared" si="78"/>
        <v>96</v>
      </c>
      <c r="I229" s="42"/>
      <c r="J229" s="40"/>
      <c r="K229" s="46"/>
    </row>
    <row r="230" ht="19.5" customHeight="1">
      <c r="A230" s="46">
        <f t="shared" si="79"/>
        <v>5</v>
      </c>
      <c r="B230" s="37" t="s">
        <v>204</v>
      </c>
      <c r="C230" s="46" t="s">
        <v>103</v>
      </c>
      <c r="D230" s="78">
        <f t="shared" ref="D230:G230" si="82">D215</f>
        <v>1</v>
      </c>
      <c r="E230" s="40">
        <f t="shared" si="82"/>
        <v>3</v>
      </c>
      <c r="F230" s="78">
        <f t="shared" si="82"/>
        <v>10.23</v>
      </c>
      <c r="G230" s="40">
        <f t="shared" si="82"/>
        <v>2</v>
      </c>
      <c r="H230" s="40">
        <f t="shared" si="78"/>
        <v>61.38</v>
      </c>
      <c r="I230" s="42"/>
      <c r="J230" s="40"/>
      <c r="K230" s="46"/>
    </row>
    <row r="231" ht="19.5" customHeight="1">
      <c r="A231" s="46">
        <f t="shared" si="79"/>
        <v>6</v>
      </c>
      <c r="B231" s="37" t="s">
        <v>204</v>
      </c>
      <c r="C231" s="46" t="s">
        <v>103</v>
      </c>
      <c r="D231" s="78">
        <f t="shared" ref="D231:G231" si="83">D216</f>
        <v>1</v>
      </c>
      <c r="E231" s="40">
        <f t="shared" si="83"/>
        <v>3</v>
      </c>
      <c r="F231" s="78">
        <f t="shared" si="83"/>
        <v>9.16</v>
      </c>
      <c r="G231" s="40">
        <f t="shared" si="83"/>
        <v>2</v>
      </c>
      <c r="H231" s="40">
        <f t="shared" si="78"/>
        <v>54.96</v>
      </c>
      <c r="I231" s="42"/>
      <c r="J231" s="40"/>
      <c r="K231" s="46"/>
    </row>
    <row r="232" ht="19.5" customHeight="1">
      <c r="A232" s="46">
        <f t="shared" si="79"/>
        <v>7</v>
      </c>
      <c r="B232" s="37" t="s">
        <v>204</v>
      </c>
      <c r="C232" s="46" t="s">
        <v>103</v>
      </c>
      <c r="D232" s="78">
        <f t="shared" ref="D232:G232" si="84">D217</f>
        <v>1</v>
      </c>
      <c r="E232" s="40">
        <f t="shared" si="84"/>
        <v>3</v>
      </c>
      <c r="F232" s="78">
        <f t="shared" si="84"/>
        <v>22.03</v>
      </c>
      <c r="G232" s="40">
        <f t="shared" si="84"/>
        <v>2</v>
      </c>
      <c r="H232" s="40">
        <f t="shared" si="78"/>
        <v>132.18</v>
      </c>
      <c r="I232" s="42"/>
      <c r="J232" s="40"/>
      <c r="K232" s="46"/>
    </row>
    <row r="233" ht="19.5" customHeight="1">
      <c r="A233" s="46">
        <f t="shared" si="79"/>
        <v>8</v>
      </c>
      <c r="B233" s="37" t="s">
        <v>204</v>
      </c>
      <c r="C233" s="46" t="s">
        <v>103</v>
      </c>
      <c r="D233" s="78">
        <f t="shared" ref="D233:G233" si="85">D218</f>
        <v>1</v>
      </c>
      <c r="E233" s="40">
        <f t="shared" si="85"/>
        <v>3</v>
      </c>
      <c r="F233" s="78">
        <f t="shared" si="85"/>
        <v>3.95</v>
      </c>
      <c r="G233" s="40">
        <f t="shared" si="85"/>
        <v>2</v>
      </c>
      <c r="H233" s="40">
        <f t="shared" si="78"/>
        <v>23.7</v>
      </c>
      <c r="I233" s="42"/>
      <c r="J233" s="40"/>
      <c r="K233" s="46"/>
    </row>
    <row r="234" ht="19.5" customHeight="1">
      <c r="A234" s="46">
        <f t="shared" si="79"/>
        <v>9</v>
      </c>
      <c r="B234" s="37" t="s">
        <v>204</v>
      </c>
      <c r="C234" s="46" t="s">
        <v>103</v>
      </c>
      <c r="D234" s="78">
        <f t="shared" ref="D234:G234" si="86">D219</f>
        <v>1</v>
      </c>
      <c r="E234" s="40">
        <f t="shared" si="86"/>
        <v>3</v>
      </c>
      <c r="F234" s="78">
        <f t="shared" si="86"/>
        <v>2.86</v>
      </c>
      <c r="G234" s="40">
        <f t="shared" si="86"/>
        <v>2</v>
      </c>
      <c r="H234" s="40">
        <f t="shared" si="78"/>
        <v>17.16</v>
      </c>
      <c r="I234" s="42"/>
      <c r="J234" s="40"/>
      <c r="K234" s="46"/>
    </row>
    <row r="235" ht="19.5" customHeight="1">
      <c r="A235" s="46">
        <f t="shared" si="79"/>
        <v>10</v>
      </c>
      <c r="B235" s="37" t="s">
        <v>204</v>
      </c>
      <c r="C235" s="46" t="s">
        <v>103</v>
      </c>
      <c r="D235" s="78">
        <f t="shared" ref="D235:G235" si="87">D220</f>
        <v>1</v>
      </c>
      <c r="E235" s="40">
        <f t="shared" si="87"/>
        <v>3</v>
      </c>
      <c r="F235" s="78">
        <f t="shared" si="87"/>
        <v>18.07</v>
      </c>
      <c r="G235" s="40">
        <f t="shared" si="87"/>
        <v>2</v>
      </c>
      <c r="H235" s="40">
        <f t="shared" si="78"/>
        <v>108.42</v>
      </c>
      <c r="I235" s="42"/>
      <c r="J235" s="40"/>
      <c r="K235" s="46"/>
    </row>
    <row r="236" ht="19.5" customHeight="1">
      <c r="A236" s="46">
        <f t="shared" si="79"/>
        <v>11</v>
      </c>
      <c r="B236" s="37" t="s">
        <v>204</v>
      </c>
      <c r="C236" s="46" t="s">
        <v>103</v>
      </c>
      <c r="D236" s="78">
        <f t="shared" ref="D236:G236" si="88">D221</f>
        <v>1</v>
      </c>
      <c r="E236" s="40">
        <f t="shared" si="88"/>
        <v>3</v>
      </c>
      <c r="F236" s="78">
        <f t="shared" si="88"/>
        <v>5.31</v>
      </c>
      <c r="G236" s="40">
        <f t="shared" si="88"/>
        <v>2</v>
      </c>
      <c r="H236" s="40">
        <f t="shared" si="78"/>
        <v>31.86</v>
      </c>
      <c r="I236" s="42"/>
      <c r="J236" s="40"/>
      <c r="K236" s="46"/>
    </row>
    <row r="237" ht="19.5" customHeight="1">
      <c r="A237" s="46">
        <f t="shared" si="79"/>
        <v>12</v>
      </c>
      <c r="B237" s="37" t="s">
        <v>204</v>
      </c>
      <c r="C237" s="46" t="s">
        <v>103</v>
      </c>
      <c r="D237" s="78">
        <f t="shared" ref="D237:G237" si="89">D222</f>
        <v>1</v>
      </c>
      <c r="E237" s="40">
        <f t="shared" si="89"/>
        <v>3</v>
      </c>
      <c r="F237" s="78">
        <f t="shared" si="89"/>
        <v>1.2</v>
      </c>
      <c r="G237" s="40">
        <f t="shared" si="89"/>
        <v>2</v>
      </c>
      <c r="H237" s="40">
        <f t="shared" si="78"/>
        <v>7.2</v>
      </c>
      <c r="I237" s="42"/>
      <c r="J237" s="40"/>
      <c r="K237" s="46"/>
    </row>
    <row r="238" ht="19.5" customHeight="1">
      <c r="A238" s="46">
        <f t="shared" si="79"/>
        <v>13</v>
      </c>
      <c r="B238" s="37" t="s">
        <v>204</v>
      </c>
      <c r="C238" s="46" t="s">
        <v>103</v>
      </c>
      <c r="D238" s="78">
        <f t="shared" ref="D238:G238" si="90">D223</f>
        <v>1</v>
      </c>
      <c r="E238" s="40">
        <f t="shared" si="90"/>
        <v>3</v>
      </c>
      <c r="F238" s="78">
        <f t="shared" si="90"/>
        <v>1.94</v>
      </c>
      <c r="G238" s="40">
        <f t="shared" si="90"/>
        <v>2</v>
      </c>
      <c r="H238" s="40">
        <f t="shared" si="78"/>
        <v>11.64</v>
      </c>
      <c r="I238" s="42"/>
      <c r="J238" s="40"/>
      <c r="K238" s="46"/>
    </row>
    <row r="239" ht="19.5" customHeight="1">
      <c r="A239" s="46"/>
      <c r="B239" s="37"/>
      <c r="C239" s="79"/>
      <c r="D239" s="92"/>
      <c r="E239" s="37"/>
      <c r="F239" s="78"/>
      <c r="G239" s="40"/>
      <c r="H239" s="59"/>
      <c r="I239" s="93"/>
      <c r="J239" s="96">
        <f>SUM(H226:H238)-I226</f>
        <v>974.9</v>
      </c>
      <c r="K239" s="46"/>
    </row>
    <row r="240" ht="19.5" customHeight="1">
      <c r="A240" s="74" t="s">
        <v>1</v>
      </c>
      <c r="B240" s="74" t="s">
        <v>91</v>
      </c>
      <c r="C240" s="74" t="s">
        <v>92</v>
      </c>
      <c r="D240" s="76" t="s">
        <v>93</v>
      </c>
      <c r="E240" s="50" t="s">
        <v>97</v>
      </c>
      <c r="F240" s="53" t="s">
        <v>121</v>
      </c>
      <c r="G240" s="53" t="s">
        <v>198</v>
      </c>
      <c r="H240" s="75" t="s">
        <v>100</v>
      </c>
      <c r="I240" s="75" t="s">
        <v>101</v>
      </c>
      <c r="J240" s="76" t="s">
        <v>95</v>
      </c>
      <c r="K240" s="74" t="s">
        <v>96</v>
      </c>
    </row>
    <row r="241" ht="19.5" customHeight="1">
      <c r="A241" s="46">
        <v>1.0</v>
      </c>
      <c r="B241" s="37" t="s">
        <v>364</v>
      </c>
      <c r="C241" s="46" t="s">
        <v>103</v>
      </c>
      <c r="D241" s="78">
        <v>2.0</v>
      </c>
      <c r="E241" s="37">
        <v>5.0</v>
      </c>
      <c r="F241" s="78">
        <f>F211</f>
        <v>10.23</v>
      </c>
      <c r="G241" s="40"/>
      <c r="H241" s="40">
        <f t="shared" ref="H241:H242" si="91">F241*E241*D241</f>
        <v>102.3</v>
      </c>
      <c r="I241" s="42"/>
      <c r="J241" s="107"/>
      <c r="K241" s="145" t="s">
        <v>952</v>
      </c>
    </row>
    <row r="242" ht="19.5" customHeight="1">
      <c r="A242" s="46">
        <v>2.0</v>
      </c>
      <c r="B242" s="37" t="s">
        <v>364</v>
      </c>
      <c r="C242" s="46" t="s">
        <v>103</v>
      </c>
      <c r="D242" s="78">
        <v>2.0</v>
      </c>
      <c r="E242" s="37">
        <v>5.0</v>
      </c>
      <c r="F242" s="78">
        <f>F227</f>
        <v>9.16</v>
      </c>
      <c r="G242" s="40"/>
      <c r="H242" s="40">
        <f t="shared" si="91"/>
        <v>91.6</v>
      </c>
      <c r="I242" s="42"/>
      <c r="J242" s="107"/>
      <c r="K242" s="46"/>
    </row>
    <row r="243" ht="19.5" customHeight="1">
      <c r="A243" s="46">
        <v>3.0</v>
      </c>
      <c r="B243" s="37" t="s">
        <v>364</v>
      </c>
      <c r="C243" s="46" t="s">
        <v>103</v>
      </c>
      <c r="D243" s="78">
        <v>10.0</v>
      </c>
      <c r="E243" s="37">
        <v>1.7</v>
      </c>
      <c r="F243" s="78">
        <v>0.2</v>
      </c>
      <c r="G243" s="40">
        <v>4.0</v>
      </c>
      <c r="H243" s="40">
        <f>G243*F243*E243*D243</f>
        <v>13.6</v>
      </c>
      <c r="I243" s="42"/>
      <c r="J243" s="64">
        <f>SUM(H241:H243)-I241-I242</f>
        <v>207.5</v>
      </c>
      <c r="K243" s="46"/>
    </row>
    <row r="244" ht="19.5" customHeight="1">
      <c r="A244" s="46">
        <v>4.0</v>
      </c>
      <c r="B244" s="37" t="s">
        <v>208</v>
      </c>
      <c r="C244" s="46" t="s">
        <v>103</v>
      </c>
      <c r="D244" s="78"/>
      <c r="E244" s="37"/>
      <c r="F244" s="78"/>
      <c r="G244" s="40"/>
      <c r="H244" s="40"/>
      <c r="I244" s="42"/>
      <c r="J244" s="40"/>
      <c r="K244" s="46"/>
    </row>
    <row r="245" ht="19.5" customHeight="1">
      <c r="A245" s="46">
        <v>5.0</v>
      </c>
      <c r="B245" s="37" t="s">
        <v>208</v>
      </c>
      <c r="C245" s="46" t="s">
        <v>103</v>
      </c>
      <c r="D245" s="78"/>
      <c r="E245" s="37"/>
      <c r="F245" s="78"/>
      <c r="G245" s="40"/>
      <c r="H245" s="40"/>
      <c r="I245" s="42"/>
      <c r="J245" s="77"/>
      <c r="K245" s="46"/>
    </row>
    <row r="246" ht="19.5" customHeight="1">
      <c r="A246" s="46">
        <v>6.0</v>
      </c>
      <c r="B246" s="37" t="s">
        <v>208</v>
      </c>
      <c r="C246" s="46" t="s">
        <v>103</v>
      </c>
      <c r="D246" s="78"/>
      <c r="E246" s="37"/>
      <c r="F246" s="78"/>
      <c r="G246" s="40"/>
      <c r="H246" s="40"/>
      <c r="I246" s="93"/>
      <c r="J246" s="107"/>
      <c r="K246" s="79" t="s">
        <v>95</v>
      </c>
    </row>
    <row r="247" ht="19.5" customHeight="1">
      <c r="A247" s="46"/>
      <c r="B247" s="37"/>
      <c r="C247" s="46"/>
      <c r="D247" s="78"/>
      <c r="E247" s="37"/>
      <c r="F247" s="78"/>
      <c r="G247" s="40"/>
      <c r="H247" s="40"/>
      <c r="I247" s="93"/>
      <c r="J247" s="64">
        <f>J239-J243</f>
        <v>767.4</v>
      </c>
      <c r="K247" s="132">
        <f>J247+J242</f>
        <v>767.4</v>
      </c>
    </row>
    <row r="248" ht="19.5" customHeight="1">
      <c r="A248" s="74" t="s">
        <v>1</v>
      </c>
      <c r="B248" s="74" t="s">
        <v>91</v>
      </c>
      <c r="C248" s="74" t="s">
        <v>92</v>
      </c>
      <c r="D248" s="76" t="s">
        <v>93</v>
      </c>
      <c r="E248" s="50" t="s">
        <v>97</v>
      </c>
      <c r="F248" s="53" t="s">
        <v>194</v>
      </c>
      <c r="G248" s="53" t="s">
        <v>206</v>
      </c>
      <c r="H248" s="75" t="s">
        <v>100</v>
      </c>
      <c r="I248" s="75" t="s">
        <v>101</v>
      </c>
      <c r="J248" s="76" t="s">
        <v>95</v>
      </c>
      <c r="K248" s="74" t="s">
        <v>96</v>
      </c>
    </row>
    <row r="249" ht="19.5" customHeight="1">
      <c r="A249" s="46">
        <v>1.0</v>
      </c>
      <c r="B249" s="37" t="s">
        <v>365</v>
      </c>
      <c r="C249" s="46" t="s">
        <v>103</v>
      </c>
      <c r="D249" s="78">
        <v>1.0</v>
      </c>
      <c r="E249" s="37">
        <v>2.7</v>
      </c>
      <c r="F249" s="78">
        <v>58.0</v>
      </c>
      <c r="G249" s="40">
        <v>1.0</v>
      </c>
      <c r="H249" s="40">
        <f t="shared" ref="H249:H268" si="92">F249*E249*D249</f>
        <v>156.6</v>
      </c>
      <c r="I249" s="42">
        <v>40.0</v>
      </c>
      <c r="J249" s="327">
        <f>SUM(H249:H268)-I249</f>
        <v>780.125</v>
      </c>
      <c r="K249" s="145" t="s">
        <v>952</v>
      </c>
    </row>
    <row r="250" ht="19.5" customHeight="1">
      <c r="A250" s="46">
        <f t="shared" ref="A250:A268" si="93">A249+1</f>
        <v>2</v>
      </c>
      <c r="B250" s="37" t="s">
        <v>365</v>
      </c>
      <c r="C250" s="46" t="s">
        <v>103</v>
      </c>
      <c r="D250" s="78">
        <v>1.0</v>
      </c>
      <c r="E250" s="37">
        <v>2.7</v>
      </c>
      <c r="F250" s="78">
        <v>7.4</v>
      </c>
      <c r="G250" s="40">
        <v>1.0</v>
      </c>
      <c r="H250" s="40">
        <f t="shared" si="92"/>
        <v>19.98</v>
      </c>
      <c r="I250" s="42"/>
      <c r="J250" s="147"/>
      <c r="K250" s="46"/>
    </row>
    <row r="251" ht="19.5" customHeight="1">
      <c r="A251" s="46">
        <f t="shared" si="93"/>
        <v>3</v>
      </c>
      <c r="B251" s="37" t="s">
        <v>365</v>
      </c>
      <c r="C251" s="46" t="s">
        <v>103</v>
      </c>
      <c r="D251" s="78">
        <v>1.0</v>
      </c>
      <c r="E251" s="37">
        <v>2.7</v>
      </c>
      <c r="F251" s="78">
        <v>16.82</v>
      </c>
      <c r="G251" s="40">
        <v>1.0</v>
      </c>
      <c r="H251" s="40">
        <f t="shared" si="92"/>
        <v>45.414</v>
      </c>
      <c r="I251" s="42"/>
      <c r="J251" s="147"/>
      <c r="K251" s="46"/>
    </row>
    <row r="252" ht="19.5" customHeight="1">
      <c r="A252" s="46">
        <f t="shared" si="93"/>
        <v>4</v>
      </c>
      <c r="B252" s="37" t="s">
        <v>365</v>
      </c>
      <c r="C252" s="46" t="s">
        <v>103</v>
      </c>
      <c r="D252" s="78">
        <v>1.0</v>
      </c>
      <c r="E252" s="37">
        <v>2.7</v>
      </c>
      <c r="F252" s="78">
        <v>7.14</v>
      </c>
      <c r="G252" s="40">
        <v>1.0</v>
      </c>
      <c r="H252" s="40">
        <f t="shared" si="92"/>
        <v>19.278</v>
      </c>
      <c r="I252" s="42"/>
      <c r="J252" s="147"/>
      <c r="K252" s="46"/>
    </row>
    <row r="253" ht="19.5" customHeight="1">
      <c r="A253" s="46">
        <f t="shared" si="93"/>
        <v>5</v>
      </c>
      <c r="B253" s="37" t="s">
        <v>365</v>
      </c>
      <c r="C253" s="46" t="s">
        <v>103</v>
      </c>
      <c r="D253" s="78">
        <v>1.0</v>
      </c>
      <c r="E253" s="37">
        <v>2.7</v>
      </c>
      <c r="F253" s="78">
        <v>12.65</v>
      </c>
      <c r="G253" s="40">
        <v>1.0</v>
      </c>
      <c r="H253" s="40">
        <f t="shared" si="92"/>
        <v>34.155</v>
      </c>
      <c r="I253" s="42"/>
      <c r="J253" s="147"/>
      <c r="K253" s="46"/>
    </row>
    <row r="254" ht="19.5" customHeight="1">
      <c r="A254" s="46">
        <f t="shared" si="93"/>
        <v>6</v>
      </c>
      <c r="B254" s="37" t="s">
        <v>365</v>
      </c>
      <c r="C254" s="46" t="s">
        <v>103</v>
      </c>
      <c r="D254" s="78">
        <v>1.0</v>
      </c>
      <c r="E254" s="37">
        <v>2.7</v>
      </c>
      <c r="F254" s="78">
        <v>14.0</v>
      </c>
      <c r="G254" s="40">
        <v>1.0</v>
      </c>
      <c r="H254" s="40">
        <f t="shared" si="92"/>
        <v>37.8</v>
      </c>
      <c r="I254" s="42"/>
      <c r="J254" s="147"/>
      <c r="K254" s="46"/>
    </row>
    <row r="255" ht="19.5" customHeight="1">
      <c r="A255" s="46">
        <f t="shared" si="93"/>
        <v>7</v>
      </c>
      <c r="B255" s="37" t="s">
        <v>365</v>
      </c>
      <c r="C255" s="46" t="s">
        <v>103</v>
      </c>
      <c r="D255" s="78">
        <v>1.0</v>
      </c>
      <c r="E255" s="37">
        <v>2.7</v>
      </c>
      <c r="F255" s="78">
        <v>11.9</v>
      </c>
      <c r="G255" s="40">
        <v>1.0</v>
      </c>
      <c r="H255" s="40">
        <f t="shared" si="92"/>
        <v>32.13</v>
      </c>
      <c r="I255" s="42"/>
      <c r="J255" s="147"/>
      <c r="K255" s="46"/>
    </row>
    <row r="256" ht="19.5" customHeight="1">
      <c r="A256" s="46">
        <f t="shared" si="93"/>
        <v>8</v>
      </c>
      <c r="B256" s="37" t="s">
        <v>365</v>
      </c>
      <c r="C256" s="46" t="s">
        <v>103</v>
      </c>
      <c r="D256" s="78">
        <v>1.0</v>
      </c>
      <c r="E256" s="37">
        <v>2.7</v>
      </c>
      <c r="F256" s="78">
        <v>11.44</v>
      </c>
      <c r="G256" s="40">
        <v>1.0</v>
      </c>
      <c r="H256" s="40">
        <f t="shared" si="92"/>
        <v>30.888</v>
      </c>
      <c r="I256" s="42"/>
      <c r="J256" s="147"/>
      <c r="K256" s="46"/>
    </row>
    <row r="257" ht="19.5" customHeight="1">
      <c r="A257" s="46">
        <f t="shared" si="93"/>
        <v>9</v>
      </c>
      <c r="B257" s="37" t="s">
        <v>365</v>
      </c>
      <c r="C257" s="46" t="s">
        <v>103</v>
      </c>
      <c r="D257" s="78">
        <v>1.0</v>
      </c>
      <c r="E257" s="37">
        <v>2.7</v>
      </c>
      <c r="F257" s="78">
        <v>17.9</v>
      </c>
      <c r="G257" s="40">
        <v>1.0</v>
      </c>
      <c r="H257" s="40">
        <f t="shared" si="92"/>
        <v>48.33</v>
      </c>
      <c r="I257" s="42"/>
      <c r="J257" s="147"/>
      <c r="K257" s="46"/>
    </row>
    <row r="258" ht="19.5" customHeight="1">
      <c r="A258" s="46">
        <f t="shared" si="93"/>
        <v>10</v>
      </c>
      <c r="B258" s="37" t="s">
        <v>365</v>
      </c>
      <c r="C258" s="46" t="s">
        <v>103</v>
      </c>
      <c r="D258" s="78">
        <v>1.0</v>
      </c>
      <c r="E258" s="37">
        <v>2.7</v>
      </c>
      <c r="F258" s="78">
        <v>12.8</v>
      </c>
      <c r="G258" s="40">
        <v>1.0</v>
      </c>
      <c r="H258" s="40">
        <f t="shared" si="92"/>
        <v>34.56</v>
      </c>
      <c r="I258" s="42"/>
      <c r="J258" s="147"/>
      <c r="K258" s="46"/>
    </row>
    <row r="259" ht="19.5" customHeight="1">
      <c r="A259" s="46">
        <f t="shared" si="93"/>
        <v>11</v>
      </c>
      <c r="B259" s="37" t="s">
        <v>365</v>
      </c>
      <c r="C259" s="46" t="s">
        <v>103</v>
      </c>
      <c r="D259" s="78">
        <v>1.0</v>
      </c>
      <c r="E259" s="37">
        <v>2.7</v>
      </c>
      <c r="F259" s="78">
        <v>11.55</v>
      </c>
      <c r="G259" s="40">
        <v>1.0</v>
      </c>
      <c r="H259" s="40">
        <f t="shared" si="92"/>
        <v>31.185</v>
      </c>
      <c r="I259" s="42"/>
      <c r="J259" s="147"/>
      <c r="K259" s="46"/>
    </row>
    <row r="260" ht="19.5" customHeight="1">
      <c r="A260" s="46">
        <f t="shared" si="93"/>
        <v>12</v>
      </c>
      <c r="B260" s="37" t="s">
        <v>365</v>
      </c>
      <c r="C260" s="46" t="s">
        <v>103</v>
      </c>
      <c r="D260" s="78">
        <v>1.0</v>
      </c>
      <c r="E260" s="37">
        <v>2.7</v>
      </c>
      <c r="F260" s="78">
        <v>20.45</v>
      </c>
      <c r="G260" s="40">
        <v>1.0</v>
      </c>
      <c r="H260" s="40">
        <f t="shared" si="92"/>
        <v>55.215</v>
      </c>
      <c r="I260" s="42"/>
      <c r="J260" s="147"/>
      <c r="K260" s="46"/>
    </row>
    <row r="261" ht="19.5" customHeight="1">
      <c r="A261" s="46">
        <f t="shared" si="93"/>
        <v>13</v>
      </c>
      <c r="B261" s="37" t="s">
        <v>365</v>
      </c>
      <c r="C261" s="46" t="s">
        <v>103</v>
      </c>
      <c r="D261" s="78">
        <v>1.0</v>
      </c>
      <c r="E261" s="37">
        <v>2.7</v>
      </c>
      <c r="F261" s="78">
        <v>6.86</v>
      </c>
      <c r="G261" s="40">
        <v>1.0</v>
      </c>
      <c r="H261" s="40">
        <f t="shared" si="92"/>
        <v>18.522</v>
      </c>
      <c r="I261" s="42"/>
      <c r="J261" s="147"/>
      <c r="K261" s="46"/>
    </row>
    <row r="262" ht="19.5" customHeight="1">
      <c r="A262" s="46">
        <f t="shared" si="93"/>
        <v>14</v>
      </c>
      <c r="B262" s="37" t="s">
        <v>365</v>
      </c>
      <c r="C262" s="46" t="s">
        <v>103</v>
      </c>
      <c r="D262" s="78">
        <v>1.0</v>
      </c>
      <c r="E262" s="37">
        <v>2.7</v>
      </c>
      <c r="F262" s="78">
        <v>14.69</v>
      </c>
      <c r="G262" s="40">
        <v>1.0</v>
      </c>
      <c r="H262" s="40">
        <f t="shared" si="92"/>
        <v>39.663</v>
      </c>
      <c r="I262" s="42"/>
      <c r="J262" s="147"/>
      <c r="K262" s="46"/>
    </row>
    <row r="263" ht="19.5" customHeight="1">
      <c r="A263" s="46">
        <f t="shared" si="93"/>
        <v>15</v>
      </c>
      <c r="B263" s="37" t="s">
        <v>365</v>
      </c>
      <c r="C263" s="46" t="s">
        <v>103</v>
      </c>
      <c r="D263" s="78">
        <v>1.0</v>
      </c>
      <c r="E263" s="37">
        <v>2.7</v>
      </c>
      <c r="F263" s="78">
        <v>14.4</v>
      </c>
      <c r="G263" s="40">
        <v>1.0</v>
      </c>
      <c r="H263" s="40">
        <f t="shared" si="92"/>
        <v>38.88</v>
      </c>
      <c r="I263" s="42"/>
      <c r="J263" s="147"/>
      <c r="K263" s="79"/>
    </row>
    <row r="264" ht="19.5" customHeight="1">
      <c r="A264" s="46">
        <f t="shared" si="93"/>
        <v>16</v>
      </c>
      <c r="B264" s="37" t="s">
        <v>365</v>
      </c>
      <c r="C264" s="46" t="s">
        <v>103</v>
      </c>
      <c r="D264" s="78">
        <v>1.0</v>
      </c>
      <c r="E264" s="37">
        <v>2.7</v>
      </c>
      <c r="F264" s="78">
        <v>13.67</v>
      </c>
      <c r="G264" s="40">
        <v>1.0</v>
      </c>
      <c r="H264" s="40">
        <f t="shared" si="92"/>
        <v>36.909</v>
      </c>
      <c r="I264" s="42"/>
      <c r="J264" s="147"/>
      <c r="K264" s="79"/>
    </row>
    <row r="265" ht="19.5" customHeight="1">
      <c r="A265" s="46">
        <f t="shared" si="93"/>
        <v>17</v>
      </c>
      <c r="B265" s="37" t="s">
        <v>365</v>
      </c>
      <c r="C265" s="46" t="s">
        <v>103</v>
      </c>
      <c r="D265" s="78">
        <v>1.0</v>
      </c>
      <c r="E265" s="37">
        <v>2.7</v>
      </c>
      <c r="F265" s="78">
        <v>13.67</v>
      </c>
      <c r="G265" s="40">
        <v>1.0</v>
      </c>
      <c r="H265" s="40">
        <f t="shared" si="92"/>
        <v>36.909</v>
      </c>
      <c r="I265" s="42"/>
      <c r="J265" s="147"/>
      <c r="K265" s="79"/>
    </row>
    <row r="266" ht="19.5" customHeight="1">
      <c r="A266" s="46">
        <f t="shared" si="93"/>
        <v>18</v>
      </c>
      <c r="B266" s="37" t="s">
        <v>365</v>
      </c>
      <c r="C266" s="46" t="s">
        <v>103</v>
      </c>
      <c r="D266" s="78">
        <v>1.0</v>
      </c>
      <c r="E266" s="37">
        <v>2.7</v>
      </c>
      <c r="F266" s="78">
        <v>11.18</v>
      </c>
      <c r="G266" s="40">
        <v>1.0</v>
      </c>
      <c r="H266" s="40">
        <f t="shared" si="92"/>
        <v>30.186</v>
      </c>
      <c r="I266" s="93"/>
      <c r="J266" s="147"/>
      <c r="K266" s="79"/>
    </row>
    <row r="267" ht="19.5" customHeight="1">
      <c r="A267" s="46">
        <f t="shared" si="93"/>
        <v>19</v>
      </c>
      <c r="B267" s="37" t="s">
        <v>365</v>
      </c>
      <c r="C267" s="46" t="s">
        <v>103</v>
      </c>
      <c r="D267" s="78">
        <v>1.0</v>
      </c>
      <c r="E267" s="37">
        <v>2.7</v>
      </c>
      <c r="F267" s="78">
        <v>11.18</v>
      </c>
      <c r="G267" s="40">
        <v>1.0</v>
      </c>
      <c r="H267" s="40">
        <f t="shared" si="92"/>
        <v>30.186</v>
      </c>
      <c r="I267" s="93"/>
      <c r="J267" s="147"/>
      <c r="K267" s="79"/>
    </row>
    <row r="268" ht="19.5" customHeight="1">
      <c r="A268" s="46">
        <f t="shared" si="93"/>
        <v>20</v>
      </c>
      <c r="B268" s="37" t="s">
        <v>365</v>
      </c>
      <c r="C268" s="46" t="s">
        <v>103</v>
      </c>
      <c r="D268" s="78">
        <v>1.0</v>
      </c>
      <c r="E268" s="37">
        <v>2.7</v>
      </c>
      <c r="F268" s="78">
        <v>16.05</v>
      </c>
      <c r="G268" s="40">
        <v>1.0</v>
      </c>
      <c r="H268" s="40">
        <f t="shared" si="92"/>
        <v>43.335</v>
      </c>
      <c r="I268" s="93"/>
      <c r="J268" s="32"/>
      <c r="K268" s="79"/>
    </row>
    <row r="269" ht="19.5" customHeight="1">
      <c r="A269" s="46">
        <f>A266+1</f>
        <v>19</v>
      </c>
      <c r="B269" s="95" t="s">
        <v>366</v>
      </c>
      <c r="C269" s="46" t="s">
        <v>103</v>
      </c>
      <c r="D269" s="78">
        <v>1.0</v>
      </c>
      <c r="E269" s="37"/>
      <c r="F269" s="78"/>
      <c r="G269" s="40"/>
      <c r="H269" s="59"/>
      <c r="I269" s="93"/>
      <c r="J269" s="133">
        <f>SUM(J249:J266)</f>
        <v>780.125</v>
      </c>
      <c r="K269" s="79"/>
    </row>
    <row r="270" ht="19.5" customHeight="1">
      <c r="A270" s="74" t="s">
        <v>1</v>
      </c>
      <c r="B270" s="74" t="s">
        <v>91</v>
      </c>
      <c r="C270" s="74" t="s">
        <v>92</v>
      </c>
      <c r="D270" s="76" t="s">
        <v>93</v>
      </c>
      <c r="E270" s="50" t="s">
        <v>97</v>
      </c>
      <c r="F270" s="53" t="s">
        <v>121</v>
      </c>
      <c r="G270" s="53" t="s">
        <v>99</v>
      </c>
      <c r="H270" s="75" t="s">
        <v>100</v>
      </c>
      <c r="I270" s="75" t="s">
        <v>101</v>
      </c>
      <c r="J270" s="76" t="s">
        <v>95</v>
      </c>
      <c r="K270" s="74" t="s">
        <v>96</v>
      </c>
    </row>
    <row r="271" ht="19.5" customHeight="1">
      <c r="A271" s="46">
        <v>1.0</v>
      </c>
      <c r="B271" s="37" t="s">
        <v>367</v>
      </c>
      <c r="C271" s="46" t="s">
        <v>103</v>
      </c>
      <c r="D271" s="78">
        <v>10.0</v>
      </c>
      <c r="E271" s="37">
        <v>2.1</v>
      </c>
      <c r="F271" s="78"/>
      <c r="G271" s="40">
        <v>0.9</v>
      </c>
      <c r="H271" s="40">
        <f t="shared" ref="H271:H273" si="94">G271*E271*D271</f>
        <v>18.9</v>
      </c>
      <c r="I271" s="42"/>
      <c r="J271" s="64">
        <f>H271+H273+H274</f>
        <v>68.25</v>
      </c>
      <c r="K271" s="46"/>
    </row>
    <row r="272" ht="19.5" customHeight="1">
      <c r="A272" s="46">
        <v>2.0</v>
      </c>
      <c r="B272" s="37" t="s">
        <v>368</v>
      </c>
      <c r="C272" s="46" t="s">
        <v>103</v>
      </c>
      <c r="D272" s="78">
        <v>2.0</v>
      </c>
      <c r="E272" s="37">
        <v>2.1</v>
      </c>
      <c r="F272" s="78"/>
      <c r="G272" s="40">
        <v>2.0</v>
      </c>
      <c r="H272" s="40">
        <f t="shared" si="94"/>
        <v>8.4</v>
      </c>
      <c r="I272" s="42"/>
      <c r="J272" s="64">
        <f t="shared" ref="J272:J277" si="95">H272</f>
        <v>8.4</v>
      </c>
      <c r="K272" s="46"/>
    </row>
    <row r="273" ht="19.5" customHeight="1">
      <c r="A273" s="46">
        <v>3.0</v>
      </c>
      <c r="B273" s="37" t="s">
        <v>953</v>
      </c>
      <c r="C273" s="46" t="s">
        <v>103</v>
      </c>
      <c r="D273" s="78">
        <v>5.0</v>
      </c>
      <c r="E273" s="37">
        <v>2.1</v>
      </c>
      <c r="F273" s="78"/>
      <c r="G273" s="40">
        <v>0.7</v>
      </c>
      <c r="H273" s="40">
        <f t="shared" si="94"/>
        <v>7.35</v>
      </c>
      <c r="I273" s="42"/>
      <c r="J273" s="64">
        <f t="shared" si="95"/>
        <v>7.35</v>
      </c>
      <c r="K273" s="46"/>
    </row>
    <row r="274" ht="19.5" customHeight="1">
      <c r="A274" s="46">
        <v>4.0</v>
      </c>
      <c r="B274" s="37" t="s">
        <v>954</v>
      </c>
      <c r="C274" s="46" t="s">
        <v>103</v>
      </c>
      <c r="D274" s="78">
        <v>1.0</v>
      </c>
      <c r="E274" s="37"/>
      <c r="F274" s="78"/>
      <c r="G274" s="40"/>
      <c r="H274" s="40">
        <f>H275+H276</f>
        <v>42</v>
      </c>
      <c r="I274" s="42"/>
      <c r="J274" s="64">
        <f t="shared" si="95"/>
        <v>42</v>
      </c>
      <c r="K274" s="46"/>
    </row>
    <row r="275" ht="19.5" customHeight="1">
      <c r="A275" s="46">
        <v>4.0</v>
      </c>
      <c r="B275" s="37" t="s">
        <v>955</v>
      </c>
      <c r="C275" s="46" t="s">
        <v>103</v>
      </c>
      <c r="D275" s="78">
        <v>8.0</v>
      </c>
      <c r="E275" s="37">
        <v>1.0</v>
      </c>
      <c r="F275" s="78">
        <v>1.0</v>
      </c>
      <c r="G275" s="40">
        <v>3.0</v>
      </c>
      <c r="H275" s="40">
        <f t="shared" ref="H275:H278" si="96">G275*E275*D275</f>
        <v>24</v>
      </c>
      <c r="I275" s="42"/>
      <c r="J275" s="64">
        <f t="shared" si="95"/>
        <v>24</v>
      </c>
      <c r="K275" s="46"/>
    </row>
    <row r="276" ht="19.5" customHeight="1">
      <c r="A276" s="46">
        <v>5.0</v>
      </c>
      <c r="B276" s="37" t="s">
        <v>371</v>
      </c>
      <c r="C276" s="46" t="s">
        <v>103</v>
      </c>
      <c r="D276" s="78">
        <v>12.0</v>
      </c>
      <c r="E276" s="37">
        <v>0.5</v>
      </c>
      <c r="F276" s="78">
        <v>1.0</v>
      </c>
      <c r="G276" s="40">
        <v>3.0</v>
      </c>
      <c r="H276" s="40">
        <f t="shared" si="96"/>
        <v>18</v>
      </c>
      <c r="I276" s="42"/>
      <c r="J276" s="64">
        <f t="shared" si="95"/>
        <v>18</v>
      </c>
      <c r="K276" s="46"/>
    </row>
    <row r="277" ht="19.5" customHeight="1">
      <c r="A277" s="124">
        <v>6.0</v>
      </c>
      <c r="B277" s="315" t="s">
        <v>956</v>
      </c>
      <c r="C277" s="124" t="s">
        <v>103</v>
      </c>
      <c r="D277" s="328">
        <v>1.0</v>
      </c>
      <c r="E277" s="315">
        <v>2.1</v>
      </c>
      <c r="F277" s="328">
        <v>1.0</v>
      </c>
      <c r="G277" s="15">
        <v>3.0</v>
      </c>
      <c r="H277" s="15">
        <f t="shared" si="96"/>
        <v>6.3</v>
      </c>
      <c r="I277" s="15"/>
      <c r="J277" s="329">
        <f t="shared" si="95"/>
        <v>6.3</v>
      </c>
      <c r="K277" s="145" t="s">
        <v>957</v>
      </c>
    </row>
    <row r="278" ht="19.5" customHeight="1">
      <c r="A278" s="46">
        <v>7.0</v>
      </c>
      <c r="B278" s="37" t="s">
        <v>958</v>
      </c>
      <c r="C278" s="46" t="s">
        <v>103</v>
      </c>
      <c r="D278" s="78">
        <v>3.0</v>
      </c>
      <c r="E278" s="37">
        <v>1.0</v>
      </c>
      <c r="F278" s="78">
        <v>1.0</v>
      </c>
      <c r="G278" s="40">
        <v>2.0</v>
      </c>
      <c r="H278" s="40">
        <f t="shared" si="96"/>
        <v>6</v>
      </c>
      <c r="I278" s="42"/>
      <c r="J278" s="64">
        <f>J276</f>
        <v>18</v>
      </c>
      <c r="K278" s="79"/>
    </row>
    <row r="279" ht="19.5" customHeight="1">
      <c r="A279" s="74" t="s">
        <v>1</v>
      </c>
      <c r="B279" s="74" t="s">
        <v>91</v>
      </c>
      <c r="C279" s="74" t="s">
        <v>92</v>
      </c>
      <c r="D279" s="76" t="s">
        <v>93</v>
      </c>
      <c r="E279" s="50" t="s">
        <v>161</v>
      </c>
      <c r="F279" s="53" t="s">
        <v>121</v>
      </c>
      <c r="G279" s="53" t="s">
        <v>99</v>
      </c>
      <c r="H279" s="75" t="s">
        <v>100</v>
      </c>
      <c r="I279" s="75" t="s">
        <v>101</v>
      </c>
      <c r="J279" s="76" t="s">
        <v>95</v>
      </c>
      <c r="K279" s="74" t="s">
        <v>96</v>
      </c>
    </row>
    <row r="280" ht="19.5" customHeight="1">
      <c r="A280" s="46">
        <v>1.0</v>
      </c>
      <c r="B280" s="37" t="s">
        <v>162</v>
      </c>
      <c r="C280" s="46" t="s">
        <v>103</v>
      </c>
      <c r="D280" s="78">
        <v>1.0</v>
      </c>
      <c r="E280" s="37">
        <v>2.0</v>
      </c>
      <c r="F280" s="78">
        <f>F241</f>
        <v>10.23</v>
      </c>
      <c r="G280" s="40">
        <v>1.0</v>
      </c>
      <c r="H280" s="40">
        <f t="shared" ref="H280:H281" si="97">G280*F280*E280*D280</f>
        <v>20.46</v>
      </c>
      <c r="I280" s="42"/>
      <c r="J280" s="312">
        <f>SUM(H280:H281)</f>
        <v>57.1</v>
      </c>
      <c r="K280" s="46"/>
    </row>
    <row r="281" ht="19.5" customHeight="1">
      <c r="A281" s="46">
        <v>2.0</v>
      </c>
      <c r="B281" s="37" t="s">
        <v>162</v>
      </c>
      <c r="C281" s="46" t="s">
        <v>103</v>
      </c>
      <c r="D281" s="78">
        <v>1.0</v>
      </c>
      <c r="E281" s="37">
        <v>2.0</v>
      </c>
      <c r="F281" s="78">
        <f>F227</f>
        <v>9.16</v>
      </c>
      <c r="G281" s="40">
        <v>2.0</v>
      </c>
      <c r="H281" s="40">
        <f t="shared" si="97"/>
        <v>36.64</v>
      </c>
      <c r="I281" s="42"/>
      <c r="J281" s="32"/>
      <c r="K281" s="46"/>
    </row>
    <row r="282" ht="19.5" customHeight="1">
      <c r="A282" s="74" t="s">
        <v>1</v>
      </c>
      <c r="B282" s="74" t="s">
        <v>91</v>
      </c>
      <c r="C282" s="74" t="s">
        <v>92</v>
      </c>
      <c r="D282" s="76" t="s">
        <v>93</v>
      </c>
      <c r="E282" s="50" t="s">
        <v>161</v>
      </c>
      <c r="F282" s="53" t="s">
        <v>121</v>
      </c>
      <c r="G282" s="53" t="s">
        <v>99</v>
      </c>
      <c r="H282" s="75" t="s">
        <v>100</v>
      </c>
      <c r="I282" s="75" t="s">
        <v>101</v>
      </c>
      <c r="J282" s="76" t="s">
        <v>95</v>
      </c>
      <c r="K282" s="74" t="s">
        <v>96</v>
      </c>
    </row>
    <row r="283" ht="19.5" customHeight="1">
      <c r="A283" s="46">
        <v>1.0</v>
      </c>
      <c r="B283" s="37" t="s">
        <v>374</v>
      </c>
      <c r="C283" s="46" t="s">
        <v>106</v>
      </c>
      <c r="D283" s="78">
        <v>4.0</v>
      </c>
      <c r="E283" s="37">
        <v>1.0</v>
      </c>
      <c r="F283" s="78"/>
      <c r="G283" s="40">
        <v>1.0</v>
      </c>
      <c r="H283" s="40">
        <f>G283*E283*D283</f>
        <v>4</v>
      </c>
      <c r="I283" s="42"/>
      <c r="J283" s="64">
        <f>SUM(H282:H283)</f>
        <v>4</v>
      </c>
      <c r="K283" s="46"/>
    </row>
    <row r="284" ht="19.5" customHeight="1">
      <c r="A284" s="46">
        <v>2.0</v>
      </c>
      <c r="B284" s="37" t="s">
        <v>853</v>
      </c>
      <c r="C284" s="46" t="s">
        <v>106</v>
      </c>
      <c r="D284" s="78">
        <v>1.0</v>
      </c>
      <c r="E284" s="37">
        <v>1.0</v>
      </c>
      <c r="F284" s="78"/>
      <c r="G284" s="40">
        <v>1.0</v>
      </c>
      <c r="H284" s="40">
        <v>1.0</v>
      </c>
      <c r="I284" s="42"/>
      <c r="J284" s="64">
        <f>H284</f>
        <v>1</v>
      </c>
      <c r="K284" s="46"/>
    </row>
    <row r="285" ht="19.5" customHeight="1">
      <c r="A285" s="46">
        <v>3.0</v>
      </c>
      <c r="B285" s="37" t="s">
        <v>376</v>
      </c>
      <c r="C285" s="46" t="s">
        <v>106</v>
      </c>
      <c r="D285" s="78">
        <f>J285</f>
        <v>5</v>
      </c>
      <c r="E285" s="37">
        <v>1.0</v>
      </c>
      <c r="F285" s="78"/>
      <c r="G285" s="40">
        <v>1.0</v>
      </c>
      <c r="H285" s="40">
        <f>G285*E285*D285</f>
        <v>5</v>
      </c>
      <c r="I285" s="42"/>
      <c r="J285" s="64">
        <f>SUM(J283:J284)</f>
        <v>5</v>
      </c>
      <c r="K285" s="79"/>
    </row>
    <row r="286" ht="19.5" customHeight="1">
      <c r="A286" s="74" t="s">
        <v>1</v>
      </c>
      <c r="B286" s="74" t="s">
        <v>91</v>
      </c>
      <c r="C286" s="74" t="s">
        <v>92</v>
      </c>
      <c r="D286" s="76" t="s">
        <v>93</v>
      </c>
      <c r="E286" s="50" t="s">
        <v>161</v>
      </c>
      <c r="F286" s="53" t="s">
        <v>121</v>
      </c>
      <c r="G286" s="53" t="s">
        <v>99</v>
      </c>
      <c r="H286" s="75" t="s">
        <v>100</v>
      </c>
      <c r="I286" s="75" t="s">
        <v>101</v>
      </c>
      <c r="J286" s="76" t="s">
        <v>95</v>
      </c>
      <c r="K286" s="74" t="s">
        <v>96</v>
      </c>
    </row>
    <row r="287" ht="19.5" customHeight="1">
      <c r="A287" s="46">
        <v>1.0</v>
      </c>
      <c r="B287" s="37" t="s">
        <v>856</v>
      </c>
      <c r="C287" s="46" t="s">
        <v>103</v>
      </c>
      <c r="D287" s="78">
        <v>1.0</v>
      </c>
      <c r="E287" s="37">
        <v>1.0</v>
      </c>
      <c r="F287" s="78">
        <v>7.8</v>
      </c>
      <c r="G287" s="40">
        <v>0.6</v>
      </c>
      <c r="H287" s="40">
        <f t="shared" ref="H287:H289" si="98">G287*F287*E287*D287</f>
        <v>4.68</v>
      </c>
      <c r="I287" s="42"/>
      <c r="J287" s="40"/>
      <c r="K287" s="46"/>
    </row>
    <row r="288" ht="19.5" customHeight="1">
      <c r="A288" s="46">
        <v>2.0</v>
      </c>
      <c r="B288" s="37" t="s">
        <v>857</v>
      </c>
      <c r="C288" s="46" t="s">
        <v>103</v>
      </c>
      <c r="D288" s="78">
        <v>1.0</v>
      </c>
      <c r="E288" s="37">
        <v>1.0</v>
      </c>
      <c r="F288" s="78">
        <v>2.5</v>
      </c>
      <c r="G288" s="40">
        <v>0.6</v>
      </c>
      <c r="H288" s="40">
        <f t="shared" si="98"/>
        <v>1.5</v>
      </c>
      <c r="I288" s="42"/>
      <c r="J288" s="40"/>
      <c r="K288" s="46"/>
    </row>
    <row r="289" ht="19.5" customHeight="1">
      <c r="A289" s="46">
        <v>3.0</v>
      </c>
      <c r="B289" s="37" t="s">
        <v>959</v>
      </c>
      <c r="C289" s="46" t="s">
        <v>103</v>
      </c>
      <c r="D289" s="78">
        <v>1.0</v>
      </c>
      <c r="E289" s="37">
        <v>1.0</v>
      </c>
      <c r="F289" s="78">
        <v>1.2</v>
      </c>
      <c r="G289" s="40">
        <v>0.4</v>
      </c>
      <c r="H289" s="40">
        <f t="shared" si="98"/>
        <v>0.48</v>
      </c>
      <c r="I289" s="42"/>
      <c r="J289" s="40"/>
      <c r="K289" s="46"/>
    </row>
    <row r="290" ht="19.5" customHeight="1">
      <c r="A290" s="46"/>
      <c r="B290" s="37"/>
      <c r="C290" s="46"/>
      <c r="D290" s="78"/>
      <c r="E290" s="37"/>
      <c r="F290" s="78"/>
      <c r="G290" s="40"/>
      <c r="H290" s="40"/>
      <c r="I290" s="93"/>
      <c r="J290" s="64">
        <f>SUM(H287:H290)</f>
        <v>6.66</v>
      </c>
      <c r="K290" s="79"/>
    </row>
    <row r="291" ht="19.5" customHeight="1">
      <c r="A291" s="74" t="s">
        <v>1</v>
      </c>
      <c r="B291" s="74" t="s">
        <v>91</v>
      </c>
      <c r="C291" s="74" t="s">
        <v>92</v>
      </c>
      <c r="D291" s="76" t="s">
        <v>93</v>
      </c>
      <c r="E291" s="50" t="s">
        <v>161</v>
      </c>
      <c r="F291" s="53" t="s">
        <v>121</v>
      </c>
      <c r="G291" s="53" t="s">
        <v>97</v>
      </c>
      <c r="H291" s="75" t="s">
        <v>100</v>
      </c>
      <c r="I291" s="75" t="s">
        <v>101</v>
      </c>
      <c r="J291" s="76" t="s">
        <v>95</v>
      </c>
      <c r="K291" s="74" t="s">
        <v>96</v>
      </c>
    </row>
    <row r="292" ht="19.5" customHeight="1">
      <c r="A292" s="46">
        <v>1.0</v>
      </c>
      <c r="B292" s="37" t="s">
        <v>244</v>
      </c>
      <c r="C292" s="46" t="s">
        <v>103</v>
      </c>
      <c r="D292" s="78">
        <v>10.0</v>
      </c>
      <c r="E292" s="37">
        <v>1.0</v>
      </c>
      <c r="F292" s="78">
        <v>1.5</v>
      </c>
      <c r="G292" s="40">
        <v>1.8</v>
      </c>
      <c r="H292" s="40">
        <f t="shared" ref="H292:H293" si="99">F292*E292*D292</f>
        <v>15</v>
      </c>
      <c r="I292" s="42"/>
      <c r="J292" s="40"/>
      <c r="K292" s="46"/>
    </row>
    <row r="293" ht="19.5" customHeight="1">
      <c r="A293" s="46">
        <v>2.0</v>
      </c>
      <c r="B293" s="37" t="s">
        <v>244</v>
      </c>
      <c r="C293" s="46" t="s">
        <v>103</v>
      </c>
      <c r="D293" s="78">
        <v>10.0</v>
      </c>
      <c r="E293" s="37">
        <v>1.0</v>
      </c>
      <c r="F293" s="78">
        <v>0.5</v>
      </c>
      <c r="G293" s="40">
        <v>1.8</v>
      </c>
      <c r="H293" s="40">
        <f t="shared" si="99"/>
        <v>5</v>
      </c>
      <c r="I293" s="42"/>
      <c r="J293" s="64">
        <f>SUM(H292:H293)</f>
        <v>20</v>
      </c>
      <c r="K293" s="46"/>
    </row>
    <row r="294" ht="19.5" customHeight="1">
      <c r="A294" s="74" t="s">
        <v>1</v>
      </c>
      <c r="B294" s="74" t="s">
        <v>91</v>
      </c>
      <c r="C294" s="74" t="s">
        <v>92</v>
      </c>
      <c r="D294" s="76" t="s">
        <v>93</v>
      </c>
      <c r="E294" s="50" t="s">
        <v>161</v>
      </c>
      <c r="F294" s="53"/>
      <c r="G294" s="53"/>
      <c r="H294" s="75" t="s">
        <v>100</v>
      </c>
      <c r="I294" s="75" t="s">
        <v>101</v>
      </c>
      <c r="J294" s="76" t="s">
        <v>95</v>
      </c>
      <c r="K294" s="74" t="s">
        <v>96</v>
      </c>
    </row>
    <row r="295" ht="19.5" customHeight="1">
      <c r="A295" s="46">
        <v>1.0</v>
      </c>
      <c r="B295" s="37" t="s">
        <v>960</v>
      </c>
      <c r="C295" s="46" t="s">
        <v>106</v>
      </c>
      <c r="D295" s="78">
        <v>4.0</v>
      </c>
      <c r="E295" s="37">
        <v>8.0</v>
      </c>
      <c r="F295" s="78"/>
      <c r="G295" s="40"/>
      <c r="H295" s="40">
        <f t="shared" ref="H295:H296" si="100">E295*D295+6</f>
        <v>38</v>
      </c>
      <c r="I295" s="42"/>
      <c r="J295" s="64">
        <f t="shared" ref="J295:J315" si="101">H295</f>
        <v>38</v>
      </c>
      <c r="K295" s="46"/>
    </row>
    <row r="296" ht="19.5" customHeight="1">
      <c r="A296" s="46">
        <v>2.0</v>
      </c>
      <c r="B296" s="37" t="s">
        <v>961</v>
      </c>
      <c r="C296" s="46" t="s">
        <v>106</v>
      </c>
      <c r="D296" s="78">
        <v>18.0</v>
      </c>
      <c r="E296" s="37">
        <v>1.0</v>
      </c>
      <c r="F296" s="78"/>
      <c r="G296" s="40"/>
      <c r="H296" s="40">
        <f t="shared" si="100"/>
        <v>24</v>
      </c>
      <c r="I296" s="42"/>
      <c r="J296" s="64">
        <f t="shared" si="101"/>
        <v>24</v>
      </c>
      <c r="K296" s="46"/>
    </row>
    <row r="297" ht="19.5" customHeight="1">
      <c r="A297" s="46">
        <v>2.0</v>
      </c>
      <c r="B297" s="37" t="s">
        <v>962</v>
      </c>
      <c r="C297" s="46" t="s">
        <v>106</v>
      </c>
      <c r="D297" s="78">
        <v>34.0</v>
      </c>
      <c r="E297" s="37">
        <v>1.0</v>
      </c>
      <c r="F297" s="78"/>
      <c r="G297" s="40"/>
      <c r="H297" s="40">
        <f t="shared" ref="H297:H315" si="102">E297*D297</f>
        <v>34</v>
      </c>
      <c r="I297" s="42"/>
      <c r="J297" s="64">
        <f t="shared" si="101"/>
        <v>34</v>
      </c>
      <c r="K297" s="46"/>
    </row>
    <row r="298" ht="19.5" customHeight="1">
      <c r="A298" s="46">
        <v>3.0</v>
      </c>
      <c r="B298" s="37" t="s">
        <v>246</v>
      </c>
      <c r="C298" s="46" t="s">
        <v>106</v>
      </c>
      <c r="D298" s="78">
        <v>4.0</v>
      </c>
      <c r="E298" s="37">
        <v>12.0</v>
      </c>
      <c r="F298" s="78"/>
      <c r="G298" s="40"/>
      <c r="H298" s="40">
        <f t="shared" si="102"/>
        <v>48</v>
      </c>
      <c r="I298" s="42"/>
      <c r="J298" s="64">
        <f t="shared" si="101"/>
        <v>48</v>
      </c>
      <c r="K298" s="46"/>
    </row>
    <row r="299" ht="19.5" customHeight="1">
      <c r="A299" s="46">
        <v>4.0</v>
      </c>
      <c r="B299" s="37" t="s">
        <v>963</v>
      </c>
      <c r="C299" s="46" t="s">
        <v>106</v>
      </c>
      <c r="D299" s="78">
        <v>4.0</v>
      </c>
      <c r="E299" s="37">
        <v>1.0</v>
      </c>
      <c r="F299" s="78"/>
      <c r="G299" s="40"/>
      <c r="H299" s="40">
        <f t="shared" si="102"/>
        <v>4</v>
      </c>
      <c r="I299" s="42"/>
      <c r="J299" s="64">
        <f t="shared" si="101"/>
        <v>4</v>
      </c>
      <c r="K299" s="46"/>
    </row>
    <row r="300" ht="19.5" customHeight="1">
      <c r="A300" s="46">
        <v>5.0</v>
      </c>
      <c r="B300" s="37" t="s">
        <v>247</v>
      </c>
      <c r="C300" s="46" t="s">
        <v>106</v>
      </c>
      <c r="D300" s="78">
        <v>4.0</v>
      </c>
      <c r="E300" s="37">
        <v>1.0</v>
      </c>
      <c r="F300" s="78"/>
      <c r="G300" s="40"/>
      <c r="H300" s="40">
        <f t="shared" si="102"/>
        <v>4</v>
      </c>
      <c r="I300" s="42"/>
      <c r="J300" s="64">
        <f t="shared" si="101"/>
        <v>4</v>
      </c>
      <c r="K300" s="46"/>
    </row>
    <row r="301" ht="19.5" customHeight="1">
      <c r="A301" s="46">
        <v>6.0</v>
      </c>
      <c r="B301" s="37" t="s">
        <v>248</v>
      </c>
      <c r="C301" s="46" t="s">
        <v>106</v>
      </c>
      <c r="D301" s="78">
        <v>5.0</v>
      </c>
      <c r="E301" s="37">
        <v>1.0</v>
      </c>
      <c r="F301" s="78"/>
      <c r="G301" s="40"/>
      <c r="H301" s="40">
        <f t="shared" si="102"/>
        <v>5</v>
      </c>
      <c r="I301" s="42"/>
      <c r="J301" s="64">
        <f t="shared" si="101"/>
        <v>5</v>
      </c>
      <c r="K301" s="46"/>
    </row>
    <row r="302" ht="19.5" customHeight="1">
      <c r="A302" s="46">
        <v>7.0</v>
      </c>
      <c r="B302" s="37" t="s">
        <v>249</v>
      </c>
      <c r="C302" s="46" t="s">
        <v>106</v>
      </c>
      <c r="D302" s="78">
        <v>10.0</v>
      </c>
      <c r="E302" s="37">
        <v>1.0</v>
      </c>
      <c r="F302" s="78"/>
      <c r="G302" s="40"/>
      <c r="H302" s="40">
        <f t="shared" si="102"/>
        <v>10</v>
      </c>
      <c r="I302" s="42"/>
      <c r="J302" s="64">
        <f t="shared" si="101"/>
        <v>10</v>
      </c>
      <c r="K302" s="46"/>
    </row>
    <row r="303" ht="19.5" customHeight="1">
      <c r="A303" s="46">
        <v>8.0</v>
      </c>
      <c r="B303" s="37" t="s">
        <v>250</v>
      </c>
      <c r="C303" s="46" t="s">
        <v>106</v>
      </c>
      <c r="D303" s="123">
        <f>H302+H301+H300+H299+H298</f>
        <v>71</v>
      </c>
      <c r="E303" s="37">
        <v>1.0</v>
      </c>
      <c r="F303" s="40"/>
      <c r="G303" s="40"/>
      <c r="H303" s="40">
        <f t="shared" si="102"/>
        <v>71</v>
      </c>
      <c r="I303" s="40"/>
      <c r="J303" s="64">
        <f t="shared" si="101"/>
        <v>71</v>
      </c>
      <c r="K303" s="46"/>
    </row>
    <row r="304" ht="19.5" customHeight="1">
      <c r="A304" s="46">
        <v>9.0</v>
      </c>
      <c r="B304" s="37" t="s">
        <v>251</v>
      </c>
      <c r="C304" s="46" t="s">
        <v>106</v>
      </c>
      <c r="D304" s="123">
        <f>H297+H295</f>
        <v>72</v>
      </c>
      <c r="E304" s="37">
        <v>1.0</v>
      </c>
      <c r="F304" s="40"/>
      <c r="G304" s="40"/>
      <c r="H304" s="40">
        <f t="shared" si="102"/>
        <v>72</v>
      </c>
      <c r="I304" s="40"/>
      <c r="J304" s="64">
        <f t="shared" si="101"/>
        <v>72</v>
      </c>
      <c r="K304" s="46"/>
    </row>
    <row r="305" ht="19.5" customHeight="1">
      <c r="A305" s="46">
        <v>10.0</v>
      </c>
      <c r="B305" s="37" t="s">
        <v>964</v>
      </c>
      <c r="C305" s="46" t="s">
        <v>108</v>
      </c>
      <c r="D305" s="123">
        <v>900.0</v>
      </c>
      <c r="E305" s="37">
        <v>1.0</v>
      </c>
      <c r="F305" s="40"/>
      <c r="G305" s="40"/>
      <c r="H305" s="40">
        <f t="shared" si="102"/>
        <v>900</v>
      </c>
      <c r="I305" s="40"/>
      <c r="J305" s="64">
        <f t="shared" si="101"/>
        <v>900</v>
      </c>
      <c r="K305" s="46"/>
    </row>
    <row r="306" ht="19.5" customHeight="1">
      <c r="A306" s="46">
        <v>11.0</v>
      </c>
      <c r="B306" s="37" t="s">
        <v>965</v>
      </c>
      <c r="C306" s="46" t="s">
        <v>108</v>
      </c>
      <c r="D306" s="123">
        <v>400.0</v>
      </c>
      <c r="E306" s="37">
        <v>1.0</v>
      </c>
      <c r="F306" s="40"/>
      <c r="G306" s="40"/>
      <c r="H306" s="40">
        <f t="shared" si="102"/>
        <v>400</v>
      </c>
      <c r="I306" s="40"/>
      <c r="J306" s="64">
        <f t="shared" si="101"/>
        <v>400</v>
      </c>
      <c r="K306" s="46"/>
    </row>
    <row r="307" ht="19.5" customHeight="1">
      <c r="A307" s="46">
        <v>12.0</v>
      </c>
      <c r="B307" s="37" t="s">
        <v>252</v>
      </c>
      <c r="C307" s="46" t="s">
        <v>108</v>
      </c>
      <c r="D307" s="123">
        <v>400.0</v>
      </c>
      <c r="E307" s="37">
        <v>1.0</v>
      </c>
      <c r="F307" s="40"/>
      <c r="G307" s="40"/>
      <c r="H307" s="40">
        <f t="shared" si="102"/>
        <v>400</v>
      </c>
      <c r="I307" s="40"/>
      <c r="J307" s="64">
        <f t="shared" si="101"/>
        <v>400</v>
      </c>
      <c r="K307" s="46"/>
    </row>
    <row r="308" ht="19.5" customHeight="1">
      <c r="A308" s="46">
        <v>12.0</v>
      </c>
      <c r="B308" s="37" t="s">
        <v>254</v>
      </c>
      <c r="C308" s="46" t="s">
        <v>108</v>
      </c>
      <c r="D308" s="123">
        <v>4000.0</v>
      </c>
      <c r="E308" s="37">
        <v>1.0</v>
      </c>
      <c r="F308" s="40"/>
      <c r="G308" s="40"/>
      <c r="H308" s="40">
        <f t="shared" si="102"/>
        <v>4000</v>
      </c>
      <c r="I308" s="40"/>
      <c r="J308" s="64">
        <f t="shared" si="101"/>
        <v>4000</v>
      </c>
      <c r="K308" s="46"/>
    </row>
    <row r="309" ht="19.5" customHeight="1">
      <c r="A309" s="46">
        <f t="shared" ref="A309:A315" si="103">A308+1</f>
        <v>13</v>
      </c>
      <c r="B309" s="37" t="s">
        <v>255</v>
      </c>
      <c r="C309" s="46" t="s">
        <v>108</v>
      </c>
      <c r="D309" s="123">
        <v>400.0</v>
      </c>
      <c r="E309" s="37">
        <v>19.0</v>
      </c>
      <c r="F309" s="40"/>
      <c r="G309" s="40"/>
      <c r="H309" s="40">
        <f t="shared" si="102"/>
        <v>7600</v>
      </c>
      <c r="I309" s="40"/>
      <c r="J309" s="64">
        <f t="shared" si="101"/>
        <v>7600</v>
      </c>
      <c r="K309" s="46"/>
    </row>
    <row r="310" ht="19.5" customHeight="1">
      <c r="A310" s="46">
        <f t="shared" si="103"/>
        <v>14</v>
      </c>
      <c r="B310" s="37" t="s">
        <v>256</v>
      </c>
      <c r="C310" s="46" t="s">
        <v>108</v>
      </c>
      <c r="D310" s="123">
        <v>100.0</v>
      </c>
      <c r="E310" s="37">
        <v>1.0</v>
      </c>
      <c r="F310" s="40"/>
      <c r="G310" s="40"/>
      <c r="H310" s="40">
        <f t="shared" si="102"/>
        <v>100</v>
      </c>
      <c r="I310" s="40"/>
      <c r="J310" s="64">
        <f t="shared" si="101"/>
        <v>100</v>
      </c>
      <c r="K310" s="46"/>
    </row>
    <row r="311" ht="19.5" customHeight="1">
      <c r="A311" s="46">
        <f t="shared" si="103"/>
        <v>15</v>
      </c>
      <c r="B311" s="37" t="s">
        <v>257</v>
      </c>
      <c r="C311" s="46" t="s">
        <v>106</v>
      </c>
      <c r="D311" s="123">
        <v>3.0</v>
      </c>
      <c r="E311" s="37">
        <v>1.0</v>
      </c>
      <c r="F311" s="40"/>
      <c r="G311" s="40"/>
      <c r="H311" s="40">
        <f t="shared" si="102"/>
        <v>3</v>
      </c>
      <c r="I311" s="40"/>
      <c r="J311" s="64">
        <f t="shared" si="101"/>
        <v>3</v>
      </c>
      <c r="K311" s="46"/>
    </row>
    <row r="312" ht="19.5" customHeight="1">
      <c r="A312" s="46">
        <f t="shared" si="103"/>
        <v>16</v>
      </c>
      <c r="B312" s="37" t="s">
        <v>258</v>
      </c>
      <c r="C312" s="46" t="s">
        <v>106</v>
      </c>
      <c r="D312" s="123">
        <v>12.0</v>
      </c>
      <c r="E312" s="37">
        <v>1.0</v>
      </c>
      <c r="F312" s="40"/>
      <c r="G312" s="40"/>
      <c r="H312" s="40">
        <f t="shared" si="102"/>
        <v>12</v>
      </c>
      <c r="I312" s="40"/>
      <c r="J312" s="64">
        <f t="shared" si="101"/>
        <v>12</v>
      </c>
      <c r="K312" s="46"/>
    </row>
    <row r="313" ht="19.5" customHeight="1">
      <c r="A313" s="46">
        <f t="shared" si="103"/>
        <v>17</v>
      </c>
      <c r="B313" s="37" t="s">
        <v>259</v>
      </c>
      <c r="C313" s="46" t="s">
        <v>108</v>
      </c>
      <c r="D313" s="123">
        <v>100.0</v>
      </c>
      <c r="E313" s="37">
        <v>1.0</v>
      </c>
      <c r="F313" s="40"/>
      <c r="G313" s="40"/>
      <c r="H313" s="40">
        <f t="shared" si="102"/>
        <v>100</v>
      </c>
      <c r="I313" s="40"/>
      <c r="J313" s="64">
        <f t="shared" si="101"/>
        <v>100</v>
      </c>
      <c r="K313" s="46"/>
    </row>
    <row r="314" ht="19.5" customHeight="1">
      <c r="A314" s="46">
        <f t="shared" si="103"/>
        <v>18</v>
      </c>
      <c r="B314" s="37" t="s">
        <v>260</v>
      </c>
      <c r="C314" s="46" t="s">
        <v>108</v>
      </c>
      <c r="D314" s="123">
        <v>60.0</v>
      </c>
      <c r="E314" s="37">
        <v>1.0</v>
      </c>
      <c r="F314" s="40"/>
      <c r="G314" s="40"/>
      <c r="H314" s="40">
        <f t="shared" si="102"/>
        <v>60</v>
      </c>
      <c r="I314" s="40"/>
      <c r="J314" s="64">
        <f t="shared" si="101"/>
        <v>60</v>
      </c>
      <c r="K314" s="46"/>
    </row>
    <row r="315" ht="19.5" customHeight="1">
      <c r="A315" s="46">
        <f t="shared" si="103"/>
        <v>19</v>
      </c>
      <c r="B315" s="37" t="s">
        <v>261</v>
      </c>
      <c r="C315" s="46" t="s">
        <v>106</v>
      </c>
      <c r="D315" s="123">
        <v>6.0</v>
      </c>
      <c r="E315" s="37">
        <v>1.0</v>
      </c>
      <c r="F315" s="40"/>
      <c r="G315" s="40"/>
      <c r="H315" s="40">
        <f t="shared" si="102"/>
        <v>6</v>
      </c>
      <c r="I315" s="40"/>
      <c r="J315" s="64">
        <f t="shared" si="101"/>
        <v>6</v>
      </c>
      <c r="K315" s="46"/>
    </row>
    <row r="316" ht="19.5" customHeight="1">
      <c r="A316" s="12"/>
      <c r="C316" s="12"/>
      <c r="D316" s="87"/>
      <c r="F316" s="14"/>
      <c r="G316" s="14"/>
      <c r="H316" s="14"/>
      <c r="I316" s="14"/>
      <c r="J316" s="14"/>
      <c r="K316" s="12"/>
    </row>
    <row r="317" ht="19.5" customHeight="1">
      <c r="A317" s="74" t="s">
        <v>1</v>
      </c>
      <c r="B317" s="74" t="s">
        <v>91</v>
      </c>
      <c r="C317" s="74" t="s">
        <v>92</v>
      </c>
      <c r="D317" s="76" t="s">
        <v>93</v>
      </c>
      <c r="E317" s="50" t="s">
        <v>161</v>
      </c>
      <c r="F317" s="53" t="s">
        <v>121</v>
      </c>
      <c r="G317" s="53" t="s">
        <v>99</v>
      </c>
      <c r="H317" s="53" t="s">
        <v>100</v>
      </c>
      <c r="I317" s="53" t="s">
        <v>101</v>
      </c>
      <c r="J317" s="76" t="s">
        <v>95</v>
      </c>
      <c r="K317" s="74" t="s">
        <v>96</v>
      </c>
    </row>
    <row r="318" ht="19.5" customHeight="1">
      <c r="A318" s="46">
        <v>1.0</v>
      </c>
      <c r="B318" s="37" t="s">
        <v>262</v>
      </c>
      <c r="C318" s="46" t="s">
        <v>108</v>
      </c>
      <c r="D318" s="78">
        <v>400.0</v>
      </c>
      <c r="E318" s="37">
        <v>1.0</v>
      </c>
      <c r="F318" s="78"/>
      <c r="G318" s="40"/>
      <c r="H318" s="40">
        <f t="shared" ref="H318:H341" si="104">E318*D318</f>
        <v>400</v>
      </c>
      <c r="I318" s="42"/>
      <c r="J318" s="64">
        <f t="shared" ref="J318:J341" si="105">H318</f>
        <v>400</v>
      </c>
      <c r="K318" s="46"/>
    </row>
    <row r="319" ht="19.5" customHeight="1">
      <c r="A319" s="46">
        <f t="shared" ref="A319:A341" si="106">A318+1</f>
        <v>2</v>
      </c>
      <c r="B319" s="37" t="s">
        <v>263</v>
      </c>
      <c r="C319" s="46" t="s">
        <v>108</v>
      </c>
      <c r="D319" s="123">
        <v>200.0</v>
      </c>
      <c r="E319" s="37">
        <v>1.0</v>
      </c>
      <c r="F319" s="40"/>
      <c r="G319" s="40"/>
      <c r="H319" s="40">
        <f t="shared" si="104"/>
        <v>200</v>
      </c>
      <c r="I319" s="40"/>
      <c r="J319" s="64">
        <f t="shared" si="105"/>
        <v>200</v>
      </c>
      <c r="K319" s="46"/>
    </row>
    <row r="320" ht="19.5" customHeight="1">
      <c r="A320" s="46">
        <f t="shared" si="106"/>
        <v>3</v>
      </c>
      <c r="B320" s="37" t="s">
        <v>264</v>
      </c>
      <c r="C320" s="46" t="s">
        <v>108</v>
      </c>
      <c r="D320" s="123">
        <v>100.0</v>
      </c>
      <c r="E320" s="37">
        <v>1.0</v>
      </c>
      <c r="F320" s="40"/>
      <c r="G320" s="40"/>
      <c r="H320" s="40">
        <f t="shared" si="104"/>
        <v>100</v>
      </c>
      <c r="I320" s="40"/>
      <c r="J320" s="64">
        <f t="shared" si="105"/>
        <v>100</v>
      </c>
      <c r="K320" s="46"/>
    </row>
    <row r="321" ht="19.5" customHeight="1">
      <c r="A321" s="46">
        <f t="shared" si="106"/>
        <v>4</v>
      </c>
      <c r="B321" s="37" t="s">
        <v>265</v>
      </c>
      <c r="C321" s="46" t="s">
        <v>106</v>
      </c>
      <c r="D321" s="123">
        <v>8.0</v>
      </c>
      <c r="E321" s="37">
        <v>1.0</v>
      </c>
      <c r="F321" s="40"/>
      <c r="G321" s="40"/>
      <c r="H321" s="40">
        <f t="shared" si="104"/>
        <v>8</v>
      </c>
      <c r="I321" s="40"/>
      <c r="J321" s="64">
        <f t="shared" si="105"/>
        <v>8</v>
      </c>
      <c r="K321" s="46"/>
    </row>
    <row r="322" ht="19.5" customHeight="1">
      <c r="A322" s="46">
        <f t="shared" si="106"/>
        <v>5</v>
      </c>
      <c r="B322" s="37" t="s">
        <v>266</v>
      </c>
      <c r="C322" s="46" t="s">
        <v>106</v>
      </c>
      <c r="D322" s="123">
        <v>12.0</v>
      </c>
      <c r="E322" s="37">
        <v>1.0</v>
      </c>
      <c r="F322" s="40"/>
      <c r="G322" s="40"/>
      <c r="H322" s="40">
        <f t="shared" si="104"/>
        <v>12</v>
      </c>
      <c r="I322" s="40"/>
      <c r="J322" s="64">
        <f t="shared" si="105"/>
        <v>12</v>
      </c>
      <c r="K322" s="46"/>
    </row>
    <row r="323" ht="19.5" customHeight="1">
      <c r="A323" s="46">
        <f t="shared" si="106"/>
        <v>6</v>
      </c>
      <c r="B323" s="37" t="s">
        <v>267</v>
      </c>
      <c r="C323" s="46" t="s">
        <v>106</v>
      </c>
      <c r="D323" s="123">
        <v>12.0</v>
      </c>
      <c r="E323" s="37">
        <v>1.0</v>
      </c>
      <c r="F323" s="40"/>
      <c r="G323" s="40"/>
      <c r="H323" s="40">
        <f t="shared" si="104"/>
        <v>12</v>
      </c>
      <c r="I323" s="40"/>
      <c r="J323" s="64">
        <f t="shared" si="105"/>
        <v>12</v>
      </c>
      <c r="K323" s="46"/>
    </row>
    <row r="324" ht="19.5" customHeight="1">
      <c r="A324" s="46">
        <f t="shared" si="106"/>
        <v>7</v>
      </c>
      <c r="B324" s="37" t="s">
        <v>268</v>
      </c>
      <c r="C324" s="46" t="s">
        <v>106</v>
      </c>
      <c r="D324" s="123">
        <v>12.0</v>
      </c>
      <c r="E324" s="37">
        <v>1.0</v>
      </c>
      <c r="F324" s="40"/>
      <c r="G324" s="40"/>
      <c r="H324" s="40">
        <f t="shared" si="104"/>
        <v>12</v>
      </c>
      <c r="I324" s="40"/>
      <c r="J324" s="64">
        <f t="shared" si="105"/>
        <v>12</v>
      </c>
      <c r="K324" s="46"/>
    </row>
    <row r="325" ht="19.5" customHeight="1">
      <c r="A325" s="46">
        <f t="shared" si="106"/>
        <v>8</v>
      </c>
      <c r="B325" s="37" t="s">
        <v>269</v>
      </c>
      <c r="C325" s="46" t="s">
        <v>106</v>
      </c>
      <c r="D325" s="123">
        <v>12.0</v>
      </c>
      <c r="E325" s="37">
        <v>1.0</v>
      </c>
      <c r="F325" s="40"/>
      <c r="G325" s="40"/>
      <c r="H325" s="40">
        <f t="shared" si="104"/>
        <v>12</v>
      </c>
      <c r="I325" s="40"/>
      <c r="J325" s="64">
        <f t="shared" si="105"/>
        <v>12</v>
      </c>
      <c r="K325" s="46"/>
    </row>
    <row r="326" ht="19.5" customHeight="1">
      <c r="A326" s="46">
        <f t="shared" si="106"/>
        <v>9</v>
      </c>
      <c r="B326" s="37" t="s">
        <v>270</v>
      </c>
      <c r="C326" s="46" t="s">
        <v>106</v>
      </c>
      <c r="D326" s="123">
        <v>12.0</v>
      </c>
      <c r="E326" s="37">
        <v>1.0</v>
      </c>
      <c r="F326" s="40"/>
      <c r="G326" s="40"/>
      <c r="H326" s="40">
        <f t="shared" si="104"/>
        <v>12</v>
      </c>
      <c r="I326" s="40"/>
      <c r="J326" s="64">
        <f t="shared" si="105"/>
        <v>12</v>
      </c>
      <c r="K326" s="46"/>
    </row>
    <row r="327" ht="19.5" customHeight="1">
      <c r="A327" s="46">
        <f t="shared" si="106"/>
        <v>10</v>
      </c>
      <c r="B327" s="37" t="s">
        <v>271</v>
      </c>
      <c r="C327" s="46" t="s">
        <v>106</v>
      </c>
      <c r="D327" s="123">
        <v>6.0</v>
      </c>
      <c r="E327" s="37">
        <v>1.0</v>
      </c>
      <c r="F327" s="40"/>
      <c r="G327" s="40"/>
      <c r="H327" s="40">
        <f t="shared" si="104"/>
        <v>6</v>
      </c>
      <c r="I327" s="40"/>
      <c r="J327" s="64">
        <f t="shared" si="105"/>
        <v>6</v>
      </c>
      <c r="K327" s="46"/>
    </row>
    <row r="328" ht="19.5" customHeight="1">
      <c r="A328" s="46">
        <f t="shared" si="106"/>
        <v>11</v>
      </c>
      <c r="B328" s="37" t="s">
        <v>272</v>
      </c>
      <c r="C328" s="46" t="s">
        <v>106</v>
      </c>
      <c r="D328" s="123">
        <v>6.0</v>
      </c>
      <c r="E328" s="37">
        <v>1.0</v>
      </c>
      <c r="F328" s="40"/>
      <c r="G328" s="40"/>
      <c r="H328" s="40">
        <f t="shared" si="104"/>
        <v>6</v>
      </c>
      <c r="I328" s="40"/>
      <c r="J328" s="64">
        <f t="shared" si="105"/>
        <v>6</v>
      </c>
      <c r="K328" s="46"/>
    </row>
    <row r="329" ht="19.5" customHeight="1">
      <c r="A329" s="46">
        <f t="shared" si="106"/>
        <v>12</v>
      </c>
      <c r="B329" s="37" t="s">
        <v>273</v>
      </c>
      <c r="C329" s="46" t="s">
        <v>106</v>
      </c>
      <c r="D329" s="123">
        <v>6.0</v>
      </c>
      <c r="E329" s="37">
        <v>1.0</v>
      </c>
      <c r="F329" s="40"/>
      <c r="G329" s="40"/>
      <c r="H329" s="40">
        <f t="shared" si="104"/>
        <v>6</v>
      </c>
      <c r="I329" s="40"/>
      <c r="J329" s="64">
        <f t="shared" si="105"/>
        <v>6</v>
      </c>
      <c r="K329" s="46"/>
    </row>
    <row r="330" ht="19.5" customHeight="1">
      <c r="A330" s="46">
        <f t="shared" si="106"/>
        <v>13</v>
      </c>
      <c r="B330" s="37" t="s">
        <v>274</v>
      </c>
      <c r="C330" s="46" t="s">
        <v>106</v>
      </c>
      <c r="D330" s="123">
        <v>6.0</v>
      </c>
      <c r="E330" s="37">
        <v>1.0</v>
      </c>
      <c r="F330" s="40"/>
      <c r="G330" s="40"/>
      <c r="H330" s="40">
        <f t="shared" si="104"/>
        <v>6</v>
      </c>
      <c r="I330" s="40"/>
      <c r="J330" s="64">
        <f t="shared" si="105"/>
        <v>6</v>
      </c>
      <c r="K330" s="46"/>
    </row>
    <row r="331" ht="19.5" customHeight="1">
      <c r="A331" s="46">
        <f t="shared" si="106"/>
        <v>14</v>
      </c>
      <c r="B331" s="37" t="s">
        <v>275</v>
      </c>
      <c r="C331" s="46" t="s">
        <v>106</v>
      </c>
      <c r="D331" s="123">
        <v>6.0</v>
      </c>
      <c r="E331" s="37">
        <v>1.0</v>
      </c>
      <c r="F331" s="40"/>
      <c r="G331" s="40"/>
      <c r="H331" s="40">
        <f t="shared" si="104"/>
        <v>6</v>
      </c>
      <c r="I331" s="40"/>
      <c r="J331" s="64">
        <f t="shared" si="105"/>
        <v>6</v>
      </c>
      <c r="K331" s="46"/>
    </row>
    <row r="332" ht="19.5" customHeight="1">
      <c r="A332" s="46">
        <f t="shared" si="106"/>
        <v>15</v>
      </c>
      <c r="B332" s="37" t="s">
        <v>276</v>
      </c>
      <c r="C332" s="46" t="s">
        <v>106</v>
      </c>
      <c r="D332" s="123">
        <v>6.0</v>
      </c>
      <c r="E332" s="37">
        <v>1.0</v>
      </c>
      <c r="F332" s="40"/>
      <c r="G332" s="40"/>
      <c r="H332" s="40">
        <f t="shared" si="104"/>
        <v>6</v>
      </c>
      <c r="I332" s="40"/>
      <c r="J332" s="64">
        <f t="shared" si="105"/>
        <v>6</v>
      </c>
      <c r="K332" s="46"/>
    </row>
    <row r="333" ht="19.5" customHeight="1">
      <c r="A333" s="46">
        <f t="shared" si="106"/>
        <v>16</v>
      </c>
      <c r="B333" s="37" t="s">
        <v>277</v>
      </c>
      <c r="C333" s="46" t="s">
        <v>106</v>
      </c>
      <c r="D333" s="123">
        <v>6.0</v>
      </c>
      <c r="E333" s="37">
        <v>1.0</v>
      </c>
      <c r="F333" s="40"/>
      <c r="G333" s="40"/>
      <c r="H333" s="40">
        <f t="shared" si="104"/>
        <v>6</v>
      </c>
      <c r="I333" s="40"/>
      <c r="J333" s="64">
        <f t="shared" si="105"/>
        <v>6</v>
      </c>
      <c r="K333" s="46"/>
    </row>
    <row r="334" ht="19.5" customHeight="1">
      <c r="A334" s="46">
        <f t="shared" si="106"/>
        <v>17</v>
      </c>
      <c r="B334" s="37" t="s">
        <v>278</v>
      </c>
      <c r="C334" s="46" t="s">
        <v>106</v>
      </c>
      <c r="D334" s="123">
        <v>6.0</v>
      </c>
      <c r="E334" s="37">
        <v>1.0</v>
      </c>
      <c r="F334" s="40"/>
      <c r="G334" s="40"/>
      <c r="H334" s="40">
        <f t="shared" si="104"/>
        <v>6</v>
      </c>
      <c r="I334" s="40"/>
      <c r="J334" s="64">
        <f t="shared" si="105"/>
        <v>6</v>
      </c>
      <c r="K334" s="46"/>
    </row>
    <row r="335" ht="19.5" customHeight="1">
      <c r="A335" s="46">
        <f t="shared" si="106"/>
        <v>18</v>
      </c>
      <c r="B335" s="37" t="s">
        <v>279</v>
      </c>
      <c r="C335" s="46" t="s">
        <v>106</v>
      </c>
      <c r="D335" s="123">
        <v>30.0</v>
      </c>
      <c r="E335" s="37">
        <v>1.0</v>
      </c>
      <c r="F335" s="40"/>
      <c r="G335" s="40"/>
      <c r="H335" s="40">
        <f t="shared" si="104"/>
        <v>30</v>
      </c>
      <c r="I335" s="40"/>
      <c r="J335" s="64">
        <f t="shared" si="105"/>
        <v>30</v>
      </c>
      <c r="K335" s="46"/>
    </row>
    <row r="336" ht="19.5" customHeight="1">
      <c r="A336" s="46">
        <f t="shared" si="106"/>
        <v>19</v>
      </c>
      <c r="B336" s="37" t="s">
        <v>280</v>
      </c>
      <c r="C336" s="46" t="s">
        <v>106</v>
      </c>
      <c r="D336" s="123">
        <v>25.0</v>
      </c>
      <c r="E336" s="37">
        <v>1.0</v>
      </c>
      <c r="F336" s="40"/>
      <c r="G336" s="40"/>
      <c r="H336" s="40">
        <f t="shared" si="104"/>
        <v>25</v>
      </c>
      <c r="I336" s="40"/>
      <c r="J336" s="64">
        <f t="shared" si="105"/>
        <v>25</v>
      </c>
      <c r="K336" s="46"/>
    </row>
    <row r="337" ht="19.5" customHeight="1">
      <c r="A337" s="46">
        <f t="shared" si="106"/>
        <v>20</v>
      </c>
      <c r="B337" s="37" t="s">
        <v>281</v>
      </c>
      <c r="C337" s="46" t="s">
        <v>106</v>
      </c>
      <c r="D337" s="123">
        <v>6.0</v>
      </c>
      <c r="E337" s="37">
        <v>1.0</v>
      </c>
      <c r="F337" s="40"/>
      <c r="G337" s="40"/>
      <c r="H337" s="40">
        <f t="shared" si="104"/>
        <v>6</v>
      </c>
      <c r="I337" s="40"/>
      <c r="J337" s="64">
        <f t="shared" si="105"/>
        <v>6</v>
      </c>
      <c r="K337" s="46"/>
    </row>
    <row r="338" ht="19.5" customHeight="1">
      <c r="A338" s="46">
        <f t="shared" si="106"/>
        <v>21</v>
      </c>
      <c r="B338" s="37" t="s">
        <v>378</v>
      </c>
      <c r="C338" s="46" t="s">
        <v>106</v>
      </c>
      <c r="D338" s="123">
        <v>6.0</v>
      </c>
      <c r="E338" s="37">
        <v>1.0</v>
      </c>
      <c r="F338" s="40"/>
      <c r="G338" s="40"/>
      <c r="H338" s="40">
        <f t="shared" si="104"/>
        <v>6</v>
      </c>
      <c r="I338" s="40"/>
      <c r="J338" s="64">
        <f t="shared" si="105"/>
        <v>6</v>
      </c>
      <c r="K338" s="46"/>
    </row>
    <row r="339" ht="19.5" customHeight="1">
      <c r="A339" s="46">
        <f t="shared" si="106"/>
        <v>22</v>
      </c>
      <c r="B339" s="37" t="s">
        <v>284</v>
      </c>
      <c r="C339" s="46" t="s">
        <v>106</v>
      </c>
      <c r="D339" s="123"/>
      <c r="E339" s="37">
        <v>1.0</v>
      </c>
      <c r="F339" s="40"/>
      <c r="G339" s="40"/>
      <c r="H339" s="40">
        <f t="shared" si="104"/>
        <v>0</v>
      </c>
      <c r="I339" s="40"/>
      <c r="J339" s="64">
        <f t="shared" si="105"/>
        <v>0</v>
      </c>
      <c r="K339" s="46"/>
    </row>
    <row r="340" ht="19.5" customHeight="1">
      <c r="A340" s="46">
        <f t="shared" si="106"/>
        <v>23</v>
      </c>
      <c r="B340" s="37" t="s">
        <v>285</v>
      </c>
      <c r="C340" s="46" t="s">
        <v>106</v>
      </c>
      <c r="D340" s="123">
        <v>3.0</v>
      </c>
      <c r="E340" s="37">
        <v>1.0</v>
      </c>
      <c r="F340" s="40"/>
      <c r="G340" s="40"/>
      <c r="H340" s="40">
        <f t="shared" si="104"/>
        <v>3</v>
      </c>
      <c r="I340" s="40"/>
      <c r="J340" s="64">
        <f t="shared" si="105"/>
        <v>3</v>
      </c>
      <c r="K340" s="79"/>
    </row>
    <row r="341" ht="19.5" customHeight="1">
      <c r="A341" s="46">
        <f t="shared" si="106"/>
        <v>24</v>
      </c>
      <c r="B341" s="37" t="s">
        <v>286</v>
      </c>
      <c r="C341" s="46" t="s">
        <v>106</v>
      </c>
      <c r="D341" s="123"/>
      <c r="E341" s="37">
        <v>1.0</v>
      </c>
      <c r="F341" s="40"/>
      <c r="G341" s="40"/>
      <c r="H341" s="40">
        <f t="shared" si="104"/>
        <v>0</v>
      </c>
      <c r="I341" s="40"/>
      <c r="J341" s="64">
        <f t="shared" si="105"/>
        <v>0</v>
      </c>
      <c r="K341" s="79"/>
    </row>
    <row r="342" ht="19.5" customHeight="1">
      <c r="A342" s="74" t="s">
        <v>1</v>
      </c>
      <c r="B342" s="74" t="s">
        <v>91</v>
      </c>
      <c r="C342" s="74" t="s">
        <v>92</v>
      </c>
      <c r="D342" s="76" t="s">
        <v>93</v>
      </c>
      <c r="E342" s="50" t="s">
        <v>161</v>
      </c>
      <c r="F342" s="53" t="s">
        <v>121</v>
      </c>
      <c r="G342" s="53" t="s">
        <v>99</v>
      </c>
      <c r="H342" s="53" t="s">
        <v>100</v>
      </c>
      <c r="I342" s="53" t="s">
        <v>101</v>
      </c>
      <c r="J342" s="76" t="s">
        <v>95</v>
      </c>
      <c r="K342" s="74" t="s">
        <v>96</v>
      </c>
    </row>
    <row r="343" ht="19.5" customHeight="1">
      <c r="A343" s="46">
        <v>1.0</v>
      </c>
      <c r="B343" s="37" t="s">
        <v>287</v>
      </c>
      <c r="C343" s="46" t="s">
        <v>108</v>
      </c>
      <c r="D343" s="78">
        <v>0.0</v>
      </c>
      <c r="E343" s="37">
        <v>1.0</v>
      </c>
      <c r="F343" s="78"/>
      <c r="G343" s="40"/>
      <c r="H343" s="40">
        <f t="shared" ref="H343:H384" si="107">E343*D343</f>
        <v>0</v>
      </c>
      <c r="I343" s="42"/>
      <c r="J343" s="64">
        <f t="shared" ref="J343:J384" si="108">H343</f>
        <v>0</v>
      </c>
      <c r="K343" s="46"/>
    </row>
    <row r="344" ht="19.5" customHeight="1">
      <c r="A344" s="46">
        <f t="shared" ref="A344:A384" si="109">A343+1</f>
        <v>2</v>
      </c>
      <c r="B344" s="37" t="s">
        <v>288</v>
      </c>
      <c r="C344" s="46" t="s">
        <v>108</v>
      </c>
      <c r="D344" s="78">
        <v>100.0</v>
      </c>
      <c r="E344" s="37">
        <v>1.0</v>
      </c>
      <c r="F344" s="78"/>
      <c r="G344" s="40"/>
      <c r="H344" s="40">
        <f t="shared" si="107"/>
        <v>100</v>
      </c>
      <c r="I344" s="42"/>
      <c r="J344" s="64">
        <f t="shared" si="108"/>
        <v>100</v>
      </c>
      <c r="K344" s="46"/>
    </row>
    <row r="345" ht="19.5" customHeight="1">
      <c r="A345" s="46">
        <f t="shared" si="109"/>
        <v>3</v>
      </c>
      <c r="B345" s="37" t="s">
        <v>289</v>
      </c>
      <c r="C345" s="46" t="s">
        <v>108</v>
      </c>
      <c r="D345" s="78">
        <v>50.0</v>
      </c>
      <c r="E345" s="37">
        <v>1.0</v>
      </c>
      <c r="F345" s="78"/>
      <c r="G345" s="40"/>
      <c r="H345" s="40">
        <f t="shared" si="107"/>
        <v>50</v>
      </c>
      <c r="I345" s="42"/>
      <c r="J345" s="64">
        <f t="shared" si="108"/>
        <v>50</v>
      </c>
      <c r="K345" s="46"/>
    </row>
    <row r="346" ht="19.5" customHeight="1">
      <c r="A346" s="46">
        <f t="shared" si="109"/>
        <v>4</v>
      </c>
      <c r="B346" s="37" t="s">
        <v>263</v>
      </c>
      <c r="C346" s="46" t="s">
        <v>108</v>
      </c>
      <c r="D346" s="78">
        <v>100.0</v>
      </c>
      <c r="E346" s="37">
        <v>1.0</v>
      </c>
      <c r="F346" s="78"/>
      <c r="G346" s="40"/>
      <c r="H346" s="40">
        <f t="shared" si="107"/>
        <v>100</v>
      </c>
      <c r="I346" s="42"/>
      <c r="J346" s="64">
        <f t="shared" si="108"/>
        <v>100</v>
      </c>
      <c r="K346" s="46"/>
    </row>
    <row r="347" ht="19.5" customHeight="1">
      <c r="A347" s="46">
        <f t="shared" si="109"/>
        <v>5</v>
      </c>
      <c r="B347" s="37" t="s">
        <v>264</v>
      </c>
      <c r="C347" s="46" t="s">
        <v>108</v>
      </c>
      <c r="D347" s="123">
        <v>100.0</v>
      </c>
      <c r="E347" s="37">
        <v>1.0</v>
      </c>
      <c r="F347" s="40"/>
      <c r="G347" s="40"/>
      <c r="H347" s="40">
        <f t="shared" si="107"/>
        <v>100</v>
      </c>
      <c r="I347" s="40"/>
      <c r="J347" s="64">
        <f t="shared" si="108"/>
        <v>100</v>
      </c>
      <c r="K347" s="46"/>
    </row>
    <row r="348" ht="19.5" customHeight="1">
      <c r="A348" s="46">
        <f t="shared" si="109"/>
        <v>6</v>
      </c>
      <c r="B348" s="37" t="s">
        <v>290</v>
      </c>
      <c r="C348" s="46" t="s">
        <v>108</v>
      </c>
      <c r="D348" s="123">
        <v>160.0</v>
      </c>
      <c r="E348" s="37">
        <v>1.0</v>
      </c>
      <c r="F348" s="40"/>
      <c r="G348" s="40"/>
      <c r="H348" s="40">
        <f t="shared" si="107"/>
        <v>160</v>
      </c>
      <c r="I348" s="40"/>
      <c r="J348" s="64">
        <f t="shared" si="108"/>
        <v>160</v>
      </c>
      <c r="K348" s="46"/>
    </row>
    <row r="349" ht="19.5" customHeight="1">
      <c r="A349" s="46">
        <f t="shared" si="109"/>
        <v>7</v>
      </c>
      <c r="B349" s="37" t="s">
        <v>291</v>
      </c>
      <c r="C349" s="46" t="s">
        <v>108</v>
      </c>
      <c r="D349" s="123">
        <v>200.0</v>
      </c>
      <c r="E349" s="37">
        <v>1.0</v>
      </c>
      <c r="F349" s="40"/>
      <c r="G349" s="40"/>
      <c r="H349" s="40">
        <f t="shared" si="107"/>
        <v>200</v>
      </c>
      <c r="I349" s="40"/>
      <c r="J349" s="64">
        <f t="shared" si="108"/>
        <v>200</v>
      </c>
      <c r="K349" s="46"/>
    </row>
    <row r="350" ht="19.5" customHeight="1">
      <c r="A350" s="46">
        <f t="shared" si="109"/>
        <v>8</v>
      </c>
      <c r="B350" s="37" t="s">
        <v>292</v>
      </c>
      <c r="C350" s="46" t="s">
        <v>106</v>
      </c>
      <c r="D350" s="123">
        <v>0.0</v>
      </c>
      <c r="E350" s="37">
        <v>1.0</v>
      </c>
      <c r="F350" s="40"/>
      <c r="G350" s="40"/>
      <c r="H350" s="40">
        <f t="shared" si="107"/>
        <v>0</v>
      </c>
      <c r="I350" s="40"/>
      <c r="J350" s="64">
        <f t="shared" si="108"/>
        <v>0</v>
      </c>
      <c r="K350" s="46"/>
    </row>
    <row r="351" ht="19.5" customHeight="1">
      <c r="A351" s="46">
        <f t="shared" si="109"/>
        <v>9</v>
      </c>
      <c r="B351" s="37" t="s">
        <v>293</v>
      </c>
      <c r="C351" s="46" t="s">
        <v>106</v>
      </c>
      <c r="D351" s="123">
        <v>4.0</v>
      </c>
      <c r="E351" s="37">
        <v>1.0</v>
      </c>
      <c r="F351" s="40"/>
      <c r="G351" s="40"/>
      <c r="H351" s="40">
        <f t="shared" si="107"/>
        <v>4</v>
      </c>
      <c r="I351" s="40"/>
      <c r="J351" s="64">
        <f t="shared" si="108"/>
        <v>4</v>
      </c>
      <c r="K351" s="46"/>
    </row>
    <row r="352" ht="19.5" customHeight="1">
      <c r="A352" s="46">
        <f t="shared" si="109"/>
        <v>10</v>
      </c>
      <c r="B352" s="37" t="s">
        <v>294</v>
      </c>
      <c r="C352" s="46" t="s">
        <v>106</v>
      </c>
      <c r="D352" s="123">
        <v>4.0</v>
      </c>
      <c r="E352" s="37">
        <v>1.0</v>
      </c>
      <c r="F352" s="40"/>
      <c r="G352" s="40"/>
      <c r="H352" s="40">
        <f t="shared" si="107"/>
        <v>4</v>
      </c>
      <c r="I352" s="40"/>
      <c r="J352" s="64">
        <f t="shared" si="108"/>
        <v>4</v>
      </c>
      <c r="K352" s="46"/>
    </row>
    <row r="353" ht="19.5" customHeight="1">
      <c r="A353" s="46">
        <f t="shared" si="109"/>
        <v>11</v>
      </c>
      <c r="B353" s="37" t="s">
        <v>295</v>
      </c>
      <c r="C353" s="46" t="s">
        <v>106</v>
      </c>
      <c r="D353" s="123">
        <v>4.0</v>
      </c>
      <c r="E353" s="37">
        <v>1.0</v>
      </c>
      <c r="F353" s="40"/>
      <c r="G353" s="40"/>
      <c r="H353" s="40">
        <f t="shared" si="107"/>
        <v>4</v>
      </c>
      <c r="I353" s="40"/>
      <c r="J353" s="64">
        <f t="shared" si="108"/>
        <v>4</v>
      </c>
      <c r="K353" s="46"/>
    </row>
    <row r="354" ht="19.5" customHeight="1">
      <c r="A354" s="46">
        <f t="shared" si="109"/>
        <v>12</v>
      </c>
      <c r="B354" s="37" t="s">
        <v>270</v>
      </c>
      <c r="C354" s="46" t="s">
        <v>106</v>
      </c>
      <c r="D354" s="123">
        <v>4.0</v>
      </c>
      <c r="E354" s="37">
        <v>1.0</v>
      </c>
      <c r="F354" s="40"/>
      <c r="G354" s="40"/>
      <c r="H354" s="40">
        <f t="shared" si="107"/>
        <v>4</v>
      </c>
      <c r="I354" s="40"/>
      <c r="J354" s="64">
        <f t="shared" si="108"/>
        <v>4</v>
      </c>
      <c r="K354" s="46"/>
    </row>
    <row r="355" ht="19.5" customHeight="1">
      <c r="A355" s="46">
        <f t="shared" si="109"/>
        <v>13</v>
      </c>
      <c r="B355" s="37" t="s">
        <v>296</v>
      </c>
      <c r="C355" s="46" t="s">
        <v>106</v>
      </c>
      <c r="D355" s="123">
        <v>20.0</v>
      </c>
      <c r="E355" s="37">
        <v>2.0</v>
      </c>
      <c r="F355" s="40"/>
      <c r="G355" s="40"/>
      <c r="H355" s="40">
        <f t="shared" si="107"/>
        <v>40</v>
      </c>
      <c r="I355" s="40"/>
      <c r="J355" s="64">
        <f t="shared" si="108"/>
        <v>40</v>
      </c>
      <c r="K355" s="46"/>
    </row>
    <row r="356" ht="19.5" customHeight="1">
      <c r="A356" s="46">
        <f t="shared" si="109"/>
        <v>14</v>
      </c>
      <c r="B356" s="37" t="s">
        <v>297</v>
      </c>
      <c r="C356" s="46" t="s">
        <v>106</v>
      </c>
      <c r="D356" s="123">
        <v>20.0</v>
      </c>
      <c r="E356" s="37">
        <v>2.0</v>
      </c>
      <c r="F356" s="40"/>
      <c r="G356" s="40"/>
      <c r="H356" s="40">
        <f t="shared" si="107"/>
        <v>40</v>
      </c>
      <c r="I356" s="40"/>
      <c r="J356" s="64">
        <f t="shared" si="108"/>
        <v>40</v>
      </c>
      <c r="K356" s="46"/>
    </row>
    <row r="357" ht="19.5" customHeight="1">
      <c r="A357" s="46">
        <f t="shared" si="109"/>
        <v>15</v>
      </c>
      <c r="B357" s="37" t="s">
        <v>298</v>
      </c>
      <c r="C357" s="46" t="s">
        <v>106</v>
      </c>
      <c r="D357" s="123">
        <v>4.0</v>
      </c>
      <c r="E357" s="37">
        <v>1.0</v>
      </c>
      <c r="F357" s="40"/>
      <c r="G357" s="40"/>
      <c r="H357" s="40">
        <f t="shared" si="107"/>
        <v>4</v>
      </c>
      <c r="I357" s="40"/>
      <c r="J357" s="64">
        <f t="shared" si="108"/>
        <v>4</v>
      </c>
      <c r="K357" s="46"/>
    </row>
    <row r="358" ht="19.5" customHeight="1">
      <c r="A358" s="46">
        <f t="shared" si="109"/>
        <v>16</v>
      </c>
      <c r="B358" s="37" t="s">
        <v>299</v>
      </c>
      <c r="C358" s="46" t="s">
        <v>106</v>
      </c>
      <c r="D358" s="123">
        <v>4.0</v>
      </c>
      <c r="E358" s="37">
        <v>1.0</v>
      </c>
      <c r="F358" s="40"/>
      <c r="G358" s="40"/>
      <c r="H358" s="40">
        <f t="shared" si="107"/>
        <v>4</v>
      </c>
      <c r="I358" s="40"/>
      <c r="J358" s="64">
        <f t="shared" si="108"/>
        <v>4</v>
      </c>
      <c r="K358" s="46"/>
    </row>
    <row r="359" ht="19.5" customHeight="1">
      <c r="A359" s="46">
        <f t="shared" si="109"/>
        <v>17</v>
      </c>
      <c r="B359" s="37" t="s">
        <v>300</v>
      </c>
      <c r="C359" s="46" t="s">
        <v>106</v>
      </c>
      <c r="D359" s="123">
        <v>4.0</v>
      </c>
      <c r="E359" s="37">
        <v>1.0</v>
      </c>
      <c r="F359" s="40"/>
      <c r="G359" s="40"/>
      <c r="H359" s="40">
        <f t="shared" si="107"/>
        <v>4</v>
      </c>
      <c r="I359" s="40"/>
      <c r="J359" s="64">
        <f t="shared" si="108"/>
        <v>4</v>
      </c>
      <c r="K359" s="46"/>
    </row>
    <row r="360" ht="19.5" customHeight="1">
      <c r="A360" s="46">
        <f t="shared" si="109"/>
        <v>18</v>
      </c>
      <c r="B360" s="37" t="s">
        <v>301</v>
      </c>
      <c r="C360" s="46" t="s">
        <v>106</v>
      </c>
      <c r="D360" s="123">
        <v>4.0</v>
      </c>
      <c r="E360" s="37">
        <v>1.0</v>
      </c>
      <c r="F360" s="40"/>
      <c r="G360" s="40"/>
      <c r="H360" s="40">
        <f t="shared" si="107"/>
        <v>4</v>
      </c>
      <c r="I360" s="40"/>
      <c r="J360" s="64">
        <f t="shared" si="108"/>
        <v>4</v>
      </c>
      <c r="K360" s="46"/>
    </row>
    <row r="361" ht="19.5" customHeight="1">
      <c r="A361" s="46">
        <f t="shared" si="109"/>
        <v>19</v>
      </c>
      <c r="B361" s="37" t="s">
        <v>302</v>
      </c>
      <c r="C361" s="46" t="s">
        <v>106</v>
      </c>
      <c r="D361" s="123">
        <v>4.0</v>
      </c>
      <c r="E361" s="37">
        <v>1.0</v>
      </c>
      <c r="F361" s="40"/>
      <c r="G361" s="40"/>
      <c r="H361" s="40">
        <f t="shared" si="107"/>
        <v>4</v>
      </c>
      <c r="I361" s="40"/>
      <c r="J361" s="64">
        <f t="shared" si="108"/>
        <v>4</v>
      </c>
      <c r="K361" s="46"/>
    </row>
    <row r="362" ht="19.5" customHeight="1">
      <c r="A362" s="46">
        <f t="shared" si="109"/>
        <v>20</v>
      </c>
      <c r="B362" s="37" t="s">
        <v>303</v>
      </c>
      <c r="C362" s="46" t="s">
        <v>106</v>
      </c>
      <c r="D362" s="123">
        <v>20.0</v>
      </c>
      <c r="E362" s="37">
        <v>1.0</v>
      </c>
      <c r="F362" s="40"/>
      <c r="G362" s="40"/>
      <c r="H362" s="40">
        <f t="shared" si="107"/>
        <v>20</v>
      </c>
      <c r="I362" s="40"/>
      <c r="J362" s="64">
        <f t="shared" si="108"/>
        <v>20</v>
      </c>
      <c r="K362" s="46"/>
    </row>
    <row r="363" ht="19.5" customHeight="1">
      <c r="A363" s="46">
        <f t="shared" si="109"/>
        <v>21</v>
      </c>
      <c r="B363" s="37" t="s">
        <v>304</v>
      </c>
      <c r="C363" s="46" t="s">
        <v>106</v>
      </c>
      <c r="D363" s="123">
        <v>20.0</v>
      </c>
      <c r="E363" s="37">
        <v>1.0</v>
      </c>
      <c r="F363" s="40"/>
      <c r="G363" s="40"/>
      <c r="H363" s="40">
        <f t="shared" si="107"/>
        <v>20</v>
      </c>
      <c r="I363" s="40"/>
      <c r="J363" s="64">
        <f t="shared" si="108"/>
        <v>20</v>
      </c>
      <c r="K363" s="46"/>
    </row>
    <row r="364" ht="19.5" customHeight="1">
      <c r="A364" s="46">
        <f t="shared" si="109"/>
        <v>22</v>
      </c>
      <c r="B364" s="37" t="s">
        <v>305</v>
      </c>
      <c r="C364" s="46" t="s">
        <v>106</v>
      </c>
      <c r="D364" s="123">
        <v>0.0</v>
      </c>
      <c r="E364" s="37">
        <v>1.0</v>
      </c>
      <c r="F364" s="40"/>
      <c r="G364" s="40"/>
      <c r="H364" s="40">
        <f t="shared" si="107"/>
        <v>0</v>
      </c>
      <c r="I364" s="40"/>
      <c r="J364" s="64">
        <f t="shared" si="108"/>
        <v>0</v>
      </c>
      <c r="K364" s="46"/>
    </row>
    <row r="365" ht="19.5" customHeight="1">
      <c r="A365" s="46">
        <f t="shared" si="109"/>
        <v>23</v>
      </c>
      <c r="B365" s="37" t="s">
        <v>306</v>
      </c>
      <c r="C365" s="46" t="s">
        <v>106</v>
      </c>
      <c r="D365" s="123">
        <v>2.0</v>
      </c>
      <c r="E365" s="37">
        <v>1.0</v>
      </c>
      <c r="F365" s="40"/>
      <c r="G365" s="40"/>
      <c r="H365" s="40">
        <f t="shared" si="107"/>
        <v>2</v>
      </c>
      <c r="I365" s="40"/>
      <c r="J365" s="64">
        <f t="shared" si="108"/>
        <v>2</v>
      </c>
      <c r="K365" s="46"/>
    </row>
    <row r="366" ht="19.5" customHeight="1">
      <c r="A366" s="46">
        <f t="shared" si="109"/>
        <v>24</v>
      </c>
      <c r="B366" s="37" t="s">
        <v>307</v>
      </c>
      <c r="C366" s="46" t="s">
        <v>106</v>
      </c>
      <c r="D366" s="123">
        <v>2.0</v>
      </c>
      <c r="E366" s="37">
        <v>1.0</v>
      </c>
      <c r="F366" s="40"/>
      <c r="G366" s="40"/>
      <c r="H366" s="40">
        <f t="shared" si="107"/>
        <v>2</v>
      </c>
      <c r="I366" s="40"/>
      <c r="J366" s="64">
        <f t="shared" si="108"/>
        <v>2</v>
      </c>
      <c r="K366" s="46"/>
    </row>
    <row r="367" ht="19.5" customHeight="1">
      <c r="A367" s="46">
        <f t="shared" si="109"/>
        <v>25</v>
      </c>
      <c r="B367" s="37" t="s">
        <v>308</v>
      </c>
      <c r="C367" s="46" t="s">
        <v>106</v>
      </c>
      <c r="D367" s="123">
        <v>2.0</v>
      </c>
      <c r="E367" s="37">
        <v>1.0</v>
      </c>
      <c r="F367" s="40"/>
      <c r="G367" s="40"/>
      <c r="H367" s="40">
        <f t="shared" si="107"/>
        <v>2</v>
      </c>
      <c r="I367" s="40"/>
      <c r="J367" s="64">
        <f t="shared" si="108"/>
        <v>2</v>
      </c>
      <c r="K367" s="46"/>
    </row>
    <row r="368" ht="19.5" customHeight="1">
      <c r="A368" s="46">
        <f t="shared" si="109"/>
        <v>26</v>
      </c>
      <c r="B368" s="37" t="s">
        <v>309</v>
      </c>
      <c r="C368" s="46" t="s">
        <v>106</v>
      </c>
      <c r="D368" s="123">
        <v>4.0</v>
      </c>
      <c r="E368" s="37">
        <v>1.0</v>
      </c>
      <c r="F368" s="40"/>
      <c r="G368" s="40"/>
      <c r="H368" s="40">
        <f t="shared" si="107"/>
        <v>4</v>
      </c>
      <c r="I368" s="40"/>
      <c r="J368" s="64">
        <f t="shared" si="108"/>
        <v>4</v>
      </c>
      <c r="K368" s="46"/>
    </row>
    <row r="369" ht="19.5" customHeight="1">
      <c r="A369" s="46">
        <f t="shared" si="109"/>
        <v>27</v>
      </c>
      <c r="B369" s="37" t="s">
        <v>310</v>
      </c>
      <c r="C369" s="46" t="s">
        <v>106</v>
      </c>
      <c r="D369" s="123">
        <v>20.0</v>
      </c>
      <c r="E369" s="37">
        <v>1.0</v>
      </c>
      <c r="F369" s="40"/>
      <c r="G369" s="40"/>
      <c r="H369" s="40">
        <f t="shared" si="107"/>
        <v>20</v>
      </c>
      <c r="I369" s="40"/>
      <c r="J369" s="64">
        <f t="shared" si="108"/>
        <v>20</v>
      </c>
      <c r="K369" s="46"/>
    </row>
    <row r="370" ht="19.5" customHeight="1">
      <c r="A370" s="46">
        <f t="shared" si="109"/>
        <v>28</v>
      </c>
      <c r="B370" s="37" t="s">
        <v>311</v>
      </c>
      <c r="C370" s="46" t="s">
        <v>106</v>
      </c>
      <c r="D370" s="123">
        <v>20.0</v>
      </c>
      <c r="E370" s="37">
        <v>1.0</v>
      </c>
      <c r="F370" s="40"/>
      <c r="G370" s="40"/>
      <c r="H370" s="40">
        <f t="shared" si="107"/>
        <v>20</v>
      </c>
      <c r="I370" s="40"/>
      <c r="J370" s="64">
        <f t="shared" si="108"/>
        <v>20</v>
      </c>
      <c r="K370" s="46"/>
    </row>
    <row r="371" ht="19.5" customHeight="1">
      <c r="A371" s="46">
        <f t="shared" si="109"/>
        <v>29</v>
      </c>
      <c r="B371" s="37" t="s">
        <v>312</v>
      </c>
      <c r="C371" s="46" t="s">
        <v>106</v>
      </c>
      <c r="D371" s="123">
        <v>20.0</v>
      </c>
      <c r="E371" s="37">
        <v>1.0</v>
      </c>
      <c r="F371" s="40"/>
      <c r="G371" s="40"/>
      <c r="H371" s="40">
        <f t="shared" si="107"/>
        <v>20</v>
      </c>
      <c r="I371" s="40"/>
      <c r="J371" s="64">
        <f t="shared" si="108"/>
        <v>20</v>
      </c>
      <c r="K371" s="46"/>
    </row>
    <row r="372" ht="19.5" customHeight="1">
      <c r="A372" s="46">
        <f t="shared" si="109"/>
        <v>30</v>
      </c>
      <c r="B372" s="37" t="s">
        <v>313</v>
      </c>
      <c r="C372" s="46" t="s">
        <v>106</v>
      </c>
      <c r="D372" s="123">
        <v>20.0</v>
      </c>
      <c r="E372" s="37">
        <v>1.0</v>
      </c>
      <c r="F372" s="40"/>
      <c r="G372" s="40"/>
      <c r="H372" s="40">
        <f t="shared" si="107"/>
        <v>20</v>
      </c>
      <c r="I372" s="40"/>
      <c r="J372" s="64">
        <f t="shared" si="108"/>
        <v>20</v>
      </c>
      <c r="K372" s="46"/>
    </row>
    <row r="373" ht="19.5" customHeight="1">
      <c r="A373" s="46">
        <f t="shared" si="109"/>
        <v>31</v>
      </c>
      <c r="B373" s="37" t="s">
        <v>314</v>
      </c>
      <c r="C373" s="46" t="s">
        <v>106</v>
      </c>
      <c r="D373" s="123">
        <v>10.0</v>
      </c>
      <c r="E373" s="37">
        <v>1.0</v>
      </c>
      <c r="F373" s="40"/>
      <c r="G373" s="40"/>
      <c r="H373" s="40">
        <f t="shared" si="107"/>
        <v>10</v>
      </c>
      <c r="I373" s="40"/>
      <c r="J373" s="64">
        <f t="shared" si="108"/>
        <v>10</v>
      </c>
      <c r="K373" s="46"/>
    </row>
    <row r="374" ht="19.5" customHeight="1">
      <c r="A374" s="46">
        <f t="shared" si="109"/>
        <v>32</v>
      </c>
      <c r="B374" s="37" t="s">
        <v>315</v>
      </c>
      <c r="C374" s="46" t="s">
        <v>106</v>
      </c>
      <c r="D374" s="123">
        <v>4.0</v>
      </c>
      <c r="E374" s="37">
        <v>1.0</v>
      </c>
      <c r="F374" s="40"/>
      <c r="G374" s="40"/>
      <c r="H374" s="40">
        <f t="shared" si="107"/>
        <v>4</v>
      </c>
      <c r="I374" s="40"/>
      <c r="J374" s="64">
        <f t="shared" si="108"/>
        <v>4</v>
      </c>
      <c r="K374" s="46"/>
    </row>
    <row r="375" ht="19.5" customHeight="1">
      <c r="A375" s="46">
        <f t="shared" si="109"/>
        <v>33</v>
      </c>
      <c r="B375" s="37" t="s">
        <v>316</v>
      </c>
      <c r="C375" s="46" t="s">
        <v>106</v>
      </c>
      <c r="D375" s="123">
        <v>6.0</v>
      </c>
      <c r="E375" s="37">
        <v>1.0</v>
      </c>
      <c r="F375" s="40"/>
      <c r="G375" s="40"/>
      <c r="H375" s="40">
        <f t="shared" si="107"/>
        <v>6</v>
      </c>
      <c r="I375" s="40"/>
      <c r="J375" s="64">
        <f t="shared" si="108"/>
        <v>6</v>
      </c>
      <c r="K375" s="46"/>
    </row>
    <row r="376" ht="19.5" customHeight="1">
      <c r="A376" s="46">
        <f t="shared" si="109"/>
        <v>34</v>
      </c>
      <c r="B376" s="37" t="s">
        <v>317</v>
      </c>
      <c r="C376" s="46" t="s">
        <v>106</v>
      </c>
      <c r="D376" s="123">
        <v>3.0</v>
      </c>
      <c r="E376" s="37">
        <v>1.0</v>
      </c>
      <c r="F376" s="40"/>
      <c r="G376" s="40"/>
      <c r="H376" s="40">
        <f t="shared" si="107"/>
        <v>3</v>
      </c>
      <c r="I376" s="40"/>
      <c r="J376" s="64">
        <f t="shared" si="108"/>
        <v>3</v>
      </c>
      <c r="K376" s="46"/>
    </row>
    <row r="377" ht="19.5" customHeight="1">
      <c r="A377" s="46">
        <f t="shared" si="109"/>
        <v>35</v>
      </c>
      <c r="B377" s="37" t="s">
        <v>318</v>
      </c>
      <c r="C377" s="46" t="s">
        <v>106</v>
      </c>
      <c r="D377" s="123">
        <v>1.0</v>
      </c>
      <c r="E377" s="37">
        <v>1.0</v>
      </c>
      <c r="F377" s="40"/>
      <c r="G377" s="40"/>
      <c r="H377" s="40">
        <f t="shared" si="107"/>
        <v>1</v>
      </c>
      <c r="I377" s="40"/>
      <c r="J377" s="64">
        <f t="shared" si="108"/>
        <v>1</v>
      </c>
      <c r="K377" s="46"/>
    </row>
    <row r="378" ht="19.5" customHeight="1">
      <c r="A378" s="46">
        <f t="shared" si="109"/>
        <v>36</v>
      </c>
      <c r="B378" s="37" t="s">
        <v>319</v>
      </c>
      <c r="C378" s="46" t="s">
        <v>106</v>
      </c>
      <c r="D378" s="123">
        <v>30.0</v>
      </c>
      <c r="E378" s="37">
        <v>1.0</v>
      </c>
      <c r="F378" s="40"/>
      <c r="G378" s="40"/>
      <c r="H378" s="40">
        <f t="shared" si="107"/>
        <v>30</v>
      </c>
      <c r="I378" s="40"/>
      <c r="J378" s="64">
        <f t="shared" si="108"/>
        <v>30</v>
      </c>
      <c r="K378" s="46"/>
    </row>
    <row r="379" ht="19.5" customHeight="1">
      <c r="A379" s="46">
        <f t="shared" si="109"/>
        <v>37</v>
      </c>
      <c r="B379" s="37" t="s">
        <v>320</v>
      </c>
      <c r="C379" s="46" t="s">
        <v>106</v>
      </c>
      <c r="D379" s="123">
        <v>6.0</v>
      </c>
      <c r="E379" s="37">
        <v>1.0</v>
      </c>
      <c r="F379" s="40"/>
      <c r="G379" s="40"/>
      <c r="H379" s="40">
        <f t="shared" si="107"/>
        <v>6</v>
      </c>
      <c r="I379" s="40"/>
      <c r="J379" s="64">
        <f t="shared" si="108"/>
        <v>6</v>
      </c>
      <c r="K379" s="46"/>
    </row>
    <row r="380" ht="19.5" customHeight="1">
      <c r="A380" s="46">
        <f t="shared" si="109"/>
        <v>38</v>
      </c>
      <c r="B380" s="37" t="s">
        <v>966</v>
      </c>
      <c r="C380" s="46" t="s">
        <v>106</v>
      </c>
      <c r="D380" s="123">
        <v>13.0</v>
      </c>
      <c r="E380" s="37">
        <v>1.0</v>
      </c>
      <c r="F380" s="40"/>
      <c r="G380" s="40"/>
      <c r="H380" s="40">
        <f t="shared" si="107"/>
        <v>13</v>
      </c>
      <c r="I380" s="40"/>
      <c r="J380" s="64">
        <f t="shared" si="108"/>
        <v>13</v>
      </c>
      <c r="K380" s="46"/>
    </row>
    <row r="381" ht="19.5" customHeight="1">
      <c r="A381" s="46">
        <f t="shared" si="109"/>
        <v>39</v>
      </c>
      <c r="B381" s="37" t="s">
        <v>321</v>
      </c>
      <c r="C381" s="46" t="s">
        <v>106</v>
      </c>
      <c r="D381" s="123">
        <v>6.0</v>
      </c>
      <c r="E381" s="37">
        <v>1.0</v>
      </c>
      <c r="F381" s="40"/>
      <c r="G381" s="40"/>
      <c r="H381" s="40">
        <f t="shared" si="107"/>
        <v>6</v>
      </c>
      <c r="I381" s="40"/>
      <c r="J381" s="64">
        <f t="shared" si="108"/>
        <v>6</v>
      </c>
      <c r="K381" s="46"/>
    </row>
    <row r="382" ht="19.5" customHeight="1">
      <c r="A382" s="46">
        <f t="shared" si="109"/>
        <v>40</v>
      </c>
      <c r="B382" s="37" t="s">
        <v>322</v>
      </c>
      <c r="C382" s="46" t="s">
        <v>106</v>
      </c>
      <c r="D382" s="123">
        <v>6.0</v>
      </c>
      <c r="E382" s="37">
        <v>1.0</v>
      </c>
      <c r="F382" s="40"/>
      <c r="G382" s="40"/>
      <c r="H382" s="40">
        <f t="shared" si="107"/>
        <v>6</v>
      </c>
      <c r="I382" s="40"/>
      <c r="J382" s="64">
        <f t="shared" si="108"/>
        <v>6</v>
      </c>
      <c r="K382" s="46"/>
    </row>
    <row r="383" ht="19.5" customHeight="1">
      <c r="A383" s="46">
        <f t="shared" si="109"/>
        <v>41</v>
      </c>
      <c r="B383" s="37" t="s">
        <v>323</v>
      </c>
      <c r="C383" s="46" t="s">
        <v>108</v>
      </c>
      <c r="D383" s="123">
        <v>400.0</v>
      </c>
      <c r="E383" s="37">
        <v>1.0</v>
      </c>
      <c r="F383" s="40"/>
      <c r="G383" s="40"/>
      <c r="H383" s="40">
        <f t="shared" si="107"/>
        <v>400</v>
      </c>
      <c r="I383" s="40"/>
      <c r="J383" s="64">
        <f t="shared" si="108"/>
        <v>400</v>
      </c>
      <c r="K383" s="46"/>
    </row>
    <row r="384" ht="19.5" customHeight="1">
      <c r="A384" s="46">
        <f t="shared" si="109"/>
        <v>42</v>
      </c>
      <c r="B384" s="37" t="s">
        <v>324</v>
      </c>
      <c r="C384" s="46" t="s">
        <v>325</v>
      </c>
      <c r="D384" s="123">
        <v>40.0</v>
      </c>
      <c r="E384" s="37">
        <v>1.0</v>
      </c>
      <c r="F384" s="40"/>
      <c r="G384" s="40"/>
      <c r="H384" s="40">
        <f t="shared" si="107"/>
        <v>40</v>
      </c>
      <c r="I384" s="40"/>
      <c r="J384" s="64">
        <f t="shared" si="108"/>
        <v>40</v>
      </c>
      <c r="K384" s="46"/>
    </row>
    <row r="385" ht="19.5" customHeight="1">
      <c r="A385" s="12"/>
      <c r="C385" s="12"/>
      <c r="D385" s="87"/>
      <c r="F385" s="14"/>
      <c r="G385" s="14"/>
      <c r="H385" s="14"/>
      <c r="I385" s="14"/>
      <c r="J385" s="14"/>
      <c r="K385" s="12"/>
    </row>
    <row r="386" ht="19.5" customHeight="1">
      <c r="A386" s="74" t="s">
        <v>1</v>
      </c>
      <c r="B386" s="74" t="s">
        <v>91</v>
      </c>
      <c r="C386" s="74" t="s">
        <v>92</v>
      </c>
      <c r="D386" s="76" t="s">
        <v>93</v>
      </c>
      <c r="E386" s="50" t="s">
        <v>161</v>
      </c>
      <c r="F386" s="53" t="s">
        <v>121</v>
      </c>
      <c r="G386" s="53" t="s">
        <v>99</v>
      </c>
      <c r="H386" s="53" t="s">
        <v>100</v>
      </c>
      <c r="I386" s="53" t="s">
        <v>101</v>
      </c>
      <c r="J386" s="76" t="s">
        <v>95</v>
      </c>
      <c r="K386" s="74" t="s">
        <v>96</v>
      </c>
    </row>
    <row r="387" ht="19.5" customHeight="1">
      <c r="A387" s="46">
        <v>1.0</v>
      </c>
      <c r="B387" s="37" t="s">
        <v>326</v>
      </c>
      <c r="C387" s="46" t="s">
        <v>106</v>
      </c>
      <c r="D387" s="78">
        <v>6.0</v>
      </c>
      <c r="E387" s="37">
        <v>1.0</v>
      </c>
      <c r="F387" s="78"/>
      <c r="G387" s="40"/>
      <c r="H387" s="40">
        <f t="shared" ref="H387:H395" si="110">E387*D387</f>
        <v>6</v>
      </c>
      <c r="I387" s="42"/>
      <c r="J387" s="43">
        <f t="shared" ref="J387:J395" si="111">H387</f>
        <v>6</v>
      </c>
      <c r="K387" s="46"/>
    </row>
    <row r="388" ht="19.5" customHeight="1">
      <c r="A388" s="46">
        <v>2.0</v>
      </c>
      <c r="B388" s="37" t="s">
        <v>327</v>
      </c>
      <c r="C388" s="46" t="s">
        <v>106</v>
      </c>
      <c r="D388" s="123">
        <v>6.0</v>
      </c>
      <c r="E388" s="37">
        <v>1.0</v>
      </c>
      <c r="F388" s="40"/>
      <c r="G388" s="40"/>
      <c r="H388" s="40">
        <f t="shared" si="110"/>
        <v>6</v>
      </c>
      <c r="I388" s="40"/>
      <c r="J388" s="43">
        <f t="shared" si="111"/>
        <v>6</v>
      </c>
      <c r="K388" s="46"/>
    </row>
    <row r="389" ht="19.5" customHeight="1">
      <c r="A389" s="46">
        <v>3.0</v>
      </c>
      <c r="B389" s="37" t="s">
        <v>379</v>
      </c>
      <c r="C389" s="46" t="s">
        <v>106</v>
      </c>
      <c r="D389" s="123">
        <v>6.0</v>
      </c>
      <c r="E389" s="37">
        <v>1.0</v>
      </c>
      <c r="F389" s="40"/>
      <c r="G389" s="40"/>
      <c r="H389" s="40">
        <f t="shared" si="110"/>
        <v>6</v>
      </c>
      <c r="I389" s="40"/>
      <c r="J389" s="43">
        <f t="shared" si="111"/>
        <v>6</v>
      </c>
      <c r="K389" s="46"/>
    </row>
    <row r="390" ht="19.5" customHeight="1">
      <c r="A390" s="46">
        <v>4.0</v>
      </c>
      <c r="B390" s="37" t="s">
        <v>330</v>
      </c>
      <c r="C390" s="46" t="s">
        <v>103</v>
      </c>
      <c r="D390" s="123">
        <v>6.0</v>
      </c>
      <c r="E390" s="37">
        <v>1.0</v>
      </c>
      <c r="F390" s="40"/>
      <c r="G390" s="40"/>
      <c r="H390" s="40">
        <f t="shared" si="110"/>
        <v>6</v>
      </c>
      <c r="I390" s="40"/>
      <c r="J390" s="43">
        <f t="shared" si="111"/>
        <v>6</v>
      </c>
      <c r="K390" s="46"/>
    </row>
    <row r="391" ht="19.5" customHeight="1">
      <c r="A391" s="46">
        <v>5.0</v>
      </c>
      <c r="B391" s="37" t="s">
        <v>967</v>
      </c>
      <c r="C391" s="46" t="s">
        <v>108</v>
      </c>
      <c r="D391" s="123">
        <v>15.0</v>
      </c>
      <c r="E391" s="37">
        <v>1.0</v>
      </c>
      <c r="F391" s="40"/>
      <c r="G391" s="40"/>
      <c r="H391" s="40">
        <f t="shared" si="110"/>
        <v>15</v>
      </c>
      <c r="I391" s="40"/>
      <c r="J391" s="43">
        <f t="shared" si="111"/>
        <v>15</v>
      </c>
      <c r="K391" s="46"/>
    </row>
    <row r="392" ht="19.5" customHeight="1">
      <c r="A392" s="46">
        <v>6.0</v>
      </c>
      <c r="B392" s="37" t="s">
        <v>968</v>
      </c>
      <c r="C392" s="46" t="s">
        <v>106</v>
      </c>
      <c r="D392" s="123">
        <v>1.0</v>
      </c>
      <c r="E392" s="37">
        <v>1.0</v>
      </c>
      <c r="F392" s="40"/>
      <c r="G392" s="40"/>
      <c r="H392" s="40">
        <f t="shared" si="110"/>
        <v>1</v>
      </c>
      <c r="I392" s="40"/>
      <c r="J392" s="43">
        <f t="shared" si="111"/>
        <v>1</v>
      </c>
      <c r="K392" s="46"/>
    </row>
    <row r="393" ht="19.5" customHeight="1">
      <c r="A393" s="46">
        <v>7.0</v>
      </c>
      <c r="B393" s="37" t="s">
        <v>969</v>
      </c>
      <c r="C393" s="46" t="s">
        <v>106</v>
      </c>
      <c r="D393" s="123">
        <v>8.0</v>
      </c>
      <c r="E393" s="37">
        <v>1.0</v>
      </c>
      <c r="F393" s="40"/>
      <c r="G393" s="40"/>
      <c r="H393" s="40">
        <f t="shared" si="110"/>
        <v>8</v>
      </c>
      <c r="I393" s="40"/>
      <c r="J393" s="43">
        <f t="shared" si="111"/>
        <v>8</v>
      </c>
      <c r="K393" s="46"/>
    </row>
    <row r="394" ht="19.5" customHeight="1">
      <c r="A394" s="46">
        <v>8.0</v>
      </c>
      <c r="B394" s="37" t="s">
        <v>970</v>
      </c>
      <c r="C394" s="46" t="s">
        <v>106</v>
      </c>
      <c r="D394" s="123">
        <v>1.0</v>
      </c>
      <c r="E394" s="37">
        <v>1.0</v>
      </c>
      <c r="F394" s="40"/>
      <c r="G394" s="40"/>
      <c r="H394" s="40">
        <f t="shared" si="110"/>
        <v>1</v>
      </c>
      <c r="I394" s="40"/>
      <c r="J394" s="43">
        <f t="shared" si="111"/>
        <v>1</v>
      </c>
      <c r="K394" s="46"/>
    </row>
    <row r="395" ht="19.5" customHeight="1">
      <c r="A395" s="46">
        <v>9.0</v>
      </c>
      <c r="B395" s="37" t="s">
        <v>971</v>
      </c>
      <c r="C395" s="46" t="s">
        <v>106</v>
      </c>
      <c r="D395" s="123">
        <v>30.0</v>
      </c>
      <c r="E395" s="37">
        <v>1.0</v>
      </c>
      <c r="F395" s="40"/>
      <c r="G395" s="40"/>
      <c r="H395" s="40">
        <f t="shared" si="110"/>
        <v>30</v>
      </c>
      <c r="I395" s="40"/>
      <c r="J395" s="43">
        <f t="shared" si="111"/>
        <v>30</v>
      </c>
      <c r="K395" s="12"/>
    </row>
    <row r="396" ht="19.5" customHeight="1">
      <c r="A396" s="12"/>
      <c r="C396" s="12"/>
      <c r="D396" s="87"/>
      <c r="F396" s="14"/>
      <c r="G396" s="14"/>
      <c r="H396" s="14"/>
      <c r="I396" s="14"/>
      <c r="J396" s="14"/>
      <c r="K396" s="12"/>
    </row>
    <row r="397" ht="19.5" customHeight="1">
      <c r="A397" s="12"/>
      <c r="C397" s="12"/>
      <c r="D397" s="87"/>
      <c r="F397" s="14"/>
      <c r="G397" s="14"/>
      <c r="H397" s="14"/>
      <c r="I397" s="14"/>
      <c r="J397" s="14"/>
      <c r="K397" s="12"/>
    </row>
    <row r="398" ht="19.5" customHeight="1"/>
    <row r="399" ht="19.5" customHeight="1"/>
    <row r="400" ht="19.5" customHeight="1"/>
    <row r="401" ht="19.5" customHeight="1"/>
    <row r="402" ht="19.5" customHeight="1">
      <c r="A402" s="12"/>
      <c r="C402" s="12"/>
      <c r="D402" s="87"/>
      <c r="F402" s="14"/>
      <c r="G402" s="14"/>
      <c r="H402" s="14"/>
      <c r="I402" s="14"/>
      <c r="J402" s="14"/>
      <c r="K402" s="12"/>
    </row>
    <row r="403" ht="19.5" customHeight="1">
      <c r="A403" s="12"/>
      <c r="C403" s="12"/>
      <c r="D403" s="87"/>
      <c r="F403" s="14"/>
      <c r="G403" s="14"/>
      <c r="H403" s="14"/>
      <c r="I403" s="14"/>
      <c r="J403" s="14"/>
      <c r="K403" s="12"/>
    </row>
    <row r="404" ht="19.5" customHeight="1">
      <c r="A404" s="12"/>
      <c r="C404" s="12"/>
      <c r="D404" s="87"/>
      <c r="F404" s="14"/>
      <c r="G404" s="14"/>
      <c r="H404" s="14"/>
      <c r="I404" s="14"/>
      <c r="J404" s="14"/>
      <c r="K404" s="12"/>
    </row>
    <row r="405" ht="19.5" customHeight="1">
      <c r="A405" s="12"/>
      <c r="C405" s="12"/>
      <c r="D405" s="87"/>
      <c r="F405" s="14"/>
      <c r="G405" s="14"/>
      <c r="H405" s="14"/>
      <c r="I405" s="14"/>
      <c r="J405" s="14"/>
      <c r="K405" s="12"/>
    </row>
    <row r="406" ht="19.5" customHeight="1">
      <c r="A406" s="12"/>
      <c r="C406" s="12"/>
      <c r="D406" s="87"/>
      <c r="F406" s="14"/>
      <c r="G406" s="14"/>
      <c r="H406" s="14"/>
      <c r="I406" s="14"/>
      <c r="J406" s="14"/>
      <c r="K406" s="12"/>
    </row>
    <row r="407" ht="19.5" customHeight="1">
      <c r="A407" s="12"/>
      <c r="C407" s="12"/>
      <c r="D407" s="87"/>
      <c r="F407" s="14"/>
      <c r="G407" s="14"/>
      <c r="H407" s="14"/>
      <c r="I407" s="14"/>
      <c r="J407" s="14"/>
      <c r="K407" s="12"/>
    </row>
    <row r="408" ht="19.5" customHeight="1">
      <c r="A408" s="12"/>
      <c r="C408" s="12"/>
      <c r="D408" s="87"/>
      <c r="F408" s="14"/>
      <c r="G408" s="14"/>
      <c r="H408" s="14"/>
      <c r="I408" s="14"/>
      <c r="J408" s="14"/>
      <c r="K408" s="12"/>
    </row>
    <row r="409" ht="19.5" customHeight="1">
      <c r="A409" s="12"/>
      <c r="C409" s="12"/>
      <c r="D409" s="87"/>
      <c r="F409" s="14"/>
      <c r="G409" s="14"/>
      <c r="H409" s="14"/>
      <c r="I409" s="14"/>
      <c r="J409" s="14"/>
      <c r="K409" s="12"/>
    </row>
    <row r="410" ht="19.5" customHeight="1">
      <c r="A410" s="12"/>
      <c r="C410" s="12"/>
      <c r="D410" s="87"/>
      <c r="F410" s="14"/>
      <c r="G410" s="14"/>
      <c r="H410" s="14"/>
      <c r="I410" s="14"/>
      <c r="J410" s="14"/>
      <c r="K410" s="12"/>
    </row>
    <row r="411" ht="19.5" customHeight="1">
      <c r="A411" s="12"/>
      <c r="C411" s="12"/>
      <c r="D411" s="87"/>
      <c r="F411" s="14"/>
      <c r="G411" s="14"/>
      <c r="H411" s="14"/>
      <c r="I411" s="14"/>
      <c r="J411" s="14"/>
      <c r="K411" s="12"/>
    </row>
    <row r="412" ht="19.5" customHeight="1">
      <c r="A412" s="12"/>
      <c r="C412" s="12"/>
      <c r="D412" s="87"/>
      <c r="F412" s="14"/>
      <c r="G412" s="14"/>
      <c r="H412" s="14"/>
      <c r="I412" s="14"/>
      <c r="J412" s="14"/>
      <c r="K412" s="12"/>
    </row>
    <row r="413" ht="19.5" customHeight="1">
      <c r="A413" s="12"/>
      <c r="C413" s="12"/>
      <c r="D413" s="87"/>
      <c r="F413" s="14"/>
      <c r="G413" s="14"/>
      <c r="H413" s="14"/>
      <c r="I413" s="14"/>
      <c r="J413" s="14"/>
      <c r="K413" s="12"/>
    </row>
    <row r="414" ht="19.5" customHeight="1">
      <c r="A414" s="12"/>
      <c r="C414" s="12"/>
      <c r="D414" s="87"/>
      <c r="F414" s="14"/>
      <c r="G414" s="14"/>
      <c r="H414" s="14"/>
      <c r="I414" s="14"/>
      <c r="J414" s="14"/>
      <c r="K414" s="12"/>
    </row>
    <row r="415" ht="19.5" customHeight="1">
      <c r="A415" s="12"/>
      <c r="C415" s="12"/>
      <c r="D415" s="87"/>
      <c r="F415" s="14"/>
      <c r="G415" s="14"/>
      <c r="H415" s="14"/>
      <c r="I415" s="14"/>
      <c r="J415" s="14"/>
      <c r="K415" s="12"/>
    </row>
    <row r="416" ht="19.5" customHeight="1">
      <c r="A416" s="12"/>
      <c r="C416" s="12"/>
      <c r="D416" s="87"/>
      <c r="F416" s="14"/>
      <c r="G416" s="14"/>
      <c r="H416" s="14"/>
      <c r="I416" s="14"/>
      <c r="J416" s="14"/>
      <c r="K416" s="12"/>
    </row>
    <row r="417" ht="19.5" customHeight="1">
      <c r="A417" s="12"/>
      <c r="C417" s="12"/>
      <c r="D417" s="87"/>
      <c r="F417" s="14"/>
      <c r="G417" s="14"/>
      <c r="H417" s="14"/>
      <c r="I417" s="14"/>
      <c r="J417" s="14"/>
      <c r="K417" s="12"/>
    </row>
    <row r="418" ht="19.5" customHeight="1">
      <c r="A418" s="12"/>
      <c r="C418" s="12"/>
      <c r="D418" s="87"/>
      <c r="F418" s="14"/>
      <c r="G418" s="14"/>
      <c r="H418" s="14"/>
      <c r="I418" s="14"/>
      <c r="J418" s="14"/>
      <c r="K418" s="12"/>
    </row>
    <row r="419" ht="19.5" customHeight="1">
      <c r="A419" s="12"/>
      <c r="C419" s="12"/>
      <c r="D419" s="87"/>
      <c r="F419" s="14"/>
      <c r="G419" s="14"/>
      <c r="H419" s="14"/>
      <c r="I419" s="14"/>
      <c r="J419" s="14"/>
      <c r="K419" s="12"/>
    </row>
    <row r="420" ht="19.5" customHeight="1">
      <c r="A420" s="12"/>
      <c r="C420" s="12"/>
      <c r="D420" s="87"/>
      <c r="F420" s="14"/>
      <c r="G420" s="14"/>
      <c r="H420" s="14"/>
      <c r="I420" s="14"/>
      <c r="J420" s="14"/>
      <c r="K420" s="12"/>
    </row>
    <row r="421" ht="19.5" customHeight="1">
      <c r="A421" s="12"/>
      <c r="C421" s="12"/>
      <c r="D421" s="87"/>
      <c r="F421" s="14"/>
      <c r="G421" s="14"/>
      <c r="H421" s="14"/>
      <c r="I421" s="14"/>
      <c r="J421" s="14"/>
      <c r="K421" s="12"/>
    </row>
    <row r="422" ht="19.5" customHeight="1">
      <c r="A422" s="12"/>
      <c r="C422" s="12"/>
      <c r="D422" s="87"/>
      <c r="F422" s="14"/>
      <c r="G422" s="14"/>
      <c r="H422" s="14"/>
      <c r="I422" s="14"/>
      <c r="J422" s="14"/>
      <c r="K422" s="12"/>
    </row>
    <row r="423" ht="19.5" customHeight="1">
      <c r="A423" s="12"/>
      <c r="C423" s="12"/>
      <c r="D423" s="87"/>
      <c r="F423" s="14"/>
      <c r="G423" s="14"/>
      <c r="H423" s="14"/>
      <c r="I423" s="14"/>
      <c r="J423" s="14"/>
      <c r="K423" s="12"/>
    </row>
    <row r="424" ht="19.5" customHeight="1">
      <c r="A424" s="12"/>
      <c r="C424" s="12"/>
      <c r="D424" s="87"/>
      <c r="F424" s="14"/>
      <c r="G424" s="14"/>
      <c r="H424" s="14"/>
      <c r="I424" s="14"/>
      <c r="J424" s="14"/>
      <c r="K424" s="12"/>
    </row>
    <row r="425" ht="19.5" customHeight="1">
      <c r="A425" s="12"/>
      <c r="C425" s="12"/>
      <c r="D425" s="87"/>
      <c r="F425" s="14"/>
      <c r="G425" s="14"/>
      <c r="H425" s="14"/>
      <c r="I425" s="14"/>
      <c r="J425" s="14"/>
      <c r="K425" s="12"/>
    </row>
    <row r="426" ht="19.5" customHeight="1">
      <c r="A426" s="12"/>
      <c r="C426" s="12"/>
      <c r="D426" s="87"/>
      <c r="F426" s="14"/>
      <c r="G426" s="14"/>
      <c r="H426" s="14"/>
      <c r="I426" s="14"/>
      <c r="J426" s="14"/>
      <c r="K426" s="12"/>
    </row>
    <row r="427" ht="19.5" customHeight="1">
      <c r="A427" s="12"/>
      <c r="C427" s="12"/>
      <c r="D427" s="87"/>
      <c r="F427" s="14"/>
      <c r="G427" s="14"/>
      <c r="H427" s="14"/>
      <c r="I427" s="14"/>
      <c r="J427" s="14"/>
      <c r="K427" s="12"/>
    </row>
    <row r="428" ht="19.5" customHeight="1">
      <c r="A428" s="12"/>
      <c r="C428" s="12"/>
      <c r="D428" s="87"/>
      <c r="F428" s="14"/>
      <c r="G428" s="14"/>
      <c r="H428" s="14"/>
      <c r="I428" s="14"/>
      <c r="J428" s="14"/>
      <c r="K428" s="12"/>
    </row>
    <row r="429" ht="19.5" customHeight="1">
      <c r="A429" s="12"/>
      <c r="C429" s="12"/>
      <c r="D429" s="87"/>
      <c r="F429" s="14"/>
      <c r="G429" s="14"/>
      <c r="H429" s="14"/>
      <c r="I429" s="14"/>
      <c r="J429" s="14"/>
      <c r="K429" s="12"/>
    </row>
    <row r="430" ht="19.5" customHeight="1">
      <c r="A430" s="12"/>
      <c r="C430" s="12"/>
      <c r="D430" s="87"/>
      <c r="F430" s="14"/>
      <c r="G430" s="14"/>
      <c r="H430" s="14"/>
      <c r="I430" s="14"/>
      <c r="J430" s="14"/>
      <c r="K430" s="12"/>
    </row>
    <row r="431" ht="19.5" customHeight="1">
      <c r="A431" s="12"/>
      <c r="C431" s="12"/>
      <c r="D431" s="87"/>
      <c r="F431" s="14"/>
      <c r="G431" s="14"/>
      <c r="H431" s="14"/>
      <c r="I431" s="14"/>
      <c r="J431" s="14"/>
      <c r="K431" s="12"/>
    </row>
    <row r="432" ht="19.5" customHeight="1">
      <c r="A432" s="12"/>
      <c r="C432" s="12"/>
      <c r="D432" s="87"/>
      <c r="F432" s="14"/>
      <c r="G432" s="14"/>
      <c r="H432" s="14"/>
      <c r="I432" s="14"/>
      <c r="J432" s="14"/>
      <c r="K432" s="12"/>
    </row>
    <row r="433" ht="19.5" customHeight="1">
      <c r="A433" s="12"/>
      <c r="C433" s="12"/>
      <c r="D433" s="87"/>
      <c r="F433" s="14"/>
      <c r="G433" s="14"/>
      <c r="H433" s="14"/>
      <c r="I433" s="14"/>
      <c r="J433" s="14"/>
      <c r="K433" s="12"/>
    </row>
    <row r="434" ht="19.5" customHeight="1">
      <c r="A434" s="12"/>
      <c r="C434" s="12"/>
      <c r="D434" s="87"/>
      <c r="F434" s="14"/>
      <c r="G434" s="14"/>
      <c r="H434" s="14"/>
      <c r="I434" s="14"/>
      <c r="J434" s="14"/>
      <c r="K434" s="12"/>
    </row>
    <row r="435" ht="19.5" customHeight="1">
      <c r="A435" s="12"/>
      <c r="C435" s="12"/>
      <c r="D435" s="87"/>
      <c r="F435" s="14"/>
      <c r="G435" s="14"/>
      <c r="H435" s="14"/>
      <c r="I435" s="14"/>
      <c r="J435" s="14"/>
      <c r="K435" s="12"/>
    </row>
    <row r="436" ht="19.5" customHeight="1">
      <c r="A436" s="12"/>
      <c r="C436" s="12"/>
      <c r="D436" s="87"/>
      <c r="F436" s="14"/>
      <c r="G436" s="14"/>
      <c r="H436" s="14"/>
      <c r="I436" s="14"/>
      <c r="J436" s="14"/>
      <c r="K436" s="12"/>
    </row>
    <row r="437" ht="19.5" customHeight="1">
      <c r="A437" s="12"/>
      <c r="C437" s="12"/>
      <c r="D437" s="87"/>
      <c r="F437" s="14"/>
      <c r="G437" s="14"/>
      <c r="H437" s="14"/>
      <c r="I437" s="14"/>
      <c r="J437" s="14"/>
      <c r="K437" s="12"/>
    </row>
    <row r="438" ht="19.5" customHeight="1">
      <c r="A438" s="12"/>
      <c r="C438" s="12"/>
      <c r="D438" s="87"/>
      <c r="F438" s="14"/>
      <c r="G438" s="14"/>
      <c r="H438" s="14"/>
      <c r="I438" s="14"/>
      <c r="J438" s="14"/>
      <c r="K438" s="12"/>
    </row>
    <row r="439" ht="19.5" customHeight="1">
      <c r="A439" s="12"/>
      <c r="C439" s="12"/>
      <c r="D439" s="87"/>
      <c r="F439" s="14"/>
      <c r="G439" s="14"/>
      <c r="H439" s="14"/>
      <c r="I439" s="14"/>
      <c r="J439" s="14"/>
      <c r="K439" s="12"/>
    </row>
    <row r="440" ht="19.5" customHeight="1">
      <c r="A440" s="12"/>
      <c r="C440" s="12"/>
      <c r="D440" s="87"/>
      <c r="F440" s="14"/>
      <c r="G440" s="14"/>
      <c r="H440" s="14"/>
      <c r="I440" s="14"/>
      <c r="J440" s="14"/>
      <c r="K440" s="12"/>
    </row>
    <row r="441" ht="19.5" customHeight="1">
      <c r="A441" s="12"/>
      <c r="C441" s="12"/>
      <c r="D441" s="87"/>
      <c r="F441" s="14"/>
      <c r="G441" s="14"/>
      <c r="H441" s="14"/>
      <c r="I441" s="14"/>
      <c r="J441" s="14"/>
      <c r="K441" s="12"/>
    </row>
    <row r="442" ht="19.5" customHeight="1">
      <c r="A442" s="12"/>
      <c r="C442" s="12"/>
      <c r="D442" s="87"/>
      <c r="F442" s="14"/>
      <c r="G442" s="14"/>
      <c r="H442" s="14"/>
      <c r="I442" s="14"/>
      <c r="J442" s="14"/>
      <c r="K442" s="12"/>
    </row>
    <row r="443" ht="19.5" customHeight="1">
      <c r="A443" s="12"/>
      <c r="C443" s="12"/>
      <c r="D443" s="87"/>
      <c r="F443" s="14"/>
      <c r="G443" s="14"/>
      <c r="H443" s="14"/>
      <c r="I443" s="14"/>
      <c r="J443" s="14"/>
      <c r="K443" s="12"/>
    </row>
    <row r="444" ht="19.5" customHeight="1">
      <c r="A444" s="12"/>
      <c r="C444" s="12"/>
      <c r="D444" s="87"/>
      <c r="F444" s="14"/>
      <c r="G444" s="14"/>
      <c r="H444" s="14"/>
      <c r="I444" s="14"/>
      <c r="J444" s="14"/>
      <c r="K444" s="12"/>
    </row>
    <row r="445" ht="19.5" customHeight="1">
      <c r="A445" s="12"/>
      <c r="C445" s="12"/>
      <c r="D445" s="87"/>
      <c r="F445" s="14"/>
      <c r="G445" s="14"/>
      <c r="H445" s="14"/>
      <c r="I445" s="14"/>
      <c r="J445" s="14"/>
      <c r="K445" s="12"/>
    </row>
    <row r="446" ht="19.5" customHeight="1">
      <c r="A446" s="12"/>
      <c r="C446" s="12"/>
      <c r="D446" s="87"/>
      <c r="F446" s="14"/>
      <c r="G446" s="14"/>
      <c r="H446" s="14"/>
      <c r="I446" s="14"/>
      <c r="J446" s="14"/>
      <c r="K446" s="12"/>
    </row>
    <row r="447" ht="19.5" customHeight="1">
      <c r="A447" s="12"/>
      <c r="C447" s="12"/>
      <c r="D447" s="87"/>
      <c r="F447" s="14"/>
      <c r="G447" s="14"/>
      <c r="H447" s="14"/>
      <c r="I447" s="14"/>
      <c r="J447" s="14"/>
      <c r="K447" s="12"/>
    </row>
    <row r="448" ht="19.5" customHeight="1">
      <c r="A448" s="12"/>
      <c r="C448" s="12"/>
      <c r="D448" s="87"/>
      <c r="F448" s="14"/>
      <c r="G448" s="14"/>
      <c r="H448" s="14"/>
      <c r="I448" s="14"/>
      <c r="J448" s="14"/>
      <c r="K448" s="12"/>
    </row>
    <row r="449" ht="19.5" customHeight="1">
      <c r="A449" s="12"/>
      <c r="C449" s="12"/>
      <c r="D449" s="87"/>
      <c r="F449" s="14"/>
      <c r="G449" s="14"/>
      <c r="H449" s="14"/>
      <c r="I449" s="14"/>
      <c r="J449" s="14"/>
      <c r="K449" s="12"/>
    </row>
    <row r="450" ht="19.5" customHeight="1">
      <c r="A450" s="12"/>
      <c r="C450" s="12"/>
      <c r="D450" s="87"/>
      <c r="F450" s="14"/>
      <c r="G450" s="14"/>
      <c r="H450" s="14"/>
      <c r="I450" s="14"/>
      <c r="J450" s="14"/>
      <c r="K450" s="12"/>
    </row>
    <row r="451" ht="19.5" customHeight="1">
      <c r="A451" s="12"/>
      <c r="C451" s="12"/>
      <c r="D451" s="87"/>
      <c r="F451" s="14"/>
      <c r="G451" s="14"/>
      <c r="H451" s="14"/>
      <c r="I451" s="14"/>
      <c r="J451" s="14"/>
      <c r="K451" s="12"/>
    </row>
    <row r="452" ht="19.5" customHeight="1">
      <c r="A452" s="12"/>
      <c r="C452" s="12"/>
      <c r="D452" s="87"/>
      <c r="F452" s="14"/>
      <c r="G452" s="14"/>
      <c r="H452" s="14"/>
      <c r="I452" s="14"/>
      <c r="J452" s="14"/>
      <c r="K452" s="12"/>
    </row>
    <row r="453" ht="19.5" customHeight="1">
      <c r="A453" s="12"/>
      <c r="C453" s="12"/>
      <c r="D453" s="87"/>
      <c r="F453" s="14"/>
      <c r="G453" s="14"/>
      <c r="H453" s="14"/>
      <c r="I453" s="14"/>
      <c r="J453" s="14"/>
      <c r="K453" s="12"/>
    </row>
    <row r="454" ht="19.5" customHeight="1">
      <c r="A454" s="12"/>
      <c r="C454" s="12"/>
      <c r="D454" s="87"/>
      <c r="F454" s="14"/>
      <c r="G454" s="14"/>
      <c r="H454" s="14"/>
      <c r="I454" s="14"/>
      <c r="J454" s="14"/>
      <c r="K454" s="12"/>
    </row>
    <row r="455" ht="19.5" customHeight="1">
      <c r="A455" s="12"/>
      <c r="C455" s="12"/>
      <c r="D455" s="87"/>
      <c r="F455" s="14"/>
      <c r="G455" s="14"/>
      <c r="H455" s="14"/>
      <c r="I455" s="14"/>
      <c r="J455" s="14"/>
      <c r="K455" s="12"/>
    </row>
    <row r="456" ht="19.5" customHeight="1">
      <c r="A456" s="12"/>
      <c r="C456" s="12"/>
      <c r="D456" s="87"/>
      <c r="F456" s="14"/>
      <c r="G456" s="14"/>
      <c r="H456" s="14"/>
      <c r="I456" s="14"/>
      <c r="J456" s="14"/>
      <c r="K456" s="12"/>
    </row>
    <row r="457" ht="19.5" customHeight="1">
      <c r="A457" s="12"/>
      <c r="C457" s="12"/>
      <c r="D457" s="87"/>
      <c r="F457" s="14"/>
      <c r="G457" s="14"/>
      <c r="H457" s="14"/>
      <c r="I457" s="14"/>
      <c r="J457" s="14"/>
      <c r="K457" s="12"/>
    </row>
    <row r="458" ht="19.5" customHeight="1">
      <c r="A458" s="12"/>
      <c r="C458" s="12"/>
      <c r="D458" s="87"/>
      <c r="F458" s="14"/>
      <c r="G458" s="14"/>
      <c r="H458" s="14"/>
      <c r="I458" s="14"/>
      <c r="J458" s="14"/>
      <c r="K458" s="12"/>
    </row>
    <row r="459" ht="19.5" customHeight="1">
      <c r="A459" s="12"/>
      <c r="C459" s="12"/>
      <c r="D459" s="87"/>
      <c r="F459" s="14"/>
      <c r="G459" s="14"/>
      <c r="H459" s="14"/>
      <c r="I459" s="14"/>
      <c r="J459" s="14"/>
      <c r="K459" s="12"/>
    </row>
    <row r="460" ht="19.5" customHeight="1">
      <c r="A460" s="12"/>
      <c r="C460" s="12"/>
      <c r="D460" s="87"/>
      <c r="F460" s="14"/>
      <c r="G460" s="14"/>
      <c r="H460" s="14"/>
      <c r="I460" s="14"/>
      <c r="J460" s="14"/>
      <c r="K460" s="12"/>
    </row>
    <row r="461" ht="19.5" customHeight="1">
      <c r="A461" s="12"/>
      <c r="C461" s="12"/>
      <c r="D461" s="87"/>
      <c r="F461" s="14"/>
      <c r="G461" s="14"/>
      <c r="H461" s="14"/>
      <c r="I461" s="14"/>
      <c r="J461" s="14"/>
      <c r="K461" s="12"/>
    </row>
    <row r="462" ht="19.5" customHeight="1">
      <c r="A462" s="12"/>
      <c r="C462" s="12"/>
      <c r="D462" s="87"/>
      <c r="F462" s="14"/>
      <c r="G462" s="14"/>
      <c r="H462" s="14"/>
      <c r="I462" s="14"/>
      <c r="J462" s="14"/>
      <c r="K462" s="12"/>
    </row>
    <row r="463" ht="19.5" customHeight="1">
      <c r="A463" s="12"/>
      <c r="C463" s="12"/>
      <c r="D463" s="87"/>
      <c r="F463" s="14"/>
      <c r="G463" s="14"/>
      <c r="H463" s="14"/>
      <c r="I463" s="14"/>
      <c r="J463" s="14"/>
      <c r="K463" s="12"/>
    </row>
    <row r="464" ht="19.5" customHeight="1">
      <c r="A464" s="12"/>
      <c r="C464" s="12"/>
      <c r="D464" s="87"/>
      <c r="F464" s="14"/>
      <c r="G464" s="14"/>
      <c r="H464" s="14"/>
      <c r="I464" s="14"/>
      <c r="J464" s="14"/>
      <c r="K464" s="12"/>
    </row>
    <row r="465" ht="19.5" customHeight="1">
      <c r="A465" s="12"/>
      <c r="C465" s="12"/>
      <c r="D465" s="87"/>
      <c r="F465" s="14"/>
      <c r="G465" s="14"/>
      <c r="H465" s="14"/>
      <c r="I465" s="14"/>
      <c r="J465" s="14"/>
      <c r="K465" s="12"/>
    </row>
    <row r="466" ht="19.5" customHeight="1">
      <c r="A466" s="12"/>
      <c r="C466" s="12"/>
      <c r="D466" s="87"/>
      <c r="F466" s="14"/>
      <c r="G466" s="14"/>
      <c r="H466" s="14"/>
      <c r="I466" s="14"/>
      <c r="J466" s="14"/>
      <c r="K466" s="12"/>
    </row>
    <row r="467" ht="19.5" customHeight="1">
      <c r="A467" s="12"/>
      <c r="C467" s="12"/>
      <c r="D467" s="87"/>
      <c r="F467" s="14"/>
      <c r="G467" s="14"/>
      <c r="H467" s="14"/>
      <c r="I467" s="14"/>
      <c r="J467" s="14"/>
      <c r="K467" s="12"/>
    </row>
    <row r="468" ht="19.5" customHeight="1">
      <c r="A468" s="12"/>
      <c r="C468" s="12"/>
      <c r="D468" s="87"/>
      <c r="F468" s="14"/>
      <c r="G468" s="14"/>
      <c r="H468" s="14"/>
      <c r="I468" s="14"/>
      <c r="J468" s="14"/>
      <c r="K468" s="12"/>
    </row>
    <row r="469" ht="19.5" customHeight="1">
      <c r="A469" s="12"/>
      <c r="C469" s="12"/>
      <c r="D469" s="87"/>
      <c r="F469" s="14"/>
      <c r="G469" s="14"/>
      <c r="H469" s="14"/>
      <c r="I469" s="14"/>
      <c r="J469" s="14"/>
      <c r="K469" s="12"/>
    </row>
    <row r="470" ht="19.5" customHeight="1">
      <c r="A470" s="12"/>
      <c r="C470" s="12"/>
      <c r="D470" s="87"/>
      <c r="F470" s="14"/>
      <c r="G470" s="14"/>
      <c r="H470" s="14"/>
      <c r="I470" s="14"/>
      <c r="J470" s="14"/>
      <c r="K470" s="12"/>
    </row>
    <row r="471" ht="19.5" customHeight="1">
      <c r="A471" s="12"/>
      <c r="C471" s="12"/>
      <c r="D471" s="87"/>
      <c r="F471" s="14"/>
      <c r="G471" s="14"/>
      <c r="H471" s="14"/>
      <c r="I471" s="14"/>
      <c r="J471" s="14"/>
      <c r="K471" s="12"/>
    </row>
    <row r="472" ht="19.5" customHeight="1">
      <c r="A472" s="12"/>
      <c r="C472" s="12"/>
      <c r="D472" s="87"/>
      <c r="F472" s="14"/>
      <c r="G472" s="14"/>
      <c r="H472" s="14"/>
      <c r="I472" s="14"/>
      <c r="J472" s="14"/>
      <c r="K472" s="12"/>
    </row>
    <row r="473" ht="19.5" customHeight="1">
      <c r="A473" s="12"/>
      <c r="C473" s="12"/>
      <c r="D473" s="87"/>
      <c r="F473" s="14"/>
      <c r="G473" s="14"/>
      <c r="H473" s="14"/>
      <c r="I473" s="14"/>
      <c r="J473" s="14"/>
      <c r="K473" s="12"/>
    </row>
    <row r="474" ht="19.5" customHeight="1">
      <c r="A474" s="12"/>
      <c r="C474" s="12"/>
      <c r="D474" s="87"/>
      <c r="F474" s="14"/>
      <c r="G474" s="14"/>
      <c r="H474" s="14"/>
      <c r="I474" s="14"/>
      <c r="J474" s="14"/>
      <c r="K474" s="12"/>
    </row>
    <row r="475" ht="19.5" customHeight="1">
      <c r="A475" s="12"/>
      <c r="C475" s="12"/>
      <c r="D475" s="87"/>
      <c r="F475" s="14"/>
      <c r="G475" s="14"/>
      <c r="H475" s="14"/>
      <c r="I475" s="14"/>
      <c r="J475" s="14"/>
      <c r="K475" s="12"/>
    </row>
    <row r="476" ht="19.5" customHeight="1">
      <c r="A476" s="12"/>
      <c r="C476" s="12"/>
      <c r="D476" s="87"/>
      <c r="F476" s="14"/>
      <c r="G476" s="14"/>
      <c r="H476" s="14"/>
      <c r="I476" s="14"/>
      <c r="J476" s="14"/>
      <c r="K476" s="12"/>
    </row>
    <row r="477" ht="19.5" customHeight="1">
      <c r="A477" s="12"/>
      <c r="C477" s="12"/>
      <c r="D477" s="87"/>
      <c r="F477" s="14"/>
      <c r="G477" s="14"/>
      <c r="H477" s="14"/>
      <c r="I477" s="14"/>
      <c r="J477" s="14"/>
      <c r="K477" s="12"/>
    </row>
    <row r="478" ht="19.5" customHeight="1">
      <c r="A478" s="12"/>
      <c r="C478" s="12"/>
      <c r="D478" s="87"/>
      <c r="F478" s="14"/>
      <c r="G478" s="14"/>
      <c r="H478" s="14"/>
      <c r="I478" s="14"/>
      <c r="J478" s="14"/>
      <c r="K478" s="12"/>
    </row>
    <row r="479" ht="19.5" customHeight="1">
      <c r="A479" s="12"/>
      <c r="C479" s="12"/>
      <c r="D479" s="87"/>
      <c r="F479" s="14"/>
      <c r="G479" s="14"/>
      <c r="H479" s="14"/>
      <c r="I479" s="14"/>
      <c r="J479" s="14"/>
      <c r="K479" s="12"/>
    </row>
    <row r="480" ht="19.5" customHeight="1">
      <c r="A480" s="12"/>
      <c r="C480" s="12"/>
      <c r="D480" s="87"/>
      <c r="F480" s="14"/>
      <c r="G480" s="14"/>
      <c r="H480" s="14"/>
      <c r="I480" s="14"/>
      <c r="J480" s="14"/>
      <c r="K480" s="12"/>
    </row>
    <row r="481" ht="19.5" customHeight="1">
      <c r="A481" s="12"/>
      <c r="C481" s="12"/>
      <c r="D481" s="87"/>
      <c r="F481" s="14"/>
      <c r="G481" s="14"/>
      <c r="H481" s="14"/>
      <c r="I481" s="14"/>
      <c r="J481" s="14"/>
      <c r="K481" s="12"/>
    </row>
    <row r="482" ht="19.5" customHeight="1">
      <c r="A482" s="12"/>
      <c r="C482" s="12"/>
      <c r="D482" s="87"/>
      <c r="F482" s="14"/>
      <c r="G482" s="14"/>
      <c r="H482" s="14"/>
      <c r="I482" s="14"/>
      <c r="J482" s="14"/>
      <c r="K482" s="12"/>
    </row>
    <row r="483" ht="19.5" customHeight="1">
      <c r="A483" s="12"/>
      <c r="C483" s="12"/>
      <c r="D483" s="87"/>
      <c r="F483" s="14"/>
      <c r="G483" s="14"/>
      <c r="H483" s="14"/>
      <c r="I483" s="14"/>
      <c r="J483" s="14"/>
      <c r="K483" s="12"/>
    </row>
    <row r="484" ht="19.5" customHeight="1">
      <c r="A484" s="12"/>
      <c r="C484" s="12"/>
      <c r="D484" s="87"/>
      <c r="F484" s="14"/>
      <c r="G484" s="14"/>
      <c r="H484" s="14"/>
      <c r="I484" s="14"/>
      <c r="J484" s="14"/>
      <c r="K484" s="12"/>
    </row>
    <row r="485" ht="19.5" customHeight="1">
      <c r="A485" s="12"/>
      <c r="C485" s="12"/>
      <c r="D485" s="87"/>
      <c r="F485" s="14"/>
      <c r="G485" s="14"/>
      <c r="H485" s="14"/>
      <c r="I485" s="14"/>
      <c r="J485" s="14"/>
      <c r="K485" s="12"/>
    </row>
    <row r="486" ht="19.5" customHeight="1">
      <c r="A486" s="12"/>
      <c r="C486" s="12"/>
      <c r="D486" s="87"/>
      <c r="F486" s="14"/>
      <c r="G486" s="14"/>
      <c r="H486" s="14"/>
      <c r="I486" s="14"/>
      <c r="J486" s="14"/>
      <c r="K486" s="12"/>
    </row>
    <row r="487" ht="19.5" customHeight="1">
      <c r="A487" s="12"/>
      <c r="C487" s="12"/>
      <c r="D487" s="87"/>
      <c r="F487" s="14"/>
      <c r="G487" s="14"/>
      <c r="H487" s="14"/>
      <c r="I487" s="14"/>
      <c r="J487" s="14"/>
      <c r="K487" s="12"/>
    </row>
    <row r="488" ht="19.5" customHeight="1">
      <c r="A488" s="12"/>
      <c r="C488" s="12"/>
      <c r="D488" s="87"/>
      <c r="F488" s="14"/>
      <c r="G488" s="14"/>
      <c r="H488" s="14"/>
      <c r="I488" s="14"/>
      <c r="J488" s="14"/>
      <c r="K488" s="12"/>
    </row>
    <row r="489" ht="19.5" customHeight="1">
      <c r="A489" s="12"/>
      <c r="C489" s="12"/>
      <c r="D489" s="87"/>
      <c r="F489" s="14"/>
      <c r="G489" s="14"/>
      <c r="H489" s="14"/>
      <c r="I489" s="14"/>
      <c r="J489" s="14"/>
      <c r="K489" s="12"/>
    </row>
    <row r="490" ht="19.5" customHeight="1">
      <c r="A490" s="12"/>
      <c r="C490" s="12"/>
      <c r="D490" s="87"/>
      <c r="F490" s="14"/>
      <c r="G490" s="14"/>
      <c r="H490" s="14"/>
      <c r="I490" s="14"/>
      <c r="J490" s="14"/>
      <c r="K490" s="12"/>
    </row>
    <row r="491" ht="19.5" customHeight="1">
      <c r="A491" s="12"/>
      <c r="C491" s="12"/>
      <c r="D491" s="87"/>
      <c r="F491" s="14"/>
      <c r="G491" s="14"/>
      <c r="H491" s="14"/>
      <c r="I491" s="14"/>
      <c r="J491" s="14"/>
      <c r="K491" s="12"/>
    </row>
    <row r="492" ht="19.5" customHeight="1">
      <c r="A492" s="12"/>
      <c r="C492" s="12"/>
      <c r="D492" s="87"/>
      <c r="F492" s="14"/>
      <c r="G492" s="14"/>
      <c r="H492" s="14"/>
      <c r="I492" s="14"/>
      <c r="J492" s="14"/>
      <c r="K492" s="12"/>
    </row>
    <row r="493" ht="19.5" customHeight="1">
      <c r="A493" s="12"/>
      <c r="C493" s="12"/>
      <c r="D493" s="87"/>
      <c r="F493" s="14"/>
      <c r="G493" s="14"/>
      <c r="H493" s="14"/>
      <c r="I493" s="14"/>
      <c r="J493" s="14"/>
      <c r="K493" s="12"/>
    </row>
    <row r="494" ht="19.5" customHeight="1">
      <c r="A494" s="12"/>
      <c r="C494" s="12"/>
      <c r="D494" s="87"/>
      <c r="F494" s="14"/>
      <c r="G494" s="14"/>
      <c r="H494" s="14"/>
      <c r="I494" s="14"/>
      <c r="J494" s="14"/>
      <c r="K494" s="12"/>
    </row>
    <row r="495" ht="19.5" customHeight="1">
      <c r="A495" s="12"/>
      <c r="C495" s="12"/>
      <c r="D495" s="87"/>
      <c r="F495" s="14"/>
      <c r="G495" s="14"/>
      <c r="H495" s="14"/>
      <c r="I495" s="14"/>
      <c r="J495" s="14"/>
      <c r="K495" s="12"/>
    </row>
    <row r="496" ht="19.5" customHeight="1">
      <c r="A496" s="12"/>
      <c r="C496" s="12"/>
      <c r="D496" s="87"/>
      <c r="F496" s="14"/>
      <c r="G496" s="14"/>
      <c r="H496" s="14"/>
      <c r="I496" s="14"/>
      <c r="J496" s="14"/>
      <c r="K496" s="12"/>
    </row>
    <row r="497" ht="19.5" customHeight="1">
      <c r="A497" s="12"/>
      <c r="C497" s="12"/>
      <c r="D497" s="87"/>
      <c r="F497" s="14"/>
      <c r="G497" s="14"/>
      <c r="H497" s="14"/>
      <c r="I497" s="14"/>
      <c r="J497" s="14"/>
      <c r="K497" s="12"/>
    </row>
    <row r="498" ht="19.5" customHeight="1">
      <c r="A498" s="12"/>
      <c r="C498" s="12"/>
      <c r="D498" s="87"/>
      <c r="F498" s="14"/>
      <c r="G498" s="14"/>
      <c r="H498" s="14"/>
      <c r="I498" s="14"/>
      <c r="J498" s="14"/>
      <c r="K498" s="12"/>
    </row>
    <row r="499" ht="19.5" customHeight="1">
      <c r="A499" s="12"/>
      <c r="C499" s="12"/>
      <c r="D499" s="87"/>
      <c r="F499" s="14"/>
      <c r="G499" s="14"/>
      <c r="H499" s="14"/>
      <c r="I499" s="14"/>
      <c r="J499" s="14"/>
      <c r="K499" s="12"/>
    </row>
    <row r="500" ht="19.5" customHeight="1">
      <c r="A500" s="12"/>
      <c r="C500" s="12"/>
      <c r="D500" s="87"/>
      <c r="F500" s="14"/>
      <c r="G500" s="14"/>
      <c r="H500" s="14"/>
      <c r="I500" s="14"/>
      <c r="J500" s="14"/>
      <c r="K500" s="12"/>
    </row>
    <row r="501" ht="19.5" customHeight="1">
      <c r="A501" s="12"/>
      <c r="C501" s="12"/>
      <c r="D501" s="87"/>
      <c r="F501" s="14"/>
      <c r="G501" s="14"/>
      <c r="H501" s="14"/>
      <c r="I501" s="14"/>
      <c r="J501" s="14"/>
      <c r="K501" s="12"/>
    </row>
    <row r="502" ht="19.5" customHeight="1">
      <c r="A502" s="12"/>
      <c r="C502" s="12"/>
      <c r="D502" s="87"/>
      <c r="F502" s="14"/>
      <c r="G502" s="14"/>
      <c r="H502" s="14"/>
      <c r="I502" s="14"/>
      <c r="J502" s="14"/>
      <c r="K502" s="12"/>
    </row>
    <row r="503" ht="19.5" customHeight="1">
      <c r="A503" s="12"/>
      <c r="C503" s="12"/>
      <c r="D503" s="87"/>
      <c r="F503" s="14"/>
      <c r="G503" s="14"/>
      <c r="H503" s="14"/>
      <c r="I503" s="14"/>
      <c r="J503" s="14"/>
      <c r="K503" s="12"/>
    </row>
    <row r="504" ht="19.5" customHeight="1">
      <c r="A504" s="12"/>
      <c r="C504" s="12"/>
      <c r="D504" s="87"/>
      <c r="F504" s="14"/>
      <c r="G504" s="14"/>
      <c r="H504" s="14"/>
      <c r="I504" s="14"/>
      <c r="J504" s="14"/>
      <c r="K504" s="12"/>
    </row>
    <row r="505" ht="19.5" customHeight="1">
      <c r="A505" s="12"/>
      <c r="C505" s="12"/>
      <c r="D505" s="87"/>
      <c r="F505" s="14"/>
      <c r="G505" s="14"/>
      <c r="H505" s="14"/>
      <c r="I505" s="14"/>
      <c r="J505" s="14"/>
      <c r="K505" s="12"/>
    </row>
    <row r="506" ht="19.5" customHeight="1">
      <c r="A506" s="12"/>
      <c r="C506" s="12"/>
      <c r="D506" s="87"/>
      <c r="F506" s="14"/>
      <c r="G506" s="14"/>
      <c r="H506" s="14"/>
      <c r="I506" s="14"/>
      <c r="J506" s="14"/>
      <c r="K506" s="12"/>
    </row>
    <row r="507" ht="19.5" customHeight="1">
      <c r="A507" s="12"/>
      <c r="C507" s="12"/>
      <c r="D507" s="87"/>
      <c r="F507" s="14"/>
      <c r="G507" s="14"/>
      <c r="H507" s="14"/>
      <c r="I507" s="14"/>
      <c r="J507" s="14"/>
      <c r="K507" s="12"/>
    </row>
    <row r="508" ht="19.5" customHeight="1">
      <c r="A508" s="12"/>
      <c r="C508" s="12"/>
      <c r="D508" s="87"/>
      <c r="F508" s="14"/>
      <c r="G508" s="14"/>
      <c r="H508" s="14"/>
      <c r="I508" s="14"/>
      <c r="J508" s="14"/>
      <c r="K508" s="12"/>
    </row>
    <row r="509" ht="19.5" customHeight="1">
      <c r="A509" s="12"/>
      <c r="C509" s="12"/>
      <c r="D509" s="87"/>
      <c r="F509" s="14"/>
      <c r="G509" s="14"/>
      <c r="H509" s="14"/>
      <c r="I509" s="14"/>
      <c r="J509" s="14"/>
      <c r="K509" s="12"/>
    </row>
    <row r="510" ht="19.5" customHeight="1">
      <c r="A510" s="12"/>
      <c r="C510" s="12"/>
      <c r="D510" s="87"/>
      <c r="F510" s="14"/>
      <c r="G510" s="14"/>
      <c r="H510" s="14"/>
      <c r="I510" s="14"/>
      <c r="J510" s="14"/>
      <c r="K510" s="12"/>
    </row>
    <row r="511" ht="19.5" customHeight="1">
      <c r="A511" s="12"/>
      <c r="C511" s="12"/>
      <c r="D511" s="87"/>
      <c r="F511" s="14"/>
      <c r="G511" s="14"/>
      <c r="H511" s="14"/>
      <c r="I511" s="14"/>
      <c r="J511" s="14"/>
      <c r="K511" s="12"/>
    </row>
    <row r="512" ht="19.5" customHeight="1">
      <c r="A512" s="12"/>
      <c r="C512" s="12"/>
      <c r="D512" s="87"/>
      <c r="F512" s="14"/>
      <c r="G512" s="14"/>
      <c r="H512" s="14"/>
      <c r="I512" s="14"/>
      <c r="J512" s="14"/>
      <c r="K512" s="12"/>
    </row>
    <row r="513" ht="19.5" customHeight="1">
      <c r="A513" s="12"/>
      <c r="C513" s="12"/>
      <c r="D513" s="87"/>
      <c r="F513" s="14"/>
      <c r="G513" s="14"/>
      <c r="H513" s="14"/>
      <c r="I513" s="14"/>
      <c r="J513" s="14"/>
      <c r="K513" s="12"/>
    </row>
    <row r="514" ht="19.5" customHeight="1">
      <c r="A514" s="12"/>
      <c r="C514" s="12"/>
      <c r="D514" s="87"/>
      <c r="F514" s="14"/>
      <c r="G514" s="14"/>
      <c r="H514" s="14"/>
      <c r="I514" s="14"/>
      <c r="J514" s="14"/>
      <c r="K514" s="12"/>
    </row>
    <row r="515" ht="19.5" customHeight="1">
      <c r="A515" s="12"/>
      <c r="C515" s="12"/>
      <c r="D515" s="87"/>
      <c r="F515" s="14"/>
      <c r="G515" s="14"/>
      <c r="H515" s="14"/>
      <c r="I515" s="14"/>
      <c r="J515" s="14"/>
      <c r="K515" s="12"/>
    </row>
    <row r="516" ht="19.5" customHeight="1">
      <c r="A516" s="12"/>
      <c r="C516" s="12"/>
      <c r="D516" s="87"/>
      <c r="F516" s="14"/>
      <c r="G516" s="14"/>
      <c r="H516" s="14"/>
      <c r="I516" s="14"/>
      <c r="J516" s="14"/>
      <c r="K516" s="12"/>
    </row>
    <row r="517" ht="19.5" customHeight="1">
      <c r="A517" s="12"/>
      <c r="C517" s="12"/>
      <c r="D517" s="87"/>
      <c r="F517" s="14"/>
      <c r="G517" s="14"/>
      <c r="H517" s="14"/>
      <c r="I517" s="14"/>
      <c r="J517" s="14"/>
      <c r="K517" s="12"/>
    </row>
    <row r="518" ht="19.5" customHeight="1">
      <c r="A518" s="12"/>
      <c r="C518" s="12"/>
      <c r="D518" s="87"/>
      <c r="F518" s="14"/>
      <c r="G518" s="14"/>
      <c r="H518" s="14"/>
      <c r="I518" s="14"/>
      <c r="J518" s="14"/>
      <c r="K518" s="12"/>
    </row>
    <row r="519" ht="19.5" customHeight="1">
      <c r="A519" s="12"/>
      <c r="C519" s="12"/>
      <c r="D519" s="87"/>
      <c r="F519" s="14"/>
      <c r="G519" s="14"/>
      <c r="H519" s="14"/>
      <c r="I519" s="14"/>
      <c r="J519" s="14"/>
      <c r="K519" s="12"/>
    </row>
    <row r="520" ht="19.5" customHeight="1">
      <c r="A520" s="12"/>
      <c r="C520" s="12"/>
      <c r="D520" s="87"/>
      <c r="F520" s="14"/>
      <c r="G520" s="14"/>
      <c r="H520" s="14"/>
      <c r="I520" s="14"/>
      <c r="J520" s="14"/>
      <c r="K520" s="12"/>
    </row>
    <row r="521" ht="19.5" customHeight="1">
      <c r="A521" s="12"/>
      <c r="C521" s="12"/>
      <c r="D521" s="87"/>
      <c r="F521" s="14"/>
      <c r="G521" s="14"/>
      <c r="H521" s="14"/>
      <c r="I521" s="14"/>
      <c r="J521" s="14"/>
      <c r="K521" s="12"/>
    </row>
    <row r="522" ht="19.5" customHeight="1">
      <c r="A522" s="12"/>
      <c r="C522" s="12"/>
      <c r="D522" s="87"/>
      <c r="F522" s="14"/>
      <c r="G522" s="14"/>
      <c r="H522" s="14"/>
      <c r="I522" s="14"/>
      <c r="J522" s="14"/>
      <c r="K522" s="12"/>
    </row>
    <row r="523" ht="19.5" customHeight="1">
      <c r="A523" s="12"/>
      <c r="C523" s="12"/>
      <c r="D523" s="87"/>
      <c r="F523" s="14"/>
      <c r="G523" s="14"/>
      <c r="H523" s="14"/>
      <c r="I523" s="14"/>
      <c r="J523" s="14"/>
      <c r="K523" s="12"/>
    </row>
    <row r="524" ht="19.5" customHeight="1">
      <c r="A524" s="12"/>
      <c r="C524" s="12"/>
      <c r="D524" s="87"/>
      <c r="F524" s="14"/>
      <c r="G524" s="14"/>
      <c r="H524" s="14"/>
      <c r="I524" s="14"/>
      <c r="J524" s="14"/>
      <c r="K524" s="12"/>
    </row>
    <row r="525" ht="19.5" customHeight="1">
      <c r="A525" s="12"/>
      <c r="C525" s="12"/>
      <c r="D525" s="87"/>
      <c r="F525" s="14"/>
      <c r="G525" s="14"/>
      <c r="H525" s="14"/>
      <c r="I525" s="14"/>
      <c r="J525" s="14"/>
      <c r="K525" s="12"/>
    </row>
    <row r="526" ht="19.5" customHeight="1">
      <c r="A526" s="12"/>
      <c r="C526" s="12"/>
      <c r="D526" s="87"/>
      <c r="F526" s="14"/>
      <c r="G526" s="14"/>
      <c r="H526" s="14"/>
      <c r="I526" s="14"/>
      <c r="J526" s="14"/>
      <c r="K526" s="12"/>
    </row>
    <row r="527" ht="19.5" customHeight="1">
      <c r="A527" s="12"/>
      <c r="C527" s="12"/>
      <c r="D527" s="87"/>
      <c r="F527" s="14"/>
      <c r="G527" s="14"/>
      <c r="H527" s="14"/>
      <c r="I527" s="14"/>
      <c r="J527" s="14"/>
      <c r="K527" s="12"/>
    </row>
    <row r="528" ht="19.5" customHeight="1">
      <c r="A528" s="12"/>
      <c r="C528" s="12"/>
      <c r="D528" s="87"/>
      <c r="F528" s="14"/>
      <c r="G528" s="14"/>
      <c r="H528" s="14"/>
      <c r="I528" s="14"/>
      <c r="J528" s="14"/>
      <c r="K528" s="12"/>
    </row>
    <row r="529" ht="19.5" customHeight="1">
      <c r="A529" s="12"/>
      <c r="C529" s="12"/>
      <c r="D529" s="87"/>
      <c r="F529" s="14"/>
      <c r="G529" s="14"/>
      <c r="H529" s="14"/>
      <c r="I529" s="14"/>
      <c r="J529" s="14"/>
      <c r="K529" s="12"/>
    </row>
    <row r="530" ht="19.5" customHeight="1">
      <c r="A530" s="12"/>
      <c r="C530" s="12"/>
      <c r="D530" s="87"/>
      <c r="F530" s="14"/>
      <c r="G530" s="14"/>
      <c r="H530" s="14"/>
      <c r="I530" s="14"/>
      <c r="J530" s="14"/>
      <c r="K530" s="12"/>
    </row>
    <row r="531" ht="19.5" customHeight="1">
      <c r="A531" s="12"/>
      <c r="C531" s="12"/>
      <c r="D531" s="87"/>
      <c r="F531" s="14"/>
      <c r="G531" s="14"/>
      <c r="H531" s="14"/>
      <c r="I531" s="14"/>
      <c r="J531" s="14"/>
      <c r="K531" s="12"/>
    </row>
    <row r="532" ht="19.5" customHeight="1">
      <c r="A532" s="12"/>
      <c r="C532" s="12"/>
      <c r="D532" s="87"/>
      <c r="F532" s="14"/>
      <c r="G532" s="14"/>
      <c r="H532" s="14"/>
      <c r="I532" s="14"/>
      <c r="J532" s="14"/>
      <c r="K532" s="12"/>
    </row>
    <row r="533" ht="19.5" customHeight="1">
      <c r="A533" s="12"/>
      <c r="C533" s="12"/>
      <c r="D533" s="87"/>
      <c r="F533" s="14"/>
      <c r="G533" s="14"/>
      <c r="H533" s="14"/>
      <c r="I533" s="14"/>
      <c r="J533" s="14"/>
      <c r="K533" s="12"/>
    </row>
    <row r="534" ht="19.5" customHeight="1">
      <c r="A534" s="12"/>
      <c r="C534" s="12"/>
      <c r="D534" s="87"/>
      <c r="F534" s="14"/>
      <c r="G534" s="14"/>
      <c r="H534" s="14"/>
      <c r="I534" s="14"/>
      <c r="J534" s="14"/>
      <c r="K534" s="12"/>
    </row>
    <row r="535" ht="19.5" customHeight="1">
      <c r="A535" s="12"/>
      <c r="C535" s="12"/>
      <c r="D535" s="87"/>
      <c r="F535" s="14"/>
      <c r="G535" s="14"/>
      <c r="H535" s="14"/>
      <c r="I535" s="14"/>
      <c r="J535" s="14"/>
      <c r="K535" s="12"/>
    </row>
    <row r="536" ht="19.5" customHeight="1">
      <c r="A536" s="12"/>
      <c r="C536" s="12"/>
      <c r="D536" s="87"/>
      <c r="F536" s="14"/>
      <c r="G536" s="14"/>
      <c r="H536" s="14"/>
      <c r="I536" s="14"/>
      <c r="J536" s="14"/>
      <c r="K536" s="12"/>
    </row>
    <row r="537" ht="19.5" customHeight="1">
      <c r="A537" s="12"/>
      <c r="C537" s="12"/>
      <c r="D537" s="87"/>
      <c r="F537" s="14"/>
      <c r="G537" s="14"/>
      <c r="H537" s="14"/>
      <c r="I537" s="14"/>
      <c r="J537" s="14"/>
      <c r="K537" s="12"/>
    </row>
    <row r="538" ht="19.5" customHeight="1">
      <c r="A538" s="12"/>
      <c r="C538" s="12"/>
      <c r="D538" s="87"/>
      <c r="F538" s="14"/>
      <c r="G538" s="14"/>
      <c r="H538" s="14"/>
      <c r="I538" s="14"/>
      <c r="J538" s="14"/>
      <c r="K538" s="12"/>
    </row>
    <row r="539" ht="19.5" customHeight="1">
      <c r="A539" s="12"/>
      <c r="C539" s="12"/>
      <c r="D539" s="87"/>
      <c r="F539" s="14"/>
      <c r="G539" s="14"/>
      <c r="H539" s="14"/>
      <c r="I539" s="14"/>
      <c r="J539" s="14"/>
      <c r="K539" s="12"/>
    </row>
    <row r="540" ht="19.5" customHeight="1">
      <c r="A540" s="12"/>
      <c r="C540" s="12"/>
      <c r="D540" s="87"/>
      <c r="F540" s="14"/>
      <c r="G540" s="14"/>
      <c r="H540" s="14"/>
      <c r="I540" s="14"/>
      <c r="J540" s="14"/>
      <c r="K540" s="12"/>
    </row>
    <row r="541" ht="19.5" customHeight="1">
      <c r="A541" s="12"/>
      <c r="C541" s="12"/>
      <c r="D541" s="87"/>
      <c r="F541" s="14"/>
      <c r="G541" s="14"/>
      <c r="H541" s="14"/>
      <c r="I541" s="14"/>
      <c r="J541" s="14"/>
      <c r="K541" s="12"/>
    </row>
    <row r="542" ht="19.5" customHeight="1">
      <c r="A542" s="12"/>
      <c r="C542" s="12"/>
      <c r="D542" s="87"/>
      <c r="F542" s="14"/>
      <c r="G542" s="14"/>
      <c r="H542" s="14"/>
      <c r="I542" s="14"/>
      <c r="J542" s="14"/>
      <c r="K542" s="12"/>
    </row>
    <row r="543" ht="19.5" customHeight="1">
      <c r="A543" s="12"/>
      <c r="C543" s="12"/>
      <c r="D543" s="87"/>
      <c r="F543" s="14"/>
      <c r="G543" s="14"/>
      <c r="H543" s="14"/>
      <c r="I543" s="14"/>
      <c r="J543" s="14"/>
      <c r="K543" s="12"/>
    </row>
    <row r="544" ht="19.5" customHeight="1">
      <c r="A544" s="12"/>
      <c r="C544" s="12"/>
      <c r="D544" s="87"/>
      <c r="F544" s="14"/>
      <c r="G544" s="14"/>
      <c r="H544" s="14"/>
      <c r="I544" s="14"/>
      <c r="J544" s="14"/>
      <c r="K544" s="12"/>
    </row>
    <row r="545" ht="19.5" customHeight="1">
      <c r="A545" s="12"/>
      <c r="C545" s="12"/>
      <c r="D545" s="87"/>
      <c r="F545" s="14"/>
      <c r="G545" s="14"/>
      <c r="H545" s="14"/>
      <c r="I545" s="14"/>
      <c r="J545" s="14"/>
      <c r="K545" s="12"/>
    </row>
    <row r="546" ht="19.5" customHeight="1">
      <c r="A546" s="12"/>
      <c r="C546" s="12"/>
      <c r="D546" s="87"/>
      <c r="F546" s="14"/>
      <c r="G546" s="14"/>
      <c r="H546" s="14"/>
      <c r="I546" s="14"/>
      <c r="J546" s="14"/>
      <c r="K546" s="12"/>
    </row>
    <row r="547" ht="19.5" customHeight="1">
      <c r="A547" s="12"/>
      <c r="C547" s="12"/>
      <c r="D547" s="87"/>
      <c r="F547" s="14"/>
      <c r="G547" s="14"/>
      <c r="H547" s="14"/>
      <c r="I547" s="14"/>
      <c r="J547" s="14"/>
      <c r="K547" s="12"/>
    </row>
    <row r="548" ht="19.5" customHeight="1">
      <c r="A548" s="12"/>
      <c r="C548" s="12"/>
      <c r="D548" s="87"/>
      <c r="F548" s="14"/>
      <c r="G548" s="14"/>
      <c r="H548" s="14"/>
      <c r="I548" s="14"/>
      <c r="J548" s="14"/>
      <c r="K548" s="12"/>
    </row>
    <row r="549" ht="19.5" customHeight="1">
      <c r="A549" s="12"/>
      <c r="C549" s="12"/>
      <c r="D549" s="87"/>
      <c r="F549" s="14"/>
      <c r="G549" s="14"/>
      <c r="H549" s="14"/>
      <c r="I549" s="14"/>
      <c r="J549" s="14"/>
      <c r="K549" s="12"/>
    </row>
    <row r="550" ht="19.5" customHeight="1">
      <c r="A550" s="12"/>
      <c r="C550" s="12"/>
      <c r="D550" s="87"/>
      <c r="F550" s="14"/>
      <c r="G550" s="14"/>
      <c r="H550" s="14"/>
      <c r="I550" s="14"/>
      <c r="J550" s="14"/>
      <c r="K550" s="12"/>
    </row>
    <row r="551" ht="19.5" customHeight="1">
      <c r="A551" s="12"/>
      <c r="C551" s="12"/>
      <c r="D551" s="87"/>
      <c r="F551" s="14"/>
      <c r="G551" s="14"/>
      <c r="H551" s="14"/>
      <c r="I551" s="14"/>
      <c r="J551" s="14"/>
      <c r="K551" s="12"/>
    </row>
    <row r="552" ht="19.5" customHeight="1">
      <c r="A552" s="12"/>
      <c r="C552" s="12"/>
      <c r="D552" s="87"/>
      <c r="F552" s="14"/>
      <c r="G552" s="14"/>
      <c r="H552" s="14"/>
      <c r="I552" s="14"/>
      <c r="J552" s="14"/>
      <c r="K552" s="12"/>
    </row>
    <row r="553" ht="19.5" customHeight="1">
      <c r="A553" s="12"/>
      <c r="C553" s="12"/>
      <c r="D553" s="87"/>
      <c r="F553" s="14"/>
      <c r="G553" s="14"/>
      <c r="H553" s="14"/>
      <c r="I553" s="14"/>
      <c r="J553" s="14"/>
      <c r="K553" s="12"/>
    </row>
    <row r="554" ht="19.5" customHeight="1">
      <c r="A554" s="12"/>
      <c r="C554" s="12"/>
      <c r="D554" s="87"/>
      <c r="F554" s="14"/>
      <c r="G554" s="14"/>
      <c r="H554" s="14"/>
      <c r="I554" s="14"/>
      <c r="J554" s="14"/>
      <c r="K554" s="12"/>
    </row>
    <row r="555" ht="19.5" customHeight="1">
      <c r="A555" s="12"/>
      <c r="C555" s="12"/>
      <c r="D555" s="87"/>
      <c r="F555" s="14"/>
      <c r="G555" s="14"/>
      <c r="H555" s="14"/>
      <c r="I555" s="14"/>
      <c r="J555" s="14"/>
      <c r="K555" s="12"/>
    </row>
    <row r="556" ht="19.5" customHeight="1">
      <c r="A556" s="12"/>
      <c r="C556" s="12"/>
      <c r="D556" s="87"/>
      <c r="F556" s="14"/>
      <c r="G556" s="14"/>
      <c r="H556" s="14"/>
      <c r="I556" s="14"/>
      <c r="J556" s="14"/>
      <c r="K556" s="12"/>
    </row>
    <row r="557" ht="19.5" customHeight="1">
      <c r="A557" s="12"/>
      <c r="C557" s="12"/>
      <c r="D557" s="87"/>
      <c r="F557" s="14"/>
      <c r="G557" s="14"/>
      <c r="H557" s="14"/>
      <c r="I557" s="14"/>
      <c r="J557" s="14"/>
      <c r="K557" s="12"/>
    </row>
    <row r="558" ht="19.5" customHeight="1">
      <c r="A558" s="12"/>
      <c r="C558" s="12"/>
      <c r="D558" s="87"/>
      <c r="F558" s="14"/>
      <c r="G558" s="14"/>
      <c r="H558" s="14"/>
      <c r="I558" s="14"/>
      <c r="J558" s="14"/>
      <c r="K558" s="12"/>
    </row>
    <row r="559" ht="19.5" customHeight="1">
      <c r="A559" s="12"/>
      <c r="C559" s="12"/>
      <c r="D559" s="87"/>
      <c r="F559" s="14"/>
      <c r="G559" s="14"/>
      <c r="H559" s="14"/>
      <c r="I559" s="14"/>
      <c r="J559" s="14"/>
      <c r="K559" s="12"/>
    </row>
    <row r="560" ht="19.5" customHeight="1">
      <c r="A560" s="12"/>
      <c r="C560" s="12"/>
      <c r="D560" s="87"/>
      <c r="F560" s="14"/>
      <c r="G560" s="14"/>
      <c r="H560" s="14"/>
      <c r="I560" s="14"/>
      <c r="J560" s="14"/>
      <c r="K560" s="12"/>
    </row>
    <row r="561" ht="19.5" customHeight="1">
      <c r="A561" s="12"/>
      <c r="C561" s="12"/>
      <c r="D561" s="87"/>
      <c r="F561" s="14"/>
      <c r="G561" s="14"/>
      <c r="H561" s="14"/>
      <c r="I561" s="14"/>
      <c r="J561" s="14"/>
      <c r="K561" s="12"/>
    </row>
    <row r="562" ht="19.5" customHeight="1">
      <c r="A562" s="12"/>
      <c r="C562" s="12"/>
      <c r="D562" s="87"/>
      <c r="F562" s="14"/>
      <c r="G562" s="14"/>
      <c r="H562" s="14"/>
      <c r="I562" s="14"/>
      <c r="J562" s="14"/>
      <c r="K562" s="12"/>
    </row>
    <row r="563" ht="19.5" customHeight="1">
      <c r="A563" s="12"/>
      <c r="C563" s="12"/>
      <c r="D563" s="87"/>
      <c r="F563" s="14"/>
      <c r="G563" s="14"/>
      <c r="H563" s="14"/>
      <c r="I563" s="14"/>
      <c r="J563" s="14"/>
      <c r="K563" s="12"/>
    </row>
    <row r="564" ht="19.5" customHeight="1">
      <c r="A564" s="12"/>
      <c r="C564" s="12"/>
      <c r="D564" s="87"/>
      <c r="F564" s="14"/>
      <c r="G564" s="14"/>
      <c r="H564" s="14"/>
      <c r="I564" s="14"/>
      <c r="J564" s="14"/>
      <c r="K564" s="12"/>
    </row>
    <row r="565" ht="19.5" customHeight="1">
      <c r="A565" s="12"/>
      <c r="C565" s="12"/>
      <c r="D565" s="87"/>
      <c r="F565" s="14"/>
      <c r="G565" s="14"/>
      <c r="H565" s="14"/>
      <c r="I565" s="14"/>
      <c r="J565" s="14"/>
      <c r="K565" s="12"/>
    </row>
    <row r="566" ht="19.5" customHeight="1">
      <c r="A566" s="12"/>
      <c r="C566" s="12"/>
      <c r="D566" s="87"/>
      <c r="F566" s="14"/>
      <c r="G566" s="14"/>
      <c r="H566" s="14"/>
      <c r="I566" s="14"/>
      <c r="J566" s="14"/>
      <c r="K566" s="12"/>
    </row>
    <row r="567" ht="19.5" customHeight="1">
      <c r="A567" s="12"/>
      <c r="C567" s="12"/>
      <c r="D567" s="87"/>
      <c r="F567" s="14"/>
      <c r="G567" s="14"/>
      <c r="H567" s="14"/>
      <c r="I567" s="14"/>
      <c r="J567" s="14"/>
      <c r="K567" s="12"/>
    </row>
    <row r="568" ht="19.5" customHeight="1">
      <c r="A568" s="12"/>
      <c r="C568" s="12"/>
      <c r="D568" s="87"/>
      <c r="F568" s="14"/>
      <c r="G568" s="14"/>
      <c r="H568" s="14"/>
      <c r="I568" s="14"/>
      <c r="J568" s="14"/>
      <c r="K568" s="12"/>
    </row>
    <row r="569" ht="19.5" customHeight="1">
      <c r="A569" s="12"/>
      <c r="C569" s="12"/>
      <c r="D569" s="87"/>
      <c r="F569" s="14"/>
      <c r="G569" s="14"/>
      <c r="H569" s="14"/>
      <c r="I569" s="14"/>
      <c r="J569" s="14"/>
      <c r="K569" s="12"/>
    </row>
    <row r="570" ht="19.5" customHeight="1">
      <c r="A570" s="12"/>
      <c r="C570" s="12"/>
      <c r="D570" s="87"/>
      <c r="F570" s="14"/>
      <c r="G570" s="14"/>
      <c r="H570" s="14"/>
      <c r="I570" s="14"/>
      <c r="J570" s="14"/>
      <c r="K570" s="12"/>
    </row>
    <row r="571" ht="19.5" customHeight="1">
      <c r="A571" s="12"/>
      <c r="C571" s="12"/>
      <c r="D571" s="87"/>
      <c r="F571" s="14"/>
      <c r="G571" s="14"/>
      <c r="H571" s="14"/>
      <c r="I571" s="14"/>
      <c r="J571" s="14"/>
      <c r="K571" s="12"/>
    </row>
    <row r="572" ht="19.5" customHeight="1">
      <c r="A572" s="12"/>
      <c r="C572" s="12"/>
      <c r="D572" s="87"/>
      <c r="F572" s="14"/>
      <c r="G572" s="14"/>
      <c r="H572" s="14"/>
      <c r="I572" s="14"/>
      <c r="J572" s="14"/>
      <c r="K572" s="12"/>
    </row>
    <row r="573" ht="19.5" customHeight="1">
      <c r="A573" s="12"/>
      <c r="C573" s="12"/>
      <c r="D573" s="87"/>
      <c r="F573" s="14"/>
      <c r="G573" s="14"/>
      <c r="H573" s="14"/>
      <c r="I573" s="14"/>
      <c r="J573" s="14"/>
      <c r="K573" s="12"/>
    </row>
    <row r="574" ht="19.5" customHeight="1">
      <c r="A574" s="12"/>
      <c r="C574" s="12"/>
      <c r="D574" s="87"/>
      <c r="F574" s="14"/>
      <c r="G574" s="14"/>
      <c r="H574" s="14"/>
      <c r="I574" s="14"/>
      <c r="J574" s="14"/>
      <c r="K574" s="12"/>
    </row>
    <row r="575" ht="19.5" customHeight="1">
      <c r="A575" s="12"/>
      <c r="C575" s="12"/>
      <c r="D575" s="87"/>
      <c r="F575" s="14"/>
      <c r="G575" s="14"/>
      <c r="H575" s="14"/>
      <c r="I575" s="14"/>
      <c r="J575" s="14"/>
      <c r="K575" s="12"/>
    </row>
    <row r="576" ht="19.5" customHeight="1">
      <c r="A576" s="12"/>
      <c r="C576" s="12"/>
      <c r="D576" s="87"/>
      <c r="F576" s="14"/>
      <c r="G576" s="14"/>
      <c r="H576" s="14"/>
      <c r="I576" s="14"/>
      <c r="J576" s="14"/>
      <c r="K576" s="12"/>
    </row>
    <row r="577" ht="19.5" customHeight="1">
      <c r="A577" s="12"/>
      <c r="C577" s="12"/>
      <c r="D577" s="87"/>
      <c r="F577" s="14"/>
      <c r="G577" s="14"/>
      <c r="H577" s="14"/>
      <c r="I577" s="14"/>
      <c r="J577" s="14"/>
      <c r="K577" s="12"/>
    </row>
    <row r="578" ht="19.5" customHeight="1">
      <c r="A578" s="12"/>
      <c r="C578" s="12"/>
      <c r="D578" s="87"/>
      <c r="F578" s="14"/>
      <c r="G578" s="14"/>
      <c r="H578" s="14"/>
      <c r="I578" s="14"/>
      <c r="J578" s="14"/>
      <c r="K578" s="12"/>
    </row>
    <row r="579" ht="19.5" customHeight="1">
      <c r="A579" s="12"/>
      <c r="C579" s="12"/>
      <c r="D579" s="87"/>
      <c r="F579" s="14"/>
      <c r="G579" s="14"/>
      <c r="H579" s="14"/>
      <c r="I579" s="14"/>
      <c r="J579" s="14"/>
      <c r="K579" s="12"/>
    </row>
    <row r="580" ht="19.5" customHeight="1">
      <c r="A580" s="12"/>
      <c r="C580" s="12"/>
      <c r="D580" s="87"/>
      <c r="F580" s="14"/>
      <c r="G580" s="14"/>
      <c r="H580" s="14"/>
      <c r="I580" s="14"/>
      <c r="J580" s="14"/>
      <c r="K580" s="12"/>
    </row>
    <row r="581" ht="19.5" customHeight="1">
      <c r="A581" s="12"/>
      <c r="C581" s="12"/>
      <c r="D581" s="87"/>
      <c r="F581" s="14"/>
      <c r="G581" s="14"/>
      <c r="H581" s="14"/>
      <c r="I581" s="14"/>
      <c r="J581" s="14"/>
      <c r="K581" s="12"/>
    </row>
    <row r="582" ht="19.5" customHeight="1">
      <c r="A582" s="12"/>
      <c r="C582" s="12"/>
      <c r="D582" s="87"/>
      <c r="F582" s="14"/>
      <c r="G582" s="14"/>
      <c r="H582" s="14"/>
      <c r="I582" s="14"/>
      <c r="J582" s="14"/>
      <c r="K582" s="12"/>
    </row>
    <row r="583" ht="19.5" customHeight="1">
      <c r="A583" s="12"/>
      <c r="C583" s="12"/>
      <c r="D583" s="87"/>
      <c r="F583" s="14"/>
      <c r="G583" s="14"/>
      <c r="H583" s="14"/>
      <c r="I583" s="14"/>
      <c r="J583" s="14"/>
      <c r="K583" s="12"/>
    </row>
    <row r="584" ht="19.5" customHeight="1">
      <c r="A584" s="12"/>
      <c r="C584" s="12"/>
      <c r="D584" s="87"/>
      <c r="F584" s="14"/>
      <c r="G584" s="14"/>
      <c r="H584" s="14"/>
      <c r="I584" s="14"/>
      <c r="J584" s="14"/>
      <c r="K584" s="12"/>
    </row>
    <row r="585" ht="19.5" customHeight="1">
      <c r="A585" s="12"/>
      <c r="C585" s="12"/>
      <c r="D585" s="87"/>
      <c r="F585" s="14"/>
      <c r="G585" s="14"/>
      <c r="H585" s="14"/>
      <c r="I585" s="14"/>
      <c r="J585" s="14"/>
      <c r="K585" s="12"/>
    </row>
    <row r="586" ht="19.5" customHeight="1">
      <c r="A586" s="12"/>
      <c r="C586" s="12"/>
      <c r="D586" s="87"/>
      <c r="F586" s="14"/>
      <c r="G586" s="14"/>
      <c r="H586" s="14"/>
      <c r="I586" s="14"/>
      <c r="J586" s="14"/>
      <c r="K586" s="12"/>
    </row>
    <row r="587" ht="19.5" customHeight="1">
      <c r="A587" s="12"/>
      <c r="C587" s="12"/>
      <c r="D587" s="87"/>
      <c r="F587" s="14"/>
      <c r="G587" s="14"/>
      <c r="H587" s="14"/>
      <c r="I587" s="14"/>
      <c r="J587" s="14"/>
      <c r="K587" s="12"/>
    </row>
    <row r="588" ht="19.5" customHeight="1">
      <c r="A588" s="12"/>
      <c r="C588" s="12"/>
      <c r="D588" s="87"/>
      <c r="F588" s="14"/>
      <c r="G588" s="14"/>
      <c r="H588" s="14"/>
      <c r="I588" s="14"/>
      <c r="J588" s="14"/>
      <c r="K588" s="12"/>
    </row>
    <row r="589" ht="19.5" customHeight="1">
      <c r="A589" s="12"/>
      <c r="C589" s="12"/>
      <c r="D589" s="87"/>
      <c r="F589" s="14"/>
      <c r="G589" s="14"/>
      <c r="H589" s="14"/>
      <c r="I589" s="14"/>
      <c r="J589" s="14"/>
      <c r="K589" s="12"/>
    </row>
    <row r="590" ht="19.5" customHeight="1">
      <c r="A590" s="12"/>
      <c r="C590" s="12"/>
      <c r="D590" s="87"/>
      <c r="F590" s="14"/>
      <c r="G590" s="14"/>
      <c r="H590" s="14"/>
      <c r="I590" s="14"/>
      <c r="J590" s="14"/>
      <c r="K590" s="12"/>
    </row>
    <row r="591" ht="19.5" customHeight="1">
      <c r="A591" s="12"/>
      <c r="C591" s="12"/>
      <c r="D591" s="87"/>
      <c r="F591" s="14"/>
      <c r="G591" s="14"/>
      <c r="H591" s="14"/>
      <c r="I591" s="14"/>
      <c r="J591" s="14"/>
      <c r="K591" s="12"/>
    </row>
    <row r="592" ht="19.5" customHeight="1">
      <c r="A592" s="12"/>
      <c r="C592" s="12"/>
      <c r="D592" s="87"/>
      <c r="F592" s="14"/>
      <c r="G592" s="14"/>
      <c r="H592" s="14"/>
      <c r="I592" s="14"/>
      <c r="J592" s="14"/>
      <c r="K592" s="12"/>
    </row>
    <row r="593" ht="19.5" customHeight="1">
      <c r="A593" s="12"/>
      <c r="C593" s="12"/>
      <c r="D593" s="87"/>
      <c r="F593" s="14"/>
      <c r="G593" s="14"/>
      <c r="H593" s="14"/>
      <c r="I593" s="14"/>
      <c r="J593" s="14"/>
      <c r="K593" s="12"/>
    </row>
    <row r="594" ht="19.5" customHeight="1">
      <c r="A594" s="12"/>
      <c r="C594" s="12"/>
      <c r="D594" s="87"/>
      <c r="F594" s="14"/>
      <c r="G594" s="14"/>
      <c r="H594" s="14"/>
      <c r="I594" s="14"/>
      <c r="J594" s="14"/>
      <c r="K594" s="12"/>
    </row>
    <row r="595" ht="19.5" customHeight="1">
      <c r="A595" s="12"/>
      <c r="C595" s="12"/>
      <c r="D595" s="87"/>
      <c r="F595" s="14"/>
      <c r="G595" s="14"/>
      <c r="H595" s="14"/>
      <c r="I595" s="14"/>
      <c r="J595" s="14"/>
      <c r="K595" s="12"/>
    </row>
    <row r="596" ht="19.5" customHeight="1">
      <c r="A596" s="12"/>
      <c r="C596" s="12"/>
      <c r="D596" s="87"/>
      <c r="F596" s="14"/>
      <c r="G596" s="14"/>
      <c r="H596" s="14"/>
      <c r="I596" s="14"/>
      <c r="J596" s="14"/>
      <c r="K596" s="12"/>
    </row>
    <row r="597" ht="19.5" customHeight="1">
      <c r="A597" s="12"/>
      <c r="C597" s="12"/>
      <c r="D597" s="87"/>
      <c r="F597" s="14"/>
      <c r="G597" s="14"/>
      <c r="H597" s="14"/>
      <c r="I597" s="14"/>
      <c r="J597" s="14"/>
      <c r="K597" s="12"/>
    </row>
    <row r="598" ht="19.5" customHeight="1">
      <c r="A598" s="12"/>
      <c r="C598" s="12"/>
      <c r="D598" s="87"/>
      <c r="F598" s="14"/>
      <c r="G598" s="14"/>
      <c r="H598" s="14"/>
      <c r="I598" s="14"/>
      <c r="J598" s="14"/>
      <c r="K598" s="12"/>
    </row>
    <row r="599" ht="19.5" customHeight="1">
      <c r="A599" s="12"/>
      <c r="C599" s="12"/>
      <c r="D599" s="87"/>
      <c r="F599" s="14"/>
      <c r="G599" s="14"/>
      <c r="H599" s="14"/>
      <c r="I599" s="14"/>
      <c r="J599" s="14"/>
      <c r="K599" s="12"/>
    </row>
    <row r="600" ht="19.5" customHeight="1">
      <c r="A600" s="12"/>
      <c r="C600" s="12"/>
      <c r="D600" s="87"/>
      <c r="F600" s="14"/>
      <c r="G600" s="14"/>
      <c r="H600" s="14"/>
      <c r="I600" s="14"/>
      <c r="J600" s="14"/>
      <c r="K600" s="12"/>
    </row>
    <row r="601" ht="19.5" customHeight="1">
      <c r="A601" s="12"/>
      <c r="C601" s="12"/>
      <c r="D601" s="87"/>
      <c r="F601" s="14"/>
      <c r="G601" s="14"/>
      <c r="H601" s="14"/>
      <c r="I601" s="14"/>
      <c r="J601" s="14"/>
      <c r="K601" s="12"/>
    </row>
    <row r="602" ht="19.5" customHeight="1">
      <c r="A602" s="12"/>
      <c r="C602" s="12"/>
      <c r="D602" s="87"/>
      <c r="F602" s="14"/>
      <c r="G602" s="14"/>
      <c r="H602" s="14"/>
      <c r="I602" s="14"/>
      <c r="J602" s="14"/>
      <c r="K602" s="12"/>
    </row>
    <row r="603" ht="19.5" customHeight="1">
      <c r="A603" s="12"/>
      <c r="C603" s="12"/>
      <c r="D603" s="87"/>
      <c r="F603" s="14"/>
      <c r="G603" s="14"/>
      <c r="H603" s="14"/>
      <c r="I603" s="14"/>
      <c r="J603" s="14"/>
      <c r="K603" s="12"/>
    </row>
    <row r="604" ht="19.5" customHeight="1">
      <c r="A604" s="12"/>
      <c r="C604" s="12"/>
      <c r="D604" s="87"/>
      <c r="F604" s="14"/>
      <c r="G604" s="14"/>
      <c r="H604" s="14"/>
      <c r="I604" s="14"/>
      <c r="J604" s="14"/>
      <c r="K604" s="12"/>
    </row>
    <row r="605" ht="19.5" customHeight="1">
      <c r="A605" s="12"/>
      <c r="C605" s="12"/>
      <c r="D605" s="87"/>
      <c r="F605" s="14"/>
      <c r="G605" s="14"/>
      <c r="H605" s="14"/>
      <c r="I605" s="14"/>
      <c r="J605" s="14"/>
      <c r="K605" s="12"/>
    </row>
    <row r="606" ht="19.5" customHeight="1">
      <c r="A606" s="12"/>
      <c r="C606" s="12"/>
      <c r="D606" s="87"/>
      <c r="F606" s="14"/>
      <c r="G606" s="14"/>
      <c r="H606" s="14"/>
      <c r="I606" s="14"/>
      <c r="J606" s="14"/>
      <c r="K606" s="12"/>
    </row>
    <row r="607" ht="19.5" customHeight="1">
      <c r="A607" s="12"/>
      <c r="C607" s="12"/>
      <c r="D607" s="87"/>
      <c r="F607" s="14"/>
      <c r="G607" s="14"/>
      <c r="H607" s="14"/>
      <c r="I607" s="14"/>
      <c r="J607" s="14"/>
      <c r="K607" s="12"/>
    </row>
    <row r="608" ht="19.5" customHeight="1">
      <c r="A608" s="12"/>
      <c r="C608" s="12"/>
      <c r="D608" s="87"/>
      <c r="F608" s="14"/>
      <c r="G608" s="14"/>
      <c r="H608" s="14"/>
      <c r="I608" s="14"/>
      <c r="J608" s="14"/>
      <c r="K608" s="12"/>
    </row>
    <row r="609" ht="19.5" customHeight="1">
      <c r="A609" s="12"/>
      <c r="C609" s="12"/>
      <c r="D609" s="87"/>
      <c r="F609" s="14"/>
      <c r="G609" s="14"/>
      <c r="H609" s="14"/>
      <c r="I609" s="14"/>
      <c r="J609" s="14"/>
      <c r="K609" s="12"/>
    </row>
    <row r="610" ht="19.5" customHeight="1">
      <c r="A610" s="12"/>
      <c r="C610" s="12"/>
      <c r="D610" s="87"/>
      <c r="F610" s="14"/>
      <c r="G610" s="14"/>
      <c r="H610" s="14"/>
      <c r="I610" s="14"/>
      <c r="J610" s="14"/>
      <c r="K610" s="12"/>
    </row>
    <row r="611" ht="19.5" customHeight="1">
      <c r="A611" s="12"/>
      <c r="C611" s="12"/>
      <c r="D611" s="87"/>
      <c r="F611" s="14"/>
      <c r="G611" s="14"/>
      <c r="H611" s="14"/>
      <c r="I611" s="14"/>
      <c r="J611" s="14"/>
      <c r="K611" s="12"/>
    </row>
    <row r="612" ht="19.5" customHeight="1">
      <c r="A612" s="12"/>
      <c r="C612" s="12"/>
      <c r="D612" s="87"/>
      <c r="F612" s="14"/>
      <c r="G612" s="14"/>
      <c r="H612" s="14"/>
      <c r="I612" s="14"/>
      <c r="J612" s="14"/>
      <c r="K612" s="12"/>
    </row>
    <row r="613" ht="19.5" customHeight="1">
      <c r="A613" s="12"/>
      <c r="C613" s="12"/>
      <c r="D613" s="87"/>
      <c r="F613" s="14"/>
      <c r="G613" s="14"/>
      <c r="H613" s="14"/>
      <c r="I613" s="14"/>
      <c r="J613" s="14"/>
      <c r="K613" s="12"/>
    </row>
    <row r="614" ht="19.5" customHeight="1">
      <c r="A614" s="12"/>
      <c r="C614" s="12"/>
      <c r="D614" s="87"/>
      <c r="F614" s="14"/>
      <c r="G614" s="14"/>
      <c r="H614" s="14"/>
      <c r="I614" s="14"/>
      <c r="J614" s="14"/>
      <c r="K614" s="12"/>
    </row>
    <row r="615" ht="19.5" customHeight="1">
      <c r="A615" s="12"/>
      <c r="C615" s="12"/>
      <c r="D615" s="87"/>
      <c r="F615" s="14"/>
      <c r="G615" s="14"/>
      <c r="H615" s="14"/>
      <c r="I615" s="14"/>
      <c r="J615" s="14"/>
      <c r="K615" s="12"/>
    </row>
    <row r="616" ht="19.5" customHeight="1">
      <c r="A616" s="12"/>
      <c r="C616" s="12"/>
      <c r="D616" s="87"/>
      <c r="F616" s="14"/>
      <c r="G616" s="14"/>
      <c r="H616" s="14"/>
      <c r="I616" s="14"/>
      <c r="J616" s="14"/>
      <c r="K616" s="12"/>
    </row>
    <row r="617" ht="19.5" customHeight="1">
      <c r="A617" s="12"/>
      <c r="C617" s="12"/>
      <c r="D617" s="87"/>
      <c r="F617" s="14"/>
      <c r="G617" s="14"/>
      <c r="H617" s="14"/>
      <c r="I617" s="14"/>
      <c r="J617" s="14"/>
      <c r="K617" s="12"/>
    </row>
    <row r="618" ht="19.5" customHeight="1">
      <c r="A618" s="12"/>
      <c r="C618" s="12"/>
      <c r="D618" s="87"/>
      <c r="F618" s="14"/>
      <c r="G618" s="14"/>
      <c r="H618" s="14"/>
      <c r="I618" s="14"/>
      <c r="J618" s="14"/>
      <c r="K618" s="12"/>
    </row>
    <row r="619" ht="19.5" customHeight="1">
      <c r="A619" s="12"/>
      <c r="C619" s="12"/>
      <c r="D619" s="87"/>
      <c r="F619" s="14"/>
      <c r="G619" s="14"/>
      <c r="H619" s="14"/>
      <c r="I619" s="14"/>
      <c r="J619" s="14"/>
      <c r="K619" s="12"/>
    </row>
    <row r="620" ht="19.5" customHeight="1">
      <c r="A620" s="12"/>
      <c r="C620" s="12"/>
      <c r="D620" s="87"/>
      <c r="F620" s="14"/>
      <c r="G620" s="14"/>
      <c r="H620" s="14"/>
      <c r="I620" s="14"/>
      <c r="J620" s="14"/>
      <c r="K620" s="12"/>
    </row>
    <row r="621" ht="19.5" customHeight="1">
      <c r="A621" s="12"/>
      <c r="C621" s="12"/>
      <c r="D621" s="87"/>
      <c r="F621" s="14"/>
      <c r="G621" s="14"/>
      <c r="H621" s="14"/>
      <c r="I621" s="14"/>
      <c r="J621" s="14"/>
      <c r="K621" s="12"/>
    </row>
    <row r="622" ht="19.5" customHeight="1">
      <c r="A622" s="12"/>
      <c r="C622" s="12"/>
      <c r="D622" s="87"/>
      <c r="F622" s="14"/>
      <c r="G622" s="14"/>
      <c r="H622" s="14"/>
      <c r="I622" s="14"/>
      <c r="J622" s="14"/>
      <c r="K622" s="12"/>
    </row>
    <row r="623" ht="19.5" customHeight="1">
      <c r="A623" s="12"/>
      <c r="C623" s="12"/>
      <c r="D623" s="87"/>
      <c r="F623" s="14"/>
      <c r="G623" s="14"/>
      <c r="H623" s="14"/>
      <c r="I623" s="14"/>
      <c r="J623" s="14"/>
      <c r="K623" s="12"/>
    </row>
    <row r="624" ht="19.5" customHeight="1">
      <c r="A624" s="12"/>
      <c r="C624" s="12"/>
      <c r="D624" s="87"/>
      <c r="F624" s="14"/>
      <c r="G624" s="14"/>
      <c r="H624" s="14"/>
      <c r="I624" s="14"/>
      <c r="J624" s="14"/>
      <c r="K624" s="12"/>
    </row>
    <row r="625" ht="19.5" customHeight="1">
      <c r="A625" s="12"/>
      <c r="C625" s="12"/>
      <c r="D625" s="87"/>
      <c r="F625" s="14"/>
      <c r="G625" s="14"/>
      <c r="H625" s="14"/>
      <c r="I625" s="14"/>
      <c r="J625" s="14"/>
      <c r="K625" s="12"/>
    </row>
    <row r="626" ht="19.5" customHeight="1">
      <c r="A626" s="12"/>
      <c r="C626" s="12"/>
      <c r="D626" s="87"/>
      <c r="F626" s="14"/>
      <c r="G626" s="14"/>
      <c r="H626" s="14"/>
      <c r="I626" s="14"/>
      <c r="J626" s="14"/>
      <c r="K626" s="12"/>
    </row>
    <row r="627" ht="19.5" customHeight="1">
      <c r="A627" s="12"/>
      <c r="C627" s="12"/>
      <c r="D627" s="87"/>
      <c r="F627" s="14"/>
      <c r="G627" s="14"/>
      <c r="H627" s="14"/>
      <c r="I627" s="14"/>
      <c r="J627" s="14"/>
      <c r="K627" s="12"/>
    </row>
    <row r="628" ht="19.5" customHeight="1">
      <c r="A628" s="12"/>
      <c r="C628" s="12"/>
      <c r="D628" s="87"/>
      <c r="F628" s="14"/>
      <c r="G628" s="14"/>
      <c r="H628" s="14"/>
      <c r="I628" s="14"/>
      <c r="J628" s="14"/>
      <c r="K628" s="12"/>
    </row>
    <row r="629" ht="19.5" customHeight="1">
      <c r="A629" s="12"/>
      <c r="C629" s="12"/>
      <c r="D629" s="87"/>
      <c r="F629" s="14"/>
      <c r="G629" s="14"/>
      <c r="H629" s="14"/>
      <c r="I629" s="14"/>
      <c r="J629" s="14"/>
      <c r="K629" s="12"/>
    </row>
    <row r="630" ht="19.5" customHeight="1">
      <c r="A630" s="12"/>
      <c r="C630" s="12"/>
      <c r="D630" s="87"/>
      <c r="F630" s="14"/>
      <c r="G630" s="14"/>
      <c r="H630" s="14"/>
      <c r="I630" s="14"/>
      <c r="J630" s="14"/>
      <c r="K630" s="12"/>
    </row>
    <row r="631" ht="19.5" customHeight="1">
      <c r="A631" s="12"/>
      <c r="C631" s="12"/>
      <c r="D631" s="87"/>
      <c r="F631" s="14"/>
      <c r="G631" s="14"/>
      <c r="H631" s="14"/>
      <c r="I631" s="14"/>
      <c r="J631" s="14"/>
      <c r="K631" s="12"/>
    </row>
    <row r="632" ht="19.5" customHeight="1">
      <c r="A632" s="12"/>
      <c r="C632" s="12"/>
      <c r="D632" s="87"/>
      <c r="F632" s="14"/>
      <c r="G632" s="14"/>
      <c r="H632" s="14"/>
      <c r="I632" s="14"/>
      <c r="J632" s="14"/>
      <c r="K632" s="12"/>
    </row>
    <row r="633" ht="19.5" customHeight="1">
      <c r="A633" s="12"/>
      <c r="C633" s="12"/>
      <c r="D633" s="87"/>
      <c r="F633" s="14"/>
      <c r="G633" s="14"/>
      <c r="H633" s="14"/>
      <c r="I633" s="14"/>
      <c r="J633" s="14"/>
      <c r="K633" s="12"/>
    </row>
    <row r="634" ht="19.5" customHeight="1">
      <c r="A634" s="12"/>
      <c r="C634" s="12"/>
      <c r="D634" s="87"/>
      <c r="F634" s="14"/>
      <c r="G634" s="14"/>
      <c r="H634" s="14"/>
      <c r="I634" s="14"/>
      <c r="J634" s="14"/>
      <c r="K634" s="12"/>
    </row>
    <row r="635" ht="19.5" customHeight="1">
      <c r="A635" s="12"/>
      <c r="C635" s="12"/>
      <c r="D635" s="87"/>
      <c r="F635" s="14"/>
      <c r="G635" s="14"/>
      <c r="H635" s="14"/>
      <c r="I635" s="14"/>
      <c r="J635" s="14"/>
      <c r="K635" s="12"/>
    </row>
    <row r="636" ht="19.5" customHeight="1">
      <c r="A636" s="12"/>
      <c r="C636" s="12"/>
      <c r="D636" s="87"/>
      <c r="F636" s="14"/>
      <c r="G636" s="14"/>
      <c r="H636" s="14"/>
      <c r="I636" s="14"/>
      <c r="J636" s="14"/>
      <c r="K636" s="12"/>
    </row>
    <row r="637" ht="19.5" customHeight="1">
      <c r="A637" s="12"/>
      <c r="C637" s="12"/>
      <c r="D637" s="87"/>
      <c r="F637" s="14"/>
      <c r="G637" s="14"/>
      <c r="H637" s="14"/>
      <c r="I637" s="14"/>
      <c r="J637" s="14"/>
      <c r="K637" s="12"/>
    </row>
    <row r="638" ht="19.5" customHeight="1">
      <c r="A638" s="12"/>
      <c r="C638" s="12"/>
      <c r="D638" s="87"/>
      <c r="F638" s="14"/>
      <c r="G638" s="14"/>
      <c r="H638" s="14"/>
      <c r="I638" s="14"/>
      <c r="J638" s="14"/>
      <c r="K638" s="12"/>
    </row>
    <row r="639" ht="19.5" customHeight="1">
      <c r="A639" s="12"/>
      <c r="C639" s="12"/>
      <c r="D639" s="87"/>
      <c r="F639" s="14"/>
      <c r="G639" s="14"/>
      <c r="H639" s="14"/>
      <c r="I639" s="14"/>
      <c r="J639" s="14"/>
      <c r="K639" s="12"/>
    </row>
    <row r="640" ht="19.5" customHeight="1">
      <c r="A640" s="12"/>
      <c r="C640" s="12"/>
      <c r="D640" s="87"/>
      <c r="F640" s="14"/>
      <c r="G640" s="14"/>
      <c r="H640" s="14"/>
      <c r="I640" s="14"/>
      <c r="J640" s="14"/>
      <c r="K640" s="12"/>
    </row>
    <row r="641" ht="19.5" customHeight="1">
      <c r="A641" s="12"/>
      <c r="C641" s="12"/>
      <c r="D641" s="87"/>
      <c r="F641" s="14"/>
      <c r="G641" s="14"/>
      <c r="H641" s="14"/>
      <c r="I641" s="14"/>
      <c r="J641" s="14"/>
      <c r="K641" s="12"/>
    </row>
    <row r="642" ht="19.5" customHeight="1">
      <c r="A642" s="12"/>
      <c r="C642" s="12"/>
      <c r="D642" s="87"/>
      <c r="F642" s="14"/>
      <c r="G642" s="14"/>
      <c r="H642" s="14"/>
      <c r="I642" s="14"/>
      <c r="J642" s="14"/>
      <c r="K642" s="12"/>
    </row>
    <row r="643" ht="19.5" customHeight="1">
      <c r="A643" s="12"/>
      <c r="C643" s="12"/>
      <c r="D643" s="87"/>
      <c r="F643" s="14"/>
      <c r="G643" s="14"/>
      <c r="H643" s="14"/>
      <c r="I643" s="14"/>
      <c r="J643" s="14"/>
      <c r="K643" s="12"/>
    </row>
    <row r="644" ht="19.5" customHeight="1">
      <c r="A644" s="12"/>
      <c r="C644" s="12"/>
      <c r="D644" s="87"/>
      <c r="F644" s="14"/>
      <c r="G644" s="14"/>
      <c r="H644" s="14"/>
      <c r="I644" s="14"/>
      <c r="J644" s="14"/>
      <c r="K644" s="12"/>
    </row>
    <row r="645" ht="19.5" customHeight="1">
      <c r="A645" s="12"/>
      <c r="C645" s="12"/>
      <c r="D645" s="87"/>
      <c r="F645" s="14"/>
      <c r="G645" s="14"/>
      <c r="H645" s="14"/>
      <c r="I645" s="14"/>
      <c r="J645" s="14"/>
      <c r="K645" s="12"/>
    </row>
    <row r="646" ht="19.5" customHeight="1">
      <c r="A646" s="12"/>
      <c r="C646" s="12"/>
      <c r="D646" s="87"/>
      <c r="F646" s="14"/>
      <c r="G646" s="14"/>
      <c r="H646" s="14"/>
      <c r="I646" s="14"/>
      <c r="J646" s="14"/>
      <c r="K646" s="12"/>
    </row>
    <row r="647" ht="19.5" customHeight="1">
      <c r="A647" s="12"/>
      <c r="C647" s="12"/>
      <c r="D647" s="87"/>
      <c r="F647" s="14"/>
      <c r="G647" s="14"/>
      <c r="H647" s="14"/>
      <c r="I647" s="14"/>
      <c r="J647" s="14"/>
      <c r="K647" s="12"/>
    </row>
    <row r="648" ht="19.5" customHeight="1">
      <c r="A648" s="12"/>
      <c r="C648" s="12"/>
      <c r="D648" s="87"/>
      <c r="F648" s="14"/>
      <c r="G648" s="14"/>
      <c r="H648" s="14"/>
      <c r="I648" s="14"/>
      <c r="J648" s="14"/>
      <c r="K648" s="12"/>
    </row>
    <row r="649" ht="19.5" customHeight="1">
      <c r="A649" s="12"/>
      <c r="C649" s="12"/>
      <c r="D649" s="87"/>
      <c r="F649" s="14"/>
      <c r="G649" s="14"/>
      <c r="H649" s="14"/>
      <c r="I649" s="14"/>
      <c r="J649" s="14"/>
      <c r="K649" s="12"/>
    </row>
    <row r="650" ht="19.5" customHeight="1">
      <c r="A650" s="12"/>
      <c r="C650" s="12"/>
      <c r="D650" s="87"/>
      <c r="F650" s="14"/>
      <c r="G650" s="14"/>
      <c r="H650" s="14"/>
      <c r="I650" s="14"/>
      <c r="J650" s="14"/>
      <c r="K650" s="12"/>
    </row>
    <row r="651" ht="19.5" customHeight="1">
      <c r="A651" s="12"/>
      <c r="C651" s="12"/>
      <c r="D651" s="87"/>
      <c r="F651" s="14"/>
      <c r="G651" s="14"/>
      <c r="H651" s="14"/>
      <c r="I651" s="14"/>
      <c r="J651" s="14"/>
      <c r="K651" s="12"/>
    </row>
    <row r="652" ht="19.5" customHeight="1">
      <c r="A652" s="12"/>
      <c r="C652" s="12"/>
      <c r="D652" s="87"/>
      <c r="F652" s="14"/>
      <c r="G652" s="14"/>
      <c r="H652" s="14"/>
      <c r="I652" s="14"/>
      <c r="J652" s="14"/>
      <c r="K652" s="12"/>
    </row>
    <row r="653" ht="19.5" customHeight="1">
      <c r="A653" s="12"/>
      <c r="C653" s="12"/>
      <c r="D653" s="87"/>
      <c r="F653" s="14"/>
      <c r="G653" s="14"/>
      <c r="H653" s="14"/>
      <c r="I653" s="14"/>
      <c r="J653" s="14"/>
      <c r="K653" s="12"/>
    </row>
    <row r="654" ht="19.5" customHeight="1">
      <c r="A654" s="12"/>
      <c r="C654" s="12"/>
      <c r="D654" s="87"/>
      <c r="F654" s="14"/>
      <c r="G654" s="14"/>
      <c r="H654" s="14"/>
      <c r="I654" s="14"/>
      <c r="J654" s="14"/>
      <c r="K654" s="12"/>
    </row>
    <row r="655" ht="19.5" customHeight="1">
      <c r="A655" s="12"/>
      <c r="C655" s="12"/>
      <c r="D655" s="87"/>
      <c r="F655" s="14"/>
      <c r="G655" s="14"/>
      <c r="H655" s="14"/>
      <c r="I655" s="14"/>
      <c r="J655" s="14"/>
      <c r="K655" s="12"/>
    </row>
    <row r="656" ht="19.5" customHeight="1">
      <c r="A656" s="12"/>
      <c r="C656" s="12"/>
      <c r="D656" s="87"/>
      <c r="F656" s="14"/>
      <c r="G656" s="14"/>
      <c r="H656" s="14"/>
      <c r="I656" s="14"/>
      <c r="J656" s="14"/>
      <c r="K656" s="12"/>
    </row>
    <row r="657" ht="19.5" customHeight="1">
      <c r="A657" s="12"/>
      <c r="C657" s="12"/>
      <c r="D657" s="87"/>
      <c r="F657" s="14"/>
      <c r="G657" s="14"/>
      <c r="H657" s="14"/>
      <c r="I657" s="14"/>
      <c r="J657" s="14"/>
      <c r="K657" s="12"/>
    </row>
    <row r="658" ht="19.5" customHeight="1">
      <c r="A658" s="12"/>
      <c r="C658" s="12"/>
      <c r="D658" s="87"/>
      <c r="F658" s="14"/>
      <c r="G658" s="14"/>
      <c r="H658" s="14"/>
      <c r="I658" s="14"/>
      <c r="J658" s="14"/>
      <c r="K658" s="12"/>
    </row>
    <row r="659" ht="19.5" customHeight="1">
      <c r="A659" s="12"/>
      <c r="C659" s="12"/>
      <c r="D659" s="87"/>
      <c r="F659" s="14"/>
      <c r="G659" s="14"/>
      <c r="H659" s="14"/>
      <c r="I659" s="14"/>
      <c r="J659" s="14"/>
      <c r="K659" s="12"/>
    </row>
    <row r="660" ht="19.5" customHeight="1">
      <c r="A660" s="12"/>
      <c r="C660" s="12"/>
      <c r="D660" s="87"/>
      <c r="F660" s="14"/>
      <c r="G660" s="14"/>
      <c r="H660" s="14"/>
      <c r="I660" s="14"/>
      <c r="J660" s="14"/>
      <c r="K660" s="12"/>
    </row>
    <row r="661" ht="19.5" customHeight="1">
      <c r="A661" s="12"/>
      <c r="C661" s="12"/>
      <c r="D661" s="87"/>
      <c r="F661" s="14"/>
      <c r="G661" s="14"/>
      <c r="H661" s="14"/>
      <c r="I661" s="14"/>
      <c r="J661" s="14"/>
      <c r="K661" s="12"/>
    </row>
    <row r="662" ht="19.5" customHeight="1">
      <c r="A662" s="12"/>
      <c r="C662" s="12"/>
      <c r="D662" s="87"/>
      <c r="F662" s="14"/>
      <c r="G662" s="14"/>
      <c r="H662" s="14"/>
      <c r="I662" s="14"/>
      <c r="J662" s="14"/>
      <c r="K662" s="12"/>
    </row>
    <row r="663" ht="19.5" customHeight="1">
      <c r="A663" s="12"/>
      <c r="C663" s="12"/>
      <c r="D663" s="87"/>
      <c r="F663" s="14"/>
      <c r="G663" s="14"/>
      <c r="H663" s="14"/>
      <c r="I663" s="14"/>
      <c r="J663" s="14"/>
      <c r="K663" s="12"/>
    </row>
    <row r="664" ht="19.5" customHeight="1">
      <c r="A664" s="12"/>
      <c r="C664" s="12"/>
      <c r="D664" s="87"/>
      <c r="F664" s="14"/>
      <c r="G664" s="14"/>
      <c r="H664" s="14"/>
      <c r="I664" s="14"/>
      <c r="J664" s="14"/>
      <c r="K664" s="12"/>
    </row>
    <row r="665" ht="19.5" customHeight="1">
      <c r="A665" s="12"/>
      <c r="C665" s="12"/>
      <c r="D665" s="87"/>
      <c r="F665" s="14"/>
      <c r="G665" s="14"/>
      <c r="H665" s="14"/>
      <c r="I665" s="14"/>
      <c r="J665" s="14"/>
      <c r="K665" s="12"/>
    </row>
    <row r="666" ht="19.5" customHeight="1">
      <c r="A666" s="12"/>
      <c r="C666" s="12"/>
      <c r="D666" s="87"/>
      <c r="F666" s="14"/>
      <c r="G666" s="14"/>
      <c r="H666" s="14"/>
      <c r="I666" s="14"/>
      <c r="J666" s="14"/>
      <c r="K666" s="12"/>
    </row>
    <row r="667" ht="19.5" customHeight="1">
      <c r="A667" s="12"/>
      <c r="C667" s="12"/>
      <c r="D667" s="87"/>
      <c r="F667" s="14"/>
      <c r="G667" s="14"/>
      <c r="H667" s="14"/>
      <c r="I667" s="14"/>
      <c r="J667" s="14"/>
      <c r="K667" s="12"/>
    </row>
    <row r="668" ht="19.5" customHeight="1">
      <c r="A668" s="12"/>
      <c r="C668" s="12"/>
      <c r="D668" s="87"/>
      <c r="F668" s="14"/>
      <c r="G668" s="14"/>
      <c r="H668" s="14"/>
      <c r="I668" s="14"/>
      <c r="J668" s="14"/>
      <c r="K668" s="12"/>
    </row>
    <row r="669" ht="19.5" customHeight="1">
      <c r="A669" s="12"/>
      <c r="C669" s="12"/>
      <c r="D669" s="87"/>
      <c r="F669" s="14"/>
      <c r="G669" s="14"/>
      <c r="H669" s="14"/>
      <c r="I669" s="14"/>
      <c r="J669" s="14"/>
      <c r="K669" s="12"/>
    </row>
    <row r="670" ht="19.5" customHeight="1">
      <c r="A670" s="12"/>
      <c r="C670" s="12"/>
      <c r="D670" s="87"/>
      <c r="F670" s="14"/>
      <c r="G670" s="14"/>
      <c r="H670" s="14"/>
      <c r="I670" s="14"/>
      <c r="J670" s="14"/>
      <c r="K670" s="12"/>
    </row>
    <row r="671" ht="19.5" customHeight="1">
      <c r="A671" s="12"/>
      <c r="C671" s="12"/>
      <c r="D671" s="87"/>
      <c r="F671" s="14"/>
      <c r="G671" s="14"/>
      <c r="H671" s="14"/>
      <c r="I671" s="14"/>
      <c r="J671" s="14"/>
      <c r="K671" s="12"/>
    </row>
    <row r="672" ht="19.5" customHeight="1">
      <c r="A672" s="12"/>
      <c r="C672" s="12"/>
      <c r="D672" s="87"/>
      <c r="F672" s="14"/>
      <c r="G672" s="14"/>
      <c r="H672" s="14"/>
      <c r="I672" s="14"/>
      <c r="J672" s="14"/>
      <c r="K672" s="12"/>
    </row>
    <row r="673" ht="19.5" customHeight="1">
      <c r="A673" s="12"/>
      <c r="C673" s="12"/>
      <c r="D673" s="87"/>
      <c r="F673" s="14"/>
      <c r="G673" s="14"/>
      <c r="H673" s="14"/>
      <c r="I673" s="14"/>
      <c r="J673" s="14"/>
      <c r="K673" s="12"/>
    </row>
    <row r="674" ht="19.5" customHeight="1">
      <c r="A674" s="12"/>
      <c r="C674" s="12"/>
      <c r="D674" s="87"/>
      <c r="F674" s="14"/>
      <c r="G674" s="14"/>
      <c r="H674" s="14"/>
      <c r="I674" s="14"/>
      <c r="J674" s="14"/>
      <c r="K674" s="12"/>
    </row>
    <row r="675" ht="19.5" customHeight="1">
      <c r="A675" s="12"/>
      <c r="C675" s="12"/>
      <c r="D675" s="87"/>
      <c r="F675" s="14"/>
      <c r="G675" s="14"/>
      <c r="H675" s="14"/>
      <c r="I675" s="14"/>
      <c r="J675" s="14"/>
      <c r="K675" s="12"/>
    </row>
    <row r="676" ht="19.5" customHeight="1">
      <c r="A676" s="12"/>
      <c r="C676" s="12"/>
      <c r="D676" s="87"/>
      <c r="F676" s="14"/>
      <c r="G676" s="14"/>
      <c r="H676" s="14"/>
      <c r="I676" s="14"/>
      <c r="J676" s="14"/>
      <c r="K676" s="12"/>
    </row>
    <row r="677" ht="19.5" customHeight="1">
      <c r="A677" s="12"/>
      <c r="C677" s="12"/>
      <c r="D677" s="87"/>
      <c r="F677" s="14"/>
      <c r="G677" s="14"/>
      <c r="H677" s="14"/>
      <c r="I677" s="14"/>
      <c r="J677" s="14"/>
      <c r="K677" s="12"/>
    </row>
    <row r="678" ht="19.5" customHeight="1">
      <c r="A678" s="12"/>
      <c r="C678" s="12"/>
      <c r="D678" s="87"/>
      <c r="F678" s="14"/>
      <c r="G678" s="14"/>
      <c r="H678" s="14"/>
      <c r="I678" s="14"/>
      <c r="J678" s="14"/>
      <c r="K678" s="12"/>
    </row>
    <row r="679" ht="19.5" customHeight="1">
      <c r="A679" s="12"/>
      <c r="C679" s="12"/>
      <c r="D679" s="87"/>
      <c r="F679" s="14"/>
      <c r="G679" s="14"/>
      <c r="H679" s="14"/>
      <c r="I679" s="14"/>
      <c r="J679" s="14"/>
      <c r="K679" s="12"/>
    </row>
    <row r="680" ht="19.5" customHeight="1">
      <c r="A680" s="12"/>
      <c r="C680" s="12"/>
      <c r="D680" s="87"/>
      <c r="F680" s="14"/>
      <c r="G680" s="14"/>
      <c r="H680" s="14"/>
      <c r="I680" s="14"/>
      <c r="J680" s="14"/>
      <c r="K680" s="12"/>
    </row>
    <row r="681" ht="19.5" customHeight="1">
      <c r="A681" s="12"/>
      <c r="C681" s="12"/>
      <c r="D681" s="87"/>
      <c r="F681" s="14"/>
      <c r="G681" s="14"/>
      <c r="H681" s="14"/>
      <c r="I681" s="14"/>
      <c r="J681" s="14"/>
      <c r="K681" s="12"/>
    </row>
    <row r="682" ht="19.5" customHeight="1">
      <c r="A682" s="12"/>
      <c r="C682" s="12"/>
      <c r="D682" s="87"/>
      <c r="F682" s="14"/>
      <c r="G682" s="14"/>
      <c r="H682" s="14"/>
      <c r="I682" s="14"/>
      <c r="J682" s="14"/>
      <c r="K682" s="12"/>
    </row>
    <row r="683" ht="19.5" customHeight="1">
      <c r="A683" s="12"/>
      <c r="C683" s="12"/>
      <c r="D683" s="87"/>
      <c r="F683" s="14"/>
      <c r="G683" s="14"/>
      <c r="H683" s="14"/>
      <c r="I683" s="14"/>
      <c r="J683" s="14"/>
      <c r="K683" s="12"/>
    </row>
    <row r="684" ht="19.5" customHeight="1">
      <c r="A684" s="12"/>
      <c r="C684" s="12"/>
      <c r="D684" s="87"/>
      <c r="F684" s="14"/>
      <c r="G684" s="14"/>
      <c r="H684" s="14"/>
      <c r="I684" s="14"/>
      <c r="J684" s="14"/>
      <c r="K684" s="12"/>
    </row>
    <row r="685" ht="19.5" customHeight="1">
      <c r="A685" s="12"/>
      <c r="C685" s="12"/>
      <c r="D685" s="87"/>
      <c r="F685" s="14"/>
      <c r="G685" s="14"/>
      <c r="H685" s="14"/>
      <c r="I685" s="14"/>
      <c r="J685" s="14"/>
      <c r="K685" s="12"/>
    </row>
    <row r="686" ht="19.5" customHeight="1">
      <c r="A686" s="12"/>
      <c r="C686" s="12"/>
      <c r="D686" s="87"/>
      <c r="F686" s="14"/>
      <c r="G686" s="14"/>
      <c r="H686" s="14"/>
      <c r="I686" s="14"/>
      <c r="J686" s="14"/>
      <c r="K686" s="12"/>
    </row>
    <row r="687" ht="19.5" customHeight="1">
      <c r="A687" s="12"/>
      <c r="C687" s="12"/>
      <c r="D687" s="87"/>
      <c r="F687" s="14"/>
      <c r="G687" s="14"/>
      <c r="H687" s="14"/>
      <c r="I687" s="14"/>
      <c r="J687" s="14"/>
      <c r="K687" s="12"/>
    </row>
    <row r="688" ht="19.5" customHeight="1">
      <c r="A688" s="12"/>
      <c r="C688" s="12"/>
      <c r="D688" s="87"/>
      <c r="F688" s="14"/>
      <c r="G688" s="14"/>
      <c r="H688" s="14"/>
      <c r="I688" s="14"/>
      <c r="J688" s="14"/>
      <c r="K688" s="12"/>
    </row>
    <row r="689" ht="19.5" customHeight="1">
      <c r="A689" s="12"/>
      <c r="C689" s="12"/>
      <c r="D689" s="87"/>
      <c r="F689" s="14"/>
      <c r="G689" s="14"/>
      <c r="H689" s="14"/>
      <c r="I689" s="14"/>
      <c r="J689" s="14"/>
      <c r="K689" s="12"/>
    </row>
    <row r="690" ht="19.5" customHeight="1">
      <c r="A690" s="12"/>
      <c r="C690" s="12"/>
      <c r="D690" s="87"/>
      <c r="F690" s="14"/>
      <c r="G690" s="14"/>
      <c r="H690" s="14"/>
      <c r="I690" s="14"/>
      <c r="J690" s="14"/>
      <c r="K690" s="12"/>
    </row>
    <row r="691" ht="19.5" customHeight="1">
      <c r="A691" s="12"/>
      <c r="C691" s="12"/>
      <c r="D691" s="87"/>
      <c r="F691" s="14"/>
      <c r="G691" s="14"/>
      <c r="H691" s="14"/>
      <c r="I691" s="14"/>
      <c r="J691" s="14"/>
      <c r="K691" s="12"/>
    </row>
    <row r="692" ht="19.5" customHeight="1">
      <c r="A692" s="12"/>
      <c r="C692" s="12"/>
      <c r="D692" s="87"/>
      <c r="F692" s="14"/>
      <c r="G692" s="14"/>
      <c r="H692" s="14"/>
      <c r="I692" s="14"/>
      <c r="J692" s="14"/>
      <c r="K692" s="12"/>
    </row>
    <row r="693" ht="19.5" customHeight="1">
      <c r="A693" s="12"/>
      <c r="C693" s="12"/>
      <c r="D693" s="87"/>
      <c r="F693" s="14"/>
      <c r="G693" s="14"/>
      <c r="H693" s="14"/>
      <c r="I693" s="14"/>
      <c r="J693" s="14"/>
      <c r="K693" s="12"/>
    </row>
    <row r="694" ht="19.5" customHeight="1">
      <c r="A694" s="12"/>
      <c r="C694" s="12"/>
      <c r="D694" s="87"/>
      <c r="F694" s="14"/>
      <c r="G694" s="14"/>
      <c r="H694" s="14"/>
      <c r="I694" s="14"/>
      <c r="J694" s="14"/>
      <c r="K694" s="12"/>
    </row>
    <row r="695" ht="19.5" customHeight="1">
      <c r="A695" s="12"/>
      <c r="C695" s="12"/>
      <c r="D695" s="87"/>
      <c r="F695" s="14"/>
      <c r="G695" s="14"/>
      <c r="H695" s="14"/>
      <c r="I695" s="14"/>
      <c r="J695" s="14"/>
      <c r="K695" s="12"/>
    </row>
    <row r="696" ht="19.5" customHeight="1">
      <c r="A696" s="12"/>
      <c r="C696" s="12"/>
      <c r="D696" s="87"/>
      <c r="F696" s="14"/>
      <c r="G696" s="14"/>
      <c r="H696" s="14"/>
      <c r="I696" s="14"/>
      <c r="J696" s="14"/>
      <c r="K696" s="12"/>
    </row>
    <row r="697" ht="19.5" customHeight="1">
      <c r="A697" s="12"/>
      <c r="C697" s="12"/>
      <c r="D697" s="87"/>
      <c r="F697" s="14"/>
      <c r="G697" s="14"/>
      <c r="H697" s="14"/>
      <c r="I697" s="14"/>
      <c r="J697" s="14"/>
      <c r="K697" s="12"/>
    </row>
    <row r="698" ht="19.5" customHeight="1">
      <c r="A698" s="12"/>
      <c r="C698" s="12"/>
      <c r="D698" s="87"/>
      <c r="F698" s="14"/>
      <c r="G698" s="14"/>
      <c r="H698" s="14"/>
      <c r="I698" s="14"/>
      <c r="J698" s="14"/>
      <c r="K698" s="12"/>
    </row>
    <row r="699" ht="19.5" customHeight="1">
      <c r="A699" s="12"/>
      <c r="C699" s="12"/>
      <c r="D699" s="87"/>
      <c r="F699" s="14"/>
      <c r="G699" s="14"/>
      <c r="H699" s="14"/>
      <c r="I699" s="14"/>
      <c r="J699" s="14"/>
      <c r="K699" s="12"/>
    </row>
    <row r="700" ht="19.5" customHeight="1">
      <c r="A700" s="12"/>
      <c r="C700" s="12"/>
      <c r="D700" s="87"/>
      <c r="F700" s="14"/>
      <c r="G700" s="14"/>
      <c r="H700" s="14"/>
      <c r="I700" s="14"/>
      <c r="J700" s="14"/>
      <c r="K700" s="12"/>
    </row>
    <row r="701" ht="19.5" customHeight="1">
      <c r="A701" s="12"/>
      <c r="C701" s="12"/>
      <c r="D701" s="87"/>
      <c r="F701" s="14"/>
      <c r="G701" s="14"/>
      <c r="H701" s="14"/>
      <c r="I701" s="14"/>
      <c r="J701" s="14"/>
      <c r="K701" s="12"/>
    </row>
    <row r="702" ht="19.5" customHeight="1">
      <c r="A702" s="12"/>
      <c r="C702" s="12"/>
      <c r="D702" s="87"/>
      <c r="F702" s="14"/>
      <c r="G702" s="14"/>
      <c r="H702" s="14"/>
      <c r="I702" s="14"/>
      <c r="J702" s="14"/>
      <c r="K702" s="12"/>
    </row>
    <row r="703" ht="19.5" customHeight="1">
      <c r="A703" s="12"/>
      <c r="C703" s="12"/>
      <c r="D703" s="87"/>
      <c r="F703" s="14"/>
      <c r="G703" s="14"/>
      <c r="H703" s="14"/>
      <c r="I703" s="14"/>
      <c r="J703" s="14"/>
      <c r="K703" s="12"/>
    </row>
    <row r="704" ht="19.5" customHeight="1">
      <c r="A704" s="12"/>
      <c r="C704" s="12"/>
      <c r="D704" s="87"/>
      <c r="F704" s="14"/>
      <c r="G704" s="14"/>
      <c r="H704" s="14"/>
      <c r="I704" s="14"/>
      <c r="J704" s="14"/>
      <c r="K704" s="12"/>
    </row>
    <row r="705" ht="19.5" customHeight="1">
      <c r="A705" s="12"/>
      <c r="C705" s="12"/>
      <c r="D705" s="87"/>
      <c r="F705" s="14"/>
      <c r="G705" s="14"/>
      <c r="H705" s="14"/>
      <c r="I705" s="14"/>
      <c r="J705" s="14"/>
      <c r="K705" s="12"/>
    </row>
    <row r="706" ht="19.5" customHeight="1">
      <c r="A706" s="12"/>
      <c r="C706" s="12"/>
      <c r="D706" s="87"/>
      <c r="F706" s="14"/>
      <c r="G706" s="14"/>
      <c r="H706" s="14"/>
      <c r="I706" s="14"/>
      <c r="J706" s="14"/>
      <c r="K706" s="12"/>
    </row>
    <row r="707" ht="19.5" customHeight="1">
      <c r="A707" s="12"/>
      <c r="C707" s="12"/>
      <c r="D707" s="87"/>
      <c r="F707" s="14"/>
      <c r="G707" s="14"/>
      <c r="H707" s="14"/>
      <c r="I707" s="14"/>
      <c r="J707" s="14"/>
      <c r="K707" s="12"/>
    </row>
    <row r="708" ht="19.5" customHeight="1">
      <c r="A708" s="12"/>
      <c r="C708" s="12"/>
      <c r="D708" s="87"/>
      <c r="F708" s="14"/>
      <c r="G708" s="14"/>
      <c r="H708" s="14"/>
      <c r="I708" s="14"/>
      <c r="J708" s="14"/>
      <c r="K708" s="12"/>
    </row>
    <row r="709" ht="19.5" customHeight="1">
      <c r="A709" s="12"/>
      <c r="C709" s="12"/>
      <c r="D709" s="87"/>
      <c r="F709" s="14"/>
      <c r="G709" s="14"/>
      <c r="H709" s="14"/>
      <c r="I709" s="14"/>
      <c r="J709" s="14"/>
      <c r="K709" s="12"/>
    </row>
    <row r="710" ht="19.5" customHeight="1">
      <c r="A710" s="12"/>
      <c r="C710" s="12"/>
      <c r="D710" s="87"/>
      <c r="F710" s="14"/>
      <c r="G710" s="14"/>
      <c r="H710" s="14"/>
      <c r="I710" s="14"/>
      <c r="J710" s="14"/>
      <c r="K710" s="12"/>
    </row>
    <row r="711" ht="19.5" customHeight="1">
      <c r="A711" s="12"/>
      <c r="C711" s="12"/>
      <c r="D711" s="87"/>
      <c r="F711" s="14"/>
      <c r="G711" s="14"/>
      <c r="H711" s="14"/>
      <c r="I711" s="14"/>
      <c r="J711" s="14"/>
      <c r="K711" s="12"/>
    </row>
    <row r="712" ht="19.5" customHeight="1">
      <c r="A712" s="12"/>
      <c r="C712" s="12"/>
      <c r="D712" s="87"/>
      <c r="F712" s="14"/>
      <c r="G712" s="14"/>
      <c r="H712" s="14"/>
      <c r="I712" s="14"/>
      <c r="J712" s="14"/>
      <c r="K712" s="12"/>
    </row>
    <row r="713" ht="19.5" customHeight="1">
      <c r="A713" s="12"/>
      <c r="C713" s="12"/>
      <c r="D713" s="87"/>
      <c r="F713" s="14"/>
      <c r="G713" s="14"/>
      <c r="H713" s="14"/>
      <c r="I713" s="14"/>
      <c r="J713" s="14"/>
      <c r="K713" s="12"/>
    </row>
    <row r="714" ht="19.5" customHeight="1">
      <c r="A714" s="12"/>
      <c r="C714" s="12"/>
      <c r="D714" s="87"/>
      <c r="F714" s="14"/>
      <c r="G714" s="14"/>
      <c r="H714" s="14"/>
      <c r="I714" s="14"/>
      <c r="J714" s="14"/>
      <c r="K714" s="12"/>
    </row>
    <row r="715" ht="19.5" customHeight="1">
      <c r="A715" s="12"/>
      <c r="C715" s="12"/>
      <c r="D715" s="87"/>
      <c r="F715" s="14"/>
      <c r="G715" s="14"/>
      <c r="H715" s="14"/>
      <c r="I715" s="14"/>
      <c r="J715" s="14"/>
      <c r="K715" s="12"/>
    </row>
    <row r="716" ht="19.5" customHeight="1">
      <c r="A716" s="12"/>
      <c r="C716" s="12"/>
      <c r="D716" s="87"/>
      <c r="F716" s="14"/>
      <c r="G716" s="14"/>
      <c r="H716" s="14"/>
      <c r="I716" s="14"/>
      <c r="J716" s="14"/>
      <c r="K716" s="12"/>
    </row>
    <row r="717" ht="19.5" customHeight="1">
      <c r="A717" s="12"/>
      <c r="C717" s="12"/>
      <c r="D717" s="87"/>
      <c r="F717" s="14"/>
      <c r="G717" s="14"/>
      <c r="H717" s="14"/>
      <c r="I717" s="14"/>
      <c r="J717" s="14"/>
      <c r="K717" s="12"/>
    </row>
    <row r="718" ht="19.5" customHeight="1">
      <c r="A718" s="12"/>
      <c r="C718" s="12"/>
      <c r="D718" s="87"/>
      <c r="F718" s="14"/>
      <c r="G718" s="14"/>
      <c r="H718" s="14"/>
      <c r="I718" s="14"/>
      <c r="J718" s="14"/>
      <c r="K718" s="12"/>
    </row>
    <row r="719" ht="19.5" customHeight="1">
      <c r="A719" s="12"/>
      <c r="C719" s="12"/>
      <c r="D719" s="87"/>
      <c r="F719" s="14"/>
      <c r="G719" s="14"/>
      <c r="H719" s="14"/>
      <c r="I719" s="14"/>
      <c r="J719" s="14"/>
      <c r="K719" s="12"/>
    </row>
    <row r="720" ht="19.5" customHeight="1">
      <c r="A720" s="12"/>
      <c r="C720" s="12"/>
      <c r="D720" s="87"/>
      <c r="F720" s="14"/>
      <c r="G720" s="14"/>
      <c r="H720" s="14"/>
      <c r="I720" s="14"/>
      <c r="J720" s="14"/>
      <c r="K720" s="12"/>
    </row>
    <row r="721" ht="19.5" customHeight="1">
      <c r="A721" s="12"/>
      <c r="C721" s="12"/>
      <c r="D721" s="87"/>
      <c r="F721" s="14"/>
      <c r="G721" s="14"/>
      <c r="H721" s="14"/>
      <c r="I721" s="14"/>
      <c r="J721" s="14"/>
      <c r="K721" s="12"/>
    </row>
    <row r="722" ht="19.5" customHeight="1">
      <c r="A722" s="12"/>
      <c r="C722" s="12"/>
      <c r="D722" s="87"/>
      <c r="F722" s="14"/>
      <c r="G722" s="14"/>
      <c r="H722" s="14"/>
      <c r="I722" s="14"/>
      <c r="J722" s="14"/>
      <c r="K722" s="12"/>
    </row>
    <row r="723" ht="19.5" customHeight="1">
      <c r="A723" s="12"/>
      <c r="C723" s="12"/>
      <c r="D723" s="87"/>
      <c r="F723" s="14"/>
      <c r="G723" s="14"/>
      <c r="H723" s="14"/>
      <c r="I723" s="14"/>
      <c r="J723" s="14"/>
      <c r="K723" s="12"/>
    </row>
    <row r="724" ht="19.5" customHeight="1">
      <c r="A724" s="12"/>
      <c r="C724" s="12"/>
      <c r="D724" s="87"/>
      <c r="F724" s="14"/>
      <c r="G724" s="14"/>
      <c r="H724" s="14"/>
      <c r="I724" s="14"/>
      <c r="J724" s="14"/>
      <c r="K724" s="12"/>
    </row>
    <row r="725" ht="19.5" customHeight="1">
      <c r="A725" s="12"/>
      <c r="C725" s="12"/>
      <c r="D725" s="87"/>
      <c r="F725" s="14"/>
      <c r="G725" s="14"/>
      <c r="H725" s="14"/>
      <c r="I725" s="14"/>
      <c r="J725" s="14"/>
      <c r="K725" s="12"/>
    </row>
    <row r="726" ht="19.5" customHeight="1">
      <c r="A726" s="12"/>
      <c r="C726" s="12"/>
      <c r="D726" s="87"/>
      <c r="F726" s="14"/>
      <c r="G726" s="14"/>
      <c r="H726" s="14"/>
      <c r="I726" s="14"/>
      <c r="J726" s="14"/>
      <c r="K726" s="12"/>
    </row>
    <row r="727" ht="19.5" customHeight="1">
      <c r="A727" s="12"/>
      <c r="C727" s="12"/>
      <c r="D727" s="87"/>
      <c r="F727" s="14"/>
      <c r="G727" s="14"/>
      <c r="H727" s="14"/>
      <c r="I727" s="14"/>
      <c r="J727" s="14"/>
      <c r="K727" s="12"/>
    </row>
    <row r="728" ht="19.5" customHeight="1">
      <c r="A728" s="12"/>
      <c r="C728" s="12"/>
      <c r="D728" s="87"/>
      <c r="F728" s="14"/>
      <c r="G728" s="14"/>
      <c r="H728" s="14"/>
      <c r="I728" s="14"/>
      <c r="J728" s="14"/>
      <c r="K728" s="12"/>
    </row>
    <row r="729" ht="19.5" customHeight="1">
      <c r="A729" s="12"/>
      <c r="C729" s="12"/>
      <c r="D729" s="87"/>
      <c r="F729" s="14"/>
      <c r="G729" s="14"/>
      <c r="H729" s="14"/>
      <c r="I729" s="14"/>
      <c r="J729" s="14"/>
      <c r="K729" s="12"/>
    </row>
    <row r="730" ht="19.5" customHeight="1">
      <c r="A730" s="12"/>
      <c r="C730" s="12"/>
      <c r="D730" s="87"/>
      <c r="F730" s="14"/>
      <c r="G730" s="14"/>
      <c r="H730" s="14"/>
      <c r="I730" s="14"/>
      <c r="J730" s="14"/>
      <c r="K730" s="12"/>
    </row>
    <row r="731" ht="19.5" customHeight="1">
      <c r="A731" s="12"/>
      <c r="C731" s="12"/>
      <c r="D731" s="87"/>
      <c r="F731" s="14"/>
      <c r="G731" s="14"/>
      <c r="H731" s="14"/>
      <c r="I731" s="14"/>
      <c r="J731" s="14"/>
      <c r="K731" s="12"/>
    </row>
    <row r="732" ht="19.5" customHeight="1">
      <c r="A732" s="12"/>
      <c r="C732" s="12"/>
      <c r="D732" s="87"/>
      <c r="F732" s="14"/>
      <c r="G732" s="14"/>
      <c r="H732" s="14"/>
      <c r="I732" s="14"/>
      <c r="J732" s="14"/>
      <c r="K732" s="12"/>
    </row>
    <row r="733" ht="19.5" customHeight="1">
      <c r="A733" s="12"/>
      <c r="C733" s="12"/>
      <c r="D733" s="87"/>
      <c r="F733" s="14"/>
      <c r="G733" s="14"/>
      <c r="H733" s="14"/>
      <c r="I733" s="14"/>
      <c r="J733" s="14"/>
      <c r="K733" s="12"/>
    </row>
    <row r="734" ht="19.5" customHeight="1">
      <c r="A734" s="12"/>
      <c r="C734" s="12"/>
      <c r="D734" s="87"/>
      <c r="F734" s="14"/>
      <c r="G734" s="14"/>
      <c r="H734" s="14"/>
      <c r="I734" s="14"/>
      <c r="J734" s="14"/>
      <c r="K734" s="12"/>
    </row>
    <row r="735" ht="19.5" customHeight="1">
      <c r="A735" s="12"/>
      <c r="C735" s="12"/>
      <c r="D735" s="87"/>
      <c r="F735" s="14"/>
      <c r="G735" s="14"/>
      <c r="H735" s="14"/>
      <c r="I735" s="14"/>
      <c r="J735" s="14"/>
      <c r="K735" s="12"/>
    </row>
    <row r="736" ht="19.5" customHeight="1">
      <c r="A736" s="12"/>
      <c r="C736" s="12"/>
      <c r="D736" s="87"/>
      <c r="F736" s="14"/>
      <c r="G736" s="14"/>
      <c r="H736" s="14"/>
      <c r="I736" s="14"/>
      <c r="J736" s="14"/>
      <c r="K736" s="12"/>
    </row>
    <row r="737" ht="19.5" customHeight="1">
      <c r="A737" s="12"/>
      <c r="C737" s="12"/>
      <c r="D737" s="87"/>
      <c r="F737" s="14"/>
      <c r="G737" s="14"/>
      <c r="H737" s="14"/>
      <c r="I737" s="14"/>
      <c r="J737" s="14"/>
      <c r="K737" s="12"/>
    </row>
    <row r="738" ht="19.5" customHeight="1">
      <c r="A738" s="12"/>
      <c r="C738" s="12"/>
      <c r="D738" s="87"/>
      <c r="F738" s="14"/>
      <c r="G738" s="14"/>
      <c r="H738" s="14"/>
      <c r="I738" s="14"/>
      <c r="J738" s="14"/>
      <c r="K738" s="12"/>
    </row>
    <row r="739" ht="19.5" customHeight="1">
      <c r="A739" s="12"/>
      <c r="C739" s="12"/>
      <c r="D739" s="87"/>
      <c r="F739" s="14"/>
      <c r="G739" s="14"/>
      <c r="H739" s="14"/>
      <c r="I739" s="14"/>
      <c r="J739" s="14"/>
      <c r="K739" s="12"/>
    </row>
    <row r="740" ht="19.5" customHeight="1">
      <c r="A740" s="12"/>
      <c r="C740" s="12"/>
      <c r="D740" s="87"/>
      <c r="F740" s="14"/>
      <c r="G740" s="14"/>
      <c r="H740" s="14"/>
      <c r="I740" s="14"/>
      <c r="J740" s="14"/>
      <c r="K740" s="12"/>
    </row>
    <row r="741" ht="19.5" customHeight="1">
      <c r="A741" s="12"/>
      <c r="C741" s="12"/>
      <c r="D741" s="87"/>
      <c r="F741" s="14"/>
      <c r="G741" s="14"/>
      <c r="H741" s="14"/>
      <c r="I741" s="14"/>
      <c r="J741" s="14"/>
      <c r="K741" s="12"/>
    </row>
    <row r="742" ht="19.5" customHeight="1">
      <c r="A742" s="12"/>
      <c r="C742" s="12"/>
      <c r="D742" s="87"/>
      <c r="F742" s="14"/>
      <c r="G742" s="14"/>
      <c r="H742" s="14"/>
      <c r="I742" s="14"/>
      <c r="J742" s="14"/>
      <c r="K742" s="12"/>
    </row>
    <row r="743" ht="19.5" customHeight="1">
      <c r="A743" s="12"/>
      <c r="C743" s="12"/>
      <c r="D743" s="87"/>
      <c r="F743" s="14"/>
      <c r="G743" s="14"/>
      <c r="H743" s="14"/>
      <c r="I743" s="14"/>
      <c r="J743" s="14"/>
      <c r="K743" s="12"/>
    </row>
    <row r="744" ht="19.5" customHeight="1">
      <c r="A744" s="12"/>
      <c r="C744" s="12"/>
      <c r="D744" s="87"/>
      <c r="F744" s="14"/>
      <c r="G744" s="14"/>
      <c r="H744" s="14"/>
      <c r="I744" s="14"/>
      <c r="J744" s="14"/>
      <c r="K744" s="12"/>
    </row>
    <row r="745" ht="19.5" customHeight="1">
      <c r="A745" s="12"/>
      <c r="C745" s="12"/>
      <c r="D745" s="87"/>
      <c r="F745" s="14"/>
      <c r="G745" s="14"/>
      <c r="H745" s="14"/>
      <c r="I745" s="14"/>
      <c r="J745" s="14"/>
      <c r="K745" s="12"/>
    </row>
    <row r="746" ht="19.5" customHeight="1">
      <c r="A746" s="12"/>
      <c r="C746" s="12"/>
      <c r="D746" s="87"/>
      <c r="F746" s="14"/>
      <c r="G746" s="14"/>
      <c r="H746" s="14"/>
      <c r="I746" s="14"/>
      <c r="J746" s="14"/>
      <c r="K746" s="12"/>
    </row>
    <row r="747" ht="19.5" customHeight="1">
      <c r="A747" s="12"/>
      <c r="C747" s="12"/>
      <c r="D747" s="87"/>
      <c r="F747" s="14"/>
      <c r="G747" s="14"/>
      <c r="H747" s="14"/>
      <c r="I747" s="14"/>
      <c r="J747" s="14"/>
      <c r="K747" s="12"/>
    </row>
    <row r="748" ht="19.5" customHeight="1">
      <c r="A748" s="12"/>
      <c r="C748" s="12"/>
      <c r="D748" s="87"/>
      <c r="F748" s="14"/>
      <c r="G748" s="14"/>
      <c r="H748" s="14"/>
      <c r="I748" s="14"/>
      <c r="J748" s="14"/>
      <c r="K748" s="12"/>
    </row>
    <row r="749" ht="19.5" customHeight="1">
      <c r="A749" s="12"/>
      <c r="C749" s="12"/>
      <c r="D749" s="87"/>
      <c r="F749" s="14"/>
      <c r="G749" s="14"/>
      <c r="H749" s="14"/>
      <c r="I749" s="14"/>
      <c r="J749" s="14"/>
      <c r="K749" s="12"/>
    </row>
    <row r="750" ht="19.5" customHeight="1">
      <c r="A750" s="12"/>
      <c r="C750" s="12"/>
      <c r="D750" s="87"/>
      <c r="F750" s="14"/>
      <c r="G750" s="14"/>
      <c r="H750" s="14"/>
      <c r="I750" s="14"/>
      <c r="J750" s="14"/>
      <c r="K750" s="12"/>
    </row>
    <row r="751" ht="19.5" customHeight="1">
      <c r="A751" s="12"/>
      <c r="C751" s="12"/>
      <c r="D751" s="87"/>
      <c r="F751" s="14"/>
      <c r="G751" s="14"/>
      <c r="H751" s="14"/>
      <c r="I751" s="14"/>
      <c r="J751" s="14"/>
      <c r="K751" s="12"/>
    </row>
    <row r="752" ht="19.5" customHeight="1">
      <c r="A752" s="12"/>
      <c r="C752" s="12"/>
      <c r="D752" s="87"/>
      <c r="F752" s="14"/>
      <c r="G752" s="14"/>
      <c r="H752" s="14"/>
      <c r="I752" s="14"/>
      <c r="J752" s="14"/>
      <c r="K752" s="12"/>
    </row>
    <row r="753" ht="19.5" customHeight="1">
      <c r="A753" s="12"/>
      <c r="C753" s="12"/>
      <c r="D753" s="87"/>
      <c r="F753" s="14"/>
      <c r="G753" s="14"/>
      <c r="H753" s="14"/>
      <c r="I753" s="14"/>
      <c r="J753" s="14"/>
      <c r="K753" s="12"/>
    </row>
    <row r="754" ht="19.5" customHeight="1">
      <c r="A754" s="12"/>
      <c r="C754" s="12"/>
      <c r="D754" s="87"/>
      <c r="F754" s="14"/>
      <c r="G754" s="14"/>
      <c r="H754" s="14"/>
      <c r="I754" s="14"/>
      <c r="J754" s="14"/>
      <c r="K754" s="12"/>
    </row>
    <row r="755" ht="19.5" customHeight="1">
      <c r="A755" s="12"/>
      <c r="C755" s="12"/>
      <c r="D755" s="87"/>
      <c r="F755" s="14"/>
      <c r="G755" s="14"/>
      <c r="H755" s="14"/>
      <c r="I755" s="14"/>
      <c r="J755" s="14"/>
      <c r="K755" s="12"/>
    </row>
    <row r="756" ht="19.5" customHeight="1">
      <c r="A756" s="12"/>
      <c r="C756" s="12"/>
      <c r="D756" s="87"/>
      <c r="F756" s="14"/>
      <c r="G756" s="14"/>
      <c r="H756" s="14"/>
      <c r="I756" s="14"/>
      <c r="J756" s="14"/>
      <c r="K756" s="12"/>
    </row>
    <row r="757" ht="19.5" customHeight="1">
      <c r="A757" s="12"/>
      <c r="C757" s="12"/>
      <c r="D757" s="87"/>
      <c r="F757" s="14"/>
      <c r="G757" s="14"/>
      <c r="H757" s="14"/>
      <c r="I757" s="14"/>
      <c r="J757" s="14"/>
      <c r="K757" s="12"/>
    </row>
    <row r="758" ht="19.5" customHeight="1">
      <c r="A758" s="12"/>
      <c r="C758" s="12"/>
      <c r="D758" s="87"/>
      <c r="F758" s="14"/>
      <c r="G758" s="14"/>
      <c r="H758" s="14"/>
      <c r="I758" s="14"/>
      <c r="J758" s="14"/>
      <c r="K758" s="12"/>
    </row>
    <row r="759" ht="19.5" customHeight="1">
      <c r="A759" s="12"/>
      <c r="C759" s="12"/>
      <c r="D759" s="87"/>
      <c r="F759" s="14"/>
      <c r="G759" s="14"/>
      <c r="H759" s="14"/>
      <c r="I759" s="14"/>
      <c r="J759" s="14"/>
      <c r="K759" s="12"/>
    </row>
    <row r="760" ht="19.5" customHeight="1">
      <c r="A760" s="12"/>
      <c r="C760" s="12"/>
      <c r="D760" s="87"/>
      <c r="F760" s="14"/>
      <c r="G760" s="14"/>
      <c r="H760" s="14"/>
      <c r="I760" s="14"/>
      <c r="J760" s="14"/>
      <c r="K760" s="12"/>
    </row>
    <row r="761" ht="19.5" customHeight="1">
      <c r="A761" s="12"/>
      <c r="C761" s="12"/>
      <c r="D761" s="87"/>
      <c r="F761" s="14"/>
      <c r="G761" s="14"/>
      <c r="H761" s="14"/>
      <c r="I761" s="14"/>
      <c r="J761" s="14"/>
      <c r="K761" s="12"/>
    </row>
    <row r="762" ht="19.5" customHeight="1">
      <c r="A762" s="12"/>
      <c r="C762" s="12"/>
      <c r="D762" s="87"/>
      <c r="F762" s="14"/>
      <c r="G762" s="14"/>
      <c r="H762" s="14"/>
      <c r="I762" s="14"/>
      <c r="J762" s="14"/>
      <c r="K762" s="12"/>
    </row>
    <row r="763" ht="19.5" customHeight="1">
      <c r="A763" s="12"/>
      <c r="C763" s="12"/>
      <c r="D763" s="87"/>
      <c r="F763" s="14"/>
      <c r="G763" s="14"/>
      <c r="H763" s="14"/>
      <c r="I763" s="14"/>
      <c r="J763" s="14"/>
      <c r="K763" s="12"/>
    </row>
    <row r="764" ht="19.5" customHeight="1">
      <c r="A764" s="12"/>
      <c r="C764" s="12"/>
      <c r="D764" s="87"/>
      <c r="F764" s="14"/>
      <c r="G764" s="14"/>
      <c r="H764" s="14"/>
      <c r="I764" s="14"/>
      <c r="J764" s="14"/>
      <c r="K764" s="12"/>
    </row>
    <row r="765" ht="19.5" customHeight="1">
      <c r="A765" s="12"/>
      <c r="C765" s="12"/>
      <c r="D765" s="87"/>
      <c r="F765" s="14"/>
      <c r="G765" s="14"/>
      <c r="H765" s="14"/>
      <c r="I765" s="14"/>
      <c r="J765" s="14"/>
      <c r="K765" s="12"/>
    </row>
    <row r="766" ht="19.5" customHeight="1">
      <c r="A766" s="12"/>
      <c r="C766" s="12"/>
      <c r="D766" s="87"/>
      <c r="F766" s="14"/>
      <c r="G766" s="14"/>
      <c r="H766" s="14"/>
      <c r="I766" s="14"/>
      <c r="J766" s="14"/>
      <c r="K766" s="12"/>
    </row>
    <row r="767" ht="19.5" customHeight="1">
      <c r="A767" s="12"/>
      <c r="C767" s="12"/>
      <c r="D767" s="87"/>
      <c r="F767" s="14"/>
      <c r="G767" s="14"/>
      <c r="H767" s="14"/>
      <c r="I767" s="14"/>
      <c r="J767" s="14"/>
      <c r="K767" s="12"/>
    </row>
    <row r="768" ht="19.5" customHeight="1">
      <c r="A768" s="12"/>
      <c r="C768" s="12"/>
      <c r="D768" s="87"/>
      <c r="F768" s="14"/>
      <c r="G768" s="14"/>
      <c r="H768" s="14"/>
      <c r="I768" s="14"/>
      <c r="J768" s="14"/>
      <c r="K768" s="12"/>
    </row>
    <row r="769" ht="19.5" customHeight="1">
      <c r="A769" s="12"/>
      <c r="C769" s="12"/>
      <c r="D769" s="87"/>
      <c r="F769" s="14"/>
      <c r="G769" s="14"/>
      <c r="H769" s="14"/>
      <c r="I769" s="14"/>
      <c r="J769" s="14"/>
      <c r="K769" s="12"/>
    </row>
    <row r="770" ht="19.5" customHeight="1">
      <c r="A770" s="12"/>
      <c r="C770" s="12"/>
      <c r="D770" s="87"/>
      <c r="F770" s="14"/>
      <c r="G770" s="14"/>
      <c r="H770" s="14"/>
      <c r="I770" s="14"/>
      <c r="J770" s="14"/>
      <c r="K770" s="12"/>
    </row>
    <row r="771" ht="19.5" customHeight="1">
      <c r="A771" s="12"/>
      <c r="C771" s="12"/>
      <c r="D771" s="87"/>
      <c r="F771" s="14"/>
      <c r="G771" s="14"/>
      <c r="H771" s="14"/>
      <c r="I771" s="14"/>
      <c r="J771" s="14"/>
      <c r="K771" s="12"/>
    </row>
    <row r="772" ht="19.5" customHeight="1">
      <c r="A772" s="12"/>
      <c r="C772" s="12"/>
      <c r="D772" s="87"/>
      <c r="F772" s="14"/>
      <c r="G772" s="14"/>
      <c r="H772" s="14"/>
      <c r="I772" s="14"/>
      <c r="J772" s="14"/>
      <c r="K772" s="12"/>
    </row>
    <row r="773" ht="19.5" customHeight="1">
      <c r="A773" s="12"/>
      <c r="C773" s="12"/>
      <c r="D773" s="87"/>
      <c r="F773" s="14"/>
      <c r="G773" s="14"/>
      <c r="H773" s="14"/>
      <c r="I773" s="14"/>
      <c r="J773" s="14"/>
      <c r="K773" s="12"/>
    </row>
    <row r="774" ht="19.5" customHeight="1">
      <c r="A774" s="12"/>
      <c r="C774" s="12"/>
      <c r="D774" s="87"/>
      <c r="F774" s="14"/>
      <c r="G774" s="14"/>
      <c r="H774" s="14"/>
      <c r="I774" s="14"/>
      <c r="J774" s="14"/>
      <c r="K774" s="12"/>
    </row>
    <row r="775" ht="19.5" customHeight="1">
      <c r="A775" s="12"/>
      <c r="C775" s="12"/>
      <c r="D775" s="87"/>
      <c r="F775" s="14"/>
      <c r="G775" s="14"/>
      <c r="H775" s="14"/>
      <c r="I775" s="14"/>
      <c r="J775" s="14"/>
      <c r="K775" s="12"/>
    </row>
    <row r="776" ht="19.5" customHeight="1">
      <c r="A776" s="12"/>
      <c r="C776" s="12"/>
      <c r="D776" s="87"/>
      <c r="F776" s="14"/>
      <c r="G776" s="14"/>
      <c r="H776" s="14"/>
      <c r="I776" s="14"/>
      <c r="J776" s="14"/>
      <c r="K776" s="12"/>
    </row>
    <row r="777" ht="19.5" customHeight="1">
      <c r="A777" s="12"/>
      <c r="C777" s="12"/>
      <c r="D777" s="87"/>
      <c r="F777" s="14"/>
      <c r="G777" s="14"/>
      <c r="H777" s="14"/>
      <c r="I777" s="14"/>
      <c r="J777" s="14"/>
      <c r="K777" s="12"/>
    </row>
    <row r="778" ht="19.5" customHeight="1">
      <c r="A778" s="12"/>
      <c r="C778" s="12"/>
      <c r="D778" s="87"/>
      <c r="F778" s="14"/>
      <c r="G778" s="14"/>
      <c r="H778" s="14"/>
      <c r="I778" s="14"/>
      <c r="J778" s="14"/>
      <c r="K778" s="12"/>
    </row>
    <row r="779" ht="19.5" customHeight="1">
      <c r="A779" s="12"/>
      <c r="C779" s="12"/>
      <c r="D779" s="87"/>
      <c r="F779" s="14"/>
      <c r="G779" s="14"/>
      <c r="H779" s="14"/>
      <c r="I779" s="14"/>
      <c r="J779" s="14"/>
      <c r="K779" s="12"/>
    </row>
    <row r="780" ht="19.5" customHeight="1">
      <c r="A780" s="12"/>
      <c r="C780" s="12"/>
      <c r="D780" s="87"/>
      <c r="F780" s="14"/>
      <c r="G780" s="14"/>
      <c r="H780" s="14"/>
      <c r="I780" s="14"/>
      <c r="J780" s="14"/>
      <c r="K780" s="12"/>
    </row>
    <row r="781" ht="19.5" customHeight="1">
      <c r="A781" s="12"/>
      <c r="C781" s="12"/>
      <c r="D781" s="87"/>
      <c r="F781" s="14"/>
      <c r="G781" s="14"/>
      <c r="H781" s="14"/>
      <c r="I781" s="14"/>
      <c r="J781" s="14"/>
      <c r="K781" s="12"/>
    </row>
    <row r="782" ht="19.5" customHeight="1">
      <c r="A782" s="12"/>
      <c r="C782" s="12"/>
      <c r="D782" s="87"/>
      <c r="F782" s="14"/>
      <c r="G782" s="14"/>
      <c r="H782" s="14"/>
      <c r="I782" s="14"/>
      <c r="J782" s="14"/>
      <c r="K782" s="12"/>
    </row>
    <row r="783" ht="19.5" customHeight="1">
      <c r="A783" s="12"/>
      <c r="C783" s="12"/>
      <c r="D783" s="87"/>
      <c r="F783" s="14"/>
      <c r="G783" s="14"/>
      <c r="H783" s="14"/>
      <c r="I783" s="14"/>
      <c r="J783" s="14"/>
      <c r="K783" s="12"/>
    </row>
    <row r="784" ht="19.5" customHeight="1">
      <c r="A784" s="12"/>
      <c r="C784" s="12"/>
      <c r="D784" s="87"/>
      <c r="F784" s="14"/>
      <c r="G784" s="14"/>
      <c r="H784" s="14"/>
      <c r="I784" s="14"/>
      <c r="J784" s="14"/>
      <c r="K784" s="12"/>
    </row>
    <row r="785" ht="19.5" customHeight="1">
      <c r="A785" s="12"/>
      <c r="C785" s="12"/>
      <c r="D785" s="87"/>
      <c r="F785" s="14"/>
      <c r="G785" s="14"/>
      <c r="H785" s="14"/>
      <c r="I785" s="14"/>
      <c r="J785" s="14"/>
      <c r="K785" s="12"/>
    </row>
    <row r="786" ht="19.5" customHeight="1">
      <c r="A786" s="12"/>
      <c r="C786" s="12"/>
      <c r="D786" s="87"/>
      <c r="F786" s="14"/>
      <c r="G786" s="14"/>
      <c r="H786" s="14"/>
      <c r="I786" s="14"/>
      <c r="J786" s="14"/>
      <c r="K786" s="12"/>
    </row>
    <row r="787" ht="19.5" customHeight="1">
      <c r="A787" s="12"/>
      <c r="C787" s="12"/>
      <c r="D787" s="87"/>
      <c r="F787" s="14"/>
      <c r="G787" s="14"/>
      <c r="H787" s="14"/>
      <c r="I787" s="14"/>
      <c r="J787" s="14"/>
      <c r="K787" s="12"/>
    </row>
    <row r="788" ht="19.5" customHeight="1">
      <c r="A788" s="12"/>
      <c r="C788" s="12"/>
      <c r="D788" s="87"/>
      <c r="F788" s="14"/>
      <c r="G788" s="14"/>
      <c r="H788" s="14"/>
      <c r="I788" s="14"/>
      <c r="J788" s="14"/>
      <c r="K788" s="12"/>
    </row>
    <row r="789" ht="19.5" customHeight="1">
      <c r="A789" s="12"/>
      <c r="C789" s="12"/>
      <c r="D789" s="87"/>
      <c r="F789" s="14"/>
      <c r="G789" s="14"/>
      <c r="H789" s="14"/>
      <c r="I789" s="14"/>
      <c r="J789" s="14"/>
      <c r="K789" s="12"/>
    </row>
    <row r="790" ht="19.5" customHeight="1">
      <c r="A790" s="12"/>
      <c r="C790" s="12"/>
      <c r="D790" s="87"/>
      <c r="F790" s="14"/>
      <c r="G790" s="14"/>
      <c r="H790" s="14"/>
      <c r="I790" s="14"/>
      <c r="J790" s="14"/>
      <c r="K790" s="12"/>
    </row>
    <row r="791" ht="19.5" customHeight="1">
      <c r="A791" s="12"/>
      <c r="C791" s="12"/>
      <c r="D791" s="87"/>
      <c r="F791" s="14"/>
      <c r="G791" s="14"/>
      <c r="H791" s="14"/>
      <c r="I791" s="14"/>
      <c r="J791" s="14"/>
      <c r="K791" s="12"/>
    </row>
    <row r="792" ht="19.5" customHeight="1">
      <c r="A792" s="12"/>
      <c r="C792" s="12"/>
      <c r="D792" s="87"/>
      <c r="F792" s="14"/>
      <c r="G792" s="14"/>
      <c r="H792" s="14"/>
      <c r="I792" s="14"/>
      <c r="J792" s="14"/>
      <c r="K792" s="12"/>
    </row>
    <row r="793" ht="19.5" customHeight="1">
      <c r="A793" s="12"/>
      <c r="C793" s="12"/>
      <c r="D793" s="87"/>
      <c r="F793" s="14"/>
      <c r="G793" s="14"/>
      <c r="H793" s="14"/>
      <c r="I793" s="14"/>
      <c r="J793" s="14"/>
      <c r="K793" s="12"/>
    </row>
    <row r="794" ht="19.5" customHeight="1">
      <c r="A794" s="12"/>
      <c r="C794" s="12"/>
      <c r="D794" s="87"/>
      <c r="F794" s="14"/>
      <c r="G794" s="14"/>
      <c r="H794" s="14"/>
      <c r="I794" s="14"/>
      <c r="J794" s="14"/>
      <c r="K794" s="12"/>
    </row>
    <row r="795" ht="19.5" customHeight="1">
      <c r="A795" s="12"/>
      <c r="C795" s="12"/>
      <c r="D795" s="87"/>
      <c r="F795" s="14"/>
      <c r="G795" s="14"/>
      <c r="H795" s="14"/>
      <c r="I795" s="14"/>
      <c r="J795" s="14"/>
      <c r="K795" s="12"/>
    </row>
    <row r="796" ht="19.5" customHeight="1">
      <c r="A796" s="12"/>
      <c r="C796" s="12"/>
      <c r="D796" s="87"/>
      <c r="F796" s="14"/>
      <c r="G796" s="14"/>
      <c r="H796" s="14"/>
      <c r="I796" s="14"/>
      <c r="J796" s="14"/>
      <c r="K796" s="12"/>
    </row>
    <row r="797" ht="19.5" customHeight="1">
      <c r="A797" s="12"/>
      <c r="C797" s="12"/>
      <c r="D797" s="87"/>
      <c r="F797" s="14"/>
      <c r="G797" s="14"/>
      <c r="H797" s="14"/>
      <c r="I797" s="14"/>
      <c r="J797" s="14"/>
      <c r="K797" s="12"/>
    </row>
    <row r="798" ht="19.5" customHeight="1">
      <c r="A798" s="12"/>
      <c r="C798" s="12"/>
      <c r="D798" s="87"/>
      <c r="F798" s="14"/>
      <c r="G798" s="14"/>
      <c r="H798" s="14"/>
      <c r="I798" s="14"/>
      <c r="J798" s="14"/>
      <c r="K798" s="12"/>
    </row>
    <row r="799" ht="19.5" customHeight="1">
      <c r="A799" s="12"/>
      <c r="C799" s="12"/>
      <c r="D799" s="87"/>
      <c r="F799" s="14"/>
      <c r="G799" s="14"/>
      <c r="H799" s="14"/>
      <c r="I799" s="14"/>
      <c r="J799" s="14"/>
      <c r="K799" s="12"/>
    </row>
    <row r="800" ht="19.5" customHeight="1">
      <c r="A800" s="12"/>
      <c r="C800" s="12"/>
      <c r="D800" s="87"/>
      <c r="F800" s="14"/>
      <c r="G800" s="14"/>
      <c r="H800" s="14"/>
      <c r="I800" s="14"/>
      <c r="J800" s="14"/>
      <c r="K800" s="12"/>
    </row>
    <row r="801" ht="19.5" customHeight="1">
      <c r="A801" s="12"/>
      <c r="C801" s="12"/>
      <c r="D801" s="87"/>
      <c r="F801" s="14"/>
      <c r="G801" s="14"/>
      <c r="H801" s="14"/>
      <c r="I801" s="14"/>
      <c r="J801" s="14"/>
      <c r="K801" s="12"/>
    </row>
    <row r="802" ht="19.5" customHeight="1">
      <c r="A802" s="12"/>
      <c r="C802" s="12"/>
      <c r="D802" s="87"/>
      <c r="F802" s="14"/>
      <c r="G802" s="14"/>
      <c r="H802" s="14"/>
      <c r="I802" s="14"/>
      <c r="J802" s="14"/>
      <c r="K802" s="12"/>
    </row>
    <row r="803" ht="19.5" customHeight="1">
      <c r="A803" s="12"/>
      <c r="C803" s="12"/>
      <c r="D803" s="87"/>
      <c r="F803" s="14"/>
      <c r="G803" s="14"/>
      <c r="H803" s="14"/>
      <c r="I803" s="14"/>
      <c r="J803" s="14"/>
      <c r="K803" s="12"/>
    </row>
    <row r="804" ht="19.5" customHeight="1">
      <c r="A804" s="12"/>
      <c r="C804" s="12"/>
      <c r="D804" s="87"/>
      <c r="F804" s="14"/>
      <c r="G804" s="14"/>
      <c r="H804" s="14"/>
      <c r="I804" s="14"/>
      <c r="J804" s="14"/>
      <c r="K804" s="12"/>
    </row>
    <row r="805" ht="19.5" customHeight="1">
      <c r="A805" s="12"/>
      <c r="C805" s="12"/>
      <c r="D805" s="87"/>
      <c r="F805" s="14"/>
      <c r="G805" s="14"/>
      <c r="H805" s="14"/>
      <c r="I805" s="14"/>
      <c r="J805" s="14"/>
      <c r="K805" s="12"/>
    </row>
    <row r="806" ht="19.5" customHeight="1">
      <c r="A806" s="12"/>
      <c r="C806" s="12"/>
      <c r="D806" s="87"/>
      <c r="F806" s="14"/>
      <c r="G806" s="14"/>
      <c r="H806" s="14"/>
      <c r="I806" s="14"/>
      <c r="J806" s="14"/>
      <c r="K806" s="12"/>
    </row>
    <row r="807" ht="19.5" customHeight="1">
      <c r="A807" s="12"/>
      <c r="C807" s="12"/>
      <c r="D807" s="87"/>
      <c r="F807" s="14"/>
      <c r="G807" s="14"/>
      <c r="H807" s="14"/>
      <c r="I807" s="14"/>
      <c r="J807" s="14"/>
      <c r="K807" s="12"/>
    </row>
    <row r="808" ht="19.5" customHeight="1">
      <c r="A808" s="12"/>
      <c r="C808" s="12"/>
      <c r="D808" s="87"/>
      <c r="F808" s="14"/>
      <c r="G808" s="14"/>
      <c r="H808" s="14"/>
      <c r="I808" s="14"/>
      <c r="J808" s="14"/>
      <c r="K808" s="12"/>
    </row>
    <row r="809" ht="19.5" customHeight="1">
      <c r="A809" s="12"/>
      <c r="C809" s="12"/>
      <c r="D809" s="87"/>
      <c r="F809" s="14"/>
      <c r="G809" s="14"/>
      <c r="H809" s="14"/>
      <c r="I809" s="14"/>
      <c r="J809" s="14"/>
      <c r="K809" s="12"/>
    </row>
    <row r="810" ht="19.5" customHeight="1">
      <c r="A810" s="12"/>
      <c r="C810" s="12"/>
      <c r="D810" s="87"/>
      <c r="F810" s="14"/>
      <c r="G810" s="14"/>
      <c r="H810" s="14"/>
      <c r="I810" s="14"/>
      <c r="J810" s="14"/>
      <c r="K810" s="12"/>
    </row>
    <row r="811" ht="19.5" customHeight="1">
      <c r="A811" s="12"/>
      <c r="C811" s="12"/>
      <c r="D811" s="87"/>
      <c r="F811" s="14"/>
      <c r="G811" s="14"/>
      <c r="H811" s="14"/>
      <c r="I811" s="14"/>
      <c r="J811" s="14"/>
      <c r="K811" s="12"/>
    </row>
    <row r="812" ht="19.5" customHeight="1">
      <c r="A812" s="12"/>
      <c r="C812" s="12"/>
      <c r="D812" s="87"/>
      <c r="F812" s="14"/>
      <c r="G812" s="14"/>
      <c r="H812" s="14"/>
      <c r="I812" s="14"/>
      <c r="J812" s="14"/>
      <c r="K812" s="12"/>
    </row>
    <row r="813" ht="19.5" customHeight="1">
      <c r="A813" s="12"/>
      <c r="C813" s="12"/>
      <c r="D813" s="87"/>
      <c r="F813" s="14"/>
      <c r="G813" s="14"/>
      <c r="H813" s="14"/>
      <c r="I813" s="14"/>
      <c r="J813" s="14"/>
      <c r="K813" s="12"/>
    </row>
    <row r="814" ht="19.5" customHeight="1">
      <c r="A814" s="12"/>
      <c r="C814" s="12"/>
      <c r="D814" s="87"/>
      <c r="F814" s="14"/>
      <c r="G814" s="14"/>
      <c r="H814" s="14"/>
      <c r="I814" s="14"/>
      <c r="J814" s="14"/>
      <c r="K814" s="12"/>
    </row>
    <row r="815" ht="19.5" customHeight="1">
      <c r="A815" s="12"/>
      <c r="C815" s="12"/>
      <c r="D815" s="87"/>
      <c r="F815" s="14"/>
      <c r="G815" s="14"/>
      <c r="H815" s="14"/>
      <c r="I815" s="14"/>
      <c r="J815" s="14"/>
      <c r="K815" s="12"/>
    </row>
    <row r="816" ht="19.5" customHeight="1">
      <c r="A816" s="12"/>
      <c r="C816" s="12"/>
      <c r="D816" s="87"/>
      <c r="F816" s="14"/>
      <c r="G816" s="14"/>
      <c r="H816" s="14"/>
      <c r="I816" s="14"/>
      <c r="J816" s="14"/>
      <c r="K816" s="12"/>
    </row>
    <row r="817" ht="19.5" customHeight="1">
      <c r="A817" s="12"/>
      <c r="C817" s="12"/>
      <c r="D817" s="87"/>
      <c r="F817" s="14"/>
      <c r="G817" s="14"/>
      <c r="H817" s="14"/>
      <c r="I817" s="14"/>
      <c r="J817" s="14"/>
      <c r="K817" s="12"/>
    </row>
    <row r="818" ht="19.5" customHeight="1">
      <c r="A818" s="12"/>
      <c r="C818" s="12"/>
      <c r="D818" s="87"/>
      <c r="F818" s="14"/>
      <c r="G818" s="14"/>
      <c r="H818" s="14"/>
      <c r="I818" s="14"/>
      <c r="J818" s="14"/>
      <c r="K818" s="12"/>
    </row>
    <row r="819" ht="19.5" customHeight="1">
      <c r="A819" s="12"/>
      <c r="C819" s="12"/>
      <c r="D819" s="87"/>
      <c r="F819" s="14"/>
      <c r="G819" s="14"/>
      <c r="H819" s="14"/>
      <c r="I819" s="14"/>
      <c r="J819" s="14"/>
      <c r="K819" s="12"/>
    </row>
    <row r="820" ht="19.5" customHeight="1">
      <c r="A820" s="12"/>
      <c r="C820" s="12"/>
      <c r="D820" s="87"/>
      <c r="F820" s="14"/>
      <c r="G820" s="14"/>
      <c r="H820" s="14"/>
      <c r="I820" s="14"/>
      <c r="J820" s="14"/>
      <c r="K820" s="12"/>
    </row>
    <row r="821" ht="19.5" customHeight="1">
      <c r="A821" s="12"/>
      <c r="C821" s="12"/>
      <c r="D821" s="87"/>
      <c r="F821" s="14"/>
      <c r="G821" s="14"/>
      <c r="H821" s="14"/>
      <c r="I821" s="14"/>
      <c r="J821" s="14"/>
      <c r="K821" s="12"/>
    </row>
    <row r="822" ht="19.5" customHeight="1">
      <c r="A822" s="12"/>
      <c r="C822" s="12"/>
      <c r="D822" s="87"/>
      <c r="F822" s="14"/>
      <c r="G822" s="14"/>
      <c r="H822" s="14"/>
      <c r="I822" s="14"/>
      <c r="J822" s="14"/>
      <c r="K822" s="12"/>
    </row>
    <row r="823" ht="19.5" customHeight="1">
      <c r="A823" s="12"/>
      <c r="C823" s="12"/>
      <c r="D823" s="87"/>
      <c r="F823" s="14"/>
      <c r="G823" s="14"/>
      <c r="H823" s="14"/>
      <c r="I823" s="14"/>
      <c r="J823" s="14"/>
      <c r="K823" s="12"/>
    </row>
    <row r="824" ht="19.5" customHeight="1">
      <c r="A824" s="12"/>
      <c r="C824" s="12"/>
      <c r="D824" s="87"/>
      <c r="F824" s="14"/>
      <c r="G824" s="14"/>
      <c r="H824" s="14"/>
      <c r="I824" s="14"/>
      <c r="J824" s="14"/>
      <c r="K824" s="12"/>
    </row>
    <row r="825" ht="19.5" customHeight="1">
      <c r="A825" s="12"/>
      <c r="C825" s="12"/>
      <c r="D825" s="87"/>
      <c r="F825" s="14"/>
      <c r="G825" s="14"/>
      <c r="H825" s="14"/>
      <c r="I825" s="14"/>
      <c r="J825" s="14"/>
      <c r="K825" s="12"/>
    </row>
    <row r="826" ht="19.5" customHeight="1">
      <c r="A826" s="12"/>
      <c r="C826" s="12"/>
      <c r="D826" s="87"/>
      <c r="F826" s="14"/>
      <c r="G826" s="14"/>
      <c r="H826" s="14"/>
      <c r="I826" s="14"/>
      <c r="J826" s="14"/>
      <c r="K826" s="12"/>
    </row>
    <row r="827" ht="19.5" customHeight="1">
      <c r="A827" s="12"/>
      <c r="C827" s="12"/>
      <c r="D827" s="87"/>
      <c r="F827" s="14"/>
      <c r="G827" s="14"/>
      <c r="H827" s="14"/>
      <c r="I827" s="14"/>
      <c r="J827" s="14"/>
      <c r="K827" s="12"/>
    </row>
    <row r="828" ht="19.5" customHeight="1">
      <c r="A828" s="12"/>
      <c r="C828" s="12"/>
      <c r="D828" s="87"/>
      <c r="F828" s="14"/>
      <c r="G828" s="14"/>
      <c r="H828" s="14"/>
      <c r="I828" s="14"/>
      <c r="J828" s="14"/>
      <c r="K828" s="12"/>
    </row>
    <row r="829" ht="19.5" customHeight="1">
      <c r="A829" s="12"/>
      <c r="C829" s="12"/>
      <c r="D829" s="87"/>
      <c r="F829" s="14"/>
      <c r="G829" s="14"/>
      <c r="H829" s="14"/>
      <c r="I829" s="14"/>
      <c r="J829" s="14"/>
      <c r="K829" s="12"/>
    </row>
    <row r="830" ht="19.5" customHeight="1">
      <c r="A830" s="12"/>
      <c r="C830" s="12"/>
      <c r="D830" s="87"/>
      <c r="F830" s="14"/>
      <c r="G830" s="14"/>
      <c r="H830" s="14"/>
      <c r="I830" s="14"/>
      <c r="J830" s="14"/>
      <c r="K830" s="12"/>
    </row>
    <row r="831" ht="19.5" customHeight="1">
      <c r="A831" s="12"/>
      <c r="C831" s="12"/>
      <c r="D831" s="87"/>
      <c r="F831" s="14"/>
      <c r="G831" s="14"/>
      <c r="H831" s="14"/>
      <c r="I831" s="14"/>
      <c r="J831" s="14"/>
      <c r="K831" s="12"/>
    </row>
    <row r="832" ht="19.5" customHeight="1">
      <c r="A832" s="12"/>
      <c r="C832" s="12"/>
      <c r="D832" s="87"/>
      <c r="F832" s="14"/>
      <c r="G832" s="14"/>
      <c r="H832" s="14"/>
      <c r="I832" s="14"/>
      <c r="J832" s="14"/>
      <c r="K832" s="12"/>
    </row>
    <row r="833" ht="19.5" customHeight="1">
      <c r="A833" s="12"/>
      <c r="C833" s="12"/>
      <c r="D833" s="87"/>
      <c r="F833" s="14"/>
      <c r="G833" s="14"/>
      <c r="H833" s="14"/>
      <c r="I833" s="14"/>
      <c r="J833" s="14"/>
      <c r="K833" s="12"/>
    </row>
    <row r="834" ht="19.5" customHeight="1">
      <c r="A834" s="12"/>
      <c r="C834" s="12"/>
      <c r="D834" s="87"/>
      <c r="F834" s="14"/>
      <c r="G834" s="14"/>
      <c r="H834" s="14"/>
      <c r="I834" s="14"/>
      <c r="J834" s="14"/>
      <c r="K834" s="12"/>
    </row>
    <row r="835" ht="19.5" customHeight="1">
      <c r="A835" s="12"/>
      <c r="C835" s="12"/>
      <c r="D835" s="87"/>
      <c r="F835" s="14"/>
      <c r="G835" s="14"/>
      <c r="H835" s="14"/>
      <c r="I835" s="14"/>
      <c r="J835" s="14"/>
      <c r="K835" s="12"/>
    </row>
    <row r="836" ht="19.5" customHeight="1">
      <c r="A836" s="12"/>
      <c r="C836" s="12"/>
      <c r="D836" s="87"/>
      <c r="F836" s="14"/>
      <c r="G836" s="14"/>
      <c r="H836" s="14"/>
      <c r="I836" s="14"/>
      <c r="J836" s="14"/>
      <c r="K836" s="12"/>
    </row>
    <row r="837" ht="19.5" customHeight="1">
      <c r="A837" s="12"/>
      <c r="C837" s="12"/>
      <c r="D837" s="87"/>
      <c r="F837" s="14"/>
      <c r="G837" s="14"/>
      <c r="H837" s="14"/>
      <c r="I837" s="14"/>
      <c r="J837" s="14"/>
      <c r="K837" s="12"/>
    </row>
    <row r="838" ht="19.5" customHeight="1">
      <c r="A838" s="12"/>
      <c r="C838" s="12"/>
      <c r="D838" s="87"/>
      <c r="F838" s="14"/>
      <c r="G838" s="14"/>
      <c r="H838" s="14"/>
      <c r="I838" s="14"/>
      <c r="J838" s="14"/>
      <c r="K838" s="12"/>
    </row>
    <row r="839" ht="19.5" customHeight="1">
      <c r="A839" s="12"/>
      <c r="C839" s="12"/>
      <c r="D839" s="87"/>
      <c r="F839" s="14"/>
      <c r="G839" s="14"/>
      <c r="H839" s="14"/>
      <c r="I839" s="14"/>
      <c r="J839" s="14"/>
      <c r="K839" s="12"/>
    </row>
    <row r="840" ht="19.5" customHeight="1">
      <c r="A840" s="12"/>
      <c r="C840" s="12"/>
      <c r="D840" s="87"/>
      <c r="F840" s="14"/>
      <c r="G840" s="14"/>
      <c r="H840" s="14"/>
      <c r="I840" s="14"/>
      <c r="J840" s="14"/>
      <c r="K840" s="12"/>
    </row>
    <row r="841" ht="19.5" customHeight="1">
      <c r="A841" s="12"/>
      <c r="C841" s="12"/>
      <c r="D841" s="87"/>
      <c r="F841" s="14"/>
      <c r="G841" s="14"/>
      <c r="H841" s="14"/>
      <c r="I841" s="14"/>
      <c r="J841" s="14"/>
      <c r="K841" s="12"/>
    </row>
    <row r="842" ht="19.5" customHeight="1">
      <c r="A842" s="12"/>
      <c r="C842" s="12"/>
      <c r="D842" s="87"/>
      <c r="F842" s="14"/>
      <c r="G842" s="14"/>
      <c r="H842" s="14"/>
      <c r="I842" s="14"/>
      <c r="J842" s="14"/>
      <c r="K842" s="12"/>
    </row>
    <row r="843" ht="19.5" customHeight="1">
      <c r="A843" s="12"/>
      <c r="C843" s="12"/>
      <c r="D843" s="87"/>
      <c r="F843" s="14"/>
      <c r="G843" s="14"/>
      <c r="H843" s="14"/>
      <c r="I843" s="14"/>
      <c r="J843" s="14"/>
      <c r="K843" s="12"/>
    </row>
    <row r="844" ht="19.5" customHeight="1">
      <c r="A844" s="12"/>
      <c r="C844" s="12"/>
      <c r="D844" s="87"/>
      <c r="F844" s="14"/>
      <c r="G844" s="14"/>
      <c r="H844" s="14"/>
      <c r="I844" s="14"/>
      <c r="J844" s="14"/>
      <c r="K844" s="12"/>
    </row>
    <row r="845" ht="19.5" customHeight="1">
      <c r="A845" s="12"/>
      <c r="C845" s="12"/>
      <c r="D845" s="87"/>
      <c r="F845" s="14"/>
      <c r="G845" s="14"/>
      <c r="H845" s="14"/>
      <c r="I845" s="14"/>
      <c r="J845" s="14"/>
      <c r="K845" s="12"/>
    </row>
    <row r="846" ht="19.5" customHeight="1">
      <c r="A846" s="12"/>
      <c r="C846" s="12"/>
      <c r="D846" s="87"/>
      <c r="F846" s="14"/>
      <c r="G846" s="14"/>
      <c r="H846" s="14"/>
      <c r="I846" s="14"/>
      <c r="J846" s="14"/>
      <c r="K846" s="12"/>
    </row>
    <row r="847" ht="19.5" customHeight="1">
      <c r="A847" s="12"/>
      <c r="C847" s="12"/>
      <c r="D847" s="87"/>
      <c r="F847" s="14"/>
      <c r="G847" s="14"/>
      <c r="H847" s="14"/>
      <c r="I847" s="14"/>
      <c r="J847" s="14"/>
      <c r="K847" s="12"/>
    </row>
    <row r="848" ht="19.5" customHeight="1">
      <c r="A848" s="12"/>
      <c r="C848" s="12"/>
      <c r="D848" s="87"/>
      <c r="F848" s="14"/>
      <c r="G848" s="14"/>
      <c r="H848" s="14"/>
      <c r="I848" s="14"/>
      <c r="J848" s="14"/>
      <c r="K848" s="12"/>
    </row>
    <row r="849" ht="19.5" customHeight="1">
      <c r="A849" s="12"/>
      <c r="C849" s="12"/>
      <c r="D849" s="87"/>
      <c r="F849" s="14"/>
      <c r="G849" s="14"/>
      <c r="H849" s="14"/>
      <c r="I849" s="14"/>
      <c r="J849" s="14"/>
      <c r="K849" s="12"/>
    </row>
    <row r="850" ht="19.5" customHeight="1">
      <c r="A850" s="12"/>
      <c r="C850" s="12"/>
      <c r="D850" s="87"/>
      <c r="F850" s="14"/>
      <c r="G850" s="14"/>
      <c r="H850" s="14"/>
      <c r="I850" s="14"/>
      <c r="J850" s="14"/>
      <c r="K850" s="12"/>
    </row>
    <row r="851" ht="19.5" customHeight="1">
      <c r="A851" s="12"/>
      <c r="C851" s="12"/>
      <c r="D851" s="87"/>
      <c r="F851" s="14"/>
      <c r="G851" s="14"/>
      <c r="H851" s="14"/>
      <c r="I851" s="14"/>
      <c r="J851" s="14"/>
      <c r="K851" s="12"/>
    </row>
    <row r="852" ht="19.5" customHeight="1">
      <c r="A852" s="12"/>
      <c r="C852" s="12"/>
      <c r="D852" s="87"/>
      <c r="F852" s="14"/>
      <c r="G852" s="14"/>
      <c r="H852" s="14"/>
      <c r="I852" s="14"/>
      <c r="J852" s="14"/>
      <c r="K852" s="12"/>
    </row>
    <row r="853" ht="19.5" customHeight="1">
      <c r="A853" s="12"/>
      <c r="C853" s="12"/>
      <c r="D853" s="87"/>
      <c r="F853" s="14"/>
      <c r="G853" s="14"/>
      <c r="H853" s="14"/>
      <c r="I853" s="14"/>
      <c r="J853" s="14"/>
      <c r="K853" s="12"/>
    </row>
    <row r="854" ht="19.5" customHeight="1">
      <c r="A854" s="12"/>
      <c r="C854" s="12"/>
      <c r="D854" s="87"/>
      <c r="F854" s="14"/>
      <c r="G854" s="14"/>
      <c r="H854" s="14"/>
      <c r="I854" s="14"/>
      <c r="J854" s="14"/>
      <c r="K854" s="12"/>
    </row>
    <row r="855" ht="19.5" customHeight="1">
      <c r="A855" s="12"/>
      <c r="C855" s="12"/>
      <c r="D855" s="87"/>
      <c r="F855" s="14"/>
      <c r="G855" s="14"/>
      <c r="H855" s="14"/>
      <c r="I855" s="14"/>
      <c r="J855" s="14"/>
      <c r="K855" s="12"/>
    </row>
    <row r="856" ht="19.5" customHeight="1">
      <c r="A856" s="12"/>
      <c r="C856" s="12"/>
      <c r="D856" s="87"/>
      <c r="F856" s="14"/>
      <c r="G856" s="14"/>
      <c r="H856" s="14"/>
      <c r="I856" s="14"/>
      <c r="J856" s="14"/>
      <c r="K856" s="12"/>
    </row>
    <row r="857" ht="19.5" customHeight="1">
      <c r="A857" s="12"/>
      <c r="C857" s="12"/>
      <c r="D857" s="87"/>
      <c r="F857" s="14"/>
      <c r="G857" s="14"/>
      <c r="H857" s="14"/>
      <c r="I857" s="14"/>
      <c r="J857" s="14"/>
      <c r="K857" s="12"/>
    </row>
    <row r="858" ht="19.5" customHeight="1">
      <c r="A858" s="12"/>
      <c r="C858" s="12"/>
      <c r="D858" s="87"/>
      <c r="F858" s="14"/>
      <c r="G858" s="14"/>
      <c r="H858" s="14"/>
      <c r="I858" s="14"/>
      <c r="J858" s="14"/>
      <c r="K858" s="12"/>
    </row>
    <row r="859" ht="19.5" customHeight="1">
      <c r="A859" s="12"/>
      <c r="C859" s="12"/>
      <c r="D859" s="87"/>
      <c r="F859" s="14"/>
      <c r="G859" s="14"/>
      <c r="H859" s="14"/>
      <c r="I859" s="14"/>
      <c r="J859" s="14"/>
      <c r="K859" s="12"/>
    </row>
    <row r="860" ht="19.5" customHeight="1">
      <c r="A860" s="12"/>
      <c r="C860" s="12"/>
      <c r="D860" s="87"/>
      <c r="F860" s="14"/>
      <c r="G860" s="14"/>
      <c r="H860" s="14"/>
      <c r="I860" s="14"/>
      <c r="J860" s="14"/>
      <c r="K860" s="12"/>
    </row>
    <row r="861" ht="19.5" customHeight="1">
      <c r="A861" s="12"/>
      <c r="C861" s="12"/>
      <c r="D861" s="87"/>
      <c r="F861" s="14"/>
      <c r="G861" s="14"/>
      <c r="H861" s="14"/>
      <c r="I861" s="14"/>
      <c r="J861" s="14"/>
      <c r="K861" s="12"/>
    </row>
    <row r="862" ht="19.5" customHeight="1">
      <c r="A862" s="12"/>
      <c r="C862" s="12"/>
      <c r="D862" s="87"/>
      <c r="F862" s="14"/>
      <c r="G862" s="14"/>
      <c r="H862" s="14"/>
      <c r="I862" s="14"/>
      <c r="J862" s="14"/>
      <c r="K862" s="12"/>
    </row>
    <row r="863" ht="19.5" customHeight="1">
      <c r="A863" s="12"/>
      <c r="C863" s="12"/>
      <c r="D863" s="87"/>
      <c r="F863" s="14"/>
      <c r="G863" s="14"/>
      <c r="H863" s="14"/>
      <c r="I863" s="14"/>
      <c r="J863" s="14"/>
      <c r="K863" s="12"/>
    </row>
    <row r="864" ht="19.5" customHeight="1">
      <c r="A864" s="12"/>
      <c r="C864" s="12"/>
      <c r="D864" s="87"/>
      <c r="F864" s="14"/>
      <c r="G864" s="14"/>
      <c r="H864" s="14"/>
      <c r="I864" s="14"/>
      <c r="J864" s="14"/>
      <c r="K864" s="12"/>
    </row>
    <row r="865" ht="19.5" customHeight="1">
      <c r="A865" s="12"/>
      <c r="C865" s="12"/>
      <c r="D865" s="87"/>
      <c r="F865" s="14"/>
      <c r="G865" s="14"/>
      <c r="H865" s="14"/>
      <c r="I865" s="14"/>
      <c r="J865" s="14"/>
      <c r="K865" s="12"/>
    </row>
    <row r="866" ht="19.5" customHeight="1">
      <c r="A866" s="12"/>
      <c r="C866" s="12"/>
      <c r="D866" s="87"/>
      <c r="F866" s="14"/>
      <c r="G866" s="14"/>
      <c r="H866" s="14"/>
      <c r="I866" s="14"/>
      <c r="J866" s="14"/>
      <c r="K866" s="12"/>
    </row>
    <row r="867" ht="19.5" customHeight="1">
      <c r="A867" s="12"/>
      <c r="C867" s="12"/>
      <c r="D867" s="87"/>
      <c r="F867" s="14"/>
      <c r="G867" s="14"/>
      <c r="H867" s="14"/>
      <c r="I867" s="14"/>
      <c r="J867" s="14"/>
      <c r="K867" s="12"/>
    </row>
    <row r="868" ht="19.5" customHeight="1">
      <c r="A868" s="12"/>
      <c r="C868" s="12"/>
      <c r="D868" s="87"/>
      <c r="F868" s="14"/>
      <c r="G868" s="14"/>
      <c r="H868" s="14"/>
      <c r="I868" s="14"/>
      <c r="J868" s="14"/>
      <c r="K868" s="12"/>
    </row>
    <row r="869" ht="19.5" customHeight="1">
      <c r="A869" s="12"/>
      <c r="C869" s="12"/>
      <c r="D869" s="87"/>
      <c r="F869" s="14"/>
      <c r="G869" s="14"/>
      <c r="H869" s="14"/>
      <c r="I869" s="14"/>
      <c r="J869" s="14"/>
      <c r="K869" s="12"/>
    </row>
    <row r="870" ht="19.5" customHeight="1">
      <c r="A870" s="12"/>
      <c r="C870" s="12"/>
      <c r="D870" s="87"/>
      <c r="F870" s="14"/>
      <c r="G870" s="14"/>
      <c r="H870" s="14"/>
      <c r="I870" s="14"/>
      <c r="J870" s="14"/>
      <c r="K870" s="12"/>
    </row>
    <row r="871" ht="19.5" customHeight="1">
      <c r="A871" s="12"/>
      <c r="C871" s="12"/>
      <c r="D871" s="87"/>
      <c r="F871" s="14"/>
      <c r="G871" s="14"/>
      <c r="H871" s="14"/>
      <c r="I871" s="14"/>
      <c r="J871" s="14"/>
      <c r="K871" s="12"/>
    </row>
    <row r="872" ht="19.5" customHeight="1">
      <c r="A872" s="12"/>
      <c r="C872" s="12"/>
      <c r="D872" s="87"/>
      <c r="F872" s="14"/>
      <c r="G872" s="14"/>
      <c r="H872" s="14"/>
      <c r="I872" s="14"/>
      <c r="J872" s="14"/>
      <c r="K872" s="12"/>
    </row>
    <row r="873" ht="19.5" customHeight="1">
      <c r="A873" s="12"/>
      <c r="C873" s="12"/>
      <c r="D873" s="87"/>
      <c r="F873" s="14"/>
      <c r="G873" s="14"/>
      <c r="H873" s="14"/>
      <c r="I873" s="14"/>
      <c r="J873" s="14"/>
      <c r="K873" s="12"/>
    </row>
    <row r="874" ht="19.5" customHeight="1">
      <c r="A874" s="12"/>
      <c r="C874" s="12"/>
      <c r="D874" s="87"/>
      <c r="F874" s="14"/>
      <c r="G874" s="14"/>
      <c r="H874" s="14"/>
      <c r="I874" s="14"/>
      <c r="J874" s="14"/>
      <c r="K874" s="12"/>
    </row>
    <row r="875" ht="19.5" customHeight="1">
      <c r="A875" s="12"/>
      <c r="C875" s="12"/>
      <c r="D875" s="87"/>
      <c r="F875" s="14"/>
      <c r="G875" s="14"/>
      <c r="H875" s="14"/>
      <c r="I875" s="14"/>
      <c r="J875" s="14"/>
      <c r="K875" s="12"/>
    </row>
    <row r="876" ht="19.5" customHeight="1">
      <c r="A876" s="12"/>
      <c r="C876" s="12"/>
      <c r="D876" s="87"/>
      <c r="F876" s="14"/>
      <c r="G876" s="14"/>
      <c r="H876" s="14"/>
      <c r="I876" s="14"/>
      <c r="J876" s="14"/>
      <c r="K876" s="12"/>
    </row>
    <row r="877" ht="19.5" customHeight="1">
      <c r="A877" s="12"/>
      <c r="C877" s="12"/>
      <c r="D877" s="87"/>
      <c r="F877" s="14"/>
      <c r="G877" s="14"/>
      <c r="H877" s="14"/>
      <c r="I877" s="14"/>
      <c r="J877" s="14"/>
      <c r="K877" s="12"/>
    </row>
    <row r="878" ht="19.5" customHeight="1">
      <c r="A878" s="12"/>
      <c r="C878" s="12"/>
      <c r="D878" s="87"/>
      <c r="F878" s="14"/>
      <c r="G878" s="14"/>
      <c r="H878" s="14"/>
      <c r="I878" s="14"/>
      <c r="J878" s="14"/>
      <c r="K878" s="12"/>
    </row>
    <row r="879" ht="19.5" customHeight="1">
      <c r="A879" s="12"/>
      <c r="C879" s="12"/>
      <c r="D879" s="87"/>
      <c r="F879" s="14"/>
      <c r="G879" s="14"/>
      <c r="H879" s="14"/>
      <c r="I879" s="14"/>
      <c r="J879" s="14"/>
      <c r="K879" s="12"/>
    </row>
    <row r="880" ht="19.5" customHeight="1">
      <c r="A880" s="12"/>
      <c r="C880" s="12"/>
      <c r="D880" s="87"/>
      <c r="F880" s="14"/>
      <c r="G880" s="14"/>
      <c r="H880" s="14"/>
      <c r="I880" s="14"/>
      <c r="J880" s="14"/>
      <c r="K880" s="12"/>
    </row>
    <row r="881" ht="19.5" customHeight="1">
      <c r="A881" s="12"/>
      <c r="C881" s="12"/>
      <c r="D881" s="87"/>
      <c r="F881" s="14"/>
      <c r="G881" s="14"/>
      <c r="H881" s="14"/>
      <c r="I881" s="14"/>
      <c r="J881" s="14"/>
      <c r="K881" s="12"/>
    </row>
    <row r="882" ht="19.5" customHeight="1">
      <c r="A882" s="12"/>
      <c r="C882" s="12"/>
      <c r="D882" s="87"/>
      <c r="F882" s="14"/>
      <c r="G882" s="14"/>
      <c r="H882" s="14"/>
      <c r="I882" s="14"/>
      <c r="J882" s="14"/>
      <c r="K882" s="12"/>
    </row>
    <row r="883" ht="19.5" customHeight="1">
      <c r="A883" s="12"/>
      <c r="C883" s="12"/>
      <c r="D883" s="87"/>
      <c r="F883" s="14"/>
      <c r="G883" s="14"/>
      <c r="H883" s="14"/>
      <c r="I883" s="14"/>
      <c r="J883" s="14"/>
      <c r="K883" s="12"/>
    </row>
    <row r="884" ht="19.5" customHeight="1">
      <c r="A884" s="12"/>
      <c r="C884" s="12"/>
      <c r="D884" s="87"/>
      <c r="F884" s="14"/>
      <c r="G884" s="14"/>
      <c r="H884" s="14"/>
      <c r="I884" s="14"/>
      <c r="J884" s="14"/>
      <c r="K884" s="12"/>
    </row>
    <row r="885" ht="19.5" customHeight="1">
      <c r="A885" s="12"/>
      <c r="C885" s="12"/>
      <c r="D885" s="87"/>
      <c r="F885" s="14"/>
      <c r="G885" s="14"/>
      <c r="H885" s="14"/>
      <c r="I885" s="14"/>
      <c r="J885" s="14"/>
      <c r="K885" s="12"/>
    </row>
    <row r="886" ht="19.5" customHeight="1">
      <c r="A886" s="12"/>
      <c r="C886" s="12"/>
      <c r="D886" s="87"/>
      <c r="F886" s="14"/>
      <c r="G886" s="14"/>
      <c r="H886" s="14"/>
      <c r="I886" s="14"/>
      <c r="J886" s="14"/>
      <c r="K886" s="12"/>
    </row>
    <row r="887" ht="19.5" customHeight="1">
      <c r="A887" s="12"/>
      <c r="C887" s="12"/>
      <c r="D887" s="87"/>
      <c r="F887" s="14"/>
      <c r="G887" s="14"/>
      <c r="H887" s="14"/>
      <c r="I887" s="14"/>
      <c r="J887" s="14"/>
      <c r="K887" s="12"/>
    </row>
    <row r="888" ht="19.5" customHeight="1">
      <c r="A888" s="12"/>
      <c r="C888" s="12"/>
      <c r="D888" s="87"/>
      <c r="F888" s="14"/>
      <c r="G888" s="14"/>
      <c r="H888" s="14"/>
      <c r="I888" s="14"/>
      <c r="J888" s="14"/>
      <c r="K888" s="12"/>
    </row>
    <row r="889" ht="19.5" customHeight="1">
      <c r="A889" s="12"/>
      <c r="C889" s="12"/>
      <c r="D889" s="87"/>
      <c r="F889" s="14"/>
      <c r="G889" s="14"/>
      <c r="H889" s="14"/>
      <c r="I889" s="14"/>
      <c r="J889" s="14"/>
      <c r="K889" s="12"/>
    </row>
    <row r="890" ht="19.5" customHeight="1">
      <c r="A890" s="12"/>
      <c r="C890" s="12"/>
      <c r="D890" s="87"/>
      <c r="F890" s="14"/>
      <c r="G890" s="14"/>
      <c r="H890" s="14"/>
      <c r="I890" s="14"/>
      <c r="J890" s="14"/>
      <c r="K890" s="12"/>
    </row>
    <row r="891" ht="19.5" customHeight="1">
      <c r="A891" s="12"/>
      <c r="C891" s="12"/>
      <c r="D891" s="87"/>
      <c r="F891" s="14"/>
      <c r="G891" s="14"/>
      <c r="H891" s="14"/>
      <c r="I891" s="14"/>
      <c r="J891" s="14"/>
      <c r="K891" s="12"/>
    </row>
    <row r="892" ht="19.5" customHeight="1">
      <c r="A892" s="12"/>
      <c r="C892" s="12"/>
      <c r="D892" s="87"/>
      <c r="F892" s="14"/>
      <c r="G892" s="14"/>
      <c r="H892" s="14"/>
      <c r="I892" s="14"/>
      <c r="J892" s="14"/>
      <c r="K892" s="12"/>
    </row>
    <row r="893" ht="19.5" customHeight="1">
      <c r="A893" s="12"/>
      <c r="C893" s="12"/>
      <c r="D893" s="87"/>
      <c r="F893" s="14"/>
      <c r="G893" s="14"/>
      <c r="H893" s="14"/>
      <c r="I893" s="14"/>
      <c r="J893" s="14"/>
      <c r="K893" s="12"/>
    </row>
    <row r="894" ht="19.5" customHeight="1">
      <c r="A894" s="12"/>
      <c r="C894" s="12"/>
      <c r="D894" s="87"/>
      <c r="F894" s="14"/>
      <c r="G894" s="14"/>
      <c r="H894" s="14"/>
      <c r="I894" s="14"/>
      <c r="J894" s="14"/>
      <c r="K894" s="12"/>
    </row>
    <row r="895" ht="19.5" customHeight="1">
      <c r="A895" s="12"/>
      <c r="C895" s="12"/>
      <c r="D895" s="87"/>
      <c r="F895" s="14"/>
      <c r="G895" s="14"/>
      <c r="H895" s="14"/>
      <c r="I895" s="14"/>
      <c r="J895" s="14"/>
      <c r="K895" s="12"/>
    </row>
    <row r="896" ht="19.5" customHeight="1">
      <c r="A896" s="12"/>
      <c r="C896" s="12"/>
      <c r="D896" s="87"/>
      <c r="F896" s="14"/>
      <c r="G896" s="14"/>
      <c r="H896" s="14"/>
      <c r="I896" s="14"/>
      <c r="J896" s="14"/>
      <c r="K896" s="12"/>
    </row>
    <row r="897" ht="19.5" customHeight="1">
      <c r="A897" s="12"/>
      <c r="C897" s="12"/>
      <c r="D897" s="87"/>
      <c r="F897" s="14"/>
      <c r="G897" s="14"/>
      <c r="H897" s="14"/>
      <c r="I897" s="14"/>
      <c r="J897" s="14"/>
      <c r="K897" s="12"/>
    </row>
    <row r="898" ht="19.5" customHeight="1">
      <c r="A898" s="12"/>
      <c r="C898" s="12"/>
      <c r="D898" s="87"/>
      <c r="F898" s="14"/>
      <c r="G898" s="14"/>
      <c r="H898" s="14"/>
      <c r="I898" s="14"/>
      <c r="J898" s="14"/>
      <c r="K898" s="12"/>
    </row>
    <row r="899" ht="19.5" customHeight="1">
      <c r="A899" s="12"/>
      <c r="C899" s="12"/>
      <c r="D899" s="87"/>
      <c r="F899" s="14"/>
      <c r="G899" s="14"/>
      <c r="H899" s="14"/>
      <c r="I899" s="14"/>
      <c r="J899" s="14"/>
      <c r="K899" s="12"/>
    </row>
    <row r="900" ht="19.5" customHeight="1">
      <c r="A900" s="12"/>
      <c r="C900" s="12"/>
      <c r="D900" s="87"/>
      <c r="F900" s="14"/>
      <c r="G900" s="14"/>
      <c r="H900" s="14"/>
      <c r="I900" s="14"/>
      <c r="J900" s="14"/>
      <c r="K900" s="12"/>
    </row>
    <row r="901" ht="19.5" customHeight="1">
      <c r="A901" s="12"/>
      <c r="C901" s="12"/>
      <c r="D901" s="87"/>
      <c r="F901" s="14"/>
      <c r="G901" s="14"/>
      <c r="H901" s="14"/>
      <c r="I901" s="14"/>
      <c r="J901" s="14"/>
      <c r="K901" s="12"/>
    </row>
    <row r="902" ht="19.5" customHeight="1">
      <c r="A902" s="12"/>
      <c r="C902" s="12"/>
      <c r="D902" s="87"/>
      <c r="F902" s="14"/>
      <c r="G902" s="14"/>
      <c r="H902" s="14"/>
      <c r="I902" s="14"/>
      <c r="J902" s="14"/>
      <c r="K902" s="12"/>
    </row>
    <row r="903" ht="19.5" customHeight="1">
      <c r="A903" s="12"/>
      <c r="C903" s="12"/>
      <c r="D903" s="87"/>
      <c r="F903" s="14"/>
      <c r="G903" s="14"/>
      <c r="H903" s="14"/>
      <c r="I903" s="14"/>
      <c r="J903" s="14"/>
      <c r="K903" s="12"/>
    </row>
    <row r="904" ht="19.5" customHeight="1">
      <c r="A904" s="12"/>
      <c r="C904" s="12"/>
      <c r="D904" s="87"/>
      <c r="F904" s="14"/>
      <c r="G904" s="14"/>
      <c r="H904" s="14"/>
      <c r="I904" s="14"/>
      <c r="J904" s="14"/>
      <c r="K904" s="12"/>
    </row>
    <row r="905" ht="19.5" customHeight="1">
      <c r="A905" s="12"/>
      <c r="C905" s="12"/>
      <c r="D905" s="87"/>
      <c r="F905" s="14"/>
      <c r="G905" s="14"/>
      <c r="H905" s="14"/>
      <c r="I905" s="14"/>
      <c r="J905" s="14"/>
      <c r="K905" s="12"/>
    </row>
    <row r="906" ht="19.5" customHeight="1">
      <c r="A906" s="12"/>
      <c r="C906" s="12"/>
      <c r="D906" s="87"/>
      <c r="F906" s="14"/>
      <c r="G906" s="14"/>
      <c r="H906" s="14"/>
      <c r="I906" s="14"/>
      <c r="J906" s="14"/>
      <c r="K906" s="12"/>
    </row>
    <row r="907" ht="19.5" customHeight="1">
      <c r="A907" s="12"/>
      <c r="C907" s="12"/>
      <c r="D907" s="87"/>
      <c r="F907" s="14"/>
      <c r="G907" s="14"/>
      <c r="H907" s="14"/>
      <c r="I907" s="14"/>
      <c r="J907" s="14"/>
      <c r="K907" s="12"/>
    </row>
    <row r="908" ht="19.5" customHeight="1">
      <c r="A908" s="12"/>
      <c r="C908" s="12"/>
      <c r="D908" s="87"/>
      <c r="F908" s="14"/>
      <c r="G908" s="14"/>
      <c r="H908" s="14"/>
      <c r="I908" s="14"/>
      <c r="J908" s="14"/>
      <c r="K908" s="12"/>
    </row>
    <row r="909" ht="19.5" customHeight="1">
      <c r="A909" s="12"/>
      <c r="C909" s="12"/>
      <c r="D909" s="87"/>
      <c r="F909" s="14"/>
      <c r="G909" s="14"/>
      <c r="H909" s="14"/>
      <c r="I909" s="14"/>
      <c r="J909" s="14"/>
      <c r="K909" s="12"/>
    </row>
    <row r="910" ht="19.5" customHeight="1">
      <c r="A910" s="12"/>
      <c r="C910" s="12"/>
      <c r="D910" s="87"/>
      <c r="F910" s="14"/>
      <c r="G910" s="14"/>
      <c r="H910" s="14"/>
      <c r="I910" s="14"/>
      <c r="J910" s="14"/>
      <c r="K910" s="12"/>
    </row>
    <row r="911" ht="19.5" customHeight="1">
      <c r="A911" s="12"/>
      <c r="C911" s="12"/>
      <c r="D911" s="87"/>
      <c r="F911" s="14"/>
      <c r="G911" s="14"/>
      <c r="H911" s="14"/>
      <c r="I911" s="14"/>
      <c r="J911" s="14"/>
      <c r="K911" s="12"/>
    </row>
    <row r="912" ht="19.5" customHeight="1">
      <c r="A912" s="12"/>
      <c r="C912" s="12"/>
      <c r="D912" s="87"/>
      <c r="F912" s="14"/>
      <c r="G912" s="14"/>
      <c r="H912" s="14"/>
      <c r="I912" s="14"/>
      <c r="J912" s="14"/>
      <c r="K912" s="12"/>
    </row>
    <row r="913" ht="19.5" customHeight="1">
      <c r="A913" s="12"/>
      <c r="C913" s="12"/>
      <c r="D913" s="87"/>
      <c r="F913" s="14"/>
      <c r="G913" s="14"/>
      <c r="H913" s="14"/>
      <c r="I913" s="14"/>
      <c r="J913" s="14"/>
      <c r="K913" s="12"/>
    </row>
    <row r="914" ht="19.5" customHeight="1">
      <c r="A914" s="12"/>
      <c r="C914" s="12"/>
      <c r="D914" s="87"/>
      <c r="F914" s="14"/>
      <c r="G914" s="14"/>
      <c r="H914" s="14"/>
      <c r="I914" s="14"/>
      <c r="J914" s="14"/>
      <c r="K914" s="12"/>
    </row>
    <row r="915" ht="19.5" customHeight="1">
      <c r="A915" s="12"/>
      <c r="C915" s="12"/>
      <c r="D915" s="87"/>
      <c r="F915" s="14"/>
      <c r="G915" s="14"/>
      <c r="H915" s="14"/>
      <c r="I915" s="14"/>
      <c r="J915" s="14"/>
      <c r="K915" s="12"/>
    </row>
    <row r="916" ht="19.5" customHeight="1">
      <c r="A916" s="12"/>
      <c r="C916" s="12"/>
      <c r="D916" s="87"/>
      <c r="F916" s="14"/>
      <c r="G916" s="14"/>
      <c r="H916" s="14"/>
      <c r="I916" s="14"/>
      <c r="J916" s="14"/>
      <c r="K916" s="12"/>
    </row>
    <row r="917" ht="19.5" customHeight="1">
      <c r="A917" s="12"/>
      <c r="C917" s="12"/>
      <c r="D917" s="87"/>
      <c r="F917" s="14"/>
      <c r="G917" s="14"/>
      <c r="H917" s="14"/>
      <c r="I917" s="14"/>
      <c r="J917" s="14"/>
      <c r="K917" s="12"/>
    </row>
    <row r="918" ht="19.5" customHeight="1">
      <c r="A918" s="12"/>
      <c r="C918" s="12"/>
      <c r="D918" s="87"/>
      <c r="F918" s="14"/>
      <c r="G918" s="14"/>
      <c r="H918" s="14"/>
      <c r="I918" s="14"/>
      <c r="J918" s="14"/>
      <c r="K918" s="12"/>
    </row>
    <row r="919" ht="19.5" customHeight="1">
      <c r="A919" s="12"/>
      <c r="C919" s="12"/>
      <c r="D919" s="87"/>
      <c r="F919" s="14"/>
      <c r="G919" s="14"/>
      <c r="H919" s="14"/>
      <c r="I919" s="14"/>
      <c r="J919" s="14"/>
      <c r="K919" s="12"/>
    </row>
    <row r="920" ht="19.5" customHeight="1">
      <c r="A920" s="12"/>
      <c r="C920" s="12"/>
      <c r="D920" s="87"/>
      <c r="F920" s="14"/>
      <c r="G920" s="14"/>
      <c r="H920" s="14"/>
      <c r="I920" s="14"/>
      <c r="J920" s="14"/>
      <c r="K920" s="12"/>
    </row>
    <row r="921" ht="19.5" customHeight="1">
      <c r="A921" s="12"/>
      <c r="C921" s="12"/>
      <c r="D921" s="87"/>
      <c r="F921" s="14"/>
      <c r="G921" s="14"/>
      <c r="H921" s="14"/>
      <c r="I921" s="14"/>
      <c r="J921" s="14"/>
      <c r="K921" s="12"/>
    </row>
    <row r="922" ht="19.5" customHeight="1">
      <c r="A922" s="12"/>
      <c r="C922" s="12"/>
      <c r="D922" s="87"/>
      <c r="F922" s="14"/>
      <c r="G922" s="14"/>
      <c r="H922" s="14"/>
      <c r="I922" s="14"/>
      <c r="J922" s="14"/>
      <c r="K922" s="12"/>
    </row>
    <row r="923" ht="19.5" customHeight="1">
      <c r="A923" s="12"/>
      <c r="C923" s="12"/>
      <c r="D923" s="87"/>
      <c r="F923" s="14"/>
      <c r="G923" s="14"/>
      <c r="H923" s="14"/>
      <c r="I923" s="14"/>
      <c r="J923" s="14"/>
      <c r="K923" s="12"/>
    </row>
    <row r="924" ht="19.5" customHeight="1">
      <c r="A924" s="12"/>
      <c r="C924" s="12"/>
      <c r="D924" s="87"/>
      <c r="F924" s="14"/>
      <c r="G924" s="14"/>
      <c r="H924" s="14"/>
      <c r="I924" s="14"/>
      <c r="J924" s="14"/>
      <c r="K924" s="12"/>
    </row>
    <row r="925" ht="19.5" customHeight="1">
      <c r="A925" s="12"/>
      <c r="C925" s="12"/>
      <c r="D925" s="87"/>
      <c r="F925" s="14"/>
      <c r="G925" s="14"/>
      <c r="H925" s="14"/>
      <c r="I925" s="14"/>
      <c r="J925" s="14"/>
      <c r="K925" s="12"/>
    </row>
    <row r="926" ht="19.5" customHeight="1">
      <c r="A926" s="12"/>
      <c r="C926" s="12"/>
      <c r="D926" s="87"/>
      <c r="F926" s="14"/>
      <c r="G926" s="14"/>
      <c r="H926" s="14"/>
      <c r="I926" s="14"/>
      <c r="J926" s="14"/>
      <c r="K926" s="12"/>
    </row>
    <row r="927" ht="19.5" customHeight="1">
      <c r="A927" s="12"/>
      <c r="C927" s="12"/>
      <c r="D927" s="87"/>
      <c r="F927" s="14"/>
      <c r="G927" s="14"/>
      <c r="H927" s="14"/>
      <c r="I927" s="14"/>
      <c r="J927" s="14"/>
      <c r="K927" s="12"/>
    </row>
    <row r="928" ht="19.5" customHeight="1">
      <c r="A928" s="12"/>
      <c r="C928" s="12"/>
      <c r="D928" s="87"/>
      <c r="F928" s="14"/>
      <c r="G928" s="14"/>
      <c r="H928" s="14"/>
      <c r="I928" s="14"/>
      <c r="J928" s="14"/>
      <c r="K928" s="12"/>
    </row>
    <row r="929" ht="19.5" customHeight="1">
      <c r="A929" s="12"/>
      <c r="C929" s="12"/>
      <c r="D929" s="87"/>
      <c r="F929" s="14"/>
      <c r="G929" s="14"/>
      <c r="H929" s="14"/>
      <c r="I929" s="14"/>
      <c r="J929" s="14"/>
      <c r="K929" s="12"/>
    </row>
    <row r="930" ht="19.5" customHeight="1">
      <c r="A930" s="12"/>
      <c r="C930" s="12"/>
      <c r="D930" s="87"/>
      <c r="F930" s="14"/>
      <c r="G930" s="14"/>
      <c r="H930" s="14"/>
      <c r="I930" s="14"/>
      <c r="J930" s="14"/>
      <c r="K930" s="12"/>
    </row>
    <row r="931" ht="19.5" customHeight="1">
      <c r="A931" s="12"/>
      <c r="C931" s="12"/>
      <c r="D931" s="87"/>
      <c r="F931" s="14"/>
      <c r="G931" s="14"/>
      <c r="H931" s="14"/>
      <c r="I931" s="14"/>
      <c r="J931" s="14"/>
      <c r="K931" s="12"/>
    </row>
    <row r="932" ht="19.5" customHeight="1">
      <c r="A932" s="12"/>
      <c r="C932" s="12"/>
      <c r="D932" s="87"/>
      <c r="F932" s="14"/>
      <c r="G932" s="14"/>
      <c r="H932" s="14"/>
      <c r="I932" s="14"/>
      <c r="J932" s="14"/>
      <c r="K932" s="12"/>
    </row>
    <row r="933" ht="19.5" customHeight="1">
      <c r="A933" s="12"/>
      <c r="C933" s="12"/>
      <c r="D933" s="87"/>
      <c r="F933" s="14"/>
      <c r="G933" s="14"/>
      <c r="H933" s="14"/>
      <c r="I933" s="14"/>
      <c r="J933" s="14"/>
      <c r="K933" s="12"/>
    </row>
    <row r="934" ht="19.5" customHeight="1">
      <c r="A934" s="12"/>
      <c r="C934" s="12"/>
      <c r="D934" s="87"/>
      <c r="F934" s="14"/>
      <c r="G934" s="14"/>
      <c r="H934" s="14"/>
      <c r="I934" s="14"/>
      <c r="J934" s="14"/>
      <c r="K934" s="12"/>
    </row>
    <row r="935" ht="19.5" customHeight="1">
      <c r="A935" s="12"/>
      <c r="C935" s="12"/>
      <c r="D935" s="87"/>
      <c r="F935" s="14"/>
      <c r="G935" s="14"/>
      <c r="H935" s="14"/>
      <c r="I935" s="14"/>
      <c r="J935" s="14"/>
      <c r="K935" s="12"/>
    </row>
    <row r="936" ht="19.5" customHeight="1">
      <c r="A936" s="12"/>
      <c r="C936" s="12"/>
      <c r="D936" s="87"/>
      <c r="F936" s="14"/>
      <c r="G936" s="14"/>
      <c r="H936" s="14"/>
      <c r="I936" s="14"/>
      <c r="J936" s="14"/>
      <c r="K936" s="12"/>
    </row>
    <row r="937" ht="19.5" customHeight="1">
      <c r="A937" s="12"/>
      <c r="C937" s="12"/>
      <c r="D937" s="87"/>
      <c r="F937" s="14"/>
      <c r="G937" s="14"/>
      <c r="H937" s="14"/>
      <c r="I937" s="14"/>
      <c r="J937" s="14"/>
      <c r="K937" s="12"/>
    </row>
    <row r="938" ht="19.5" customHeight="1">
      <c r="A938" s="12"/>
      <c r="C938" s="12"/>
      <c r="D938" s="87"/>
      <c r="F938" s="14"/>
      <c r="G938" s="14"/>
      <c r="H938" s="14"/>
      <c r="I938" s="14"/>
      <c r="J938" s="14"/>
      <c r="K938" s="12"/>
    </row>
    <row r="939" ht="19.5" customHeight="1">
      <c r="A939" s="12"/>
      <c r="C939" s="12"/>
      <c r="D939" s="87"/>
      <c r="F939" s="14"/>
      <c r="G939" s="14"/>
      <c r="H939" s="14"/>
      <c r="I939" s="14"/>
      <c r="J939" s="14"/>
      <c r="K939" s="12"/>
    </row>
    <row r="940" ht="19.5" customHeight="1">
      <c r="A940" s="12"/>
      <c r="C940" s="12"/>
      <c r="D940" s="87"/>
      <c r="F940" s="14"/>
      <c r="G940" s="14"/>
      <c r="H940" s="14"/>
      <c r="I940" s="14"/>
      <c r="J940" s="14"/>
      <c r="K940" s="12"/>
    </row>
    <row r="941" ht="19.5" customHeight="1">
      <c r="A941" s="12"/>
      <c r="C941" s="12"/>
      <c r="D941" s="87"/>
      <c r="F941" s="14"/>
      <c r="G941" s="14"/>
      <c r="H941" s="14"/>
      <c r="I941" s="14"/>
      <c r="J941" s="14"/>
      <c r="K941" s="12"/>
    </row>
    <row r="942" ht="19.5" customHeight="1">
      <c r="A942" s="12"/>
      <c r="C942" s="12"/>
      <c r="D942" s="87"/>
      <c r="F942" s="14"/>
      <c r="G942" s="14"/>
      <c r="H942" s="14"/>
      <c r="I942" s="14"/>
      <c r="J942" s="14"/>
      <c r="K942" s="12"/>
    </row>
    <row r="943" ht="19.5" customHeight="1">
      <c r="A943" s="12"/>
      <c r="C943" s="12"/>
      <c r="D943" s="87"/>
      <c r="F943" s="14"/>
      <c r="G943" s="14"/>
      <c r="H943" s="14"/>
      <c r="I943" s="14"/>
      <c r="J943" s="14"/>
      <c r="K943" s="12"/>
    </row>
    <row r="944" ht="19.5" customHeight="1">
      <c r="A944" s="12"/>
      <c r="C944" s="12"/>
      <c r="D944" s="87"/>
      <c r="F944" s="14"/>
      <c r="G944" s="14"/>
      <c r="H944" s="14"/>
      <c r="I944" s="14"/>
      <c r="J944" s="14"/>
      <c r="K944" s="12"/>
    </row>
    <row r="945" ht="19.5" customHeight="1">
      <c r="A945" s="12"/>
      <c r="C945" s="12"/>
      <c r="D945" s="87"/>
      <c r="F945" s="14"/>
      <c r="G945" s="14"/>
      <c r="H945" s="14"/>
      <c r="I945" s="14"/>
      <c r="J945" s="14"/>
      <c r="K945" s="12"/>
    </row>
    <row r="946" ht="19.5" customHeight="1">
      <c r="A946" s="12"/>
      <c r="C946" s="12"/>
      <c r="D946" s="87"/>
      <c r="F946" s="14"/>
      <c r="G946" s="14"/>
      <c r="H946" s="14"/>
      <c r="I946" s="14"/>
      <c r="J946" s="14"/>
      <c r="K946" s="12"/>
    </row>
    <row r="947" ht="19.5" customHeight="1">
      <c r="A947" s="12"/>
      <c r="C947" s="12"/>
      <c r="D947" s="87"/>
      <c r="F947" s="14"/>
      <c r="G947" s="14"/>
      <c r="H947" s="14"/>
      <c r="I947" s="14"/>
      <c r="J947" s="14"/>
      <c r="K947" s="12"/>
    </row>
    <row r="948" ht="19.5" customHeight="1">
      <c r="A948" s="12"/>
      <c r="C948" s="12"/>
      <c r="D948" s="87"/>
      <c r="F948" s="14"/>
      <c r="G948" s="14"/>
      <c r="H948" s="14"/>
      <c r="I948" s="14"/>
      <c r="J948" s="14"/>
      <c r="K948" s="12"/>
    </row>
    <row r="949" ht="19.5" customHeight="1">
      <c r="A949" s="12"/>
      <c r="C949" s="12"/>
      <c r="D949" s="87"/>
      <c r="F949" s="14"/>
      <c r="G949" s="14"/>
      <c r="H949" s="14"/>
      <c r="I949" s="14"/>
      <c r="J949" s="14"/>
      <c r="K949" s="12"/>
    </row>
    <row r="950" ht="19.5" customHeight="1">
      <c r="A950" s="12"/>
      <c r="C950" s="12"/>
      <c r="D950" s="87"/>
      <c r="F950" s="14"/>
      <c r="G950" s="14"/>
      <c r="H950" s="14"/>
      <c r="I950" s="14"/>
      <c r="J950" s="14"/>
      <c r="K950" s="12"/>
    </row>
    <row r="951" ht="19.5" customHeight="1">
      <c r="A951" s="12"/>
      <c r="C951" s="12"/>
      <c r="D951" s="87"/>
      <c r="F951" s="14"/>
      <c r="G951" s="14"/>
      <c r="H951" s="14"/>
      <c r="I951" s="14"/>
      <c r="J951" s="14"/>
      <c r="K951" s="12"/>
    </row>
    <row r="952" ht="19.5" customHeight="1">
      <c r="A952" s="12"/>
      <c r="C952" s="12"/>
      <c r="D952" s="87"/>
      <c r="F952" s="14"/>
      <c r="G952" s="14"/>
      <c r="H952" s="14"/>
      <c r="I952" s="14"/>
      <c r="J952" s="14"/>
      <c r="K952" s="12"/>
    </row>
    <row r="953" ht="19.5" customHeight="1">
      <c r="A953" s="12"/>
      <c r="C953" s="12"/>
      <c r="D953" s="87"/>
      <c r="F953" s="14"/>
      <c r="G953" s="14"/>
      <c r="H953" s="14"/>
      <c r="I953" s="14"/>
      <c r="J953" s="14"/>
      <c r="K953" s="12"/>
    </row>
    <row r="954" ht="19.5" customHeight="1">
      <c r="A954" s="12"/>
      <c r="C954" s="12"/>
      <c r="D954" s="87"/>
      <c r="F954" s="14"/>
      <c r="G954" s="14"/>
      <c r="H954" s="14"/>
      <c r="I954" s="14"/>
      <c r="J954" s="14"/>
      <c r="K954" s="12"/>
    </row>
    <row r="955" ht="19.5" customHeight="1">
      <c r="A955" s="12"/>
      <c r="C955" s="12"/>
      <c r="D955" s="87"/>
      <c r="F955" s="14"/>
      <c r="G955" s="14"/>
      <c r="H955" s="14"/>
      <c r="I955" s="14"/>
      <c r="J955" s="14"/>
      <c r="K955" s="12"/>
    </row>
    <row r="956" ht="19.5" customHeight="1">
      <c r="A956" s="12"/>
      <c r="C956" s="12"/>
      <c r="D956" s="87"/>
      <c r="F956" s="14"/>
      <c r="G956" s="14"/>
      <c r="H956" s="14"/>
      <c r="I956" s="14"/>
      <c r="J956" s="14"/>
      <c r="K956" s="12"/>
    </row>
    <row r="957" ht="19.5" customHeight="1">
      <c r="A957" s="12"/>
      <c r="C957" s="12"/>
      <c r="D957" s="87"/>
      <c r="F957" s="14"/>
      <c r="G957" s="14"/>
      <c r="H957" s="14"/>
      <c r="I957" s="14"/>
      <c r="J957" s="14"/>
      <c r="K957" s="12"/>
    </row>
    <row r="958" ht="19.5" customHeight="1">
      <c r="A958" s="12"/>
      <c r="C958" s="12"/>
      <c r="D958" s="87"/>
      <c r="F958" s="14"/>
      <c r="G958" s="14"/>
      <c r="H958" s="14"/>
      <c r="I958" s="14"/>
      <c r="J958" s="14"/>
      <c r="K958" s="12"/>
    </row>
    <row r="959" ht="19.5" customHeight="1">
      <c r="A959" s="12"/>
      <c r="C959" s="12"/>
      <c r="D959" s="87"/>
      <c r="F959" s="14"/>
      <c r="G959" s="14"/>
      <c r="H959" s="14"/>
      <c r="I959" s="14"/>
      <c r="J959" s="14"/>
      <c r="K959" s="12"/>
    </row>
    <row r="960" ht="19.5" customHeight="1">
      <c r="A960" s="12"/>
      <c r="C960" s="12"/>
      <c r="D960" s="87"/>
      <c r="F960" s="14"/>
      <c r="G960" s="14"/>
      <c r="H960" s="14"/>
      <c r="I960" s="14"/>
      <c r="J960" s="14"/>
      <c r="K960" s="12"/>
    </row>
    <row r="961" ht="19.5" customHeight="1">
      <c r="A961" s="12"/>
      <c r="C961" s="12"/>
      <c r="D961" s="87"/>
      <c r="F961" s="14"/>
      <c r="G961" s="14"/>
      <c r="H961" s="14"/>
      <c r="I961" s="14"/>
      <c r="J961" s="14"/>
      <c r="K961" s="12"/>
    </row>
    <row r="962" ht="19.5" customHeight="1">
      <c r="A962" s="12"/>
      <c r="C962" s="12"/>
      <c r="D962" s="87"/>
      <c r="F962" s="14"/>
      <c r="G962" s="14"/>
      <c r="H962" s="14"/>
      <c r="I962" s="14"/>
      <c r="J962" s="14"/>
      <c r="K962" s="12"/>
    </row>
    <row r="963" ht="19.5" customHeight="1">
      <c r="A963" s="12"/>
      <c r="C963" s="12"/>
      <c r="D963" s="87"/>
      <c r="F963" s="14"/>
      <c r="G963" s="14"/>
      <c r="H963" s="14"/>
      <c r="I963" s="14"/>
      <c r="J963" s="14"/>
      <c r="K963" s="12"/>
    </row>
    <row r="964" ht="19.5" customHeight="1">
      <c r="A964" s="12"/>
      <c r="C964" s="12"/>
      <c r="D964" s="87"/>
      <c r="F964" s="14"/>
      <c r="G964" s="14"/>
      <c r="H964" s="14"/>
      <c r="I964" s="14"/>
      <c r="J964" s="14"/>
      <c r="K964" s="12"/>
    </row>
    <row r="965" ht="19.5" customHeight="1">
      <c r="A965" s="12"/>
      <c r="C965" s="12"/>
      <c r="D965" s="87"/>
      <c r="F965" s="14"/>
      <c r="G965" s="14"/>
      <c r="H965" s="14"/>
      <c r="I965" s="14"/>
      <c r="J965" s="14"/>
      <c r="K965" s="12"/>
    </row>
    <row r="966" ht="19.5" customHeight="1">
      <c r="A966" s="12"/>
      <c r="C966" s="12"/>
      <c r="D966" s="87"/>
      <c r="F966" s="14"/>
      <c r="G966" s="14"/>
      <c r="H966" s="14"/>
      <c r="I966" s="14"/>
      <c r="J966" s="14"/>
      <c r="K966" s="12"/>
    </row>
    <row r="967" ht="19.5" customHeight="1">
      <c r="A967" s="12"/>
      <c r="C967" s="12"/>
      <c r="D967" s="87"/>
      <c r="F967" s="14"/>
      <c r="G967" s="14"/>
      <c r="H967" s="14"/>
      <c r="I967" s="14"/>
      <c r="J967" s="14"/>
      <c r="K967" s="12"/>
    </row>
    <row r="968" ht="19.5" customHeight="1">
      <c r="A968" s="12"/>
      <c r="C968" s="12"/>
      <c r="D968" s="87"/>
      <c r="F968" s="14"/>
      <c r="G968" s="14"/>
      <c r="H968" s="14"/>
      <c r="I968" s="14"/>
      <c r="J968" s="14"/>
      <c r="K968" s="12"/>
    </row>
    <row r="969" ht="19.5" customHeight="1">
      <c r="A969" s="12"/>
      <c r="C969" s="12"/>
      <c r="D969" s="87"/>
      <c r="F969" s="14"/>
      <c r="G969" s="14"/>
      <c r="H969" s="14"/>
      <c r="I969" s="14"/>
      <c r="J969" s="14"/>
      <c r="K969" s="12"/>
    </row>
    <row r="970" ht="19.5" customHeight="1">
      <c r="A970" s="12"/>
      <c r="C970" s="12"/>
      <c r="D970" s="87"/>
      <c r="F970" s="14"/>
      <c r="G970" s="14"/>
      <c r="H970" s="14"/>
      <c r="I970" s="14"/>
      <c r="J970" s="14"/>
      <c r="K970" s="12"/>
    </row>
    <row r="971" ht="19.5" customHeight="1">
      <c r="A971" s="12"/>
      <c r="C971" s="12"/>
      <c r="D971" s="87"/>
      <c r="F971" s="14"/>
      <c r="G971" s="14"/>
      <c r="H971" s="14"/>
      <c r="I971" s="14"/>
      <c r="J971" s="14"/>
      <c r="K971" s="12"/>
    </row>
    <row r="972" ht="19.5" customHeight="1">
      <c r="A972" s="12"/>
      <c r="C972" s="12"/>
      <c r="D972" s="87"/>
      <c r="F972" s="14"/>
      <c r="G972" s="14"/>
      <c r="H972" s="14"/>
      <c r="I972" s="14"/>
      <c r="J972" s="14"/>
      <c r="K972" s="12"/>
    </row>
    <row r="973" ht="19.5" customHeight="1">
      <c r="A973" s="12"/>
      <c r="C973" s="12"/>
      <c r="D973" s="87"/>
      <c r="F973" s="14"/>
      <c r="G973" s="14"/>
      <c r="H973" s="14"/>
      <c r="I973" s="14"/>
      <c r="J973" s="14"/>
      <c r="K973" s="12"/>
    </row>
    <row r="974" ht="19.5" customHeight="1">
      <c r="A974" s="12"/>
      <c r="C974" s="12"/>
      <c r="D974" s="87"/>
      <c r="F974" s="14"/>
      <c r="G974" s="14"/>
      <c r="H974" s="14"/>
      <c r="I974" s="14"/>
      <c r="J974" s="14"/>
      <c r="K974" s="12"/>
    </row>
    <row r="975" ht="19.5" customHeight="1">
      <c r="A975" s="12"/>
      <c r="C975" s="12"/>
      <c r="D975" s="87"/>
      <c r="F975" s="14"/>
      <c r="G975" s="14"/>
      <c r="H975" s="14"/>
      <c r="I975" s="14"/>
      <c r="J975" s="14"/>
      <c r="K975" s="12"/>
    </row>
    <row r="976" ht="19.5" customHeight="1">
      <c r="A976" s="12"/>
      <c r="C976" s="12"/>
      <c r="D976" s="87"/>
      <c r="F976" s="14"/>
      <c r="G976" s="14"/>
      <c r="H976" s="14"/>
      <c r="I976" s="14"/>
      <c r="J976" s="14"/>
      <c r="K976" s="12"/>
    </row>
    <row r="977" ht="19.5" customHeight="1">
      <c r="A977" s="12"/>
      <c r="C977" s="12"/>
      <c r="D977" s="87"/>
      <c r="F977" s="14"/>
      <c r="G977" s="14"/>
      <c r="H977" s="14"/>
      <c r="I977" s="14"/>
      <c r="J977" s="14"/>
      <c r="K977" s="12"/>
    </row>
    <row r="978" ht="19.5" customHeight="1">
      <c r="A978" s="12"/>
      <c r="C978" s="12"/>
      <c r="D978" s="87"/>
      <c r="F978" s="14"/>
      <c r="G978" s="14"/>
      <c r="H978" s="14"/>
      <c r="I978" s="14"/>
      <c r="J978" s="14"/>
      <c r="K978" s="12"/>
    </row>
    <row r="979" ht="19.5" customHeight="1">
      <c r="A979" s="12"/>
      <c r="C979" s="12"/>
      <c r="D979" s="87"/>
      <c r="F979" s="14"/>
      <c r="G979" s="14"/>
      <c r="H979" s="14"/>
      <c r="I979" s="14"/>
      <c r="J979" s="14"/>
      <c r="K979" s="12"/>
    </row>
    <row r="980" ht="19.5" customHeight="1">
      <c r="A980" s="12"/>
      <c r="C980" s="12"/>
      <c r="D980" s="87"/>
      <c r="F980" s="14"/>
      <c r="G980" s="14"/>
      <c r="H980" s="14"/>
      <c r="I980" s="14"/>
      <c r="J980" s="14"/>
      <c r="K980" s="12"/>
    </row>
    <row r="981" ht="19.5" customHeight="1">
      <c r="A981" s="12"/>
      <c r="C981" s="12"/>
      <c r="D981" s="87"/>
      <c r="F981" s="14"/>
      <c r="G981" s="14"/>
      <c r="H981" s="14"/>
      <c r="I981" s="14"/>
      <c r="J981" s="14"/>
      <c r="K981" s="12"/>
    </row>
    <row r="982" ht="19.5" customHeight="1">
      <c r="A982" s="12"/>
      <c r="C982" s="12"/>
      <c r="D982" s="87"/>
      <c r="F982" s="14"/>
      <c r="G982" s="14"/>
      <c r="H982" s="14"/>
      <c r="I982" s="14"/>
      <c r="J982" s="14"/>
      <c r="K982" s="12"/>
    </row>
    <row r="983" ht="19.5" customHeight="1">
      <c r="A983" s="12"/>
      <c r="C983" s="12"/>
      <c r="D983" s="87"/>
      <c r="F983" s="14"/>
      <c r="G983" s="14"/>
      <c r="H983" s="14"/>
      <c r="I983" s="14"/>
      <c r="J983" s="14"/>
      <c r="K983" s="12"/>
    </row>
    <row r="984" ht="19.5" customHeight="1">
      <c r="A984" s="12"/>
      <c r="C984" s="12"/>
      <c r="D984" s="87"/>
      <c r="F984" s="14"/>
      <c r="G984" s="14"/>
      <c r="H984" s="14"/>
      <c r="I984" s="14"/>
      <c r="J984" s="14"/>
      <c r="K984" s="12"/>
    </row>
    <row r="985" ht="19.5" customHeight="1">
      <c r="A985" s="12"/>
      <c r="C985" s="12"/>
      <c r="D985" s="87"/>
      <c r="F985" s="14"/>
      <c r="G985" s="14"/>
      <c r="H985" s="14"/>
      <c r="I985" s="14"/>
      <c r="J985" s="14"/>
      <c r="K985" s="12"/>
    </row>
    <row r="986" ht="19.5" customHeight="1">
      <c r="A986" s="12"/>
      <c r="C986" s="12"/>
      <c r="D986" s="87"/>
      <c r="F986" s="14"/>
      <c r="G986" s="14"/>
      <c r="H986" s="14"/>
      <c r="I986" s="14"/>
      <c r="J986" s="14"/>
      <c r="K986" s="12"/>
    </row>
    <row r="987" ht="19.5" customHeight="1">
      <c r="A987" s="12"/>
      <c r="C987" s="12"/>
      <c r="D987" s="87"/>
      <c r="F987" s="14"/>
      <c r="G987" s="14"/>
      <c r="H987" s="14"/>
      <c r="I987" s="14"/>
      <c r="J987" s="14"/>
      <c r="K987" s="12"/>
    </row>
    <row r="988" ht="19.5" customHeight="1">
      <c r="A988" s="12"/>
      <c r="C988" s="12"/>
      <c r="D988" s="87"/>
      <c r="F988" s="14"/>
      <c r="G988" s="14"/>
      <c r="H988" s="14"/>
      <c r="I988" s="14"/>
      <c r="J988" s="14"/>
      <c r="K988" s="12"/>
    </row>
    <row r="989" ht="19.5" customHeight="1">
      <c r="A989" s="12"/>
      <c r="C989" s="12"/>
      <c r="D989" s="87"/>
      <c r="F989" s="14"/>
      <c r="G989" s="14"/>
      <c r="H989" s="14"/>
      <c r="I989" s="14"/>
      <c r="J989" s="14"/>
      <c r="K989" s="12"/>
    </row>
    <row r="990" ht="19.5" customHeight="1">
      <c r="A990" s="12"/>
      <c r="C990" s="12"/>
      <c r="D990" s="87"/>
      <c r="F990" s="14"/>
      <c r="G990" s="14"/>
      <c r="H990" s="14"/>
      <c r="I990" s="14"/>
      <c r="J990" s="14"/>
      <c r="K990" s="12"/>
    </row>
    <row r="991" ht="19.5" customHeight="1">
      <c r="A991" s="12"/>
      <c r="C991" s="12"/>
      <c r="D991" s="87"/>
      <c r="F991" s="14"/>
      <c r="G991" s="14"/>
      <c r="H991" s="14"/>
      <c r="I991" s="14"/>
      <c r="J991" s="14"/>
      <c r="K991" s="12"/>
    </row>
    <row r="992" ht="19.5" customHeight="1">
      <c r="A992" s="12"/>
      <c r="C992" s="12"/>
      <c r="D992" s="87"/>
      <c r="F992" s="14"/>
      <c r="G992" s="14"/>
      <c r="H992" s="14"/>
      <c r="I992" s="14"/>
      <c r="J992" s="14"/>
      <c r="K992" s="12"/>
    </row>
    <row r="993" ht="19.5" customHeight="1">
      <c r="A993" s="12"/>
      <c r="C993" s="12"/>
      <c r="D993" s="87"/>
      <c r="F993" s="14"/>
      <c r="G993" s="14"/>
      <c r="H993" s="14"/>
      <c r="I993" s="14"/>
      <c r="J993" s="14"/>
      <c r="K993" s="12"/>
    </row>
    <row r="994" ht="19.5" customHeight="1">
      <c r="A994" s="12"/>
      <c r="C994" s="12"/>
      <c r="D994" s="87"/>
      <c r="F994" s="14"/>
      <c r="G994" s="14"/>
      <c r="H994" s="14"/>
      <c r="I994" s="14"/>
      <c r="J994" s="14"/>
      <c r="K994" s="12"/>
    </row>
    <row r="995" ht="19.5" customHeight="1">
      <c r="A995" s="12"/>
      <c r="C995" s="12"/>
      <c r="D995" s="87"/>
      <c r="F995" s="14"/>
      <c r="G995" s="14"/>
      <c r="H995" s="14"/>
      <c r="I995" s="14"/>
      <c r="J995" s="14"/>
      <c r="K995" s="12"/>
    </row>
    <row r="996" ht="19.5" customHeight="1">
      <c r="A996" s="12"/>
      <c r="C996" s="12"/>
      <c r="D996" s="87"/>
      <c r="F996" s="14"/>
      <c r="G996" s="14"/>
      <c r="H996" s="14"/>
      <c r="I996" s="14"/>
      <c r="J996" s="14"/>
      <c r="K996" s="12"/>
    </row>
    <row r="997" ht="19.5" customHeight="1">
      <c r="A997" s="12"/>
      <c r="C997" s="12"/>
      <c r="D997" s="87"/>
      <c r="F997" s="14"/>
      <c r="G997" s="14"/>
      <c r="H997" s="14"/>
      <c r="I997" s="14"/>
      <c r="J997" s="14"/>
      <c r="K997" s="12"/>
    </row>
    <row r="998" ht="19.5" customHeight="1">
      <c r="A998" s="12"/>
      <c r="C998" s="12"/>
      <c r="D998" s="87"/>
      <c r="F998" s="14"/>
      <c r="G998" s="14"/>
      <c r="H998" s="14"/>
      <c r="I998" s="14"/>
      <c r="J998" s="14"/>
      <c r="K998" s="12"/>
    </row>
    <row r="999" ht="19.5" customHeight="1">
      <c r="A999" s="12"/>
      <c r="C999" s="12"/>
      <c r="D999" s="87"/>
      <c r="F999" s="14"/>
      <c r="G999" s="14"/>
      <c r="H999" s="14"/>
      <c r="I999" s="14"/>
      <c r="J999" s="14"/>
      <c r="K999" s="12"/>
    </row>
    <row r="1000" ht="19.5" customHeight="1">
      <c r="A1000" s="12"/>
      <c r="C1000" s="12"/>
      <c r="D1000" s="87"/>
      <c r="F1000" s="14"/>
      <c r="G1000" s="14"/>
      <c r="H1000" s="14"/>
      <c r="I1000" s="14"/>
      <c r="J1000" s="14"/>
      <c r="K1000" s="12"/>
    </row>
    <row r="1001" ht="19.5" customHeight="1">
      <c r="A1001" s="12"/>
      <c r="C1001" s="12"/>
      <c r="D1001" s="87"/>
      <c r="F1001" s="14"/>
      <c r="G1001" s="14"/>
      <c r="H1001" s="14"/>
      <c r="I1001" s="14"/>
      <c r="J1001" s="14"/>
      <c r="K1001" s="12"/>
    </row>
    <row r="1002" ht="19.5" customHeight="1">
      <c r="A1002" s="12"/>
      <c r="C1002" s="12"/>
      <c r="D1002" s="87"/>
      <c r="F1002" s="14"/>
      <c r="G1002" s="14"/>
      <c r="H1002" s="14"/>
      <c r="I1002" s="14"/>
      <c r="J1002" s="14"/>
      <c r="K1002" s="12"/>
    </row>
    <row r="1003" ht="19.5" customHeight="1">
      <c r="A1003" s="12"/>
      <c r="C1003" s="12"/>
      <c r="D1003" s="87"/>
      <c r="F1003" s="14"/>
      <c r="G1003" s="14"/>
      <c r="H1003" s="14"/>
      <c r="I1003" s="14"/>
      <c r="J1003" s="14"/>
      <c r="K1003" s="12"/>
    </row>
    <row r="1004" ht="19.5" customHeight="1">
      <c r="A1004" s="12"/>
      <c r="C1004" s="12"/>
      <c r="D1004" s="87"/>
      <c r="F1004" s="14"/>
      <c r="G1004" s="14"/>
      <c r="H1004" s="14"/>
      <c r="I1004" s="14"/>
      <c r="J1004" s="14"/>
      <c r="K1004" s="12"/>
    </row>
    <row r="1005" ht="19.5" customHeight="1">
      <c r="A1005" s="12"/>
      <c r="C1005" s="12"/>
      <c r="D1005" s="87"/>
      <c r="F1005" s="14"/>
      <c r="G1005" s="14"/>
      <c r="H1005" s="14"/>
      <c r="I1005" s="14"/>
      <c r="J1005" s="14"/>
      <c r="K1005" s="12"/>
    </row>
    <row r="1006" ht="19.5" customHeight="1">
      <c r="A1006" s="12"/>
      <c r="C1006" s="12"/>
      <c r="D1006" s="87"/>
      <c r="F1006" s="14"/>
      <c r="G1006" s="14"/>
      <c r="H1006" s="14"/>
      <c r="I1006" s="14"/>
      <c r="J1006" s="14"/>
      <c r="K1006" s="12"/>
    </row>
    <row r="1007" ht="19.5" customHeight="1">
      <c r="A1007" s="12"/>
      <c r="C1007" s="12"/>
      <c r="D1007" s="87"/>
      <c r="F1007" s="14"/>
      <c r="G1007" s="14"/>
      <c r="H1007" s="14"/>
      <c r="I1007" s="14"/>
      <c r="J1007" s="14"/>
      <c r="K1007" s="12"/>
    </row>
    <row r="1008" ht="19.5" customHeight="1">
      <c r="A1008" s="12"/>
      <c r="C1008" s="12"/>
      <c r="D1008" s="87"/>
      <c r="F1008" s="14"/>
      <c r="G1008" s="14"/>
      <c r="H1008" s="14"/>
      <c r="I1008" s="14"/>
      <c r="J1008" s="14"/>
      <c r="K1008" s="12"/>
    </row>
    <row r="1009" ht="19.5" customHeight="1">
      <c r="A1009" s="12"/>
      <c r="C1009" s="12"/>
      <c r="D1009" s="87"/>
      <c r="F1009" s="14"/>
      <c r="G1009" s="14"/>
      <c r="H1009" s="14"/>
      <c r="I1009" s="14"/>
      <c r="J1009" s="14"/>
      <c r="K1009" s="12"/>
    </row>
    <row r="1010" ht="19.5" customHeight="1">
      <c r="A1010" s="12"/>
      <c r="C1010" s="12"/>
      <c r="D1010" s="87"/>
      <c r="F1010" s="14"/>
      <c r="G1010" s="14"/>
      <c r="H1010" s="14"/>
      <c r="I1010" s="14"/>
      <c r="J1010" s="14"/>
      <c r="K1010" s="12"/>
    </row>
    <row r="1011" ht="19.5" customHeight="1">
      <c r="A1011" s="12"/>
      <c r="C1011" s="12"/>
      <c r="D1011" s="87"/>
      <c r="F1011" s="14"/>
      <c r="G1011" s="14"/>
      <c r="H1011" s="14"/>
      <c r="I1011" s="14"/>
      <c r="J1011" s="14"/>
      <c r="K1011" s="12"/>
    </row>
    <row r="1012" ht="19.5" customHeight="1">
      <c r="A1012" s="12"/>
      <c r="C1012" s="12"/>
      <c r="D1012" s="87"/>
      <c r="F1012" s="14"/>
      <c r="G1012" s="14"/>
      <c r="H1012" s="14"/>
      <c r="I1012" s="14"/>
      <c r="J1012" s="14"/>
      <c r="K1012" s="12"/>
    </row>
    <row r="1013" ht="19.5" customHeight="1">
      <c r="A1013" s="12"/>
      <c r="C1013" s="12"/>
      <c r="D1013" s="87"/>
      <c r="F1013" s="14"/>
      <c r="G1013" s="14"/>
      <c r="H1013" s="14"/>
      <c r="I1013" s="14"/>
      <c r="J1013" s="14"/>
      <c r="K1013" s="12"/>
    </row>
    <row r="1014" ht="19.5" customHeight="1">
      <c r="A1014" s="12"/>
      <c r="C1014" s="12"/>
      <c r="D1014" s="87"/>
      <c r="F1014" s="14"/>
      <c r="G1014" s="14"/>
      <c r="H1014" s="14"/>
      <c r="I1014" s="14"/>
      <c r="J1014" s="14"/>
      <c r="K1014" s="12"/>
    </row>
    <row r="1015" ht="19.5" customHeight="1">
      <c r="A1015" s="12"/>
      <c r="C1015" s="12"/>
      <c r="D1015" s="87"/>
      <c r="F1015" s="14"/>
      <c r="G1015" s="14"/>
      <c r="H1015" s="14"/>
      <c r="I1015" s="14"/>
      <c r="J1015" s="14"/>
      <c r="K1015" s="12"/>
    </row>
    <row r="1016" ht="19.5" customHeight="1">
      <c r="A1016" s="12"/>
      <c r="C1016" s="12"/>
      <c r="D1016" s="87"/>
      <c r="F1016" s="14"/>
      <c r="G1016" s="14"/>
      <c r="H1016" s="14"/>
      <c r="I1016" s="14"/>
      <c r="J1016" s="14"/>
      <c r="K1016" s="12"/>
    </row>
    <row r="1017" ht="19.5" customHeight="1">
      <c r="A1017" s="12"/>
      <c r="C1017" s="12"/>
      <c r="D1017" s="87"/>
      <c r="F1017" s="14"/>
      <c r="G1017" s="14"/>
      <c r="H1017" s="14"/>
      <c r="I1017" s="14"/>
      <c r="J1017" s="14"/>
      <c r="K1017" s="12"/>
    </row>
    <row r="1018" ht="19.5" customHeight="1">
      <c r="A1018" s="12"/>
      <c r="C1018" s="12"/>
      <c r="D1018" s="87"/>
      <c r="F1018" s="14"/>
      <c r="G1018" s="14"/>
      <c r="H1018" s="14"/>
      <c r="I1018" s="14"/>
      <c r="J1018" s="14"/>
      <c r="K1018" s="12"/>
    </row>
    <row r="1019" ht="19.5" customHeight="1">
      <c r="A1019" s="12"/>
      <c r="C1019" s="12"/>
      <c r="D1019" s="87"/>
      <c r="F1019" s="14"/>
      <c r="G1019" s="14"/>
      <c r="H1019" s="14"/>
      <c r="I1019" s="14"/>
      <c r="J1019" s="14"/>
      <c r="K1019" s="12"/>
    </row>
    <row r="1020" ht="19.5" customHeight="1">
      <c r="A1020" s="12"/>
      <c r="C1020" s="12"/>
      <c r="D1020" s="87"/>
      <c r="F1020" s="14"/>
      <c r="G1020" s="14"/>
      <c r="H1020" s="14"/>
      <c r="I1020" s="14"/>
      <c r="J1020" s="14"/>
      <c r="K1020" s="12"/>
    </row>
    <row r="1021" ht="19.5" customHeight="1">
      <c r="A1021" s="12"/>
      <c r="C1021" s="12"/>
      <c r="D1021" s="87"/>
      <c r="F1021" s="14"/>
      <c r="G1021" s="14"/>
      <c r="H1021" s="14"/>
      <c r="I1021" s="14"/>
      <c r="J1021" s="14"/>
      <c r="K1021" s="12"/>
    </row>
    <row r="1022" ht="19.5" customHeight="1">
      <c r="A1022" s="12"/>
      <c r="C1022" s="12"/>
      <c r="D1022" s="87"/>
      <c r="F1022" s="14"/>
      <c r="G1022" s="14"/>
      <c r="H1022" s="14"/>
      <c r="I1022" s="14"/>
      <c r="J1022" s="14"/>
      <c r="K1022" s="12"/>
    </row>
    <row r="1023" ht="19.5" customHeight="1">
      <c r="A1023" s="12"/>
      <c r="C1023" s="12"/>
      <c r="D1023" s="87"/>
      <c r="F1023" s="14"/>
      <c r="G1023" s="14"/>
      <c r="H1023" s="14"/>
      <c r="I1023" s="14"/>
      <c r="J1023" s="14"/>
      <c r="K1023" s="12"/>
    </row>
    <row r="1024" ht="19.5" customHeight="1">
      <c r="A1024" s="12"/>
      <c r="C1024" s="12"/>
      <c r="D1024" s="87"/>
      <c r="F1024" s="14"/>
      <c r="G1024" s="14"/>
      <c r="H1024" s="14"/>
      <c r="I1024" s="14"/>
      <c r="J1024" s="14"/>
      <c r="K1024" s="12"/>
    </row>
    <row r="1025" ht="19.5" customHeight="1">
      <c r="A1025" s="12"/>
      <c r="C1025" s="12"/>
      <c r="D1025" s="87"/>
      <c r="F1025" s="14"/>
      <c r="G1025" s="14"/>
      <c r="H1025" s="14"/>
      <c r="I1025" s="14"/>
      <c r="J1025" s="14"/>
      <c r="K1025" s="12"/>
    </row>
    <row r="1026" ht="19.5" customHeight="1">
      <c r="A1026" s="12"/>
      <c r="C1026" s="12"/>
      <c r="D1026" s="87"/>
      <c r="F1026" s="14"/>
      <c r="G1026" s="14"/>
      <c r="H1026" s="14"/>
      <c r="I1026" s="14"/>
      <c r="J1026" s="14"/>
      <c r="K1026" s="12"/>
    </row>
    <row r="1027" ht="19.5" customHeight="1">
      <c r="A1027" s="12"/>
      <c r="C1027" s="12"/>
      <c r="D1027" s="87"/>
      <c r="F1027" s="14"/>
      <c r="G1027" s="14"/>
      <c r="H1027" s="14"/>
      <c r="I1027" s="14"/>
      <c r="J1027" s="14"/>
      <c r="K1027" s="12"/>
    </row>
    <row r="1028" ht="19.5" customHeight="1">
      <c r="A1028" s="12"/>
      <c r="C1028" s="12"/>
      <c r="D1028" s="87"/>
      <c r="F1028" s="14"/>
      <c r="G1028" s="14"/>
      <c r="H1028" s="14"/>
      <c r="I1028" s="14"/>
      <c r="J1028" s="14"/>
      <c r="K1028" s="12"/>
    </row>
    <row r="1029" ht="19.5" customHeight="1">
      <c r="A1029" s="12"/>
      <c r="C1029" s="12"/>
      <c r="D1029" s="87"/>
      <c r="F1029" s="14"/>
      <c r="G1029" s="14"/>
      <c r="H1029" s="14"/>
      <c r="I1029" s="14"/>
      <c r="J1029" s="14"/>
      <c r="K1029" s="12"/>
    </row>
    <row r="1030" ht="19.5" customHeight="1">
      <c r="A1030" s="12"/>
      <c r="C1030" s="12"/>
      <c r="D1030" s="87"/>
      <c r="F1030" s="14"/>
      <c r="G1030" s="14"/>
      <c r="H1030" s="14"/>
      <c r="I1030" s="14"/>
      <c r="J1030" s="14"/>
      <c r="K1030" s="12"/>
    </row>
    <row r="1031" ht="19.5" customHeight="1">
      <c r="A1031" s="12"/>
      <c r="C1031" s="12"/>
      <c r="D1031" s="87"/>
      <c r="F1031" s="14"/>
      <c r="G1031" s="14"/>
      <c r="H1031" s="14"/>
      <c r="I1031" s="14"/>
      <c r="J1031" s="14"/>
      <c r="K1031" s="12"/>
    </row>
    <row r="1032" ht="19.5" customHeight="1">
      <c r="A1032" s="12"/>
      <c r="C1032" s="12"/>
      <c r="D1032" s="87"/>
      <c r="F1032" s="14"/>
      <c r="G1032" s="14"/>
      <c r="H1032" s="14"/>
      <c r="I1032" s="14"/>
      <c r="J1032" s="14"/>
      <c r="K1032" s="12"/>
    </row>
    <row r="1033" ht="19.5" customHeight="1">
      <c r="A1033" s="12"/>
      <c r="C1033" s="12"/>
      <c r="D1033" s="87"/>
      <c r="F1033" s="14"/>
      <c r="G1033" s="14"/>
      <c r="H1033" s="14"/>
      <c r="I1033" s="14"/>
      <c r="J1033" s="14"/>
      <c r="K1033" s="12"/>
    </row>
    <row r="1034" ht="19.5" customHeight="1">
      <c r="A1034" s="12"/>
      <c r="C1034" s="12"/>
      <c r="D1034" s="87"/>
      <c r="F1034" s="14"/>
      <c r="G1034" s="14"/>
      <c r="H1034" s="14"/>
      <c r="I1034" s="14"/>
      <c r="J1034" s="14"/>
      <c r="K1034" s="12"/>
    </row>
    <row r="1035" ht="19.5" customHeight="1">
      <c r="A1035" s="12"/>
      <c r="C1035" s="12"/>
      <c r="D1035" s="87"/>
      <c r="F1035" s="14"/>
      <c r="G1035" s="14"/>
      <c r="H1035" s="14"/>
      <c r="I1035" s="14"/>
      <c r="J1035" s="14"/>
      <c r="K1035" s="12"/>
    </row>
    <row r="1036" ht="19.5" customHeight="1">
      <c r="A1036" s="12"/>
      <c r="C1036" s="12"/>
      <c r="D1036" s="87"/>
      <c r="F1036" s="14"/>
      <c r="G1036" s="14"/>
      <c r="H1036" s="14"/>
      <c r="I1036" s="14"/>
      <c r="J1036" s="14"/>
      <c r="K1036" s="12"/>
    </row>
    <row r="1037" ht="19.5" customHeight="1">
      <c r="A1037" s="12"/>
      <c r="C1037" s="12"/>
      <c r="D1037" s="87"/>
      <c r="F1037" s="14"/>
      <c r="G1037" s="14"/>
      <c r="H1037" s="14"/>
      <c r="I1037" s="14"/>
      <c r="J1037" s="14"/>
      <c r="K1037" s="12"/>
    </row>
    <row r="1038" ht="19.5" customHeight="1">
      <c r="A1038" s="12"/>
      <c r="C1038" s="12"/>
      <c r="D1038" s="87"/>
      <c r="F1038" s="14"/>
      <c r="G1038" s="14"/>
      <c r="H1038" s="14"/>
      <c r="I1038" s="14"/>
      <c r="J1038" s="14"/>
      <c r="K1038" s="12"/>
    </row>
    <row r="1039" ht="19.5" customHeight="1">
      <c r="A1039" s="12"/>
      <c r="C1039" s="12"/>
      <c r="D1039" s="87"/>
      <c r="F1039" s="14"/>
      <c r="G1039" s="14"/>
      <c r="H1039" s="14"/>
      <c r="I1039" s="14"/>
      <c r="J1039" s="14"/>
      <c r="K1039" s="12"/>
    </row>
    <row r="1040" ht="19.5" customHeight="1">
      <c r="A1040" s="12"/>
      <c r="C1040" s="12"/>
      <c r="D1040" s="87"/>
      <c r="F1040" s="14"/>
      <c r="G1040" s="14"/>
      <c r="H1040" s="14"/>
      <c r="I1040" s="14"/>
      <c r="J1040" s="14"/>
      <c r="K1040" s="12"/>
    </row>
    <row r="1041" ht="19.5" customHeight="1">
      <c r="A1041" s="12"/>
      <c r="C1041" s="12"/>
      <c r="D1041" s="87"/>
      <c r="F1041" s="14"/>
      <c r="G1041" s="14"/>
      <c r="H1041" s="14"/>
      <c r="I1041" s="14"/>
      <c r="J1041" s="14"/>
      <c r="K1041" s="12"/>
    </row>
    <row r="1042" ht="19.5" customHeight="1">
      <c r="A1042" s="12"/>
      <c r="C1042" s="12"/>
      <c r="D1042" s="87"/>
      <c r="F1042" s="14"/>
      <c r="G1042" s="14"/>
      <c r="H1042" s="14"/>
      <c r="I1042" s="14"/>
      <c r="J1042" s="14"/>
      <c r="K1042" s="12"/>
    </row>
    <row r="1043" ht="19.5" customHeight="1">
      <c r="A1043" s="12"/>
      <c r="C1043" s="12"/>
      <c r="D1043" s="87"/>
      <c r="F1043" s="14"/>
      <c r="G1043" s="14"/>
      <c r="H1043" s="14"/>
      <c r="I1043" s="14"/>
      <c r="J1043" s="14"/>
      <c r="K1043" s="12"/>
    </row>
    <row r="1044" ht="19.5" customHeight="1">
      <c r="A1044" s="12"/>
      <c r="C1044" s="12"/>
      <c r="D1044" s="87"/>
      <c r="F1044" s="14"/>
      <c r="G1044" s="14"/>
      <c r="H1044" s="14"/>
      <c r="I1044" s="14"/>
      <c r="J1044" s="14"/>
      <c r="K1044" s="12"/>
    </row>
    <row r="1045" ht="19.5" customHeight="1">
      <c r="A1045" s="12"/>
      <c r="C1045" s="12"/>
      <c r="D1045" s="87"/>
      <c r="F1045" s="14"/>
      <c r="G1045" s="14"/>
      <c r="H1045" s="14"/>
      <c r="I1045" s="14"/>
      <c r="J1045" s="14"/>
      <c r="K1045" s="12"/>
    </row>
    <row r="1046" ht="19.5" customHeight="1">
      <c r="A1046" s="12"/>
      <c r="C1046" s="12"/>
      <c r="D1046" s="87"/>
      <c r="F1046" s="14"/>
      <c r="G1046" s="14"/>
      <c r="H1046" s="14"/>
      <c r="I1046" s="14"/>
      <c r="J1046" s="14"/>
      <c r="K1046" s="12"/>
    </row>
    <row r="1047" ht="19.5" customHeight="1">
      <c r="A1047" s="12"/>
      <c r="C1047" s="12"/>
      <c r="D1047" s="87"/>
      <c r="F1047" s="14"/>
      <c r="G1047" s="14"/>
      <c r="H1047" s="14"/>
      <c r="I1047" s="14"/>
      <c r="J1047" s="14"/>
      <c r="K1047" s="12"/>
    </row>
    <row r="1048" ht="19.5" customHeight="1">
      <c r="A1048" s="12"/>
      <c r="C1048" s="12"/>
      <c r="D1048" s="87"/>
      <c r="F1048" s="14"/>
      <c r="G1048" s="14"/>
      <c r="H1048" s="14"/>
      <c r="I1048" s="14"/>
      <c r="J1048" s="14"/>
      <c r="K1048" s="12"/>
    </row>
    <row r="1049" ht="19.5" customHeight="1">
      <c r="A1049" s="12"/>
      <c r="C1049" s="12"/>
      <c r="D1049" s="87"/>
      <c r="F1049" s="14"/>
      <c r="G1049" s="14"/>
      <c r="H1049" s="14"/>
      <c r="I1049" s="14"/>
      <c r="J1049" s="14"/>
      <c r="K1049" s="12"/>
    </row>
    <row r="1050" ht="19.5" customHeight="1">
      <c r="A1050" s="12"/>
      <c r="C1050" s="12"/>
      <c r="D1050" s="87"/>
      <c r="F1050" s="14"/>
      <c r="G1050" s="14"/>
      <c r="H1050" s="14"/>
      <c r="I1050" s="14"/>
      <c r="J1050" s="14"/>
      <c r="K1050" s="12"/>
    </row>
    <row r="1051" ht="19.5" customHeight="1">
      <c r="A1051" s="12"/>
      <c r="C1051" s="12"/>
      <c r="D1051" s="87"/>
      <c r="F1051" s="14"/>
      <c r="G1051" s="14"/>
      <c r="H1051" s="14"/>
      <c r="I1051" s="14"/>
      <c r="J1051" s="14"/>
      <c r="K1051" s="12"/>
    </row>
    <row r="1052" ht="19.5" customHeight="1">
      <c r="A1052" s="12"/>
      <c r="C1052" s="12"/>
      <c r="D1052" s="87"/>
      <c r="F1052" s="14"/>
      <c r="G1052" s="14"/>
      <c r="H1052" s="14"/>
      <c r="I1052" s="14"/>
      <c r="J1052" s="14"/>
      <c r="K1052" s="12"/>
    </row>
    <row r="1053" ht="19.5" customHeight="1">
      <c r="A1053" s="12"/>
      <c r="C1053" s="12"/>
      <c r="D1053" s="87"/>
      <c r="F1053" s="14"/>
      <c r="G1053" s="14"/>
      <c r="H1053" s="14"/>
      <c r="I1053" s="14"/>
      <c r="J1053" s="14"/>
      <c r="K1053" s="12"/>
    </row>
    <row r="1054" ht="19.5" customHeight="1">
      <c r="A1054" s="12"/>
      <c r="C1054" s="12"/>
      <c r="D1054" s="87"/>
      <c r="F1054" s="14"/>
      <c r="G1054" s="14"/>
      <c r="H1054" s="14"/>
      <c r="I1054" s="14"/>
      <c r="J1054" s="14"/>
      <c r="K1054" s="12"/>
    </row>
    <row r="1055" ht="19.5" customHeight="1">
      <c r="A1055" s="12"/>
      <c r="C1055" s="12"/>
      <c r="D1055" s="87"/>
      <c r="F1055" s="14"/>
      <c r="G1055" s="14"/>
      <c r="H1055" s="14"/>
      <c r="I1055" s="14"/>
      <c r="J1055" s="14"/>
      <c r="K1055" s="12"/>
    </row>
    <row r="1056" ht="19.5" customHeight="1">
      <c r="A1056" s="12"/>
      <c r="C1056" s="12"/>
      <c r="D1056" s="87"/>
      <c r="F1056" s="14"/>
      <c r="G1056" s="14"/>
      <c r="H1056" s="14"/>
      <c r="I1056" s="14"/>
      <c r="J1056" s="14"/>
      <c r="K1056" s="12"/>
    </row>
    <row r="1057" ht="19.5" customHeight="1">
      <c r="A1057" s="12"/>
      <c r="C1057" s="12"/>
      <c r="D1057" s="87"/>
      <c r="F1057" s="14"/>
      <c r="G1057" s="14"/>
      <c r="H1057" s="14"/>
      <c r="I1057" s="14"/>
      <c r="J1057" s="14"/>
      <c r="K1057" s="12"/>
    </row>
    <row r="1058" ht="19.5" customHeight="1">
      <c r="A1058" s="12"/>
      <c r="C1058" s="12"/>
      <c r="D1058" s="87"/>
      <c r="F1058" s="14"/>
      <c r="G1058" s="14"/>
      <c r="H1058" s="14"/>
      <c r="I1058" s="14"/>
      <c r="J1058" s="14"/>
      <c r="K1058" s="12"/>
    </row>
    <row r="1059" ht="19.5" customHeight="1">
      <c r="A1059" s="12"/>
      <c r="C1059" s="12"/>
      <c r="D1059" s="87"/>
      <c r="F1059" s="14"/>
      <c r="G1059" s="14"/>
      <c r="H1059" s="14"/>
      <c r="I1059" s="14"/>
      <c r="J1059" s="14"/>
      <c r="K1059" s="12"/>
    </row>
    <row r="1060" ht="19.5" customHeight="1">
      <c r="A1060" s="12"/>
      <c r="C1060" s="12"/>
      <c r="D1060" s="87"/>
      <c r="F1060" s="14"/>
      <c r="G1060" s="14"/>
      <c r="H1060" s="14"/>
      <c r="I1060" s="14"/>
      <c r="J1060" s="14"/>
      <c r="K1060" s="12"/>
    </row>
    <row r="1061" ht="19.5" customHeight="1">
      <c r="A1061" s="12"/>
      <c r="C1061" s="12"/>
      <c r="D1061" s="87"/>
      <c r="F1061" s="14"/>
      <c r="G1061" s="14"/>
      <c r="H1061" s="14"/>
      <c r="I1061" s="14"/>
      <c r="J1061" s="14"/>
      <c r="K1061" s="12"/>
    </row>
    <row r="1062" ht="19.5" customHeight="1">
      <c r="A1062" s="12"/>
      <c r="C1062" s="12"/>
      <c r="D1062" s="87"/>
      <c r="F1062" s="14"/>
      <c r="G1062" s="14"/>
      <c r="H1062" s="14"/>
      <c r="I1062" s="14"/>
      <c r="J1062" s="14"/>
      <c r="K1062" s="12"/>
    </row>
    <row r="1063" ht="19.5" customHeight="1">
      <c r="A1063" s="12"/>
      <c r="C1063" s="12"/>
      <c r="D1063" s="87"/>
      <c r="F1063" s="14"/>
      <c r="G1063" s="14"/>
      <c r="H1063" s="14"/>
      <c r="I1063" s="14"/>
      <c r="J1063" s="14"/>
      <c r="K1063" s="12"/>
    </row>
    <row r="1064" ht="19.5" customHeight="1">
      <c r="A1064" s="12"/>
      <c r="C1064" s="12"/>
      <c r="D1064" s="87"/>
      <c r="F1064" s="14"/>
      <c r="G1064" s="14"/>
      <c r="H1064" s="14"/>
      <c r="I1064" s="14"/>
      <c r="J1064" s="14"/>
      <c r="K1064" s="12"/>
    </row>
    <row r="1065" ht="19.5" customHeight="1">
      <c r="A1065" s="12"/>
      <c r="C1065" s="12"/>
      <c r="D1065" s="87"/>
      <c r="F1065" s="14"/>
      <c r="G1065" s="14"/>
      <c r="H1065" s="14"/>
      <c r="I1065" s="14"/>
      <c r="J1065" s="14"/>
      <c r="K1065" s="12"/>
    </row>
    <row r="1066" ht="19.5" customHeight="1">
      <c r="A1066" s="12"/>
      <c r="C1066" s="12"/>
      <c r="D1066" s="87"/>
      <c r="F1066" s="14"/>
      <c r="G1066" s="14"/>
      <c r="H1066" s="14"/>
      <c r="I1066" s="14"/>
      <c r="J1066" s="14"/>
      <c r="K1066" s="12"/>
    </row>
    <row r="1067" ht="19.5" customHeight="1">
      <c r="A1067" s="12"/>
      <c r="C1067" s="12"/>
      <c r="D1067" s="87"/>
      <c r="F1067" s="14"/>
      <c r="G1067" s="14"/>
      <c r="H1067" s="14"/>
      <c r="I1067" s="14"/>
      <c r="J1067" s="14"/>
      <c r="K1067" s="12"/>
    </row>
    <row r="1068" ht="19.5" customHeight="1">
      <c r="A1068" s="12"/>
      <c r="C1068" s="12"/>
      <c r="D1068" s="87"/>
      <c r="F1068" s="14"/>
      <c r="G1068" s="14"/>
      <c r="H1068" s="14"/>
      <c r="I1068" s="14"/>
      <c r="J1068" s="14"/>
      <c r="K1068" s="12"/>
    </row>
    <row r="1069" ht="19.5" customHeight="1">
      <c r="A1069" s="12"/>
      <c r="C1069" s="12"/>
      <c r="D1069" s="87"/>
      <c r="F1069" s="14"/>
      <c r="G1069" s="14"/>
      <c r="H1069" s="14"/>
      <c r="I1069" s="14"/>
      <c r="J1069" s="14"/>
      <c r="K1069" s="12"/>
    </row>
    <row r="1070" ht="19.5" customHeight="1">
      <c r="A1070" s="12"/>
      <c r="C1070" s="12"/>
      <c r="D1070" s="87"/>
      <c r="F1070" s="14"/>
      <c r="G1070" s="14"/>
      <c r="H1070" s="14"/>
      <c r="I1070" s="14"/>
      <c r="J1070" s="14"/>
      <c r="K1070" s="12"/>
    </row>
    <row r="1071" ht="19.5" customHeight="1">
      <c r="A1071" s="12"/>
      <c r="C1071" s="12"/>
      <c r="D1071" s="87"/>
      <c r="F1071" s="14"/>
      <c r="G1071" s="14"/>
      <c r="H1071" s="14"/>
      <c r="I1071" s="14"/>
      <c r="J1071" s="14"/>
      <c r="K1071" s="12"/>
    </row>
    <row r="1072" ht="19.5" customHeight="1">
      <c r="A1072" s="12"/>
      <c r="C1072" s="12"/>
      <c r="D1072" s="87"/>
      <c r="F1072" s="14"/>
      <c r="G1072" s="14"/>
      <c r="H1072" s="14"/>
      <c r="I1072" s="14"/>
      <c r="J1072" s="14"/>
      <c r="K1072" s="12"/>
    </row>
    <row r="1073" ht="19.5" customHeight="1">
      <c r="A1073" s="12"/>
      <c r="C1073" s="12"/>
      <c r="D1073" s="87"/>
      <c r="F1073" s="14"/>
      <c r="G1073" s="14"/>
      <c r="H1073" s="14"/>
      <c r="I1073" s="14"/>
      <c r="J1073" s="14"/>
      <c r="K1073" s="12"/>
    </row>
    <row r="1074" ht="19.5" customHeight="1">
      <c r="A1074" s="12"/>
      <c r="C1074" s="12"/>
      <c r="D1074" s="87"/>
      <c r="F1074" s="14"/>
      <c r="G1074" s="14"/>
      <c r="H1074" s="14"/>
      <c r="I1074" s="14"/>
      <c r="J1074" s="14"/>
      <c r="K1074" s="12"/>
    </row>
    <row r="1075" ht="19.5" customHeight="1">
      <c r="A1075" s="12"/>
      <c r="C1075" s="12"/>
      <c r="D1075" s="87"/>
      <c r="F1075" s="14"/>
      <c r="G1075" s="14"/>
      <c r="H1075" s="14"/>
      <c r="I1075" s="14"/>
      <c r="J1075" s="14"/>
      <c r="K1075" s="12"/>
    </row>
  </sheetData>
  <mergeCells count="17">
    <mergeCell ref="A6:K6"/>
    <mergeCell ref="A7:K7"/>
    <mergeCell ref="A8:K8"/>
    <mergeCell ref="A9:A10"/>
    <mergeCell ref="B9:B10"/>
    <mergeCell ref="C9:C10"/>
    <mergeCell ref="D9:D10"/>
    <mergeCell ref="K9:K10"/>
    <mergeCell ref="J249:J268"/>
    <mergeCell ref="J280:J281"/>
    <mergeCell ref="E9:G9"/>
    <mergeCell ref="J9:J10"/>
    <mergeCell ref="J103:J115"/>
    <mergeCell ref="J117:J130"/>
    <mergeCell ref="K134:K136"/>
    <mergeCell ref="J138:J151"/>
    <mergeCell ref="J171:J183"/>
  </mergeCells>
  <printOptions/>
  <pageMargins bottom="0.787401575" footer="0.0" header="0.0" left="0.511811024" right="0.511811024" top="0.787401575"/>
  <pageSetup paperSize="9" scale="60" orientation="landscape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33.0"/>
    <col customWidth="1" min="3" max="3" width="9.13"/>
    <col customWidth="1" min="4" max="4" width="16.25"/>
    <col customWidth="1" min="5" max="5" width="19.13"/>
    <col customWidth="1" min="6" max="6" width="17.75"/>
    <col customWidth="1" min="7" max="7" width="21.88"/>
    <col customWidth="1" min="8" max="8" width="20.13"/>
    <col customWidth="1" min="9" max="9" width="16.13"/>
    <col customWidth="1" min="10" max="10" width="18.25"/>
    <col customWidth="1" min="11" max="11" width="21.88"/>
    <col customWidth="1" min="12" max="26" width="8.63"/>
  </cols>
  <sheetData>
    <row r="1" ht="19.5" customHeight="1">
      <c r="A1" s="4"/>
      <c r="B1" s="5"/>
      <c r="C1" s="6"/>
      <c r="D1" s="86"/>
      <c r="E1" s="5"/>
      <c r="F1" s="8"/>
      <c r="G1" s="8"/>
      <c r="H1" s="8"/>
      <c r="I1" s="8"/>
      <c r="J1" s="8"/>
      <c r="K1" s="9"/>
    </row>
    <row r="2" ht="19.5" customHeight="1">
      <c r="A2" s="10" t="s">
        <v>83</v>
      </c>
      <c r="B2" s="11" t="s">
        <v>84</v>
      </c>
      <c r="C2" s="12"/>
      <c r="D2" s="87"/>
      <c r="F2" s="14"/>
      <c r="G2" s="14"/>
      <c r="H2" s="14"/>
      <c r="I2" s="14"/>
      <c r="J2" s="17" t="s">
        <v>144</v>
      </c>
      <c r="K2" s="18"/>
    </row>
    <row r="3" ht="19.5" customHeight="1">
      <c r="A3" s="10" t="s">
        <v>86</v>
      </c>
      <c r="B3" s="11" t="s">
        <v>87</v>
      </c>
      <c r="C3" s="12"/>
      <c r="D3" s="87"/>
      <c r="F3" s="14"/>
      <c r="G3" s="14"/>
      <c r="H3" s="14"/>
      <c r="I3" s="16"/>
      <c r="J3" s="14"/>
      <c r="K3" s="18"/>
    </row>
    <row r="4" ht="19.5" customHeight="1">
      <c r="A4" s="19"/>
      <c r="C4" s="12"/>
      <c r="D4" s="87"/>
      <c r="F4" s="14"/>
      <c r="G4" s="14"/>
      <c r="H4" s="14"/>
      <c r="I4" s="14"/>
      <c r="J4" s="14"/>
      <c r="K4" s="18"/>
    </row>
    <row r="5" ht="19.5" customHeight="1">
      <c r="A5" s="19"/>
      <c r="C5" s="12"/>
      <c r="D5" s="87"/>
      <c r="F5" s="14"/>
      <c r="G5" s="14"/>
      <c r="H5" s="14"/>
      <c r="I5" s="14"/>
      <c r="J5" s="14"/>
      <c r="K5" s="18"/>
    </row>
    <row r="6" ht="200.25" customHeight="1">
      <c r="A6" s="20" t="s">
        <v>1023</v>
      </c>
      <c r="K6" s="21"/>
    </row>
    <row r="7" ht="64.5" customHeight="1">
      <c r="A7" s="22" t="s">
        <v>1024</v>
      </c>
      <c r="K7" s="21"/>
    </row>
    <row r="8" ht="37.5" customHeight="1">
      <c r="A8" s="88" t="s">
        <v>90</v>
      </c>
      <c r="B8" s="24"/>
      <c r="C8" s="24"/>
      <c r="D8" s="24"/>
      <c r="E8" s="24"/>
      <c r="F8" s="24"/>
      <c r="G8" s="24"/>
      <c r="H8" s="24"/>
      <c r="I8" s="24"/>
      <c r="J8" s="24"/>
      <c r="K8" s="25"/>
    </row>
    <row r="9" ht="19.5" customHeight="1">
      <c r="A9" s="26" t="s">
        <v>1</v>
      </c>
      <c r="B9" s="26" t="s">
        <v>91</v>
      </c>
      <c r="C9" s="26" t="s">
        <v>92</v>
      </c>
      <c r="D9" s="31" t="s">
        <v>93</v>
      </c>
      <c r="E9" s="27" t="s">
        <v>94</v>
      </c>
      <c r="F9" s="28"/>
      <c r="G9" s="29"/>
      <c r="H9" s="30"/>
      <c r="I9" s="30"/>
      <c r="J9" s="31" t="s">
        <v>95</v>
      </c>
      <c r="K9" s="26" t="s">
        <v>96</v>
      </c>
    </row>
    <row r="10" ht="19.5" customHeight="1">
      <c r="A10" s="32"/>
      <c r="B10" s="32"/>
      <c r="C10" s="32"/>
      <c r="D10" s="32"/>
      <c r="E10" s="33" t="s">
        <v>97</v>
      </c>
      <c r="F10" s="34" t="s">
        <v>121</v>
      </c>
      <c r="G10" s="34" t="s">
        <v>99</v>
      </c>
      <c r="H10" s="35" t="s">
        <v>100</v>
      </c>
      <c r="I10" s="35" t="s">
        <v>101</v>
      </c>
      <c r="J10" s="32"/>
      <c r="K10" s="32"/>
    </row>
    <row r="11" ht="19.5" customHeight="1">
      <c r="A11" s="145">
        <v>1.0</v>
      </c>
      <c r="B11" s="37" t="s">
        <v>147</v>
      </c>
      <c r="C11" s="46" t="s">
        <v>148</v>
      </c>
      <c r="D11" s="78">
        <v>26.0</v>
      </c>
      <c r="E11" s="37">
        <v>0.8</v>
      </c>
      <c r="F11" s="40">
        <v>1.2</v>
      </c>
      <c r="G11" s="40">
        <v>1.2</v>
      </c>
      <c r="H11" s="40">
        <f>G11*F11*E11*D11</f>
        <v>29.952</v>
      </c>
      <c r="I11" s="42"/>
      <c r="J11" s="43">
        <f>H11-I11</f>
        <v>29.952</v>
      </c>
      <c r="K11" s="91"/>
      <c r="M11" s="343"/>
    </row>
    <row r="12" ht="19.5" customHeight="1">
      <c r="A12" s="74" t="s">
        <v>1</v>
      </c>
      <c r="B12" s="74" t="s">
        <v>91</v>
      </c>
      <c r="C12" s="74" t="s">
        <v>92</v>
      </c>
      <c r="D12" s="76" t="s">
        <v>93</v>
      </c>
      <c r="E12" s="50" t="s">
        <v>97</v>
      </c>
      <c r="F12" s="53" t="s">
        <v>121</v>
      </c>
      <c r="G12" s="53" t="s">
        <v>99</v>
      </c>
      <c r="H12" s="75" t="s">
        <v>100</v>
      </c>
      <c r="I12" s="75" t="s">
        <v>101</v>
      </c>
      <c r="J12" s="76" t="s">
        <v>95</v>
      </c>
      <c r="K12" s="74" t="s">
        <v>96</v>
      </c>
    </row>
    <row r="13" ht="19.5" customHeight="1">
      <c r="A13" s="36">
        <v>37628.0</v>
      </c>
      <c r="B13" s="37" t="s">
        <v>150</v>
      </c>
      <c r="C13" s="38" t="s">
        <v>108</v>
      </c>
      <c r="D13" s="78">
        <v>2.0</v>
      </c>
      <c r="E13" s="37"/>
      <c r="F13" s="40">
        <v>26.3</v>
      </c>
      <c r="G13" s="40">
        <v>22.75</v>
      </c>
      <c r="H13" s="40">
        <f>(G13+F13)*D13</f>
        <v>98.1</v>
      </c>
      <c r="I13" s="42"/>
      <c r="J13" s="64">
        <f>H13</f>
        <v>98.1</v>
      </c>
      <c r="K13" s="38"/>
    </row>
    <row r="14" ht="19.5" customHeight="1">
      <c r="A14" s="74" t="s">
        <v>1</v>
      </c>
      <c r="B14" s="74" t="s">
        <v>91</v>
      </c>
      <c r="C14" s="74" t="s">
        <v>92</v>
      </c>
      <c r="D14" s="76" t="s">
        <v>93</v>
      </c>
      <c r="E14" s="50" t="s">
        <v>97</v>
      </c>
      <c r="F14" s="53" t="s">
        <v>121</v>
      </c>
      <c r="G14" s="53" t="s">
        <v>99</v>
      </c>
      <c r="H14" s="75" t="s">
        <v>100</v>
      </c>
      <c r="I14" s="75" t="s">
        <v>101</v>
      </c>
      <c r="J14" s="76" t="s">
        <v>95</v>
      </c>
      <c r="K14" s="74" t="s">
        <v>96</v>
      </c>
    </row>
    <row r="15" ht="19.5" customHeight="1">
      <c r="A15" s="145">
        <v>1.0</v>
      </c>
      <c r="B15" s="49" t="s">
        <v>149</v>
      </c>
      <c r="C15" s="46" t="s">
        <v>148</v>
      </c>
      <c r="D15" s="78">
        <f>D11</f>
        <v>26</v>
      </c>
      <c r="E15" s="37"/>
      <c r="F15" s="40">
        <f t="shared" ref="F15:G15" si="1">F11</f>
        <v>1.2</v>
      </c>
      <c r="G15" s="40">
        <f t="shared" si="1"/>
        <v>1.2</v>
      </c>
      <c r="H15" s="40">
        <f>G15*F15*D15</f>
        <v>37.44</v>
      </c>
      <c r="I15" s="42"/>
      <c r="J15" s="64">
        <f>H15</f>
        <v>37.44</v>
      </c>
      <c r="K15" s="91"/>
      <c r="L15" s="2" t="s">
        <v>1025</v>
      </c>
    </row>
    <row r="16" ht="19.5" customHeight="1">
      <c r="A16" s="74" t="s">
        <v>1</v>
      </c>
      <c r="B16" s="74" t="s">
        <v>91</v>
      </c>
      <c r="C16" s="74" t="s">
        <v>92</v>
      </c>
      <c r="D16" s="76" t="s">
        <v>93</v>
      </c>
      <c r="E16" s="50" t="s">
        <v>97</v>
      </c>
      <c r="F16" s="53" t="s">
        <v>121</v>
      </c>
      <c r="G16" s="53" t="s">
        <v>99</v>
      </c>
      <c r="H16" s="75" t="s">
        <v>100</v>
      </c>
      <c r="I16" s="75" t="s">
        <v>101</v>
      </c>
      <c r="J16" s="76" t="s">
        <v>95</v>
      </c>
      <c r="K16" s="74" t="s">
        <v>96</v>
      </c>
    </row>
    <row r="17" ht="19.5" customHeight="1">
      <c r="A17" s="145">
        <v>1.0</v>
      </c>
      <c r="B17" s="37" t="s">
        <v>333</v>
      </c>
      <c r="C17" s="46" t="s">
        <v>148</v>
      </c>
      <c r="D17" s="78">
        <f>D15</f>
        <v>26</v>
      </c>
      <c r="E17" s="37">
        <v>0.05</v>
      </c>
      <c r="F17" s="40">
        <f t="shared" ref="F17:G17" si="2">F15</f>
        <v>1.2</v>
      </c>
      <c r="G17" s="40">
        <f t="shared" si="2"/>
        <v>1.2</v>
      </c>
      <c r="H17" s="40">
        <f>G17*F17*E17*D17</f>
        <v>1.872</v>
      </c>
      <c r="I17" s="42"/>
      <c r="J17" s="64">
        <f>H17</f>
        <v>1.872</v>
      </c>
      <c r="K17" s="91"/>
    </row>
    <row r="18" ht="19.5" customHeight="1">
      <c r="A18" s="74" t="s">
        <v>1</v>
      </c>
      <c r="B18" s="74" t="s">
        <v>91</v>
      </c>
      <c r="C18" s="74" t="s">
        <v>92</v>
      </c>
      <c r="D18" s="76" t="s">
        <v>93</v>
      </c>
      <c r="E18" s="50" t="s">
        <v>97</v>
      </c>
      <c r="F18" s="53" t="s">
        <v>121</v>
      </c>
      <c r="G18" s="53" t="s">
        <v>99</v>
      </c>
      <c r="H18" s="75" t="s">
        <v>100</v>
      </c>
      <c r="I18" s="75" t="s">
        <v>101</v>
      </c>
      <c r="J18" s="76" t="s">
        <v>95</v>
      </c>
      <c r="K18" s="74" t="s">
        <v>96</v>
      </c>
    </row>
    <row r="19" ht="19.5" customHeight="1">
      <c r="A19" s="126">
        <v>1.0</v>
      </c>
      <c r="B19" s="37" t="s">
        <v>334</v>
      </c>
      <c r="C19" s="46" t="s">
        <v>148</v>
      </c>
      <c r="D19" s="78">
        <f>D17</f>
        <v>26</v>
      </c>
      <c r="E19" s="37">
        <v>0.7</v>
      </c>
      <c r="F19" s="40">
        <v>0.25</v>
      </c>
      <c r="G19" s="40">
        <v>0.3</v>
      </c>
      <c r="H19" s="40">
        <f>G19*F19*E19*D19</f>
        <v>1.365</v>
      </c>
      <c r="I19" s="42"/>
      <c r="J19" s="43">
        <f>H19-I19</f>
        <v>1.365</v>
      </c>
      <c r="K19" s="91"/>
    </row>
    <row r="20" ht="19.5" customHeight="1">
      <c r="A20" s="74" t="s">
        <v>1</v>
      </c>
      <c r="B20" s="74" t="s">
        <v>91</v>
      </c>
      <c r="C20" s="74" t="s">
        <v>92</v>
      </c>
      <c r="D20" s="76" t="s">
        <v>93</v>
      </c>
      <c r="E20" s="50" t="s">
        <v>97</v>
      </c>
      <c r="F20" s="53" t="s">
        <v>121</v>
      </c>
      <c r="G20" s="53" t="s">
        <v>99</v>
      </c>
      <c r="H20" s="75" t="s">
        <v>100</v>
      </c>
      <c r="I20" s="75" t="s">
        <v>101</v>
      </c>
      <c r="J20" s="76" t="s">
        <v>95</v>
      </c>
      <c r="K20" s="74" t="s">
        <v>96</v>
      </c>
    </row>
    <row r="21" ht="19.5" customHeight="1">
      <c r="A21" s="126">
        <v>1.0</v>
      </c>
      <c r="B21" s="37" t="s">
        <v>335</v>
      </c>
      <c r="C21" s="46" t="s">
        <v>148</v>
      </c>
      <c r="D21" s="78">
        <v>5.0</v>
      </c>
      <c r="E21" s="37">
        <v>5.0</v>
      </c>
      <c r="F21" s="40">
        <v>0.25</v>
      </c>
      <c r="G21" s="40">
        <v>0.3</v>
      </c>
      <c r="H21" s="40">
        <f t="shared" ref="H21:H23" si="3">G21*F21*E21*D21</f>
        <v>1.875</v>
      </c>
      <c r="I21" s="42"/>
      <c r="J21" s="107"/>
      <c r="K21" s="91"/>
    </row>
    <row r="22" ht="19.5" customHeight="1">
      <c r="A22" s="126">
        <v>2.0</v>
      </c>
      <c r="B22" s="37" t="s">
        <v>335</v>
      </c>
      <c r="C22" s="46" t="s">
        <v>148</v>
      </c>
      <c r="D22" s="78">
        <v>11.0</v>
      </c>
      <c r="E22" s="37">
        <v>3.5</v>
      </c>
      <c r="F22" s="40">
        <v>0.25</v>
      </c>
      <c r="G22" s="40">
        <v>0.3</v>
      </c>
      <c r="H22" s="40">
        <f t="shared" si="3"/>
        <v>2.8875</v>
      </c>
      <c r="I22" s="42"/>
      <c r="J22" s="121"/>
      <c r="K22" s="91"/>
    </row>
    <row r="23" ht="19.5" customHeight="1">
      <c r="A23" s="126">
        <v>3.0</v>
      </c>
      <c r="B23" s="37" t="s">
        <v>335</v>
      </c>
      <c r="C23" s="46" t="s">
        <v>148</v>
      </c>
      <c r="D23" s="78">
        <v>10.0</v>
      </c>
      <c r="E23" s="37">
        <v>3.0</v>
      </c>
      <c r="F23" s="40">
        <v>0.25</v>
      </c>
      <c r="G23" s="40">
        <v>0.3</v>
      </c>
      <c r="H23" s="40">
        <f t="shared" si="3"/>
        <v>2.25</v>
      </c>
      <c r="I23" s="42"/>
      <c r="J23" s="96">
        <f>SUM(H21:H23)</f>
        <v>7.0125</v>
      </c>
      <c r="K23" s="91"/>
    </row>
    <row r="24" ht="19.5" customHeight="1">
      <c r="A24" s="74" t="s">
        <v>1</v>
      </c>
      <c r="B24" s="74" t="s">
        <v>91</v>
      </c>
      <c r="C24" s="74" t="s">
        <v>92</v>
      </c>
      <c r="D24" s="76" t="s">
        <v>93</v>
      </c>
      <c r="E24" s="50" t="s">
        <v>97</v>
      </c>
      <c r="F24" s="53" t="s">
        <v>121</v>
      </c>
      <c r="G24" s="53" t="s">
        <v>99</v>
      </c>
      <c r="H24" s="75" t="s">
        <v>100</v>
      </c>
      <c r="I24" s="75" t="s">
        <v>101</v>
      </c>
      <c r="J24" s="76" t="s">
        <v>95</v>
      </c>
      <c r="K24" s="74" t="s">
        <v>96</v>
      </c>
    </row>
    <row r="25" ht="19.5" customHeight="1">
      <c r="A25" s="126">
        <v>1.0</v>
      </c>
      <c r="B25" s="37" t="s">
        <v>337</v>
      </c>
      <c r="C25" s="46" t="s">
        <v>148</v>
      </c>
      <c r="D25" s="78">
        <f>D19</f>
        <v>26</v>
      </c>
      <c r="E25" s="37">
        <v>0.25</v>
      </c>
      <c r="F25" s="40">
        <f t="shared" ref="F25:G25" si="4">F17</f>
        <v>1.2</v>
      </c>
      <c r="G25" s="40">
        <f t="shared" si="4"/>
        <v>1.2</v>
      </c>
      <c r="H25" s="40">
        <f>G25*F25*E25*D25</f>
        <v>9.36</v>
      </c>
      <c r="I25" s="42"/>
      <c r="J25" s="40"/>
      <c r="K25" s="46"/>
    </row>
    <row r="26" ht="19.5" customHeight="1">
      <c r="A26" s="46">
        <v>2.0</v>
      </c>
      <c r="B26" s="37" t="s">
        <v>337</v>
      </c>
      <c r="C26" s="46" t="s">
        <v>148</v>
      </c>
      <c r="D26" s="78"/>
      <c r="E26" s="37"/>
      <c r="F26" s="40"/>
      <c r="G26" s="40"/>
      <c r="H26" s="40"/>
      <c r="I26" s="42"/>
      <c r="J26" s="43">
        <f>SUM(H25:H26)</f>
        <v>9.36</v>
      </c>
      <c r="K26" s="79"/>
    </row>
    <row r="27" ht="19.5" customHeight="1">
      <c r="A27" s="74" t="s">
        <v>1</v>
      </c>
      <c r="B27" s="74" t="s">
        <v>91</v>
      </c>
      <c r="C27" s="74" t="s">
        <v>92</v>
      </c>
      <c r="D27" s="76" t="s">
        <v>93</v>
      </c>
      <c r="E27" s="50" t="s">
        <v>97</v>
      </c>
      <c r="F27" s="53" t="s">
        <v>121</v>
      </c>
      <c r="G27" s="53" t="s">
        <v>99</v>
      </c>
      <c r="H27" s="75" t="s">
        <v>100</v>
      </c>
      <c r="I27" s="75" t="s">
        <v>101</v>
      </c>
      <c r="J27" s="76" t="s">
        <v>95</v>
      </c>
      <c r="K27" s="74" t="s">
        <v>96</v>
      </c>
    </row>
    <row r="28" ht="19.5" customHeight="1">
      <c r="A28" s="126">
        <v>1.0</v>
      </c>
      <c r="B28" s="37" t="s">
        <v>338</v>
      </c>
      <c r="C28" s="46" t="s">
        <v>148</v>
      </c>
      <c r="D28" s="78">
        <v>5.0</v>
      </c>
      <c r="E28" s="37">
        <v>0.3</v>
      </c>
      <c r="F28" s="78">
        <v>24.3</v>
      </c>
      <c r="G28" s="40">
        <v>0.14</v>
      </c>
      <c r="H28" s="40">
        <f t="shared" ref="H28:H29" si="5">G28*F28*E28*D28</f>
        <v>5.103</v>
      </c>
      <c r="I28" s="42"/>
      <c r="J28" s="40"/>
      <c r="K28" s="91"/>
    </row>
    <row r="29" ht="19.5" customHeight="1">
      <c r="A29" s="126">
        <v>2.0</v>
      </c>
      <c r="B29" s="37" t="s">
        <v>338</v>
      </c>
      <c r="C29" s="46" t="s">
        <v>148</v>
      </c>
      <c r="D29" s="125">
        <v>1.0</v>
      </c>
      <c r="E29" s="37">
        <v>0.3</v>
      </c>
      <c r="F29" s="78">
        <v>20.75</v>
      </c>
      <c r="G29" s="40">
        <v>0.14</v>
      </c>
      <c r="H29" s="40">
        <f t="shared" si="5"/>
        <v>0.8715</v>
      </c>
      <c r="I29" s="42"/>
      <c r="J29" s="107"/>
      <c r="K29" s="91"/>
      <c r="L29" s="14">
        <f>J29+J21</f>
        <v>0</v>
      </c>
    </row>
    <row r="30" ht="19.5" customHeight="1">
      <c r="A30" s="46"/>
      <c r="B30" s="37"/>
      <c r="C30" s="46"/>
      <c r="D30" s="78"/>
      <c r="E30" s="37"/>
      <c r="F30" s="78"/>
      <c r="G30" s="40"/>
      <c r="H30" s="40"/>
      <c r="I30" s="42"/>
      <c r="J30" s="43">
        <f>SUM(H28:H30)</f>
        <v>5.9745</v>
      </c>
      <c r="K30" s="79"/>
      <c r="L30" s="14">
        <f>J30+J19</f>
        <v>7.3395</v>
      </c>
      <c r="M30" s="98" t="s">
        <v>1026</v>
      </c>
    </row>
    <row r="31" ht="19.5" customHeight="1">
      <c r="A31" s="74" t="s">
        <v>1</v>
      </c>
      <c r="B31" s="74" t="s">
        <v>91</v>
      </c>
      <c r="C31" s="74" t="s">
        <v>92</v>
      </c>
      <c r="D31" s="76" t="s">
        <v>93</v>
      </c>
      <c r="E31" s="50" t="s">
        <v>97</v>
      </c>
      <c r="F31" s="53" t="s">
        <v>121</v>
      </c>
      <c r="G31" s="53" t="s">
        <v>99</v>
      </c>
      <c r="H31" s="75" t="s">
        <v>100</v>
      </c>
      <c r="I31" s="75" t="s">
        <v>101</v>
      </c>
      <c r="J31" s="76" t="s">
        <v>95</v>
      </c>
      <c r="K31" s="74" t="s">
        <v>96</v>
      </c>
    </row>
    <row r="32" ht="19.5" customHeight="1">
      <c r="A32" s="145">
        <v>1.0</v>
      </c>
      <c r="B32" s="37" t="s">
        <v>339</v>
      </c>
      <c r="C32" s="46" t="s">
        <v>148</v>
      </c>
      <c r="D32" s="78">
        <f>H11</f>
        <v>29.952</v>
      </c>
      <c r="E32" s="37"/>
      <c r="F32" s="78"/>
      <c r="G32" s="40"/>
      <c r="H32" s="40">
        <f>D32</f>
        <v>29.952</v>
      </c>
      <c r="I32" s="42"/>
      <c r="J32" s="43">
        <f>H32</f>
        <v>29.952</v>
      </c>
      <c r="K32" s="46"/>
      <c r="L32" s="344"/>
      <c r="M32" s="29"/>
    </row>
    <row r="33" ht="19.5" customHeight="1">
      <c r="A33" s="145">
        <v>2.0</v>
      </c>
      <c r="B33" s="37" t="s">
        <v>340</v>
      </c>
      <c r="C33" s="46" t="s">
        <v>148</v>
      </c>
      <c r="D33" s="78">
        <v>1.0</v>
      </c>
      <c r="E33" s="37">
        <v>0.3</v>
      </c>
      <c r="F33" s="78">
        <v>24.3</v>
      </c>
      <c r="G33" s="40">
        <v>20.75</v>
      </c>
      <c r="H33" s="40">
        <f>(G33*F33*E33)-H32</f>
        <v>121.3155</v>
      </c>
      <c r="I33" s="42"/>
      <c r="J33" s="43">
        <f>H33-J32</f>
        <v>91.3635</v>
      </c>
      <c r="K33" s="46" t="s">
        <v>341</v>
      </c>
      <c r="L33" s="344"/>
      <c r="M33" s="29"/>
    </row>
    <row r="34" ht="19.5" customHeight="1">
      <c r="A34" s="74" t="s">
        <v>1</v>
      </c>
      <c r="B34" s="74" t="s">
        <v>91</v>
      </c>
      <c r="C34" s="74" t="s">
        <v>92</v>
      </c>
      <c r="D34" s="76" t="s">
        <v>93</v>
      </c>
      <c r="E34" s="50" t="s">
        <v>97</v>
      </c>
      <c r="F34" s="53" t="s">
        <v>121</v>
      </c>
      <c r="G34" s="53" t="s">
        <v>99</v>
      </c>
      <c r="H34" s="75" t="s">
        <v>100</v>
      </c>
      <c r="I34" s="75" t="s">
        <v>101</v>
      </c>
      <c r="J34" s="76" t="s">
        <v>95</v>
      </c>
      <c r="K34" s="74" t="s">
        <v>96</v>
      </c>
      <c r="L34" s="14">
        <f>J21+J45</f>
        <v>5.82925</v>
      </c>
    </row>
    <row r="35" ht="19.5" customHeight="1">
      <c r="A35" s="36">
        <v>37079.0</v>
      </c>
      <c r="B35" s="37" t="s">
        <v>172</v>
      </c>
      <c r="C35" s="46" t="s">
        <v>148</v>
      </c>
      <c r="D35" s="78">
        <v>1.0</v>
      </c>
      <c r="E35" s="37">
        <v>0.05</v>
      </c>
      <c r="F35" s="78">
        <f t="shared" ref="F35:G35" si="6">F33</f>
        <v>24.3</v>
      </c>
      <c r="G35" s="40">
        <f t="shared" si="6"/>
        <v>20.75</v>
      </c>
      <c r="H35" s="40">
        <f>G35*F35*E35*D35</f>
        <v>25.21125</v>
      </c>
      <c r="I35" s="42"/>
      <c r="J35" s="43">
        <f t="shared" ref="J35:J37" si="8">H35</f>
        <v>25.21125</v>
      </c>
      <c r="K35" s="46"/>
      <c r="L35" s="98"/>
    </row>
    <row r="36" ht="19.5" customHeight="1">
      <c r="A36" s="36">
        <v>37444.0</v>
      </c>
      <c r="B36" s="49" t="s">
        <v>1027</v>
      </c>
      <c r="C36" s="46" t="s">
        <v>103</v>
      </c>
      <c r="D36" s="78">
        <v>1.0</v>
      </c>
      <c r="E36" s="37">
        <v>0.03</v>
      </c>
      <c r="F36" s="78">
        <f t="shared" ref="F36:G36" si="7">F35</f>
        <v>24.3</v>
      </c>
      <c r="G36" s="78">
        <f t="shared" si="7"/>
        <v>20.75</v>
      </c>
      <c r="H36" s="40">
        <f>G36*F36</f>
        <v>504.225</v>
      </c>
      <c r="I36" s="42"/>
      <c r="J36" s="43">
        <f t="shared" si="8"/>
        <v>504.225</v>
      </c>
      <c r="K36" s="345"/>
      <c r="L36" s="2"/>
    </row>
    <row r="37" ht="19.5" customHeight="1">
      <c r="A37" s="36">
        <v>38175.0</v>
      </c>
      <c r="B37" s="49" t="s">
        <v>175</v>
      </c>
      <c r="C37" s="46" t="s">
        <v>103</v>
      </c>
      <c r="D37" s="78">
        <v>1.0</v>
      </c>
      <c r="E37" s="37">
        <v>1.0</v>
      </c>
      <c r="F37" s="78">
        <f t="shared" ref="F37:G37" si="9">F36</f>
        <v>24.3</v>
      </c>
      <c r="G37" s="78">
        <f t="shared" si="9"/>
        <v>20.75</v>
      </c>
      <c r="H37" s="40">
        <f>G37*F37*E37</f>
        <v>504.225</v>
      </c>
      <c r="I37" s="42"/>
      <c r="J37" s="43">
        <f t="shared" si="8"/>
        <v>504.225</v>
      </c>
      <c r="K37" s="90"/>
      <c r="L37" s="98"/>
    </row>
    <row r="38" ht="19.5" customHeight="1">
      <c r="A38" s="74" t="s">
        <v>1</v>
      </c>
      <c r="B38" s="74" t="s">
        <v>91</v>
      </c>
      <c r="C38" s="74" t="s">
        <v>92</v>
      </c>
      <c r="D38" s="76" t="s">
        <v>93</v>
      </c>
      <c r="E38" s="50" t="s">
        <v>97</v>
      </c>
      <c r="F38" s="53" t="s">
        <v>121</v>
      </c>
      <c r="G38" s="53" t="s">
        <v>99</v>
      </c>
      <c r="H38" s="75" t="s">
        <v>100</v>
      </c>
      <c r="I38" s="75" t="s">
        <v>101</v>
      </c>
      <c r="J38" s="76" t="s">
        <v>95</v>
      </c>
      <c r="K38" s="74" t="s">
        <v>96</v>
      </c>
    </row>
    <row r="39" ht="19.5" customHeight="1">
      <c r="A39" s="126">
        <v>1.0</v>
      </c>
      <c r="B39" s="49" t="s">
        <v>1028</v>
      </c>
      <c r="C39" s="46" t="s">
        <v>103</v>
      </c>
      <c r="D39" s="78">
        <v>5.0</v>
      </c>
      <c r="E39" s="37">
        <v>0.3</v>
      </c>
      <c r="F39" s="78">
        <f>F35</f>
        <v>24.3</v>
      </c>
      <c r="G39" s="40">
        <v>0.14</v>
      </c>
      <c r="H39" s="40">
        <f t="shared" ref="H39:H40" si="10">F39*E39*D39</f>
        <v>36.45</v>
      </c>
      <c r="I39" s="42"/>
      <c r="J39" s="40"/>
      <c r="K39" s="91"/>
    </row>
    <row r="40" ht="19.5" customHeight="1">
      <c r="A40" s="126">
        <v>2.0</v>
      </c>
      <c r="B40" s="49" t="s">
        <v>1028</v>
      </c>
      <c r="C40" s="46" t="s">
        <v>103</v>
      </c>
      <c r="D40" s="125">
        <v>2.0</v>
      </c>
      <c r="E40" s="37">
        <v>0.3</v>
      </c>
      <c r="F40" s="78">
        <f>G35</f>
        <v>20.75</v>
      </c>
      <c r="G40" s="40">
        <v>0.14</v>
      </c>
      <c r="H40" s="40">
        <f t="shared" si="10"/>
        <v>12.45</v>
      </c>
      <c r="I40" s="42"/>
      <c r="J40" s="107"/>
      <c r="K40" s="91"/>
    </row>
    <row r="41" ht="19.5" customHeight="1">
      <c r="A41" s="46"/>
      <c r="B41" s="37"/>
      <c r="C41" s="46"/>
      <c r="D41" s="78"/>
      <c r="E41" s="37"/>
      <c r="F41" s="78"/>
      <c r="G41" s="40"/>
      <c r="H41" s="40"/>
      <c r="I41" s="42"/>
      <c r="J41" s="43">
        <f>SUM(H39:H41)</f>
        <v>48.9</v>
      </c>
      <c r="K41" s="346"/>
    </row>
    <row r="42" ht="19.5" customHeight="1">
      <c r="A42" s="74" t="s">
        <v>1</v>
      </c>
      <c r="B42" s="74" t="s">
        <v>91</v>
      </c>
      <c r="C42" s="74" t="s">
        <v>92</v>
      </c>
      <c r="D42" s="76" t="s">
        <v>93</v>
      </c>
      <c r="E42" s="50" t="s">
        <v>97</v>
      </c>
      <c r="F42" s="53" t="s">
        <v>121</v>
      </c>
      <c r="G42" s="53" t="s">
        <v>99</v>
      </c>
      <c r="H42" s="75" t="s">
        <v>100</v>
      </c>
      <c r="I42" s="75" t="s">
        <v>101</v>
      </c>
      <c r="J42" s="76" t="s">
        <v>95</v>
      </c>
      <c r="K42" s="74" t="s">
        <v>96</v>
      </c>
    </row>
    <row r="43" ht="19.5" customHeight="1">
      <c r="A43" s="126">
        <v>1.0</v>
      </c>
      <c r="B43" s="37" t="s">
        <v>346</v>
      </c>
      <c r="C43" s="46" t="s">
        <v>148</v>
      </c>
      <c r="D43" s="78">
        <v>6.0</v>
      </c>
      <c r="E43" s="37">
        <v>0.25</v>
      </c>
      <c r="F43" s="40">
        <f t="shared" ref="F43:F44" si="11">F39</f>
        <v>24.3</v>
      </c>
      <c r="G43" s="40">
        <v>0.14</v>
      </c>
      <c r="H43" s="40">
        <f t="shared" ref="H43:H44" si="12">G43*F43*E43*D43</f>
        <v>5.103</v>
      </c>
      <c r="I43" s="42"/>
      <c r="J43" s="40"/>
      <c r="K43" s="91"/>
    </row>
    <row r="44" ht="19.5" customHeight="1">
      <c r="A44" s="126">
        <v>2.0</v>
      </c>
      <c r="B44" s="37" t="s">
        <v>346</v>
      </c>
      <c r="C44" s="46" t="s">
        <v>148</v>
      </c>
      <c r="D44" s="78">
        <v>1.0</v>
      </c>
      <c r="E44" s="37">
        <v>0.25</v>
      </c>
      <c r="F44" s="40">
        <f t="shared" si="11"/>
        <v>20.75</v>
      </c>
      <c r="G44" s="40">
        <v>0.14</v>
      </c>
      <c r="H44" s="40">
        <f t="shared" si="12"/>
        <v>0.72625</v>
      </c>
      <c r="I44" s="42"/>
      <c r="J44" s="107"/>
      <c r="K44" s="91"/>
      <c r="L44" s="14">
        <f>J44+J21+J29</f>
        <v>0</v>
      </c>
    </row>
    <row r="45" ht="19.5" customHeight="1">
      <c r="A45" s="46"/>
      <c r="B45" s="37"/>
      <c r="C45" s="46"/>
      <c r="D45" s="78"/>
      <c r="E45" s="37"/>
      <c r="F45" s="40"/>
      <c r="G45" s="40"/>
      <c r="H45" s="40"/>
      <c r="I45" s="42"/>
      <c r="J45" s="96">
        <f>SUM(H43:H45)</f>
        <v>5.82925</v>
      </c>
      <c r="K45" s="79"/>
      <c r="L45" s="14"/>
    </row>
    <row r="46" ht="19.5" customHeight="1">
      <c r="A46" s="74" t="s">
        <v>1</v>
      </c>
      <c r="B46" s="74" t="s">
        <v>91</v>
      </c>
      <c r="C46" s="74" t="s">
        <v>92</v>
      </c>
      <c r="D46" s="76" t="s">
        <v>93</v>
      </c>
      <c r="E46" s="50" t="s">
        <v>97</v>
      </c>
      <c r="F46" s="53" t="s">
        <v>121</v>
      </c>
      <c r="G46" s="53" t="s">
        <v>99</v>
      </c>
      <c r="H46" s="75" t="s">
        <v>100</v>
      </c>
      <c r="I46" s="75" t="s">
        <v>101</v>
      </c>
      <c r="J46" s="76" t="s">
        <v>95</v>
      </c>
      <c r="K46" s="74" t="s">
        <v>96</v>
      </c>
    </row>
    <row r="47" ht="19.5" customHeight="1">
      <c r="A47" s="46">
        <v>1.0</v>
      </c>
      <c r="B47" s="37" t="s">
        <v>176</v>
      </c>
      <c r="C47" s="46" t="s">
        <v>103</v>
      </c>
      <c r="D47" s="78"/>
      <c r="E47" s="37"/>
      <c r="F47" s="40"/>
      <c r="G47" s="40"/>
      <c r="H47" s="40"/>
      <c r="I47" s="42"/>
      <c r="J47" s="43">
        <f>H47-I47</f>
        <v>0</v>
      </c>
      <c r="K47" s="47"/>
    </row>
    <row r="48" ht="19.5" customHeight="1">
      <c r="A48" s="74" t="s">
        <v>1</v>
      </c>
      <c r="B48" s="74" t="s">
        <v>91</v>
      </c>
      <c r="C48" s="74" t="s">
        <v>92</v>
      </c>
      <c r="D48" s="76" t="s">
        <v>93</v>
      </c>
      <c r="E48" s="50" t="s">
        <v>148</v>
      </c>
      <c r="F48" s="53" t="s">
        <v>347</v>
      </c>
      <c r="G48" s="53" t="s">
        <v>348</v>
      </c>
      <c r="H48" s="75" t="s">
        <v>100</v>
      </c>
      <c r="I48" s="75" t="s">
        <v>101</v>
      </c>
      <c r="J48" s="76" t="s">
        <v>95</v>
      </c>
      <c r="K48" s="74" t="s">
        <v>96</v>
      </c>
    </row>
    <row r="49" ht="20.25" customHeight="1">
      <c r="A49" s="126">
        <v>1.0</v>
      </c>
      <c r="B49" s="37" t="s">
        <v>349</v>
      </c>
      <c r="C49" s="46" t="s">
        <v>103</v>
      </c>
      <c r="D49" s="123">
        <v>1.0</v>
      </c>
      <c r="E49" s="40">
        <f>J26</f>
        <v>9.36</v>
      </c>
      <c r="F49" s="40">
        <v>10.0</v>
      </c>
      <c r="G49" s="40">
        <f t="shared" ref="G49:G51" si="13">E49/4</f>
        <v>2.34</v>
      </c>
      <c r="H49" s="40">
        <f t="shared" ref="H49:H51" si="14">G49*F49</f>
        <v>23.4</v>
      </c>
      <c r="I49" s="42"/>
      <c r="J49" s="107"/>
      <c r="K49" s="127" t="s">
        <v>1029</v>
      </c>
      <c r="L49" s="344"/>
      <c r="M49" s="29"/>
    </row>
    <row r="50" ht="18.75" customHeight="1">
      <c r="A50" s="126">
        <v>2.0</v>
      </c>
      <c r="B50" s="37" t="s">
        <v>351</v>
      </c>
      <c r="C50" s="46" t="s">
        <v>103</v>
      </c>
      <c r="D50" s="128">
        <v>1.0</v>
      </c>
      <c r="E50" s="40">
        <f>J19+J30</f>
        <v>7.3395</v>
      </c>
      <c r="F50" s="40">
        <v>12.0</v>
      </c>
      <c r="G50" s="40">
        <f t="shared" si="13"/>
        <v>1.834875</v>
      </c>
      <c r="H50" s="59">
        <f t="shared" si="14"/>
        <v>22.0185</v>
      </c>
      <c r="I50" s="93"/>
      <c r="J50" s="107"/>
      <c r="K50" s="129"/>
      <c r="L50" s="344"/>
      <c r="M50" s="29"/>
    </row>
    <row r="51" ht="18.0" customHeight="1">
      <c r="A51" s="126">
        <v>3.0</v>
      </c>
      <c r="B51" s="37" t="s">
        <v>352</v>
      </c>
      <c r="C51" s="46" t="s">
        <v>103</v>
      </c>
      <c r="D51" s="128">
        <v>1.0</v>
      </c>
      <c r="E51" s="40">
        <f>J45+J23</f>
        <v>12.84175</v>
      </c>
      <c r="F51" s="40">
        <v>12.0</v>
      </c>
      <c r="G51" s="40">
        <f t="shared" si="13"/>
        <v>3.2104375</v>
      </c>
      <c r="H51" s="59">
        <f t="shared" si="14"/>
        <v>38.52525</v>
      </c>
      <c r="I51" s="93"/>
      <c r="J51" s="43">
        <f>SUM(H49:H51)</f>
        <v>83.94375</v>
      </c>
      <c r="K51" s="130"/>
      <c r="L51" s="344"/>
      <c r="M51" s="29"/>
    </row>
    <row r="52" ht="19.5" customHeight="1">
      <c r="A52" s="74" t="s">
        <v>1</v>
      </c>
      <c r="B52" s="74" t="s">
        <v>91</v>
      </c>
      <c r="C52" s="74" t="s">
        <v>92</v>
      </c>
      <c r="D52" s="76" t="s">
        <v>93</v>
      </c>
      <c r="E52" s="50" t="s">
        <v>97</v>
      </c>
      <c r="F52" s="53" t="s">
        <v>121</v>
      </c>
      <c r="G52" s="53" t="s">
        <v>99</v>
      </c>
      <c r="H52" s="75" t="s">
        <v>100</v>
      </c>
      <c r="I52" s="75" t="s">
        <v>101</v>
      </c>
      <c r="J52" s="76" t="s">
        <v>95</v>
      </c>
      <c r="K52" s="74" t="s">
        <v>96</v>
      </c>
    </row>
    <row r="53" ht="19.5" customHeight="1">
      <c r="A53" s="36">
        <v>37322.0</v>
      </c>
      <c r="B53" s="49" t="s">
        <v>1030</v>
      </c>
      <c r="C53" s="46" t="s">
        <v>103</v>
      </c>
      <c r="D53" s="125">
        <v>2.0</v>
      </c>
      <c r="E53" s="49">
        <v>3.15</v>
      </c>
      <c r="F53" s="78">
        <f>F39</f>
        <v>24.3</v>
      </c>
      <c r="G53" s="40">
        <v>0.09</v>
      </c>
      <c r="H53" s="40">
        <f t="shared" ref="H53:H56" si="15">F53*E53*D53</f>
        <v>153.09</v>
      </c>
      <c r="I53" s="42">
        <f>((1.84*5)+4.09)*2</f>
        <v>26.58</v>
      </c>
      <c r="J53" s="40">
        <f t="shared" ref="J53:J56" si="16">H53-I53</f>
        <v>126.51</v>
      </c>
      <c r="K53" s="91"/>
      <c r="L53" s="98"/>
    </row>
    <row r="54" ht="19.5" customHeight="1">
      <c r="A54" s="36">
        <v>37322.0</v>
      </c>
      <c r="B54" s="49" t="s">
        <v>1030</v>
      </c>
      <c r="C54" s="46" t="s">
        <v>103</v>
      </c>
      <c r="D54" s="125">
        <v>2.0</v>
      </c>
      <c r="E54" s="49">
        <v>6.35</v>
      </c>
      <c r="F54" s="39">
        <v>16.45</v>
      </c>
      <c r="G54" s="40">
        <v>0.09</v>
      </c>
      <c r="H54" s="40">
        <f t="shared" si="15"/>
        <v>208.915</v>
      </c>
      <c r="I54" s="42">
        <f>1.84*2</f>
        <v>3.68</v>
      </c>
      <c r="J54" s="40">
        <f t="shared" si="16"/>
        <v>205.235</v>
      </c>
      <c r="K54" s="91"/>
      <c r="L54" s="98"/>
      <c r="M54" s="98"/>
    </row>
    <row r="55" ht="19.5" customHeight="1">
      <c r="A55" s="36">
        <v>37322.0</v>
      </c>
      <c r="B55" s="49" t="s">
        <v>1031</v>
      </c>
      <c r="C55" s="46" t="s">
        <v>103</v>
      </c>
      <c r="D55" s="78">
        <v>1.0</v>
      </c>
      <c r="E55" s="49">
        <v>3.15</v>
      </c>
      <c r="F55" s="78">
        <v>12.0</v>
      </c>
      <c r="G55" s="40">
        <v>0.09</v>
      </c>
      <c r="H55" s="40">
        <f t="shared" si="15"/>
        <v>37.8</v>
      </c>
      <c r="I55" s="42"/>
      <c r="J55" s="40">
        <f t="shared" si="16"/>
        <v>37.8</v>
      </c>
      <c r="K55" s="46"/>
      <c r="L55" s="98"/>
    </row>
    <row r="56" ht="19.5" customHeight="1">
      <c r="A56" s="36">
        <v>37322.0</v>
      </c>
      <c r="B56" s="49" t="s">
        <v>1031</v>
      </c>
      <c r="C56" s="79" t="s">
        <v>103</v>
      </c>
      <c r="D56" s="92">
        <v>1.0</v>
      </c>
      <c r="E56" s="49">
        <v>3.15</v>
      </c>
      <c r="F56" s="78">
        <v>8.0</v>
      </c>
      <c r="G56" s="40">
        <v>0.09</v>
      </c>
      <c r="H56" s="40">
        <f t="shared" si="15"/>
        <v>25.2</v>
      </c>
      <c r="I56" s="93"/>
      <c r="J56" s="40">
        <f t="shared" si="16"/>
        <v>25.2</v>
      </c>
      <c r="K56" s="79"/>
    </row>
    <row r="57" ht="19.5" customHeight="1">
      <c r="A57" s="79"/>
      <c r="B57" s="95"/>
      <c r="C57" s="79"/>
      <c r="D57" s="92"/>
      <c r="E57" s="37"/>
      <c r="F57" s="78"/>
      <c r="G57" s="40"/>
      <c r="H57" s="59"/>
      <c r="I57" s="93"/>
      <c r="J57" s="96">
        <f>SUM(J53:J56)</f>
        <v>394.745</v>
      </c>
      <c r="K57" s="346"/>
    </row>
    <row r="58" ht="19.5" customHeight="1">
      <c r="A58" s="106"/>
      <c r="B58" s="106"/>
      <c r="C58" s="106"/>
      <c r="D58" s="105"/>
      <c r="E58" s="102"/>
      <c r="F58" s="103"/>
      <c r="G58" s="103"/>
      <c r="H58" s="108"/>
      <c r="I58" s="104"/>
      <c r="J58" s="105"/>
      <c r="K58" s="347"/>
    </row>
    <row r="59" ht="19.5" customHeight="1">
      <c r="A59" s="74" t="s">
        <v>1</v>
      </c>
      <c r="B59" s="74" t="s">
        <v>91</v>
      </c>
      <c r="C59" s="74" t="s">
        <v>92</v>
      </c>
      <c r="D59" s="76" t="s">
        <v>93</v>
      </c>
      <c r="E59" s="50" t="s">
        <v>97</v>
      </c>
      <c r="F59" s="53" t="s">
        <v>121</v>
      </c>
      <c r="G59" s="53" t="s">
        <v>99</v>
      </c>
      <c r="H59" s="75" t="s">
        <v>100</v>
      </c>
      <c r="I59" s="75" t="s">
        <v>101</v>
      </c>
      <c r="J59" s="76" t="s">
        <v>95</v>
      </c>
      <c r="K59" s="74" t="s">
        <v>96</v>
      </c>
    </row>
    <row r="60" ht="19.5" customHeight="1">
      <c r="A60" s="36">
        <v>37687.0</v>
      </c>
      <c r="B60" s="49" t="s">
        <v>205</v>
      </c>
      <c r="C60" s="38" t="s">
        <v>108</v>
      </c>
      <c r="D60" s="125">
        <v>2.0</v>
      </c>
      <c r="E60" s="49"/>
      <c r="F60" s="39">
        <v>24.3</v>
      </c>
      <c r="G60" s="40"/>
      <c r="H60" s="40">
        <f t="shared" ref="H60:H63" si="17">F60*D60</f>
        <v>48.6</v>
      </c>
      <c r="I60" s="42"/>
      <c r="J60" s="40">
        <f t="shared" ref="J60:J63" si="18">H60-I60</f>
        <v>48.6</v>
      </c>
      <c r="K60" s="91"/>
    </row>
    <row r="61" ht="19.5" customHeight="1">
      <c r="A61" s="36">
        <v>37687.0</v>
      </c>
      <c r="B61" s="49" t="s">
        <v>205</v>
      </c>
      <c r="C61" s="38" t="s">
        <v>108</v>
      </c>
      <c r="D61" s="125">
        <v>2.0</v>
      </c>
      <c r="E61" s="49"/>
      <c r="F61" s="39">
        <v>16.45</v>
      </c>
      <c r="G61" s="40"/>
      <c r="H61" s="40">
        <f t="shared" si="17"/>
        <v>32.9</v>
      </c>
      <c r="I61" s="42"/>
      <c r="J61" s="40">
        <f t="shared" si="18"/>
        <v>32.9</v>
      </c>
      <c r="K61" s="91"/>
    </row>
    <row r="62" ht="19.5" customHeight="1">
      <c r="A62" s="36">
        <v>37687.0</v>
      </c>
      <c r="B62" s="49" t="s">
        <v>205</v>
      </c>
      <c r="C62" s="38" t="s">
        <v>108</v>
      </c>
      <c r="D62" s="78">
        <v>1.0</v>
      </c>
      <c r="E62" s="49"/>
      <c r="F62" s="78">
        <v>12.0</v>
      </c>
      <c r="G62" s="40"/>
      <c r="H62" s="40">
        <f t="shared" si="17"/>
        <v>12</v>
      </c>
      <c r="I62" s="42"/>
      <c r="J62" s="40">
        <f t="shared" si="18"/>
        <v>12</v>
      </c>
      <c r="K62" s="46"/>
    </row>
    <row r="63" ht="19.5" customHeight="1">
      <c r="A63" s="36">
        <v>37687.0</v>
      </c>
      <c r="B63" s="49" t="s">
        <v>205</v>
      </c>
      <c r="C63" s="38" t="s">
        <v>108</v>
      </c>
      <c r="D63" s="92">
        <v>1.0</v>
      </c>
      <c r="E63" s="49"/>
      <c r="F63" s="78">
        <v>8.0</v>
      </c>
      <c r="G63" s="40"/>
      <c r="H63" s="40">
        <f t="shared" si="17"/>
        <v>8</v>
      </c>
      <c r="I63" s="93"/>
      <c r="J63" s="40">
        <f t="shared" si="18"/>
        <v>8</v>
      </c>
      <c r="K63" s="79"/>
    </row>
    <row r="64" ht="19.5" customHeight="1">
      <c r="A64" s="79"/>
      <c r="B64" s="95"/>
      <c r="C64" s="79"/>
      <c r="D64" s="92"/>
      <c r="E64" s="37"/>
      <c r="F64" s="78"/>
      <c r="G64" s="40"/>
      <c r="H64" s="59"/>
      <c r="I64" s="93"/>
      <c r="J64" s="96">
        <f>SUM(J60:J63)</f>
        <v>101.5</v>
      </c>
      <c r="K64" s="346"/>
    </row>
    <row r="65" ht="19.5" customHeight="1">
      <c r="A65" s="106"/>
      <c r="B65" s="106"/>
      <c r="C65" s="106"/>
      <c r="D65" s="105"/>
      <c r="E65" s="102"/>
      <c r="F65" s="103"/>
      <c r="G65" s="103"/>
      <c r="H65" s="108"/>
      <c r="I65" s="104"/>
      <c r="J65" s="105"/>
      <c r="K65" s="347"/>
    </row>
    <row r="66" ht="19.5" customHeight="1">
      <c r="A66" s="74" t="s">
        <v>1</v>
      </c>
      <c r="B66" s="74" t="s">
        <v>91</v>
      </c>
      <c r="C66" s="74" t="s">
        <v>92</v>
      </c>
      <c r="D66" s="76" t="s">
        <v>93</v>
      </c>
      <c r="E66" s="50" t="s">
        <v>97</v>
      </c>
      <c r="F66" s="53" t="s">
        <v>121</v>
      </c>
      <c r="G66" s="53" t="s">
        <v>99</v>
      </c>
      <c r="H66" s="75" t="s">
        <v>100</v>
      </c>
      <c r="I66" s="75" t="s">
        <v>101</v>
      </c>
      <c r="J66" s="76" t="s">
        <v>95</v>
      </c>
      <c r="K66" s="74" t="s">
        <v>96</v>
      </c>
    </row>
    <row r="67" ht="19.5" customHeight="1">
      <c r="A67" s="46">
        <v>1.0</v>
      </c>
      <c r="B67" s="37" t="s">
        <v>182</v>
      </c>
      <c r="C67" s="46" t="s">
        <v>103</v>
      </c>
      <c r="D67" s="78">
        <f>J47</f>
        <v>0</v>
      </c>
      <c r="E67" s="37"/>
      <c r="F67" s="40"/>
      <c r="G67" s="40"/>
      <c r="H67" s="40">
        <f>D67</f>
        <v>0</v>
      </c>
      <c r="I67" s="42"/>
      <c r="J67" s="43">
        <f>H67-I67</f>
        <v>0</v>
      </c>
      <c r="K67" s="46" t="s">
        <v>183</v>
      </c>
    </row>
    <row r="68" ht="19.5" customHeight="1">
      <c r="A68" s="74" t="s">
        <v>1</v>
      </c>
      <c r="B68" s="74" t="s">
        <v>91</v>
      </c>
      <c r="C68" s="74" t="s">
        <v>92</v>
      </c>
      <c r="D68" s="76" t="s">
        <v>93</v>
      </c>
      <c r="E68" s="50" t="s">
        <v>187</v>
      </c>
      <c r="F68" s="53"/>
      <c r="G68" s="53" t="s">
        <v>353</v>
      </c>
      <c r="H68" s="75" t="s">
        <v>100</v>
      </c>
      <c r="I68" s="75" t="s">
        <v>101</v>
      </c>
      <c r="J68" s="76" t="s">
        <v>95</v>
      </c>
      <c r="K68" s="74" t="s">
        <v>96</v>
      </c>
    </row>
    <row r="69" ht="19.5" customHeight="1">
      <c r="A69" s="126">
        <v>1.0</v>
      </c>
      <c r="B69" s="37" t="s">
        <v>354</v>
      </c>
      <c r="C69" s="46" t="s">
        <v>158</v>
      </c>
      <c r="D69" s="78">
        <f>J26</f>
        <v>9.36</v>
      </c>
      <c r="E69" s="37">
        <v>80.0</v>
      </c>
      <c r="F69" s="40"/>
      <c r="G69" s="40">
        <f t="shared" ref="G69:G71" si="19">E69*D69</f>
        <v>748.8</v>
      </c>
      <c r="H69" s="40">
        <f t="shared" ref="H69:H71" si="20">E69*D69</f>
        <v>748.8</v>
      </c>
      <c r="I69" s="42"/>
      <c r="J69" s="107"/>
      <c r="K69" s="46" t="s">
        <v>355</v>
      </c>
      <c r="L69" s="344"/>
      <c r="M69" s="29"/>
    </row>
    <row r="70" ht="19.5" customHeight="1">
      <c r="A70" s="126">
        <v>2.0</v>
      </c>
      <c r="B70" s="37" t="s">
        <v>356</v>
      </c>
      <c r="C70" s="46" t="s">
        <v>158</v>
      </c>
      <c r="D70" s="78">
        <f>J19+J30</f>
        <v>7.3395</v>
      </c>
      <c r="E70" s="37">
        <v>90.0</v>
      </c>
      <c r="F70" s="40"/>
      <c r="G70" s="40">
        <f t="shared" si="19"/>
        <v>660.555</v>
      </c>
      <c r="H70" s="40">
        <f t="shared" si="20"/>
        <v>660.555</v>
      </c>
      <c r="I70" s="42"/>
      <c r="J70" s="121"/>
      <c r="K70" s="79"/>
      <c r="L70" s="344"/>
      <c r="M70" s="29"/>
    </row>
    <row r="71" ht="26.25" customHeight="1">
      <c r="A71" s="126">
        <v>3.0</v>
      </c>
      <c r="B71" s="37" t="s">
        <v>357</v>
      </c>
      <c r="C71" s="46" t="s">
        <v>158</v>
      </c>
      <c r="D71" s="78">
        <f>J45+J23</f>
        <v>12.84175</v>
      </c>
      <c r="E71" s="37">
        <v>100.0</v>
      </c>
      <c r="F71" s="40"/>
      <c r="G71" s="40">
        <f t="shared" si="19"/>
        <v>1284.175</v>
      </c>
      <c r="H71" s="40">
        <f t="shared" si="20"/>
        <v>1284.175</v>
      </c>
      <c r="I71" s="42"/>
      <c r="J71" s="121"/>
      <c r="K71" s="348" t="s">
        <v>1032</v>
      </c>
      <c r="L71" s="344"/>
      <c r="M71" s="29"/>
    </row>
    <row r="72" ht="27.0" customHeight="1">
      <c r="A72" s="126">
        <v>4.0</v>
      </c>
      <c r="B72" s="37" t="s">
        <v>358</v>
      </c>
      <c r="C72" s="46" t="s">
        <v>158</v>
      </c>
      <c r="D72" s="78"/>
      <c r="E72" s="37"/>
      <c r="F72" s="40"/>
      <c r="G72" s="40"/>
      <c r="H72" s="40"/>
      <c r="I72" s="42"/>
      <c r="J72" s="96">
        <f>SUM(H69:H72)</f>
        <v>2693.53</v>
      </c>
      <c r="K72" s="79"/>
      <c r="L72" s="349" t="s">
        <v>1033</v>
      </c>
    </row>
    <row r="73" ht="19.5" customHeight="1">
      <c r="A73" s="74" t="s">
        <v>1</v>
      </c>
      <c r="B73" s="74" t="s">
        <v>91</v>
      </c>
      <c r="C73" s="74" t="s">
        <v>92</v>
      </c>
      <c r="D73" s="76" t="s">
        <v>93</v>
      </c>
      <c r="E73" s="50" t="s">
        <v>97</v>
      </c>
      <c r="F73" s="53" t="s">
        <v>121</v>
      </c>
      <c r="G73" s="53" t="s">
        <v>99</v>
      </c>
      <c r="H73" s="75" t="s">
        <v>100</v>
      </c>
      <c r="I73" s="75" t="s">
        <v>101</v>
      </c>
      <c r="J73" s="76" t="s">
        <v>95</v>
      </c>
      <c r="K73" s="74" t="s">
        <v>96</v>
      </c>
    </row>
    <row r="74" ht="19.5" customHeight="1">
      <c r="A74" s="46">
        <v>1.0</v>
      </c>
      <c r="B74" s="37" t="s">
        <v>184</v>
      </c>
      <c r="C74" s="46" t="s">
        <v>108</v>
      </c>
      <c r="D74" s="78"/>
      <c r="E74" s="37"/>
      <c r="F74" s="40"/>
      <c r="G74" s="40"/>
      <c r="H74" s="40"/>
      <c r="I74" s="42"/>
      <c r="J74" s="77"/>
      <c r="K74" s="350" t="s">
        <v>1034</v>
      </c>
      <c r="L74" s="2"/>
    </row>
    <row r="75" ht="19.5" customHeight="1">
      <c r="A75" s="36">
        <v>37779.0</v>
      </c>
      <c r="B75" s="37" t="s">
        <v>185</v>
      </c>
      <c r="C75" s="46" t="s">
        <v>108</v>
      </c>
      <c r="D75" s="78">
        <v>4.0</v>
      </c>
      <c r="E75" s="37"/>
      <c r="F75" s="41">
        <v>11.65</v>
      </c>
      <c r="G75" s="40"/>
      <c r="H75" s="40">
        <f>F75*D75</f>
        <v>46.6</v>
      </c>
      <c r="I75" s="42"/>
      <c r="J75" s="43">
        <f>H75+H74</f>
        <v>46.6</v>
      </c>
      <c r="K75" s="351" t="s">
        <v>186</v>
      </c>
      <c r="L75" s="2"/>
    </row>
    <row r="76" ht="19.5" customHeight="1">
      <c r="A76" s="74" t="s">
        <v>1</v>
      </c>
      <c r="B76" s="74" t="s">
        <v>91</v>
      </c>
      <c r="C76" s="74" t="s">
        <v>92</v>
      </c>
      <c r="D76" s="76" t="s">
        <v>93</v>
      </c>
      <c r="E76" s="50" t="s">
        <v>187</v>
      </c>
      <c r="F76" s="53" t="s">
        <v>99</v>
      </c>
      <c r="G76" s="53" t="s">
        <v>121</v>
      </c>
      <c r="H76" s="75" t="s">
        <v>100</v>
      </c>
      <c r="I76" s="75" t="s">
        <v>101</v>
      </c>
      <c r="J76" s="76" t="s">
        <v>95</v>
      </c>
      <c r="K76" s="74" t="s">
        <v>96</v>
      </c>
    </row>
    <row r="77" ht="19.5" customHeight="1">
      <c r="A77" s="97"/>
      <c r="B77" s="49" t="s">
        <v>1035</v>
      </c>
      <c r="C77" s="46"/>
      <c r="D77" s="78"/>
      <c r="E77" s="37"/>
      <c r="F77" s="40"/>
      <c r="G77" s="40"/>
      <c r="H77" s="40"/>
      <c r="I77" s="42"/>
      <c r="J77" s="43">
        <f>H77-I77</f>
        <v>0</v>
      </c>
      <c r="K77" s="46"/>
    </row>
    <row r="78" ht="19.5" customHeight="1">
      <c r="A78" s="74" t="s">
        <v>1</v>
      </c>
      <c r="B78" s="74" t="s">
        <v>91</v>
      </c>
      <c r="C78" s="74" t="s">
        <v>92</v>
      </c>
      <c r="D78" s="76" t="s">
        <v>93</v>
      </c>
      <c r="E78" s="50" t="s">
        <v>187</v>
      </c>
      <c r="F78" s="53" t="s">
        <v>99</v>
      </c>
      <c r="G78" s="53" t="s">
        <v>121</v>
      </c>
      <c r="H78" s="75" t="s">
        <v>100</v>
      </c>
      <c r="I78" s="75" t="s">
        <v>101</v>
      </c>
      <c r="J78" s="76" t="s">
        <v>95</v>
      </c>
      <c r="K78" s="74" t="s">
        <v>96</v>
      </c>
    </row>
    <row r="79" ht="19.5" customHeight="1">
      <c r="A79" s="36">
        <v>37049.0</v>
      </c>
      <c r="B79" s="49" t="s">
        <v>1036</v>
      </c>
      <c r="C79" s="46" t="s">
        <v>103</v>
      </c>
      <c r="D79" s="78">
        <v>1.0</v>
      </c>
      <c r="E79" s="37">
        <v>6.0</v>
      </c>
      <c r="F79" s="40">
        <v>20.75</v>
      </c>
      <c r="G79" s="40">
        <v>24.3</v>
      </c>
      <c r="H79" s="40">
        <f>G79*F79</f>
        <v>504.225</v>
      </c>
      <c r="I79" s="42"/>
      <c r="J79" s="43">
        <f>H79-I79</f>
        <v>504.225</v>
      </c>
      <c r="K79" s="46"/>
    </row>
    <row r="80" ht="19.5" customHeight="1">
      <c r="A80" s="74" t="s">
        <v>1</v>
      </c>
      <c r="B80" s="74" t="s">
        <v>91</v>
      </c>
      <c r="C80" s="74" t="s">
        <v>92</v>
      </c>
      <c r="D80" s="76" t="s">
        <v>93</v>
      </c>
      <c r="E80" s="50" t="s">
        <v>187</v>
      </c>
      <c r="F80" s="53" t="s">
        <v>99</v>
      </c>
      <c r="G80" s="53" t="s">
        <v>121</v>
      </c>
      <c r="H80" s="75" t="s">
        <v>100</v>
      </c>
      <c r="I80" s="75" t="s">
        <v>101</v>
      </c>
      <c r="J80" s="76" t="s">
        <v>95</v>
      </c>
      <c r="K80" s="74" t="s">
        <v>96</v>
      </c>
    </row>
    <row r="81" ht="19.5" customHeight="1">
      <c r="A81" s="97"/>
      <c r="B81" s="49" t="s">
        <v>191</v>
      </c>
      <c r="C81" s="38" t="s">
        <v>108</v>
      </c>
      <c r="D81" s="78"/>
      <c r="E81" s="37"/>
      <c r="F81" s="40"/>
      <c r="G81" s="40"/>
      <c r="H81" s="41"/>
      <c r="I81" s="42"/>
      <c r="J81" s="43">
        <f>H81-I81</f>
        <v>0</v>
      </c>
      <c r="K81" s="46"/>
    </row>
    <row r="82" ht="19.5" customHeight="1">
      <c r="A82" s="74" t="s">
        <v>1</v>
      </c>
      <c r="B82" s="74" t="s">
        <v>91</v>
      </c>
      <c r="C82" s="74" t="s">
        <v>92</v>
      </c>
      <c r="D82" s="76" t="s">
        <v>93</v>
      </c>
      <c r="E82" s="50" t="s">
        <v>187</v>
      </c>
      <c r="F82" s="53" t="s">
        <v>99</v>
      </c>
      <c r="G82" s="53" t="s">
        <v>121</v>
      </c>
      <c r="H82" s="75" t="s">
        <v>100</v>
      </c>
      <c r="I82" s="75" t="s">
        <v>101</v>
      </c>
      <c r="J82" s="76" t="s">
        <v>95</v>
      </c>
      <c r="K82" s="74" t="s">
        <v>96</v>
      </c>
    </row>
    <row r="83" ht="19.5" customHeight="1">
      <c r="A83" s="36">
        <v>37414.0</v>
      </c>
      <c r="B83" s="49" t="s">
        <v>192</v>
      </c>
      <c r="C83" s="38" t="s">
        <v>108</v>
      </c>
      <c r="D83" s="78">
        <v>1.0</v>
      </c>
      <c r="E83" s="37"/>
      <c r="F83" s="40"/>
      <c r="G83" s="40"/>
      <c r="H83" s="41">
        <v>25.0</v>
      </c>
      <c r="I83" s="42"/>
      <c r="J83" s="43">
        <f>H83-I83</f>
        <v>25</v>
      </c>
      <c r="K83" s="46"/>
    </row>
    <row r="84" ht="19.5" customHeight="1">
      <c r="A84" s="74" t="s">
        <v>1</v>
      </c>
      <c r="B84" s="74" t="s">
        <v>91</v>
      </c>
      <c r="C84" s="74" t="s">
        <v>92</v>
      </c>
      <c r="D84" s="76" t="s">
        <v>93</v>
      </c>
      <c r="E84" s="50" t="s">
        <v>99</v>
      </c>
      <c r="F84" s="53" t="s">
        <v>121</v>
      </c>
      <c r="G84" s="53" t="s">
        <v>97</v>
      </c>
      <c r="H84" s="75" t="s">
        <v>100</v>
      </c>
      <c r="I84" s="75" t="s">
        <v>101</v>
      </c>
      <c r="J84" s="76" t="s">
        <v>95</v>
      </c>
      <c r="K84" s="74" t="s">
        <v>96</v>
      </c>
    </row>
    <row r="85" ht="19.5" customHeight="1">
      <c r="A85" s="46">
        <v>1.0</v>
      </c>
      <c r="B85" s="49" t="s">
        <v>190</v>
      </c>
      <c r="C85" s="38" t="s">
        <v>108</v>
      </c>
      <c r="D85" s="78"/>
      <c r="E85" s="37"/>
      <c r="F85" s="40"/>
      <c r="G85" s="40"/>
      <c r="H85" s="40"/>
      <c r="I85" s="42"/>
      <c r="J85" s="43">
        <f>H85-I85</f>
        <v>0</v>
      </c>
      <c r="K85" s="46"/>
    </row>
    <row r="86" ht="19.5" customHeight="1">
      <c r="A86" s="74" t="s">
        <v>1</v>
      </c>
      <c r="B86" s="74" t="s">
        <v>91</v>
      </c>
      <c r="C86" s="74" t="s">
        <v>92</v>
      </c>
      <c r="D86" s="76" t="s">
        <v>93</v>
      </c>
      <c r="E86" s="50" t="s">
        <v>193</v>
      </c>
      <c r="F86" s="53" t="s">
        <v>121</v>
      </c>
      <c r="G86" s="53" t="s">
        <v>194</v>
      </c>
      <c r="H86" s="75" t="s">
        <v>100</v>
      </c>
      <c r="I86" s="75" t="s">
        <v>101</v>
      </c>
      <c r="J86" s="76" t="s">
        <v>95</v>
      </c>
      <c r="K86" s="74" t="s">
        <v>96</v>
      </c>
    </row>
    <row r="87" ht="19.5" customHeight="1">
      <c r="A87" s="46">
        <v>1.0</v>
      </c>
      <c r="B87" s="37" t="s">
        <v>361</v>
      </c>
      <c r="C87" s="46" t="s">
        <v>103</v>
      </c>
      <c r="D87" s="78"/>
      <c r="E87" s="37"/>
      <c r="F87" s="40"/>
      <c r="G87" s="40"/>
      <c r="H87" s="40"/>
      <c r="I87" s="42"/>
      <c r="J87" s="107"/>
      <c r="K87" s="46"/>
    </row>
    <row r="88" ht="19.5" customHeight="1">
      <c r="A88" s="145">
        <v>2.0</v>
      </c>
      <c r="B88" s="37" t="s">
        <v>362</v>
      </c>
      <c r="C88" s="46" t="s">
        <v>103</v>
      </c>
      <c r="D88" s="78">
        <v>5.0</v>
      </c>
      <c r="E88" s="37">
        <v>0.8</v>
      </c>
      <c r="F88" s="40">
        <v>24.3</v>
      </c>
      <c r="G88" s="40"/>
      <c r="H88" s="40">
        <f t="shared" ref="H88:H89" si="21">F88*E88*D88</f>
        <v>97.2</v>
      </c>
      <c r="I88" s="42"/>
      <c r="J88" s="107"/>
      <c r="K88" s="91"/>
    </row>
    <row r="89" ht="19.5" customHeight="1">
      <c r="A89" s="145">
        <v>3.0</v>
      </c>
      <c r="B89" s="37" t="s">
        <v>362</v>
      </c>
      <c r="C89" s="46" t="s">
        <v>103</v>
      </c>
      <c r="D89" s="78">
        <v>1.0</v>
      </c>
      <c r="E89" s="37">
        <v>0.8</v>
      </c>
      <c r="F89" s="40">
        <v>20.75</v>
      </c>
      <c r="G89" s="40"/>
      <c r="H89" s="40">
        <f t="shared" si="21"/>
        <v>16.6</v>
      </c>
      <c r="I89" s="42"/>
      <c r="J89" s="121"/>
      <c r="K89" s="91"/>
    </row>
    <row r="90" ht="19.5" customHeight="1">
      <c r="A90" s="46"/>
      <c r="B90" s="37"/>
      <c r="C90" s="46"/>
      <c r="D90" s="78"/>
      <c r="E90" s="37"/>
      <c r="F90" s="40"/>
      <c r="G90" s="40"/>
      <c r="H90" s="40"/>
      <c r="I90" s="42"/>
      <c r="J90" s="96">
        <f>SUM(H88:H90)</f>
        <v>113.8</v>
      </c>
      <c r="K90" s="79"/>
    </row>
    <row r="91" ht="19.5" customHeight="1">
      <c r="A91" s="74" t="s">
        <v>1</v>
      </c>
      <c r="B91" s="74" t="s">
        <v>91</v>
      </c>
      <c r="C91" s="74" t="s">
        <v>92</v>
      </c>
      <c r="D91" s="76" t="s">
        <v>93</v>
      </c>
      <c r="E91" s="50" t="s">
        <v>161</v>
      </c>
      <c r="F91" s="53" t="s">
        <v>99</v>
      </c>
      <c r="G91" s="53" t="s">
        <v>121</v>
      </c>
      <c r="H91" s="75" t="s">
        <v>100</v>
      </c>
      <c r="I91" s="75" t="s">
        <v>101</v>
      </c>
      <c r="J91" s="76" t="s">
        <v>95</v>
      </c>
      <c r="K91" s="74" t="s">
        <v>96</v>
      </c>
    </row>
    <row r="92" ht="19.5" customHeight="1">
      <c r="A92" s="36">
        <v>37110.0</v>
      </c>
      <c r="B92" s="37" t="s">
        <v>197</v>
      </c>
      <c r="C92" s="46" t="s">
        <v>103</v>
      </c>
      <c r="D92" s="78" t="str">
        <f>D77</f>
        <v/>
      </c>
      <c r="E92" s="37">
        <v>1.0</v>
      </c>
      <c r="F92" s="40" t="str">
        <f t="shared" ref="F92:G92" si="22">F77</f>
        <v/>
      </c>
      <c r="G92" s="40" t="str">
        <f t="shared" si="22"/>
        <v/>
      </c>
      <c r="H92" s="40">
        <f>G92*F92</f>
        <v>0</v>
      </c>
      <c r="I92" s="42"/>
      <c r="J92" s="43">
        <f>H92-I92</f>
        <v>0</v>
      </c>
      <c r="K92" s="91"/>
    </row>
    <row r="93" ht="19.5" customHeight="1">
      <c r="A93" s="74" t="s">
        <v>1</v>
      </c>
      <c r="B93" s="74" t="s">
        <v>91</v>
      </c>
      <c r="C93" s="74" t="s">
        <v>92</v>
      </c>
      <c r="D93" s="76" t="s">
        <v>93</v>
      </c>
      <c r="E93" s="50" t="s">
        <v>97</v>
      </c>
      <c r="F93" s="53" t="s">
        <v>121</v>
      </c>
      <c r="G93" s="53" t="s">
        <v>198</v>
      </c>
      <c r="H93" s="75" t="s">
        <v>100</v>
      </c>
      <c r="I93" s="75" t="s">
        <v>101</v>
      </c>
      <c r="J93" s="76" t="s">
        <v>95</v>
      </c>
      <c r="K93" s="74" t="s">
        <v>96</v>
      </c>
    </row>
    <row r="94" ht="19.5" customHeight="1">
      <c r="A94" s="36">
        <v>37018.0</v>
      </c>
      <c r="B94" s="49" t="s">
        <v>199</v>
      </c>
      <c r="C94" s="46" t="s">
        <v>103</v>
      </c>
      <c r="D94" s="78">
        <v>2.0</v>
      </c>
      <c r="E94" s="49">
        <v>3.15</v>
      </c>
      <c r="F94" s="39">
        <v>24.3</v>
      </c>
      <c r="G94" s="40">
        <v>2.0</v>
      </c>
      <c r="H94" s="40">
        <f t="shared" ref="H94:H98" si="23">G94*F94*E94*D94</f>
        <v>306.18</v>
      </c>
      <c r="I94" s="42">
        <f>(((1.84*5)+4.09)*2)*2</f>
        <v>53.16</v>
      </c>
      <c r="J94" s="40">
        <f t="shared" ref="J94:J98" si="24">H94-I94</f>
        <v>253.02</v>
      </c>
      <c r="K94" s="91"/>
    </row>
    <row r="95" ht="19.5" customHeight="1">
      <c r="A95" s="36">
        <v>37018.0</v>
      </c>
      <c r="B95" s="49" t="s">
        <v>199</v>
      </c>
      <c r="C95" s="46" t="s">
        <v>103</v>
      </c>
      <c r="D95" s="78">
        <v>2.0</v>
      </c>
      <c r="E95" s="49">
        <v>6.35</v>
      </c>
      <c r="F95" s="39">
        <v>16.45</v>
      </c>
      <c r="G95" s="40">
        <v>2.0</v>
      </c>
      <c r="H95" s="40">
        <f t="shared" si="23"/>
        <v>417.83</v>
      </c>
      <c r="I95" s="42">
        <f>(1.84*2)*2</f>
        <v>7.36</v>
      </c>
      <c r="J95" s="40">
        <f t="shared" si="24"/>
        <v>410.47</v>
      </c>
      <c r="K95" s="91"/>
    </row>
    <row r="96" ht="19.5" customHeight="1">
      <c r="A96" s="36">
        <v>37018.0</v>
      </c>
      <c r="B96" s="49" t="s">
        <v>199</v>
      </c>
      <c r="C96" s="46" t="s">
        <v>103</v>
      </c>
      <c r="D96" s="78">
        <v>1.0</v>
      </c>
      <c r="E96" s="49">
        <v>3.15</v>
      </c>
      <c r="F96" s="78">
        <v>12.0</v>
      </c>
      <c r="G96" s="40">
        <v>2.0</v>
      </c>
      <c r="H96" s="40">
        <f t="shared" si="23"/>
        <v>75.6</v>
      </c>
      <c r="I96" s="42"/>
      <c r="J96" s="40">
        <f t="shared" si="24"/>
        <v>75.6</v>
      </c>
      <c r="K96" s="46"/>
    </row>
    <row r="97" ht="19.5" customHeight="1">
      <c r="A97" s="36">
        <v>37018.0</v>
      </c>
      <c r="B97" s="49" t="s">
        <v>199</v>
      </c>
      <c r="C97" s="46" t="s">
        <v>103</v>
      </c>
      <c r="D97" s="39">
        <v>16.0</v>
      </c>
      <c r="E97" s="49">
        <v>3.15</v>
      </c>
      <c r="F97" s="39">
        <v>0.2</v>
      </c>
      <c r="G97" s="40">
        <v>4.0</v>
      </c>
      <c r="H97" s="40">
        <f t="shared" si="23"/>
        <v>40.32</v>
      </c>
      <c r="I97" s="42"/>
      <c r="J97" s="40">
        <f t="shared" si="24"/>
        <v>40.32</v>
      </c>
      <c r="K97" s="83" t="s">
        <v>1037</v>
      </c>
    </row>
    <row r="98" ht="19.5" customHeight="1">
      <c r="A98" s="36">
        <v>37018.0</v>
      </c>
      <c r="B98" s="49" t="s">
        <v>199</v>
      </c>
      <c r="C98" s="46" t="s">
        <v>103</v>
      </c>
      <c r="D98" s="78">
        <v>1.0</v>
      </c>
      <c r="E98" s="49">
        <v>3.15</v>
      </c>
      <c r="F98" s="78">
        <v>8.0</v>
      </c>
      <c r="G98" s="40">
        <v>2.0</v>
      </c>
      <c r="H98" s="40">
        <f t="shared" si="23"/>
        <v>50.4</v>
      </c>
      <c r="I98" s="42"/>
      <c r="J98" s="40">
        <f t="shared" si="24"/>
        <v>50.4</v>
      </c>
      <c r="K98" s="79"/>
    </row>
    <row r="99" ht="19.5" customHeight="1">
      <c r="A99" s="79"/>
      <c r="B99" s="95"/>
      <c r="C99" s="79"/>
      <c r="D99" s="92"/>
      <c r="E99" s="37"/>
      <c r="F99" s="78"/>
      <c r="G99" s="40"/>
      <c r="H99" s="59"/>
      <c r="I99" s="93"/>
      <c r="J99" s="96">
        <f>SUM(J94:J98)</f>
        <v>829.81</v>
      </c>
      <c r="K99" s="345"/>
    </row>
    <row r="100" ht="19.5" customHeight="1">
      <c r="A100" s="74" t="s">
        <v>1</v>
      </c>
      <c r="B100" s="74" t="s">
        <v>91</v>
      </c>
      <c r="C100" s="74" t="s">
        <v>92</v>
      </c>
      <c r="D100" s="76" t="s">
        <v>93</v>
      </c>
      <c r="E100" s="50" t="s">
        <v>97</v>
      </c>
      <c r="F100" s="53" t="s">
        <v>121</v>
      </c>
      <c r="G100" s="53" t="s">
        <v>198</v>
      </c>
      <c r="H100" s="75" t="s">
        <v>100</v>
      </c>
      <c r="I100" s="75" t="s">
        <v>101</v>
      </c>
      <c r="J100" s="76" t="s">
        <v>95</v>
      </c>
      <c r="K100" s="74" t="s">
        <v>96</v>
      </c>
    </row>
    <row r="101" ht="19.5" customHeight="1">
      <c r="A101" s="36">
        <v>37383.0</v>
      </c>
      <c r="B101" s="49" t="s">
        <v>1038</v>
      </c>
      <c r="C101" s="46" t="s">
        <v>103</v>
      </c>
      <c r="D101" s="78">
        <v>2.0</v>
      </c>
      <c r="E101" s="49">
        <v>3.15</v>
      </c>
      <c r="F101" s="39">
        <v>24.3</v>
      </c>
      <c r="G101" s="40">
        <v>2.0</v>
      </c>
      <c r="H101" s="40">
        <f t="shared" ref="H101:H105" si="25">G101*F101*E101*D101</f>
        <v>306.18</v>
      </c>
      <c r="I101" s="42">
        <f>(((1.84*5)+4.09)*2)*2</f>
        <v>53.16</v>
      </c>
      <c r="J101" s="40">
        <f t="shared" ref="J101:J105" si="26">H101-I101</f>
        <v>253.02</v>
      </c>
      <c r="K101" s="46"/>
    </row>
    <row r="102" ht="19.5" customHeight="1">
      <c r="A102" s="36">
        <v>37383.0</v>
      </c>
      <c r="B102" s="49" t="s">
        <v>1038</v>
      </c>
      <c r="C102" s="46" t="s">
        <v>103</v>
      </c>
      <c r="D102" s="78">
        <v>2.0</v>
      </c>
      <c r="E102" s="49">
        <v>6.35</v>
      </c>
      <c r="F102" s="39">
        <v>16.45</v>
      </c>
      <c r="G102" s="40">
        <v>2.0</v>
      </c>
      <c r="H102" s="40">
        <f t="shared" si="25"/>
        <v>417.83</v>
      </c>
      <c r="I102" s="42">
        <f>(1.84*2)*2</f>
        <v>7.36</v>
      </c>
      <c r="J102" s="40">
        <f t="shared" si="26"/>
        <v>410.47</v>
      </c>
      <c r="K102" s="46"/>
    </row>
    <row r="103" ht="19.5" customHeight="1">
      <c r="A103" s="36">
        <v>37383.0</v>
      </c>
      <c r="B103" s="49" t="s">
        <v>1038</v>
      </c>
      <c r="C103" s="46" t="s">
        <v>103</v>
      </c>
      <c r="D103" s="78">
        <v>1.0</v>
      </c>
      <c r="E103" s="49">
        <v>3.15</v>
      </c>
      <c r="F103" s="78">
        <v>12.0</v>
      </c>
      <c r="G103" s="40">
        <v>2.0</v>
      </c>
      <c r="H103" s="40">
        <f t="shared" si="25"/>
        <v>75.6</v>
      </c>
      <c r="I103" s="42"/>
      <c r="J103" s="40">
        <f t="shared" si="26"/>
        <v>75.6</v>
      </c>
      <c r="K103" s="46"/>
    </row>
    <row r="104" ht="19.5" customHeight="1">
      <c r="A104" s="36">
        <v>37383.0</v>
      </c>
      <c r="B104" s="49" t="s">
        <v>1038</v>
      </c>
      <c r="C104" s="46" t="s">
        <v>103</v>
      </c>
      <c r="D104" s="39">
        <v>16.0</v>
      </c>
      <c r="E104" s="49">
        <v>3.15</v>
      </c>
      <c r="F104" s="39">
        <v>0.2</v>
      </c>
      <c r="G104" s="40">
        <v>4.0</v>
      </c>
      <c r="H104" s="40">
        <f t="shared" si="25"/>
        <v>40.32</v>
      </c>
      <c r="I104" s="42"/>
      <c r="J104" s="40">
        <f t="shared" si="26"/>
        <v>40.32</v>
      </c>
      <c r="K104" s="38" t="s">
        <v>1037</v>
      </c>
    </row>
    <row r="105" ht="19.5" customHeight="1">
      <c r="A105" s="36">
        <v>37383.0</v>
      </c>
      <c r="B105" s="49" t="s">
        <v>1038</v>
      </c>
      <c r="C105" s="46" t="s">
        <v>103</v>
      </c>
      <c r="D105" s="78">
        <v>1.0</v>
      </c>
      <c r="E105" s="49">
        <v>3.15</v>
      </c>
      <c r="F105" s="78">
        <v>8.0</v>
      </c>
      <c r="G105" s="40">
        <v>2.0</v>
      </c>
      <c r="H105" s="40">
        <f t="shared" si="25"/>
        <v>50.4</v>
      </c>
      <c r="I105" s="42"/>
      <c r="J105" s="40">
        <f t="shared" si="26"/>
        <v>50.4</v>
      </c>
      <c r="K105" s="46"/>
    </row>
    <row r="106" ht="19.5" customHeight="1">
      <c r="A106" s="83"/>
      <c r="B106" s="95"/>
      <c r="C106" s="79"/>
      <c r="D106" s="115"/>
      <c r="E106" s="49"/>
      <c r="F106" s="39"/>
      <c r="G106" s="40"/>
      <c r="H106" s="59"/>
      <c r="I106" s="93"/>
      <c r="J106" s="96">
        <f>SUM(J101:J105)</f>
        <v>829.81</v>
      </c>
      <c r="K106" s="79"/>
    </row>
    <row r="107" ht="19.5" customHeight="1">
      <c r="A107" s="74" t="s">
        <v>1</v>
      </c>
      <c r="B107" s="74" t="s">
        <v>91</v>
      </c>
      <c r="C107" s="74" t="s">
        <v>92</v>
      </c>
      <c r="D107" s="76" t="s">
        <v>93</v>
      </c>
      <c r="E107" s="50" t="s">
        <v>97</v>
      </c>
      <c r="F107" s="53" t="s">
        <v>121</v>
      </c>
      <c r="G107" s="53" t="s">
        <v>198</v>
      </c>
      <c r="H107" s="75" t="s">
        <v>100</v>
      </c>
      <c r="I107" s="75" t="s">
        <v>101</v>
      </c>
      <c r="J107" s="76" t="s">
        <v>95</v>
      </c>
      <c r="K107" s="74" t="s">
        <v>96</v>
      </c>
    </row>
    <row r="108" ht="19.5" customHeight="1">
      <c r="A108" s="100" t="s">
        <v>1039</v>
      </c>
      <c r="B108" s="49" t="s">
        <v>1040</v>
      </c>
      <c r="C108" s="46" t="s">
        <v>103</v>
      </c>
      <c r="D108" s="39">
        <v>4.0</v>
      </c>
      <c r="E108" s="37">
        <f t="shared" ref="E108:E111" si="27">3.15-1.6</f>
        <v>1.55</v>
      </c>
      <c r="F108" s="78">
        <v>24.3</v>
      </c>
      <c r="G108" s="40"/>
      <c r="H108" s="40">
        <f t="shared" ref="H108:H112" si="28">F108*E108*D108</f>
        <v>150.66</v>
      </c>
      <c r="I108" s="40">
        <f>(((1.84*5)+2.95)*2)*2</f>
        <v>48.6</v>
      </c>
      <c r="J108" s="40">
        <f t="shared" ref="J108:J112" si="29">H108-I108</f>
        <v>102.06</v>
      </c>
      <c r="K108" s="46"/>
    </row>
    <row r="109" ht="19.5" customHeight="1">
      <c r="A109" s="100" t="s">
        <v>1039</v>
      </c>
      <c r="B109" s="49" t="s">
        <v>1040</v>
      </c>
      <c r="C109" s="46" t="s">
        <v>103</v>
      </c>
      <c r="D109" s="39">
        <v>4.0</v>
      </c>
      <c r="E109" s="37">
        <f t="shared" si="27"/>
        <v>1.55</v>
      </c>
      <c r="F109" s="39">
        <v>16.45</v>
      </c>
      <c r="G109" s="40"/>
      <c r="H109" s="40">
        <f t="shared" si="28"/>
        <v>101.99</v>
      </c>
      <c r="I109" s="40">
        <f>1.84*2</f>
        <v>3.68</v>
      </c>
      <c r="J109" s="40">
        <f t="shared" si="29"/>
        <v>98.31</v>
      </c>
      <c r="K109" s="46"/>
    </row>
    <row r="110" ht="19.5" customHeight="1">
      <c r="A110" s="100" t="s">
        <v>1039</v>
      </c>
      <c r="B110" s="49" t="s">
        <v>1041</v>
      </c>
      <c r="C110" s="46" t="s">
        <v>103</v>
      </c>
      <c r="D110" s="39">
        <v>2.0</v>
      </c>
      <c r="E110" s="37">
        <f t="shared" si="27"/>
        <v>1.55</v>
      </c>
      <c r="F110" s="78">
        <v>12.0</v>
      </c>
      <c r="G110" s="40"/>
      <c r="H110" s="40">
        <f t="shared" si="28"/>
        <v>37.2</v>
      </c>
      <c r="I110" s="42"/>
      <c r="J110" s="40">
        <f t="shared" si="29"/>
        <v>37.2</v>
      </c>
      <c r="K110" s="46"/>
    </row>
    <row r="111" ht="19.5" customHeight="1">
      <c r="A111" s="100" t="s">
        <v>1039</v>
      </c>
      <c r="B111" s="49" t="s">
        <v>1041</v>
      </c>
      <c r="C111" s="46" t="s">
        <v>103</v>
      </c>
      <c r="D111" s="39">
        <v>2.0</v>
      </c>
      <c r="E111" s="37">
        <f t="shared" si="27"/>
        <v>1.55</v>
      </c>
      <c r="F111" s="78">
        <v>8.0</v>
      </c>
      <c r="G111" s="41"/>
      <c r="H111" s="40">
        <f t="shared" si="28"/>
        <v>24.8</v>
      </c>
      <c r="I111" s="93"/>
      <c r="J111" s="40">
        <f t="shared" si="29"/>
        <v>24.8</v>
      </c>
      <c r="K111" s="79"/>
    </row>
    <row r="112" ht="19.5" customHeight="1">
      <c r="A112" s="100" t="s">
        <v>1039</v>
      </c>
      <c r="B112" s="49" t="s">
        <v>1042</v>
      </c>
      <c r="C112" s="46" t="s">
        <v>103</v>
      </c>
      <c r="D112" s="39">
        <v>9.0</v>
      </c>
      <c r="E112" s="49">
        <v>0.8</v>
      </c>
      <c r="F112" s="78">
        <f>0.3*4</f>
        <v>1.2</v>
      </c>
      <c r="G112" s="41"/>
      <c r="H112" s="40">
        <f t="shared" si="28"/>
        <v>8.64</v>
      </c>
      <c r="I112" s="93"/>
      <c r="J112" s="40">
        <f t="shared" si="29"/>
        <v>8.64</v>
      </c>
      <c r="K112" s="352"/>
    </row>
    <row r="113" ht="19.5" customHeight="1">
      <c r="A113" s="46"/>
      <c r="B113" s="37"/>
      <c r="C113" s="46"/>
      <c r="D113" s="78"/>
      <c r="E113" s="37"/>
      <c r="F113" s="78"/>
      <c r="G113" s="40"/>
      <c r="H113" s="40"/>
      <c r="I113" s="93"/>
      <c r="J113" s="64">
        <f>SUM(J108:J112)</f>
        <v>271.01</v>
      </c>
      <c r="K113" s="352" t="s">
        <v>203</v>
      </c>
    </row>
    <row r="114" ht="19.5" customHeight="1">
      <c r="A114" s="74" t="s">
        <v>1</v>
      </c>
      <c r="B114" s="74" t="s">
        <v>91</v>
      </c>
      <c r="C114" s="74" t="s">
        <v>92</v>
      </c>
      <c r="D114" s="76" t="s">
        <v>93</v>
      </c>
      <c r="E114" s="50" t="s">
        <v>97</v>
      </c>
      <c r="F114" s="53" t="s">
        <v>121</v>
      </c>
      <c r="G114" s="53" t="s">
        <v>206</v>
      </c>
      <c r="H114" s="75" t="s">
        <v>100</v>
      </c>
      <c r="I114" s="75" t="s">
        <v>101</v>
      </c>
      <c r="J114" s="76" t="s">
        <v>95</v>
      </c>
      <c r="K114" s="74" t="s">
        <v>96</v>
      </c>
    </row>
    <row r="115" ht="19.5" customHeight="1">
      <c r="A115" s="36">
        <v>37748.0</v>
      </c>
      <c r="B115" s="49" t="s">
        <v>1043</v>
      </c>
      <c r="C115" s="46" t="s">
        <v>103</v>
      </c>
      <c r="D115" s="39">
        <v>1.0</v>
      </c>
      <c r="E115" s="49">
        <v>1.6</v>
      </c>
      <c r="F115" s="78">
        <f>24.3+8+12.35+8.3+12.08+16.15</f>
        <v>81.18</v>
      </c>
      <c r="G115" s="41">
        <v>1.0</v>
      </c>
      <c r="H115" s="40">
        <f t="shared" ref="H115:H118" si="30">G115*F115*E115*D115</f>
        <v>129.888</v>
      </c>
      <c r="I115" s="42">
        <f t="shared" ref="I115:I116" si="31">(1.8*1.6)</f>
        <v>2.88</v>
      </c>
      <c r="J115" s="40">
        <f t="shared" ref="J115:J118" si="32">H115-I115</f>
        <v>127.008</v>
      </c>
      <c r="K115" s="46"/>
    </row>
    <row r="116" ht="19.5" customHeight="1">
      <c r="A116" s="36">
        <v>37748.0</v>
      </c>
      <c r="B116" s="49" t="s">
        <v>1044</v>
      </c>
      <c r="C116" s="46" t="s">
        <v>103</v>
      </c>
      <c r="D116" s="39">
        <v>1.0</v>
      </c>
      <c r="E116" s="49">
        <v>1.6</v>
      </c>
      <c r="F116" s="78">
        <f>12.08+12.08+8+8</f>
        <v>40.16</v>
      </c>
      <c r="G116" s="41">
        <v>1.0</v>
      </c>
      <c r="H116" s="40">
        <f t="shared" si="30"/>
        <v>64.256</v>
      </c>
      <c r="I116" s="42">
        <f t="shared" si="31"/>
        <v>2.88</v>
      </c>
      <c r="J116" s="40">
        <f t="shared" si="32"/>
        <v>61.376</v>
      </c>
      <c r="K116" s="46"/>
    </row>
    <row r="117" ht="19.5" customHeight="1">
      <c r="A117" s="36">
        <v>37748.0</v>
      </c>
      <c r="B117" s="49" t="s">
        <v>1045</v>
      </c>
      <c r="C117" s="46" t="s">
        <v>103</v>
      </c>
      <c r="D117" s="39">
        <v>9.0</v>
      </c>
      <c r="E117" s="49">
        <v>1.6</v>
      </c>
      <c r="F117" s="78">
        <f>0.3*4</f>
        <v>1.2</v>
      </c>
      <c r="G117" s="41">
        <v>1.0</v>
      </c>
      <c r="H117" s="40">
        <f t="shared" si="30"/>
        <v>17.28</v>
      </c>
      <c r="I117" s="42"/>
      <c r="J117" s="40">
        <f t="shared" si="32"/>
        <v>17.28</v>
      </c>
      <c r="K117" s="38"/>
    </row>
    <row r="118" ht="19.5" customHeight="1">
      <c r="A118" s="36">
        <v>37748.0</v>
      </c>
      <c r="B118" s="49" t="s">
        <v>1046</v>
      </c>
      <c r="C118" s="46" t="s">
        <v>103</v>
      </c>
      <c r="D118" s="39">
        <v>1.0</v>
      </c>
      <c r="E118" s="49">
        <v>1.6</v>
      </c>
      <c r="F118" s="39">
        <f>(24.6+16.45)*2</f>
        <v>82.1</v>
      </c>
      <c r="G118" s="41">
        <v>1.0</v>
      </c>
      <c r="H118" s="40">
        <f t="shared" si="30"/>
        <v>131.36</v>
      </c>
      <c r="I118" s="42">
        <f>(1.8*1.6)*2</f>
        <v>5.76</v>
      </c>
      <c r="J118" s="40">
        <f t="shared" si="32"/>
        <v>125.6</v>
      </c>
      <c r="K118" s="46"/>
    </row>
    <row r="119" ht="19.5" customHeight="1">
      <c r="A119" s="83"/>
      <c r="B119" s="95"/>
      <c r="C119" s="79"/>
      <c r="D119" s="115"/>
      <c r="E119" s="49"/>
      <c r="F119" s="78"/>
      <c r="G119" s="40"/>
      <c r="H119" s="59"/>
      <c r="I119" s="82"/>
      <c r="J119" s="109">
        <f>SUM(J115:J118)</f>
        <v>331.264</v>
      </c>
      <c r="K119" s="83"/>
    </row>
    <row r="120" ht="19.5" customHeight="1">
      <c r="A120" s="36">
        <v>38114.0</v>
      </c>
      <c r="B120" s="49" t="s">
        <v>1047</v>
      </c>
      <c r="C120" s="46" t="s">
        <v>103</v>
      </c>
      <c r="D120" s="39">
        <v>7.0</v>
      </c>
      <c r="E120" s="49">
        <v>2.4</v>
      </c>
      <c r="F120" s="78">
        <f>0.3*4</f>
        <v>1.2</v>
      </c>
      <c r="G120" s="41">
        <v>1.0</v>
      </c>
      <c r="H120" s="40">
        <f>G120*F120*E120*D120</f>
        <v>20.16</v>
      </c>
      <c r="I120" s="42"/>
      <c r="J120" s="64">
        <f>H120-I120</f>
        <v>20.16</v>
      </c>
      <c r="K120" s="38"/>
    </row>
    <row r="121" ht="19.5" customHeight="1">
      <c r="A121" s="74" t="s">
        <v>1</v>
      </c>
      <c r="B121" s="74" t="s">
        <v>91</v>
      </c>
      <c r="C121" s="74" t="s">
        <v>92</v>
      </c>
      <c r="D121" s="76" t="s">
        <v>93</v>
      </c>
      <c r="E121" s="50" t="s">
        <v>97</v>
      </c>
      <c r="F121" s="53" t="s">
        <v>121</v>
      </c>
      <c r="G121" s="53" t="s">
        <v>99</v>
      </c>
      <c r="H121" s="75" t="s">
        <v>100</v>
      </c>
      <c r="I121" s="75" t="s">
        <v>101</v>
      </c>
      <c r="J121" s="76" t="s">
        <v>95</v>
      </c>
      <c r="K121" s="74" t="s">
        <v>96</v>
      </c>
    </row>
    <row r="122" ht="19.5" customHeight="1">
      <c r="A122" s="36">
        <v>37871.0</v>
      </c>
      <c r="B122" s="49" t="s">
        <v>1048</v>
      </c>
      <c r="C122" s="38" t="s">
        <v>106</v>
      </c>
      <c r="D122" s="39">
        <v>1.0</v>
      </c>
      <c r="E122" s="37">
        <v>2.1</v>
      </c>
      <c r="F122" s="78"/>
      <c r="G122" s="41">
        <v>1.8</v>
      </c>
      <c r="H122" s="40">
        <f t="shared" ref="H122:H123" si="33">G122*E122*D122</f>
        <v>3.78</v>
      </c>
      <c r="I122" s="42"/>
      <c r="J122" s="64">
        <f>D122</f>
        <v>1</v>
      </c>
      <c r="K122" s="38" t="s">
        <v>1049</v>
      </c>
    </row>
    <row r="123" ht="19.5" customHeight="1">
      <c r="A123" s="36">
        <v>37506.0</v>
      </c>
      <c r="B123" s="49" t="s">
        <v>1050</v>
      </c>
      <c r="C123" s="46" t="s">
        <v>103</v>
      </c>
      <c r="D123" s="78">
        <v>1.0</v>
      </c>
      <c r="E123" s="37">
        <v>2.1</v>
      </c>
      <c r="F123" s="78"/>
      <c r="G123" s="41">
        <v>1.8</v>
      </c>
      <c r="H123" s="40">
        <f t="shared" si="33"/>
        <v>3.78</v>
      </c>
      <c r="I123" s="42"/>
      <c r="J123" s="64">
        <f t="shared" ref="J123:J125" si="34">H123</f>
        <v>3.78</v>
      </c>
      <c r="K123" s="38" t="s">
        <v>1051</v>
      </c>
    </row>
    <row r="124" ht="19.5" customHeight="1">
      <c r="A124" s="36">
        <v>37141.0</v>
      </c>
      <c r="B124" s="49" t="s">
        <v>1052</v>
      </c>
      <c r="C124" s="46" t="s">
        <v>103</v>
      </c>
      <c r="D124" s="78">
        <v>12.0</v>
      </c>
      <c r="E124" s="37">
        <v>0.5</v>
      </c>
      <c r="F124" s="78">
        <v>3.7</v>
      </c>
      <c r="G124" s="40"/>
      <c r="H124" s="40">
        <f>F124*E124*D124</f>
        <v>22.2</v>
      </c>
      <c r="I124" s="42"/>
      <c r="J124" s="64">
        <f t="shared" si="34"/>
        <v>22.2</v>
      </c>
      <c r="K124" s="46"/>
    </row>
    <row r="125" ht="19.5" customHeight="1">
      <c r="A125" s="36">
        <v>38237.0</v>
      </c>
      <c r="B125" s="49" t="s">
        <v>1053</v>
      </c>
      <c r="C125" s="38" t="s">
        <v>108</v>
      </c>
      <c r="D125" s="39">
        <v>12.0</v>
      </c>
      <c r="E125" s="49">
        <v>0.5</v>
      </c>
      <c r="F125" s="39">
        <v>3.8</v>
      </c>
      <c r="G125" s="40"/>
      <c r="H125" s="40">
        <f>((F125*2)+(E125*2))*D125</f>
        <v>103.2</v>
      </c>
      <c r="I125" s="42"/>
      <c r="J125" s="64">
        <f t="shared" si="34"/>
        <v>103.2</v>
      </c>
      <c r="K125" s="79"/>
    </row>
    <row r="126" ht="19.5" customHeight="1">
      <c r="A126" s="74" t="s">
        <v>1</v>
      </c>
      <c r="B126" s="74" t="s">
        <v>91</v>
      </c>
      <c r="C126" s="74" t="s">
        <v>92</v>
      </c>
      <c r="D126" s="76" t="s">
        <v>93</v>
      </c>
      <c r="E126" s="50" t="s">
        <v>97</v>
      </c>
      <c r="F126" s="53" t="s">
        <v>121</v>
      </c>
      <c r="G126" s="53" t="s">
        <v>99</v>
      </c>
      <c r="H126" s="75" t="s">
        <v>100</v>
      </c>
      <c r="I126" s="75" t="s">
        <v>101</v>
      </c>
      <c r="J126" s="76" t="s">
        <v>95</v>
      </c>
      <c r="K126" s="74" t="s">
        <v>96</v>
      </c>
    </row>
    <row r="127" ht="19.5" customHeight="1">
      <c r="A127" s="36">
        <v>38053.0</v>
      </c>
      <c r="B127" s="49" t="s">
        <v>228</v>
      </c>
      <c r="C127" s="38" t="s">
        <v>108</v>
      </c>
      <c r="D127" s="39">
        <v>1.0</v>
      </c>
      <c r="E127" s="37"/>
      <c r="F127" s="41">
        <f t="shared" ref="F127:F128" si="35">1.8+0.8</f>
        <v>2.6</v>
      </c>
      <c r="G127" s="41"/>
      <c r="H127" s="40">
        <f t="shared" ref="H127:H129" si="36">F127*D127</f>
        <v>2.6</v>
      </c>
      <c r="I127" s="42"/>
      <c r="J127" s="107"/>
      <c r="K127" s="38" t="s">
        <v>1049</v>
      </c>
    </row>
    <row r="128" ht="19.5" customHeight="1">
      <c r="A128" s="36">
        <v>38053.0</v>
      </c>
      <c r="B128" s="49" t="s">
        <v>1054</v>
      </c>
      <c r="C128" s="38" t="s">
        <v>108</v>
      </c>
      <c r="D128" s="78">
        <v>1.0</v>
      </c>
      <c r="E128" s="37"/>
      <c r="F128" s="41">
        <f t="shared" si="35"/>
        <v>2.6</v>
      </c>
      <c r="G128" s="41"/>
      <c r="H128" s="40">
        <f t="shared" si="36"/>
        <v>2.6</v>
      </c>
      <c r="I128" s="42"/>
      <c r="J128" s="107"/>
      <c r="K128" s="38" t="s">
        <v>1051</v>
      </c>
    </row>
    <row r="129" ht="19.5" customHeight="1">
      <c r="A129" s="36">
        <v>38053.0</v>
      </c>
      <c r="B129" s="49" t="s">
        <v>232</v>
      </c>
      <c r="C129" s="38" t="s">
        <v>108</v>
      </c>
      <c r="D129" s="78">
        <v>12.0</v>
      </c>
      <c r="E129" s="37"/>
      <c r="F129" s="78">
        <f>3.7+0.8</f>
        <v>4.5</v>
      </c>
      <c r="G129" s="40"/>
      <c r="H129" s="40">
        <f t="shared" si="36"/>
        <v>54</v>
      </c>
      <c r="I129" s="42"/>
      <c r="J129" s="107"/>
      <c r="K129" s="46"/>
    </row>
    <row r="130" ht="19.5" customHeight="1">
      <c r="A130" s="36"/>
      <c r="B130" s="49"/>
      <c r="C130" s="38"/>
      <c r="D130" s="39"/>
      <c r="E130" s="49"/>
      <c r="F130" s="39"/>
      <c r="G130" s="40"/>
      <c r="H130" s="40"/>
      <c r="I130" s="42"/>
      <c r="J130" s="64">
        <f>SUM(H127:H129)</f>
        <v>59.2</v>
      </c>
      <c r="K130" s="79"/>
    </row>
    <row r="131" ht="19.5" customHeight="1">
      <c r="A131" s="117">
        <v>38418.0</v>
      </c>
      <c r="B131" s="49" t="s">
        <v>237</v>
      </c>
      <c r="C131" s="38" t="s">
        <v>108</v>
      </c>
      <c r="D131" s="39">
        <v>12.0</v>
      </c>
      <c r="E131" s="49"/>
      <c r="F131" s="78">
        <f>3.7+0.8</f>
        <v>4.5</v>
      </c>
      <c r="G131" s="40"/>
      <c r="H131" s="58">
        <f>F131*D131</f>
        <v>54</v>
      </c>
      <c r="I131" s="82"/>
      <c r="J131" s="121"/>
      <c r="K131" s="79"/>
    </row>
    <row r="132" ht="19.5" customHeight="1">
      <c r="A132" s="117"/>
      <c r="B132" s="114"/>
      <c r="C132" s="83"/>
      <c r="D132" s="115"/>
      <c r="E132" s="49"/>
      <c r="F132" s="39"/>
      <c r="G132" s="40"/>
      <c r="H132" s="59"/>
      <c r="I132" s="82"/>
      <c r="J132" s="109">
        <f>H131</f>
        <v>54</v>
      </c>
      <c r="K132" s="79"/>
    </row>
    <row r="133" ht="19.5" customHeight="1">
      <c r="A133" s="74" t="s">
        <v>1</v>
      </c>
      <c r="B133" s="74" t="s">
        <v>91</v>
      </c>
      <c r="C133" s="74" t="s">
        <v>92</v>
      </c>
      <c r="D133" s="76" t="s">
        <v>93</v>
      </c>
      <c r="E133" s="50" t="s">
        <v>161</v>
      </c>
      <c r="F133" s="53" t="s">
        <v>121</v>
      </c>
      <c r="G133" s="53" t="s">
        <v>99</v>
      </c>
      <c r="H133" s="75" t="s">
        <v>100</v>
      </c>
      <c r="I133" s="75" t="s">
        <v>101</v>
      </c>
      <c r="J133" s="76" t="s">
        <v>95</v>
      </c>
      <c r="K133" s="74" t="s">
        <v>96</v>
      </c>
    </row>
    <row r="134" ht="19.5" customHeight="1">
      <c r="A134" s="36">
        <v>37809.0</v>
      </c>
      <c r="B134" s="49" t="s">
        <v>1055</v>
      </c>
      <c r="C134" s="46" t="s">
        <v>103</v>
      </c>
      <c r="D134" s="78">
        <f>24.3</f>
        <v>24.3</v>
      </c>
      <c r="E134" s="37">
        <v>2.0</v>
      </c>
      <c r="F134" s="78"/>
      <c r="G134" s="40">
        <v>1.0</v>
      </c>
      <c r="H134" s="40">
        <f>G134*E134*D134</f>
        <v>48.6</v>
      </c>
      <c r="I134" s="42"/>
      <c r="J134" s="40"/>
      <c r="K134" s="46"/>
    </row>
    <row r="135" ht="19.5" customHeight="1">
      <c r="A135" s="46">
        <v>2.0</v>
      </c>
      <c r="B135" s="37" t="s">
        <v>162</v>
      </c>
      <c r="C135" s="46" t="s">
        <v>103</v>
      </c>
      <c r="D135" s="78"/>
      <c r="E135" s="37"/>
      <c r="F135" s="78"/>
      <c r="G135" s="40"/>
      <c r="H135" s="40"/>
      <c r="I135" s="42"/>
      <c r="J135" s="64">
        <f>SUM(H134:H135)</f>
        <v>48.6</v>
      </c>
      <c r="K135" s="46"/>
    </row>
    <row r="136" ht="19.5" customHeight="1">
      <c r="A136" s="74" t="s">
        <v>1</v>
      </c>
      <c r="B136" s="74" t="s">
        <v>91</v>
      </c>
      <c r="C136" s="74" t="s">
        <v>92</v>
      </c>
      <c r="D136" s="76" t="s">
        <v>93</v>
      </c>
      <c r="E136" s="50" t="s">
        <v>161</v>
      </c>
      <c r="F136" s="53" t="s">
        <v>121</v>
      </c>
      <c r="G136" s="53" t="s">
        <v>99</v>
      </c>
      <c r="H136" s="75" t="s">
        <v>100</v>
      </c>
      <c r="I136" s="75" t="s">
        <v>101</v>
      </c>
      <c r="J136" s="76" t="s">
        <v>95</v>
      </c>
      <c r="K136" s="74" t="s">
        <v>96</v>
      </c>
    </row>
    <row r="137" ht="19.5" customHeight="1">
      <c r="A137" s="126">
        <v>1.0</v>
      </c>
      <c r="B137" s="37" t="s">
        <v>374</v>
      </c>
      <c r="C137" s="46" t="s">
        <v>106</v>
      </c>
      <c r="D137" s="78">
        <v>10.0</v>
      </c>
      <c r="E137" s="37">
        <v>1.0</v>
      </c>
      <c r="F137" s="78"/>
      <c r="G137" s="40">
        <v>1.0</v>
      </c>
      <c r="H137" s="40">
        <f>G137*E137*D137</f>
        <v>10</v>
      </c>
      <c r="I137" s="42"/>
      <c r="J137" s="40"/>
      <c r="K137" s="46"/>
    </row>
    <row r="138" ht="19.5" customHeight="1">
      <c r="A138" s="126">
        <v>2.0</v>
      </c>
      <c r="B138" s="37" t="s">
        <v>375</v>
      </c>
      <c r="C138" s="46" t="s">
        <v>106</v>
      </c>
      <c r="D138" s="78"/>
      <c r="E138" s="37"/>
      <c r="F138" s="78"/>
      <c r="G138" s="40"/>
      <c r="H138" s="40"/>
      <c r="I138" s="42"/>
      <c r="J138" s="64">
        <f>SUM(H137:H138)</f>
        <v>10</v>
      </c>
      <c r="K138" s="46"/>
    </row>
    <row r="139" ht="19.5" customHeight="1">
      <c r="A139" s="126">
        <v>3.0</v>
      </c>
      <c r="B139" s="37" t="s">
        <v>376</v>
      </c>
      <c r="C139" s="46" t="s">
        <v>106</v>
      </c>
      <c r="D139" s="78">
        <v>10.0</v>
      </c>
      <c r="E139" s="37">
        <v>1.0</v>
      </c>
      <c r="F139" s="78"/>
      <c r="G139" s="40">
        <v>1.0</v>
      </c>
      <c r="H139" s="40">
        <f>G139*E139*D139</f>
        <v>10</v>
      </c>
      <c r="I139" s="42"/>
      <c r="J139" s="64">
        <f>H139</f>
        <v>10</v>
      </c>
      <c r="K139" s="79"/>
    </row>
    <row r="140" ht="19.5" customHeight="1">
      <c r="A140" s="74" t="s">
        <v>1</v>
      </c>
      <c r="B140" s="74" t="s">
        <v>91</v>
      </c>
      <c r="C140" s="74" t="s">
        <v>92</v>
      </c>
      <c r="D140" s="76" t="s">
        <v>93</v>
      </c>
      <c r="E140" s="50" t="s">
        <v>161</v>
      </c>
      <c r="F140" s="53" t="s">
        <v>121</v>
      </c>
      <c r="G140" s="53" t="s">
        <v>99</v>
      </c>
      <c r="H140" s="75" t="s">
        <v>100</v>
      </c>
      <c r="I140" s="75" t="s">
        <v>101</v>
      </c>
      <c r="J140" s="76" t="s">
        <v>95</v>
      </c>
      <c r="K140" s="74" t="s">
        <v>96</v>
      </c>
    </row>
    <row r="141" ht="19.5" customHeight="1">
      <c r="A141" s="100" t="s">
        <v>1056</v>
      </c>
      <c r="B141" s="37" t="s">
        <v>856</v>
      </c>
      <c r="C141" s="46" t="s">
        <v>103</v>
      </c>
      <c r="D141" s="78">
        <v>1.0</v>
      </c>
      <c r="E141" s="37">
        <v>1.0</v>
      </c>
      <c r="F141" s="78">
        <v>7.0</v>
      </c>
      <c r="G141" s="40">
        <v>0.6</v>
      </c>
      <c r="H141" s="40">
        <f t="shared" ref="H141:H142" si="37">G141*F141*E141*D141</f>
        <v>4.2</v>
      </c>
      <c r="I141" s="42"/>
      <c r="J141" s="40"/>
      <c r="K141" s="46"/>
    </row>
    <row r="142" ht="19.5" customHeight="1">
      <c r="A142" s="100" t="s">
        <v>1056</v>
      </c>
      <c r="B142" s="37" t="s">
        <v>857</v>
      </c>
      <c r="C142" s="46" t="s">
        <v>103</v>
      </c>
      <c r="D142" s="39">
        <v>4.0</v>
      </c>
      <c r="E142" s="37">
        <v>1.0</v>
      </c>
      <c r="F142" s="39">
        <v>1.0</v>
      </c>
      <c r="G142" s="40">
        <v>0.6</v>
      </c>
      <c r="H142" s="40">
        <f t="shared" si="37"/>
        <v>2.4</v>
      </c>
      <c r="I142" s="93"/>
      <c r="J142" s="64">
        <f>SUM(H141:H142)</f>
        <v>6.6</v>
      </c>
      <c r="K142" s="79"/>
    </row>
    <row r="143" ht="19.5" customHeight="1">
      <c r="A143" s="74" t="s">
        <v>1</v>
      </c>
      <c r="B143" s="74" t="s">
        <v>91</v>
      </c>
      <c r="C143" s="74" t="s">
        <v>92</v>
      </c>
      <c r="D143" s="76" t="s">
        <v>93</v>
      </c>
      <c r="E143" s="50" t="s">
        <v>161</v>
      </c>
      <c r="F143" s="53" t="s">
        <v>121</v>
      </c>
      <c r="G143" s="53" t="s">
        <v>97</v>
      </c>
      <c r="H143" s="75" t="s">
        <v>100</v>
      </c>
      <c r="I143" s="75" t="s">
        <v>101</v>
      </c>
      <c r="J143" s="76" t="s">
        <v>95</v>
      </c>
      <c r="K143" s="74" t="s">
        <v>96</v>
      </c>
    </row>
    <row r="144" ht="19.5" customHeight="1">
      <c r="A144" s="46">
        <v>1.0</v>
      </c>
      <c r="B144" s="37" t="s">
        <v>244</v>
      </c>
      <c r="C144" s="46" t="s">
        <v>103</v>
      </c>
      <c r="D144" s="78"/>
      <c r="E144" s="37"/>
      <c r="F144" s="78"/>
      <c r="G144" s="40"/>
      <c r="H144" s="40"/>
      <c r="I144" s="42"/>
      <c r="J144" s="40"/>
      <c r="K144" s="46"/>
    </row>
    <row r="145" ht="19.5" customHeight="1">
      <c r="A145" s="46">
        <v>2.0</v>
      </c>
      <c r="B145" s="37" t="s">
        <v>244</v>
      </c>
      <c r="C145" s="46" t="s">
        <v>103</v>
      </c>
      <c r="D145" s="78"/>
      <c r="E145" s="37"/>
      <c r="F145" s="78"/>
      <c r="G145" s="40"/>
      <c r="H145" s="40"/>
      <c r="I145" s="42"/>
      <c r="J145" s="64">
        <f>SUM(H144:H145)</f>
        <v>0</v>
      </c>
      <c r="K145" s="46"/>
    </row>
    <row r="146" ht="19.5" customHeight="1">
      <c r="A146" s="74" t="s">
        <v>1</v>
      </c>
      <c r="B146" s="74" t="s">
        <v>91</v>
      </c>
      <c r="C146" s="74" t="s">
        <v>92</v>
      </c>
      <c r="D146" s="76" t="s">
        <v>93</v>
      </c>
      <c r="E146" s="50" t="s">
        <v>161</v>
      </c>
      <c r="F146" s="53"/>
      <c r="G146" s="53"/>
      <c r="H146" s="75" t="s">
        <v>100</v>
      </c>
      <c r="I146" s="75" t="s">
        <v>101</v>
      </c>
      <c r="J146" s="76" t="s">
        <v>95</v>
      </c>
      <c r="K146" s="74" t="s">
        <v>96</v>
      </c>
    </row>
    <row r="147" ht="19.5" customHeight="1">
      <c r="A147" s="126">
        <v>1.0</v>
      </c>
      <c r="B147" s="37" t="s">
        <v>245</v>
      </c>
      <c r="C147" s="46" t="s">
        <v>106</v>
      </c>
      <c r="D147" s="78">
        <v>6.0</v>
      </c>
      <c r="E147" s="37">
        <v>9.0</v>
      </c>
      <c r="F147" s="78"/>
      <c r="G147" s="40"/>
      <c r="H147" s="40">
        <f>E147*D147+6</f>
        <v>60</v>
      </c>
      <c r="I147" s="42"/>
      <c r="J147" s="64">
        <f t="shared" ref="J147:J165" si="38">H147</f>
        <v>60</v>
      </c>
      <c r="K147" s="46"/>
    </row>
    <row r="148" ht="19.5" customHeight="1">
      <c r="A148" s="126">
        <v>2.0</v>
      </c>
      <c r="B148" s="37" t="s">
        <v>245</v>
      </c>
      <c r="C148" s="46" t="s">
        <v>106</v>
      </c>
      <c r="D148" s="78">
        <v>12.0</v>
      </c>
      <c r="E148" s="37">
        <v>1.0</v>
      </c>
      <c r="F148" s="78"/>
      <c r="G148" s="40"/>
      <c r="H148" s="40">
        <f t="shared" ref="H148:H165" si="39">E148*D148</f>
        <v>12</v>
      </c>
      <c r="I148" s="42"/>
      <c r="J148" s="64">
        <f t="shared" si="38"/>
        <v>12</v>
      </c>
      <c r="K148" s="46"/>
    </row>
    <row r="149" ht="19.5" customHeight="1">
      <c r="A149" s="126">
        <v>3.0</v>
      </c>
      <c r="B149" s="37" t="s">
        <v>246</v>
      </c>
      <c r="C149" s="46" t="s">
        <v>106</v>
      </c>
      <c r="D149" s="78">
        <v>4.0</v>
      </c>
      <c r="E149" s="37">
        <v>12.0</v>
      </c>
      <c r="F149" s="78"/>
      <c r="G149" s="40"/>
      <c r="H149" s="40">
        <f t="shared" si="39"/>
        <v>48</v>
      </c>
      <c r="I149" s="42"/>
      <c r="J149" s="64">
        <f t="shared" si="38"/>
        <v>48</v>
      </c>
      <c r="K149" s="46"/>
    </row>
    <row r="150" ht="19.5" customHeight="1">
      <c r="A150" s="126">
        <v>4.0</v>
      </c>
      <c r="B150" s="37" t="s">
        <v>246</v>
      </c>
      <c r="C150" s="46" t="s">
        <v>106</v>
      </c>
      <c r="D150" s="78">
        <v>8.0</v>
      </c>
      <c r="E150" s="37">
        <v>1.0</v>
      </c>
      <c r="F150" s="78"/>
      <c r="G150" s="40"/>
      <c r="H150" s="40">
        <f t="shared" si="39"/>
        <v>8</v>
      </c>
      <c r="I150" s="42"/>
      <c r="J150" s="64">
        <f t="shared" si="38"/>
        <v>8</v>
      </c>
      <c r="K150" s="46"/>
    </row>
    <row r="151" ht="19.5" customHeight="1">
      <c r="A151" s="126">
        <v>5.0</v>
      </c>
      <c r="B151" s="37" t="s">
        <v>247</v>
      </c>
      <c r="C151" s="46" t="s">
        <v>106</v>
      </c>
      <c r="D151" s="78">
        <v>2.0</v>
      </c>
      <c r="E151" s="37">
        <v>1.0</v>
      </c>
      <c r="F151" s="78"/>
      <c r="G151" s="40"/>
      <c r="H151" s="40">
        <f t="shared" si="39"/>
        <v>2</v>
      </c>
      <c r="I151" s="42"/>
      <c r="J151" s="64">
        <f t="shared" si="38"/>
        <v>2</v>
      </c>
      <c r="K151" s="46"/>
    </row>
    <row r="152" ht="19.5" customHeight="1">
      <c r="A152" s="126">
        <v>6.0</v>
      </c>
      <c r="B152" s="37" t="s">
        <v>248</v>
      </c>
      <c r="C152" s="46" t="s">
        <v>106</v>
      </c>
      <c r="D152" s="78">
        <v>4.0</v>
      </c>
      <c r="E152" s="37">
        <v>1.0</v>
      </c>
      <c r="F152" s="78"/>
      <c r="G152" s="40"/>
      <c r="H152" s="40">
        <f t="shared" si="39"/>
        <v>4</v>
      </c>
      <c r="I152" s="42"/>
      <c r="J152" s="64">
        <f t="shared" si="38"/>
        <v>4</v>
      </c>
      <c r="K152" s="46"/>
    </row>
    <row r="153" ht="19.5" customHeight="1">
      <c r="A153" s="126">
        <v>7.0</v>
      </c>
      <c r="B153" s="37" t="s">
        <v>249</v>
      </c>
      <c r="C153" s="46" t="s">
        <v>106</v>
      </c>
      <c r="D153" s="78">
        <v>11.0</v>
      </c>
      <c r="E153" s="37">
        <v>1.0</v>
      </c>
      <c r="F153" s="78"/>
      <c r="G153" s="40"/>
      <c r="H153" s="40">
        <f t="shared" si="39"/>
        <v>11</v>
      </c>
      <c r="I153" s="42"/>
      <c r="J153" s="64">
        <f t="shared" si="38"/>
        <v>11</v>
      </c>
      <c r="K153" s="46"/>
    </row>
    <row r="154" ht="19.5" customHeight="1">
      <c r="A154" s="126">
        <v>8.0</v>
      </c>
      <c r="B154" s="37" t="s">
        <v>250</v>
      </c>
      <c r="C154" s="46" t="s">
        <v>106</v>
      </c>
      <c r="D154" s="123">
        <f>H153+H152+H151+H150+H149</f>
        <v>73</v>
      </c>
      <c r="E154" s="37">
        <v>1.0</v>
      </c>
      <c r="F154" s="40"/>
      <c r="G154" s="40"/>
      <c r="H154" s="40">
        <f t="shared" si="39"/>
        <v>73</v>
      </c>
      <c r="I154" s="40"/>
      <c r="J154" s="64">
        <f t="shared" si="38"/>
        <v>73</v>
      </c>
      <c r="K154" s="46"/>
    </row>
    <row r="155" ht="19.5" customHeight="1">
      <c r="A155" s="126">
        <v>9.0</v>
      </c>
      <c r="B155" s="37" t="s">
        <v>251</v>
      </c>
      <c r="C155" s="46" t="s">
        <v>106</v>
      </c>
      <c r="D155" s="123">
        <f>H148+H147</f>
        <v>72</v>
      </c>
      <c r="E155" s="37">
        <v>1.0</v>
      </c>
      <c r="F155" s="40"/>
      <c r="G155" s="40"/>
      <c r="H155" s="40">
        <f t="shared" si="39"/>
        <v>72</v>
      </c>
      <c r="I155" s="40"/>
      <c r="J155" s="64">
        <f t="shared" si="38"/>
        <v>72</v>
      </c>
      <c r="K155" s="46"/>
    </row>
    <row r="156" ht="19.5" customHeight="1">
      <c r="A156" s="126">
        <v>10.0</v>
      </c>
      <c r="B156" s="37" t="s">
        <v>252</v>
      </c>
      <c r="C156" s="46" t="s">
        <v>108</v>
      </c>
      <c r="D156" s="123">
        <v>600.0</v>
      </c>
      <c r="E156" s="37">
        <v>1.0</v>
      </c>
      <c r="F156" s="40"/>
      <c r="G156" s="40"/>
      <c r="H156" s="40">
        <f t="shared" si="39"/>
        <v>600</v>
      </c>
      <c r="I156" s="40"/>
      <c r="J156" s="64">
        <f t="shared" si="38"/>
        <v>600</v>
      </c>
      <c r="K156" s="46"/>
    </row>
    <row r="157" ht="19.5" customHeight="1">
      <c r="A157" s="126">
        <v>11.0</v>
      </c>
      <c r="B157" s="37" t="s">
        <v>253</v>
      </c>
      <c r="C157" s="46" t="s">
        <v>108</v>
      </c>
      <c r="D157" s="123">
        <v>2800.0</v>
      </c>
      <c r="E157" s="37">
        <v>1.0</v>
      </c>
      <c r="F157" s="40"/>
      <c r="G157" s="40"/>
      <c r="H157" s="40">
        <f t="shared" si="39"/>
        <v>2800</v>
      </c>
      <c r="I157" s="40"/>
      <c r="J157" s="64">
        <f t="shared" si="38"/>
        <v>2800</v>
      </c>
      <c r="K157" s="46"/>
    </row>
    <row r="158" ht="19.5" customHeight="1">
      <c r="A158" s="126">
        <v>12.0</v>
      </c>
      <c r="B158" s="37" t="s">
        <v>254</v>
      </c>
      <c r="C158" s="46" t="s">
        <v>108</v>
      </c>
      <c r="D158" s="123">
        <v>3000.0</v>
      </c>
      <c r="E158" s="37">
        <v>1.0</v>
      </c>
      <c r="F158" s="40"/>
      <c r="G158" s="40"/>
      <c r="H158" s="40">
        <f t="shared" si="39"/>
        <v>3000</v>
      </c>
      <c r="I158" s="40"/>
      <c r="J158" s="64">
        <f t="shared" si="38"/>
        <v>3000</v>
      </c>
      <c r="K158" s="46"/>
    </row>
    <row r="159" ht="19.5" customHeight="1">
      <c r="A159" s="126">
        <f t="shared" ref="A159:A165" si="40">A158+1</f>
        <v>13</v>
      </c>
      <c r="B159" s="37" t="s">
        <v>255</v>
      </c>
      <c r="C159" s="46" t="s">
        <v>108</v>
      </c>
      <c r="D159" s="123">
        <v>22.0</v>
      </c>
      <c r="E159" s="37">
        <v>19.0</v>
      </c>
      <c r="F159" s="40"/>
      <c r="G159" s="40"/>
      <c r="H159" s="40">
        <f t="shared" si="39"/>
        <v>418</v>
      </c>
      <c r="I159" s="40"/>
      <c r="J159" s="64">
        <f t="shared" si="38"/>
        <v>418</v>
      </c>
      <c r="K159" s="46"/>
    </row>
    <row r="160" ht="19.5" customHeight="1">
      <c r="A160" s="126">
        <f t="shared" si="40"/>
        <v>14</v>
      </c>
      <c r="B160" s="37" t="s">
        <v>256</v>
      </c>
      <c r="C160" s="46" t="s">
        <v>108</v>
      </c>
      <c r="D160" s="123">
        <v>100.0</v>
      </c>
      <c r="E160" s="37">
        <v>1.0</v>
      </c>
      <c r="F160" s="40"/>
      <c r="G160" s="40"/>
      <c r="H160" s="40">
        <f t="shared" si="39"/>
        <v>100</v>
      </c>
      <c r="I160" s="40"/>
      <c r="J160" s="64">
        <f t="shared" si="38"/>
        <v>100</v>
      </c>
      <c r="K160" s="46"/>
    </row>
    <row r="161" ht="19.5" customHeight="1">
      <c r="A161" s="126">
        <f t="shared" si="40"/>
        <v>15</v>
      </c>
      <c r="B161" s="37" t="s">
        <v>257</v>
      </c>
      <c r="C161" s="46" t="s">
        <v>106</v>
      </c>
      <c r="D161" s="123">
        <v>2.0</v>
      </c>
      <c r="E161" s="37">
        <v>1.0</v>
      </c>
      <c r="F161" s="40"/>
      <c r="G161" s="40"/>
      <c r="H161" s="40">
        <f t="shared" si="39"/>
        <v>2</v>
      </c>
      <c r="I161" s="40"/>
      <c r="J161" s="64">
        <f t="shared" si="38"/>
        <v>2</v>
      </c>
      <c r="K161" s="46"/>
    </row>
    <row r="162" ht="19.5" customHeight="1">
      <c r="A162" s="126">
        <f t="shared" si="40"/>
        <v>16</v>
      </c>
      <c r="B162" s="37" t="s">
        <v>258</v>
      </c>
      <c r="C162" s="46" t="s">
        <v>106</v>
      </c>
      <c r="D162" s="123">
        <v>6.0</v>
      </c>
      <c r="E162" s="37">
        <v>1.0</v>
      </c>
      <c r="F162" s="40"/>
      <c r="G162" s="40"/>
      <c r="H162" s="40">
        <f t="shared" si="39"/>
        <v>6</v>
      </c>
      <c r="I162" s="40"/>
      <c r="J162" s="64">
        <f t="shared" si="38"/>
        <v>6</v>
      </c>
      <c r="K162" s="46"/>
    </row>
    <row r="163" ht="19.5" customHeight="1">
      <c r="A163" s="126">
        <f t="shared" si="40"/>
        <v>17</v>
      </c>
      <c r="B163" s="37" t="s">
        <v>259</v>
      </c>
      <c r="C163" s="46" t="s">
        <v>108</v>
      </c>
      <c r="D163" s="123">
        <v>100.0</v>
      </c>
      <c r="E163" s="37">
        <v>1.0</v>
      </c>
      <c r="F163" s="40"/>
      <c r="G163" s="40"/>
      <c r="H163" s="40">
        <f t="shared" si="39"/>
        <v>100</v>
      </c>
      <c r="I163" s="40"/>
      <c r="J163" s="64">
        <f t="shared" si="38"/>
        <v>100</v>
      </c>
      <c r="K163" s="46"/>
    </row>
    <row r="164" ht="19.5" customHeight="1">
      <c r="A164" s="126">
        <f t="shared" si="40"/>
        <v>18</v>
      </c>
      <c r="B164" s="37" t="s">
        <v>260</v>
      </c>
      <c r="C164" s="46" t="s">
        <v>108</v>
      </c>
      <c r="D164" s="123">
        <v>84.64</v>
      </c>
      <c r="E164" s="37">
        <v>1.0</v>
      </c>
      <c r="F164" s="40"/>
      <c r="G164" s="40"/>
      <c r="H164" s="40">
        <f t="shared" si="39"/>
        <v>84.64</v>
      </c>
      <c r="I164" s="40"/>
      <c r="J164" s="64">
        <f t="shared" si="38"/>
        <v>84.64</v>
      </c>
      <c r="K164" s="46"/>
    </row>
    <row r="165" ht="19.5" customHeight="1">
      <c r="A165" s="126">
        <f t="shared" si="40"/>
        <v>19</v>
      </c>
      <c r="B165" s="37" t="s">
        <v>261</v>
      </c>
      <c r="C165" s="46" t="s">
        <v>106</v>
      </c>
      <c r="D165" s="123">
        <v>6.0</v>
      </c>
      <c r="E165" s="37">
        <v>1.0</v>
      </c>
      <c r="F165" s="40"/>
      <c r="G165" s="40"/>
      <c r="H165" s="40">
        <f t="shared" si="39"/>
        <v>6</v>
      </c>
      <c r="I165" s="40"/>
      <c r="J165" s="64">
        <f t="shared" si="38"/>
        <v>6</v>
      </c>
      <c r="K165" s="46"/>
    </row>
    <row r="166" ht="19.5" customHeight="1">
      <c r="A166" s="12"/>
      <c r="C166" s="12"/>
      <c r="D166" s="87"/>
      <c r="F166" s="14"/>
      <c r="G166" s="14"/>
      <c r="H166" s="14"/>
      <c r="I166" s="14"/>
      <c r="J166" s="14"/>
      <c r="K166" s="12"/>
    </row>
    <row r="167" ht="19.5" customHeight="1">
      <c r="A167" s="74" t="s">
        <v>1</v>
      </c>
      <c r="B167" s="74" t="s">
        <v>91</v>
      </c>
      <c r="C167" s="74" t="s">
        <v>92</v>
      </c>
      <c r="D167" s="76" t="s">
        <v>93</v>
      </c>
      <c r="E167" s="50" t="s">
        <v>161</v>
      </c>
      <c r="F167" s="53" t="s">
        <v>121</v>
      </c>
      <c r="G167" s="53" t="s">
        <v>99</v>
      </c>
      <c r="H167" s="53" t="s">
        <v>100</v>
      </c>
      <c r="I167" s="53" t="s">
        <v>101</v>
      </c>
      <c r="J167" s="76" t="s">
        <v>95</v>
      </c>
      <c r="K167" s="74" t="s">
        <v>96</v>
      </c>
    </row>
    <row r="168" ht="19.5" customHeight="1">
      <c r="A168" s="46">
        <v>1.0</v>
      </c>
      <c r="B168" s="37" t="s">
        <v>262</v>
      </c>
      <c r="C168" s="46" t="s">
        <v>108</v>
      </c>
      <c r="D168" s="78"/>
      <c r="E168" s="37"/>
      <c r="F168" s="78"/>
      <c r="G168" s="40"/>
      <c r="H168" s="40">
        <f t="shared" ref="H168:H191" si="41">E168*D168</f>
        <v>0</v>
      </c>
      <c r="I168" s="42"/>
      <c r="J168" s="64">
        <f t="shared" ref="J168:J191" si="42">H168</f>
        <v>0</v>
      </c>
      <c r="K168" s="46"/>
    </row>
    <row r="169" ht="19.5" customHeight="1">
      <c r="A169" s="46">
        <f t="shared" ref="A169:A191" si="43">A168+1</f>
        <v>2</v>
      </c>
      <c r="B169" s="37" t="s">
        <v>263</v>
      </c>
      <c r="C169" s="46" t="s">
        <v>108</v>
      </c>
      <c r="D169" s="123"/>
      <c r="E169" s="37"/>
      <c r="F169" s="40"/>
      <c r="G169" s="40"/>
      <c r="H169" s="40">
        <f t="shared" si="41"/>
        <v>0</v>
      </c>
      <c r="I169" s="40"/>
      <c r="J169" s="64">
        <f t="shared" si="42"/>
        <v>0</v>
      </c>
      <c r="K169" s="46"/>
    </row>
    <row r="170" ht="19.5" customHeight="1">
      <c r="A170" s="46">
        <f t="shared" si="43"/>
        <v>3</v>
      </c>
      <c r="B170" s="37" t="s">
        <v>264</v>
      </c>
      <c r="C170" s="46" t="s">
        <v>108</v>
      </c>
      <c r="D170" s="123"/>
      <c r="E170" s="37"/>
      <c r="F170" s="40"/>
      <c r="G170" s="40"/>
      <c r="H170" s="40">
        <f t="shared" si="41"/>
        <v>0</v>
      </c>
      <c r="I170" s="40"/>
      <c r="J170" s="64">
        <f t="shared" si="42"/>
        <v>0</v>
      </c>
      <c r="K170" s="46"/>
    </row>
    <row r="171" ht="19.5" customHeight="1">
      <c r="A171" s="46">
        <f t="shared" si="43"/>
        <v>4</v>
      </c>
      <c r="B171" s="37" t="s">
        <v>265</v>
      </c>
      <c r="C171" s="46" t="s">
        <v>106</v>
      </c>
      <c r="D171" s="123"/>
      <c r="E171" s="37"/>
      <c r="F171" s="40"/>
      <c r="G171" s="40"/>
      <c r="H171" s="40">
        <f t="shared" si="41"/>
        <v>0</v>
      </c>
      <c r="I171" s="40"/>
      <c r="J171" s="64">
        <f t="shared" si="42"/>
        <v>0</v>
      </c>
      <c r="K171" s="46"/>
    </row>
    <row r="172" ht="19.5" customHeight="1">
      <c r="A172" s="46">
        <f t="shared" si="43"/>
        <v>5</v>
      </c>
      <c r="B172" s="37" t="s">
        <v>266</v>
      </c>
      <c r="C172" s="46" t="s">
        <v>106</v>
      </c>
      <c r="D172" s="123"/>
      <c r="E172" s="37"/>
      <c r="F172" s="40"/>
      <c r="G172" s="40"/>
      <c r="H172" s="40">
        <f t="shared" si="41"/>
        <v>0</v>
      </c>
      <c r="I172" s="40"/>
      <c r="J172" s="64">
        <f t="shared" si="42"/>
        <v>0</v>
      </c>
      <c r="K172" s="46"/>
    </row>
    <row r="173" ht="19.5" customHeight="1">
      <c r="A173" s="46">
        <f t="shared" si="43"/>
        <v>6</v>
      </c>
      <c r="B173" s="37" t="s">
        <v>267</v>
      </c>
      <c r="C173" s="46" t="s">
        <v>106</v>
      </c>
      <c r="D173" s="123"/>
      <c r="E173" s="37"/>
      <c r="F173" s="40"/>
      <c r="G173" s="40"/>
      <c r="H173" s="40">
        <f t="shared" si="41"/>
        <v>0</v>
      </c>
      <c r="I173" s="40"/>
      <c r="J173" s="64">
        <f t="shared" si="42"/>
        <v>0</v>
      </c>
      <c r="K173" s="46"/>
    </row>
    <row r="174" ht="19.5" customHeight="1">
      <c r="A174" s="46">
        <f t="shared" si="43"/>
        <v>7</v>
      </c>
      <c r="B174" s="37" t="s">
        <v>268</v>
      </c>
      <c r="C174" s="46" t="s">
        <v>106</v>
      </c>
      <c r="D174" s="123"/>
      <c r="E174" s="37"/>
      <c r="F174" s="40"/>
      <c r="G174" s="40"/>
      <c r="H174" s="40">
        <f t="shared" si="41"/>
        <v>0</v>
      </c>
      <c r="I174" s="40"/>
      <c r="J174" s="64">
        <f t="shared" si="42"/>
        <v>0</v>
      </c>
      <c r="K174" s="46"/>
    </row>
    <row r="175" ht="19.5" customHeight="1">
      <c r="A175" s="46">
        <f t="shared" si="43"/>
        <v>8</v>
      </c>
      <c r="B175" s="37" t="s">
        <v>269</v>
      </c>
      <c r="C175" s="46" t="s">
        <v>106</v>
      </c>
      <c r="D175" s="123"/>
      <c r="E175" s="37"/>
      <c r="F175" s="40"/>
      <c r="G175" s="40"/>
      <c r="H175" s="40">
        <f t="shared" si="41"/>
        <v>0</v>
      </c>
      <c r="I175" s="40"/>
      <c r="J175" s="64">
        <f t="shared" si="42"/>
        <v>0</v>
      </c>
      <c r="K175" s="46"/>
    </row>
    <row r="176" ht="19.5" customHeight="1">
      <c r="A176" s="46">
        <f t="shared" si="43"/>
        <v>9</v>
      </c>
      <c r="B176" s="37" t="s">
        <v>270</v>
      </c>
      <c r="C176" s="46" t="s">
        <v>106</v>
      </c>
      <c r="D176" s="123"/>
      <c r="E176" s="37"/>
      <c r="F176" s="40"/>
      <c r="G176" s="40"/>
      <c r="H176" s="40">
        <f t="shared" si="41"/>
        <v>0</v>
      </c>
      <c r="I176" s="40"/>
      <c r="J176" s="64">
        <f t="shared" si="42"/>
        <v>0</v>
      </c>
      <c r="K176" s="46"/>
    </row>
    <row r="177" ht="19.5" customHeight="1">
      <c r="A177" s="46">
        <f t="shared" si="43"/>
        <v>10</v>
      </c>
      <c r="B177" s="37" t="s">
        <v>271</v>
      </c>
      <c r="C177" s="46" t="s">
        <v>106</v>
      </c>
      <c r="D177" s="123"/>
      <c r="E177" s="37"/>
      <c r="F177" s="40"/>
      <c r="G177" s="40"/>
      <c r="H177" s="40">
        <f t="shared" si="41"/>
        <v>0</v>
      </c>
      <c r="I177" s="40"/>
      <c r="J177" s="64">
        <f t="shared" si="42"/>
        <v>0</v>
      </c>
      <c r="K177" s="46"/>
    </row>
    <row r="178" ht="19.5" customHeight="1">
      <c r="A178" s="46">
        <f t="shared" si="43"/>
        <v>11</v>
      </c>
      <c r="B178" s="37" t="s">
        <v>272</v>
      </c>
      <c r="C178" s="46" t="s">
        <v>106</v>
      </c>
      <c r="D178" s="123"/>
      <c r="E178" s="37"/>
      <c r="F178" s="40"/>
      <c r="G178" s="40"/>
      <c r="H178" s="40">
        <f t="shared" si="41"/>
        <v>0</v>
      </c>
      <c r="I178" s="40"/>
      <c r="J178" s="64">
        <f t="shared" si="42"/>
        <v>0</v>
      </c>
      <c r="K178" s="46"/>
    </row>
    <row r="179" ht="19.5" customHeight="1">
      <c r="A179" s="46">
        <f t="shared" si="43"/>
        <v>12</v>
      </c>
      <c r="B179" s="37" t="s">
        <v>273</v>
      </c>
      <c r="C179" s="46" t="s">
        <v>106</v>
      </c>
      <c r="D179" s="123"/>
      <c r="E179" s="37"/>
      <c r="F179" s="40"/>
      <c r="G179" s="40"/>
      <c r="H179" s="40">
        <f t="shared" si="41"/>
        <v>0</v>
      </c>
      <c r="I179" s="40"/>
      <c r="J179" s="64">
        <f t="shared" si="42"/>
        <v>0</v>
      </c>
      <c r="K179" s="46"/>
    </row>
    <row r="180" ht="19.5" customHeight="1">
      <c r="A180" s="46">
        <f t="shared" si="43"/>
        <v>13</v>
      </c>
      <c r="B180" s="37" t="s">
        <v>274</v>
      </c>
      <c r="C180" s="46" t="s">
        <v>106</v>
      </c>
      <c r="D180" s="123"/>
      <c r="E180" s="37"/>
      <c r="F180" s="40"/>
      <c r="G180" s="40"/>
      <c r="H180" s="40">
        <f t="shared" si="41"/>
        <v>0</v>
      </c>
      <c r="I180" s="40"/>
      <c r="J180" s="64">
        <f t="shared" si="42"/>
        <v>0</v>
      </c>
      <c r="K180" s="46"/>
    </row>
    <row r="181" ht="19.5" customHeight="1">
      <c r="A181" s="46">
        <f t="shared" si="43"/>
        <v>14</v>
      </c>
      <c r="B181" s="37" t="s">
        <v>275</v>
      </c>
      <c r="C181" s="46" t="s">
        <v>106</v>
      </c>
      <c r="D181" s="123"/>
      <c r="E181" s="37"/>
      <c r="F181" s="40"/>
      <c r="G181" s="40"/>
      <c r="H181" s="40">
        <f t="shared" si="41"/>
        <v>0</v>
      </c>
      <c r="I181" s="40"/>
      <c r="J181" s="64">
        <f t="shared" si="42"/>
        <v>0</v>
      </c>
      <c r="K181" s="46"/>
    </row>
    <row r="182" ht="19.5" customHeight="1">
      <c r="A182" s="46">
        <f t="shared" si="43"/>
        <v>15</v>
      </c>
      <c r="B182" s="37" t="s">
        <v>276</v>
      </c>
      <c r="C182" s="46" t="s">
        <v>106</v>
      </c>
      <c r="D182" s="123"/>
      <c r="E182" s="37"/>
      <c r="F182" s="40"/>
      <c r="G182" s="40"/>
      <c r="H182" s="40">
        <f t="shared" si="41"/>
        <v>0</v>
      </c>
      <c r="I182" s="40"/>
      <c r="J182" s="64">
        <f t="shared" si="42"/>
        <v>0</v>
      </c>
      <c r="K182" s="46"/>
    </row>
    <row r="183" ht="19.5" customHeight="1">
      <c r="A183" s="46">
        <f t="shared" si="43"/>
        <v>16</v>
      </c>
      <c r="B183" s="37" t="s">
        <v>277</v>
      </c>
      <c r="C183" s="46" t="s">
        <v>106</v>
      </c>
      <c r="D183" s="123"/>
      <c r="E183" s="37"/>
      <c r="F183" s="40"/>
      <c r="G183" s="40"/>
      <c r="H183" s="40">
        <f t="shared" si="41"/>
        <v>0</v>
      </c>
      <c r="I183" s="40"/>
      <c r="J183" s="64">
        <f t="shared" si="42"/>
        <v>0</v>
      </c>
      <c r="K183" s="46"/>
    </row>
    <row r="184" ht="19.5" customHeight="1">
      <c r="A184" s="46">
        <f t="shared" si="43"/>
        <v>17</v>
      </c>
      <c r="B184" s="37" t="s">
        <v>278</v>
      </c>
      <c r="C184" s="46" t="s">
        <v>106</v>
      </c>
      <c r="D184" s="123"/>
      <c r="E184" s="37"/>
      <c r="F184" s="40"/>
      <c r="G184" s="40"/>
      <c r="H184" s="40">
        <f t="shared" si="41"/>
        <v>0</v>
      </c>
      <c r="I184" s="40"/>
      <c r="J184" s="64">
        <f t="shared" si="42"/>
        <v>0</v>
      </c>
      <c r="K184" s="46"/>
    </row>
    <row r="185" ht="19.5" customHeight="1">
      <c r="A185" s="46">
        <f t="shared" si="43"/>
        <v>18</v>
      </c>
      <c r="B185" s="37" t="s">
        <v>279</v>
      </c>
      <c r="C185" s="46" t="s">
        <v>106</v>
      </c>
      <c r="D185" s="123"/>
      <c r="E185" s="37"/>
      <c r="F185" s="40"/>
      <c r="G185" s="40"/>
      <c r="H185" s="40">
        <f t="shared" si="41"/>
        <v>0</v>
      </c>
      <c r="I185" s="40"/>
      <c r="J185" s="64">
        <f t="shared" si="42"/>
        <v>0</v>
      </c>
      <c r="K185" s="46"/>
    </row>
    <row r="186" ht="19.5" customHeight="1">
      <c r="A186" s="46">
        <f t="shared" si="43"/>
        <v>19</v>
      </c>
      <c r="B186" s="37" t="s">
        <v>280</v>
      </c>
      <c r="C186" s="46" t="s">
        <v>106</v>
      </c>
      <c r="D186" s="123"/>
      <c r="E186" s="37"/>
      <c r="F186" s="40"/>
      <c r="G186" s="40"/>
      <c r="H186" s="40">
        <f t="shared" si="41"/>
        <v>0</v>
      </c>
      <c r="I186" s="40"/>
      <c r="J186" s="64">
        <f t="shared" si="42"/>
        <v>0</v>
      </c>
      <c r="K186" s="46"/>
    </row>
    <row r="187" ht="19.5" customHeight="1">
      <c r="A187" s="46">
        <f t="shared" si="43"/>
        <v>20</v>
      </c>
      <c r="B187" s="37" t="s">
        <v>281</v>
      </c>
      <c r="C187" s="46" t="s">
        <v>106</v>
      </c>
      <c r="D187" s="123"/>
      <c r="E187" s="37"/>
      <c r="F187" s="40"/>
      <c r="G187" s="40"/>
      <c r="H187" s="40">
        <f t="shared" si="41"/>
        <v>0</v>
      </c>
      <c r="I187" s="40"/>
      <c r="J187" s="64">
        <f t="shared" si="42"/>
        <v>0</v>
      </c>
      <c r="K187" s="46"/>
    </row>
    <row r="188" ht="19.5" customHeight="1">
      <c r="A188" s="46">
        <f t="shared" si="43"/>
        <v>21</v>
      </c>
      <c r="B188" s="37" t="s">
        <v>378</v>
      </c>
      <c r="C188" s="46" t="s">
        <v>106</v>
      </c>
      <c r="D188" s="123"/>
      <c r="E188" s="37"/>
      <c r="F188" s="40"/>
      <c r="G188" s="40"/>
      <c r="H188" s="40">
        <f t="shared" si="41"/>
        <v>0</v>
      </c>
      <c r="I188" s="40"/>
      <c r="J188" s="64">
        <f t="shared" si="42"/>
        <v>0</v>
      </c>
      <c r="K188" s="46"/>
    </row>
    <row r="189" ht="19.5" customHeight="1">
      <c r="A189" s="46">
        <f t="shared" si="43"/>
        <v>22</v>
      </c>
      <c r="B189" s="37" t="s">
        <v>284</v>
      </c>
      <c r="C189" s="46" t="s">
        <v>106</v>
      </c>
      <c r="D189" s="123"/>
      <c r="E189" s="37"/>
      <c r="F189" s="40"/>
      <c r="G189" s="40"/>
      <c r="H189" s="40">
        <f t="shared" si="41"/>
        <v>0</v>
      </c>
      <c r="I189" s="40"/>
      <c r="J189" s="64">
        <f t="shared" si="42"/>
        <v>0</v>
      </c>
      <c r="K189" s="46"/>
    </row>
    <row r="190" ht="19.5" customHeight="1">
      <c r="A190" s="46">
        <f t="shared" si="43"/>
        <v>23</v>
      </c>
      <c r="B190" s="37" t="s">
        <v>285</v>
      </c>
      <c r="C190" s="46" t="s">
        <v>106</v>
      </c>
      <c r="D190" s="123"/>
      <c r="E190" s="37"/>
      <c r="F190" s="40"/>
      <c r="G190" s="40"/>
      <c r="H190" s="40">
        <f t="shared" si="41"/>
        <v>0</v>
      </c>
      <c r="I190" s="40"/>
      <c r="J190" s="64">
        <f t="shared" si="42"/>
        <v>0</v>
      </c>
      <c r="K190" s="79"/>
    </row>
    <row r="191" ht="19.5" customHeight="1">
      <c r="A191" s="46">
        <f t="shared" si="43"/>
        <v>24</v>
      </c>
      <c r="B191" s="37" t="s">
        <v>286</v>
      </c>
      <c r="C191" s="46" t="s">
        <v>106</v>
      </c>
      <c r="D191" s="123"/>
      <c r="E191" s="37"/>
      <c r="F191" s="40"/>
      <c r="G191" s="40"/>
      <c r="H191" s="40">
        <f t="shared" si="41"/>
        <v>0</v>
      </c>
      <c r="I191" s="40"/>
      <c r="J191" s="64">
        <f t="shared" si="42"/>
        <v>0</v>
      </c>
      <c r="K191" s="79"/>
    </row>
    <row r="192" ht="19.5" customHeight="1">
      <c r="A192" s="74" t="s">
        <v>1</v>
      </c>
      <c r="B192" s="74" t="s">
        <v>91</v>
      </c>
      <c r="C192" s="74" t="s">
        <v>92</v>
      </c>
      <c r="D192" s="76" t="s">
        <v>93</v>
      </c>
      <c r="E192" s="50" t="s">
        <v>161</v>
      </c>
      <c r="F192" s="53" t="s">
        <v>121</v>
      </c>
      <c r="G192" s="53" t="s">
        <v>99</v>
      </c>
      <c r="H192" s="53" t="s">
        <v>100</v>
      </c>
      <c r="I192" s="53" t="s">
        <v>101</v>
      </c>
      <c r="J192" s="76" t="s">
        <v>95</v>
      </c>
      <c r="K192" s="74" t="s">
        <v>96</v>
      </c>
    </row>
    <row r="193" ht="19.5" customHeight="1">
      <c r="A193" s="46">
        <v>1.0</v>
      </c>
      <c r="B193" s="37" t="s">
        <v>287</v>
      </c>
      <c r="C193" s="46" t="s">
        <v>108</v>
      </c>
      <c r="D193" s="78"/>
      <c r="E193" s="37"/>
      <c r="F193" s="78"/>
      <c r="G193" s="40"/>
      <c r="H193" s="40">
        <f t="shared" ref="H193:H233" si="44">E193*D193</f>
        <v>0</v>
      </c>
      <c r="I193" s="42"/>
      <c r="J193" s="64">
        <f t="shared" ref="J193:J233" si="45">H193</f>
        <v>0</v>
      </c>
      <c r="K193" s="46"/>
    </row>
    <row r="194" ht="19.5" customHeight="1">
      <c r="A194" s="46">
        <f t="shared" ref="A194:A233" si="46">A193+1</f>
        <v>2</v>
      </c>
      <c r="B194" s="37" t="s">
        <v>288</v>
      </c>
      <c r="C194" s="46" t="s">
        <v>108</v>
      </c>
      <c r="D194" s="78"/>
      <c r="E194" s="37"/>
      <c r="F194" s="78"/>
      <c r="G194" s="40"/>
      <c r="H194" s="40">
        <f t="shared" si="44"/>
        <v>0</v>
      </c>
      <c r="I194" s="42"/>
      <c r="J194" s="64">
        <f t="shared" si="45"/>
        <v>0</v>
      </c>
      <c r="K194" s="46"/>
    </row>
    <row r="195" ht="19.5" customHeight="1">
      <c r="A195" s="46">
        <f t="shared" si="46"/>
        <v>3</v>
      </c>
      <c r="B195" s="37" t="s">
        <v>289</v>
      </c>
      <c r="C195" s="46" t="s">
        <v>108</v>
      </c>
      <c r="D195" s="78"/>
      <c r="E195" s="37"/>
      <c r="F195" s="78"/>
      <c r="G195" s="40"/>
      <c r="H195" s="40">
        <f t="shared" si="44"/>
        <v>0</v>
      </c>
      <c r="I195" s="42"/>
      <c r="J195" s="64">
        <f t="shared" si="45"/>
        <v>0</v>
      </c>
      <c r="K195" s="46"/>
    </row>
    <row r="196" ht="19.5" customHeight="1">
      <c r="A196" s="46">
        <f t="shared" si="46"/>
        <v>4</v>
      </c>
      <c r="B196" s="37" t="s">
        <v>263</v>
      </c>
      <c r="C196" s="46" t="s">
        <v>108</v>
      </c>
      <c r="D196" s="78"/>
      <c r="E196" s="37"/>
      <c r="F196" s="78"/>
      <c r="G196" s="40"/>
      <c r="H196" s="40">
        <f t="shared" si="44"/>
        <v>0</v>
      </c>
      <c r="I196" s="42"/>
      <c r="J196" s="64">
        <f t="shared" si="45"/>
        <v>0</v>
      </c>
      <c r="K196" s="46"/>
    </row>
    <row r="197" ht="19.5" customHeight="1">
      <c r="A197" s="46">
        <f t="shared" si="46"/>
        <v>5</v>
      </c>
      <c r="B197" s="37" t="s">
        <v>264</v>
      </c>
      <c r="C197" s="46" t="s">
        <v>108</v>
      </c>
      <c r="D197" s="123"/>
      <c r="E197" s="37"/>
      <c r="F197" s="40"/>
      <c r="G197" s="40"/>
      <c r="H197" s="40">
        <f t="shared" si="44"/>
        <v>0</v>
      </c>
      <c r="I197" s="40"/>
      <c r="J197" s="64">
        <f t="shared" si="45"/>
        <v>0</v>
      </c>
      <c r="K197" s="46"/>
    </row>
    <row r="198" ht="19.5" customHeight="1">
      <c r="A198" s="46">
        <f t="shared" si="46"/>
        <v>6</v>
      </c>
      <c r="B198" s="37" t="s">
        <v>290</v>
      </c>
      <c r="C198" s="46" t="s">
        <v>108</v>
      </c>
      <c r="D198" s="123"/>
      <c r="E198" s="37"/>
      <c r="F198" s="40"/>
      <c r="G198" s="40"/>
      <c r="H198" s="40">
        <f t="shared" si="44"/>
        <v>0</v>
      </c>
      <c r="I198" s="40"/>
      <c r="J198" s="64">
        <f t="shared" si="45"/>
        <v>0</v>
      </c>
      <c r="K198" s="46"/>
    </row>
    <row r="199" ht="19.5" customHeight="1">
      <c r="A199" s="46">
        <f t="shared" si="46"/>
        <v>7</v>
      </c>
      <c r="B199" s="37" t="s">
        <v>291</v>
      </c>
      <c r="C199" s="46" t="s">
        <v>108</v>
      </c>
      <c r="D199" s="123"/>
      <c r="E199" s="37"/>
      <c r="F199" s="40"/>
      <c r="G199" s="40"/>
      <c r="H199" s="40">
        <f t="shared" si="44"/>
        <v>0</v>
      </c>
      <c r="I199" s="40"/>
      <c r="J199" s="64">
        <f t="shared" si="45"/>
        <v>0</v>
      </c>
      <c r="K199" s="46"/>
    </row>
    <row r="200" ht="19.5" customHeight="1">
      <c r="A200" s="46">
        <f t="shared" si="46"/>
        <v>8</v>
      </c>
      <c r="B200" s="37" t="s">
        <v>292</v>
      </c>
      <c r="C200" s="46" t="s">
        <v>106</v>
      </c>
      <c r="D200" s="123"/>
      <c r="E200" s="37"/>
      <c r="F200" s="40"/>
      <c r="G200" s="40"/>
      <c r="H200" s="40">
        <f t="shared" si="44"/>
        <v>0</v>
      </c>
      <c r="I200" s="40"/>
      <c r="J200" s="64">
        <f t="shared" si="45"/>
        <v>0</v>
      </c>
      <c r="K200" s="46"/>
    </row>
    <row r="201" ht="19.5" customHeight="1">
      <c r="A201" s="46">
        <f t="shared" si="46"/>
        <v>9</v>
      </c>
      <c r="B201" s="37" t="s">
        <v>293</v>
      </c>
      <c r="C201" s="46" t="s">
        <v>106</v>
      </c>
      <c r="D201" s="123"/>
      <c r="E201" s="37"/>
      <c r="F201" s="40"/>
      <c r="G201" s="40"/>
      <c r="H201" s="40">
        <f t="shared" si="44"/>
        <v>0</v>
      </c>
      <c r="I201" s="40"/>
      <c r="J201" s="64">
        <f t="shared" si="45"/>
        <v>0</v>
      </c>
      <c r="K201" s="46"/>
    </row>
    <row r="202" ht="19.5" customHeight="1">
      <c r="A202" s="46">
        <f t="shared" si="46"/>
        <v>10</v>
      </c>
      <c r="B202" s="37" t="s">
        <v>294</v>
      </c>
      <c r="C202" s="46" t="s">
        <v>106</v>
      </c>
      <c r="D202" s="123"/>
      <c r="E202" s="37"/>
      <c r="F202" s="40"/>
      <c r="G202" s="40"/>
      <c r="H202" s="40">
        <f t="shared" si="44"/>
        <v>0</v>
      </c>
      <c r="I202" s="40"/>
      <c r="J202" s="64">
        <f t="shared" si="45"/>
        <v>0</v>
      </c>
      <c r="K202" s="46"/>
    </row>
    <row r="203" ht="19.5" customHeight="1">
      <c r="A203" s="46">
        <f t="shared" si="46"/>
        <v>11</v>
      </c>
      <c r="B203" s="37" t="s">
        <v>295</v>
      </c>
      <c r="C203" s="46" t="s">
        <v>106</v>
      </c>
      <c r="D203" s="123"/>
      <c r="E203" s="37"/>
      <c r="F203" s="40"/>
      <c r="G203" s="40"/>
      <c r="H203" s="40">
        <f t="shared" si="44"/>
        <v>0</v>
      </c>
      <c r="I203" s="40"/>
      <c r="J203" s="64">
        <f t="shared" si="45"/>
        <v>0</v>
      </c>
      <c r="K203" s="46"/>
    </row>
    <row r="204" ht="19.5" customHeight="1">
      <c r="A204" s="46">
        <f t="shared" si="46"/>
        <v>12</v>
      </c>
      <c r="B204" s="37" t="s">
        <v>270</v>
      </c>
      <c r="C204" s="46" t="s">
        <v>106</v>
      </c>
      <c r="D204" s="123"/>
      <c r="E204" s="37"/>
      <c r="F204" s="40"/>
      <c r="G204" s="40"/>
      <c r="H204" s="40">
        <f t="shared" si="44"/>
        <v>0</v>
      </c>
      <c r="I204" s="40"/>
      <c r="J204" s="64">
        <f t="shared" si="45"/>
        <v>0</v>
      </c>
      <c r="K204" s="46"/>
    </row>
    <row r="205" ht="19.5" customHeight="1">
      <c r="A205" s="46">
        <f t="shared" si="46"/>
        <v>13</v>
      </c>
      <c r="B205" s="37" t="s">
        <v>296</v>
      </c>
      <c r="C205" s="46" t="s">
        <v>106</v>
      </c>
      <c r="D205" s="123"/>
      <c r="E205" s="37"/>
      <c r="F205" s="40"/>
      <c r="G205" s="40"/>
      <c r="H205" s="40">
        <f t="shared" si="44"/>
        <v>0</v>
      </c>
      <c r="I205" s="40"/>
      <c r="J205" s="64">
        <f t="shared" si="45"/>
        <v>0</v>
      </c>
      <c r="K205" s="46"/>
    </row>
    <row r="206" ht="19.5" customHeight="1">
      <c r="A206" s="46">
        <f t="shared" si="46"/>
        <v>14</v>
      </c>
      <c r="B206" s="37" t="s">
        <v>297</v>
      </c>
      <c r="C206" s="46" t="s">
        <v>106</v>
      </c>
      <c r="D206" s="123"/>
      <c r="E206" s="37"/>
      <c r="F206" s="40"/>
      <c r="G206" s="40"/>
      <c r="H206" s="40">
        <f t="shared" si="44"/>
        <v>0</v>
      </c>
      <c r="I206" s="40"/>
      <c r="J206" s="64">
        <f t="shared" si="45"/>
        <v>0</v>
      </c>
      <c r="K206" s="46"/>
    </row>
    <row r="207" ht="19.5" customHeight="1">
      <c r="A207" s="46">
        <f t="shared" si="46"/>
        <v>15</v>
      </c>
      <c r="B207" s="37" t="s">
        <v>298</v>
      </c>
      <c r="C207" s="46" t="s">
        <v>106</v>
      </c>
      <c r="D207" s="123"/>
      <c r="E207" s="37"/>
      <c r="F207" s="40"/>
      <c r="G207" s="40"/>
      <c r="H207" s="40">
        <f t="shared" si="44"/>
        <v>0</v>
      </c>
      <c r="I207" s="40"/>
      <c r="J207" s="64">
        <f t="shared" si="45"/>
        <v>0</v>
      </c>
      <c r="K207" s="46"/>
    </row>
    <row r="208" ht="19.5" customHeight="1">
      <c r="A208" s="46">
        <f t="shared" si="46"/>
        <v>16</v>
      </c>
      <c r="B208" s="37" t="s">
        <v>299</v>
      </c>
      <c r="C208" s="46" t="s">
        <v>106</v>
      </c>
      <c r="D208" s="123"/>
      <c r="E208" s="37"/>
      <c r="F208" s="40"/>
      <c r="G208" s="40"/>
      <c r="H208" s="40">
        <f t="shared" si="44"/>
        <v>0</v>
      </c>
      <c r="I208" s="40"/>
      <c r="J208" s="64">
        <f t="shared" si="45"/>
        <v>0</v>
      </c>
      <c r="K208" s="46"/>
    </row>
    <row r="209" ht="19.5" customHeight="1">
      <c r="A209" s="46">
        <f t="shared" si="46"/>
        <v>17</v>
      </c>
      <c r="B209" s="37" t="s">
        <v>300</v>
      </c>
      <c r="C209" s="46" t="s">
        <v>106</v>
      </c>
      <c r="D209" s="123"/>
      <c r="E209" s="37"/>
      <c r="F209" s="40"/>
      <c r="G209" s="40"/>
      <c r="H209" s="40">
        <f t="shared" si="44"/>
        <v>0</v>
      </c>
      <c r="I209" s="40"/>
      <c r="J209" s="64">
        <f t="shared" si="45"/>
        <v>0</v>
      </c>
      <c r="K209" s="46"/>
    </row>
    <row r="210" ht="19.5" customHeight="1">
      <c r="A210" s="46">
        <f t="shared" si="46"/>
        <v>18</v>
      </c>
      <c r="B210" s="37" t="s">
        <v>301</v>
      </c>
      <c r="C210" s="46" t="s">
        <v>106</v>
      </c>
      <c r="D210" s="123"/>
      <c r="E210" s="37"/>
      <c r="F210" s="40"/>
      <c r="G210" s="40"/>
      <c r="H210" s="40">
        <f t="shared" si="44"/>
        <v>0</v>
      </c>
      <c r="I210" s="40"/>
      <c r="J210" s="64">
        <f t="shared" si="45"/>
        <v>0</v>
      </c>
      <c r="K210" s="46"/>
    </row>
    <row r="211" ht="19.5" customHeight="1">
      <c r="A211" s="46">
        <f t="shared" si="46"/>
        <v>19</v>
      </c>
      <c r="B211" s="37" t="s">
        <v>302</v>
      </c>
      <c r="C211" s="46" t="s">
        <v>106</v>
      </c>
      <c r="D211" s="123"/>
      <c r="E211" s="37"/>
      <c r="F211" s="40"/>
      <c r="G211" s="40"/>
      <c r="H211" s="40">
        <f t="shared" si="44"/>
        <v>0</v>
      </c>
      <c r="I211" s="40"/>
      <c r="J211" s="64">
        <f t="shared" si="45"/>
        <v>0</v>
      </c>
      <c r="K211" s="46"/>
    </row>
    <row r="212" ht="19.5" customHeight="1">
      <c r="A212" s="46">
        <f t="shared" si="46"/>
        <v>20</v>
      </c>
      <c r="B212" s="37" t="s">
        <v>303</v>
      </c>
      <c r="C212" s="46" t="s">
        <v>106</v>
      </c>
      <c r="D212" s="123"/>
      <c r="E212" s="37"/>
      <c r="F212" s="40"/>
      <c r="G212" s="40"/>
      <c r="H212" s="40">
        <f t="shared" si="44"/>
        <v>0</v>
      </c>
      <c r="I212" s="40"/>
      <c r="J212" s="64">
        <f t="shared" si="45"/>
        <v>0</v>
      </c>
      <c r="K212" s="46"/>
    </row>
    <row r="213" ht="19.5" customHeight="1">
      <c r="A213" s="46">
        <f t="shared" si="46"/>
        <v>21</v>
      </c>
      <c r="B213" s="37" t="s">
        <v>304</v>
      </c>
      <c r="C213" s="46" t="s">
        <v>106</v>
      </c>
      <c r="D213" s="123"/>
      <c r="E213" s="37"/>
      <c r="F213" s="40"/>
      <c r="G213" s="40"/>
      <c r="H213" s="40">
        <f t="shared" si="44"/>
        <v>0</v>
      </c>
      <c r="I213" s="40"/>
      <c r="J213" s="64">
        <f t="shared" si="45"/>
        <v>0</v>
      </c>
      <c r="K213" s="46"/>
    </row>
    <row r="214" ht="19.5" customHeight="1">
      <c r="A214" s="46">
        <f t="shared" si="46"/>
        <v>22</v>
      </c>
      <c r="B214" s="37" t="s">
        <v>305</v>
      </c>
      <c r="C214" s="46" t="s">
        <v>106</v>
      </c>
      <c r="D214" s="123"/>
      <c r="E214" s="37"/>
      <c r="F214" s="40"/>
      <c r="G214" s="40"/>
      <c r="H214" s="40">
        <f t="shared" si="44"/>
        <v>0</v>
      </c>
      <c r="I214" s="40"/>
      <c r="J214" s="64">
        <f t="shared" si="45"/>
        <v>0</v>
      </c>
      <c r="K214" s="46"/>
    </row>
    <row r="215" ht="19.5" customHeight="1">
      <c r="A215" s="46">
        <f t="shared" si="46"/>
        <v>23</v>
      </c>
      <c r="B215" s="37" t="s">
        <v>306</v>
      </c>
      <c r="C215" s="46" t="s">
        <v>106</v>
      </c>
      <c r="D215" s="123"/>
      <c r="E215" s="37"/>
      <c r="F215" s="40"/>
      <c r="G215" s="40"/>
      <c r="H215" s="40">
        <f t="shared" si="44"/>
        <v>0</v>
      </c>
      <c r="I215" s="40"/>
      <c r="J215" s="64">
        <f t="shared" si="45"/>
        <v>0</v>
      </c>
      <c r="K215" s="46"/>
    </row>
    <row r="216" ht="19.5" customHeight="1">
      <c r="A216" s="46">
        <f t="shared" si="46"/>
        <v>24</v>
      </c>
      <c r="B216" s="37" t="s">
        <v>307</v>
      </c>
      <c r="C216" s="46" t="s">
        <v>106</v>
      </c>
      <c r="D216" s="123"/>
      <c r="E216" s="37"/>
      <c r="F216" s="40"/>
      <c r="G216" s="40"/>
      <c r="H216" s="40">
        <f t="shared" si="44"/>
        <v>0</v>
      </c>
      <c r="I216" s="40"/>
      <c r="J216" s="64">
        <f t="shared" si="45"/>
        <v>0</v>
      </c>
      <c r="K216" s="46"/>
    </row>
    <row r="217" ht="19.5" customHeight="1">
      <c r="A217" s="46">
        <f t="shared" si="46"/>
        <v>25</v>
      </c>
      <c r="B217" s="37" t="s">
        <v>308</v>
      </c>
      <c r="C217" s="46" t="s">
        <v>106</v>
      </c>
      <c r="D217" s="123"/>
      <c r="E217" s="37"/>
      <c r="F217" s="40"/>
      <c r="G217" s="40"/>
      <c r="H217" s="40">
        <f t="shared" si="44"/>
        <v>0</v>
      </c>
      <c r="I217" s="40"/>
      <c r="J217" s="64">
        <f t="shared" si="45"/>
        <v>0</v>
      </c>
      <c r="K217" s="46"/>
    </row>
    <row r="218" ht="19.5" customHeight="1">
      <c r="A218" s="46">
        <f t="shared" si="46"/>
        <v>26</v>
      </c>
      <c r="B218" s="37" t="s">
        <v>309</v>
      </c>
      <c r="C218" s="46" t="s">
        <v>106</v>
      </c>
      <c r="D218" s="123"/>
      <c r="E218" s="37"/>
      <c r="F218" s="40"/>
      <c r="G218" s="40"/>
      <c r="H218" s="40">
        <f t="shared" si="44"/>
        <v>0</v>
      </c>
      <c r="I218" s="40"/>
      <c r="J218" s="64">
        <f t="shared" si="45"/>
        <v>0</v>
      </c>
      <c r="K218" s="46"/>
    </row>
    <row r="219" ht="19.5" customHeight="1">
      <c r="A219" s="46">
        <f t="shared" si="46"/>
        <v>27</v>
      </c>
      <c r="B219" s="37" t="s">
        <v>310</v>
      </c>
      <c r="C219" s="46" t="s">
        <v>106</v>
      </c>
      <c r="D219" s="123"/>
      <c r="E219" s="37"/>
      <c r="F219" s="40"/>
      <c r="G219" s="40"/>
      <c r="H219" s="40">
        <f t="shared" si="44"/>
        <v>0</v>
      </c>
      <c r="I219" s="40"/>
      <c r="J219" s="64">
        <f t="shared" si="45"/>
        <v>0</v>
      </c>
      <c r="K219" s="46"/>
    </row>
    <row r="220" ht="19.5" customHeight="1">
      <c r="A220" s="46">
        <f t="shared" si="46"/>
        <v>28</v>
      </c>
      <c r="B220" s="37" t="s">
        <v>311</v>
      </c>
      <c r="C220" s="46" t="s">
        <v>106</v>
      </c>
      <c r="D220" s="123"/>
      <c r="E220" s="37"/>
      <c r="F220" s="40"/>
      <c r="G220" s="40"/>
      <c r="H220" s="40">
        <f t="shared" si="44"/>
        <v>0</v>
      </c>
      <c r="I220" s="40"/>
      <c r="J220" s="64">
        <f t="shared" si="45"/>
        <v>0</v>
      </c>
      <c r="K220" s="46"/>
    </row>
    <row r="221" ht="19.5" customHeight="1">
      <c r="A221" s="46">
        <f t="shared" si="46"/>
        <v>29</v>
      </c>
      <c r="B221" s="37" t="s">
        <v>312</v>
      </c>
      <c r="C221" s="46" t="s">
        <v>106</v>
      </c>
      <c r="D221" s="123"/>
      <c r="E221" s="37"/>
      <c r="F221" s="40"/>
      <c r="G221" s="40"/>
      <c r="H221" s="40">
        <f t="shared" si="44"/>
        <v>0</v>
      </c>
      <c r="I221" s="40"/>
      <c r="J221" s="64">
        <f t="shared" si="45"/>
        <v>0</v>
      </c>
      <c r="K221" s="46"/>
    </row>
    <row r="222" ht="19.5" customHeight="1">
      <c r="A222" s="46">
        <f t="shared" si="46"/>
        <v>30</v>
      </c>
      <c r="B222" s="37" t="s">
        <v>313</v>
      </c>
      <c r="C222" s="46" t="s">
        <v>106</v>
      </c>
      <c r="D222" s="123"/>
      <c r="E222" s="37"/>
      <c r="F222" s="40"/>
      <c r="G222" s="40"/>
      <c r="H222" s="40">
        <f t="shared" si="44"/>
        <v>0</v>
      </c>
      <c r="I222" s="40"/>
      <c r="J222" s="64">
        <f t="shared" si="45"/>
        <v>0</v>
      </c>
      <c r="K222" s="46"/>
    </row>
    <row r="223" ht="19.5" customHeight="1">
      <c r="A223" s="46">
        <f t="shared" si="46"/>
        <v>31</v>
      </c>
      <c r="B223" s="37" t="s">
        <v>314</v>
      </c>
      <c r="C223" s="46" t="s">
        <v>106</v>
      </c>
      <c r="D223" s="123"/>
      <c r="E223" s="37"/>
      <c r="F223" s="40"/>
      <c r="G223" s="40"/>
      <c r="H223" s="40">
        <f t="shared" si="44"/>
        <v>0</v>
      </c>
      <c r="I223" s="40"/>
      <c r="J223" s="64">
        <f t="shared" si="45"/>
        <v>0</v>
      </c>
      <c r="K223" s="46"/>
    </row>
    <row r="224" ht="19.5" customHeight="1">
      <c r="A224" s="46">
        <f t="shared" si="46"/>
        <v>32</v>
      </c>
      <c r="B224" s="37" t="s">
        <v>315</v>
      </c>
      <c r="C224" s="46" t="s">
        <v>106</v>
      </c>
      <c r="D224" s="123"/>
      <c r="E224" s="37"/>
      <c r="F224" s="40"/>
      <c r="G224" s="40"/>
      <c r="H224" s="40">
        <f t="shared" si="44"/>
        <v>0</v>
      </c>
      <c r="I224" s="40"/>
      <c r="J224" s="64">
        <f t="shared" si="45"/>
        <v>0</v>
      </c>
      <c r="K224" s="46"/>
    </row>
    <row r="225" ht="19.5" customHeight="1">
      <c r="A225" s="46">
        <f t="shared" si="46"/>
        <v>33</v>
      </c>
      <c r="B225" s="37" t="s">
        <v>316</v>
      </c>
      <c r="C225" s="46" t="s">
        <v>106</v>
      </c>
      <c r="D225" s="123"/>
      <c r="E225" s="37"/>
      <c r="F225" s="40"/>
      <c r="G225" s="40"/>
      <c r="H225" s="40">
        <f t="shared" si="44"/>
        <v>0</v>
      </c>
      <c r="I225" s="40"/>
      <c r="J225" s="64">
        <f t="shared" si="45"/>
        <v>0</v>
      </c>
      <c r="K225" s="46"/>
    </row>
    <row r="226" ht="19.5" customHeight="1">
      <c r="A226" s="46">
        <f t="shared" si="46"/>
        <v>34</v>
      </c>
      <c r="B226" s="37" t="s">
        <v>317</v>
      </c>
      <c r="C226" s="46" t="s">
        <v>106</v>
      </c>
      <c r="D226" s="123"/>
      <c r="E226" s="37"/>
      <c r="F226" s="40"/>
      <c r="G226" s="40"/>
      <c r="H226" s="40">
        <f t="shared" si="44"/>
        <v>0</v>
      </c>
      <c r="I226" s="40"/>
      <c r="J226" s="64">
        <f t="shared" si="45"/>
        <v>0</v>
      </c>
      <c r="K226" s="46"/>
    </row>
    <row r="227" ht="19.5" customHeight="1">
      <c r="A227" s="46">
        <f t="shared" si="46"/>
        <v>35</v>
      </c>
      <c r="B227" s="37" t="s">
        <v>318</v>
      </c>
      <c r="C227" s="46" t="s">
        <v>106</v>
      </c>
      <c r="D227" s="123"/>
      <c r="E227" s="37"/>
      <c r="F227" s="40"/>
      <c r="G227" s="40"/>
      <c r="H227" s="40">
        <f t="shared" si="44"/>
        <v>0</v>
      </c>
      <c r="I227" s="40"/>
      <c r="J227" s="64">
        <f t="shared" si="45"/>
        <v>0</v>
      </c>
      <c r="K227" s="46"/>
    </row>
    <row r="228" ht="19.5" customHeight="1">
      <c r="A228" s="46">
        <f t="shared" si="46"/>
        <v>36</v>
      </c>
      <c r="B228" s="37" t="s">
        <v>319</v>
      </c>
      <c r="C228" s="46" t="s">
        <v>106</v>
      </c>
      <c r="D228" s="123"/>
      <c r="E228" s="37"/>
      <c r="F228" s="40"/>
      <c r="G228" s="40"/>
      <c r="H228" s="40">
        <f t="shared" si="44"/>
        <v>0</v>
      </c>
      <c r="I228" s="40"/>
      <c r="J228" s="64">
        <f t="shared" si="45"/>
        <v>0</v>
      </c>
      <c r="K228" s="46"/>
    </row>
    <row r="229" ht="19.5" customHeight="1">
      <c r="A229" s="46">
        <f t="shared" si="46"/>
        <v>37</v>
      </c>
      <c r="B229" s="37" t="s">
        <v>320</v>
      </c>
      <c r="C229" s="46" t="s">
        <v>106</v>
      </c>
      <c r="D229" s="123"/>
      <c r="E229" s="37"/>
      <c r="F229" s="40"/>
      <c r="G229" s="40"/>
      <c r="H229" s="40">
        <f t="shared" si="44"/>
        <v>0</v>
      </c>
      <c r="I229" s="40"/>
      <c r="J229" s="64">
        <f t="shared" si="45"/>
        <v>0</v>
      </c>
      <c r="K229" s="46"/>
    </row>
    <row r="230" ht="19.5" customHeight="1">
      <c r="A230" s="46">
        <f t="shared" si="46"/>
        <v>38</v>
      </c>
      <c r="B230" s="37" t="s">
        <v>321</v>
      </c>
      <c r="C230" s="46" t="s">
        <v>106</v>
      </c>
      <c r="D230" s="123"/>
      <c r="E230" s="37"/>
      <c r="F230" s="40"/>
      <c r="G230" s="40"/>
      <c r="H230" s="40">
        <f t="shared" si="44"/>
        <v>0</v>
      </c>
      <c r="I230" s="40"/>
      <c r="J230" s="64">
        <f t="shared" si="45"/>
        <v>0</v>
      </c>
      <c r="K230" s="46"/>
    </row>
    <row r="231" ht="19.5" customHeight="1">
      <c r="A231" s="46">
        <f t="shared" si="46"/>
        <v>39</v>
      </c>
      <c r="B231" s="37" t="s">
        <v>322</v>
      </c>
      <c r="C231" s="46" t="s">
        <v>106</v>
      </c>
      <c r="D231" s="123"/>
      <c r="E231" s="37"/>
      <c r="F231" s="40"/>
      <c r="G231" s="40"/>
      <c r="H231" s="40">
        <f t="shared" si="44"/>
        <v>0</v>
      </c>
      <c r="I231" s="40"/>
      <c r="J231" s="64">
        <f t="shared" si="45"/>
        <v>0</v>
      </c>
      <c r="K231" s="46"/>
    </row>
    <row r="232" ht="19.5" customHeight="1">
      <c r="A232" s="46">
        <f t="shared" si="46"/>
        <v>40</v>
      </c>
      <c r="B232" s="37" t="s">
        <v>323</v>
      </c>
      <c r="C232" s="46" t="s">
        <v>108</v>
      </c>
      <c r="D232" s="123"/>
      <c r="E232" s="37"/>
      <c r="F232" s="40"/>
      <c r="G232" s="40"/>
      <c r="H232" s="40">
        <f t="shared" si="44"/>
        <v>0</v>
      </c>
      <c r="I232" s="40"/>
      <c r="J232" s="64">
        <f t="shared" si="45"/>
        <v>0</v>
      </c>
      <c r="K232" s="46"/>
    </row>
    <row r="233" ht="19.5" customHeight="1">
      <c r="A233" s="46">
        <f t="shared" si="46"/>
        <v>41</v>
      </c>
      <c r="B233" s="37" t="s">
        <v>324</v>
      </c>
      <c r="C233" s="46" t="s">
        <v>325</v>
      </c>
      <c r="D233" s="123"/>
      <c r="E233" s="37"/>
      <c r="F233" s="40"/>
      <c r="G233" s="40"/>
      <c r="H233" s="40">
        <f t="shared" si="44"/>
        <v>0</v>
      </c>
      <c r="I233" s="40"/>
      <c r="J233" s="64">
        <f t="shared" si="45"/>
        <v>0</v>
      </c>
      <c r="K233" s="46"/>
    </row>
    <row r="234" ht="19.5" customHeight="1">
      <c r="A234" s="12"/>
      <c r="C234" s="12"/>
      <c r="D234" s="87"/>
      <c r="F234" s="14"/>
      <c r="G234" s="14"/>
      <c r="H234" s="14"/>
      <c r="I234" s="14"/>
      <c r="J234" s="14"/>
      <c r="K234" s="12"/>
    </row>
    <row r="235" ht="19.5" customHeight="1">
      <c r="A235" s="74" t="s">
        <v>1</v>
      </c>
      <c r="B235" s="74" t="s">
        <v>91</v>
      </c>
      <c r="C235" s="74" t="s">
        <v>92</v>
      </c>
      <c r="D235" s="76" t="s">
        <v>93</v>
      </c>
      <c r="E235" s="50" t="s">
        <v>161</v>
      </c>
      <c r="F235" s="53" t="s">
        <v>121</v>
      </c>
      <c r="G235" s="53" t="s">
        <v>99</v>
      </c>
      <c r="H235" s="53" t="s">
        <v>100</v>
      </c>
      <c r="I235" s="53" t="s">
        <v>101</v>
      </c>
      <c r="J235" s="76" t="s">
        <v>95</v>
      </c>
      <c r="K235" s="74" t="s">
        <v>96</v>
      </c>
    </row>
    <row r="236" ht="19.5" customHeight="1">
      <c r="A236" s="46">
        <v>1.0</v>
      </c>
      <c r="B236" s="37" t="s">
        <v>326</v>
      </c>
      <c r="C236" s="46" t="s">
        <v>106</v>
      </c>
      <c r="D236" s="78"/>
      <c r="E236" s="37"/>
      <c r="F236" s="78"/>
      <c r="G236" s="40"/>
      <c r="H236" s="40">
        <f t="shared" ref="H236:H239" si="47">E236*D236</f>
        <v>0</v>
      </c>
      <c r="I236" s="42"/>
      <c r="J236" s="43">
        <f t="shared" ref="J236:J239" si="48">H236</f>
        <v>0</v>
      </c>
      <c r="K236" s="46"/>
    </row>
    <row r="237" ht="19.5" customHeight="1">
      <c r="A237" s="46">
        <v>2.0</v>
      </c>
      <c r="B237" s="37" t="s">
        <v>327</v>
      </c>
      <c r="C237" s="46" t="s">
        <v>106</v>
      </c>
      <c r="D237" s="123"/>
      <c r="E237" s="37"/>
      <c r="F237" s="40"/>
      <c r="G237" s="40"/>
      <c r="H237" s="40">
        <f t="shared" si="47"/>
        <v>0</v>
      </c>
      <c r="I237" s="40"/>
      <c r="J237" s="43">
        <f t="shared" si="48"/>
        <v>0</v>
      </c>
      <c r="K237" s="46"/>
    </row>
    <row r="238" ht="19.5" customHeight="1">
      <c r="A238" s="46">
        <v>3.0</v>
      </c>
      <c r="B238" s="37" t="s">
        <v>379</v>
      </c>
      <c r="C238" s="46" t="s">
        <v>106</v>
      </c>
      <c r="D238" s="123"/>
      <c r="E238" s="37"/>
      <c r="F238" s="40"/>
      <c r="G238" s="40"/>
      <c r="H238" s="40">
        <f t="shared" si="47"/>
        <v>0</v>
      </c>
      <c r="I238" s="40"/>
      <c r="J238" s="43">
        <f t="shared" si="48"/>
        <v>0</v>
      </c>
      <c r="K238" s="46"/>
    </row>
    <row r="239" ht="19.5" customHeight="1">
      <c r="A239" s="46">
        <v>4.0</v>
      </c>
      <c r="B239" s="37" t="s">
        <v>330</v>
      </c>
      <c r="C239" s="46" t="s">
        <v>103</v>
      </c>
      <c r="D239" s="123"/>
      <c r="E239" s="37"/>
      <c r="F239" s="40"/>
      <c r="G239" s="40"/>
      <c r="H239" s="40">
        <f t="shared" si="47"/>
        <v>0</v>
      </c>
      <c r="I239" s="40"/>
      <c r="J239" s="43">
        <f t="shared" si="48"/>
        <v>0</v>
      </c>
      <c r="K239" s="46"/>
    </row>
    <row r="240" ht="19.5" customHeight="1">
      <c r="A240" s="12"/>
      <c r="C240" s="12"/>
      <c r="D240" s="87"/>
      <c r="F240" s="14"/>
      <c r="G240" s="14"/>
      <c r="H240" s="14"/>
      <c r="I240" s="14"/>
      <c r="J240" s="14"/>
      <c r="K240" s="12"/>
    </row>
    <row r="241" ht="19.5" customHeight="1">
      <c r="A241" s="12"/>
      <c r="C241" s="12"/>
      <c r="D241" s="87"/>
      <c r="F241" s="14"/>
      <c r="G241" s="14"/>
      <c r="H241" s="14"/>
      <c r="I241" s="14"/>
      <c r="J241" s="14"/>
      <c r="K241" s="12"/>
    </row>
    <row r="242" ht="19.5" customHeight="1">
      <c r="A242" s="12"/>
      <c r="C242" s="12"/>
      <c r="D242" s="87"/>
      <c r="F242" s="14"/>
      <c r="G242" s="14"/>
      <c r="H242" s="14"/>
      <c r="I242" s="14"/>
      <c r="J242" s="14"/>
      <c r="K242" s="12"/>
    </row>
    <row r="243" ht="19.5" customHeight="1">
      <c r="A243" s="12"/>
      <c r="C243" s="12"/>
      <c r="D243" s="87"/>
      <c r="F243" s="14"/>
      <c r="G243" s="14"/>
      <c r="H243" s="14"/>
      <c r="I243" s="14"/>
      <c r="J243" s="14"/>
      <c r="K243" s="12"/>
    </row>
    <row r="244" ht="19.5" customHeight="1">
      <c r="A244" s="12"/>
      <c r="C244" s="12"/>
      <c r="D244" s="87"/>
      <c r="F244" s="14"/>
      <c r="G244" s="14"/>
      <c r="H244" s="14"/>
      <c r="I244" s="14"/>
      <c r="J244" s="14"/>
      <c r="K244" s="12"/>
    </row>
    <row r="245" ht="19.5" customHeight="1">
      <c r="A245" s="12"/>
      <c r="C245" s="12"/>
      <c r="D245" s="87"/>
      <c r="F245" s="14"/>
      <c r="G245" s="14"/>
      <c r="H245" s="14"/>
      <c r="I245" s="14"/>
      <c r="J245" s="14"/>
      <c r="K245" s="12"/>
    </row>
    <row r="246" ht="19.5" customHeight="1">
      <c r="A246" s="12"/>
      <c r="C246" s="12"/>
      <c r="D246" s="87"/>
      <c r="F246" s="14"/>
      <c r="G246" s="14"/>
      <c r="H246" s="14"/>
      <c r="I246" s="14"/>
      <c r="J246" s="14"/>
      <c r="K246" s="12"/>
    </row>
    <row r="247" ht="19.5" customHeight="1">
      <c r="A247" s="12"/>
      <c r="C247" s="12"/>
      <c r="D247" s="87"/>
      <c r="F247" s="14"/>
      <c r="G247" s="14"/>
      <c r="H247" s="14"/>
      <c r="I247" s="14"/>
      <c r="J247" s="14"/>
      <c r="K247" s="12"/>
    </row>
    <row r="248" ht="19.5" customHeight="1">
      <c r="A248" s="12"/>
      <c r="C248" s="12"/>
      <c r="D248" s="87"/>
      <c r="F248" s="14"/>
      <c r="G248" s="14"/>
      <c r="H248" s="14"/>
      <c r="I248" s="14"/>
      <c r="J248" s="14"/>
      <c r="K248" s="12"/>
    </row>
    <row r="249" ht="19.5" customHeight="1">
      <c r="A249" s="12"/>
      <c r="C249" s="12"/>
      <c r="D249" s="87"/>
      <c r="F249" s="14"/>
      <c r="G249" s="14"/>
      <c r="H249" s="14"/>
      <c r="I249" s="14"/>
      <c r="J249" s="14"/>
      <c r="K249" s="12"/>
    </row>
    <row r="250" ht="19.5" customHeight="1">
      <c r="A250" s="12"/>
      <c r="C250" s="12"/>
      <c r="D250" s="87"/>
      <c r="F250" s="14"/>
      <c r="G250" s="14"/>
      <c r="H250" s="14"/>
      <c r="I250" s="14"/>
      <c r="J250" s="14"/>
      <c r="K250" s="12"/>
    </row>
    <row r="251" ht="19.5" customHeight="1">
      <c r="A251" s="12"/>
      <c r="C251" s="12"/>
      <c r="D251" s="87"/>
      <c r="F251" s="14"/>
      <c r="G251" s="14"/>
      <c r="H251" s="14"/>
      <c r="I251" s="14"/>
      <c r="J251" s="14"/>
      <c r="K251" s="12"/>
    </row>
    <row r="252" ht="19.5" customHeight="1">
      <c r="A252" s="12"/>
      <c r="C252" s="12"/>
      <c r="D252" s="87"/>
      <c r="F252" s="14"/>
      <c r="G252" s="14"/>
      <c r="H252" s="14"/>
      <c r="I252" s="14"/>
      <c r="J252" s="14"/>
      <c r="K252" s="12"/>
    </row>
    <row r="253" ht="19.5" customHeight="1">
      <c r="A253" s="12"/>
      <c r="C253" s="12"/>
      <c r="D253" s="87"/>
      <c r="F253" s="14"/>
      <c r="G253" s="14"/>
      <c r="H253" s="14"/>
      <c r="I253" s="14"/>
      <c r="J253" s="14"/>
      <c r="K253" s="12"/>
    </row>
    <row r="254" ht="19.5" customHeight="1">
      <c r="A254" s="12"/>
      <c r="C254" s="12"/>
      <c r="D254" s="87"/>
      <c r="F254" s="14"/>
      <c r="G254" s="14"/>
      <c r="H254" s="14"/>
      <c r="I254" s="14"/>
      <c r="J254" s="14"/>
      <c r="K254" s="12"/>
    </row>
    <row r="255" ht="19.5" customHeight="1">
      <c r="A255" s="12"/>
      <c r="C255" s="12"/>
      <c r="D255" s="87"/>
      <c r="F255" s="14"/>
      <c r="G255" s="14"/>
      <c r="H255" s="14"/>
      <c r="I255" s="14"/>
      <c r="J255" s="14"/>
      <c r="K255" s="12"/>
    </row>
    <row r="256" ht="19.5" customHeight="1">
      <c r="A256" s="12"/>
      <c r="C256" s="12"/>
      <c r="D256" s="87"/>
      <c r="F256" s="14"/>
      <c r="G256" s="14"/>
      <c r="H256" s="14"/>
      <c r="I256" s="14"/>
      <c r="J256" s="14"/>
      <c r="K256" s="12"/>
    </row>
    <row r="257" ht="19.5" customHeight="1">
      <c r="A257" s="12"/>
      <c r="C257" s="12"/>
      <c r="D257" s="87"/>
      <c r="F257" s="14"/>
      <c r="G257" s="14"/>
      <c r="H257" s="14"/>
      <c r="I257" s="14"/>
      <c r="J257" s="14"/>
      <c r="K257" s="12"/>
    </row>
    <row r="258" ht="19.5" customHeight="1">
      <c r="A258" s="12"/>
      <c r="C258" s="12"/>
      <c r="D258" s="87"/>
      <c r="F258" s="14"/>
      <c r="G258" s="14"/>
      <c r="H258" s="14"/>
      <c r="I258" s="14"/>
      <c r="J258" s="14"/>
      <c r="K258" s="12"/>
    </row>
    <row r="259" ht="19.5" customHeight="1">
      <c r="A259" s="12"/>
      <c r="C259" s="12"/>
      <c r="D259" s="87"/>
      <c r="F259" s="14"/>
      <c r="G259" s="14"/>
      <c r="H259" s="14"/>
      <c r="I259" s="14"/>
      <c r="J259" s="14"/>
      <c r="K259" s="12"/>
    </row>
    <row r="260" ht="19.5" customHeight="1">
      <c r="A260" s="12"/>
      <c r="C260" s="12"/>
      <c r="D260" s="87"/>
      <c r="F260" s="14"/>
      <c r="G260" s="14"/>
      <c r="H260" s="14"/>
      <c r="I260" s="14"/>
      <c r="J260" s="14"/>
      <c r="K260" s="12"/>
    </row>
    <row r="261" ht="19.5" customHeight="1">
      <c r="A261" s="12"/>
      <c r="C261" s="12"/>
      <c r="D261" s="87"/>
      <c r="F261" s="14"/>
      <c r="G261" s="14"/>
      <c r="H261" s="14"/>
      <c r="I261" s="14"/>
      <c r="J261" s="14"/>
      <c r="K261" s="12"/>
    </row>
    <row r="262" ht="19.5" customHeight="1">
      <c r="A262" s="12"/>
      <c r="C262" s="12"/>
      <c r="D262" s="87"/>
      <c r="F262" s="14"/>
      <c r="G262" s="14"/>
      <c r="H262" s="14"/>
      <c r="I262" s="14"/>
      <c r="J262" s="14"/>
      <c r="K262" s="12"/>
    </row>
    <row r="263" ht="19.5" customHeight="1">
      <c r="A263" s="12"/>
      <c r="C263" s="12"/>
      <c r="D263" s="87"/>
      <c r="F263" s="14"/>
      <c r="G263" s="14"/>
      <c r="H263" s="14"/>
      <c r="I263" s="14"/>
      <c r="J263" s="14"/>
      <c r="K263" s="12"/>
    </row>
    <row r="264" ht="19.5" customHeight="1">
      <c r="A264" s="12"/>
      <c r="C264" s="12"/>
      <c r="D264" s="87"/>
      <c r="F264" s="14"/>
      <c r="G264" s="14"/>
      <c r="H264" s="14"/>
      <c r="I264" s="14"/>
      <c r="J264" s="14"/>
      <c r="K264" s="12"/>
    </row>
    <row r="265" ht="19.5" customHeight="1">
      <c r="A265" s="12"/>
      <c r="C265" s="12"/>
      <c r="D265" s="87"/>
      <c r="F265" s="14"/>
      <c r="G265" s="14"/>
      <c r="H265" s="14"/>
      <c r="I265" s="14"/>
      <c r="J265" s="14"/>
      <c r="K265" s="12"/>
    </row>
    <row r="266" ht="19.5" customHeight="1">
      <c r="A266" s="12"/>
      <c r="C266" s="12"/>
      <c r="D266" s="87"/>
      <c r="F266" s="14"/>
      <c r="G266" s="14"/>
      <c r="H266" s="14"/>
      <c r="I266" s="14"/>
      <c r="J266" s="14"/>
      <c r="K266" s="12"/>
    </row>
    <row r="267" ht="19.5" customHeight="1">
      <c r="A267" s="12"/>
      <c r="C267" s="12"/>
      <c r="D267" s="87"/>
      <c r="F267" s="14"/>
      <c r="G267" s="14"/>
      <c r="H267" s="14"/>
      <c r="I267" s="14"/>
      <c r="J267" s="14"/>
      <c r="K267" s="12"/>
    </row>
    <row r="268" ht="19.5" customHeight="1">
      <c r="A268" s="12"/>
      <c r="C268" s="12"/>
      <c r="D268" s="87"/>
      <c r="F268" s="14"/>
      <c r="G268" s="14"/>
      <c r="H268" s="14"/>
      <c r="I268" s="14"/>
      <c r="J268" s="14"/>
      <c r="K268" s="12"/>
    </row>
    <row r="269" ht="19.5" customHeight="1">
      <c r="A269" s="12"/>
      <c r="C269" s="12"/>
      <c r="D269" s="87"/>
      <c r="F269" s="14"/>
      <c r="G269" s="14"/>
      <c r="H269" s="14"/>
      <c r="I269" s="14"/>
      <c r="J269" s="14"/>
      <c r="K269" s="12"/>
    </row>
    <row r="270" ht="19.5" customHeight="1">
      <c r="A270" s="12"/>
      <c r="C270" s="12"/>
      <c r="D270" s="87"/>
      <c r="F270" s="14"/>
      <c r="G270" s="14"/>
      <c r="H270" s="14"/>
      <c r="I270" s="14"/>
      <c r="J270" s="14"/>
      <c r="K270" s="12"/>
    </row>
    <row r="271" ht="19.5" customHeight="1">
      <c r="A271" s="12"/>
      <c r="C271" s="12"/>
      <c r="D271" s="87"/>
      <c r="F271" s="14"/>
      <c r="G271" s="14"/>
      <c r="H271" s="14"/>
      <c r="I271" s="14"/>
      <c r="J271" s="14"/>
      <c r="K271" s="12"/>
    </row>
    <row r="272" ht="19.5" customHeight="1">
      <c r="A272" s="12"/>
      <c r="C272" s="12"/>
      <c r="D272" s="87"/>
      <c r="F272" s="14"/>
      <c r="G272" s="14"/>
      <c r="H272" s="14"/>
      <c r="I272" s="14"/>
      <c r="J272" s="14"/>
      <c r="K272" s="12"/>
    </row>
    <row r="273" ht="19.5" customHeight="1">
      <c r="A273" s="12"/>
      <c r="C273" s="12"/>
      <c r="D273" s="87"/>
      <c r="F273" s="14"/>
      <c r="G273" s="14"/>
      <c r="H273" s="14"/>
      <c r="I273" s="14"/>
      <c r="J273" s="14"/>
      <c r="K273" s="12"/>
    </row>
    <row r="274" ht="19.5" customHeight="1">
      <c r="A274" s="12"/>
      <c r="C274" s="12"/>
      <c r="D274" s="87"/>
      <c r="F274" s="14"/>
      <c r="G274" s="14"/>
      <c r="H274" s="14"/>
      <c r="I274" s="14"/>
      <c r="J274" s="14"/>
      <c r="K274" s="12"/>
    </row>
    <row r="275" ht="19.5" customHeight="1">
      <c r="A275" s="12"/>
      <c r="C275" s="12"/>
      <c r="D275" s="87"/>
      <c r="F275" s="14"/>
      <c r="G275" s="14"/>
      <c r="H275" s="14"/>
      <c r="I275" s="14"/>
      <c r="J275" s="14"/>
      <c r="K275" s="12"/>
    </row>
    <row r="276" ht="19.5" customHeight="1">
      <c r="A276" s="12"/>
      <c r="C276" s="12"/>
      <c r="D276" s="87"/>
      <c r="F276" s="14"/>
      <c r="G276" s="14"/>
      <c r="H276" s="14"/>
      <c r="I276" s="14"/>
      <c r="J276" s="14"/>
      <c r="K276" s="12"/>
    </row>
    <row r="277" ht="19.5" customHeight="1">
      <c r="A277" s="12"/>
      <c r="C277" s="12"/>
      <c r="D277" s="87"/>
      <c r="F277" s="14"/>
      <c r="G277" s="14"/>
      <c r="H277" s="14"/>
      <c r="I277" s="14"/>
      <c r="J277" s="14"/>
      <c r="K277" s="12"/>
    </row>
    <row r="278" ht="19.5" customHeight="1">
      <c r="A278" s="12"/>
      <c r="C278" s="12"/>
      <c r="D278" s="87"/>
      <c r="F278" s="14"/>
      <c r="G278" s="14"/>
      <c r="H278" s="14"/>
      <c r="I278" s="14"/>
      <c r="J278" s="14"/>
      <c r="K278" s="12"/>
    </row>
    <row r="279" ht="19.5" customHeight="1">
      <c r="A279" s="12"/>
      <c r="C279" s="12"/>
      <c r="D279" s="87"/>
      <c r="F279" s="14"/>
      <c r="G279" s="14"/>
      <c r="H279" s="14"/>
      <c r="I279" s="14"/>
      <c r="J279" s="14"/>
      <c r="K279" s="12"/>
    </row>
    <row r="280" ht="19.5" customHeight="1">
      <c r="A280" s="12"/>
      <c r="C280" s="12"/>
      <c r="D280" s="87"/>
      <c r="F280" s="14"/>
      <c r="G280" s="14"/>
      <c r="H280" s="14"/>
      <c r="I280" s="14"/>
      <c r="J280" s="14"/>
      <c r="K280" s="12"/>
    </row>
    <row r="281" ht="19.5" customHeight="1">
      <c r="A281" s="12"/>
      <c r="C281" s="12"/>
      <c r="D281" s="87"/>
      <c r="F281" s="14"/>
      <c r="G281" s="14"/>
      <c r="H281" s="14"/>
      <c r="I281" s="14"/>
      <c r="J281" s="14"/>
      <c r="K281" s="12"/>
    </row>
    <row r="282" ht="19.5" customHeight="1">
      <c r="A282" s="12"/>
      <c r="C282" s="12"/>
      <c r="D282" s="87"/>
      <c r="F282" s="14"/>
      <c r="G282" s="14"/>
      <c r="H282" s="14"/>
      <c r="I282" s="14"/>
      <c r="J282" s="14"/>
      <c r="K282" s="12"/>
    </row>
    <row r="283" ht="19.5" customHeight="1">
      <c r="A283" s="12"/>
      <c r="C283" s="12"/>
      <c r="D283" s="87"/>
      <c r="F283" s="14"/>
      <c r="G283" s="14"/>
      <c r="H283" s="14"/>
      <c r="I283" s="14"/>
      <c r="J283" s="14"/>
      <c r="K283" s="12"/>
    </row>
    <row r="284" ht="19.5" customHeight="1">
      <c r="A284" s="12"/>
      <c r="C284" s="12"/>
      <c r="D284" s="87"/>
      <c r="F284" s="14"/>
      <c r="G284" s="14"/>
      <c r="H284" s="14"/>
      <c r="I284" s="14"/>
      <c r="J284" s="14"/>
      <c r="K284" s="12"/>
    </row>
    <row r="285" ht="19.5" customHeight="1">
      <c r="A285" s="12"/>
      <c r="C285" s="12"/>
      <c r="D285" s="87"/>
      <c r="F285" s="14"/>
      <c r="G285" s="14"/>
      <c r="H285" s="14"/>
      <c r="I285" s="14"/>
      <c r="J285" s="14"/>
      <c r="K285" s="12"/>
    </row>
    <row r="286" ht="19.5" customHeight="1">
      <c r="A286" s="12"/>
      <c r="C286" s="12"/>
      <c r="D286" s="87"/>
      <c r="F286" s="14"/>
      <c r="G286" s="14"/>
      <c r="H286" s="14"/>
      <c r="I286" s="14"/>
      <c r="J286" s="14"/>
      <c r="K286" s="12"/>
    </row>
    <row r="287" ht="19.5" customHeight="1">
      <c r="A287" s="12"/>
      <c r="C287" s="12"/>
      <c r="D287" s="87"/>
      <c r="F287" s="14"/>
      <c r="G287" s="14"/>
      <c r="H287" s="14"/>
      <c r="I287" s="14"/>
      <c r="J287" s="14"/>
      <c r="K287" s="12"/>
    </row>
    <row r="288" ht="19.5" customHeight="1">
      <c r="A288" s="12"/>
      <c r="C288" s="12"/>
      <c r="D288" s="87"/>
      <c r="F288" s="14"/>
      <c r="G288" s="14"/>
      <c r="H288" s="14"/>
      <c r="I288" s="14"/>
      <c r="J288" s="14"/>
      <c r="K288" s="12"/>
    </row>
    <row r="289" ht="19.5" customHeight="1">
      <c r="A289" s="12"/>
      <c r="C289" s="12"/>
      <c r="D289" s="87"/>
      <c r="F289" s="14"/>
      <c r="G289" s="14"/>
      <c r="H289" s="14"/>
      <c r="I289" s="14"/>
      <c r="J289" s="14"/>
      <c r="K289" s="12"/>
    </row>
    <row r="290" ht="19.5" customHeight="1">
      <c r="A290" s="12"/>
      <c r="C290" s="12"/>
      <c r="D290" s="87"/>
      <c r="F290" s="14"/>
      <c r="G290" s="14"/>
      <c r="H290" s="14"/>
      <c r="I290" s="14"/>
      <c r="J290" s="14"/>
      <c r="K290" s="12"/>
    </row>
    <row r="291" ht="19.5" customHeight="1">
      <c r="A291" s="12"/>
      <c r="C291" s="12"/>
      <c r="D291" s="87"/>
      <c r="F291" s="14"/>
      <c r="G291" s="14"/>
      <c r="H291" s="14"/>
      <c r="I291" s="14"/>
      <c r="J291" s="14"/>
      <c r="K291" s="12"/>
    </row>
    <row r="292" ht="19.5" customHeight="1">
      <c r="A292" s="12"/>
      <c r="C292" s="12"/>
      <c r="D292" s="87"/>
      <c r="F292" s="14"/>
      <c r="G292" s="14"/>
      <c r="H292" s="14"/>
      <c r="I292" s="14"/>
      <c r="J292" s="14"/>
      <c r="K292" s="12"/>
    </row>
    <row r="293" ht="19.5" customHeight="1">
      <c r="A293" s="12"/>
      <c r="C293" s="12"/>
      <c r="D293" s="87"/>
      <c r="F293" s="14"/>
      <c r="G293" s="14"/>
      <c r="H293" s="14"/>
      <c r="I293" s="14"/>
      <c r="J293" s="14"/>
      <c r="K293" s="12"/>
    </row>
    <row r="294" ht="19.5" customHeight="1">
      <c r="A294" s="12"/>
      <c r="C294" s="12"/>
      <c r="D294" s="87"/>
      <c r="F294" s="14"/>
      <c r="G294" s="14"/>
      <c r="H294" s="14"/>
      <c r="I294" s="14"/>
      <c r="J294" s="14"/>
      <c r="K294" s="12"/>
    </row>
    <row r="295" ht="19.5" customHeight="1">
      <c r="A295" s="12"/>
      <c r="C295" s="12"/>
      <c r="D295" s="87"/>
      <c r="F295" s="14"/>
      <c r="G295" s="14"/>
      <c r="H295" s="14"/>
      <c r="I295" s="14"/>
      <c r="J295" s="14"/>
      <c r="K295" s="12"/>
    </row>
    <row r="296" ht="19.5" customHeight="1">
      <c r="A296" s="12"/>
      <c r="C296" s="12"/>
      <c r="D296" s="87"/>
      <c r="F296" s="14"/>
      <c r="G296" s="14"/>
      <c r="H296" s="14"/>
      <c r="I296" s="14"/>
      <c r="J296" s="14"/>
      <c r="K296" s="12"/>
    </row>
    <row r="297" ht="19.5" customHeight="1">
      <c r="A297" s="12"/>
      <c r="C297" s="12"/>
      <c r="D297" s="87"/>
      <c r="F297" s="14"/>
      <c r="G297" s="14"/>
      <c r="H297" s="14"/>
      <c r="I297" s="14"/>
      <c r="J297" s="14"/>
      <c r="K297" s="12"/>
    </row>
    <row r="298" ht="19.5" customHeight="1">
      <c r="A298" s="12"/>
      <c r="C298" s="12"/>
      <c r="D298" s="87"/>
      <c r="F298" s="14"/>
      <c r="G298" s="14"/>
      <c r="H298" s="14"/>
      <c r="I298" s="14"/>
      <c r="J298" s="14"/>
      <c r="K298" s="12"/>
    </row>
    <row r="299" ht="19.5" customHeight="1">
      <c r="A299" s="12"/>
      <c r="C299" s="12"/>
      <c r="D299" s="87"/>
      <c r="F299" s="14"/>
      <c r="G299" s="14"/>
      <c r="H299" s="14"/>
      <c r="I299" s="14"/>
      <c r="J299" s="14"/>
      <c r="K299" s="12"/>
    </row>
    <row r="300" ht="19.5" customHeight="1">
      <c r="A300" s="12"/>
      <c r="C300" s="12"/>
      <c r="D300" s="87"/>
      <c r="F300" s="14"/>
      <c r="G300" s="14"/>
      <c r="H300" s="14"/>
      <c r="I300" s="14"/>
      <c r="J300" s="14"/>
      <c r="K300" s="12"/>
    </row>
    <row r="301" ht="19.5" customHeight="1">
      <c r="A301" s="12"/>
      <c r="C301" s="12"/>
      <c r="D301" s="87"/>
      <c r="F301" s="14"/>
      <c r="G301" s="14"/>
      <c r="H301" s="14"/>
      <c r="I301" s="14"/>
      <c r="J301" s="14"/>
      <c r="K301" s="12"/>
    </row>
    <row r="302" ht="19.5" customHeight="1">
      <c r="A302" s="12"/>
      <c r="C302" s="12"/>
      <c r="D302" s="87"/>
      <c r="F302" s="14"/>
      <c r="G302" s="14"/>
      <c r="H302" s="14"/>
      <c r="I302" s="14"/>
      <c r="J302" s="14"/>
      <c r="K302" s="12"/>
    </row>
    <row r="303" ht="19.5" customHeight="1">
      <c r="A303" s="12"/>
      <c r="C303" s="12"/>
      <c r="D303" s="87"/>
      <c r="F303" s="14"/>
      <c r="G303" s="14"/>
      <c r="H303" s="14"/>
      <c r="I303" s="14"/>
      <c r="J303" s="14"/>
      <c r="K303" s="12"/>
    </row>
    <row r="304" ht="19.5" customHeight="1">
      <c r="A304" s="12"/>
      <c r="C304" s="12"/>
      <c r="D304" s="87"/>
      <c r="F304" s="14"/>
      <c r="G304" s="14"/>
      <c r="H304" s="14"/>
      <c r="I304" s="14"/>
      <c r="J304" s="14"/>
      <c r="K304" s="12"/>
    </row>
    <row r="305" ht="19.5" customHeight="1">
      <c r="A305" s="12"/>
      <c r="C305" s="12"/>
      <c r="D305" s="87"/>
      <c r="F305" s="14"/>
      <c r="G305" s="14"/>
      <c r="H305" s="14"/>
      <c r="I305" s="14"/>
      <c r="J305" s="14"/>
      <c r="K305" s="12"/>
    </row>
    <row r="306" ht="19.5" customHeight="1">
      <c r="A306" s="12"/>
      <c r="C306" s="12"/>
      <c r="D306" s="87"/>
      <c r="F306" s="14"/>
      <c r="G306" s="14"/>
      <c r="H306" s="14"/>
      <c r="I306" s="14"/>
      <c r="J306" s="14"/>
      <c r="K306" s="12"/>
    </row>
    <row r="307" ht="19.5" customHeight="1">
      <c r="A307" s="12"/>
      <c r="C307" s="12"/>
      <c r="D307" s="87"/>
      <c r="F307" s="14"/>
      <c r="G307" s="14"/>
      <c r="H307" s="14"/>
      <c r="I307" s="14"/>
      <c r="J307" s="14"/>
      <c r="K307" s="12"/>
    </row>
    <row r="308" ht="19.5" customHeight="1">
      <c r="A308" s="12"/>
      <c r="C308" s="12"/>
      <c r="D308" s="87"/>
      <c r="F308" s="14"/>
      <c r="G308" s="14"/>
      <c r="H308" s="14"/>
      <c r="I308" s="14"/>
      <c r="J308" s="14"/>
      <c r="K308" s="12"/>
    </row>
    <row r="309" ht="19.5" customHeight="1">
      <c r="A309" s="12"/>
      <c r="C309" s="12"/>
      <c r="D309" s="87"/>
      <c r="F309" s="14"/>
      <c r="G309" s="14"/>
      <c r="H309" s="14"/>
      <c r="I309" s="14"/>
      <c r="J309" s="14"/>
      <c r="K309" s="12"/>
    </row>
    <row r="310" ht="19.5" customHeight="1">
      <c r="A310" s="12"/>
      <c r="C310" s="12"/>
      <c r="D310" s="87"/>
      <c r="F310" s="14"/>
      <c r="G310" s="14"/>
      <c r="H310" s="14"/>
      <c r="I310" s="14"/>
      <c r="J310" s="14"/>
      <c r="K310" s="12"/>
    </row>
    <row r="311" ht="19.5" customHeight="1">
      <c r="A311" s="12"/>
      <c r="C311" s="12"/>
      <c r="D311" s="87"/>
      <c r="F311" s="14"/>
      <c r="G311" s="14"/>
      <c r="H311" s="14"/>
      <c r="I311" s="14"/>
      <c r="J311" s="14"/>
      <c r="K311" s="12"/>
    </row>
    <row r="312" ht="19.5" customHeight="1">
      <c r="A312" s="12"/>
      <c r="C312" s="12"/>
      <c r="D312" s="87"/>
      <c r="F312" s="14"/>
      <c r="G312" s="14"/>
      <c r="H312" s="14"/>
      <c r="I312" s="14"/>
      <c r="J312" s="14"/>
      <c r="K312" s="12"/>
    </row>
    <row r="313" ht="19.5" customHeight="1">
      <c r="A313" s="12"/>
      <c r="C313" s="12"/>
      <c r="D313" s="87"/>
      <c r="F313" s="14"/>
      <c r="G313" s="14"/>
      <c r="H313" s="14"/>
      <c r="I313" s="14"/>
      <c r="J313" s="14"/>
      <c r="K313" s="12"/>
    </row>
    <row r="314" ht="19.5" customHeight="1">
      <c r="A314" s="12"/>
      <c r="C314" s="12"/>
      <c r="D314" s="87"/>
      <c r="F314" s="14"/>
      <c r="G314" s="14"/>
      <c r="H314" s="14"/>
      <c r="I314" s="14"/>
      <c r="J314" s="14"/>
      <c r="K314" s="12"/>
    </row>
    <row r="315" ht="19.5" customHeight="1">
      <c r="A315" s="12"/>
      <c r="C315" s="12"/>
      <c r="D315" s="87"/>
      <c r="F315" s="14"/>
      <c r="G315" s="14"/>
      <c r="H315" s="14"/>
      <c r="I315" s="14"/>
      <c r="J315" s="14"/>
      <c r="K315" s="12"/>
    </row>
    <row r="316" ht="19.5" customHeight="1">
      <c r="A316" s="12"/>
      <c r="C316" s="12"/>
      <c r="D316" s="87"/>
      <c r="F316" s="14"/>
      <c r="G316" s="14"/>
      <c r="H316" s="14"/>
      <c r="I316" s="14"/>
      <c r="J316" s="14"/>
      <c r="K316" s="12"/>
    </row>
    <row r="317" ht="19.5" customHeight="1">
      <c r="A317" s="12"/>
      <c r="C317" s="12"/>
      <c r="D317" s="87"/>
      <c r="F317" s="14"/>
      <c r="G317" s="14"/>
      <c r="H317" s="14"/>
      <c r="I317" s="14"/>
      <c r="J317" s="14"/>
      <c r="K317" s="12"/>
    </row>
    <row r="318" ht="19.5" customHeight="1">
      <c r="A318" s="12"/>
      <c r="C318" s="12"/>
      <c r="D318" s="87"/>
      <c r="F318" s="14"/>
      <c r="G318" s="14"/>
      <c r="H318" s="14"/>
      <c r="I318" s="14"/>
      <c r="J318" s="14"/>
      <c r="K318" s="12"/>
    </row>
    <row r="319" ht="19.5" customHeight="1">
      <c r="A319" s="12"/>
      <c r="C319" s="12"/>
      <c r="D319" s="87"/>
      <c r="F319" s="14"/>
      <c r="G319" s="14"/>
      <c r="H319" s="14"/>
      <c r="I319" s="14"/>
      <c r="J319" s="14"/>
      <c r="K319" s="12"/>
    </row>
    <row r="320" ht="19.5" customHeight="1">
      <c r="A320" s="12"/>
      <c r="C320" s="12"/>
      <c r="D320" s="87"/>
      <c r="F320" s="14"/>
      <c r="G320" s="14"/>
      <c r="H320" s="14"/>
      <c r="I320" s="14"/>
      <c r="J320" s="14"/>
      <c r="K320" s="12"/>
    </row>
    <row r="321" ht="19.5" customHeight="1">
      <c r="A321" s="12"/>
      <c r="C321" s="12"/>
      <c r="D321" s="87"/>
      <c r="F321" s="14"/>
      <c r="G321" s="14"/>
      <c r="H321" s="14"/>
      <c r="I321" s="14"/>
      <c r="J321" s="14"/>
      <c r="K321" s="12"/>
    </row>
    <row r="322" ht="19.5" customHeight="1">
      <c r="A322" s="12"/>
      <c r="C322" s="12"/>
      <c r="D322" s="87"/>
      <c r="F322" s="14"/>
      <c r="G322" s="14"/>
      <c r="H322" s="14"/>
      <c r="I322" s="14"/>
      <c r="J322" s="14"/>
      <c r="K322" s="12"/>
    </row>
    <row r="323" ht="19.5" customHeight="1">
      <c r="A323" s="12"/>
      <c r="C323" s="12"/>
      <c r="D323" s="87"/>
      <c r="F323" s="14"/>
      <c r="G323" s="14"/>
      <c r="H323" s="14"/>
      <c r="I323" s="14"/>
      <c r="J323" s="14"/>
      <c r="K323" s="12"/>
    </row>
    <row r="324" ht="19.5" customHeight="1">
      <c r="A324" s="12"/>
      <c r="C324" s="12"/>
      <c r="D324" s="87"/>
      <c r="F324" s="14"/>
      <c r="G324" s="14"/>
      <c r="H324" s="14"/>
      <c r="I324" s="14"/>
      <c r="J324" s="14"/>
      <c r="K324" s="12"/>
    </row>
    <row r="325" ht="19.5" customHeight="1">
      <c r="A325" s="12"/>
      <c r="C325" s="12"/>
      <c r="D325" s="87"/>
      <c r="F325" s="14"/>
      <c r="G325" s="14"/>
      <c r="H325" s="14"/>
      <c r="I325" s="14"/>
      <c r="J325" s="14"/>
      <c r="K325" s="12"/>
    </row>
    <row r="326" ht="19.5" customHeight="1">
      <c r="A326" s="12"/>
      <c r="C326" s="12"/>
      <c r="D326" s="87"/>
      <c r="F326" s="14"/>
      <c r="G326" s="14"/>
      <c r="H326" s="14"/>
      <c r="I326" s="14"/>
      <c r="J326" s="14"/>
      <c r="K326" s="12"/>
    </row>
    <row r="327" ht="19.5" customHeight="1">
      <c r="A327" s="12"/>
      <c r="C327" s="12"/>
      <c r="D327" s="87"/>
      <c r="F327" s="14"/>
      <c r="G327" s="14"/>
      <c r="H327" s="14"/>
      <c r="I327" s="14"/>
      <c r="J327" s="14"/>
      <c r="K327" s="12"/>
    </row>
    <row r="328" ht="19.5" customHeight="1">
      <c r="A328" s="12"/>
      <c r="C328" s="12"/>
      <c r="D328" s="87"/>
      <c r="F328" s="14"/>
      <c r="G328" s="14"/>
      <c r="H328" s="14"/>
      <c r="I328" s="14"/>
      <c r="J328" s="14"/>
      <c r="K328" s="12"/>
    </row>
    <row r="329" ht="19.5" customHeight="1">
      <c r="A329" s="12"/>
      <c r="C329" s="12"/>
      <c r="D329" s="87"/>
      <c r="F329" s="14"/>
      <c r="G329" s="14"/>
      <c r="H329" s="14"/>
      <c r="I329" s="14"/>
      <c r="J329" s="14"/>
      <c r="K329" s="12"/>
    </row>
    <row r="330" ht="19.5" customHeight="1">
      <c r="A330" s="12"/>
      <c r="C330" s="12"/>
      <c r="D330" s="87"/>
      <c r="F330" s="14"/>
      <c r="G330" s="14"/>
      <c r="H330" s="14"/>
      <c r="I330" s="14"/>
      <c r="J330" s="14"/>
      <c r="K330" s="12"/>
    </row>
    <row r="331" ht="19.5" customHeight="1">
      <c r="A331" s="12"/>
      <c r="C331" s="12"/>
      <c r="D331" s="87"/>
      <c r="F331" s="14"/>
      <c r="G331" s="14"/>
      <c r="H331" s="14"/>
      <c r="I331" s="14"/>
      <c r="J331" s="14"/>
      <c r="K331" s="12"/>
    </row>
    <row r="332" ht="19.5" customHeight="1">
      <c r="A332" s="12"/>
      <c r="C332" s="12"/>
      <c r="D332" s="87"/>
      <c r="F332" s="14"/>
      <c r="G332" s="14"/>
      <c r="H332" s="14"/>
      <c r="I332" s="14"/>
      <c r="J332" s="14"/>
      <c r="K332" s="12"/>
    </row>
    <row r="333" ht="19.5" customHeight="1">
      <c r="A333" s="12"/>
      <c r="C333" s="12"/>
      <c r="D333" s="87"/>
      <c r="F333" s="14"/>
      <c r="G333" s="14"/>
      <c r="H333" s="14"/>
      <c r="I333" s="14"/>
      <c r="J333" s="14"/>
      <c r="K333" s="12"/>
    </row>
    <row r="334" ht="19.5" customHeight="1">
      <c r="A334" s="12"/>
      <c r="C334" s="12"/>
      <c r="D334" s="87"/>
      <c r="F334" s="14"/>
      <c r="G334" s="14"/>
      <c r="H334" s="14"/>
      <c r="I334" s="14"/>
      <c r="J334" s="14"/>
      <c r="K334" s="12"/>
    </row>
    <row r="335" ht="19.5" customHeight="1">
      <c r="A335" s="12"/>
      <c r="C335" s="12"/>
      <c r="D335" s="87"/>
      <c r="F335" s="14"/>
      <c r="G335" s="14"/>
      <c r="H335" s="14"/>
      <c r="I335" s="14"/>
      <c r="J335" s="14"/>
      <c r="K335" s="12"/>
    </row>
    <row r="336" ht="19.5" customHeight="1">
      <c r="A336" s="12"/>
      <c r="C336" s="12"/>
      <c r="D336" s="87"/>
      <c r="F336" s="14"/>
      <c r="G336" s="14"/>
      <c r="H336" s="14"/>
      <c r="I336" s="14"/>
      <c r="J336" s="14"/>
      <c r="K336" s="12"/>
    </row>
    <row r="337" ht="19.5" customHeight="1">
      <c r="A337" s="12"/>
      <c r="C337" s="12"/>
      <c r="D337" s="87"/>
      <c r="F337" s="14"/>
      <c r="G337" s="14"/>
      <c r="H337" s="14"/>
      <c r="I337" s="14"/>
      <c r="J337" s="14"/>
      <c r="K337" s="12"/>
    </row>
    <row r="338" ht="19.5" customHeight="1">
      <c r="A338" s="12"/>
      <c r="C338" s="12"/>
      <c r="D338" s="87"/>
      <c r="F338" s="14"/>
      <c r="G338" s="14"/>
      <c r="H338" s="14"/>
      <c r="I338" s="14"/>
      <c r="J338" s="14"/>
      <c r="K338" s="12"/>
    </row>
    <row r="339" ht="19.5" customHeight="1">
      <c r="A339" s="12"/>
      <c r="C339" s="12"/>
      <c r="D339" s="87"/>
      <c r="F339" s="14"/>
      <c r="G339" s="14"/>
      <c r="H339" s="14"/>
      <c r="I339" s="14"/>
      <c r="J339" s="14"/>
      <c r="K339" s="12"/>
    </row>
    <row r="340" ht="19.5" customHeight="1">
      <c r="A340" s="12"/>
      <c r="C340" s="12"/>
      <c r="D340" s="87"/>
      <c r="F340" s="14"/>
      <c r="G340" s="14"/>
      <c r="H340" s="14"/>
      <c r="I340" s="14"/>
      <c r="J340" s="14"/>
      <c r="K340" s="12"/>
    </row>
    <row r="341" ht="19.5" customHeight="1">
      <c r="A341" s="12"/>
      <c r="C341" s="12"/>
      <c r="D341" s="87"/>
      <c r="F341" s="14"/>
      <c r="G341" s="14"/>
      <c r="H341" s="14"/>
      <c r="I341" s="14"/>
      <c r="J341" s="14"/>
      <c r="K341" s="12"/>
    </row>
    <row r="342" ht="19.5" customHeight="1">
      <c r="A342" s="12"/>
      <c r="C342" s="12"/>
      <c r="D342" s="87"/>
      <c r="F342" s="14"/>
      <c r="G342" s="14"/>
      <c r="H342" s="14"/>
      <c r="I342" s="14"/>
      <c r="J342" s="14"/>
      <c r="K342" s="12"/>
    </row>
    <row r="343" ht="19.5" customHeight="1">
      <c r="A343" s="12"/>
      <c r="C343" s="12"/>
      <c r="D343" s="87"/>
      <c r="F343" s="14"/>
      <c r="G343" s="14"/>
      <c r="H343" s="14"/>
      <c r="I343" s="14"/>
      <c r="J343" s="14"/>
      <c r="K343" s="12"/>
    </row>
    <row r="344" ht="19.5" customHeight="1">
      <c r="A344" s="12"/>
      <c r="C344" s="12"/>
      <c r="D344" s="87"/>
      <c r="F344" s="14"/>
      <c r="G344" s="14"/>
      <c r="H344" s="14"/>
      <c r="I344" s="14"/>
      <c r="J344" s="14"/>
      <c r="K344" s="12"/>
    </row>
    <row r="345" ht="19.5" customHeight="1">
      <c r="A345" s="12"/>
      <c r="C345" s="12"/>
      <c r="D345" s="87"/>
      <c r="F345" s="14"/>
      <c r="G345" s="14"/>
      <c r="H345" s="14"/>
      <c r="I345" s="14"/>
      <c r="J345" s="14"/>
      <c r="K345" s="12"/>
    </row>
    <row r="346" ht="19.5" customHeight="1">
      <c r="A346" s="12"/>
      <c r="C346" s="12"/>
      <c r="D346" s="87"/>
      <c r="F346" s="14"/>
      <c r="G346" s="14"/>
      <c r="H346" s="14"/>
      <c r="I346" s="14"/>
      <c r="J346" s="14"/>
      <c r="K346" s="12"/>
    </row>
    <row r="347" ht="19.5" customHeight="1">
      <c r="A347" s="12"/>
      <c r="C347" s="12"/>
      <c r="D347" s="87"/>
      <c r="F347" s="14"/>
      <c r="G347" s="14"/>
      <c r="H347" s="14"/>
      <c r="I347" s="14"/>
      <c r="J347" s="14"/>
      <c r="K347" s="12"/>
    </row>
    <row r="348" ht="19.5" customHeight="1">
      <c r="A348" s="12"/>
      <c r="C348" s="12"/>
      <c r="D348" s="87"/>
      <c r="F348" s="14"/>
      <c r="G348" s="14"/>
      <c r="H348" s="14"/>
      <c r="I348" s="14"/>
      <c r="J348" s="14"/>
      <c r="K348" s="12"/>
    </row>
    <row r="349" ht="19.5" customHeight="1">
      <c r="A349" s="12"/>
      <c r="C349" s="12"/>
      <c r="D349" s="87"/>
      <c r="F349" s="14"/>
      <c r="G349" s="14"/>
      <c r="H349" s="14"/>
      <c r="I349" s="14"/>
      <c r="J349" s="14"/>
      <c r="K349" s="12"/>
    </row>
    <row r="350" ht="19.5" customHeight="1">
      <c r="A350" s="12"/>
      <c r="C350" s="12"/>
      <c r="D350" s="87"/>
      <c r="F350" s="14"/>
      <c r="G350" s="14"/>
      <c r="H350" s="14"/>
      <c r="I350" s="14"/>
      <c r="J350" s="14"/>
      <c r="K350" s="12"/>
    </row>
    <row r="351" ht="19.5" customHeight="1">
      <c r="A351" s="12"/>
      <c r="C351" s="12"/>
      <c r="D351" s="87"/>
      <c r="F351" s="14"/>
      <c r="G351" s="14"/>
      <c r="H351" s="14"/>
      <c r="I351" s="14"/>
      <c r="J351" s="14"/>
      <c r="K351" s="12"/>
    </row>
    <row r="352" ht="19.5" customHeight="1">
      <c r="A352" s="12"/>
      <c r="C352" s="12"/>
      <c r="D352" s="87"/>
      <c r="F352" s="14"/>
      <c r="G352" s="14"/>
      <c r="H352" s="14"/>
      <c r="I352" s="14"/>
      <c r="J352" s="14"/>
      <c r="K352" s="12"/>
    </row>
    <row r="353" ht="19.5" customHeight="1">
      <c r="A353" s="12"/>
      <c r="C353" s="12"/>
      <c r="D353" s="87"/>
      <c r="F353" s="14"/>
      <c r="G353" s="14"/>
      <c r="H353" s="14"/>
      <c r="I353" s="14"/>
      <c r="J353" s="14"/>
      <c r="K353" s="12"/>
    </row>
    <row r="354" ht="19.5" customHeight="1">
      <c r="A354" s="12"/>
      <c r="C354" s="12"/>
      <c r="D354" s="87"/>
      <c r="F354" s="14"/>
      <c r="G354" s="14"/>
      <c r="H354" s="14"/>
      <c r="I354" s="14"/>
      <c r="J354" s="14"/>
      <c r="K354" s="12"/>
    </row>
    <row r="355" ht="19.5" customHeight="1">
      <c r="A355" s="12"/>
      <c r="C355" s="12"/>
      <c r="D355" s="87"/>
      <c r="F355" s="14"/>
      <c r="G355" s="14"/>
      <c r="H355" s="14"/>
      <c r="I355" s="14"/>
      <c r="J355" s="14"/>
      <c r="K355" s="12"/>
    </row>
    <row r="356" ht="19.5" customHeight="1">
      <c r="A356" s="12"/>
      <c r="C356" s="12"/>
      <c r="D356" s="87"/>
      <c r="F356" s="14"/>
      <c r="G356" s="14"/>
      <c r="H356" s="14"/>
      <c r="I356" s="14"/>
      <c r="J356" s="14"/>
      <c r="K356" s="12"/>
    </row>
    <row r="357" ht="19.5" customHeight="1">
      <c r="A357" s="12"/>
      <c r="C357" s="12"/>
      <c r="D357" s="87"/>
      <c r="F357" s="14"/>
      <c r="G357" s="14"/>
      <c r="H357" s="14"/>
      <c r="I357" s="14"/>
      <c r="J357" s="14"/>
      <c r="K357" s="12"/>
    </row>
    <row r="358" ht="19.5" customHeight="1">
      <c r="A358" s="12"/>
      <c r="C358" s="12"/>
      <c r="D358" s="87"/>
      <c r="F358" s="14"/>
      <c r="G358" s="14"/>
      <c r="H358" s="14"/>
      <c r="I358" s="14"/>
      <c r="J358" s="14"/>
      <c r="K358" s="12"/>
    </row>
    <row r="359" ht="19.5" customHeight="1">
      <c r="A359" s="12"/>
      <c r="C359" s="12"/>
      <c r="D359" s="87"/>
      <c r="F359" s="14"/>
      <c r="G359" s="14"/>
      <c r="H359" s="14"/>
      <c r="I359" s="14"/>
      <c r="J359" s="14"/>
      <c r="K359" s="12"/>
    </row>
    <row r="360" ht="19.5" customHeight="1">
      <c r="A360" s="12"/>
      <c r="C360" s="12"/>
      <c r="D360" s="87"/>
      <c r="F360" s="14"/>
      <c r="G360" s="14"/>
      <c r="H360" s="14"/>
      <c r="I360" s="14"/>
      <c r="J360" s="14"/>
      <c r="K360" s="12"/>
    </row>
    <row r="361" ht="19.5" customHeight="1">
      <c r="A361" s="12"/>
      <c r="C361" s="12"/>
      <c r="D361" s="87"/>
      <c r="F361" s="14"/>
      <c r="G361" s="14"/>
      <c r="H361" s="14"/>
      <c r="I361" s="14"/>
      <c r="J361" s="14"/>
      <c r="K361" s="12"/>
    </row>
    <row r="362" ht="19.5" customHeight="1">
      <c r="A362" s="12"/>
      <c r="C362" s="12"/>
      <c r="D362" s="87"/>
      <c r="F362" s="14"/>
      <c r="G362" s="14"/>
      <c r="H362" s="14"/>
      <c r="I362" s="14"/>
      <c r="J362" s="14"/>
      <c r="K362" s="12"/>
    </row>
    <row r="363" ht="19.5" customHeight="1">
      <c r="A363" s="12"/>
      <c r="C363" s="12"/>
      <c r="D363" s="87"/>
      <c r="F363" s="14"/>
      <c r="G363" s="14"/>
      <c r="H363" s="14"/>
      <c r="I363" s="14"/>
      <c r="J363" s="14"/>
      <c r="K363" s="12"/>
    </row>
    <row r="364" ht="19.5" customHeight="1">
      <c r="A364" s="12"/>
      <c r="C364" s="12"/>
      <c r="D364" s="87"/>
      <c r="F364" s="14"/>
      <c r="G364" s="14"/>
      <c r="H364" s="14"/>
      <c r="I364" s="14"/>
      <c r="J364" s="14"/>
      <c r="K364" s="12"/>
    </row>
    <row r="365" ht="19.5" customHeight="1">
      <c r="A365" s="12"/>
      <c r="C365" s="12"/>
      <c r="D365" s="87"/>
      <c r="F365" s="14"/>
      <c r="G365" s="14"/>
      <c r="H365" s="14"/>
      <c r="I365" s="14"/>
      <c r="J365" s="14"/>
      <c r="K365" s="12"/>
    </row>
    <row r="366" ht="19.5" customHeight="1">
      <c r="A366" s="12"/>
      <c r="C366" s="12"/>
      <c r="D366" s="87"/>
      <c r="F366" s="14"/>
      <c r="G366" s="14"/>
      <c r="H366" s="14"/>
      <c r="I366" s="14"/>
      <c r="J366" s="14"/>
      <c r="K366" s="12"/>
    </row>
    <row r="367" ht="19.5" customHeight="1">
      <c r="A367" s="12"/>
      <c r="C367" s="12"/>
      <c r="D367" s="87"/>
      <c r="F367" s="14"/>
      <c r="G367" s="14"/>
      <c r="H367" s="14"/>
      <c r="I367" s="14"/>
      <c r="J367" s="14"/>
      <c r="K367" s="12"/>
    </row>
    <row r="368" ht="19.5" customHeight="1">
      <c r="A368" s="12"/>
      <c r="C368" s="12"/>
      <c r="D368" s="87"/>
      <c r="F368" s="14"/>
      <c r="G368" s="14"/>
      <c r="H368" s="14"/>
      <c r="I368" s="14"/>
      <c r="J368" s="14"/>
      <c r="K368" s="12"/>
    </row>
    <row r="369" ht="19.5" customHeight="1">
      <c r="A369" s="12"/>
      <c r="C369" s="12"/>
      <c r="D369" s="87"/>
      <c r="F369" s="14"/>
      <c r="G369" s="14"/>
      <c r="H369" s="14"/>
      <c r="I369" s="14"/>
      <c r="J369" s="14"/>
      <c r="K369" s="12"/>
    </row>
    <row r="370" ht="19.5" customHeight="1">
      <c r="A370" s="12"/>
      <c r="C370" s="12"/>
      <c r="D370" s="87"/>
      <c r="F370" s="14"/>
      <c r="G370" s="14"/>
      <c r="H370" s="14"/>
      <c r="I370" s="14"/>
      <c r="J370" s="14"/>
      <c r="K370" s="12"/>
    </row>
    <row r="371" ht="19.5" customHeight="1">
      <c r="A371" s="12"/>
      <c r="C371" s="12"/>
      <c r="D371" s="87"/>
      <c r="F371" s="14"/>
      <c r="G371" s="14"/>
      <c r="H371" s="14"/>
      <c r="I371" s="14"/>
      <c r="J371" s="14"/>
      <c r="K371" s="12"/>
    </row>
    <row r="372" ht="19.5" customHeight="1">
      <c r="A372" s="12"/>
      <c r="C372" s="12"/>
      <c r="D372" s="87"/>
      <c r="F372" s="14"/>
      <c r="G372" s="14"/>
      <c r="H372" s="14"/>
      <c r="I372" s="14"/>
      <c r="J372" s="14"/>
      <c r="K372" s="12"/>
    </row>
    <row r="373" ht="19.5" customHeight="1">
      <c r="A373" s="12"/>
      <c r="C373" s="12"/>
      <c r="D373" s="87"/>
      <c r="F373" s="14"/>
      <c r="G373" s="14"/>
      <c r="H373" s="14"/>
      <c r="I373" s="14"/>
      <c r="J373" s="14"/>
      <c r="K373" s="12"/>
    </row>
    <row r="374" ht="19.5" customHeight="1">
      <c r="A374" s="12"/>
      <c r="C374" s="12"/>
      <c r="D374" s="87"/>
      <c r="F374" s="14"/>
      <c r="G374" s="14"/>
      <c r="H374" s="14"/>
      <c r="I374" s="14"/>
      <c r="J374" s="14"/>
      <c r="K374" s="12"/>
    </row>
    <row r="375" ht="19.5" customHeight="1">
      <c r="A375" s="12"/>
      <c r="C375" s="12"/>
      <c r="D375" s="87"/>
      <c r="F375" s="14"/>
      <c r="G375" s="14"/>
      <c r="H375" s="14"/>
      <c r="I375" s="14"/>
      <c r="J375" s="14"/>
      <c r="K375" s="12"/>
    </row>
    <row r="376" ht="19.5" customHeight="1">
      <c r="A376" s="12"/>
      <c r="C376" s="12"/>
      <c r="D376" s="87"/>
      <c r="F376" s="14"/>
      <c r="G376" s="14"/>
      <c r="H376" s="14"/>
      <c r="I376" s="14"/>
      <c r="J376" s="14"/>
      <c r="K376" s="12"/>
    </row>
    <row r="377" ht="19.5" customHeight="1">
      <c r="A377" s="12"/>
      <c r="C377" s="12"/>
      <c r="D377" s="87"/>
      <c r="F377" s="14"/>
      <c r="G377" s="14"/>
      <c r="H377" s="14"/>
      <c r="I377" s="14"/>
      <c r="J377" s="14"/>
      <c r="K377" s="12"/>
    </row>
    <row r="378" ht="19.5" customHeight="1">
      <c r="A378" s="12"/>
      <c r="C378" s="12"/>
      <c r="D378" s="87"/>
      <c r="F378" s="14"/>
      <c r="G378" s="14"/>
      <c r="H378" s="14"/>
      <c r="I378" s="14"/>
      <c r="J378" s="14"/>
      <c r="K378" s="12"/>
    </row>
    <row r="379" ht="19.5" customHeight="1">
      <c r="A379" s="12"/>
      <c r="C379" s="12"/>
      <c r="D379" s="87"/>
      <c r="F379" s="14"/>
      <c r="G379" s="14"/>
      <c r="H379" s="14"/>
      <c r="I379" s="14"/>
      <c r="J379" s="14"/>
      <c r="K379" s="12"/>
    </row>
    <row r="380" ht="19.5" customHeight="1">
      <c r="A380" s="12"/>
      <c r="C380" s="12"/>
      <c r="D380" s="87"/>
      <c r="F380" s="14"/>
      <c r="G380" s="14"/>
      <c r="H380" s="14"/>
      <c r="I380" s="14"/>
      <c r="J380" s="14"/>
      <c r="K380" s="12"/>
    </row>
    <row r="381" ht="19.5" customHeight="1">
      <c r="A381" s="12"/>
      <c r="C381" s="12"/>
      <c r="D381" s="87"/>
      <c r="F381" s="14"/>
      <c r="G381" s="14"/>
      <c r="H381" s="14"/>
      <c r="I381" s="14"/>
      <c r="J381" s="14"/>
      <c r="K381" s="12"/>
    </row>
    <row r="382" ht="19.5" customHeight="1">
      <c r="A382" s="12"/>
      <c r="C382" s="12"/>
      <c r="D382" s="87"/>
      <c r="F382" s="14"/>
      <c r="G382" s="14"/>
      <c r="H382" s="14"/>
      <c r="I382" s="14"/>
      <c r="J382" s="14"/>
      <c r="K382" s="12"/>
    </row>
    <row r="383" ht="19.5" customHeight="1">
      <c r="A383" s="12"/>
      <c r="C383" s="12"/>
      <c r="D383" s="87"/>
      <c r="F383" s="14"/>
      <c r="G383" s="14"/>
      <c r="H383" s="14"/>
      <c r="I383" s="14"/>
      <c r="J383" s="14"/>
      <c r="K383" s="12"/>
    </row>
    <row r="384" ht="19.5" customHeight="1">
      <c r="A384" s="12"/>
      <c r="C384" s="12"/>
      <c r="D384" s="87"/>
      <c r="F384" s="14"/>
      <c r="G384" s="14"/>
      <c r="H384" s="14"/>
      <c r="I384" s="14"/>
      <c r="J384" s="14"/>
      <c r="K384" s="12"/>
    </row>
    <row r="385" ht="19.5" customHeight="1">
      <c r="A385" s="12"/>
      <c r="C385" s="12"/>
      <c r="D385" s="87"/>
      <c r="F385" s="14"/>
      <c r="G385" s="14"/>
      <c r="H385" s="14"/>
      <c r="I385" s="14"/>
      <c r="J385" s="14"/>
      <c r="K385" s="12"/>
    </row>
    <row r="386" ht="19.5" customHeight="1">
      <c r="A386" s="12"/>
      <c r="C386" s="12"/>
      <c r="D386" s="87"/>
      <c r="F386" s="14"/>
      <c r="G386" s="14"/>
      <c r="H386" s="14"/>
      <c r="I386" s="14"/>
      <c r="J386" s="14"/>
      <c r="K386" s="12"/>
    </row>
    <row r="387" ht="19.5" customHeight="1">
      <c r="A387" s="12"/>
      <c r="C387" s="12"/>
      <c r="D387" s="87"/>
      <c r="F387" s="14"/>
      <c r="G387" s="14"/>
      <c r="H387" s="14"/>
      <c r="I387" s="14"/>
      <c r="J387" s="14"/>
      <c r="K387" s="12"/>
    </row>
    <row r="388" ht="19.5" customHeight="1">
      <c r="A388" s="12"/>
      <c r="C388" s="12"/>
      <c r="D388" s="87"/>
      <c r="F388" s="14"/>
      <c r="G388" s="14"/>
      <c r="H388" s="14"/>
      <c r="I388" s="14"/>
      <c r="J388" s="14"/>
      <c r="K388" s="12"/>
    </row>
    <row r="389" ht="19.5" customHeight="1">
      <c r="A389" s="12"/>
      <c r="C389" s="12"/>
      <c r="D389" s="87"/>
      <c r="F389" s="14"/>
      <c r="G389" s="14"/>
      <c r="H389" s="14"/>
      <c r="I389" s="14"/>
      <c r="J389" s="14"/>
      <c r="K389" s="12"/>
    </row>
    <row r="390" ht="19.5" customHeight="1">
      <c r="A390" s="12"/>
      <c r="C390" s="12"/>
      <c r="D390" s="87"/>
      <c r="F390" s="14"/>
      <c r="G390" s="14"/>
      <c r="H390" s="14"/>
      <c r="I390" s="14"/>
      <c r="J390" s="14"/>
      <c r="K390" s="12"/>
    </row>
    <row r="391" ht="19.5" customHeight="1">
      <c r="A391" s="12"/>
      <c r="C391" s="12"/>
      <c r="D391" s="87"/>
      <c r="F391" s="14"/>
      <c r="G391" s="14"/>
      <c r="H391" s="14"/>
      <c r="I391" s="14"/>
      <c r="J391" s="14"/>
      <c r="K391" s="12"/>
    </row>
    <row r="392" ht="19.5" customHeight="1">
      <c r="A392" s="12"/>
      <c r="C392" s="12"/>
      <c r="D392" s="87"/>
      <c r="F392" s="14"/>
      <c r="G392" s="14"/>
      <c r="H392" s="14"/>
      <c r="I392" s="14"/>
      <c r="J392" s="14"/>
      <c r="K392" s="12"/>
    </row>
    <row r="393" ht="19.5" customHeight="1">
      <c r="A393" s="12"/>
      <c r="C393" s="12"/>
      <c r="D393" s="87"/>
      <c r="F393" s="14"/>
      <c r="G393" s="14"/>
      <c r="H393" s="14"/>
      <c r="I393" s="14"/>
      <c r="J393" s="14"/>
      <c r="K393" s="12"/>
    </row>
    <row r="394" ht="19.5" customHeight="1">
      <c r="A394" s="12"/>
      <c r="C394" s="12"/>
      <c r="D394" s="87"/>
      <c r="F394" s="14"/>
      <c r="G394" s="14"/>
      <c r="H394" s="14"/>
      <c r="I394" s="14"/>
      <c r="J394" s="14"/>
      <c r="K394" s="12"/>
    </row>
    <row r="395" ht="19.5" customHeight="1">
      <c r="A395" s="12"/>
      <c r="C395" s="12"/>
      <c r="D395" s="87"/>
      <c r="F395" s="14"/>
      <c r="G395" s="14"/>
      <c r="H395" s="14"/>
      <c r="I395" s="14"/>
      <c r="J395" s="14"/>
      <c r="K395" s="12"/>
    </row>
    <row r="396" ht="19.5" customHeight="1">
      <c r="A396" s="12"/>
      <c r="C396" s="12"/>
      <c r="D396" s="87"/>
      <c r="F396" s="14"/>
      <c r="G396" s="14"/>
      <c r="H396" s="14"/>
      <c r="I396" s="14"/>
      <c r="J396" s="14"/>
      <c r="K396" s="12"/>
    </row>
    <row r="397" ht="19.5" customHeight="1">
      <c r="A397" s="12"/>
      <c r="C397" s="12"/>
      <c r="D397" s="87"/>
      <c r="F397" s="14"/>
      <c r="G397" s="14"/>
      <c r="H397" s="14"/>
      <c r="I397" s="14"/>
      <c r="J397" s="14"/>
      <c r="K397" s="12"/>
    </row>
    <row r="398" ht="19.5" customHeight="1">
      <c r="A398" s="12"/>
      <c r="C398" s="12"/>
      <c r="D398" s="87"/>
      <c r="F398" s="14"/>
      <c r="G398" s="14"/>
      <c r="H398" s="14"/>
      <c r="I398" s="14"/>
      <c r="J398" s="14"/>
      <c r="K398" s="12"/>
    </row>
    <row r="399" ht="19.5" customHeight="1">
      <c r="A399" s="12"/>
      <c r="C399" s="12"/>
      <c r="D399" s="87"/>
      <c r="F399" s="14"/>
      <c r="G399" s="14"/>
      <c r="H399" s="14"/>
      <c r="I399" s="14"/>
      <c r="J399" s="14"/>
      <c r="K399" s="12"/>
    </row>
    <row r="400" ht="19.5" customHeight="1">
      <c r="A400" s="12"/>
      <c r="C400" s="12"/>
      <c r="D400" s="87"/>
      <c r="F400" s="14"/>
      <c r="G400" s="14"/>
      <c r="H400" s="14"/>
      <c r="I400" s="14"/>
      <c r="J400" s="14"/>
      <c r="K400" s="12"/>
    </row>
    <row r="401" ht="19.5" customHeight="1">
      <c r="A401" s="12"/>
      <c r="C401" s="12"/>
      <c r="D401" s="87"/>
      <c r="F401" s="14"/>
      <c r="G401" s="14"/>
      <c r="H401" s="14"/>
      <c r="I401" s="14"/>
      <c r="J401" s="14"/>
      <c r="K401" s="12"/>
    </row>
    <row r="402" ht="19.5" customHeight="1">
      <c r="A402" s="12"/>
      <c r="C402" s="12"/>
      <c r="D402" s="87"/>
      <c r="F402" s="14"/>
      <c r="G402" s="14"/>
      <c r="H402" s="14"/>
      <c r="I402" s="14"/>
      <c r="J402" s="14"/>
      <c r="K402" s="12"/>
    </row>
    <row r="403" ht="19.5" customHeight="1">
      <c r="A403" s="12"/>
      <c r="C403" s="12"/>
      <c r="D403" s="87"/>
      <c r="F403" s="14"/>
      <c r="G403" s="14"/>
      <c r="H403" s="14"/>
      <c r="I403" s="14"/>
      <c r="J403" s="14"/>
      <c r="K403" s="12"/>
    </row>
    <row r="404" ht="19.5" customHeight="1">
      <c r="A404" s="12"/>
      <c r="C404" s="12"/>
      <c r="D404" s="87"/>
      <c r="F404" s="14"/>
      <c r="G404" s="14"/>
      <c r="H404" s="14"/>
      <c r="I404" s="14"/>
      <c r="J404" s="14"/>
      <c r="K404" s="12"/>
    </row>
    <row r="405" ht="19.5" customHeight="1">
      <c r="A405" s="12"/>
      <c r="C405" s="12"/>
      <c r="D405" s="87"/>
      <c r="F405" s="14"/>
      <c r="G405" s="14"/>
      <c r="H405" s="14"/>
      <c r="I405" s="14"/>
      <c r="J405" s="14"/>
      <c r="K405" s="12"/>
    </row>
    <row r="406" ht="19.5" customHeight="1">
      <c r="A406" s="12"/>
      <c r="C406" s="12"/>
      <c r="D406" s="87"/>
      <c r="F406" s="14"/>
      <c r="G406" s="14"/>
      <c r="H406" s="14"/>
      <c r="I406" s="14"/>
      <c r="J406" s="14"/>
      <c r="K406" s="12"/>
    </row>
    <row r="407" ht="19.5" customHeight="1">
      <c r="A407" s="12"/>
      <c r="C407" s="12"/>
      <c r="D407" s="87"/>
      <c r="F407" s="14"/>
      <c r="G407" s="14"/>
      <c r="H407" s="14"/>
      <c r="I407" s="14"/>
      <c r="J407" s="14"/>
      <c r="K407" s="12"/>
    </row>
    <row r="408" ht="19.5" customHeight="1">
      <c r="A408" s="12"/>
      <c r="C408" s="12"/>
      <c r="D408" s="87"/>
      <c r="F408" s="14"/>
      <c r="G408" s="14"/>
      <c r="H408" s="14"/>
      <c r="I408" s="14"/>
      <c r="J408" s="14"/>
      <c r="K408" s="12"/>
    </row>
    <row r="409" ht="19.5" customHeight="1">
      <c r="A409" s="12"/>
      <c r="C409" s="12"/>
      <c r="D409" s="87"/>
      <c r="F409" s="14"/>
      <c r="G409" s="14"/>
      <c r="H409" s="14"/>
      <c r="I409" s="14"/>
      <c r="J409" s="14"/>
      <c r="K409" s="12"/>
    </row>
    <row r="410" ht="19.5" customHeight="1">
      <c r="A410" s="12"/>
      <c r="C410" s="12"/>
      <c r="D410" s="87"/>
      <c r="F410" s="14"/>
      <c r="G410" s="14"/>
      <c r="H410" s="14"/>
      <c r="I410" s="14"/>
      <c r="J410" s="14"/>
      <c r="K410" s="12"/>
    </row>
    <row r="411" ht="19.5" customHeight="1">
      <c r="A411" s="12"/>
      <c r="C411" s="12"/>
      <c r="D411" s="87"/>
      <c r="F411" s="14"/>
      <c r="G411" s="14"/>
      <c r="H411" s="14"/>
      <c r="I411" s="14"/>
      <c r="J411" s="14"/>
      <c r="K411" s="12"/>
    </row>
    <row r="412" ht="19.5" customHeight="1">
      <c r="A412" s="12"/>
      <c r="C412" s="12"/>
      <c r="D412" s="87"/>
      <c r="F412" s="14"/>
      <c r="G412" s="14"/>
      <c r="H412" s="14"/>
      <c r="I412" s="14"/>
      <c r="J412" s="14"/>
      <c r="K412" s="12"/>
    </row>
    <row r="413" ht="19.5" customHeight="1">
      <c r="A413" s="12"/>
      <c r="C413" s="12"/>
      <c r="D413" s="87"/>
      <c r="F413" s="14"/>
      <c r="G413" s="14"/>
      <c r="H413" s="14"/>
      <c r="I413" s="14"/>
      <c r="J413" s="14"/>
      <c r="K413" s="12"/>
    </row>
    <row r="414" ht="19.5" customHeight="1">
      <c r="A414" s="12"/>
      <c r="C414" s="12"/>
      <c r="D414" s="87"/>
      <c r="F414" s="14"/>
      <c r="G414" s="14"/>
      <c r="H414" s="14"/>
      <c r="I414" s="14"/>
      <c r="J414" s="14"/>
      <c r="K414" s="12"/>
    </row>
    <row r="415" ht="19.5" customHeight="1">
      <c r="A415" s="12"/>
      <c r="C415" s="12"/>
      <c r="D415" s="87"/>
      <c r="F415" s="14"/>
      <c r="G415" s="14"/>
      <c r="H415" s="14"/>
      <c r="I415" s="14"/>
      <c r="J415" s="14"/>
      <c r="K415" s="12"/>
    </row>
    <row r="416" ht="19.5" customHeight="1">
      <c r="A416" s="12"/>
      <c r="C416" s="12"/>
      <c r="D416" s="87"/>
      <c r="F416" s="14"/>
      <c r="G416" s="14"/>
      <c r="H416" s="14"/>
      <c r="I416" s="14"/>
      <c r="J416" s="14"/>
      <c r="K416" s="12"/>
    </row>
    <row r="417" ht="19.5" customHeight="1">
      <c r="A417" s="12"/>
      <c r="C417" s="12"/>
      <c r="D417" s="87"/>
      <c r="F417" s="14"/>
      <c r="G417" s="14"/>
      <c r="H417" s="14"/>
      <c r="I417" s="14"/>
      <c r="J417" s="14"/>
      <c r="K417" s="12"/>
    </row>
    <row r="418" ht="19.5" customHeight="1">
      <c r="A418" s="12"/>
      <c r="C418" s="12"/>
      <c r="D418" s="87"/>
      <c r="F418" s="14"/>
      <c r="G418" s="14"/>
      <c r="H418" s="14"/>
      <c r="I418" s="14"/>
      <c r="J418" s="14"/>
      <c r="K418" s="12"/>
    </row>
    <row r="419" ht="19.5" customHeight="1">
      <c r="A419" s="12"/>
      <c r="C419" s="12"/>
      <c r="D419" s="87"/>
      <c r="F419" s="14"/>
      <c r="G419" s="14"/>
      <c r="H419" s="14"/>
      <c r="I419" s="14"/>
      <c r="J419" s="14"/>
      <c r="K419" s="12"/>
    </row>
    <row r="420" ht="19.5" customHeight="1">
      <c r="A420" s="12"/>
      <c r="C420" s="12"/>
      <c r="D420" s="87"/>
      <c r="F420" s="14"/>
      <c r="G420" s="14"/>
      <c r="H420" s="14"/>
      <c r="I420" s="14"/>
      <c r="J420" s="14"/>
      <c r="K420" s="12"/>
    </row>
    <row r="421" ht="19.5" customHeight="1">
      <c r="A421" s="12"/>
      <c r="C421" s="12"/>
      <c r="D421" s="87"/>
      <c r="F421" s="14"/>
      <c r="G421" s="14"/>
      <c r="H421" s="14"/>
      <c r="I421" s="14"/>
      <c r="J421" s="14"/>
      <c r="K421" s="12"/>
    </row>
    <row r="422" ht="19.5" customHeight="1">
      <c r="A422" s="12"/>
      <c r="C422" s="12"/>
      <c r="D422" s="87"/>
      <c r="F422" s="14"/>
      <c r="G422" s="14"/>
      <c r="H422" s="14"/>
      <c r="I422" s="14"/>
      <c r="J422" s="14"/>
      <c r="K422" s="12"/>
    </row>
    <row r="423" ht="19.5" customHeight="1">
      <c r="A423" s="12"/>
      <c r="C423" s="12"/>
      <c r="D423" s="87"/>
      <c r="F423" s="14"/>
      <c r="G423" s="14"/>
      <c r="H423" s="14"/>
      <c r="I423" s="14"/>
      <c r="J423" s="14"/>
      <c r="K423" s="12"/>
    </row>
    <row r="424" ht="19.5" customHeight="1">
      <c r="A424" s="12"/>
      <c r="C424" s="12"/>
      <c r="D424" s="87"/>
      <c r="F424" s="14"/>
      <c r="G424" s="14"/>
      <c r="H424" s="14"/>
      <c r="I424" s="14"/>
      <c r="J424" s="14"/>
      <c r="K424" s="12"/>
    </row>
    <row r="425" ht="19.5" customHeight="1">
      <c r="A425" s="12"/>
      <c r="C425" s="12"/>
      <c r="D425" s="87"/>
      <c r="F425" s="14"/>
      <c r="G425" s="14"/>
      <c r="H425" s="14"/>
      <c r="I425" s="14"/>
      <c r="J425" s="14"/>
      <c r="K425" s="12"/>
    </row>
    <row r="426" ht="19.5" customHeight="1">
      <c r="A426" s="12"/>
      <c r="C426" s="12"/>
      <c r="D426" s="87"/>
      <c r="F426" s="14"/>
      <c r="G426" s="14"/>
      <c r="H426" s="14"/>
      <c r="I426" s="14"/>
      <c r="J426" s="14"/>
      <c r="K426" s="12"/>
    </row>
    <row r="427" ht="19.5" customHeight="1">
      <c r="A427" s="12"/>
      <c r="C427" s="12"/>
      <c r="D427" s="87"/>
      <c r="F427" s="14"/>
      <c r="G427" s="14"/>
      <c r="H427" s="14"/>
      <c r="I427" s="14"/>
      <c r="J427" s="14"/>
      <c r="K427" s="12"/>
    </row>
    <row r="428" ht="19.5" customHeight="1">
      <c r="A428" s="12"/>
      <c r="C428" s="12"/>
      <c r="D428" s="87"/>
      <c r="F428" s="14"/>
      <c r="G428" s="14"/>
      <c r="H428" s="14"/>
      <c r="I428" s="14"/>
      <c r="J428" s="14"/>
      <c r="K428" s="12"/>
    </row>
    <row r="429" ht="19.5" customHeight="1">
      <c r="A429" s="12"/>
      <c r="C429" s="12"/>
      <c r="D429" s="87"/>
      <c r="F429" s="14"/>
      <c r="G429" s="14"/>
      <c r="H429" s="14"/>
      <c r="I429" s="14"/>
      <c r="J429" s="14"/>
      <c r="K429" s="12"/>
    </row>
    <row r="430" ht="19.5" customHeight="1">
      <c r="A430" s="12"/>
      <c r="C430" s="12"/>
      <c r="D430" s="87"/>
      <c r="F430" s="14"/>
      <c r="G430" s="14"/>
      <c r="H430" s="14"/>
      <c r="I430" s="14"/>
      <c r="J430" s="14"/>
      <c r="K430" s="12"/>
    </row>
    <row r="431" ht="19.5" customHeight="1">
      <c r="A431" s="12"/>
      <c r="C431" s="12"/>
      <c r="D431" s="87"/>
      <c r="F431" s="14"/>
      <c r="G431" s="14"/>
      <c r="H431" s="14"/>
      <c r="I431" s="14"/>
      <c r="J431" s="14"/>
      <c r="K431" s="12"/>
    </row>
    <row r="432" ht="19.5" customHeight="1">
      <c r="A432" s="12"/>
      <c r="C432" s="12"/>
      <c r="D432" s="87"/>
      <c r="F432" s="14"/>
      <c r="G432" s="14"/>
      <c r="H432" s="14"/>
      <c r="I432" s="14"/>
      <c r="J432" s="14"/>
      <c r="K432" s="12"/>
    </row>
    <row r="433" ht="19.5" customHeight="1">
      <c r="A433" s="12"/>
      <c r="C433" s="12"/>
      <c r="D433" s="87"/>
      <c r="F433" s="14"/>
      <c r="G433" s="14"/>
      <c r="H433" s="14"/>
      <c r="I433" s="14"/>
      <c r="J433" s="14"/>
      <c r="K433" s="12"/>
    </row>
    <row r="434" ht="19.5" customHeight="1">
      <c r="A434" s="12"/>
      <c r="C434" s="12"/>
      <c r="D434" s="87"/>
      <c r="F434" s="14"/>
      <c r="G434" s="14"/>
      <c r="H434" s="14"/>
      <c r="I434" s="14"/>
      <c r="J434" s="14"/>
      <c r="K434" s="12"/>
    </row>
    <row r="435" ht="19.5" customHeight="1">
      <c r="A435" s="12"/>
      <c r="C435" s="12"/>
      <c r="D435" s="87"/>
      <c r="F435" s="14"/>
      <c r="G435" s="14"/>
      <c r="H435" s="14"/>
      <c r="I435" s="14"/>
      <c r="J435" s="14"/>
      <c r="K435" s="12"/>
    </row>
    <row r="436" ht="19.5" customHeight="1">
      <c r="A436" s="12"/>
      <c r="C436" s="12"/>
      <c r="D436" s="87"/>
      <c r="F436" s="14"/>
      <c r="G436" s="14"/>
      <c r="H436" s="14"/>
      <c r="I436" s="14"/>
      <c r="J436" s="14"/>
      <c r="K436" s="12"/>
    </row>
    <row r="437" ht="19.5" customHeight="1">
      <c r="A437" s="12"/>
      <c r="C437" s="12"/>
      <c r="D437" s="87"/>
      <c r="F437" s="14"/>
      <c r="G437" s="14"/>
      <c r="H437" s="14"/>
      <c r="I437" s="14"/>
      <c r="J437" s="14"/>
      <c r="K437" s="12"/>
    </row>
    <row r="438" ht="19.5" customHeight="1">
      <c r="A438" s="12"/>
      <c r="C438" s="12"/>
      <c r="D438" s="87"/>
      <c r="F438" s="14"/>
      <c r="G438" s="14"/>
      <c r="H438" s="14"/>
      <c r="I438" s="14"/>
      <c r="J438" s="14"/>
      <c r="K438" s="12"/>
    </row>
    <row r="439" ht="19.5" customHeight="1">
      <c r="A439" s="12"/>
      <c r="C439" s="12"/>
      <c r="D439" s="87"/>
      <c r="F439" s="14"/>
      <c r="G439" s="14"/>
      <c r="H439" s="14"/>
      <c r="I439" s="14"/>
      <c r="J439" s="14"/>
      <c r="K439" s="12"/>
    </row>
    <row r="440" ht="19.5" customHeight="1">
      <c r="A440" s="12"/>
      <c r="C440" s="12"/>
      <c r="D440" s="87"/>
      <c r="F440" s="14"/>
      <c r="G440" s="14"/>
      <c r="H440" s="14"/>
      <c r="I440" s="14"/>
      <c r="J440" s="14"/>
      <c r="K440" s="12"/>
    </row>
    <row r="441" ht="19.5" customHeight="1">
      <c r="A441" s="12"/>
      <c r="C441" s="12"/>
      <c r="D441" s="87"/>
      <c r="F441" s="14"/>
      <c r="G441" s="14"/>
      <c r="H441" s="14"/>
      <c r="I441" s="14"/>
      <c r="J441" s="14"/>
      <c r="K441" s="12"/>
    </row>
    <row r="442" ht="19.5" customHeight="1">
      <c r="A442" s="12"/>
      <c r="C442" s="12"/>
      <c r="D442" s="87"/>
      <c r="F442" s="14"/>
      <c r="G442" s="14"/>
      <c r="H442" s="14"/>
      <c r="I442" s="14"/>
      <c r="J442" s="14"/>
      <c r="K442" s="12"/>
    </row>
    <row r="443" ht="19.5" customHeight="1">
      <c r="A443" s="12"/>
      <c r="C443" s="12"/>
      <c r="D443" s="87"/>
      <c r="F443" s="14"/>
      <c r="G443" s="14"/>
      <c r="H443" s="14"/>
      <c r="I443" s="14"/>
      <c r="J443" s="14"/>
      <c r="K443" s="12"/>
    </row>
    <row r="444" ht="19.5" customHeight="1">
      <c r="A444" s="12"/>
      <c r="C444" s="12"/>
      <c r="D444" s="87"/>
      <c r="F444" s="14"/>
      <c r="G444" s="14"/>
      <c r="H444" s="14"/>
      <c r="I444" s="14"/>
      <c r="J444" s="14"/>
      <c r="K444" s="12"/>
    </row>
    <row r="445" ht="19.5" customHeight="1">
      <c r="A445" s="12"/>
      <c r="C445" s="12"/>
      <c r="D445" s="87"/>
      <c r="F445" s="14"/>
      <c r="G445" s="14"/>
      <c r="H445" s="14"/>
      <c r="I445" s="14"/>
      <c r="J445" s="14"/>
      <c r="K445" s="12"/>
    </row>
    <row r="446" ht="19.5" customHeight="1">
      <c r="A446" s="12"/>
      <c r="C446" s="12"/>
      <c r="D446" s="87"/>
      <c r="F446" s="14"/>
      <c r="G446" s="14"/>
      <c r="H446" s="14"/>
      <c r="I446" s="14"/>
      <c r="J446" s="14"/>
      <c r="K446" s="12"/>
    </row>
    <row r="447" ht="19.5" customHeight="1">
      <c r="A447" s="12"/>
      <c r="C447" s="12"/>
      <c r="D447" s="87"/>
      <c r="F447" s="14"/>
      <c r="G447" s="14"/>
      <c r="H447" s="14"/>
      <c r="I447" s="14"/>
      <c r="J447" s="14"/>
      <c r="K447" s="12"/>
    </row>
    <row r="448" ht="19.5" customHeight="1">
      <c r="A448" s="12"/>
      <c r="C448" s="12"/>
      <c r="D448" s="87"/>
      <c r="F448" s="14"/>
      <c r="G448" s="14"/>
      <c r="H448" s="14"/>
      <c r="I448" s="14"/>
      <c r="J448" s="14"/>
      <c r="K448" s="12"/>
    </row>
    <row r="449" ht="19.5" customHeight="1">
      <c r="A449" s="12"/>
      <c r="C449" s="12"/>
      <c r="D449" s="87"/>
      <c r="F449" s="14"/>
      <c r="G449" s="14"/>
      <c r="H449" s="14"/>
      <c r="I449" s="14"/>
      <c r="J449" s="14"/>
      <c r="K449" s="12"/>
    </row>
    <row r="450" ht="19.5" customHeight="1">
      <c r="A450" s="12"/>
      <c r="C450" s="12"/>
      <c r="D450" s="87"/>
      <c r="F450" s="14"/>
      <c r="G450" s="14"/>
      <c r="H450" s="14"/>
      <c r="I450" s="14"/>
      <c r="J450" s="14"/>
      <c r="K450" s="12"/>
    </row>
    <row r="451" ht="19.5" customHeight="1">
      <c r="A451" s="12"/>
      <c r="C451" s="12"/>
      <c r="D451" s="87"/>
      <c r="F451" s="14"/>
      <c r="G451" s="14"/>
      <c r="H451" s="14"/>
      <c r="I451" s="14"/>
      <c r="J451" s="14"/>
      <c r="K451" s="12"/>
    </row>
    <row r="452" ht="19.5" customHeight="1">
      <c r="A452" s="12"/>
      <c r="C452" s="12"/>
      <c r="D452" s="87"/>
      <c r="F452" s="14"/>
      <c r="G452" s="14"/>
      <c r="H452" s="14"/>
      <c r="I452" s="14"/>
      <c r="J452" s="14"/>
      <c r="K452" s="12"/>
    </row>
    <row r="453" ht="19.5" customHeight="1">
      <c r="A453" s="12"/>
      <c r="C453" s="12"/>
      <c r="D453" s="87"/>
      <c r="F453" s="14"/>
      <c r="G453" s="14"/>
      <c r="H453" s="14"/>
      <c r="I453" s="14"/>
      <c r="J453" s="14"/>
      <c r="K453" s="12"/>
    </row>
    <row r="454" ht="19.5" customHeight="1">
      <c r="A454" s="12"/>
      <c r="C454" s="12"/>
      <c r="D454" s="87"/>
      <c r="F454" s="14"/>
      <c r="G454" s="14"/>
      <c r="H454" s="14"/>
      <c r="I454" s="14"/>
      <c r="J454" s="14"/>
      <c r="K454" s="12"/>
    </row>
    <row r="455" ht="19.5" customHeight="1">
      <c r="A455" s="12"/>
      <c r="C455" s="12"/>
      <c r="D455" s="87"/>
      <c r="F455" s="14"/>
      <c r="G455" s="14"/>
      <c r="H455" s="14"/>
      <c r="I455" s="14"/>
      <c r="J455" s="14"/>
      <c r="K455" s="12"/>
    </row>
    <row r="456" ht="19.5" customHeight="1">
      <c r="A456" s="12"/>
      <c r="C456" s="12"/>
      <c r="D456" s="87"/>
      <c r="F456" s="14"/>
      <c r="G456" s="14"/>
      <c r="H456" s="14"/>
      <c r="I456" s="14"/>
      <c r="J456" s="14"/>
      <c r="K456" s="12"/>
    </row>
    <row r="457" ht="19.5" customHeight="1">
      <c r="A457" s="12"/>
      <c r="C457" s="12"/>
      <c r="D457" s="87"/>
      <c r="F457" s="14"/>
      <c r="G457" s="14"/>
      <c r="H457" s="14"/>
      <c r="I457" s="14"/>
      <c r="J457" s="14"/>
      <c r="K457" s="12"/>
    </row>
    <row r="458" ht="19.5" customHeight="1">
      <c r="A458" s="12"/>
      <c r="C458" s="12"/>
      <c r="D458" s="87"/>
      <c r="F458" s="14"/>
      <c r="G458" s="14"/>
      <c r="H458" s="14"/>
      <c r="I458" s="14"/>
      <c r="J458" s="14"/>
      <c r="K458" s="12"/>
    </row>
    <row r="459" ht="19.5" customHeight="1">
      <c r="A459" s="12"/>
      <c r="C459" s="12"/>
      <c r="D459" s="87"/>
      <c r="F459" s="14"/>
      <c r="G459" s="14"/>
      <c r="H459" s="14"/>
      <c r="I459" s="14"/>
      <c r="J459" s="14"/>
      <c r="K459" s="12"/>
    </row>
    <row r="460" ht="19.5" customHeight="1">
      <c r="A460" s="12"/>
      <c r="C460" s="12"/>
      <c r="D460" s="87"/>
      <c r="F460" s="14"/>
      <c r="G460" s="14"/>
      <c r="H460" s="14"/>
      <c r="I460" s="14"/>
      <c r="J460" s="14"/>
      <c r="K460" s="12"/>
    </row>
    <row r="461" ht="19.5" customHeight="1">
      <c r="A461" s="12"/>
      <c r="C461" s="12"/>
      <c r="D461" s="87"/>
      <c r="F461" s="14"/>
      <c r="G461" s="14"/>
      <c r="H461" s="14"/>
      <c r="I461" s="14"/>
      <c r="J461" s="14"/>
      <c r="K461" s="12"/>
    </row>
    <row r="462" ht="19.5" customHeight="1">
      <c r="A462" s="12"/>
      <c r="C462" s="12"/>
      <c r="D462" s="87"/>
      <c r="F462" s="14"/>
      <c r="G462" s="14"/>
      <c r="H462" s="14"/>
      <c r="I462" s="14"/>
      <c r="J462" s="14"/>
      <c r="K462" s="12"/>
    </row>
    <row r="463" ht="19.5" customHeight="1">
      <c r="A463" s="12"/>
      <c r="C463" s="12"/>
      <c r="D463" s="87"/>
      <c r="F463" s="14"/>
      <c r="G463" s="14"/>
      <c r="H463" s="14"/>
      <c r="I463" s="14"/>
      <c r="J463" s="14"/>
      <c r="K463" s="12"/>
    </row>
    <row r="464" ht="19.5" customHeight="1">
      <c r="A464" s="12"/>
      <c r="C464" s="12"/>
      <c r="D464" s="87"/>
      <c r="F464" s="14"/>
      <c r="G464" s="14"/>
      <c r="H464" s="14"/>
      <c r="I464" s="14"/>
      <c r="J464" s="14"/>
      <c r="K464" s="12"/>
    </row>
    <row r="465" ht="19.5" customHeight="1">
      <c r="A465" s="12"/>
      <c r="C465" s="12"/>
      <c r="D465" s="87"/>
      <c r="F465" s="14"/>
      <c r="G465" s="14"/>
      <c r="H465" s="14"/>
      <c r="I465" s="14"/>
      <c r="J465" s="14"/>
      <c r="K465" s="12"/>
    </row>
    <row r="466" ht="19.5" customHeight="1">
      <c r="A466" s="12"/>
      <c r="C466" s="12"/>
      <c r="D466" s="87"/>
      <c r="F466" s="14"/>
      <c r="G466" s="14"/>
      <c r="H466" s="14"/>
      <c r="I466" s="14"/>
      <c r="J466" s="14"/>
      <c r="K466" s="12"/>
    </row>
    <row r="467" ht="19.5" customHeight="1">
      <c r="A467" s="12"/>
      <c r="C467" s="12"/>
      <c r="D467" s="87"/>
      <c r="F467" s="14"/>
      <c r="G467" s="14"/>
      <c r="H467" s="14"/>
      <c r="I467" s="14"/>
      <c r="J467" s="14"/>
      <c r="K467" s="12"/>
    </row>
    <row r="468" ht="19.5" customHeight="1">
      <c r="A468" s="12"/>
      <c r="C468" s="12"/>
      <c r="D468" s="87"/>
      <c r="F468" s="14"/>
      <c r="G468" s="14"/>
      <c r="H468" s="14"/>
      <c r="I468" s="14"/>
      <c r="J468" s="14"/>
      <c r="K468" s="12"/>
    </row>
    <row r="469" ht="19.5" customHeight="1">
      <c r="A469" s="12"/>
      <c r="C469" s="12"/>
      <c r="D469" s="87"/>
      <c r="F469" s="14"/>
      <c r="G469" s="14"/>
      <c r="H469" s="14"/>
      <c r="I469" s="14"/>
      <c r="J469" s="14"/>
      <c r="K469" s="12"/>
    </row>
    <row r="470" ht="19.5" customHeight="1">
      <c r="A470" s="12"/>
      <c r="C470" s="12"/>
      <c r="D470" s="87"/>
      <c r="F470" s="14"/>
      <c r="G470" s="14"/>
      <c r="H470" s="14"/>
      <c r="I470" s="14"/>
      <c r="J470" s="14"/>
      <c r="K470" s="12"/>
    </row>
    <row r="471" ht="19.5" customHeight="1">
      <c r="A471" s="12"/>
      <c r="C471" s="12"/>
      <c r="D471" s="87"/>
      <c r="F471" s="14"/>
      <c r="G471" s="14"/>
      <c r="H471" s="14"/>
      <c r="I471" s="14"/>
      <c r="J471" s="14"/>
      <c r="K471" s="12"/>
    </row>
    <row r="472" ht="19.5" customHeight="1">
      <c r="A472" s="12"/>
      <c r="C472" s="12"/>
      <c r="D472" s="87"/>
      <c r="F472" s="14"/>
      <c r="G472" s="14"/>
      <c r="H472" s="14"/>
      <c r="I472" s="14"/>
      <c r="J472" s="14"/>
      <c r="K472" s="12"/>
    </row>
    <row r="473" ht="19.5" customHeight="1">
      <c r="A473" s="12"/>
      <c r="C473" s="12"/>
      <c r="D473" s="87"/>
      <c r="F473" s="14"/>
      <c r="G473" s="14"/>
      <c r="H473" s="14"/>
      <c r="I473" s="14"/>
      <c r="J473" s="14"/>
      <c r="K473" s="12"/>
    </row>
    <row r="474" ht="19.5" customHeight="1">
      <c r="A474" s="12"/>
      <c r="C474" s="12"/>
      <c r="D474" s="87"/>
      <c r="F474" s="14"/>
      <c r="G474" s="14"/>
      <c r="H474" s="14"/>
      <c r="I474" s="14"/>
      <c r="J474" s="14"/>
      <c r="K474" s="12"/>
    </row>
    <row r="475" ht="19.5" customHeight="1">
      <c r="A475" s="12"/>
      <c r="C475" s="12"/>
      <c r="D475" s="87"/>
      <c r="F475" s="14"/>
      <c r="G475" s="14"/>
      <c r="H475" s="14"/>
      <c r="I475" s="14"/>
      <c r="J475" s="14"/>
      <c r="K475" s="12"/>
    </row>
    <row r="476" ht="19.5" customHeight="1">
      <c r="A476" s="12"/>
      <c r="C476" s="12"/>
      <c r="D476" s="87"/>
      <c r="F476" s="14"/>
      <c r="G476" s="14"/>
      <c r="H476" s="14"/>
      <c r="I476" s="14"/>
      <c r="J476" s="14"/>
      <c r="K476" s="12"/>
    </row>
    <row r="477" ht="19.5" customHeight="1">
      <c r="A477" s="12"/>
      <c r="C477" s="12"/>
      <c r="D477" s="87"/>
      <c r="F477" s="14"/>
      <c r="G477" s="14"/>
      <c r="H477" s="14"/>
      <c r="I477" s="14"/>
      <c r="J477" s="14"/>
      <c r="K477" s="12"/>
    </row>
    <row r="478" ht="19.5" customHeight="1">
      <c r="A478" s="12"/>
      <c r="C478" s="12"/>
      <c r="D478" s="87"/>
      <c r="F478" s="14"/>
      <c r="G478" s="14"/>
      <c r="H478" s="14"/>
      <c r="I478" s="14"/>
      <c r="J478" s="14"/>
      <c r="K478" s="12"/>
    </row>
    <row r="479" ht="19.5" customHeight="1">
      <c r="A479" s="12"/>
      <c r="C479" s="12"/>
      <c r="D479" s="87"/>
      <c r="F479" s="14"/>
      <c r="G479" s="14"/>
      <c r="H479" s="14"/>
      <c r="I479" s="14"/>
      <c r="J479" s="14"/>
      <c r="K479" s="12"/>
    </row>
    <row r="480" ht="19.5" customHeight="1">
      <c r="A480" s="12"/>
      <c r="C480" s="12"/>
      <c r="D480" s="87"/>
      <c r="F480" s="14"/>
      <c r="G480" s="14"/>
      <c r="H480" s="14"/>
      <c r="I480" s="14"/>
      <c r="J480" s="14"/>
      <c r="K480" s="12"/>
    </row>
    <row r="481" ht="19.5" customHeight="1">
      <c r="A481" s="12"/>
      <c r="C481" s="12"/>
      <c r="D481" s="87"/>
      <c r="F481" s="14"/>
      <c r="G481" s="14"/>
      <c r="H481" s="14"/>
      <c r="I481" s="14"/>
      <c r="J481" s="14"/>
      <c r="K481" s="12"/>
    </row>
    <row r="482" ht="19.5" customHeight="1">
      <c r="A482" s="12"/>
      <c r="C482" s="12"/>
      <c r="D482" s="87"/>
      <c r="F482" s="14"/>
      <c r="G482" s="14"/>
      <c r="H482" s="14"/>
      <c r="I482" s="14"/>
      <c r="J482" s="14"/>
      <c r="K482" s="12"/>
    </row>
    <row r="483" ht="19.5" customHeight="1">
      <c r="A483" s="12"/>
      <c r="C483" s="12"/>
      <c r="D483" s="87"/>
      <c r="F483" s="14"/>
      <c r="G483" s="14"/>
      <c r="H483" s="14"/>
      <c r="I483" s="14"/>
      <c r="J483" s="14"/>
      <c r="K483" s="12"/>
    </row>
    <row r="484" ht="19.5" customHeight="1">
      <c r="A484" s="12"/>
      <c r="C484" s="12"/>
      <c r="D484" s="87"/>
      <c r="F484" s="14"/>
      <c r="G484" s="14"/>
      <c r="H484" s="14"/>
      <c r="I484" s="14"/>
      <c r="J484" s="14"/>
      <c r="K484" s="12"/>
    </row>
    <row r="485" ht="19.5" customHeight="1">
      <c r="A485" s="12"/>
      <c r="C485" s="12"/>
      <c r="D485" s="87"/>
      <c r="F485" s="14"/>
      <c r="G485" s="14"/>
      <c r="H485" s="14"/>
      <c r="I485" s="14"/>
      <c r="J485" s="14"/>
      <c r="K485" s="12"/>
    </row>
    <row r="486" ht="19.5" customHeight="1">
      <c r="A486" s="12"/>
      <c r="C486" s="12"/>
      <c r="D486" s="87"/>
      <c r="F486" s="14"/>
      <c r="G486" s="14"/>
      <c r="H486" s="14"/>
      <c r="I486" s="14"/>
      <c r="J486" s="14"/>
      <c r="K486" s="12"/>
    </row>
    <row r="487" ht="19.5" customHeight="1">
      <c r="A487" s="12"/>
      <c r="C487" s="12"/>
      <c r="D487" s="87"/>
      <c r="F487" s="14"/>
      <c r="G487" s="14"/>
      <c r="H487" s="14"/>
      <c r="I487" s="14"/>
      <c r="J487" s="14"/>
      <c r="K487" s="12"/>
    </row>
    <row r="488" ht="19.5" customHeight="1">
      <c r="A488" s="12"/>
      <c r="C488" s="12"/>
      <c r="D488" s="87"/>
      <c r="F488" s="14"/>
      <c r="G488" s="14"/>
      <c r="H488" s="14"/>
      <c r="I488" s="14"/>
      <c r="J488" s="14"/>
      <c r="K488" s="12"/>
    </row>
    <row r="489" ht="19.5" customHeight="1">
      <c r="A489" s="12"/>
      <c r="C489" s="12"/>
      <c r="D489" s="87"/>
      <c r="F489" s="14"/>
      <c r="G489" s="14"/>
      <c r="H489" s="14"/>
      <c r="I489" s="14"/>
      <c r="J489" s="14"/>
      <c r="K489" s="12"/>
    </row>
    <row r="490" ht="19.5" customHeight="1">
      <c r="A490" s="12"/>
      <c r="C490" s="12"/>
      <c r="D490" s="87"/>
      <c r="F490" s="14"/>
      <c r="G490" s="14"/>
      <c r="H490" s="14"/>
      <c r="I490" s="14"/>
      <c r="J490" s="14"/>
      <c r="K490" s="12"/>
    </row>
    <row r="491" ht="19.5" customHeight="1">
      <c r="A491" s="12"/>
      <c r="C491" s="12"/>
      <c r="D491" s="87"/>
      <c r="F491" s="14"/>
      <c r="G491" s="14"/>
      <c r="H491" s="14"/>
      <c r="I491" s="14"/>
      <c r="J491" s="14"/>
      <c r="K491" s="12"/>
    </row>
    <row r="492" ht="19.5" customHeight="1">
      <c r="A492" s="12"/>
      <c r="C492" s="12"/>
      <c r="D492" s="87"/>
      <c r="F492" s="14"/>
      <c r="G492" s="14"/>
      <c r="H492" s="14"/>
      <c r="I492" s="14"/>
      <c r="J492" s="14"/>
      <c r="K492" s="12"/>
    </row>
    <row r="493" ht="19.5" customHeight="1">
      <c r="A493" s="12"/>
      <c r="C493" s="12"/>
      <c r="D493" s="87"/>
      <c r="F493" s="14"/>
      <c r="G493" s="14"/>
      <c r="H493" s="14"/>
      <c r="I493" s="14"/>
      <c r="J493" s="14"/>
      <c r="K493" s="12"/>
    </row>
    <row r="494" ht="19.5" customHeight="1">
      <c r="A494" s="12"/>
      <c r="C494" s="12"/>
      <c r="D494" s="87"/>
      <c r="F494" s="14"/>
      <c r="G494" s="14"/>
      <c r="H494" s="14"/>
      <c r="I494" s="14"/>
      <c r="J494" s="14"/>
      <c r="K494" s="12"/>
    </row>
    <row r="495" ht="19.5" customHeight="1">
      <c r="A495" s="12"/>
      <c r="C495" s="12"/>
      <c r="D495" s="87"/>
      <c r="F495" s="14"/>
      <c r="G495" s="14"/>
      <c r="H495" s="14"/>
      <c r="I495" s="14"/>
      <c r="J495" s="14"/>
      <c r="K495" s="12"/>
    </row>
    <row r="496" ht="19.5" customHeight="1">
      <c r="A496" s="12"/>
      <c r="C496" s="12"/>
      <c r="D496" s="87"/>
      <c r="F496" s="14"/>
      <c r="G496" s="14"/>
      <c r="H496" s="14"/>
      <c r="I496" s="14"/>
      <c r="J496" s="14"/>
      <c r="K496" s="12"/>
    </row>
    <row r="497" ht="19.5" customHeight="1">
      <c r="A497" s="12"/>
      <c r="C497" s="12"/>
      <c r="D497" s="87"/>
      <c r="F497" s="14"/>
      <c r="G497" s="14"/>
      <c r="H497" s="14"/>
      <c r="I497" s="14"/>
      <c r="J497" s="14"/>
      <c r="K497" s="12"/>
    </row>
    <row r="498" ht="19.5" customHeight="1">
      <c r="A498" s="12"/>
      <c r="C498" s="12"/>
      <c r="D498" s="87"/>
      <c r="F498" s="14"/>
      <c r="G498" s="14"/>
      <c r="H498" s="14"/>
      <c r="I498" s="14"/>
      <c r="J498" s="14"/>
      <c r="K498" s="12"/>
    </row>
    <row r="499" ht="19.5" customHeight="1">
      <c r="A499" s="12"/>
      <c r="C499" s="12"/>
      <c r="D499" s="87"/>
      <c r="F499" s="14"/>
      <c r="G499" s="14"/>
      <c r="H499" s="14"/>
      <c r="I499" s="14"/>
      <c r="J499" s="14"/>
      <c r="K499" s="12"/>
    </row>
    <row r="500" ht="19.5" customHeight="1">
      <c r="A500" s="12"/>
      <c r="C500" s="12"/>
      <c r="D500" s="87"/>
      <c r="F500" s="14"/>
      <c r="G500" s="14"/>
      <c r="H500" s="14"/>
      <c r="I500" s="14"/>
      <c r="J500" s="14"/>
      <c r="K500" s="12"/>
    </row>
    <row r="501" ht="19.5" customHeight="1">
      <c r="A501" s="12"/>
      <c r="C501" s="12"/>
      <c r="D501" s="87"/>
      <c r="F501" s="14"/>
      <c r="G501" s="14"/>
      <c r="H501" s="14"/>
      <c r="I501" s="14"/>
      <c r="J501" s="14"/>
      <c r="K501" s="12"/>
    </row>
    <row r="502" ht="19.5" customHeight="1">
      <c r="A502" s="12"/>
      <c r="C502" s="12"/>
      <c r="D502" s="87"/>
      <c r="F502" s="14"/>
      <c r="G502" s="14"/>
      <c r="H502" s="14"/>
      <c r="I502" s="14"/>
      <c r="J502" s="14"/>
      <c r="K502" s="12"/>
    </row>
    <row r="503" ht="19.5" customHeight="1">
      <c r="A503" s="12"/>
      <c r="C503" s="12"/>
      <c r="D503" s="87"/>
      <c r="F503" s="14"/>
      <c r="G503" s="14"/>
      <c r="H503" s="14"/>
      <c r="I503" s="14"/>
      <c r="J503" s="14"/>
      <c r="K503" s="12"/>
    </row>
    <row r="504" ht="19.5" customHeight="1">
      <c r="A504" s="12"/>
      <c r="C504" s="12"/>
      <c r="D504" s="87"/>
      <c r="F504" s="14"/>
      <c r="G504" s="14"/>
      <c r="H504" s="14"/>
      <c r="I504" s="14"/>
      <c r="J504" s="14"/>
      <c r="K504" s="12"/>
    </row>
    <row r="505" ht="19.5" customHeight="1">
      <c r="A505" s="12"/>
      <c r="C505" s="12"/>
      <c r="D505" s="87"/>
      <c r="F505" s="14"/>
      <c r="G505" s="14"/>
      <c r="H505" s="14"/>
      <c r="I505" s="14"/>
      <c r="J505" s="14"/>
      <c r="K505" s="12"/>
    </row>
    <row r="506" ht="19.5" customHeight="1">
      <c r="A506" s="12"/>
      <c r="C506" s="12"/>
      <c r="D506" s="87"/>
      <c r="F506" s="14"/>
      <c r="G506" s="14"/>
      <c r="H506" s="14"/>
      <c r="I506" s="14"/>
      <c r="J506" s="14"/>
      <c r="K506" s="12"/>
    </row>
    <row r="507" ht="19.5" customHeight="1">
      <c r="A507" s="12"/>
      <c r="C507" s="12"/>
      <c r="D507" s="87"/>
      <c r="F507" s="14"/>
      <c r="G507" s="14"/>
      <c r="H507" s="14"/>
      <c r="I507" s="14"/>
      <c r="J507" s="14"/>
      <c r="K507" s="12"/>
    </row>
    <row r="508" ht="19.5" customHeight="1">
      <c r="A508" s="12"/>
      <c r="C508" s="12"/>
      <c r="D508" s="87"/>
      <c r="F508" s="14"/>
      <c r="G508" s="14"/>
      <c r="H508" s="14"/>
      <c r="I508" s="14"/>
      <c r="J508" s="14"/>
      <c r="K508" s="12"/>
    </row>
    <row r="509" ht="19.5" customHeight="1">
      <c r="A509" s="12"/>
      <c r="C509" s="12"/>
      <c r="D509" s="87"/>
      <c r="F509" s="14"/>
      <c r="G509" s="14"/>
      <c r="H509" s="14"/>
      <c r="I509" s="14"/>
      <c r="J509" s="14"/>
      <c r="K509" s="12"/>
    </row>
    <row r="510" ht="19.5" customHeight="1">
      <c r="A510" s="12"/>
      <c r="C510" s="12"/>
      <c r="D510" s="87"/>
      <c r="F510" s="14"/>
      <c r="G510" s="14"/>
      <c r="H510" s="14"/>
      <c r="I510" s="14"/>
      <c r="J510" s="14"/>
      <c r="K510" s="12"/>
    </row>
    <row r="511" ht="19.5" customHeight="1">
      <c r="A511" s="12"/>
      <c r="C511" s="12"/>
      <c r="D511" s="87"/>
      <c r="F511" s="14"/>
      <c r="G511" s="14"/>
      <c r="H511" s="14"/>
      <c r="I511" s="14"/>
      <c r="J511" s="14"/>
      <c r="K511" s="12"/>
    </row>
    <row r="512" ht="19.5" customHeight="1">
      <c r="A512" s="12"/>
      <c r="C512" s="12"/>
      <c r="D512" s="87"/>
      <c r="F512" s="14"/>
      <c r="G512" s="14"/>
      <c r="H512" s="14"/>
      <c r="I512" s="14"/>
      <c r="J512" s="14"/>
      <c r="K512" s="12"/>
    </row>
    <row r="513" ht="19.5" customHeight="1">
      <c r="A513" s="12"/>
      <c r="C513" s="12"/>
      <c r="D513" s="87"/>
      <c r="F513" s="14"/>
      <c r="G513" s="14"/>
      <c r="H513" s="14"/>
      <c r="I513" s="14"/>
      <c r="J513" s="14"/>
      <c r="K513" s="12"/>
    </row>
    <row r="514" ht="19.5" customHeight="1">
      <c r="A514" s="12"/>
      <c r="C514" s="12"/>
      <c r="D514" s="87"/>
      <c r="F514" s="14"/>
      <c r="G514" s="14"/>
      <c r="H514" s="14"/>
      <c r="I514" s="14"/>
      <c r="J514" s="14"/>
      <c r="K514" s="12"/>
    </row>
    <row r="515" ht="19.5" customHeight="1">
      <c r="A515" s="12"/>
      <c r="C515" s="12"/>
      <c r="D515" s="87"/>
      <c r="F515" s="14"/>
      <c r="G515" s="14"/>
      <c r="H515" s="14"/>
      <c r="I515" s="14"/>
      <c r="J515" s="14"/>
      <c r="K515" s="12"/>
    </row>
    <row r="516" ht="19.5" customHeight="1">
      <c r="A516" s="12"/>
      <c r="C516" s="12"/>
      <c r="D516" s="87"/>
      <c r="F516" s="14"/>
      <c r="G516" s="14"/>
      <c r="H516" s="14"/>
      <c r="I516" s="14"/>
      <c r="J516" s="14"/>
      <c r="K516" s="12"/>
    </row>
    <row r="517" ht="19.5" customHeight="1">
      <c r="A517" s="12"/>
      <c r="C517" s="12"/>
      <c r="D517" s="87"/>
      <c r="F517" s="14"/>
      <c r="G517" s="14"/>
      <c r="H517" s="14"/>
      <c r="I517" s="14"/>
      <c r="J517" s="14"/>
      <c r="K517" s="12"/>
    </row>
    <row r="518" ht="19.5" customHeight="1">
      <c r="A518" s="12"/>
      <c r="C518" s="12"/>
      <c r="D518" s="87"/>
      <c r="F518" s="14"/>
      <c r="G518" s="14"/>
      <c r="H518" s="14"/>
      <c r="I518" s="14"/>
      <c r="J518" s="14"/>
      <c r="K518" s="12"/>
    </row>
    <row r="519" ht="19.5" customHeight="1">
      <c r="A519" s="12"/>
      <c r="C519" s="12"/>
      <c r="D519" s="87"/>
      <c r="F519" s="14"/>
      <c r="G519" s="14"/>
      <c r="H519" s="14"/>
      <c r="I519" s="14"/>
      <c r="J519" s="14"/>
      <c r="K519" s="12"/>
    </row>
    <row r="520" ht="19.5" customHeight="1">
      <c r="A520" s="12"/>
      <c r="C520" s="12"/>
      <c r="D520" s="87"/>
      <c r="F520" s="14"/>
      <c r="G520" s="14"/>
      <c r="H520" s="14"/>
      <c r="I520" s="14"/>
      <c r="J520" s="14"/>
      <c r="K520" s="12"/>
    </row>
    <row r="521" ht="19.5" customHeight="1">
      <c r="A521" s="12"/>
      <c r="C521" s="12"/>
      <c r="D521" s="87"/>
      <c r="F521" s="14"/>
      <c r="G521" s="14"/>
      <c r="H521" s="14"/>
      <c r="I521" s="14"/>
      <c r="J521" s="14"/>
      <c r="K521" s="12"/>
    </row>
    <row r="522" ht="19.5" customHeight="1">
      <c r="A522" s="12"/>
      <c r="C522" s="12"/>
      <c r="D522" s="87"/>
      <c r="F522" s="14"/>
      <c r="G522" s="14"/>
      <c r="H522" s="14"/>
      <c r="I522" s="14"/>
      <c r="J522" s="14"/>
      <c r="K522" s="12"/>
    </row>
    <row r="523" ht="19.5" customHeight="1">
      <c r="A523" s="12"/>
      <c r="C523" s="12"/>
      <c r="D523" s="87"/>
      <c r="F523" s="14"/>
      <c r="G523" s="14"/>
      <c r="H523" s="14"/>
      <c r="I523" s="14"/>
      <c r="J523" s="14"/>
      <c r="K523" s="12"/>
    </row>
    <row r="524" ht="19.5" customHeight="1">
      <c r="A524" s="12"/>
      <c r="C524" s="12"/>
      <c r="D524" s="87"/>
      <c r="F524" s="14"/>
      <c r="G524" s="14"/>
      <c r="H524" s="14"/>
      <c r="I524" s="14"/>
      <c r="J524" s="14"/>
      <c r="K524" s="12"/>
    </row>
    <row r="525" ht="19.5" customHeight="1">
      <c r="A525" s="12"/>
      <c r="C525" s="12"/>
      <c r="D525" s="87"/>
      <c r="F525" s="14"/>
      <c r="G525" s="14"/>
      <c r="H525" s="14"/>
      <c r="I525" s="14"/>
      <c r="J525" s="14"/>
      <c r="K525" s="12"/>
    </row>
    <row r="526" ht="19.5" customHeight="1">
      <c r="A526" s="12"/>
      <c r="C526" s="12"/>
      <c r="D526" s="87"/>
      <c r="F526" s="14"/>
      <c r="G526" s="14"/>
      <c r="H526" s="14"/>
      <c r="I526" s="14"/>
      <c r="J526" s="14"/>
      <c r="K526" s="12"/>
    </row>
    <row r="527" ht="19.5" customHeight="1">
      <c r="A527" s="12"/>
      <c r="C527" s="12"/>
      <c r="D527" s="87"/>
      <c r="F527" s="14"/>
      <c r="G527" s="14"/>
      <c r="H527" s="14"/>
      <c r="I527" s="14"/>
      <c r="J527" s="14"/>
      <c r="K527" s="12"/>
    </row>
    <row r="528" ht="19.5" customHeight="1">
      <c r="A528" s="12"/>
      <c r="C528" s="12"/>
      <c r="D528" s="87"/>
      <c r="F528" s="14"/>
      <c r="G528" s="14"/>
      <c r="H528" s="14"/>
      <c r="I528" s="14"/>
      <c r="J528" s="14"/>
      <c r="K528" s="12"/>
    </row>
    <row r="529" ht="19.5" customHeight="1">
      <c r="A529" s="12"/>
      <c r="C529" s="12"/>
      <c r="D529" s="87"/>
      <c r="F529" s="14"/>
      <c r="G529" s="14"/>
      <c r="H529" s="14"/>
      <c r="I529" s="14"/>
      <c r="J529" s="14"/>
      <c r="K529" s="12"/>
    </row>
    <row r="530" ht="19.5" customHeight="1">
      <c r="A530" s="12"/>
      <c r="C530" s="12"/>
      <c r="D530" s="87"/>
      <c r="F530" s="14"/>
      <c r="G530" s="14"/>
      <c r="H530" s="14"/>
      <c r="I530" s="14"/>
      <c r="J530" s="14"/>
      <c r="K530" s="12"/>
    </row>
    <row r="531" ht="19.5" customHeight="1">
      <c r="A531" s="12"/>
      <c r="C531" s="12"/>
      <c r="D531" s="87"/>
      <c r="F531" s="14"/>
      <c r="G531" s="14"/>
      <c r="H531" s="14"/>
      <c r="I531" s="14"/>
      <c r="J531" s="14"/>
      <c r="K531" s="12"/>
    </row>
    <row r="532" ht="19.5" customHeight="1">
      <c r="A532" s="12"/>
      <c r="C532" s="12"/>
      <c r="D532" s="87"/>
      <c r="F532" s="14"/>
      <c r="G532" s="14"/>
      <c r="H532" s="14"/>
      <c r="I532" s="14"/>
      <c r="J532" s="14"/>
      <c r="K532" s="12"/>
    </row>
    <row r="533" ht="19.5" customHeight="1">
      <c r="A533" s="12"/>
      <c r="C533" s="12"/>
      <c r="D533" s="87"/>
      <c r="F533" s="14"/>
      <c r="G533" s="14"/>
      <c r="H533" s="14"/>
      <c r="I533" s="14"/>
      <c r="J533" s="14"/>
      <c r="K533" s="12"/>
    </row>
    <row r="534" ht="19.5" customHeight="1">
      <c r="A534" s="12"/>
      <c r="C534" s="12"/>
      <c r="D534" s="87"/>
      <c r="F534" s="14"/>
      <c r="G534" s="14"/>
      <c r="H534" s="14"/>
      <c r="I534" s="14"/>
      <c r="J534" s="14"/>
      <c r="K534" s="12"/>
    </row>
    <row r="535" ht="19.5" customHeight="1">
      <c r="A535" s="12"/>
      <c r="C535" s="12"/>
      <c r="D535" s="87"/>
      <c r="F535" s="14"/>
      <c r="G535" s="14"/>
      <c r="H535" s="14"/>
      <c r="I535" s="14"/>
      <c r="J535" s="14"/>
      <c r="K535" s="12"/>
    </row>
    <row r="536" ht="19.5" customHeight="1">
      <c r="A536" s="12"/>
      <c r="C536" s="12"/>
      <c r="D536" s="87"/>
      <c r="F536" s="14"/>
      <c r="G536" s="14"/>
      <c r="H536" s="14"/>
      <c r="I536" s="14"/>
      <c r="J536" s="14"/>
      <c r="K536" s="12"/>
    </row>
    <row r="537" ht="19.5" customHeight="1">
      <c r="A537" s="12"/>
      <c r="C537" s="12"/>
      <c r="D537" s="87"/>
      <c r="F537" s="14"/>
      <c r="G537" s="14"/>
      <c r="H537" s="14"/>
      <c r="I537" s="14"/>
      <c r="J537" s="14"/>
      <c r="K537" s="12"/>
    </row>
    <row r="538" ht="19.5" customHeight="1">
      <c r="A538" s="12"/>
      <c r="C538" s="12"/>
      <c r="D538" s="87"/>
      <c r="F538" s="14"/>
      <c r="G538" s="14"/>
      <c r="H538" s="14"/>
      <c r="I538" s="14"/>
      <c r="J538" s="14"/>
      <c r="K538" s="12"/>
    </row>
    <row r="539" ht="19.5" customHeight="1">
      <c r="A539" s="12"/>
      <c r="C539" s="12"/>
      <c r="D539" s="87"/>
      <c r="F539" s="14"/>
      <c r="G539" s="14"/>
      <c r="H539" s="14"/>
      <c r="I539" s="14"/>
      <c r="J539" s="14"/>
      <c r="K539" s="12"/>
    </row>
    <row r="540" ht="19.5" customHeight="1">
      <c r="A540" s="12"/>
      <c r="C540" s="12"/>
      <c r="D540" s="87"/>
      <c r="F540" s="14"/>
      <c r="G540" s="14"/>
      <c r="H540" s="14"/>
      <c r="I540" s="14"/>
      <c r="J540" s="14"/>
      <c r="K540" s="12"/>
    </row>
    <row r="541" ht="19.5" customHeight="1">
      <c r="A541" s="12"/>
      <c r="C541" s="12"/>
      <c r="D541" s="87"/>
      <c r="F541" s="14"/>
      <c r="G541" s="14"/>
      <c r="H541" s="14"/>
      <c r="I541" s="14"/>
      <c r="J541" s="14"/>
      <c r="K541" s="12"/>
    </row>
    <row r="542" ht="19.5" customHeight="1">
      <c r="A542" s="12"/>
      <c r="C542" s="12"/>
      <c r="D542" s="87"/>
      <c r="F542" s="14"/>
      <c r="G542" s="14"/>
      <c r="H542" s="14"/>
      <c r="I542" s="14"/>
      <c r="J542" s="14"/>
      <c r="K542" s="12"/>
    </row>
    <row r="543" ht="19.5" customHeight="1">
      <c r="A543" s="12"/>
      <c r="C543" s="12"/>
      <c r="D543" s="87"/>
      <c r="F543" s="14"/>
      <c r="G543" s="14"/>
      <c r="H543" s="14"/>
      <c r="I543" s="14"/>
      <c r="J543" s="14"/>
      <c r="K543" s="12"/>
    </row>
    <row r="544" ht="19.5" customHeight="1">
      <c r="A544" s="12"/>
      <c r="C544" s="12"/>
      <c r="D544" s="87"/>
      <c r="F544" s="14"/>
      <c r="G544" s="14"/>
      <c r="H544" s="14"/>
      <c r="I544" s="14"/>
      <c r="J544" s="14"/>
      <c r="K544" s="12"/>
    </row>
    <row r="545" ht="19.5" customHeight="1">
      <c r="A545" s="12"/>
      <c r="C545" s="12"/>
      <c r="D545" s="87"/>
      <c r="F545" s="14"/>
      <c r="G545" s="14"/>
      <c r="H545" s="14"/>
      <c r="I545" s="14"/>
      <c r="J545" s="14"/>
      <c r="K545" s="12"/>
    </row>
    <row r="546" ht="19.5" customHeight="1">
      <c r="A546" s="12"/>
      <c r="C546" s="12"/>
      <c r="D546" s="87"/>
      <c r="F546" s="14"/>
      <c r="G546" s="14"/>
      <c r="H546" s="14"/>
      <c r="I546" s="14"/>
      <c r="J546" s="14"/>
      <c r="K546" s="12"/>
    </row>
    <row r="547" ht="19.5" customHeight="1">
      <c r="A547" s="12"/>
      <c r="C547" s="12"/>
      <c r="D547" s="87"/>
      <c r="F547" s="14"/>
      <c r="G547" s="14"/>
      <c r="H547" s="14"/>
      <c r="I547" s="14"/>
      <c r="J547" s="14"/>
      <c r="K547" s="12"/>
    </row>
    <row r="548" ht="19.5" customHeight="1">
      <c r="A548" s="12"/>
      <c r="C548" s="12"/>
      <c r="D548" s="87"/>
      <c r="F548" s="14"/>
      <c r="G548" s="14"/>
      <c r="H548" s="14"/>
      <c r="I548" s="14"/>
      <c r="J548" s="14"/>
      <c r="K548" s="12"/>
    </row>
    <row r="549" ht="19.5" customHeight="1">
      <c r="A549" s="12"/>
      <c r="C549" s="12"/>
      <c r="D549" s="87"/>
      <c r="F549" s="14"/>
      <c r="G549" s="14"/>
      <c r="H549" s="14"/>
      <c r="I549" s="14"/>
      <c r="J549" s="14"/>
      <c r="K549" s="12"/>
    </row>
    <row r="550" ht="19.5" customHeight="1">
      <c r="A550" s="12"/>
      <c r="C550" s="12"/>
      <c r="D550" s="87"/>
      <c r="F550" s="14"/>
      <c r="G550" s="14"/>
      <c r="H550" s="14"/>
      <c r="I550" s="14"/>
      <c r="J550" s="14"/>
      <c r="K550" s="12"/>
    </row>
    <row r="551" ht="19.5" customHeight="1">
      <c r="A551" s="12"/>
      <c r="C551" s="12"/>
      <c r="D551" s="87"/>
      <c r="F551" s="14"/>
      <c r="G551" s="14"/>
      <c r="H551" s="14"/>
      <c r="I551" s="14"/>
      <c r="J551" s="14"/>
      <c r="K551" s="12"/>
    </row>
    <row r="552" ht="19.5" customHeight="1">
      <c r="A552" s="12"/>
      <c r="C552" s="12"/>
      <c r="D552" s="87"/>
      <c r="F552" s="14"/>
      <c r="G552" s="14"/>
      <c r="H552" s="14"/>
      <c r="I552" s="14"/>
      <c r="J552" s="14"/>
      <c r="K552" s="12"/>
    </row>
    <row r="553" ht="19.5" customHeight="1">
      <c r="A553" s="12"/>
      <c r="C553" s="12"/>
      <c r="D553" s="87"/>
      <c r="F553" s="14"/>
      <c r="G553" s="14"/>
      <c r="H553" s="14"/>
      <c r="I553" s="14"/>
      <c r="J553" s="14"/>
      <c r="K553" s="12"/>
    </row>
    <row r="554" ht="19.5" customHeight="1">
      <c r="A554" s="12"/>
      <c r="C554" s="12"/>
      <c r="D554" s="87"/>
      <c r="F554" s="14"/>
      <c r="G554" s="14"/>
      <c r="H554" s="14"/>
      <c r="I554" s="14"/>
      <c r="J554" s="14"/>
      <c r="K554" s="12"/>
    </row>
    <row r="555" ht="19.5" customHeight="1">
      <c r="A555" s="12"/>
      <c r="C555" s="12"/>
      <c r="D555" s="87"/>
      <c r="F555" s="14"/>
      <c r="G555" s="14"/>
      <c r="H555" s="14"/>
      <c r="I555" s="14"/>
      <c r="J555" s="14"/>
      <c r="K555" s="12"/>
    </row>
    <row r="556" ht="19.5" customHeight="1">
      <c r="A556" s="12"/>
      <c r="C556" s="12"/>
      <c r="D556" s="87"/>
      <c r="F556" s="14"/>
      <c r="G556" s="14"/>
      <c r="H556" s="14"/>
      <c r="I556" s="14"/>
      <c r="J556" s="14"/>
      <c r="K556" s="12"/>
    </row>
    <row r="557" ht="19.5" customHeight="1">
      <c r="A557" s="12"/>
      <c r="C557" s="12"/>
      <c r="D557" s="87"/>
      <c r="F557" s="14"/>
      <c r="G557" s="14"/>
      <c r="H557" s="14"/>
      <c r="I557" s="14"/>
      <c r="J557" s="14"/>
      <c r="K557" s="12"/>
    </row>
    <row r="558" ht="19.5" customHeight="1">
      <c r="A558" s="12"/>
      <c r="C558" s="12"/>
      <c r="D558" s="87"/>
      <c r="F558" s="14"/>
      <c r="G558" s="14"/>
      <c r="H558" s="14"/>
      <c r="I558" s="14"/>
      <c r="J558" s="14"/>
      <c r="K558" s="12"/>
    </row>
    <row r="559" ht="19.5" customHeight="1">
      <c r="A559" s="12"/>
      <c r="C559" s="12"/>
      <c r="D559" s="87"/>
      <c r="F559" s="14"/>
      <c r="G559" s="14"/>
      <c r="H559" s="14"/>
      <c r="I559" s="14"/>
      <c r="J559" s="14"/>
      <c r="K559" s="12"/>
    </row>
    <row r="560" ht="19.5" customHeight="1">
      <c r="A560" s="12"/>
      <c r="C560" s="12"/>
      <c r="D560" s="87"/>
      <c r="F560" s="14"/>
      <c r="G560" s="14"/>
      <c r="H560" s="14"/>
      <c r="I560" s="14"/>
      <c r="J560" s="14"/>
      <c r="K560" s="12"/>
    </row>
    <row r="561" ht="19.5" customHeight="1">
      <c r="A561" s="12"/>
      <c r="C561" s="12"/>
      <c r="D561" s="87"/>
      <c r="F561" s="14"/>
      <c r="G561" s="14"/>
      <c r="H561" s="14"/>
      <c r="I561" s="14"/>
      <c r="J561" s="14"/>
      <c r="K561" s="12"/>
    </row>
    <row r="562" ht="19.5" customHeight="1">
      <c r="A562" s="12"/>
      <c r="C562" s="12"/>
      <c r="D562" s="87"/>
      <c r="F562" s="14"/>
      <c r="G562" s="14"/>
      <c r="H562" s="14"/>
      <c r="I562" s="14"/>
      <c r="J562" s="14"/>
      <c r="K562" s="12"/>
    </row>
    <row r="563" ht="19.5" customHeight="1">
      <c r="A563" s="12"/>
      <c r="C563" s="12"/>
      <c r="D563" s="87"/>
      <c r="F563" s="14"/>
      <c r="G563" s="14"/>
      <c r="H563" s="14"/>
      <c r="I563" s="14"/>
      <c r="J563" s="14"/>
      <c r="K563" s="12"/>
    </row>
    <row r="564" ht="19.5" customHeight="1">
      <c r="A564" s="12"/>
      <c r="C564" s="12"/>
      <c r="D564" s="87"/>
      <c r="F564" s="14"/>
      <c r="G564" s="14"/>
      <c r="H564" s="14"/>
      <c r="I564" s="14"/>
      <c r="J564" s="14"/>
      <c r="K564" s="12"/>
    </row>
    <row r="565" ht="19.5" customHeight="1">
      <c r="A565" s="12"/>
      <c r="C565" s="12"/>
      <c r="D565" s="87"/>
      <c r="F565" s="14"/>
      <c r="G565" s="14"/>
      <c r="H565" s="14"/>
      <c r="I565" s="14"/>
      <c r="J565" s="14"/>
      <c r="K565" s="12"/>
    </row>
    <row r="566" ht="19.5" customHeight="1">
      <c r="A566" s="12"/>
      <c r="C566" s="12"/>
      <c r="D566" s="87"/>
      <c r="F566" s="14"/>
      <c r="G566" s="14"/>
      <c r="H566" s="14"/>
      <c r="I566" s="14"/>
      <c r="J566" s="14"/>
      <c r="K566" s="12"/>
    </row>
    <row r="567" ht="19.5" customHeight="1">
      <c r="A567" s="12"/>
      <c r="C567" s="12"/>
      <c r="D567" s="87"/>
      <c r="F567" s="14"/>
      <c r="G567" s="14"/>
      <c r="H567" s="14"/>
      <c r="I567" s="14"/>
      <c r="J567" s="14"/>
      <c r="K567" s="12"/>
    </row>
    <row r="568" ht="19.5" customHeight="1">
      <c r="A568" s="12"/>
      <c r="C568" s="12"/>
      <c r="D568" s="87"/>
      <c r="F568" s="14"/>
      <c r="G568" s="14"/>
      <c r="H568" s="14"/>
      <c r="I568" s="14"/>
      <c r="J568" s="14"/>
      <c r="K568" s="12"/>
    </row>
    <row r="569" ht="19.5" customHeight="1">
      <c r="A569" s="12"/>
      <c r="C569" s="12"/>
      <c r="D569" s="87"/>
      <c r="F569" s="14"/>
      <c r="G569" s="14"/>
      <c r="H569" s="14"/>
      <c r="I569" s="14"/>
      <c r="J569" s="14"/>
      <c r="K569" s="12"/>
    </row>
    <row r="570" ht="19.5" customHeight="1">
      <c r="A570" s="12"/>
      <c r="C570" s="12"/>
      <c r="D570" s="87"/>
      <c r="F570" s="14"/>
      <c r="G570" s="14"/>
      <c r="H570" s="14"/>
      <c r="I570" s="14"/>
      <c r="J570" s="14"/>
      <c r="K570" s="12"/>
    </row>
    <row r="571" ht="19.5" customHeight="1">
      <c r="A571" s="12"/>
      <c r="C571" s="12"/>
      <c r="D571" s="87"/>
      <c r="F571" s="14"/>
      <c r="G571" s="14"/>
      <c r="H571" s="14"/>
      <c r="I571" s="14"/>
      <c r="J571" s="14"/>
      <c r="K571" s="12"/>
    </row>
    <row r="572" ht="19.5" customHeight="1">
      <c r="A572" s="12"/>
      <c r="C572" s="12"/>
      <c r="D572" s="87"/>
      <c r="F572" s="14"/>
      <c r="G572" s="14"/>
      <c r="H572" s="14"/>
      <c r="I572" s="14"/>
      <c r="J572" s="14"/>
      <c r="K572" s="12"/>
    </row>
    <row r="573" ht="19.5" customHeight="1">
      <c r="A573" s="12"/>
      <c r="C573" s="12"/>
      <c r="D573" s="87"/>
      <c r="F573" s="14"/>
      <c r="G573" s="14"/>
      <c r="H573" s="14"/>
      <c r="I573" s="14"/>
      <c r="J573" s="14"/>
      <c r="K573" s="12"/>
    </row>
    <row r="574" ht="19.5" customHeight="1">
      <c r="A574" s="12"/>
      <c r="C574" s="12"/>
      <c r="D574" s="87"/>
      <c r="F574" s="14"/>
      <c r="G574" s="14"/>
      <c r="H574" s="14"/>
      <c r="I574" s="14"/>
      <c r="J574" s="14"/>
      <c r="K574" s="12"/>
    </row>
    <row r="575" ht="19.5" customHeight="1">
      <c r="A575" s="12"/>
      <c r="C575" s="12"/>
      <c r="D575" s="87"/>
      <c r="F575" s="14"/>
      <c r="G575" s="14"/>
      <c r="H575" s="14"/>
      <c r="I575" s="14"/>
      <c r="J575" s="14"/>
      <c r="K575" s="12"/>
    </row>
    <row r="576" ht="19.5" customHeight="1">
      <c r="A576" s="12"/>
      <c r="C576" s="12"/>
      <c r="D576" s="87"/>
      <c r="F576" s="14"/>
      <c r="G576" s="14"/>
      <c r="H576" s="14"/>
      <c r="I576" s="14"/>
      <c r="J576" s="14"/>
      <c r="K576" s="12"/>
    </row>
    <row r="577" ht="19.5" customHeight="1">
      <c r="A577" s="12"/>
      <c r="C577" s="12"/>
      <c r="D577" s="87"/>
      <c r="F577" s="14"/>
      <c r="G577" s="14"/>
      <c r="H577" s="14"/>
      <c r="I577" s="14"/>
      <c r="J577" s="14"/>
      <c r="K577" s="12"/>
    </row>
    <row r="578" ht="19.5" customHeight="1">
      <c r="A578" s="12"/>
      <c r="C578" s="12"/>
      <c r="D578" s="87"/>
      <c r="F578" s="14"/>
      <c r="G578" s="14"/>
      <c r="H578" s="14"/>
      <c r="I578" s="14"/>
      <c r="J578" s="14"/>
      <c r="K578" s="12"/>
    </row>
    <row r="579" ht="19.5" customHeight="1">
      <c r="A579" s="12"/>
      <c r="C579" s="12"/>
      <c r="D579" s="87"/>
      <c r="F579" s="14"/>
      <c r="G579" s="14"/>
      <c r="H579" s="14"/>
      <c r="I579" s="14"/>
      <c r="J579" s="14"/>
      <c r="K579" s="12"/>
    </row>
    <row r="580" ht="19.5" customHeight="1">
      <c r="A580" s="12"/>
      <c r="C580" s="12"/>
      <c r="D580" s="87"/>
      <c r="F580" s="14"/>
      <c r="G580" s="14"/>
      <c r="H580" s="14"/>
      <c r="I580" s="14"/>
      <c r="J580" s="14"/>
      <c r="K580" s="12"/>
    </row>
    <row r="581" ht="19.5" customHeight="1">
      <c r="A581" s="12"/>
      <c r="C581" s="12"/>
      <c r="D581" s="87"/>
      <c r="F581" s="14"/>
      <c r="G581" s="14"/>
      <c r="H581" s="14"/>
      <c r="I581" s="14"/>
      <c r="J581" s="14"/>
      <c r="K581" s="12"/>
    </row>
    <row r="582" ht="19.5" customHeight="1">
      <c r="A582" s="12"/>
      <c r="C582" s="12"/>
      <c r="D582" s="87"/>
      <c r="F582" s="14"/>
      <c r="G582" s="14"/>
      <c r="H582" s="14"/>
      <c r="I582" s="14"/>
      <c r="J582" s="14"/>
      <c r="K582" s="12"/>
    </row>
    <row r="583" ht="19.5" customHeight="1">
      <c r="A583" s="12"/>
      <c r="C583" s="12"/>
      <c r="D583" s="87"/>
      <c r="F583" s="14"/>
      <c r="G583" s="14"/>
      <c r="H583" s="14"/>
      <c r="I583" s="14"/>
      <c r="J583" s="14"/>
      <c r="K583" s="12"/>
    </row>
    <row r="584" ht="19.5" customHeight="1">
      <c r="A584" s="12"/>
      <c r="C584" s="12"/>
      <c r="D584" s="87"/>
      <c r="F584" s="14"/>
      <c r="G584" s="14"/>
      <c r="H584" s="14"/>
      <c r="I584" s="14"/>
      <c r="J584" s="14"/>
      <c r="K584" s="12"/>
    </row>
    <row r="585" ht="19.5" customHeight="1">
      <c r="A585" s="12"/>
      <c r="C585" s="12"/>
      <c r="D585" s="87"/>
      <c r="F585" s="14"/>
      <c r="G585" s="14"/>
      <c r="H585" s="14"/>
      <c r="I585" s="14"/>
      <c r="J585" s="14"/>
      <c r="K585" s="12"/>
    </row>
    <row r="586" ht="19.5" customHeight="1">
      <c r="A586" s="12"/>
      <c r="C586" s="12"/>
      <c r="D586" s="87"/>
      <c r="F586" s="14"/>
      <c r="G586" s="14"/>
      <c r="H586" s="14"/>
      <c r="I586" s="14"/>
      <c r="J586" s="14"/>
      <c r="K586" s="12"/>
    </row>
    <row r="587" ht="19.5" customHeight="1">
      <c r="A587" s="12"/>
      <c r="C587" s="12"/>
      <c r="D587" s="87"/>
      <c r="F587" s="14"/>
      <c r="G587" s="14"/>
      <c r="H587" s="14"/>
      <c r="I587" s="14"/>
      <c r="J587" s="14"/>
      <c r="K587" s="12"/>
    </row>
    <row r="588" ht="19.5" customHeight="1">
      <c r="A588" s="12"/>
      <c r="C588" s="12"/>
      <c r="D588" s="87"/>
      <c r="F588" s="14"/>
      <c r="G588" s="14"/>
      <c r="H588" s="14"/>
      <c r="I588" s="14"/>
      <c r="J588" s="14"/>
      <c r="K588" s="12"/>
    </row>
    <row r="589" ht="19.5" customHeight="1">
      <c r="A589" s="12"/>
      <c r="C589" s="12"/>
      <c r="D589" s="87"/>
      <c r="F589" s="14"/>
      <c r="G589" s="14"/>
      <c r="H589" s="14"/>
      <c r="I589" s="14"/>
      <c r="J589" s="14"/>
      <c r="K589" s="12"/>
    </row>
    <row r="590" ht="19.5" customHeight="1">
      <c r="A590" s="12"/>
      <c r="C590" s="12"/>
      <c r="D590" s="87"/>
      <c r="F590" s="14"/>
      <c r="G590" s="14"/>
      <c r="H590" s="14"/>
      <c r="I590" s="14"/>
      <c r="J590" s="14"/>
      <c r="K590" s="12"/>
    </row>
    <row r="591" ht="19.5" customHeight="1">
      <c r="A591" s="12"/>
      <c r="C591" s="12"/>
      <c r="D591" s="87"/>
      <c r="F591" s="14"/>
      <c r="G591" s="14"/>
      <c r="H591" s="14"/>
      <c r="I591" s="14"/>
      <c r="J591" s="14"/>
      <c r="K591" s="12"/>
    </row>
    <row r="592" ht="19.5" customHeight="1">
      <c r="A592" s="12"/>
      <c r="C592" s="12"/>
      <c r="D592" s="87"/>
      <c r="F592" s="14"/>
      <c r="G592" s="14"/>
      <c r="H592" s="14"/>
      <c r="I592" s="14"/>
      <c r="J592" s="14"/>
      <c r="K592" s="12"/>
    </row>
    <row r="593" ht="19.5" customHeight="1">
      <c r="A593" s="12"/>
      <c r="C593" s="12"/>
      <c r="D593" s="87"/>
      <c r="F593" s="14"/>
      <c r="G593" s="14"/>
      <c r="H593" s="14"/>
      <c r="I593" s="14"/>
      <c r="J593" s="14"/>
      <c r="K593" s="12"/>
    </row>
    <row r="594" ht="19.5" customHeight="1">
      <c r="A594" s="12"/>
      <c r="C594" s="12"/>
      <c r="D594" s="87"/>
      <c r="F594" s="14"/>
      <c r="G594" s="14"/>
      <c r="H594" s="14"/>
      <c r="I594" s="14"/>
      <c r="J594" s="14"/>
      <c r="K594" s="12"/>
    </row>
    <row r="595" ht="19.5" customHeight="1">
      <c r="A595" s="12"/>
      <c r="C595" s="12"/>
      <c r="D595" s="87"/>
      <c r="F595" s="14"/>
      <c r="G595" s="14"/>
      <c r="H595" s="14"/>
      <c r="I595" s="14"/>
      <c r="J595" s="14"/>
      <c r="K595" s="12"/>
    </row>
    <row r="596" ht="19.5" customHeight="1">
      <c r="A596" s="12"/>
      <c r="C596" s="12"/>
      <c r="D596" s="87"/>
      <c r="F596" s="14"/>
      <c r="G596" s="14"/>
      <c r="H596" s="14"/>
      <c r="I596" s="14"/>
      <c r="J596" s="14"/>
      <c r="K596" s="12"/>
    </row>
    <row r="597" ht="19.5" customHeight="1">
      <c r="A597" s="12"/>
      <c r="C597" s="12"/>
      <c r="D597" s="87"/>
      <c r="F597" s="14"/>
      <c r="G597" s="14"/>
      <c r="H597" s="14"/>
      <c r="I597" s="14"/>
      <c r="J597" s="14"/>
      <c r="K597" s="12"/>
    </row>
    <row r="598" ht="19.5" customHeight="1">
      <c r="A598" s="12"/>
      <c r="C598" s="12"/>
      <c r="D598" s="87"/>
      <c r="F598" s="14"/>
      <c r="G598" s="14"/>
      <c r="H598" s="14"/>
      <c r="I598" s="14"/>
      <c r="J598" s="14"/>
      <c r="K598" s="12"/>
    </row>
    <row r="599" ht="19.5" customHeight="1">
      <c r="A599" s="12"/>
      <c r="C599" s="12"/>
      <c r="D599" s="87"/>
      <c r="F599" s="14"/>
      <c r="G599" s="14"/>
      <c r="H599" s="14"/>
      <c r="I599" s="14"/>
      <c r="J599" s="14"/>
      <c r="K599" s="12"/>
    </row>
    <row r="600" ht="19.5" customHeight="1">
      <c r="A600" s="12"/>
      <c r="C600" s="12"/>
      <c r="D600" s="87"/>
      <c r="F600" s="14"/>
      <c r="G600" s="14"/>
      <c r="H600" s="14"/>
      <c r="I600" s="14"/>
      <c r="J600" s="14"/>
      <c r="K600" s="12"/>
    </row>
    <row r="601" ht="19.5" customHeight="1">
      <c r="A601" s="12"/>
      <c r="C601" s="12"/>
      <c r="D601" s="87"/>
      <c r="F601" s="14"/>
      <c r="G601" s="14"/>
      <c r="H601" s="14"/>
      <c r="I601" s="14"/>
      <c r="J601" s="14"/>
      <c r="K601" s="12"/>
    </row>
    <row r="602" ht="19.5" customHeight="1">
      <c r="A602" s="12"/>
      <c r="C602" s="12"/>
      <c r="D602" s="87"/>
      <c r="F602" s="14"/>
      <c r="G602" s="14"/>
      <c r="H602" s="14"/>
      <c r="I602" s="14"/>
      <c r="J602" s="14"/>
      <c r="K602" s="12"/>
    </row>
    <row r="603" ht="19.5" customHeight="1">
      <c r="A603" s="12"/>
      <c r="C603" s="12"/>
      <c r="D603" s="87"/>
      <c r="F603" s="14"/>
      <c r="G603" s="14"/>
      <c r="H603" s="14"/>
      <c r="I603" s="14"/>
      <c r="J603" s="14"/>
      <c r="K603" s="12"/>
    </row>
    <row r="604" ht="19.5" customHeight="1">
      <c r="A604" s="12"/>
      <c r="C604" s="12"/>
      <c r="D604" s="87"/>
      <c r="F604" s="14"/>
      <c r="G604" s="14"/>
      <c r="H604" s="14"/>
      <c r="I604" s="14"/>
      <c r="J604" s="14"/>
      <c r="K604" s="12"/>
    </row>
    <row r="605" ht="19.5" customHeight="1">
      <c r="A605" s="12"/>
      <c r="C605" s="12"/>
      <c r="D605" s="87"/>
      <c r="F605" s="14"/>
      <c r="G605" s="14"/>
      <c r="H605" s="14"/>
      <c r="I605" s="14"/>
      <c r="J605" s="14"/>
      <c r="K605" s="12"/>
    </row>
    <row r="606" ht="19.5" customHeight="1">
      <c r="A606" s="12"/>
      <c r="C606" s="12"/>
      <c r="D606" s="87"/>
      <c r="F606" s="14"/>
      <c r="G606" s="14"/>
      <c r="H606" s="14"/>
      <c r="I606" s="14"/>
      <c r="J606" s="14"/>
      <c r="K606" s="12"/>
    </row>
    <row r="607" ht="19.5" customHeight="1">
      <c r="A607" s="12"/>
      <c r="C607" s="12"/>
      <c r="D607" s="87"/>
      <c r="F607" s="14"/>
      <c r="G607" s="14"/>
      <c r="H607" s="14"/>
      <c r="I607" s="14"/>
      <c r="J607" s="14"/>
      <c r="K607" s="12"/>
    </row>
    <row r="608" ht="19.5" customHeight="1">
      <c r="A608" s="12"/>
      <c r="C608" s="12"/>
      <c r="D608" s="87"/>
      <c r="F608" s="14"/>
      <c r="G608" s="14"/>
      <c r="H608" s="14"/>
      <c r="I608" s="14"/>
      <c r="J608" s="14"/>
      <c r="K608" s="12"/>
    </row>
    <row r="609" ht="19.5" customHeight="1">
      <c r="A609" s="12"/>
      <c r="C609" s="12"/>
      <c r="D609" s="87"/>
      <c r="F609" s="14"/>
      <c r="G609" s="14"/>
      <c r="H609" s="14"/>
      <c r="I609" s="14"/>
      <c r="J609" s="14"/>
      <c r="K609" s="12"/>
    </row>
    <row r="610" ht="19.5" customHeight="1">
      <c r="A610" s="12"/>
      <c r="C610" s="12"/>
      <c r="D610" s="87"/>
      <c r="F610" s="14"/>
      <c r="G610" s="14"/>
      <c r="H610" s="14"/>
      <c r="I610" s="14"/>
      <c r="J610" s="14"/>
      <c r="K610" s="12"/>
    </row>
    <row r="611" ht="19.5" customHeight="1">
      <c r="A611" s="12"/>
      <c r="C611" s="12"/>
      <c r="D611" s="87"/>
      <c r="F611" s="14"/>
      <c r="G611" s="14"/>
      <c r="H611" s="14"/>
      <c r="I611" s="14"/>
      <c r="J611" s="14"/>
      <c r="K611" s="12"/>
    </row>
    <row r="612" ht="19.5" customHeight="1">
      <c r="A612" s="12"/>
      <c r="C612" s="12"/>
      <c r="D612" s="87"/>
      <c r="F612" s="14"/>
      <c r="G612" s="14"/>
      <c r="H612" s="14"/>
      <c r="I612" s="14"/>
      <c r="J612" s="14"/>
      <c r="K612" s="12"/>
    </row>
    <row r="613" ht="19.5" customHeight="1">
      <c r="A613" s="12"/>
      <c r="C613" s="12"/>
      <c r="D613" s="87"/>
      <c r="F613" s="14"/>
      <c r="G613" s="14"/>
      <c r="H613" s="14"/>
      <c r="I613" s="14"/>
      <c r="J613" s="14"/>
      <c r="K613" s="12"/>
    </row>
    <row r="614" ht="19.5" customHeight="1">
      <c r="A614" s="12"/>
      <c r="C614" s="12"/>
      <c r="D614" s="87"/>
      <c r="F614" s="14"/>
      <c r="G614" s="14"/>
      <c r="H614" s="14"/>
      <c r="I614" s="14"/>
      <c r="J614" s="14"/>
      <c r="K614" s="12"/>
    </row>
    <row r="615" ht="19.5" customHeight="1">
      <c r="A615" s="12"/>
      <c r="C615" s="12"/>
      <c r="D615" s="87"/>
      <c r="F615" s="14"/>
      <c r="G615" s="14"/>
      <c r="H615" s="14"/>
      <c r="I615" s="14"/>
      <c r="J615" s="14"/>
      <c r="K615" s="12"/>
    </row>
    <row r="616" ht="19.5" customHeight="1">
      <c r="A616" s="12"/>
      <c r="C616" s="12"/>
      <c r="D616" s="87"/>
      <c r="F616" s="14"/>
      <c r="G616" s="14"/>
      <c r="H616" s="14"/>
      <c r="I616" s="14"/>
      <c r="J616" s="14"/>
      <c r="K616" s="12"/>
    </row>
    <row r="617" ht="19.5" customHeight="1">
      <c r="A617" s="12"/>
      <c r="C617" s="12"/>
      <c r="D617" s="87"/>
      <c r="F617" s="14"/>
      <c r="G617" s="14"/>
      <c r="H617" s="14"/>
      <c r="I617" s="14"/>
      <c r="J617" s="14"/>
      <c r="K617" s="12"/>
    </row>
    <row r="618" ht="19.5" customHeight="1">
      <c r="A618" s="12"/>
      <c r="C618" s="12"/>
      <c r="D618" s="87"/>
      <c r="F618" s="14"/>
      <c r="G618" s="14"/>
      <c r="H618" s="14"/>
      <c r="I618" s="14"/>
      <c r="J618" s="14"/>
      <c r="K618" s="12"/>
    </row>
    <row r="619" ht="19.5" customHeight="1">
      <c r="A619" s="12"/>
      <c r="C619" s="12"/>
      <c r="D619" s="87"/>
      <c r="F619" s="14"/>
      <c r="G619" s="14"/>
      <c r="H619" s="14"/>
      <c r="I619" s="14"/>
      <c r="J619" s="14"/>
      <c r="K619" s="12"/>
    </row>
    <row r="620" ht="19.5" customHeight="1">
      <c r="A620" s="12"/>
      <c r="C620" s="12"/>
      <c r="D620" s="87"/>
      <c r="F620" s="14"/>
      <c r="G620" s="14"/>
      <c r="H620" s="14"/>
      <c r="I620" s="14"/>
      <c r="J620" s="14"/>
      <c r="K620" s="12"/>
    </row>
    <row r="621" ht="19.5" customHeight="1">
      <c r="A621" s="12"/>
      <c r="C621" s="12"/>
      <c r="D621" s="87"/>
      <c r="F621" s="14"/>
      <c r="G621" s="14"/>
      <c r="H621" s="14"/>
      <c r="I621" s="14"/>
      <c r="J621" s="14"/>
      <c r="K621" s="12"/>
    </row>
    <row r="622" ht="19.5" customHeight="1">
      <c r="A622" s="12"/>
      <c r="C622" s="12"/>
      <c r="D622" s="87"/>
      <c r="F622" s="14"/>
      <c r="G622" s="14"/>
      <c r="H622" s="14"/>
      <c r="I622" s="14"/>
      <c r="J622" s="14"/>
      <c r="K622" s="12"/>
    </row>
    <row r="623" ht="19.5" customHeight="1">
      <c r="A623" s="12"/>
      <c r="C623" s="12"/>
      <c r="D623" s="87"/>
      <c r="F623" s="14"/>
      <c r="G623" s="14"/>
      <c r="H623" s="14"/>
      <c r="I623" s="14"/>
      <c r="J623" s="14"/>
      <c r="K623" s="12"/>
    </row>
    <row r="624" ht="19.5" customHeight="1">
      <c r="A624" s="12"/>
      <c r="C624" s="12"/>
      <c r="D624" s="87"/>
      <c r="F624" s="14"/>
      <c r="G624" s="14"/>
      <c r="H624" s="14"/>
      <c r="I624" s="14"/>
      <c r="J624" s="14"/>
      <c r="K624" s="12"/>
    </row>
    <row r="625" ht="19.5" customHeight="1">
      <c r="A625" s="12"/>
      <c r="C625" s="12"/>
      <c r="D625" s="87"/>
      <c r="F625" s="14"/>
      <c r="G625" s="14"/>
      <c r="H625" s="14"/>
      <c r="I625" s="14"/>
      <c r="J625" s="14"/>
      <c r="K625" s="12"/>
    </row>
    <row r="626" ht="19.5" customHeight="1">
      <c r="A626" s="12"/>
      <c r="C626" s="12"/>
      <c r="D626" s="87"/>
      <c r="F626" s="14"/>
      <c r="G626" s="14"/>
      <c r="H626" s="14"/>
      <c r="I626" s="14"/>
      <c r="J626" s="14"/>
      <c r="K626" s="12"/>
    </row>
    <row r="627" ht="19.5" customHeight="1">
      <c r="A627" s="12"/>
      <c r="C627" s="12"/>
      <c r="D627" s="87"/>
      <c r="F627" s="14"/>
      <c r="G627" s="14"/>
      <c r="H627" s="14"/>
      <c r="I627" s="14"/>
      <c r="J627" s="14"/>
      <c r="K627" s="12"/>
    </row>
    <row r="628" ht="19.5" customHeight="1">
      <c r="A628" s="12"/>
      <c r="C628" s="12"/>
      <c r="D628" s="87"/>
      <c r="F628" s="14"/>
      <c r="G628" s="14"/>
      <c r="H628" s="14"/>
      <c r="I628" s="14"/>
      <c r="J628" s="14"/>
      <c r="K628" s="12"/>
    </row>
    <row r="629" ht="19.5" customHeight="1">
      <c r="A629" s="12"/>
      <c r="C629" s="12"/>
      <c r="D629" s="87"/>
      <c r="F629" s="14"/>
      <c r="G629" s="14"/>
      <c r="H629" s="14"/>
      <c r="I629" s="14"/>
      <c r="J629" s="14"/>
      <c r="K629" s="12"/>
    </row>
    <row r="630" ht="19.5" customHeight="1">
      <c r="A630" s="12"/>
      <c r="C630" s="12"/>
      <c r="D630" s="87"/>
      <c r="F630" s="14"/>
      <c r="G630" s="14"/>
      <c r="H630" s="14"/>
      <c r="I630" s="14"/>
      <c r="J630" s="14"/>
      <c r="K630" s="12"/>
    </row>
    <row r="631" ht="19.5" customHeight="1">
      <c r="A631" s="12"/>
      <c r="C631" s="12"/>
      <c r="D631" s="87"/>
      <c r="F631" s="14"/>
      <c r="G631" s="14"/>
      <c r="H631" s="14"/>
      <c r="I631" s="14"/>
      <c r="J631" s="14"/>
      <c r="K631" s="12"/>
    </row>
    <row r="632" ht="19.5" customHeight="1">
      <c r="A632" s="12"/>
      <c r="C632" s="12"/>
      <c r="D632" s="87"/>
      <c r="F632" s="14"/>
      <c r="G632" s="14"/>
      <c r="H632" s="14"/>
      <c r="I632" s="14"/>
      <c r="J632" s="14"/>
      <c r="K632" s="12"/>
    </row>
    <row r="633" ht="19.5" customHeight="1">
      <c r="A633" s="12"/>
      <c r="C633" s="12"/>
      <c r="D633" s="87"/>
      <c r="F633" s="14"/>
      <c r="G633" s="14"/>
      <c r="H633" s="14"/>
      <c r="I633" s="14"/>
      <c r="J633" s="14"/>
      <c r="K633" s="12"/>
    </row>
    <row r="634" ht="19.5" customHeight="1">
      <c r="A634" s="12"/>
      <c r="C634" s="12"/>
      <c r="D634" s="87"/>
      <c r="F634" s="14"/>
      <c r="G634" s="14"/>
      <c r="H634" s="14"/>
      <c r="I634" s="14"/>
      <c r="J634" s="14"/>
      <c r="K634" s="12"/>
    </row>
    <row r="635" ht="19.5" customHeight="1">
      <c r="A635" s="12"/>
      <c r="C635" s="12"/>
      <c r="D635" s="87"/>
      <c r="F635" s="14"/>
      <c r="G635" s="14"/>
      <c r="H635" s="14"/>
      <c r="I635" s="14"/>
      <c r="J635" s="14"/>
      <c r="K635" s="12"/>
    </row>
    <row r="636" ht="19.5" customHeight="1">
      <c r="A636" s="12"/>
      <c r="C636" s="12"/>
      <c r="D636" s="87"/>
      <c r="F636" s="14"/>
      <c r="G636" s="14"/>
      <c r="H636" s="14"/>
      <c r="I636" s="14"/>
      <c r="J636" s="14"/>
      <c r="K636" s="12"/>
    </row>
    <row r="637" ht="19.5" customHeight="1">
      <c r="A637" s="12"/>
      <c r="C637" s="12"/>
      <c r="D637" s="87"/>
      <c r="F637" s="14"/>
      <c r="G637" s="14"/>
      <c r="H637" s="14"/>
      <c r="I637" s="14"/>
      <c r="J637" s="14"/>
      <c r="K637" s="12"/>
    </row>
    <row r="638" ht="19.5" customHeight="1">
      <c r="A638" s="12"/>
      <c r="C638" s="12"/>
      <c r="D638" s="87"/>
      <c r="F638" s="14"/>
      <c r="G638" s="14"/>
      <c r="H638" s="14"/>
      <c r="I638" s="14"/>
      <c r="J638" s="14"/>
      <c r="K638" s="12"/>
    </row>
    <row r="639" ht="19.5" customHeight="1">
      <c r="A639" s="12"/>
      <c r="C639" s="12"/>
      <c r="D639" s="87"/>
      <c r="F639" s="14"/>
      <c r="G639" s="14"/>
      <c r="H639" s="14"/>
      <c r="I639" s="14"/>
      <c r="J639" s="14"/>
      <c r="K639" s="12"/>
    </row>
    <row r="640" ht="19.5" customHeight="1">
      <c r="A640" s="12"/>
      <c r="C640" s="12"/>
      <c r="D640" s="87"/>
      <c r="F640" s="14"/>
      <c r="G640" s="14"/>
      <c r="H640" s="14"/>
      <c r="I640" s="14"/>
      <c r="J640" s="14"/>
      <c r="K640" s="12"/>
    </row>
    <row r="641" ht="19.5" customHeight="1">
      <c r="A641" s="12"/>
      <c r="C641" s="12"/>
      <c r="D641" s="87"/>
      <c r="F641" s="14"/>
      <c r="G641" s="14"/>
      <c r="H641" s="14"/>
      <c r="I641" s="14"/>
      <c r="J641" s="14"/>
      <c r="K641" s="12"/>
    </row>
    <row r="642" ht="19.5" customHeight="1">
      <c r="A642" s="12"/>
      <c r="C642" s="12"/>
      <c r="D642" s="87"/>
      <c r="F642" s="14"/>
      <c r="G642" s="14"/>
      <c r="H642" s="14"/>
      <c r="I642" s="14"/>
      <c r="J642" s="14"/>
      <c r="K642" s="12"/>
    </row>
    <row r="643" ht="19.5" customHeight="1">
      <c r="A643" s="12"/>
      <c r="C643" s="12"/>
      <c r="D643" s="87"/>
      <c r="F643" s="14"/>
      <c r="G643" s="14"/>
      <c r="H643" s="14"/>
      <c r="I643" s="14"/>
      <c r="J643" s="14"/>
      <c r="K643" s="12"/>
    </row>
    <row r="644" ht="19.5" customHeight="1">
      <c r="A644" s="12"/>
      <c r="C644" s="12"/>
      <c r="D644" s="87"/>
      <c r="F644" s="14"/>
      <c r="G644" s="14"/>
      <c r="H644" s="14"/>
      <c r="I644" s="14"/>
      <c r="J644" s="14"/>
      <c r="K644" s="12"/>
    </row>
    <row r="645" ht="19.5" customHeight="1">
      <c r="A645" s="12"/>
      <c r="C645" s="12"/>
      <c r="D645" s="87"/>
      <c r="F645" s="14"/>
      <c r="G645" s="14"/>
      <c r="H645" s="14"/>
      <c r="I645" s="14"/>
      <c r="J645" s="14"/>
      <c r="K645" s="12"/>
    </row>
    <row r="646" ht="19.5" customHeight="1">
      <c r="A646" s="12"/>
      <c r="C646" s="12"/>
      <c r="D646" s="87"/>
      <c r="F646" s="14"/>
      <c r="G646" s="14"/>
      <c r="H646" s="14"/>
      <c r="I646" s="14"/>
      <c r="J646" s="14"/>
      <c r="K646" s="12"/>
    </row>
    <row r="647" ht="19.5" customHeight="1">
      <c r="A647" s="12"/>
      <c r="C647" s="12"/>
      <c r="D647" s="87"/>
      <c r="F647" s="14"/>
      <c r="G647" s="14"/>
      <c r="H647" s="14"/>
      <c r="I647" s="14"/>
      <c r="J647" s="14"/>
      <c r="K647" s="12"/>
    </row>
    <row r="648" ht="19.5" customHeight="1">
      <c r="A648" s="12"/>
      <c r="C648" s="12"/>
      <c r="D648" s="87"/>
      <c r="F648" s="14"/>
      <c r="G648" s="14"/>
      <c r="H648" s="14"/>
      <c r="I648" s="14"/>
      <c r="J648" s="14"/>
      <c r="K648" s="12"/>
    </row>
    <row r="649" ht="19.5" customHeight="1">
      <c r="A649" s="12"/>
      <c r="C649" s="12"/>
      <c r="D649" s="87"/>
      <c r="F649" s="14"/>
      <c r="G649" s="14"/>
      <c r="H649" s="14"/>
      <c r="I649" s="14"/>
      <c r="J649" s="14"/>
      <c r="K649" s="12"/>
    </row>
    <row r="650" ht="19.5" customHeight="1">
      <c r="A650" s="12"/>
      <c r="C650" s="12"/>
      <c r="D650" s="87"/>
      <c r="F650" s="14"/>
      <c r="G650" s="14"/>
      <c r="H650" s="14"/>
      <c r="I650" s="14"/>
      <c r="J650" s="14"/>
      <c r="K650" s="12"/>
    </row>
    <row r="651" ht="19.5" customHeight="1">
      <c r="A651" s="12"/>
      <c r="C651" s="12"/>
      <c r="D651" s="87"/>
      <c r="F651" s="14"/>
      <c r="G651" s="14"/>
      <c r="H651" s="14"/>
      <c r="I651" s="14"/>
      <c r="J651" s="14"/>
      <c r="K651" s="12"/>
    </row>
    <row r="652" ht="19.5" customHeight="1">
      <c r="A652" s="12"/>
      <c r="C652" s="12"/>
      <c r="D652" s="87"/>
      <c r="F652" s="14"/>
      <c r="G652" s="14"/>
      <c r="H652" s="14"/>
      <c r="I652" s="14"/>
      <c r="J652" s="14"/>
      <c r="K652" s="12"/>
    </row>
    <row r="653" ht="19.5" customHeight="1">
      <c r="A653" s="12"/>
      <c r="C653" s="12"/>
      <c r="D653" s="87"/>
      <c r="F653" s="14"/>
      <c r="G653" s="14"/>
      <c r="H653" s="14"/>
      <c r="I653" s="14"/>
      <c r="J653" s="14"/>
      <c r="K653" s="12"/>
    </row>
    <row r="654" ht="19.5" customHeight="1">
      <c r="A654" s="12"/>
      <c r="C654" s="12"/>
      <c r="D654" s="87"/>
      <c r="F654" s="14"/>
      <c r="G654" s="14"/>
      <c r="H654" s="14"/>
      <c r="I654" s="14"/>
      <c r="J654" s="14"/>
      <c r="K654" s="12"/>
    </row>
    <row r="655" ht="19.5" customHeight="1">
      <c r="A655" s="12"/>
      <c r="C655" s="12"/>
      <c r="D655" s="87"/>
      <c r="F655" s="14"/>
      <c r="G655" s="14"/>
      <c r="H655" s="14"/>
      <c r="I655" s="14"/>
      <c r="J655" s="14"/>
      <c r="K655" s="12"/>
    </row>
    <row r="656" ht="19.5" customHeight="1">
      <c r="A656" s="12"/>
      <c r="C656" s="12"/>
      <c r="D656" s="87"/>
      <c r="F656" s="14"/>
      <c r="G656" s="14"/>
      <c r="H656" s="14"/>
      <c r="I656" s="14"/>
      <c r="J656" s="14"/>
      <c r="K656" s="12"/>
    </row>
    <row r="657" ht="19.5" customHeight="1">
      <c r="A657" s="12"/>
      <c r="C657" s="12"/>
      <c r="D657" s="87"/>
      <c r="F657" s="14"/>
      <c r="G657" s="14"/>
      <c r="H657" s="14"/>
      <c r="I657" s="14"/>
      <c r="J657" s="14"/>
      <c r="K657" s="12"/>
    </row>
    <row r="658" ht="19.5" customHeight="1">
      <c r="A658" s="12"/>
      <c r="C658" s="12"/>
      <c r="D658" s="87"/>
      <c r="F658" s="14"/>
      <c r="G658" s="14"/>
      <c r="H658" s="14"/>
      <c r="I658" s="14"/>
      <c r="J658" s="14"/>
      <c r="K658" s="12"/>
    </row>
    <row r="659" ht="19.5" customHeight="1">
      <c r="A659" s="12"/>
      <c r="C659" s="12"/>
      <c r="D659" s="87"/>
      <c r="F659" s="14"/>
      <c r="G659" s="14"/>
      <c r="H659" s="14"/>
      <c r="I659" s="14"/>
      <c r="J659" s="14"/>
      <c r="K659" s="12"/>
    </row>
    <row r="660" ht="19.5" customHeight="1">
      <c r="A660" s="12"/>
      <c r="C660" s="12"/>
      <c r="D660" s="87"/>
      <c r="F660" s="14"/>
      <c r="G660" s="14"/>
      <c r="H660" s="14"/>
      <c r="I660" s="14"/>
      <c r="J660" s="14"/>
      <c r="K660" s="12"/>
    </row>
    <row r="661" ht="19.5" customHeight="1">
      <c r="A661" s="12"/>
      <c r="C661" s="12"/>
      <c r="D661" s="87"/>
      <c r="F661" s="14"/>
      <c r="G661" s="14"/>
      <c r="H661" s="14"/>
      <c r="I661" s="14"/>
      <c r="J661" s="14"/>
      <c r="K661" s="12"/>
    </row>
    <row r="662" ht="19.5" customHeight="1">
      <c r="A662" s="12"/>
      <c r="C662" s="12"/>
      <c r="D662" s="87"/>
      <c r="F662" s="14"/>
      <c r="G662" s="14"/>
      <c r="H662" s="14"/>
      <c r="I662" s="14"/>
      <c r="J662" s="14"/>
      <c r="K662" s="12"/>
    </row>
    <row r="663" ht="19.5" customHeight="1">
      <c r="A663" s="12"/>
      <c r="C663" s="12"/>
      <c r="D663" s="87"/>
      <c r="F663" s="14"/>
      <c r="G663" s="14"/>
      <c r="H663" s="14"/>
      <c r="I663" s="14"/>
      <c r="J663" s="14"/>
      <c r="K663" s="12"/>
    </row>
    <row r="664" ht="19.5" customHeight="1">
      <c r="A664" s="12"/>
      <c r="C664" s="12"/>
      <c r="D664" s="87"/>
      <c r="F664" s="14"/>
      <c r="G664" s="14"/>
      <c r="H664" s="14"/>
      <c r="I664" s="14"/>
      <c r="J664" s="14"/>
      <c r="K664" s="12"/>
    </row>
    <row r="665" ht="19.5" customHeight="1">
      <c r="A665" s="12"/>
      <c r="C665" s="12"/>
      <c r="D665" s="87"/>
      <c r="F665" s="14"/>
      <c r="G665" s="14"/>
      <c r="H665" s="14"/>
      <c r="I665" s="14"/>
      <c r="J665" s="14"/>
      <c r="K665" s="12"/>
    </row>
    <row r="666" ht="19.5" customHeight="1">
      <c r="A666" s="12"/>
      <c r="C666" s="12"/>
      <c r="D666" s="87"/>
      <c r="F666" s="14"/>
      <c r="G666" s="14"/>
      <c r="H666" s="14"/>
      <c r="I666" s="14"/>
      <c r="J666" s="14"/>
      <c r="K666" s="12"/>
    </row>
    <row r="667" ht="19.5" customHeight="1">
      <c r="A667" s="12"/>
      <c r="C667" s="12"/>
      <c r="D667" s="87"/>
      <c r="F667" s="14"/>
      <c r="G667" s="14"/>
      <c r="H667" s="14"/>
      <c r="I667" s="14"/>
      <c r="J667" s="14"/>
      <c r="K667" s="12"/>
    </row>
    <row r="668" ht="19.5" customHeight="1">
      <c r="A668" s="12"/>
      <c r="C668" s="12"/>
      <c r="D668" s="87"/>
      <c r="F668" s="14"/>
      <c r="G668" s="14"/>
      <c r="H668" s="14"/>
      <c r="I668" s="14"/>
      <c r="J668" s="14"/>
      <c r="K668" s="12"/>
    </row>
    <row r="669" ht="19.5" customHeight="1">
      <c r="A669" s="12"/>
      <c r="C669" s="12"/>
      <c r="D669" s="87"/>
      <c r="F669" s="14"/>
      <c r="G669" s="14"/>
      <c r="H669" s="14"/>
      <c r="I669" s="14"/>
      <c r="J669" s="14"/>
      <c r="K669" s="12"/>
    </row>
    <row r="670" ht="19.5" customHeight="1">
      <c r="A670" s="12"/>
      <c r="C670" s="12"/>
      <c r="D670" s="87"/>
      <c r="F670" s="14"/>
      <c r="G670" s="14"/>
      <c r="H670" s="14"/>
      <c r="I670" s="14"/>
      <c r="J670" s="14"/>
      <c r="K670" s="12"/>
    </row>
    <row r="671" ht="19.5" customHeight="1">
      <c r="A671" s="12"/>
      <c r="C671" s="12"/>
      <c r="D671" s="87"/>
      <c r="F671" s="14"/>
      <c r="G671" s="14"/>
      <c r="H671" s="14"/>
      <c r="I671" s="14"/>
      <c r="J671" s="14"/>
      <c r="K671" s="12"/>
    </row>
    <row r="672" ht="19.5" customHeight="1">
      <c r="A672" s="12"/>
      <c r="C672" s="12"/>
      <c r="D672" s="87"/>
      <c r="F672" s="14"/>
      <c r="G672" s="14"/>
      <c r="H672" s="14"/>
      <c r="I672" s="14"/>
      <c r="J672" s="14"/>
      <c r="K672" s="12"/>
    </row>
    <row r="673" ht="19.5" customHeight="1">
      <c r="A673" s="12"/>
      <c r="C673" s="12"/>
      <c r="D673" s="87"/>
      <c r="F673" s="14"/>
      <c r="G673" s="14"/>
      <c r="H673" s="14"/>
      <c r="I673" s="14"/>
      <c r="J673" s="14"/>
      <c r="K673" s="12"/>
    </row>
    <row r="674" ht="19.5" customHeight="1">
      <c r="A674" s="12"/>
      <c r="C674" s="12"/>
      <c r="D674" s="87"/>
      <c r="F674" s="14"/>
      <c r="G674" s="14"/>
      <c r="H674" s="14"/>
      <c r="I674" s="14"/>
      <c r="J674" s="14"/>
      <c r="K674" s="12"/>
    </row>
    <row r="675" ht="19.5" customHeight="1">
      <c r="A675" s="12"/>
      <c r="C675" s="12"/>
      <c r="D675" s="87"/>
      <c r="F675" s="14"/>
      <c r="G675" s="14"/>
      <c r="H675" s="14"/>
      <c r="I675" s="14"/>
      <c r="J675" s="14"/>
      <c r="K675" s="12"/>
    </row>
    <row r="676" ht="19.5" customHeight="1">
      <c r="A676" s="12"/>
      <c r="C676" s="12"/>
      <c r="D676" s="87"/>
      <c r="F676" s="14"/>
      <c r="G676" s="14"/>
      <c r="H676" s="14"/>
      <c r="I676" s="14"/>
      <c r="J676" s="14"/>
      <c r="K676" s="12"/>
    </row>
    <row r="677" ht="19.5" customHeight="1">
      <c r="A677" s="12"/>
      <c r="C677" s="12"/>
      <c r="D677" s="87"/>
      <c r="F677" s="14"/>
      <c r="G677" s="14"/>
      <c r="H677" s="14"/>
      <c r="I677" s="14"/>
      <c r="J677" s="14"/>
      <c r="K677" s="12"/>
    </row>
    <row r="678" ht="19.5" customHeight="1">
      <c r="A678" s="12"/>
      <c r="C678" s="12"/>
      <c r="D678" s="87"/>
      <c r="F678" s="14"/>
      <c r="G678" s="14"/>
      <c r="H678" s="14"/>
      <c r="I678" s="14"/>
      <c r="J678" s="14"/>
      <c r="K678" s="12"/>
    </row>
    <row r="679" ht="19.5" customHeight="1">
      <c r="A679" s="12"/>
      <c r="C679" s="12"/>
      <c r="D679" s="87"/>
      <c r="F679" s="14"/>
      <c r="G679" s="14"/>
      <c r="H679" s="14"/>
      <c r="I679" s="14"/>
      <c r="J679" s="14"/>
      <c r="K679" s="12"/>
    </row>
    <row r="680" ht="19.5" customHeight="1">
      <c r="A680" s="12"/>
      <c r="C680" s="12"/>
      <c r="D680" s="87"/>
      <c r="F680" s="14"/>
      <c r="G680" s="14"/>
      <c r="H680" s="14"/>
      <c r="I680" s="14"/>
      <c r="J680" s="14"/>
      <c r="K680" s="12"/>
    </row>
    <row r="681" ht="19.5" customHeight="1">
      <c r="A681" s="12"/>
      <c r="C681" s="12"/>
      <c r="D681" s="87"/>
      <c r="F681" s="14"/>
      <c r="G681" s="14"/>
      <c r="H681" s="14"/>
      <c r="I681" s="14"/>
      <c r="J681" s="14"/>
      <c r="K681" s="12"/>
    </row>
    <row r="682" ht="19.5" customHeight="1">
      <c r="A682" s="12"/>
      <c r="C682" s="12"/>
      <c r="D682" s="87"/>
      <c r="F682" s="14"/>
      <c r="G682" s="14"/>
      <c r="H682" s="14"/>
      <c r="I682" s="14"/>
      <c r="J682" s="14"/>
      <c r="K682" s="12"/>
    </row>
    <row r="683" ht="19.5" customHeight="1">
      <c r="A683" s="12"/>
      <c r="C683" s="12"/>
      <c r="D683" s="87"/>
      <c r="F683" s="14"/>
      <c r="G683" s="14"/>
      <c r="H683" s="14"/>
      <c r="I683" s="14"/>
      <c r="J683" s="14"/>
      <c r="K683" s="12"/>
    </row>
    <row r="684" ht="19.5" customHeight="1">
      <c r="A684" s="12"/>
      <c r="C684" s="12"/>
      <c r="D684" s="87"/>
      <c r="F684" s="14"/>
      <c r="G684" s="14"/>
      <c r="H684" s="14"/>
      <c r="I684" s="14"/>
      <c r="J684" s="14"/>
      <c r="K684" s="12"/>
    </row>
    <row r="685" ht="19.5" customHeight="1">
      <c r="A685" s="12"/>
      <c r="C685" s="12"/>
      <c r="D685" s="87"/>
      <c r="F685" s="14"/>
      <c r="G685" s="14"/>
      <c r="H685" s="14"/>
      <c r="I685" s="14"/>
      <c r="J685" s="14"/>
      <c r="K685" s="12"/>
    </row>
    <row r="686" ht="19.5" customHeight="1">
      <c r="A686" s="12"/>
      <c r="C686" s="12"/>
      <c r="D686" s="87"/>
      <c r="F686" s="14"/>
      <c r="G686" s="14"/>
      <c r="H686" s="14"/>
      <c r="I686" s="14"/>
      <c r="J686" s="14"/>
      <c r="K686" s="12"/>
    </row>
    <row r="687" ht="19.5" customHeight="1">
      <c r="A687" s="12"/>
      <c r="C687" s="12"/>
      <c r="D687" s="87"/>
      <c r="F687" s="14"/>
      <c r="G687" s="14"/>
      <c r="H687" s="14"/>
      <c r="I687" s="14"/>
      <c r="J687" s="14"/>
      <c r="K687" s="12"/>
    </row>
    <row r="688" ht="19.5" customHeight="1">
      <c r="A688" s="12"/>
      <c r="C688" s="12"/>
      <c r="D688" s="87"/>
      <c r="F688" s="14"/>
      <c r="G688" s="14"/>
      <c r="H688" s="14"/>
      <c r="I688" s="14"/>
      <c r="J688" s="14"/>
      <c r="K688" s="12"/>
    </row>
    <row r="689" ht="19.5" customHeight="1">
      <c r="A689" s="12"/>
      <c r="C689" s="12"/>
      <c r="D689" s="87"/>
      <c r="F689" s="14"/>
      <c r="G689" s="14"/>
      <c r="H689" s="14"/>
      <c r="I689" s="14"/>
      <c r="J689" s="14"/>
      <c r="K689" s="12"/>
    </row>
    <row r="690" ht="19.5" customHeight="1">
      <c r="A690" s="12"/>
      <c r="C690" s="12"/>
      <c r="D690" s="87"/>
      <c r="F690" s="14"/>
      <c r="G690" s="14"/>
      <c r="H690" s="14"/>
      <c r="I690" s="14"/>
      <c r="J690" s="14"/>
      <c r="K690" s="12"/>
    </row>
    <row r="691" ht="19.5" customHeight="1">
      <c r="A691" s="12"/>
      <c r="C691" s="12"/>
      <c r="D691" s="87"/>
      <c r="F691" s="14"/>
      <c r="G691" s="14"/>
      <c r="H691" s="14"/>
      <c r="I691" s="14"/>
      <c r="J691" s="14"/>
      <c r="K691" s="12"/>
    </row>
    <row r="692" ht="19.5" customHeight="1">
      <c r="A692" s="12"/>
      <c r="C692" s="12"/>
      <c r="D692" s="87"/>
      <c r="F692" s="14"/>
      <c r="G692" s="14"/>
      <c r="H692" s="14"/>
      <c r="I692" s="14"/>
      <c r="J692" s="14"/>
      <c r="K692" s="12"/>
    </row>
    <row r="693" ht="19.5" customHeight="1">
      <c r="A693" s="12"/>
      <c r="C693" s="12"/>
      <c r="D693" s="87"/>
      <c r="F693" s="14"/>
      <c r="G693" s="14"/>
      <c r="H693" s="14"/>
      <c r="I693" s="14"/>
      <c r="J693" s="14"/>
      <c r="K693" s="12"/>
    </row>
    <row r="694" ht="19.5" customHeight="1">
      <c r="A694" s="12"/>
      <c r="C694" s="12"/>
      <c r="D694" s="87"/>
      <c r="F694" s="14"/>
      <c r="G694" s="14"/>
      <c r="H694" s="14"/>
      <c r="I694" s="14"/>
      <c r="J694" s="14"/>
      <c r="K694" s="12"/>
    </row>
    <row r="695" ht="19.5" customHeight="1">
      <c r="A695" s="12"/>
      <c r="C695" s="12"/>
      <c r="D695" s="87"/>
      <c r="F695" s="14"/>
      <c r="G695" s="14"/>
      <c r="H695" s="14"/>
      <c r="I695" s="14"/>
      <c r="J695" s="14"/>
      <c r="K695" s="12"/>
    </row>
    <row r="696" ht="19.5" customHeight="1">
      <c r="A696" s="12"/>
      <c r="C696" s="12"/>
      <c r="D696" s="87"/>
      <c r="F696" s="14"/>
      <c r="G696" s="14"/>
      <c r="H696" s="14"/>
      <c r="I696" s="14"/>
      <c r="J696" s="14"/>
      <c r="K696" s="12"/>
    </row>
    <row r="697" ht="19.5" customHeight="1">
      <c r="A697" s="12"/>
      <c r="C697" s="12"/>
      <c r="D697" s="87"/>
      <c r="F697" s="14"/>
      <c r="G697" s="14"/>
      <c r="H697" s="14"/>
      <c r="I697" s="14"/>
      <c r="J697" s="14"/>
      <c r="K697" s="12"/>
    </row>
    <row r="698" ht="19.5" customHeight="1">
      <c r="A698" s="12"/>
      <c r="C698" s="12"/>
      <c r="D698" s="87"/>
      <c r="F698" s="14"/>
      <c r="G698" s="14"/>
      <c r="H698" s="14"/>
      <c r="I698" s="14"/>
      <c r="J698" s="14"/>
      <c r="K698" s="12"/>
    </row>
    <row r="699" ht="19.5" customHeight="1">
      <c r="A699" s="12"/>
      <c r="C699" s="12"/>
      <c r="D699" s="87"/>
      <c r="F699" s="14"/>
      <c r="G699" s="14"/>
      <c r="H699" s="14"/>
      <c r="I699" s="14"/>
      <c r="J699" s="14"/>
      <c r="K699" s="12"/>
    </row>
    <row r="700" ht="19.5" customHeight="1">
      <c r="A700" s="12"/>
      <c r="C700" s="12"/>
      <c r="D700" s="87"/>
      <c r="F700" s="14"/>
      <c r="G700" s="14"/>
      <c r="H700" s="14"/>
      <c r="I700" s="14"/>
      <c r="J700" s="14"/>
      <c r="K700" s="12"/>
    </row>
    <row r="701" ht="19.5" customHeight="1">
      <c r="A701" s="12"/>
      <c r="C701" s="12"/>
      <c r="D701" s="87"/>
      <c r="F701" s="14"/>
      <c r="G701" s="14"/>
      <c r="H701" s="14"/>
      <c r="I701" s="14"/>
      <c r="J701" s="14"/>
      <c r="K701" s="12"/>
    </row>
    <row r="702" ht="19.5" customHeight="1">
      <c r="A702" s="12"/>
      <c r="C702" s="12"/>
      <c r="D702" s="87"/>
      <c r="F702" s="14"/>
      <c r="G702" s="14"/>
      <c r="H702" s="14"/>
      <c r="I702" s="14"/>
      <c r="J702" s="14"/>
      <c r="K702" s="12"/>
    </row>
    <row r="703" ht="19.5" customHeight="1">
      <c r="A703" s="12"/>
      <c r="C703" s="12"/>
      <c r="D703" s="87"/>
      <c r="F703" s="14"/>
      <c r="G703" s="14"/>
      <c r="H703" s="14"/>
      <c r="I703" s="14"/>
      <c r="J703" s="14"/>
      <c r="K703" s="12"/>
    </row>
    <row r="704" ht="19.5" customHeight="1">
      <c r="A704" s="12"/>
      <c r="C704" s="12"/>
      <c r="D704" s="87"/>
      <c r="F704" s="14"/>
      <c r="G704" s="14"/>
      <c r="H704" s="14"/>
      <c r="I704" s="14"/>
      <c r="J704" s="14"/>
      <c r="K704" s="12"/>
    </row>
    <row r="705" ht="19.5" customHeight="1">
      <c r="A705" s="12"/>
      <c r="C705" s="12"/>
      <c r="D705" s="87"/>
      <c r="F705" s="14"/>
      <c r="G705" s="14"/>
      <c r="H705" s="14"/>
      <c r="I705" s="14"/>
      <c r="J705" s="14"/>
      <c r="K705" s="12"/>
    </row>
    <row r="706" ht="19.5" customHeight="1">
      <c r="A706" s="12"/>
      <c r="C706" s="12"/>
      <c r="D706" s="87"/>
      <c r="F706" s="14"/>
      <c r="G706" s="14"/>
      <c r="H706" s="14"/>
      <c r="I706" s="14"/>
      <c r="J706" s="14"/>
      <c r="K706" s="12"/>
    </row>
    <row r="707" ht="19.5" customHeight="1">
      <c r="A707" s="12"/>
      <c r="C707" s="12"/>
      <c r="D707" s="87"/>
      <c r="F707" s="14"/>
      <c r="G707" s="14"/>
      <c r="H707" s="14"/>
      <c r="I707" s="14"/>
      <c r="J707" s="14"/>
      <c r="K707" s="12"/>
    </row>
    <row r="708" ht="19.5" customHeight="1">
      <c r="A708" s="12"/>
      <c r="C708" s="12"/>
      <c r="D708" s="87"/>
      <c r="F708" s="14"/>
      <c r="G708" s="14"/>
      <c r="H708" s="14"/>
      <c r="I708" s="14"/>
      <c r="J708" s="14"/>
      <c r="K708" s="12"/>
    </row>
    <row r="709" ht="19.5" customHeight="1">
      <c r="A709" s="12"/>
      <c r="C709" s="12"/>
      <c r="D709" s="87"/>
      <c r="F709" s="14"/>
      <c r="G709" s="14"/>
      <c r="H709" s="14"/>
      <c r="I709" s="14"/>
      <c r="J709" s="14"/>
      <c r="K709" s="12"/>
    </row>
    <row r="710" ht="19.5" customHeight="1">
      <c r="A710" s="12"/>
      <c r="C710" s="12"/>
      <c r="D710" s="87"/>
      <c r="F710" s="14"/>
      <c r="G710" s="14"/>
      <c r="H710" s="14"/>
      <c r="I710" s="14"/>
      <c r="J710" s="14"/>
      <c r="K710" s="12"/>
    </row>
    <row r="711" ht="19.5" customHeight="1">
      <c r="A711" s="12"/>
      <c r="C711" s="12"/>
      <c r="D711" s="87"/>
      <c r="F711" s="14"/>
      <c r="G711" s="14"/>
      <c r="H711" s="14"/>
      <c r="I711" s="14"/>
      <c r="J711" s="14"/>
      <c r="K711" s="12"/>
    </row>
    <row r="712" ht="19.5" customHeight="1">
      <c r="A712" s="12"/>
      <c r="C712" s="12"/>
      <c r="D712" s="87"/>
      <c r="F712" s="14"/>
      <c r="G712" s="14"/>
      <c r="H712" s="14"/>
      <c r="I712" s="14"/>
      <c r="J712" s="14"/>
      <c r="K712" s="12"/>
    </row>
    <row r="713" ht="19.5" customHeight="1">
      <c r="A713" s="12"/>
      <c r="C713" s="12"/>
      <c r="D713" s="87"/>
      <c r="F713" s="14"/>
      <c r="G713" s="14"/>
      <c r="H713" s="14"/>
      <c r="I713" s="14"/>
      <c r="J713" s="14"/>
      <c r="K713" s="12"/>
    </row>
    <row r="714" ht="19.5" customHeight="1">
      <c r="A714" s="12"/>
      <c r="C714" s="12"/>
      <c r="D714" s="87"/>
      <c r="F714" s="14"/>
      <c r="G714" s="14"/>
      <c r="H714" s="14"/>
      <c r="I714" s="14"/>
      <c r="J714" s="14"/>
      <c r="K714" s="12"/>
    </row>
    <row r="715" ht="19.5" customHeight="1">
      <c r="A715" s="12"/>
      <c r="C715" s="12"/>
      <c r="D715" s="87"/>
      <c r="F715" s="14"/>
      <c r="G715" s="14"/>
      <c r="H715" s="14"/>
      <c r="I715" s="14"/>
      <c r="J715" s="14"/>
      <c r="K715" s="12"/>
    </row>
    <row r="716" ht="19.5" customHeight="1">
      <c r="A716" s="12"/>
      <c r="C716" s="12"/>
      <c r="D716" s="87"/>
      <c r="F716" s="14"/>
      <c r="G716" s="14"/>
      <c r="H716" s="14"/>
      <c r="I716" s="14"/>
      <c r="J716" s="14"/>
      <c r="K716" s="12"/>
    </row>
    <row r="717" ht="19.5" customHeight="1">
      <c r="A717" s="12"/>
      <c r="C717" s="12"/>
      <c r="D717" s="87"/>
      <c r="F717" s="14"/>
      <c r="G717" s="14"/>
      <c r="H717" s="14"/>
      <c r="I717" s="14"/>
      <c r="J717" s="14"/>
      <c r="K717" s="12"/>
    </row>
    <row r="718" ht="19.5" customHeight="1">
      <c r="A718" s="12"/>
      <c r="C718" s="12"/>
      <c r="D718" s="87"/>
      <c r="F718" s="14"/>
      <c r="G718" s="14"/>
      <c r="H718" s="14"/>
      <c r="I718" s="14"/>
      <c r="J718" s="14"/>
      <c r="K718" s="12"/>
    </row>
    <row r="719" ht="19.5" customHeight="1">
      <c r="A719" s="12"/>
      <c r="C719" s="12"/>
      <c r="D719" s="87"/>
      <c r="F719" s="14"/>
      <c r="G719" s="14"/>
      <c r="H719" s="14"/>
      <c r="I719" s="14"/>
      <c r="J719" s="14"/>
      <c r="K719" s="12"/>
    </row>
    <row r="720" ht="19.5" customHeight="1">
      <c r="A720" s="12"/>
      <c r="C720" s="12"/>
      <c r="D720" s="87"/>
      <c r="F720" s="14"/>
      <c r="G720" s="14"/>
      <c r="H720" s="14"/>
      <c r="I720" s="14"/>
      <c r="J720" s="14"/>
      <c r="K720" s="12"/>
    </row>
    <row r="721" ht="19.5" customHeight="1">
      <c r="A721" s="12"/>
      <c r="C721" s="12"/>
      <c r="D721" s="87"/>
      <c r="F721" s="14"/>
      <c r="G721" s="14"/>
      <c r="H721" s="14"/>
      <c r="I721" s="14"/>
      <c r="J721" s="14"/>
      <c r="K721" s="12"/>
    </row>
    <row r="722" ht="19.5" customHeight="1">
      <c r="A722" s="12"/>
      <c r="C722" s="12"/>
      <c r="D722" s="87"/>
      <c r="F722" s="14"/>
      <c r="G722" s="14"/>
      <c r="H722" s="14"/>
      <c r="I722" s="14"/>
      <c r="J722" s="14"/>
      <c r="K722" s="12"/>
    </row>
    <row r="723" ht="19.5" customHeight="1">
      <c r="A723" s="12"/>
      <c r="C723" s="12"/>
      <c r="D723" s="87"/>
      <c r="F723" s="14"/>
      <c r="G723" s="14"/>
      <c r="H723" s="14"/>
      <c r="I723" s="14"/>
      <c r="J723" s="14"/>
      <c r="K723" s="12"/>
    </row>
    <row r="724" ht="19.5" customHeight="1">
      <c r="A724" s="12"/>
      <c r="C724" s="12"/>
      <c r="D724" s="87"/>
      <c r="F724" s="14"/>
      <c r="G724" s="14"/>
      <c r="H724" s="14"/>
      <c r="I724" s="14"/>
      <c r="J724" s="14"/>
      <c r="K724" s="12"/>
    </row>
    <row r="725" ht="19.5" customHeight="1">
      <c r="A725" s="12"/>
      <c r="C725" s="12"/>
      <c r="D725" s="87"/>
      <c r="F725" s="14"/>
      <c r="G725" s="14"/>
      <c r="H725" s="14"/>
      <c r="I725" s="14"/>
      <c r="J725" s="14"/>
      <c r="K725" s="12"/>
    </row>
    <row r="726" ht="19.5" customHeight="1">
      <c r="A726" s="12"/>
      <c r="C726" s="12"/>
      <c r="D726" s="87"/>
      <c r="F726" s="14"/>
      <c r="G726" s="14"/>
      <c r="H726" s="14"/>
      <c r="I726" s="14"/>
      <c r="J726" s="14"/>
      <c r="K726" s="12"/>
    </row>
    <row r="727" ht="19.5" customHeight="1">
      <c r="A727" s="12"/>
      <c r="C727" s="12"/>
      <c r="D727" s="87"/>
      <c r="F727" s="14"/>
      <c r="G727" s="14"/>
      <c r="H727" s="14"/>
      <c r="I727" s="14"/>
      <c r="J727" s="14"/>
      <c r="K727" s="12"/>
    </row>
    <row r="728" ht="19.5" customHeight="1">
      <c r="A728" s="12"/>
      <c r="C728" s="12"/>
      <c r="D728" s="87"/>
      <c r="F728" s="14"/>
      <c r="G728" s="14"/>
      <c r="H728" s="14"/>
      <c r="I728" s="14"/>
      <c r="J728" s="14"/>
      <c r="K728" s="12"/>
    </row>
    <row r="729" ht="19.5" customHeight="1">
      <c r="A729" s="12"/>
      <c r="C729" s="12"/>
      <c r="D729" s="87"/>
      <c r="F729" s="14"/>
      <c r="G729" s="14"/>
      <c r="H729" s="14"/>
      <c r="I729" s="14"/>
      <c r="J729" s="14"/>
      <c r="K729" s="12"/>
    </row>
    <row r="730" ht="19.5" customHeight="1">
      <c r="A730" s="12"/>
      <c r="C730" s="12"/>
      <c r="D730" s="87"/>
      <c r="F730" s="14"/>
      <c r="G730" s="14"/>
      <c r="H730" s="14"/>
      <c r="I730" s="14"/>
      <c r="J730" s="14"/>
      <c r="K730" s="12"/>
    </row>
    <row r="731" ht="19.5" customHeight="1">
      <c r="A731" s="12"/>
      <c r="C731" s="12"/>
      <c r="D731" s="87"/>
      <c r="F731" s="14"/>
      <c r="G731" s="14"/>
      <c r="H731" s="14"/>
      <c r="I731" s="14"/>
      <c r="J731" s="14"/>
      <c r="K731" s="12"/>
    </row>
    <row r="732" ht="19.5" customHeight="1">
      <c r="A732" s="12"/>
      <c r="C732" s="12"/>
      <c r="D732" s="87"/>
      <c r="F732" s="14"/>
      <c r="G732" s="14"/>
      <c r="H732" s="14"/>
      <c r="I732" s="14"/>
      <c r="J732" s="14"/>
      <c r="K732" s="12"/>
    </row>
    <row r="733" ht="19.5" customHeight="1">
      <c r="A733" s="12"/>
      <c r="C733" s="12"/>
      <c r="D733" s="87"/>
      <c r="F733" s="14"/>
      <c r="G733" s="14"/>
      <c r="H733" s="14"/>
      <c r="I733" s="14"/>
      <c r="J733" s="14"/>
      <c r="K733" s="12"/>
    </row>
    <row r="734" ht="19.5" customHeight="1">
      <c r="A734" s="12"/>
      <c r="C734" s="12"/>
      <c r="D734" s="87"/>
      <c r="F734" s="14"/>
      <c r="G734" s="14"/>
      <c r="H734" s="14"/>
      <c r="I734" s="14"/>
      <c r="J734" s="14"/>
      <c r="K734" s="12"/>
    </row>
    <row r="735" ht="19.5" customHeight="1">
      <c r="A735" s="12"/>
      <c r="C735" s="12"/>
      <c r="D735" s="87"/>
      <c r="F735" s="14"/>
      <c r="G735" s="14"/>
      <c r="H735" s="14"/>
      <c r="I735" s="14"/>
      <c r="J735" s="14"/>
      <c r="K735" s="12"/>
    </row>
    <row r="736" ht="19.5" customHeight="1">
      <c r="A736" s="12"/>
      <c r="C736" s="12"/>
      <c r="D736" s="87"/>
      <c r="F736" s="14"/>
      <c r="G736" s="14"/>
      <c r="H736" s="14"/>
      <c r="I736" s="14"/>
      <c r="J736" s="14"/>
      <c r="K736" s="12"/>
    </row>
    <row r="737" ht="19.5" customHeight="1">
      <c r="A737" s="12"/>
      <c r="C737" s="12"/>
      <c r="D737" s="87"/>
      <c r="F737" s="14"/>
      <c r="G737" s="14"/>
      <c r="H737" s="14"/>
      <c r="I737" s="14"/>
      <c r="J737" s="14"/>
      <c r="K737" s="12"/>
    </row>
    <row r="738" ht="19.5" customHeight="1">
      <c r="A738" s="12"/>
      <c r="C738" s="12"/>
      <c r="D738" s="87"/>
      <c r="F738" s="14"/>
      <c r="G738" s="14"/>
      <c r="H738" s="14"/>
      <c r="I738" s="14"/>
      <c r="J738" s="14"/>
      <c r="K738" s="12"/>
    </row>
    <row r="739" ht="19.5" customHeight="1">
      <c r="A739" s="12"/>
      <c r="C739" s="12"/>
      <c r="D739" s="87"/>
      <c r="F739" s="14"/>
      <c r="G739" s="14"/>
      <c r="H739" s="14"/>
      <c r="I739" s="14"/>
      <c r="J739" s="14"/>
      <c r="K739" s="12"/>
    </row>
    <row r="740" ht="19.5" customHeight="1">
      <c r="A740" s="12"/>
      <c r="C740" s="12"/>
      <c r="D740" s="87"/>
      <c r="F740" s="14"/>
      <c r="G740" s="14"/>
      <c r="H740" s="14"/>
      <c r="I740" s="14"/>
      <c r="J740" s="14"/>
      <c r="K740" s="12"/>
    </row>
    <row r="741" ht="19.5" customHeight="1">
      <c r="A741" s="12"/>
      <c r="C741" s="12"/>
      <c r="D741" s="87"/>
      <c r="F741" s="14"/>
      <c r="G741" s="14"/>
      <c r="H741" s="14"/>
      <c r="I741" s="14"/>
      <c r="J741" s="14"/>
      <c r="K741" s="12"/>
    </row>
    <row r="742" ht="19.5" customHeight="1">
      <c r="A742" s="12"/>
      <c r="C742" s="12"/>
      <c r="D742" s="87"/>
      <c r="F742" s="14"/>
      <c r="G742" s="14"/>
      <c r="H742" s="14"/>
      <c r="I742" s="14"/>
      <c r="J742" s="14"/>
      <c r="K742" s="12"/>
    </row>
    <row r="743" ht="19.5" customHeight="1">
      <c r="A743" s="12"/>
      <c r="C743" s="12"/>
      <c r="D743" s="87"/>
      <c r="F743" s="14"/>
      <c r="G743" s="14"/>
      <c r="H743" s="14"/>
      <c r="I743" s="14"/>
      <c r="J743" s="14"/>
      <c r="K743" s="12"/>
    </row>
    <row r="744" ht="19.5" customHeight="1">
      <c r="A744" s="12"/>
      <c r="C744" s="12"/>
      <c r="D744" s="87"/>
      <c r="F744" s="14"/>
      <c r="G744" s="14"/>
      <c r="H744" s="14"/>
      <c r="I744" s="14"/>
      <c r="J744" s="14"/>
      <c r="K744" s="12"/>
    </row>
    <row r="745" ht="19.5" customHeight="1">
      <c r="A745" s="12"/>
      <c r="C745" s="12"/>
      <c r="D745" s="87"/>
      <c r="F745" s="14"/>
      <c r="G745" s="14"/>
      <c r="H745" s="14"/>
      <c r="I745" s="14"/>
      <c r="J745" s="14"/>
      <c r="K745" s="12"/>
    </row>
    <row r="746" ht="19.5" customHeight="1">
      <c r="A746" s="12"/>
      <c r="C746" s="12"/>
      <c r="D746" s="87"/>
      <c r="F746" s="14"/>
      <c r="G746" s="14"/>
      <c r="H746" s="14"/>
      <c r="I746" s="14"/>
      <c r="J746" s="14"/>
      <c r="K746" s="12"/>
    </row>
    <row r="747" ht="19.5" customHeight="1">
      <c r="A747" s="12"/>
      <c r="C747" s="12"/>
      <c r="D747" s="87"/>
      <c r="F747" s="14"/>
      <c r="G747" s="14"/>
      <c r="H747" s="14"/>
      <c r="I747" s="14"/>
      <c r="J747" s="14"/>
      <c r="K747" s="12"/>
    </row>
    <row r="748" ht="19.5" customHeight="1">
      <c r="A748" s="12"/>
      <c r="C748" s="12"/>
      <c r="D748" s="87"/>
      <c r="F748" s="14"/>
      <c r="G748" s="14"/>
      <c r="H748" s="14"/>
      <c r="I748" s="14"/>
      <c r="J748" s="14"/>
      <c r="K748" s="12"/>
    </row>
    <row r="749" ht="19.5" customHeight="1">
      <c r="A749" s="12"/>
      <c r="C749" s="12"/>
      <c r="D749" s="87"/>
      <c r="F749" s="14"/>
      <c r="G749" s="14"/>
      <c r="H749" s="14"/>
      <c r="I749" s="14"/>
      <c r="J749" s="14"/>
      <c r="K749" s="12"/>
    </row>
    <row r="750" ht="19.5" customHeight="1">
      <c r="A750" s="12"/>
      <c r="C750" s="12"/>
      <c r="D750" s="87"/>
      <c r="F750" s="14"/>
      <c r="G750" s="14"/>
      <c r="H750" s="14"/>
      <c r="I750" s="14"/>
      <c r="J750" s="14"/>
      <c r="K750" s="12"/>
    </row>
    <row r="751" ht="19.5" customHeight="1">
      <c r="A751" s="12"/>
      <c r="C751" s="12"/>
      <c r="D751" s="87"/>
      <c r="F751" s="14"/>
      <c r="G751" s="14"/>
      <c r="H751" s="14"/>
      <c r="I751" s="14"/>
      <c r="J751" s="14"/>
      <c r="K751" s="12"/>
    </row>
    <row r="752" ht="19.5" customHeight="1">
      <c r="A752" s="12"/>
      <c r="C752" s="12"/>
      <c r="D752" s="87"/>
      <c r="F752" s="14"/>
      <c r="G752" s="14"/>
      <c r="H752" s="14"/>
      <c r="I752" s="14"/>
      <c r="J752" s="14"/>
      <c r="K752" s="12"/>
    </row>
    <row r="753" ht="19.5" customHeight="1">
      <c r="A753" s="12"/>
      <c r="C753" s="12"/>
      <c r="D753" s="87"/>
      <c r="F753" s="14"/>
      <c r="G753" s="14"/>
      <c r="H753" s="14"/>
      <c r="I753" s="14"/>
      <c r="J753" s="14"/>
      <c r="K753" s="12"/>
    </row>
    <row r="754" ht="19.5" customHeight="1">
      <c r="A754" s="12"/>
      <c r="C754" s="12"/>
      <c r="D754" s="87"/>
      <c r="F754" s="14"/>
      <c r="G754" s="14"/>
      <c r="H754" s="14"/>
      <c r="I754" s="14"/>
      <c r="J754" s="14"/>
      <c r="K754" s="12"/>
    </row>
    <row r="755" ht="19.5" customHeight="1">
      <c r="A755" s="12"/>
      <c r="C755" s="12"/>
      <c r="D755" s="87"/>
      <c r="F755" s="14"/>
      <c r="G755" s="14"/>
      <c r="H755" s="14"/>
      <c r="I755" s="14"/>
      <c r="J755" s="14"/>
      <c r="K755" s="12"/>
    </row>
    <row r="756" ht="19.5" customHeight="1">
      <c r="A756" s="12"/>
      <c r="C756" s="12"/>
      <c r="D756" s="87"/>
      <c r="F756" s="14"/>
      <c r="G756" s="14"/>
      <c r="H756" s="14"/>
      <c r="I756" s="14"/>
      <c r="J756" s="14"/>
      <c r="K756" s="12"/>
    </row>
    <row r="757" ht="19.5" customHeight="1">
      <c r="A757" s="12"/>
      <c r="C757" s="12"/>
      <c r="D757" s="87"/>
      <c r="F757" s="14"/>
      <c r="G757" s="14"/>
      <c r="H757" s="14"/>
      <c r="I757" s="14"/>
      <c r="J757" s="14"/>
      <c r="K757" s="12"/>
    </row>
    <row r="758" ht="19.5" customHeight="1">
      <c r="A758" s="12"/>
      <c r="C758" s="12"/>
      <c r="D758" s="87"/>
      <c r="F758" s="14"/>
      <c r="G758" s="14"/>
      <c r="H758" s="14"/>
      <c r="I758" s="14"/>
      <c r="J758" s="14"/>
      <c r="K758" s="12"/>
    </row>
    <row r="759" ht="19.5" customHeight="1">
      <c r="A759" s="12"/>
      <c r="C759" s="12"/>
      <c r="D759" s="87"/>
      <c r="F759" s="14"/>
      <c r="G759" s="14"/>
      <c r="H759" s="14"/>
      <c r="I759" s="14"/>
      <c r="J759" s="14"/>
      <c r="K759" s="12"/>
    </row>
    <row r="760" ht="19.5" customHeight="1">
      <c r="A760" s="12"/>
      <c r="C760" s="12"/>
      <c r="D760" s="87"/>
      <c r="F760" s="14"/>
      <c r="G760" s="14"/>
      <c r="H760" s="14"/>
      <c r="I760" s="14"/>
      <c r="J760" s="14"/>
      <c r="K760" s="12"/>
    </row>
    <row r="761" ht="19.5" customHeight="1">
      <c r="A761" s="12"/>
      <c r="C761" s="12"/>
      <c r="D761" s="87"/>
      <c r="F761" s="14"/>
      <c r="G761" s="14"/>
      <c r="H761" s="14"/>
      <c r="I761" s="14"/>
      <c r="J761" s="14"/>
      <c r="K761" s="12"/>
    </row>
    <row r="762" ht="19.5" customHeight="1">
      <c r="A762" s="12"/>
      <c r="C762" s="12"/>
      <c r="D762" s="87"/>
      <c r="F762" s="14"/>
      <c r="G762" s="14"/>
      <c r="H762" s="14"/>
      <c r="I762" s="14"/>
      <c r="J762" s="14"/>
      <c r="K762" s="12"/>
    </row>
    <row r="763" ht="19.5" customHeight="1">
      <c r="A763" s="12"/>
      <c r="C763" s="12"/>
      <c r="D763" s="87"/>
      <c r="F763" s="14"/>
      <c r="G763" s="14"/>
      <c r="H763" s="14"/>
      <c r="I763" s="14"/>
      <c r="J763" s="14"/>
      <c r="K763" s="12"/>
    </row>
    <row r="764" ht="19.5" customHeight="1">
      <c r="A764" s="12"/>
      <c r="C764" s="12"/>
      <c r="D764" s="87"/>
      <c r="F764" s="14"/>
      <c r="G764" s="14"/>
      <c r="H764" s="14"/>
      <c r="I764" s="14"/>
      <c r="J764" s="14"/>
      <c r="K764" s="12"/>
    </row>
    <row r="765" ht="19.5" customHeight="1">
      <c r="A765" s="12"/>
      <c r="C765" s="12"/>
      <c r="D765" s="87"/>
      <c r="F765" s="14"/>
      <c r="G765" s="14"/>
      <c r="H765" s="14"/>
      <c r="I765" s="14"/>
      <c r="J765" s="14"/>
      <c r="K765" s="12"/>
    </row>
    <row r="766" ht="19.5" customHeight="1">
      <c r="A766" s="12"/>
      <c r="C766" s="12"/>
      <c r="D766" s="87"/>
      <c r="F766" s="14"/>
      <c r="G766" s="14"/>
      <c r="H766" s="14"/>
      <c r="I766" s="14"/>
      <c r="J766" s="14"/>
      <c r="K766" s="12"/>
    </row>
    <row r="767" ht="19.5" customHeight="1">
      <c r="A767" s="12"/>
      <c r="C767" s="12"/>
      <c r="D767" s="87"/>
      <c r="F767" s="14"/>
      <c r="G767" s="14"/>
      <c r="H767" s="14"/>
      <c r="I767" s="14"/>
      <c r="J767" s="14"/>
      <c r="K767" s="12"/>
    </row>
    <row r="768" ht="19.5" customHeight="1">
      <c r="A768" s="12"/>
      <c r="C768" s="12"/>
      <c r="D768" s="87"/>
      <c r="F768" s="14"/>
      <c r="G768" s="14"/>
      <c r="H768" s="14"/>
      <c r="I768" s="14"/>
      <c r="J768" s="14"/>
      <c r="K768" s="12"/>
    </row>
    <row r="769" ht="19.5" customHeight="1">
      <c r="A769" s="12"/>
      <c r="C769" s="12"/>
      <c r="D769" s="87"/>
      <c r="F769" s="14"/>
      <c r="G769" s="14"/>
      <c r="H769" s="14"/>
      <c r="I769" s="14"/>
      <c r="J769" s="14"/>
      <c r="K769" s="12"/>
    </row>
    <row r="770" ht="19.5" customHeight="1">
      <c r="A770" s="12"/>
      <c r="C770" s="12"/>
      <c r="D770" s="87"/>
      <c r="F770" s="14"/>
      <c r="G770" s="14"/>
      <c r="H770" s="14"/>
      <c r="I770" s="14"/>
      <c r="J770" s="14"/>
      <c r="K770" s="12"/>
    </row>
    <row r="771" ht="19.5" customHeight="1">
      <c r="A771" s="12"/>
      <c r="C771" s="12"/>
      <c r="D771" s="87"/>
      <c r="F771" s="14"/>
      <c r="G771" s="14"/>
      <c r="H771" s="14"/>
      <c r="I771" s="14"/>
      <c r="J771" s="14"/>
      <c r="K771" s="12"/>
    </row>
    <row r="772" ht="19.5" customHeight="1">
      <c r="A772" s="12"/>
      <c r="C772" s="12"/>
      <c r="D772" s="87"/>
      <c r="F772" s="14"/>
      <c r="G772" s="14"/>
      <c r="H772" s="14"/>
      <c r="I772" s="14"/>
      <c r="J772" s="14"/>
      <c r="K772" s="12"/>
    </row>
    <row r="773" ht="19.5" customHeight="1">
      <c r="A773" s="12"/>
      <c r="C773" s="12"/>
      <c r="D773" s="87"/>
      <c r="F773" s="14"/>
      <c r="G773" s="14"/>
      <c r="H773" s="14"/>
      <c r="I773" s="14"/>
      <c r="J773" s="14"/>
      <c r="K773" s="12"/>
    </row>
    <row r="774" ht="19.5" customHeight="1">
      <c r="A774" s="12"/>
      <c r="C774" s="12"/>
      <c r="D774" s="87"/>
      <c r="F774" s="14"/>
      <c r="G774" s="14"/>
      <c r="H774" s="14"/>
      <c r="I774" s="14"/>
      <c r="J774" s="14"/>
      <c r="K774" s="12"/>
    </row>
    <row r="775" ht="19.5" customHeight="1">
      <c r="A775" s="12"/>
      <c r="C775" s="12"/>
      <c r="D775" s="87"/>
      <c r="F775" s="14"/>
      <c r="G775" s="14"/>
      <c r="H775" s="14"/>
      <c r="I775" s="14"/>
      <c r="J775" s="14"/>
      <c r="K775" s="12"/>
    </row>
    <row r="776" ht="19.5" customHeight="1">
      <c r="A776" s="12"/>
      <c r="C776" s="12"/>
      <c r="D776" s="87"/>
      <c r="F776" s="14"/>
      <c r="G776" s="14"/>
      <c r="H776" s="14"/>
      <c r="I776" s="14"/>
      <c r="J776" s="14"/>
      <c r="K776" s="12"/>
    </row>
    <row r="777" ht="19.5" customHeight="1">
      <c r="A777" s="12"/>
      <c r="C777" s="12"/>
      <c r="D777" s="87"/>
      <c r="F777" s="14"/>
      <c r="G777" s="14"/>
      <c r="H777" s="14"/>
      <c r="I777" s="14"/>
      <c r="J777" s="14"/>
      <c r="K777" s="12"/>
    </row>
    <row r="778" ht="19.5" customHeight="1">
      <c r="A778" s="12"/>
      <c r="C778" s="12"/>
      <c r="D778" s="87"/>
      <c r="F778" s="14"/>
      <c r="G778" s="14"/>
      <c r="H778" s="14"/>
      <c r="I778" s="14"/>
      <c r="J778" s="14"/>
      <c r="K778" s="12"/>
    </row>
    <row r="779" ht="19.5" customHeight="1">
      <c r="A779" s="12"/>
      <c r="C779" s="12"/>
      <c r="D779" s="87"/>
      <c r="F779" s="14"/>
      <c r="G779" s="14"/>
      <c r="H779" s="14"/>
      <c r="I779" s="14"/>
      <c r="J779" s="14"/>
      <c r="K779" s="12"/>
    </row>
    <row r="780" ht="19.5" customHeight="1">
      <c r="A780" s="12"/>
      <c r="C780" s="12"/>
      <c r="D780" s="87"/>
      <c r="F780" s="14"/>
      <c r="G780" s="14"/>
      <c r="H780" s="14"/>
      <c r="I780" s="14"/>
      <c r="J780" s="14"/>
      <c r="K780" s="12"/>
    </row>
    <row r="781" ht="19.5" customHeight="1">
      <c r="A781" s="12"/>
      <c r="C781" s="12"/>
      <c r="D781" s="87"/>
      <c r="F781" s="14"/>
      <c r="G781" s="14"/>
      <c r="H781" s="14"/>
      <c r="I781" s="14"/>
      <c r="J781" s="14"/>
      <c r="K781" s="12"/>
    </row>
    <row r="782" ht="19.5" customHeight="1">
      <c r="A782" s="12"/>
      <c r="C782" s="12"/>
      <c r="D782" s="87"/>
      <c r="F782" s="14"/>
      <c r="G782" s="14"/>
      <c r="H782" s="14"/>
      <c r="I782" s="14"/>
      <c r="J782" s="14"/>
      <c r="K782" s="12"/>
    </row>
    <row r="783" ht="19.5" customHeight="1">
      <c r="A783" s="12"/>
      <c r="C783" s="12"/>
      <c r="D783" s="87"/>
      <c r="F783" s="14"/>
      <c r="G783" s="14"/>
      <c r="H783" s="14"/>
      <c r="I783" s="14"/>
      <c r="J783" s="14"/>
      <c r="K783" s="12"/>
    </row>
    <row r="784" ht="19.5" customHeight="1">
      <c r="A784" s="12"/>
      <c r="C784" s="12"/>
      <c r="D784" s="87"/>
      <c r="F784" s="14"/>
      <c r="G784" s="14"/>
      <c r="H784" s="14"/>
      <c r="I784" s="14"/>
      <c r="J784" s="14"/>
      <c r="K784" s="12"/>
    </row>
    <row r="785" ht="19.5" customHeight="1">
      <c r="A785" s="12"/>
      <c r="C785" s="12"/>
      <c r="D785" s="87"/>
      <c r="F785" s="14"/>
      <c r="G785" s="14"/>
      <c r="H785" s="14"/>
      <c r="I785" s="14"/>
      <c r="J785" s="14"/>
      <c r="K785" s="12"/>
    </row>
    <row r="786" ht="19.5" customHeight="1">
      <c r="A786" s="12"/>
      <c r="C786" s="12"/>
      <c r="D786" s="87"/>
      <c r="F786" s="14"/>
      <c r="G786" s="14"/>
      <c r="H786" s="14"/>
      <c r="I786" s="14"/>
      <c r="J786" s="14"/>
      <c r="K786" s="12"/>
    </row>
    <row r="787" ht="19.5" customHeight="1">
      <c r="A787" s="12"/>
      <c r="C787" s="12"/>
      <c r="D787" s="87"/>
      <c r="F787" s="14"/>
      <c r="G787" s="14"/>
      <c r="H787" s="14"/>
      <c r="I787" s="14"/>
      <c r="J787" s="14"/>
      <c r="K787" s="12"/>
    </row>
    <row r="788" ht="19.5" customHeight="1">
      <c r="A788" s="12"/>
      <c r="C788" s="12"/>
      <c r="D788" s="87"/>
      <c r="F788" s="14"/>
      <c r="G788" s="14"/>
      <c r="H788" s="14"/>
      <c r="I788" s="14"/>
      <c r="J788" s="14"/>
      <c r="K788" s="12"/>
    </row>
    <row r="789" ht="19.5" customHeight="1">
      <c r="A789" s="12"/>
      <c r="C789" s="12"/>
      <c r="D789" s="87"/>
      <c r="F789" s="14"/>
      <c r="G789" s="14"/>
      <c r="H789" s="14"/>
      <c r="I789" s="14"/>
      <c r="J789" s="14"/>
      <c r="K789" s="12"/>
    </row>
    <row r="790" ht="19.5" customHeight="1">
      <c r="A790" s="12"/>
      <c r="C790" s="12"/>
      <c r="D790" s="87"/>
      <c r="F790" s="14"/>
      <c r="G790" s="14"/>
      <c r="H790" s="14"/>
      <c r="I790" s="14"/>
      <c r="J790" s="14"/>
      <c r="K790" s="12"/>
    </row>
    <row r="791" ht="19.5" customHeight="1">
      <c r="A791" s="12"/>
      <c r="C791" s="12"/>
      <c r="D791" s="87"/>
      <c r="F791" s="14"/>
      <c r="G791" s="14"/>
      <c r="H791" s="14"/>
      <c r="I791" s="14"/>
      <c r="J791" s="14"/>
      <c r="K791" s="12"/>
    </row>
    <row r="792" ht="19.5" customHeight="1">
      <c r="A792" s="12"/>
      <c r="C792" s="12"/>
      <c r="D792" s="87"/>
      <c r="F792" s="14"/>
      <c r="G792" s="14"/>
      <c r="H792" s="14"/>
      <c r="I792" s="14"/>
      <c r="J792" s="14"/>
      <c r="K792" s="12"/>
    </row>
    <row r="793" ht="19.5" customHeight="1">
      <c r="A793" s="12"/>
      <c r="C793" s="12"/>
      <c r="D793" s="87"/>
      <c r="F793" s="14"/>
      <c r="G793" s="14"/>
      <c r="H793" s="14"/>
      <c r="I793" s="14"/>
      <c r="J793" s="14"/>
      <c r="K793" s="12"/>
    </row>
    <row r="794" ht="19.5" customHeight="1">
      <c r="A794" s="12"/>
      <c r="C794" s="12"/>
      <c r="D794" s="87"/>
      <c r="F794" s="14"/>
      <c r="G794" s="14"/>
      <c r="H794" s="14"/>
      <c r="I794" s="14"/>
      <c r="J794" s="14"/>
      <c r="K794" s="12"/>
    </row>
    <row r="795" ht="19.5" customHeight="1">
      <c r="A795" s="12"/>
      <c r="C795" s="12"/>
      <c r="D795" s="87"/>
      <c r="F795" s="14"/>
      <c r="G795" s="14"/>
      <c r="H795" s="14"/>
      <c r="I795" s="14"/>
      <c r="J795" s="14"/>
      <c r="K795" s="12"/>
    </row>
    <row r="796" ht="19.5" customHeight="1">
      <c r="A796" s="12"/>
      <c r="C796" s="12"/>
      <c r="D796" s="87"/>
      <c r="F796" s="14"/>
      <c r="G796" s="14"/>
      <c r="H796" s="14"/>
      <c r="I796" s="14"/>
      <c r="J796" s="14"/>
      <c r="K796" s="12"/>
    </row>
    <row r="797" ht="19.5" customHeight="1">
      <c r="A797" s="12"/>
      <c r="C797" s="12"/>
      <c r="D797" s="87"/>
      <c r="F797" s="14"/>
      <c r="G797" s="14"/>
      <c r="H797" s="14"/>
      <c r="I797" s="14"/>
      <c r="J797" s="14"/>
      <c r="K797" s="12"/>
    </row>
    <row r="798" ht="19.5" customHeight="1">
      <c r="A798" s="12"/>
      <c r="C798" s="12"/>
      <c r="D798" s="87"/>
      <c r="F798" s="14"/>
      <c r="G798" s="14"/>
      <c r="H798" s="14"/>
      <c r="I798" s="14"/>
      <c r="J798" s="14"/>
      <c r="K798" s="12"/>
    </row>
    <row r="799" ht="19.5" customHeight="1">
      <c r="A799" s="12"/>
      <c r="C799" s="12"/>
      <c r="D799" s="87"/>
      <c r="F799" s="14"/>
      <c r="G799" s="14"/>
      <c r="H799" s="14"/>
      <c r="I799" s="14"/>
      <c r="J799" s="14"/>
      <c r="K799" s="12"/>
    </row>
    <row r="800" ht="19.5" customHeight="1">
      <c r="A800" s="12"/>
      <c r="C800" s="12"/>
      <c r="D800" s="87"/>
      <c r="F800" s="14"/>
      <c r="G800" s="14"/>
      <c r="H800" s="14"/>
      <c r="I800" s="14"/>
      <c r="J800" s="14"/>
      <c r="K800" s="12"/>
    </row>
    <row r="801" ht="19.5" customHeight="1">
      <c r="A801" s="12"/>
      <c r="C801" s="12"/>
      <c r="D801" s="87"/>
      <c r="F801" s="14"/>
      <c r="G801" s="14"/>
      <c r="H801" s="14"/>
      <c r="I801" s="14"/>
      <c r="J801" s="14"/>
      <c r="K801" s="12"/>
    </row>
    <row r="802" ht="19.5" customHeight="1">
      <c r="A802" s="12"/>
      <c r="C802" s="12"/>
      <c r="D802" s="87"/>
      <c r="F802" s="14"/>
      <c r="G802" s="14"/>
      <c r="H802" s="14"/>
      <c r="I802" s="14"/>
      <c r="J802" s="14"/>
      <c r="K802" s="12"/>
    </row>
    <row r="803" ht="19.5" customHeight="1">
      <c r="A803" s="12"/>
      <c r="C803" s="12"/>
      <c r="D803" s="87"/>
      <c r="F803" s="14"/>
      <c r="G803" s="14"/>
      <c r="H803" s="14"/>
      <c r="I803" s="14"/>
      <c r="J803" s="14"/>
      <c r="K803" s="12"/>
    </row>
    <row r="804" ht="19.5" customHeight="1">
      <c r="A804" s="12"/>
      <c r="C804" s="12"/>
      <c r="D804" s="87"/>
      <c r="F804" s="14"/>
      <c r="G804" s="14"/>
      <c r="H804" s="14"/>
      <c r="I804" s="14"/>
      <c r="J804" s="14"/>
      <c r="K804" s="12"/>
    </row>
    <row r="805" ht="19.5" customHeight="1">
      <c r="A805" s="12"/>
      <c r="C805" s="12"/>
      <c r="D805" s="87"/>
      <c r="F805" s="14"/>
      <c r="G805" s="14"/>
      <c r="H805" s="14"/>
      <c r="I805" s="14"/>
      <c r="J805" s="14"/>
      <c r="K805" s="12"/>
    </row>
    <row r="806" ht="19.5" customHeight="1">
      <c r="A806" s="12"/>
      <c r="C806" s="12"/>
      <c r="D806" s="87"/>
      <c r="F806" s="14"/>
      <c r="G806" s="14"/>
      <c r="H806" s="14"/>
      <c r="I806" s="14"/>
      <c r="J806" s="14"/>
      <c r="K806" s="12"/>
    </row>
    <row r="807" ht="19.5" customHeight="1">
      <c r="A807" s="12"/>
      <c r="C807" s="12"/>
      <c r="D807" s="87"/>
      <c r="F807" s="14"/>
      <c r="G807" s="14"/>
      <c r="H807" s="14"/>
      <c r="I807" s="14"/>
      <c r="J807" s="14"/>
      <c r="K807" s="12"/>
    </row>
    <row r="808" ht="19.5" customHeight="1">
      <c r="A808" s="12"/>
      <c r="C808" s="12"/>
      <c r="D808" s="87"/>
      <c r="F808" s="14"/>
      <c r="G808" s="14"/>
      <c r="H808" s="14"/>
      <c r="I808" s="14"/>
      <c r="J808" s="14"/>
      <c r="K808" s="12"/>
    </row>
    <row r="809" ht="19.5" customHeight="1">
      <c r="A809" s="12"/>
      <c r="C809" s="12"/>
      <c r="D809" s="87"/>
      <c r="F809" s="14"/>
      <c r="G809" s="14"/>
      <c r="H809" s="14"/>
      <c r="I809" s="14"/>
      <c r="J809" s="14"/>
      <c r="K809" s="12"/>
    </row>
    <row r="810" ht="19.5" customHeight="1">
      <c r="A810" s="12"/>
      <c r="C810" s="12"/>
      <c r="D810" s="87"/>
      <c r="F810" s="14"/>
      <c r="G810" s="14"/>
      <c r="H810" s="14"/>
      <c r="I810" s="14"/>
      <c r="J810" s="14"/>
      <c r="K810" s="12"/>
    </row>
    <row r="811" ht="19.5" customHeight="1">
      <c r="A811" s="12"/>
      <c r="C811" s="12"/>
      <c r="D811" s="87"/>
      <c r="F811" s="14"/>
      <c r="G811" s="14"/>
      <c r="H811" s="14"/>
      <c r="I811" s="14"/>
      <c r="J811" s="14"/>
      <c r="K811" s="12"/>
    </row>
    <row r="812" ht="19.5" customHeight="1">
      <c r="A812" s="12"/>
      <c r="C812" s="12"/>
      <c r="D812" s="87"/>
      <c r="F812" s="14"/>
      <c r="G812" s="14"/>
      <c r="H812" s="14"/>
      <c r="I812" s="14"/>
      <c r="J812" s="14"/>
      <c r="K812" s="12"/>
    </row>
    <row r="813" ht="19.5" customHeight="1">
      <c r="A813" s="12"/>
      <c r="C813" s="12"/>
      <c r="D813" s="87"/>
      <c r="F813" s="14"/>
      <c r="G813" s="14"/>
      <c r="H813" s="14"/>
      <c r="I813" s="14"/>
      <c r="J813" s="14"/>
      <c r="K813" s="12"/>
    </row>
    <row r="814" ht="19.5" customHeight="1">
      <c r="A814" s="12"/>
      <c r="C814" s="12"/>
      <c r="D814" s="87"/>
      <c r="F814" s="14"/>
      <c r="G814" s="14"/>
      <c r="H814" s="14"/>
      <c r="I814" s="14"/>
      <c r="J814" s="14"/>
      <c r="K814" s="12"/>
    </row>
    <row r="815" ht="19.5" customHeight="1">
      <c r="A815" s="12"/>
      <c r="C815" s="12"/>
      <c r="D815" s="87"/>
      <c r="F815" s="14"/>
      <c r="G815" s="14"/>
      <c r="H815" s="14"/>
      <c r="I815" s="14"/>
      <c r="J815" s="14"/>
      <c r="K815" s="12"/>
    </row>
    <row r="816" ht="19.5" customHeight="1">
      <c r="A816" s="12"/>
      <c r="C816" s="12"/>
      <c r="D816" s="87"/>
      <c r="F816" s="14"/>
      <c r="G816" s="14"/>
      <c r="H816" s="14"/>
      <c r="I816" s="14"/>
      <c r="J816" s="14"/>
      <c r="K816" s="12"/>
    </row>
    <row r="817" ht="19.5" customHeight="1">
      <c r="A817" s="12"/>
      <c r="C817" s="12"/>
      <c r="D817" s="87"/>
      <c r="F817" s="14"/>
      <c r="G817" s="14"/>
      <c r="H817" s="14"/>
      <c r="I817" s="14"/>
      <c r="J817" s="14"/>
      <c r="K817" s="12"/>
    </row>
    <row r="818" ht="19.5" customHeight="1">
      <c r="A818" s="12"/>
      <c r="C818" s="12"/>
      <c r="D818" s="87"/>
      <c r="F818" s="14"/>
      <c r="G818" s="14"/>
      <c r="H818" s="14"/>
      <c r="I818" s="14"/>
      <c r="J818" s="14"/>
      <c r="K818" s="12"/>
    </row>
    <row r="819" ht="19.5" customHeight="1">
      <c r="A819" s="12"/>
      <c r="C819" s="12"/>
      <c r="D819" s="87"/>
      <c r="F819" s="14"/>
      <c r="G819" s="14"/>
      <c r="H819" s="14"/>
      <c r="I819" s="14"/>
      <c r="J819" s="14"/>
      <c r="K819" s="12"/>
    </row>
    <row r="820" ht="19.5" customHeight="1">
      <c r="A820" s="12"/>
      <c r="C820" s="12"/>
      <c r="D820" s="87"/>
      <c r="F820" s="14"/>
      <c r="G820" s="14"/>
      <c r="H820" s="14"/>
      <c r="I820" s="14"/>
      <c r="J820" s="14"/>
      <c r="K820" s="12"/>
    </row>
    <row r="821" ht="19.5" customHeight="1">
      <c r="A821" s="12"/>
      <c r="C821" s="12"/>
      <c r="D821" s="87"/>
      <c r="F821" s="14"/>
      <c r="G821" s="14"/>
      <c r="H821" s="14"/>
      <c r="I821" s="14"/>
      <c r="J821" s="14"/>
      <c r="K821" s="12"/>
    </row>
    <row r="822" ht="19.5" customHeight="1">
      <c r="A822" s="12"/>
      <c r="C822" s="12"/>
      <c r="D822" s="87"/>
      <c r="F822" s="14"/>
      <c r="G822" s="14"/>
      <c r="H822" s="14"/>
      <c r="I822" s="14"/>
      <c r="J822" s="14"/>
      <c r="K822" s="12"/>
    </row>
    <row r="823" ht="19.5" customHeight="1">
      <c r="A823" s="12"/>
      <c r="C823" s="12"/>
      <c r="D823" s="87"/>
      <c r="F823" s="14"/>
      <c r="G823" s="14"/>
      <c r="H823" s="14"/>
      <c r="I823" s="14"/>
      <c r="J823" s="14"/>
      <c r="K823" s="12"/>
    </row>
    <row r="824" ht="19.5" customHeight="1">
      <c r="A824" s="12"/>
      <c r="C824" s="12"/>
      <c r="D824" s="87"/>
      <c r="F824" s="14"/>
      <c r="G824" s="14"/>
      <c r="H824" s="14"/>
      <c r="I824" s="14"/>
      <c r="J824" s="14"/>
      <c r="K824" s="12"/>
    </row>
    <row r="825" ht="19.5" customHeight="1">
      <c r="A825" s="12"/>
      <c r="C825" s="12"/>
      <c r="D825" s="87"/>
      <c r="F825" s="14"/>
      <c r="G825" s="14"/>
      <c r="H825" s="14"/>
      <c r="I825" s="14"/>
      <c r="J825" s="14"/>
      <c r="K825" s="12"/>
    </row>
    <row r="826" ht="19.5" customHeight="1">
      <c r="A826" s="12"/>
      <c r="C826" s="12"/>
      <c r="D826" s="87"/>
      <c r="F826" s="14"/>
      <c r="G826" s="14"/>
      <c r="H826" s="14"/>
      <c r="I826" s="14"/>
      <c r="J826" s="14"/>
      <c r="K826" s="12"/>
    </row>
    <row r="827" ht="19.5" customHeight="1">
      <c r="A827" s="12"/>
      <c r="C827" s="12"/>
      <c r="D827" s="87"/>
      <c r="F827" s="14"/>
      <c r="G827" s="14"/>
      <c r="H827" s="14"/>
      <c r="I827" s="14"/>
      <c r="J827" s="14"/>
      <c r="K827" s="12"/>
    </row>
    <row r="828" ht="19.5" customHeight="1">
      <c r="A828" s="12"/>
      <c r="C828" s="12"/>
      <c r="D828" s="87"/>
      <c r="F828" s="14"/>
      <c r="G828" s="14"/>
      <c r="H828" s="14"/>
      <c r="I828" s="14"/>
      <c r="J828" s="14"/>
      <c r="K828" s="12"/>
    </row>
    <row r="829" ht="19.5" customHeight="1">
      <c r="A829" s="12"/>
      <c r="C829" s="12"/>
      <c r="D829" s="87"/>
      <c r="F829" s="14"/>
      <c r="G829" s="14"/>
      <c r="H829" s="14"/>
      <c r="I829" s="14"/>
      <c r="J829" s="14"/>
      <c r="K829" s="12"/>
    </row>
    <row r="830" ht="19.5" customHeight="1">
      <c r="A830" s="12"/>
      <c r="C830" s="12"/>
      <c r="D830" s="87"/>
      <c r="F830" s="14"/>
      <c r="G830" s="14"/>
      <c r="H830" s="14"/>
      <c r="I830" s="14"/>
      <c r="J830" s="14"/>
      <c r="K830" s="12"/>
    </row>
    <row r="831" ht="19.5" customHeight="1">
      <c r="A831" s="12"/>
      <c r="C831" s="12"/>
      <c r="D831" s="87"/>
      <c r="F831" s="14"/>
      <c r="G831" s="14"/>
      <c r="H831" s="14"/>
      <c r="I831" s="14"/>
      <c r="J831" s="14"/>
      <c r="K831" s="12"/>
    </row>
    <row r="832" ht="19.5" customHeight="1">
      <c r="A832" s="12"/>
      <c r="C832" s="12"/>
      <c r="D832" s="87"/>
      <c r="F832" s="14"/>
      <c r="G832" s="14"/>
      <c r="H832" s="14"/>
      <c r="I832" s="14"/>
      <c r="J832" s="14"/>
      <c r="K832" s="12"/>
    </row>
    <row r="833" ht="19.5" customHeight="1">
      <c r="A833" s="12"/>
      <c r="C833" s="12"/>
      <c r="D833" s="87"/>
      <c r="F833" s="14"/>
      <c r="G833" s="14"/>
      <c r="H833" s="14"/>
      <c r="I833" s="14"/>
      <c r="J833" s="14"/>
      <c r="K833" s="12"/>
    </row>
    <row r="834" ht="19.5" customHeight="1">
      <c r="A834" s="12"/>
      <c r="C834" s="12"/>
      <c r="D834" s="87"/>
      <c r="F834" s="14"/>
      <c r="G834" s="14"/>
      <c r="H834" s="14"/>
      <c r="I834" s="14"/>
      <c r="J834" s="14"/>
      <c r="K834" s="12"/>
    </row>
    <row r="835" ht="19.5" customHeight="1">
      <c r="A835" s="12"/>
      <c r="C835" s="12"/>
      <c r="D835" s="87"/>
      <c r="F835" s="14"/>
      <c r="G835" s="14"/>
      <c r="H835" s="14"/>
      <c r="I835" s="14"/>
      <c r="J835" s="14"/>
      <c r="K835" s="12"/>
    </row>
    <row r="836" ht="19.5" customHeight="1">
      <c r="A836" s="12"/>
      <c r="C836" s="12"/>
      <c r="D836" s="87"/>
      <c r="F836" s="14"/>
      <c r="G836" s="14"/>
      <c r="H836" s="14"/>
      <c r="I836" s="14"/>
      <c r="J836" s="14"/>
      <c r="K836" s="12"/>
    </row>
    <row r="837" ht="19.5" customHeight="1">
      <c r="A837" s="12"/>
      <c r="C837" s="12"/>
      <c r="D837" s="87"/>
      <c r="F837" s="14"/>
      <c r="G837" s="14"/>
      <c r="H837" s="14"/>
      <c r="I837" s="14"/>
      <c r="J837" s="14"/>
      <c r="K837" s="12"/>
    </row>
    <row r="838" ht="19.5" customHeight="1">
      <c r="A838" s="12"/>
      <c r="C838" s="12"/>
      <c r="D838" s="87"/>
      <c r="F838" s="14"/>
      <c r="G838" s="14"/>
      <c r="H838" s="14"/>
      <c r="I838" s="14"/>
      <c r="J838" s="14"/>
      <c r="K838" s="12"/>
    </row>
    <row r="839" ht="19.5" customHeight="1">
      <c r="A839" s="12"/>
      <c r="C839" s="12"/>
      <c r="D839" s="87"/>
      <c r="F839" s="14"/>
      <c r="G839" s="14"/>
      <c r="H839" s="14"/>
      <c r="I839" s="14"/>
      <c r="J839" s="14"/>
      <c r="K839" s="12"/>
    </row>
    <row r="840" ht="19.5" customHeight="1">
      <c r="A840" s="12"/>
      <c r="C840" s="12"/>
      <c r="D840" s="87"/>
      <c r="F840" s="14"/>
      <c r="G840" s="14"/>
      <c r="H840" s="14"/>
      <c r="I840" s="14"/>
      <c r="J840" s="14"/>
      <c r="K840" s="12"/>
    </row>
    <row r="841" ht="19.5" customHeight="1">
      <c r="A841" s="12"/>
      <c r="C841" s="12"/>
      <c r="D841" s="87"/>
      <c r="F841" s="14"/>
      <c r="G841" s="14"/>
      <c r="H841" s="14"/>
      <c r="I841" s="14"/>
      <c r="J841" s="14"/>
      <c r="K841" s="12"/>
    </row>
    <row r="842" ht="19.5" customHeight="1">
      <c r="A842" s="12"/>
      <c r="C842" s="12"/>
      <c r="D842" s="87"/>
      <c r="F842" s="14"/>
      <c r="G842" s="14"/>
      <c r="H842" s="14"/>
      <c r="I842" s="14"/>
      <c r="J842" s="14"/>
      <c r="K842" s="12"/>
    </row>
    <row r="843" ht="19.5" customHeight="1">
      <c r="A843" s="12"/>
      <c r="C843" s="12"/>
      <c r="D843" s="87"/>
      <c r="F843" s="14"/>
      <c r="G843" s="14"/>
      <c r="H843" s="14"/>
      <c r="I843" s="14"/>
      <c r="J843" s="14"/>
      <c r="K843" s="12"/>
    </row>
    <row r="844" ht="19.5" customHeight="1">
      <c r="A844" s="12"/>
      <c r="C844" s="12"/>
      <c r="D844" s="87"/>
      <c r="F844" s="14"/>
      <c r="G844" s="14"/>
      <c r="H844" s="14"/>
      <c r="I844" s="14"/>
      <c r="J844" s="14"/>
      <c r="K844" s="12"/>
    </row>
    <row r="845" ht="19.5" customHeight="1">
      <c r="A845" s="12"/>
      <c r="C845" s="12"/>
      <c r="D845" s="87"/>
      <c r="F845" s="14"/>
      <c r="G845" s="14"/>
      <c r="H845" s="14"/>
      <c r="I845" s="14"/>
      <c r="J845" s="14"/>
      <c r="K845" s="12"/>
    </row>
    <row r="846" ht="19.5" customHeight="1">
      <c r="A846" s="12"/>
      <c r="C846" s="12"/>
      <c r="D846" s="87"/>
      <c r="F846" s="14"/>
      <c r="G846" s="14"/>
      <c r="H846" s="14"/>
      <c r="I846" s="14"/>
      <c r="J846" s="14"/>
      <c r="K846" s="12"/>
    </row>
    <row r="847" ht="19.5" customHeight="1">
      <c r="A847" s="12"/>
      <c r="C847" s="12"/>
      <c r="D847" s="87"/>
      <c r="F847" s="14"/>
      <c r="G847" s="14"/>
      <c r="H847" s="14"/>
      <c r="I847" s="14"/>
      <c r="J847" s="14"/>
      <c r="K847" s="12"/>
    </row>
    <row r="848" ht="19.5" customHeight="1">
      <c r="A848" s="12"/>
      <c r="C848" s="12"/>
      <c r="D848" s="87"/>
      <c r="F848" s="14"/>
      <c r="G848" s="14"/>
      <c r="H848" s="14"/>
      <c r="I848" s="14"/>
      <c r="J848" s="14"/>
      <c r="K848" s="12"/>
    </row>
    <row r="849" ht="19.5" customHeight="1">
      <c r="A849" s="12"/>
      <c r="C849" s="12"/>
      <c r="D849" s="87"/>
      <c r="F849" s="14"/>
      <c r="G849" s="14"/>
      <c r="H849" s="14"/>
      <c r="I849" s="14"/>
      <c r="J849" s="14"/>
      <c r="K849" s="12"/>
    </row>
    <row r="850" ht="19.5" customHeight="1">
      <c r="A850" s="12"/>
      <c r="C850" s="12"/>
      <c r="D850" s="87"/>
      <c r="F850" s="14"/>
      <c r="G850" s="14"/>
      <c r="H850" s="14"/>
      <c r="I850" s="14"/>
      <c r="J850" s="14"/>
      <c r="K850" s="12"/>
    </row>
    <row r="851" ht="19.5" customHeight="1">
      <c r="A851" s="12"/>
      <c r="C851" s="12"/>
      <c r="D851" s="87"/>
      <c r="F851" s="14"/>
      <c r="G851" s="14"/>
      <c r="H851" s="14"/>
      <c r="I851" s="14"/>
      <c r="J851" s="14"/>
      <c r="K851" s="12"/>
    </row>
    <row r="852" ht="19.5" customHeight="1">
      <c r="A852" s="12"/>
      <c r="C852" s="12"/>
      <c r="D852" s="87"/>
      <c r="F852" s="14"/>
      <c r="G852" s="14"/>
      <c r="H852" s="14"/>
      <c r="I852" s="14"/>
      <c r="J852" s="14"/>
      <c r="K852" s="12"/>
    </row>
    <row r="853" ht="19.5" customHeight="1">
      <c r="A853" s="12"/>
      <c r="C853" s="12"/>
      <c r="D853" s="87"/>
      <c r="F853" s="14"/>
      <c r="G853" s="14"/>
      <c r="H853" s="14"/>
      <c r="I853" s="14"/>
      <c r="J853" s="14"/>
      <c r="K853" s="12"/>
    </row>
    <row r="854" ht="19.5" customHeight="1">
      <c r="A854" s="12"/>
      <c r="C854" s="12"/>
      <c r="D854" s="87"/>
      <c r="F854" s="14"/>
      <c r="G854" s="14"/>
      <c r="H854" s="14"/>
      <c r="I854" s="14"/>
      <c r="J854" s="14"/>
      <c r="K854" s="12"/>
    </row>
    <row r="855" ht="19.5" customHeight="1">
      <c r="A855" s="12"/>
      <c r="C855" s="12"/>
      <c r="D855" s="87"/>
      <c r="F855" s="14"/>
      <c r="G855" s="14"/>
      <c r="H855" s="14"/>
      <c r="I855" s="14"/>
      <c r="J855" s="14"/>
      <c r="K855" s="12"/>
    </row>
    <row r="856" ht="19.5" customHeight="1">
      <c r="A856" s="12"/>
      <c r="C856" s="12"/>
      <c r="D856" s="87"/>
      <c r="F856" s="14"/>
      <c r="G856" s="14"/>
      <c r="H856" s="14"/>
      <c r="I856" s="14"/>
      <c r="J856" s="14"/>
      <c r="K856" s="12"/>
    </row>
    <row r="857" ht="19.5" customHeight="1">
      <c r="A857" s="12"/>
      <c r="C857" s="12"/>
      <c r="D857" s="87"/>
      <c r="F857" s="14"/>
      <c r="G857" s="14"/>
      <c r="H857" s="14"/>
      <c r="I857" s="14"/>
      <c r="J857" s="14"/>
      <c r="K857" s="12"/>
    </row>
    <row r="858" ht="19.5" customHeight="1">
      <c r="A858" s="12"/>
      <c r="C858" s="12"/>
      <c r="D858" s="87"/>
      <c r="F858" s="14"/>
      <c r="G858" s="14"/>
      <c r="H858" s="14"/>
      <c r="I858" s="14"/>
      <c r="J858" s="14"/>
      <c r="K858" s="12"/>
    </row>
    <row r="859" ht="19.5" customHeight="1">
      <c r="A859" s="12"/>
      <c r="C859" s="12"/>
      <c r="D859" s="87"/>
      <c r="F859" s="14"/>
      <c r="G859" s="14"/>
      <c r="H859" s="14"/>
      <c r="I859" s="14"/>
      <c r="J859" s="14"/>
      <c r="K859" s="12"/>
    </row>
    <row r="860" ht="19.5" customHeight="1">
      <c r="A860" s="12"/>
      <c r="C860" s="12"/>
      <c r="D860" s="87"/>
      <c r="F860" s="14"/>
      <c r="G860" s="14"/>
      <c r="H860" s="14"/>
      <c r="I860" s="14"/>
      <c r="J860" s="14"/>
      <c r="K860" s="12"/>
    </row>
    <row r="861" ht="19.5" customHeight="1">
      <c r="A861" s="12"/>
      <c r="C861" s="12"/>
      <c r="D861" s="87"/>
      <c r="F861" s="14"/>
      <c r="G861" s="14"/>
      <c r="H861" s="14"/>
      <c r="I861" s="14"/>
      <c r="J861" s="14"/>
      <c r="K861" s="12"/>
    </row>
    <row r="862" ht="19.5" customHeight="1">
      <c r="A862" s="12"/>
      <c r="C862" s="12"/>
      <c r="D862" s="87"/>
      <c r="F862" s="14"/>
      <c r="G862" s="14"/>
      <c r="H862" s="14"/>
      <c r="I862" s="14"/>
      <c r="J862" s="14"/>
      <c r="K862" s="12"/>
    </row>
    <row r="863" ht="19.5" customHeight="1">
      <c r="A863" s="12"/>
      <c r="C863" s="12"/>
      <c r="D863" s="87"/>
      <c r="F863" s="14"/>
      <c r="G863" s="14"/>
      <c r="H863" s="14"/>
      <c r="I863" s="14"/>
      <c r="J863" s="14"/>
      <c r="K863" s="12"/>
    </row>
    <row r="864" ht="19.5" customHeight="1">
      <c r="A864" s="12"/>
      <c r="C864" s="12"/>
      <c r="D864" s="87"/>
      <c r="F864" s="14"/>
      <c r="G864" s="14"/>
      <c r="H864" s="14"/>
      <c r="I864" s="14"/>
      <c r="J864" s="14"/>
      <c r="K864" s="12"/>
    </row>
    <row r="865" ht="19.5" customHeight="1">
      <c r="A865" s="12"/>
      <c r="C865" s="12"/>
      <c r="D865" s="87"/>
      <c r="F865" s="14"/>
      <c r="G865" s="14"/>
      <c r="H865" s="14"/>
      <c r="I865" s="14"/>
      <c r="J865" s="14"/>
      <c r="K865" s="12"/>
    </row>
    <row r="866" ht="19.5" customHeight="1">
      <c r="A866" s="12"/>
      <c r="C866" s="12"/>
      <c r="D866" s="87"/>
      <c r="F866" s="14"/>
      <c r="G866" s="14"/>
      <c r="H866" s="14"/>
      <c r="I866" s="14"/>
      <c r="J866" s="14"/>
      <c r="K866" s="12"/>
    </row>
    <row r="867" ht="19.5" customHeight="1">
      <c r="A867" s="12"/>
      <c r="C867" s="12"/>
      <c r="D867" s="87"/>
      <c r="F867" s="14"/>
      <c r="G867" s="14"/>
      <c r="H867" s="14"/>
      <c r="I867" s="14"/>
      <c r="J867" s="14"/>
      <c r="K867" s="12"/>
    </row>
    <row r="868" ht="19.5" customHeight="1">
      <c r="A868" s="12"/>
      <c r="C868" s="12"/>
      <c r="D868" s="87"/>
      <c r="F868" s="14"/>
      <c r="G868" s="14"/>
      <c r="H868" s="14"/>
      <c r="I868" s="14"/>
      <c r="J868" s="14"/>
      <c r="K868" s="12"/>
    </row>
    <row r="869" ht="19.5" customHeight="1">
      <c r="A869" s="12"/>
      <c r="C869" s="12"/>
      <c r="D869" s="87"/>
      <c r="F869" s="14"/>
      <c r="G869" s="14"/>
      <c r="H869" s="14"/>
      <c r="I869" s="14"/>
      <c r="J869" s="14"/>
      <c r="K869" s="12"/>
    </row>
    <row r="870" ht="19.5" customHeight="1">
      <c r="A870" s="12"/>
      <c r="C870" s="12"/>
      <c r="D870" s="87"/>
      <c r="F870" s="14"/>
      <c r="G870" s="14"/>
      <c r="H870" s="14"/>
      <c r="I870" s="14"/>
      <c r="J870" s="14"/>
      <c r="K870" s="12"/>
    </row>
    <row r="871" ht="19.5" customHeight="1">
      <c r="A871" s="12"/>
      <c r="C871" s="12"/>
      <c r="D871" s="87"/>
      <c r="F871" s="14"/>
      <c r="G871" s="14"/>
      <c r="H871" s="14"/>
      <c r="I871" s="14"/>
      <c r="J871" s="14"/>
      <c r="K871" s="12"/>
    </row>
    <row r="872" ht="19.5" customHeight="1">
      <c r="A872" s="12"/>
      <c r="C872" s="12"/>
      <c r="D872" s="87"/>
      <c r="F872" s="14"/>
      <c r="G872" s="14"/>
      <c r="H872" s="14"/>
      <c r="I872" s="14"/>
      <c r="J872" s="14"/>
      <c r="K872" s="12"/>
    </row>
    <row r="873" ht="19.5" customHeight="1">
      <c r="A873" s="12"/>
      <c r="C873" s="12"/>
      <c r="D873" s="87"/>
      <c r="F873" s="14"/>
      <c r="G873" s="14"/>
      <c r="H873" s="14"/>
      <c r="I873" s="14"/>
      <c r="J873" s="14"/>
      <c r="K873" s="12"/>
    </row>
    <row r="874" ht="19.5" customHeight="1">
      <c r="A874" s="12"/>
      <c r="C874" s="12"/>
      <c r="D874" s="87"/>
      <c r="F874" s="14"/>
      <c r="G874" s="14"/>
      <c r="H874" s="14"/>
      <c r="I874" s="14"/>
      <c r="J874" s="14"/>
      <c r="K874" s="12"/>
    </row>
    <row r="875" ht="19.5" customHeight="1">
      <c r="A875" s="12"/>
      <c r="C875" s="12"/>
      <c r="D875" s="87"/>
      <c r="F875" s="14"/>
      <c r="G875" s="14"/>
      <c r="H875" s="14"/>
      <c r="I875" s="14"/>
      <c r="J875" s="14"/>
      <c r="K875" s="12"/>
    </row>
    <row r="876" ht="19.5" customHeight="1">
      <c r="A876" s="12"/>
      <c r="C876" s="12"/>
      <c r="D876" s="87"/>
      <c r="F876" s="14"/>
      <c r="G876" s="14"/>
      <c r="H876" s="14"/>
      <c r="I876" s="14"/>
      <c r="J876" s="14"/>
      <c r="K876" s="12"/>
    </row>
    <row r="877" ht="19.5" customHeight="1">
      <c r="A877" s="12"/>
      <c r="C877" s="12"/>
      <c r="D877" s="87"/>
      <c r="F877" s="14"/>
      <c r="G877" s="14"/>
      <c r="H877" s="14"/>
      <c r="I877" s="14"/>
      <c r="J877" s="14"/>
      <c r="K877" s="12"/>
    </row>
    <row r="878" ht="19.5" customHeight="1">
      <c r="A878" s="12"/>
      <c r="C878" s="12"/>
      <c r="D878" s="87"/>
      <c r="F878" s="14"/>
      <c r="G878" s="14"/>
      <c r="H878" s="14"/>
      <c r="I878" s="14"/>
      <c r="J878" s="14"/>
      <c r="K878" s="12"/>
    </row>
    <row r="879" ht="19.5" customHeight="1">
      <c r="A879" s="12"/>
      <c r="C879" s="12"/>
      <c r="D879" s="87"/>
      <c r="F879" s="14"/>
      <c r="G879" s="14"/>
      <c r="H879" s="14"/>
      <c r="I879" s="14"/>
      <c r="J879" s="14"/>
      <c r="K879" s="12"/>
    </row>
    <row r="880" ht="19.5" customHeight="1">
      <c r="A880" s="12"/>
      <c r="C880" s="12"/>
      <c r="D880" s="87"/>
      <c r="F880" s="14"/>
      <c r="G880" s="14"/>
      <c r="H880" s="14"/>
      <c r="I880" s="14"/>
      <c r="J880" s="14"/>
      <c r="K880" s="12"/>
    </row>
    <row r="881" ht="19.5" customHeight="1">
      <c r="A881" s="12"/>
      <c r="C881" s="12"/>
      <c r="D881" s="87"/>
      <c r="F881" s="14"/>
      <c r="G881" s="14"/>
      <c r="H881" s="14"/>
      <c r="I881" s="14"/>
      <c r="J881" s="14"/>
      <c r="K881" s="12"/>
    </row>
    <row r="882" ht="19.5" customHeight="1">
      <c r="A882" s="12"/>
      <c r="C882" s="12"/>
      <c r="D882" s="87"/>
      <c r="F882" s="14"/>
      <c r="G882" s="14"/>
      <c r="H882" s="14"/>
      <c r="I882" s="14"/>
      <c r="J882" s="14"/>
      <c r="K882" s="12"/>
    </row>
    <row r="883" ht="19.5" customHeight="1">
      <c r="A883" s="12"/>
      <c r="C883" s="12"/>
      <c r="D883" s="87"/>
      <c r="F883" s="14"/>
      <c r="G883" s="14"/>
      <c r="H883" s="14"/>
      <c r="I883" s="14"/>
      <c r="J883" s="14"/>
      <c r="K883" s="12"/>
    </row>
    <row r="884" ht="19.5" customHeight="1">
      <c r="A884" s="12"/>
      <c r="C884" s="12"/>
      <c r="D884" s="87"/>
      <c r="F884" s="14"/>
      <c r="G884" s="14"/>
      <c r="H884" s="14"/>
      <c r="I884" s="14"/>
      <c r="J884" s="14"/>
      <c r="K884" s="12"/>
    </row>
    <row r="885" ht="19.5" customHeight="1">
      <c r="A885" s="12"/>
      <c r="C885" s="12"/>
      <c r="D885" s="87"/>
      <c r="F885" s="14"/>
      <c r="G885" s="14"/>
      <c r="H885" s="14"/>
      <c r="I885" s="14"/>
      <c r="J885" s="14"/>
      <c r="K885" s="12"/>
    </row>
    <row r="886" ht="19.5" customHeight="1">
      <c r="A886" s="12"/>
      <c r="C886" s="12"/>
      <c r="D886" s="87"/>
      <c r="F886" s="14"/>
      <c r="G886" s="14"/>
      <c r="H886" s="14"/>
      <c r="I886" s="14"/>
      <c r="J886" s="14"/>
      <c r="K886" s="12"/>
    </row>
    <row r="887" ht="19.5" customHeight="1">
      <c r="A887" s="12"/>
      <c r="C887" s="12"/>
      <c r="D887" s="87"/>
      <c r="F887" s="14"/>
      <c r="G887" s="14"/>
      <c r="H887" s="14"/>
      <c r="I887" s="14"/>
      <c r="J887" s="14"/>
      <c r="K887" s="12"/>
    </row>
    <row r="888" ht="19.5" customHeight="1">
      <c r="A888" s="12"/>
      <c r="C888" s="12"/>
      <c r="D888" s="87"/>
      <c r="F888" s="14"/>
      <c r="G888" s="14"/>
      <c r="H888" s="14"/>
      <c r="I888" s="14"/>
      <c r="J888" s="14"/>
      <c r="K888" s="12"/>
    </row>
    <row r="889" ht="19.5" customHeight="1">
      <c r="A889" s="12"/>
      <c r="C889" s="12"/>
      <c r="D889" s="87"/>
      <c r="F889" s="14"/>
      <c r="G889" s="14"/>
      <c r="H889" s="14"/>
      <c r="I889" s="14"/>
      <c r="J889" s="14"/>
      <c r="K889" s="12"/>
    </row>
    <row r="890" ht="19.5" customHeight="1">
      <c r="A890" s="12"/>
      <c r="C890" s="12"/>
      <c r="D890" s="87"/>
      <c r="F890" s="14"/>
      <c r="G890" s="14"/>
      <c r="H890" s="14"/>
      <c r="I890" s="14"/>
      <c r="J890" s="14"/>
      <c r="K890" s="12"/>
    </row>
    <row r="891" ht="19.5" customHeight="1">
      <c r="A891" s="12"/>
      <c r="C891" s="12"/>
      <c r="D891" s="87"/>
      <c r="F891" s="14"/>
      <c r="G891" s="14"/>
      <c r="H891" s="14"/>
      <c r="I891" s="14"/>
      <c r="J891" s="14"/>
      <c r="K891" s="12"/>
    </row>
    <row r="892" ht="19.5" customHeight="1">
      <c r="A892" s="12"/>
      <c r="C892" s="12"/>
      <c r="D892" s="87"/>
      <c r="F892" s="14"/>
      <c r="G892" s="14"/>
      <c r="H892" s="14"/>
      <c r="I892" s="14"/>
      <c r="J892" s="14"/>
      <c r="K892" s="12"/>
    </row>
    <row r="893" ht="19.5" customHeight="1">
      <c r="A893" s="12"/>
      <c r="C893" s="12"/>
      <c r="D893" s="87"/>
      <c r="F893" s="14"/>
      <c r="G893" s="14"/>
      <c r="H893" s="14"/>
      <c r="I893" s="14"/>
      <c r="J893" s="14"/>
      <c r="K893" s="12"/>
    </row>
    <row r="894" ht="19.5" customHeight="1">
      <c r="A894" s="12"/>
      <c r="C894" s="12"/>
      <c r="D894" s="87"/>
      <c r="F894" s="14"/>
      <c r="G894" s="14"/>
      <c r="H894" s="14"/>
      <c r="I894" s="14"/>
      <c r="J894" s="14"/>
      <c r="K894" s="12"/>
    </row>
    <row r="895" ht="19.5" customHeight="1">
      <c r="A895" s="12"/>
      <c r="C895" s="12"/>
      <c r="D895" s="87"/>
      <c r="F895" s="14"/>
      <c r="G895" s="14"/>
      <c r="H895" s="14"/>
      <c r="I895" s="14"/>
      <c r="J895" s="14"/>
      <c r="K895" s="12"/>
    </row>
    <row r="896" ht="19.5" customHeight="1">
      <c r="A896" s="12"/>
      <c r="C896" s="12"/>
      <c r="D896" s="87"/>
      <c r="F896" s="14"/>
      <c r="G896" s="14"/>
      <c r="H896" s="14"/>
      <c r="I896" s="14"/>
      <c r="J896" s="14"/>
      <c r="K896" s="12"/>
    </row>
    <row r="897" ht="19.5" customHeight="1">
      <c r="A897" s="12"/>
      <c r="C897" s="12"/>
      <c r="D897" s="87"/>
      <c r="F897" s="14"/>
      <c r="G897" s="14"/>
      <c r="H897" s="14"/>
      <c r="I897" s="14"/>
      <c r="J897" s="14"/>
      <c r="K897" s="12"/>
    </row>
    <row r="898" ht="19.5" customHeight="1">
      <c r="A898" s="12"/>
      <c r="C898" s="12"/>
      <c r="D898" s="87"/>
      <c r="F898" s="14"/>
      <c r="G898" s="14"/>
      <c r="H898" s="14"/>
      <c r="I898" s="14"/>
      <c r="J898" s="14"/>
      <c r="K898" s="12"/>
    </row>
    <row r="899" ht="19.5" customHeight="1">
      <c r="A899" s="12"/>
      <c r="C899" s="12"/>
      <c r="D899" s="87"/>
      <c r="F899" s="14"/>
      <c r="G899" s="14"/>
      <c r="H899" s="14"/>
      <c r="I899" s="14"/>
      <c r="J899" s="14"/>
      <c r="K899" s="12"/>
    </row>
    <row r="900" ht="19.5" customHeight="1">
      <c r="A900" s="12"/>
      <c r="C900" s="12"/>
      <c r="D900" s="87"/>
      <c r="F900" s="14"/>
      <c r="G900" s="14"/>
      <c r="H900" s="14"/>
      <c r="I900" s="14"/>
      <c r="J900" s="14"/>
      <c r="K900" s="12"/>
    </row>
    <row r="901" ht="19.5" customHeight="1">
      <c r="A901" s="12"/>
      <c r="C901" s="12"/>
      <c r="D901" s="87"/>
      <c r="F901" s="14"/>
      <c r="G901" s="14"/>
      <c r="H901" s="14"/>
      <c r="I901" s="14"/>
      <c r="J901" s="14"/>
      <c r="K901" s="12"/>
    </row>
    <row r="902" ht="19.5" customHeight="1">
      <c r="A902" s="12"/>
      <c r="C902" s="12"/>
      <c r="D902" s="87"/>
      <c r="F902" s="14"/>
      <c r="G902" s="14"/>
      <c r="H902" s="14"/>
      <c r="I902" s="14"/>
      <c r="J902" s="14"/>
      <c r="K902" s="12"/>
    </row>
    <row r="903" ht="19.5" customHeight="1">
      <c r="A903" s="12"/>
      <c r="C903" s="12"/>
      <c r="D903" s="87"/>
      <c r="F903" s="14"/>
      <c r="G903" s="14"/>
      <c r="H903" s="14"/>
      <c r="I903" s="14"/>
      <c r="J903" s="14"/>
      <c r="K903" s="12"/>
    </row>
    <row r="904" ht="19.5" customHeight="1">
      <c r="A904" s="12"/>
      <c r="C904" s="12"/>
      <c r="D904" s="87"/>
      <c r="F904" s="14"/>
      <c r="G904" s="14"/>
      <c r="H904" s="14"/>
      <c r="I904" s="14"/>
      <c r="J904" s="14"/>
      <c r="K904" s="12"/>
    </row>
    <row r="905" ht="19.5" customHeight="1">
      <c r="A905" s="12"/>
      <c r="C905" s="12"/>
      <c r="D905" s="87"/>
      <c r="F905" s="14"/>
      <c r="G905" s="14"/>
      <c r="H905" s="14"/>
      <c r="I905" s="14"/>
      <c r="J905" s="14"/>
      <c r="K905" s="12"/>
    </row>
    <row r="906" ht="19.5" customHeight="1">
      <c r="A906" s="12"/>
      <c r="C906" s="12"/>
      <c r="D906" s="87"/>
      <c r="F906" s="14"/>
      <c r="G906" s="14"/>
      <c r="H906" s="14"/>
      <c r="I906" s="14"/>
      <c r="J906" s="14"/>
      <c r="K906" s="12"/>
    </row>
    <row r="907" ht="19.5" customHeight="1">
      <c r="A907" s="12"/>
      <c r="C907" s="12"/>
      <c r="D907" s="87"/>
      <c r="F907" s="14"/>
      <c r="G907" s="14"/>
      <c r="H907" s="14"/>
      <c r="I907" s="14"/>
      <c r="J907" s="14"/>
      <c r="K907" s="12"/>
    </row>
    <row r="908" ht="19.5" customHeight="1">
      <c r="A908" s="12"/>
      <c r="C908" s="12"/>
      <c r="D908" s="87"/>
      <c r="F908" s="14"/>
      <c r="G908" s="14"/>
      <c r="H908" s="14"/>
      <c r="I908" s="14"/>
      <c r="J908" s="14"/>
      <c r="K908" s="12"/>
    </row>
    <row r="909" ht="19.5" customHeight="1">
      <c r="A909" s="12"/>
      <c r="C909" s="12"/>
      <c r="D909" s="87"/>
      <c r="F909" s="14"/>
      <c r="G909" s="14"/>
      <c r="H909" s="14"/>
      <c r="I909" s="14"/>
      <c r="J909" s="14"/>
      <c r="K909" s="12"/>
    </row>
    <row r="910" ht="19.5" customHeight="1">
      <c r="A910" s="12"/>
      <c r="C910" s="12"/>
      <c r="D910" s="87"/>
      <c r="F910" s="14"/>
      <c r="G910" s="14"/>
      <c r="H910" s="14"/>
      <c r="I910" s="14"/>
      <c r="J910" s="14"/>
      <c r="K910" s="12"/>
    </row>
    <row r="911" ht="19.5" customHeight="1">
      <c r="A911" s="12"/>
      <c r="C911" s="12"/>
      <c r="D911" s="87"/>
      <c r="F911" s="14"/>
      <c r="G911" s="14"/>
      <c r="H911" s="14"/>
      <c r="I911" s="14"/>
      <c r="J911" s="14"/>
      <c r="K911" s="12"/>
    </row>
    <row r="912" ht="19.5" customHeight="1">
      <c r="A912" s="12"/>
      <c r="C912" s="12"/>
      <c r="D912" s="87"/>
      <c r="F912" s="14"/>
      <c r="G912" s="14"/>
      <c r="H912" s="14"/>
      <c r="I912" s="14"/>
      <c r="J912" s="14"/>
      <c r="K912" s="12"/>
    </row>
    <row r="913" ht="19.5" customHeight="1">
      <c r="A913" s="12"/>
      <c r="C913" s="12"/>
      <c r="D913" s="87"/>
      <c r="F913" s="14"/>
      <c r="G913" s="14"/>
      <c r="H913" s="14"/>
      <c r="I913" s="14"/>
      <c r="J913" s="14"/>
      <c r="K913" s="12"/>
    </row>
    <row r="914" ht="19.5" customHeight="1">
      <c r="A914" s="12"/>
      <c r="C914" s="12"/>
      <c r="D914" s="87"/>
      <c r="F914" s="14"/>
      <c r="G914" s="14"/>
      <c r="H914" s="14"/>
      <c r="I914" s="14"/>
      <c r="J914" s="14"/>
      <c r="K914" s="12"/>
    </row>
    <row r="915" ht="19.5" customHeight="1">
      <c r="A915" s="12"/>
      <c r="C915" s="12"/>
      <c r="D915" s="87"/>
      <c r="F915" s="14"/>
      <c r="G915" s="14"/>
      <c r="H915" s="14"/>
      <c r="I915" s="14"/>
      <c r="J915" s="14"/>
      <c r="K915" s="12"/>
    </row>
    <row r="916" ht="19.5" customHeight="1">
      <c r="A916" s="12"/>
      <c r="C916" s="12"/>
      <c r="D916" s="87"/>
      <c r="F916" s="14"/>
      <c r="G916" s="14"/>
      <c r="H916" s="14"/>
      <c r="I916" s="14"/>
      <c r="J916" s="14"/>
      <c r="K916" s="12"/>
    </row>
    <row r="917" ht="19.5" customHeight="1">
      <c r="A917" s="12"/>
      <c r="C917" s="12"/>
      <c r="D917" s="87"/>
      <c r="F917" s="14"/>
      <c r="G917" s="14"/>
      <c r="H917" s="14"/>
      <c r="I917" s="14"/>
      <c r="J917" s="14"/>
      <c r="K917" s="12"/>
    </row>
    <row r="918" ht="19.5" customHeight="1">
      <c r="A918" s="12"/>
      <c r="C918" s="12"/>
      <c r="D918" s="87"/>
      <c r="F918" s="14"/>
      <c r="G918" s="14"/>
      <c r="H918" s="14"/>
      <c r="I918" s="14"/>
      <c r="J918" s="14"/>
      <c r="K918" s="12"/>
    </row>
    <row r="919" ht="19.5" customHeight="1">
      <c r="A919" s="12"/>
      <c r="C919" s="12"/>
      <c r="D919" s="87"/>
      <c r="F919" s="14"/>
      <c r="G919" s="14"/>
      <c r="H919" s="14"/>
      <c r="I919" s="14"/>
      <c r="J919" s="14"/>
      <c r="K919" s="12"/>
    </row>
    <row r="920" ht="19.5" customHeight="1">
      <c r="A920" s="12"/>
      <c r="C920" s="12"/>
      <c r="D920" s="87"/>
      <c r="F920" s="14"/>
      <c r="G920" s="14"/>
      <c r="H920" s="14"/>
      <c r="I920" s="14"/>
      <c r="J920" s="14"/>
      <c r="K920" s="12"/>
    </row>
    <row r="921" ht="19.5" customHeight="1">
      <c r="A921" s="12"/>
      <c r="C921" s="12"/>
      <c r="D921" s="87"/>
      <c r="F921" s="14"/>
      <c r="G921" s="14"/>
      <c r="H921" s="14"/>
      <c r="I921" s="14"/>
      <c r="J921" s="14"/>
      <c r="K921" s="12"/>
    </row>
    <row r="922" ht="19.5" customHeight="1">
      <c r="A922" s="12"/>
      <c r="C922" s="12"/>
      <c r="D922" s="87"/>
      <c r="F922" s="14"/>
      <c r="G922" s="14"/>
      <c r="H922" s="14"/>
      <c r="I922" s="14"/>
      <c r="J922" s="14"/>
      <c r="K922" s="12"/>
    </row>
    <row r="923" ht="19.5" customHeight="1">
      <c r="A923" s="12"/>
      <c r="C923" s="12"/>
      <c r="D923" s="87"/>
      <c r="F923" s="14"/>
      <c r="G923" s="14"/>
      <c r="H923" s="14"/>
      <c r="I923" s="14"/>
      <c r="J923" s="14"/>
      <c r="K923" s="12"/>
    </row>
    <row r="924" ht="19.5" customHeight="1">
      <c r="A924" s="12"/>
      <c r="C924" s="12"/>
      <c r="D924" s="87"/>
      <c r="F924" s="14"/>
      <c r="G924" s="14"/>
      <c r="H924" s="14"/>
      <c r="I924" s="14"/>
      <c r="J924" s="14"/>
      <c r="K924" s="12"/>
    </row>
    <row r="925" ht="19.5" customHeight="1">
      <c r="A925" s="12"/>
      <c r="C925" s="12"/>
      <c r="D925" s="87"/>
      <c r="F925" s="14"/>
      <c r="G925" s="14"/>
      <c r="H925" s="14"/>
      <c r="I925" s="14"/>
      <c r="J925" s="14"/>
      <c r="K925" s="12"/>
    </row>
    <row r="926" ht="19.5" customHeight="1">
      <c r="A926" s="12"/>
      <c r="C926" s="12"/>
      <c r="D926" s="87"/>
      <c r="F926" s="14"/>
      <c r="G926" s="14"/>
      <c r="H926" s="14"/>
      <c r="I926" s="14"/>
      <c r="J926" s="14"/>
      <c r="K926" s="12"/>
    </row>
    <row r="927" ht="19.5" customHeight="1">
      <c r="A927" s="12"/>
      <c r="C927" s="12"/>
      <c r="D927" s="87"/>
      <c r="F927" s="14"/>
      <c r="G927" s="14"/>
      <c r="H927" s="14"/>
      <c r="I927" s="14"/>
      <c r="J927" s="14"/>
      <c r="K927" s="12"/>
    </row>
    <row r="928" ht="19.5" customHeight="1">
      <c r="A928" s="12"/>
      <c r="C928" s="12"/>
      <c r="D928" s="87"/>
      <c r="F928" s="14"/>
      <c r="G928" s="14"/>
      <c r="H928" s="14"/>
      <c r="I928" s="14"/>
      <c r="J928" s="14"/>
      <c r="K928" s="12"/>
    </row>
    <row r="929" ht="19.5" customHeight="1">
      <c r="A929" s="12"/>
      <c r="C929" s="12"/>
      <c r="D929" s="87"/>
      <c r="F929" s="14"/>
      <c r="G929" s="14"/>
      <c r="H929" s="14"/>
      <c r="I929" s="14"/>
      <c r="J929" s="14"/>
      <c r="K929" s="12"/>
    </row>
    <row r="930" ht="19.5" customHeight="1">
      <c r="A930" s="12"/>
      <c r="C930" s="12"/>
      <c r="D930" s="87"/>
      <c r="F930" s="14"/>
      <c r="G930" s="14"/>
      <c r="H930" s="14"/>
      <c r="I930" s="14"/>
      <c r="J930" s="14"/>
      <c r="K930" s="12"/>
    </row>
    <row r="931" ht="19.5" customHeight="1">
      <c r="A931" s="12"/>
      <c r="C931" s="12"/>
      <c r="D931" s="87"/>
      <c r="F931" s="14"/>
      <c r="G931" s="14"/>
      <c r="H931" s="14"/>
      <c r="I931" s="14"/>
      <c r="J931" s="14"/>
      <c r="K931" s="12"/>
    </row>
    <row r="932" ht="19.5" customHeight="1">
      <c r="A932" s="12"/>
      <c r="C932" s="12"/>
      <c r="D932" s="87"/>
      <c r="F932" s="14"/>
      <c r="G932" s="14"/>
      <c r="H932" s="14"/>
      <c r="I932" s="14"/>
      <c r="J932" s="14"/>
      <c r="K932" s="12"/>
    </row>
    <row r="933" ht="19.5" customHeight="1">
      <c r="A933" s="12"/>
      <c r="C933" s="12"/>
      <c r="D933" s="87"/>
      <c r="F933" s="14"/>
      <c r="G933" s="14"/>
      <c r="H933" s="14"/>
      <c r="I933" s="14"/>
      <c r="J933" s="14"/>
      <c r="K933" s="12"/>
    </row>
    <row r="934" ht="19.5" customHeight="1">
      <c r="A934" s="12"/>
      <c r="C934" s="12"/>
      <c r="D934" s="87"/>
      <c r="F934" s="14"/>
      <c r="G934" s="14"/>
      <c r="H934" s="14"/>
      <c r="I934" s="14"/>
      <c r="J934" s="14"/>
      <c r="K934" s="12"/>
    </row>
    <row r="935" ht="19.5" customHeight="1">
      <c r="A935" s="12"/>
      <c r="C935" s="12"/>
      <c r="D935" s="87"/>
      <c r="F935" s="14"/>
      <c r="G935" s="14"/>
      <c r="H935" s="14"/>
      <c r="I935" s="14"/>
      <c r="J935" s="14"/>
      <c r="K935" s="12"/>
    </row>
    <row r="936" ht="19.5" customHeight="1">
      <c r="A936" s="12"/>
      <c r="C936" s="12"/>
      <c r="D936" s="87"/>
      <c r="F936" s="14"/>
      <c r="G936" s="14"/>
      <c r="H936" s="14"/>
      <c r="I936" s="14"/>
      <c r="J936" s="14"/>
      <c r="K936" s="12"/>
    </row>
    <row r="937" ht="19.5" customHeight="1">
      <c r="A937" s="12"/>
      <c r="C937" s="12"/>
      <c r="D937" s="87"/>
      <c r="F937" s="14"/>
      <c r="G937" s="14"/>
      <c r="H937" s="14"/>
      <c r="I937" s="14"/>
      <c r="J937" s="14"/>
      <c r="K937" s="12"/>
    </row>
    <row r="938" ht="19.5" customHeight="1">
      <c r="A938" s="12"/>
      <c r="C938" s="12"/>
      <c r="D938" s="87"/>
      <c r="F938" s="14"/>
      <c r="G938" s="14"/>
      <c r="H938" s="14"/>
      <c r="I938" s="14"/>
      <c r="J938" s="14"/>
      <c r="K938" s="12"/>
    </row>
    <row r="939" ht="19.5" customHeight="1">
      <c r="A939" s="12"/>
      <c r="C939" s="12"/>
      <c r="D939" s="87"/>
      <c r="F939" s="14"/>
      <c r="G939" s="14"/>
      <c r="H939" s="14"/>
      <c r="I939" s="14"/>
      <c r="J939" s="14"/>
      <c r="K939" s="12"/>
    </row>
    <row r="940" ht="19.5" customHeight="1">
      <c r="A940" s="12"/>
      <c r="C940" s="12"/>
      <c r="D940" s="87"/>
      <c r="F940" s="14"/>
      <c r="G940" s="14"/>
      <c r="H940" s="14"/>
      <c r="I940" s="14"/>
      <c r="J940" s="14"/>
      <c r="K940" s="12"/>
    </row>
    <row r="941" ht="19.5" customHeight="1">
      <c r="A941" s="12"/>
      <c r="C941" s="12"/>
      <c r="D941" s="87"/>
      <c r="F941" s="14"/>
      <c r="G941" s="14"/>
      <c r="H941" s="14"/>
      <c r="I941" s="14"/>
      <c r="J941" s="14"/>
      <c r="K941" s="12"/>
    </row>
    <row r="942" ht="19.5" customHeight="1">
      <c r="A942" s="12"/>
      <c r="C942" s="12"/>
      <c r="D942" s="87"/>
      <c r="F942" s="14"/>
      <c r="G942" s="14"/>
      <c r="H942" s="14"/>
      <c r="I942" s="14"/>
      <c r="J942" s="14"/>
      <c r="K942" s="12"/>
    </row>
    <row r="943" ht="19.5" customHeight="1">
      <c r="A943" s="12"/>
      <c r="C943" s="12"/>
      <c r="D943" s="87"/>
      <c r="F943" s="14"/>
      <c r="G943" s="14"/>
      <c r="H943" s="14"/>
      <c r="I943" s="14"/>
      <c r="J943" s="14"/>
      <c r="K943" s="12"/>
    </row>
    <row r="944" ht="19.5" customHeight="1">
      <c r="A944" s="12"/>
      <c r="C944" s="12"/>
      <c r="D944" s="87"/>
      <c r="F944" s="14"/>
      <c r="G944" s="14"/>
      <c r="H944" s="14"/>
      <c r="I944" s="14"/>
      <c r="J944" s="14"/>
      <c r="K944" s="12"/>
    </row>
    <row r="945" ht="19.5" customHeight="1">
      <c r="A945" s="12"/>
      <c r="C945" s="12"/>
      <c r="D945" s="87"/>
      <c r="F945" s="14"/>
      <c r="G945" s="14"/>
      <c r="H945" s="14"/>
      <c r="I945" s="14"/>
      <c r="J945" s="14"/>
      <c r="K945" s="12"/>
    </row>
    <row r="946" ht="19.5" customHeight="1">
      <c r="A946" s="12"/>
      <c r="C946" s="12"/>
      <c r="D946" s="87"/>
      <c r="F946" s="14"/>
      <c r="G946" s="14"/>
      <c r="H946" s="14"/>
      <c r="I946" s="14"/>
      <c r="J946" s="14"/>
      <c r="K946" s="12"/>
    </row>
    <row r="947" ht="19.5" customHeight="1">
      <c r="A947" s="12"/>
      <c r="C947" s="12"/>
      <c r="D947" s="87"/>
      <c r="F947" s="14"/>
      <c r="G947" s="14"/>
      <c r="H947" s="14"/>
      <c r="I947" s="14"/>
      <c r="J947" s="14"/>
      <c r="K947" s="12"/>
    </row>
    <row r="948" ht="19.5" customHeight="1">
      <c r="A948" s="12"/>
      <c r="C948" s="12"/>
      <c r="D948" s="87"/>
      <c r="F948" s="14"/>
      <c r="G948" s="14"/>
      <c r="H948" s="14"/>
      <c r="I948" s="14"/>
      <c r="J948" s="14"/>
      <c r="K948" s="12"/>
    </row>
    <row r="949" ht="19.5" customHeight="1">
      <c r="A949" s="12"/>
      <c r="C949" s="12"/>
      <c r="D949" s="87"/>
      <c r="F949" s="14"/>
      <c r="G949" s="14"/>
      <c r="H949" s="14"/>
      <c r="I949" s="14"/>
      <c r="J949" s="14"/>
      <c r="K949" s="12"/>
    </row>
    <row r="950" ht="19.5" customHeight="1">
      <c r="A950" s="12"/>
      <c r="C950" s="12"/>
      <c r="D950" s="87"/>
      <c r="F950" s="14"/>
      <c r="G950" s="14"/>
      <c r="H950" s="14"/>
      <c r="I950" s="14"/>
      <c r="J950" s="14"/>
      <c r="K950" s="12"/>
    </row>
    <row r="951" ht="19.5" customHeight="1">
      <c r="A951" s="12"/>
      <c r="C951" s="12"/>
      <c r="D951" s="87"/>
      <c r="F951" s="14"/>
      <c r="G951" s="14"/>
      <c r="H951" s="14"/>
      <c r="I951" s="14"/>
      <c r="J951" s="14"/>
      <c r="K951" s="12"/>
    </row>
    <row r="952" ht="19.5" customHeight="1">
      <c r="A952" s="12"/>
      <c r="C952" s="12"/>
      <c r="D952" s="87"/>
      <c r="F952" s="14"/>
      <c r="G952" s="14"/>
      <c r="H952" s="14"/>
      <c r="I952" s="14"/>
      <c r="J952" s="14"/>
      <c r="K952" s="12"/>
    </row>
    <row r="953" ht="19.5" customHeight="1">
      <c r="A953" s="12"/>
      <c r="C953" s="12"/>
      <c r="D953" s="87"/>
      <c r="F953" s="14"/>
      <c r="G953" s="14"/>
      <c r="H953" s="14"/>
      <c r="I953" s="14"/>
      <c r="J953" s="14"/>
      <c r="K953" s="12"/>
    </row>
    <row r="954" ht="19.5" customHeight="1">
      <c r="A954" s="12"/>
      <c r="C954" s="12"/>
      <c r="D954" s="87"/>
      <c r="F954" s="14"/>
      <c r="G954" s="14"/>
      <c r="H954" s="14"/>
      <c r="I954" s="14"/>
      <c r="J954" s="14"/>
      <c r="K954" s="12"/>
    </row>
    <row r="955" ht="19.5" customHeight="1">
      <c r="A955" s="12"/>
      <c r="C955" s="12"/>
      <c r="D955" s="87"/>
      <c r="F955" s="14"/>
      <c r="G955" s="14"/>
      <c r="H955" s="14"/>
      <c r="I955" s="14"/>
      <c r="J955" s="14"/>
      <c r="K955" s="12"/>
    </row>
    <row r="956" ht="19.5" customHeight="1">
      <c r="A956" s="12"/>
      <c r="C956" s="12"/>
      <c r="D956" s="87"/>
      <c r="F956" s="14"/>
      <c r="G956" s="14"/>
      <c r="H956" s="14"/>
      <c r="I956" s="14"/>
      <c r="J956" s="14"/>
      <c r="K956" s="12"/>
    </row>
    <row r="957" ht="19.5" customHeight="1">
      <c r="A957" s="12"/>
      <c r="C957" s="12"/>
      <c r="D957" s="87"/>
      <c r="F957" s="14"/>
      <c r="G957" s="14"/>
      <c r="H957" s="14"/>
      <c r="I957" s="14"/>
      <c r="J957" s="14"/>
      <c r="K957" s="12"/>
    </row>
    <row r="958" ht="19.5" customHeight="1">
      <c r="A958" s="12"/>
      <c r="C958" s="12"/>
      <c r="D958" s="87"/>
      <c r="F958" s="14"/>
      <c r="G958" s="14"/>
      <c r="H958" s="14"/>
      <c r="I958" s="14"/>
      <c r="J958" s="14"/>
      <c r="K958" s="12"/>
    </row>
    <row r="959" ht="19.5" customHeight="1">
      <c r="A959" s="12"/>
      <c r="C959" s="12"/>
      <c r="D959" s="87"/>
      <c r="F959" s="14"/>
      <c r="G959" s="14"/>
      <c r="H959" s="14"/>
      <c r="I959" s="14"/>
      <c r="J959" s="14"/>
      <c r="K959" s="12"/>
    </row>
    <row r="960" ht="19.5" customHeight="1">
      <c r="A960" s="12"/>
      <c r="C960" s="12"/>
      <c r="D960" s="87"/>
      <c r="F960" s="14"/>
      <c r="G960" s="14"/>
      <c r="H960" s="14"/>
      <c r="I960" s="14"/>
      <c r="J960" s="14"/>
      <c r="K960" s="12"/>
    </row>
    <row r="961" ht="19.5" customHeight="1">
      <c r="A961" s="12"/>
      <c r="C961" s="12"/>
      <c r="D961" s="87"/>
      <c r="F961" s="14"/>
      <c r="G961" s="14"/>
      <c r="H961" s="14"/>
      <c r="I961" s="14"/>
      <c r="J961" s="14"/>
      <c r="K961" s="12"/>
    </row>
    <row r="962" ht="19.5" customHeight="1">
      <c r="A962" s="12"/>
      <c r="C962" s="12"/>
      <c r="D962" s="87"/>
      <c r="F962" s="14"/>
      <c r="G962" s="14"/>
      <c r="H962" s="14"/>
      <c r="I962" s="14"/>
      <c r="J962" s="14"/>
      <c r="K962" s="12"/>
    </row>
    <row r="963" ht="19.5" customHeight="1">
      <c r="A963" s="12"/>
      <c r="C963" s="12"/>
      <c r="D963" s="87"/>
      <c r="F963" s="14"/>
      <c r="G963" s="14"/>
      <c r="H963" s="14"/>
      <c r="I963" s="14"/>
      <c r="J963" s="14"/>
      <c r="K963" s="12"/>
    </row>
    <row r="964" ht="19.5" customHeight="1">
      <c r="A964" s="12"/>
      <c r="C964" s="12"/>
      <c r="D964" s="87"/>
      <c r="F964" s="14"/>
      <c r="G964" s="14"/>
      <c r="H964" s="14"/>
      <c r="I964" s="14"/>
      <c r="J964" s="14"/>
      <c r="K964" s="12"/>
    </row>
    <row r="965" ht="19.5" customHeight="1">
      <c r="A965" s="12"/>
      <c r="C965" s="12"/>
      <c r="D965" s="87"/>
      <c r="F965" s="14"/>
      <c r="G965" s="14"/>
      <c r="H965" s="14"/>
      <c r="I965" s="14"/>
      <c r="J965" s="14"/>
      <c r="K965" s="12"/>
    </row>
    <row r="966" ht="19.5" customHeight="1">
      <c r="A966" s="12"/>
      <c r="C966" s="12"/>
      <c r="D966" s="87"/>
      <c r="F966" s="14"/>
      <c r="G966" s="14"/>
      <c r="H966" s="14"/>
      <c r="I966" s="14"/>
      <c r="J966" s="14"/>
      <c r="K966" s="12"/>
    </row>
    <row r="967" ht="19.5" customHeight="1">
      <c r="A967" s="12"/>
      <c r="C967" s="12"/>
      <c r="D967" s="87"/>
      <c r="F967" s="14"/>
      <c r="G967" s="14"/>
      <c r="H967" s="14"/>
      <c r="I967" s="14"/>
      <c r="J967" s="14"/>
      <c r="K967" s="12"/>
    </row>
    <row r="968" ht="19.5" customHeight="1">
      <c r="A968" s="12"/>
      <c r="C968" s="12"/>
      <c r="D968" s="87"/>
      <c r="F968" s="14"/>
      <c r="G968" s="14"/>
      <c r="H968" s="14"/>
      <c r="I968" s="14"/>
      <c r="J968" s="14"/>
      <c r="K968" s="12"/>
    </row>
    <row r="969" ht="19.5" customHeight="1">
      <c r="A969" s="12"/>
      <c r="C969" s="12"/>
      <c r="D969" s="87"/>
      <c r="F969" s="14"/>
      <c r="G969" s="14"/>
      <c r="H969" s="14"/>
      <c r="I969" s="14"/>
      <c r="J969" s="14"/>
      <c r="K969" s="12"/>
    </row>
    <row r="970" ht="19.5" customHeight="1">
      <c r="A970" s="12"/>
      <c r="C970" s="12"/>
      <c r="D970" s="87"/>
      <c r="F970" s="14"/>
      <c r="G970" s="14"/>
      <c r="H970" s="14"/>
      <c r="I970" s="14"/>
      <c r="J970" s="14"/>
      <c r="K970" s="12"/>
    </row>
    <row r="971" ht="19.5" customHeight="1">
      <c r="A971" s="12"/>
      <c r="C971" s="12"/>
      <c r="D971" s="87"/>
      <c r="F971" s="14"/>
      <c r="G971" s="14"/>
      <c r="H971" s="14"/>
      <c r="I971" s="14"/>
      <c r="J971" s="14"/>
      <c r="K971" s="12"/>
    </row>
    <row r="972" ht="19.5" customHeight="1">
      <c r="A972" s="12"/>
      <c r="C972" s="12"/>
      <c r="D972" s="87"/>
      <c r="F972" s="14"/>
      <c r="G972" s="14"/>
      <c r="H972" s="14"/>
      <c r="I972" s="14"/>
      <c r="J972" s="14"/>
      <c r="K972" s="12"/>
    </row>
    <row r="973" ht="19.5" customHeight="1">
      <c r="A973" s="12"/>
      <c r="C973" s="12"/>
      <c r="D973" s="87"/>
      <c r="F973" s="14"/>
      <c r="G973" s="14"/>
      <c r="H973" s="14"/>
      <c r="I973" s="14"/>
      <c r="J973" s="14"/>
      <c r="K973" s="12"/>
    </row>
    <row r="974" ht="19.5" customHeight="1">
      <c r="A974" s="12"/>
      <c r="C974" s="12"/>
      <c r="D974" s="87"/>
      <c r="F974" s="14"/>
      <c r="G974" s="14"/>
      <c r="H974" s="14"/>
      <c r="I974" s="14"/>
      <c r="J974" s="14"/>
      <c r="K974" s="12"/>
    </row>
    <row r="975" ht="19.5" customHeight="1">
      <c r="A975" s="12"/>
      <c r="C975" s="12"/>
      <c r="D975" s="87"/>
      <c r="F975" s="14"/>
      <c r="G975" s="14"/>
      <c r="H975" s="14"/>
      <c r="I975" s="14"/>
      <c r="J975" s="14"/>
      <c r="K975" s="12"/>
    </row>
    <row r="976" ht="19.5" customHeight="1">
      <c r="A976" s="12"/>
      <c r="C976" s="12"/>
      <c r="D976" s="87"/>
      <c r="F976" s="14"/>
      <c r="G976" s="14"/>
      <c r="H976" s="14"/>
      <c r="I976" s="14"/>
      <c r="J976" s="14"/>
      <c r="K976" s="12"/>
    </row>
    <row r="977" ht="19.5" customHeight="1">
      <c r="A977" s="12"/>
      <c r="C977" s="12"/>
      <c r="D977" s="87"/>
      <c r="F977" s="14"/>
      <c r="G977" s="14"/>
      <c r="H977" s="14"/>
      <c r="I977" s="14"/>
      <c r="J977" s="14"/>
      <c r="K977" s="12"/>
    </row>
    <row r="978" ht="19.5" customHeight="1">
      <c r="A978" s="12"/>
      <c r="C978" s="12"/>
      <c r="D978" s="87"/>
      <c r="F978" s="14"/>
      <c r="G978" s="14"/>
      <c r="H978" s="14"/>
      <c r="I978" s="14"/>
      <c r="J978" s="14"/>
      <c r="K978" s="12"/>
    </row>
    <row r="979" ht="19.5" customHeight="1">
      <c r="A979" s="12"/>
      <c r="C979" s="12"/>
      <c r="D979" s="87"/>
      <c r="F979" s="14"/>
      <c r="G979" s="14"/>
      <c r="H979" s="14"/>
      <c r="I979" s="14"/>
      <c r="J979" s="14"/>
      <c r="K979" s="12"/>
    </row>
    <row r="980" ht="19.5" customHeight="1">
      <c r="A980" s="12"/>
      <c r="C980" s="12"/>
      <c r="D980" s="87"/>
      <c r="F980" s="14"/>
      <c r="G980" s="14"/>
      <c r="H980" s="14"/>
      <c r="I980" s="14"/>
      <c r="J980" s="14"/>
      <c r="K980" s="12"/>
    </row>
    <row r="981" ht="19.5" customHeight="1">
      <c r="A981" s="12"/>
      <c r="C981" s="12"/>
      <c r="D981" s="87"/>
      <c r="F981" s="14"/>
      <c r="G981" s="14"/>
      <c r="H981" s="14"/>
      <c r="I981" s="14"/>
      <c r="J981" s="14"/>
      <c r="K981" s="12"/>
    </row>
    <row r="982" ht="19.5" customHeight="1">
      <c r="A982" s="12"/>
      <c r="C982" s="12"/>
      <c r="D982" s="87"/>
      <c r="F982" s="14"/>
      <c r="G982" s="14"/>
      <c r="H982" s="14"/>
      <c r="I982" s="14"/>
      <c r="J982" s="14"/>
      <c r="K982" s="12"/>
    </row>
    <row r="983" ht="19.5" customHeight="1">
      <c r="A983" s="12"/>
      <c r="C983" s="12"/>
      <c r="D983" s="87"/>
      <c r="F983" s="14"/>
      <c r="G983" s="14"/>
      <c r="H983" s="14"/>
      <c r="I983" s="14"/>
      <c r="J983" s="14"/>
      <c r="K983" s="12"/>
    </row>
    <row r="984" ht="19.5" customHeight="1">
      <c r="A984" s="12"/>
      <c r="C984" s="12"/>
      <c r="D984" s="87"/>
      <c r="F984" s="14"/>
      <c r="G984" s="14"/>
      <c r="H984" s="14"/>
      <c r="I984" s="14"/>
      <c r="J984" s="14"/>
      <c r="K984" s="12"/>
    </row>
    <row r="985" ht="19.5" customHeight="1">
      <c r="A985" s="12"/>
      <c r="C985" s="12"/>
      <c r="D985" s="87"/>
      <c r="F985" s="14"/>
      <c r="G985" s="14"/>
      <c r="H985" s="14"/>
      <c r="I985" s="14"/>
      <c r="J985" s="14"/>
      <c r="K985" s="12"/>
    </row>
    <row r="986" ht="19.5" customHeight="1">
      <c r="A986" s="12"/>
      <c r="C986" s="12"/>
      <c r="D986" s="87"/>
      <c r="F986" s="14"/>
      <c r="G986" s="14"/>
      <c r="H986" s="14"/>
      <c r="I986" s="14"/>
      <c r="J986" s="14"/>
      <c r="K986" s="12"/>
    </row>
    <row r="987" ht="19.5" customHeight="1">
      <c r="A987" s="12"/>
      <c r="C987" s="12"/>
      <c r="D987" s="87"/>
      <c r="F987" s="14"/>
      <c r="G987" s="14"/>
      <c r="H987" s="14"/>
      <c r="I987" s="14"/>
      <c r="J987" s="14"/>
      <c r="K987" s="12"/>
    </row>
    <row r="988" ht="19.5" customHeight="1">
      <c r="A988" s="12"/>
      <c r="C988" s="12"/>
      <c r="D988" s="87"/>
      <c r="F988" s="14"/>
      <c r="G988" s="14"/>
      <c r="H988" s="14"/>
      <c r="I988" s="14"/>
      <c r="J988" s="14"/>
      <c r="K988" s="12"/>
    </row>
    <row r="989" ht="19.5" customHeight="1">
      <c r="A989" s="12"/>
      <c r="C989" s="12"/>
      <c r="D989" s="87"/>
      <c r="F989" s="14"/>
      <c r="G989" s="14"/>
      <c r="H989" s="14"/>
      <c r="I989" s="14"/>
      <c r="J989" s="14"/>
      <c r="K989" s="12"/>
    </row>
    <row r="990" ht="19.5" customHeight="1">
      <c r="A990" s="12"/>
      <c r="C990" s="12"/>
      <c r="D990" s="87"/>
      <c r="F990" s="14"/>
      <c r="G990" s="14"/>
      <c r="H990" s="14"/>
      <c r="I990" s="14"/>
      <c r="J990" s="14"/>
      <c r="K990" s="12"/>
    </row>
    <row r="991" ht="19.5" customHeight="1">
      <c r="A991" s="12"/>
      <c r="C991" s="12"/>
      <c r="D991" s="87"/>
      <c r="F991" s="14"/>
      <c r="G991" s="14"/>
      <c r="H991" s="14"/>
      <c r="I991" s="14"/>
      <c r="J991" s="14"/>
      <c r="K991" s="12"/>
    </row>
    <row r="992" ht="19.5" customHeight="1">
      <c r="A992" s="12"/>
      <c r="C992" s="12"/>
      <c r="D992" s="87"/>
      <c r="F992" s="14"/>
      <c r="G992" s="14"/>
      <c r="H992" s="14"/>
      <c r="I992" s="14"/>
      <c r="J992" s="14"/>
      <c r="K992" s="12"/>
    </row>
    <row r="993" ht="19.5" customHeight="1">
      <c r="A993" s="12"/>
      <c r="C993" s="12"/>
      <c r="D993" s="87"/>
      <c r="F993" s="14"/>
      <c r="G993" s="14"/>
      <c r="H993" s="14"/>
      <c r="I993" s="14"/>
      <c r="J993" s="14"/>
      <c r="K993" s="12"/>
    </row>
    <row r="994" ht="19.5" customHeight="1">
      <c r="A994" s="12"/>
      <c r="C994" s="12"/>
      <c r="D994" s="87"/>
      <c r="F994" s="14"/>
      <c r="G994" s="14"/>
      <c r="H994" s="14"/>
      <c r="I994" s="14"/>
      <c r="J994" s="14"/>
      <c r="K994" s="12"/>
    </row>
    <row r="995" ht="19.5" customHeight="1">
      <c r="A995" s="12"/>
      <c r="C995" s="12"/>
      <c r="D995" s="87"/>
      <c r="F995" s="14"/>
      <c r="G995" s="14"/>
      <c r="H995" s="14"/>
      <c r="I995" s="14"/>
      <c r="J995" s="14"/>
      <c r="K995" s="12"/>
    </row>
    <row r="996" ht="19.5" customHeight="1">
      <c r="A996" s="12"/>
      <c r="C996" s="12"/>
      <c r="D996" s="87"/>
      <c r="F996" s="14"/>
      <c r="G996" s="14"/>
      <c r="H996" s="14"/>
      <c r="I996" s="14"/>
      <c r="J996" s="14"/>
      <c r="K996" s="12"/>
    </row>
    <row r="997" ht="19.5" customHeight="1">
      <c r="A997" s="12"/>
      <c r="C997" s="12"/>
      <c r="D997" s="87"/>
      <c r="F997" s="14"/>
      <c r="G997" s="14"/>
      <c r="H997" s="14"/>
      <c r="I997" s="14"/>
      <c r="J997" s="14"/>
      <c r="K997" s="12"/>
    </row>
    <row r="998" ht="19.5" customHeight="1">
      <c r="A998" s="12"/>
      <c r="C998" s="12"/>
      <c r="D998" s="87"/>
      <c r="F998" s="14"/>
      <c r="G998" s="14"/>
      <c r="H998" s="14"/>
      <c r="I998" s="14"/>
      <c r="J998" s="14"/>
      <c r="K998" s="12"/>
    </row>
    <row r="999" ht="19.5" customHeight="1">
      <c r="A999" s="12"/>
      <c r="C999" s="12"/>
      <c r="D999" s="87"/>
      <c r="F999" s="14"/>
      <c r="G999" s="14"/>
      <c r="H999" s="14"/>
      <c r="I999" s="14"/>
      <c r="J999" s="14"/>
      <c r="K999" s="12"/>
    </row>
    <row r="1000" ht="19.5" customHeight="1">
      <c r="A1000" s="12"/>
      <c r="C1000" s="12"/>
      <c r="D1000" s="87"/>
      <c r="F1000" s="14"/>
      <c r="G1000" s="14"/>
      <c r="H1000" s="14"/>
      <c r="I1000" s="14"/>
      <c r="J1000" s="14"/>
      <c r="K1000" s="12"/>
    </row>
    <row r="1001" ht="19.5" customHeight="1">
      <c r="A1001" s="12"/>
      <c r="C1001" s="12"/>
      <c r="D1001" s="87"/>
      <c r="F1001" s="14"/>
      <c r="G1001" s="14"/>
      <c r="H1001" s="14"/>
      <c r="I1001" s="14"/>
      <c r="J1001" s="14"/>
      <c r="K1001" s="12"/>
    </row>
    <row r="1002" ht="19.5" customHeight="1">
      <c r="A1002" s="12"/>
      <c r="C1002" s="12"/>
      <c r="D1002" s="87"/>
      <c r="F1002" s="14"/>
      <c r="G1002" s="14"/>
      <c r="H1002" s="14"/>
      <c r="I1002" s="14"/>
      <c r="J1002" s="14"/>
      <c r="K1002" s="12"/>
    </row>
    <row r="1003" ht="19.5" customHeight="1">
      <c r="A1003" s="12"/>
      <c r="C1003" s="12"/>
      <c r="D1003" s="87"/>
      <c r="F1003" s="14"/>
      <c r="G1003" s="14"/>
      <c r="H1003" s="14"/>
      <c r="I1003" s="14"/>
      <c r="J1003" s="14"/>
      <c r="K1003" s="12"/>
    </row>
    <row r="1004" ht="19.5" customHeight="1">
      <c r="A1004" s="12"/>
      <c r="C1004" s="12"/>
      <c r="D1004" s="87"/>
      <c r="F1004" s="14"/>
      <c r="G1004" s="14"/>
      <c r="H1004" s="14"/>
      <c r="I1004" s="14"/>
      <c r="J1004" s="14"/>
      <c r="K1004" s="12"/>
    </row>
    <row r="1005" ht="19.5" customHeight="1">
      <c r="A1005" s="12"/>
      <c r="C1005" s="12"/>
      <c r="D1005" s="87"/>
      <c r="F1005" s="14"/>
      <c r="G1005" s="14"/>
      <c r="H1005" s="14"/>
      <c r="I1005" s="14"/>
      <c r="J1005" s="14"/>
      <c r="K1005" s="12"/>
    </row>
    <row r="1006" ht="19.5" customHeight="1">
      <c r="A1006" s="12"/>
      <c r="C1006" s="12"/>
      <c r="D1006" s="87"/>
      <c r="F1006" s="14"/>
      <c r="G1006" s="14"/>
      <c r="H1006" s="14"/>
      <c r="I1006" s="14"/>
      <c r="J1006" s="14"/>
      <c r="K1006" s="12"/>
    </row>
    <row r="1007" ht="19.5" customHeight="1">
      <c r="A1007" s="12"/>
      <c r="C1007" s="12"/>
      <c r="D1007" s="87"/>
      <c r="F1007" s="14"/>
      <c r="G1007" s="14"/>
      <c r="H1007" s="14"/>
      <c r="I1007" s="14"/>
      <c r="J1007" s="14"/>
      <c r="K1007" s="12"/>
    </row>
    <row r="1008" ht="19.5" customHeight="1">
      <c r="A1008" s="12"/>
      <c r="C1008" s="12"/>
      <c r="D1008" s="87"/>
      <c r="F1008" s="14"/>
      <c r="G1008" s="14"/>
      <c r="H1008" s="14"/>
      <c r="I1008" s="14"/>
      <c r="J1008" s="14"/>
      <c r="K1008" s="12"/>
    </row>
    <row r="1009" ht="19.5" customHeight="1">
      <c r="A1009" s="12"/>
      <c r="C1009" s="12"/>
      <c r="D1009" s="87"/>
      <c r="F1009" s="14"/>
      <c r="G1009" s="14"/>
      <c r="H1009" s="14"/>
      <c r="I1009" s="14"/>
      <c r="J1009" s="14"/>
      <c r="K1009" s="12"/>
    </row>
    <row r="1010" ht="19.5" customHeight="1">
      <c r="A1010" s="12"/>
      <c r="C1010" s="12"/>
      <c r="D1010" s="87"/>
      <c r="F1010" s="14"/>
      <c r="G1010" s="14"/>
      <c r="H1010" s="14"/>
      <c r="I1010" s="14"/>
      <c r="J1010" s="14"/>
      <c r="K1010" s="12"/>
    </row>
    <row r="1011" ht="19.5" customHeight="1">
      <c r="A1011" s="12"/>
      <c r="C1011" s="12"/>
      <c r="D1011" s="87"/>
      <c r="F1011" s="14"/>
      <c r="G1011" s="14"/>
      <c r="H1011" s="14"/>
      <c r="I1011" s="14"/>
      <c r="J1011" s="14"/>
      <c r="K1011" s="12"/>
    </row>
    <row r="1012" ht="19.5" customHeight="1">
      <c r="A1012" s="12"/>
      <c r="C1012" s="12"/>
      <c r="D1012" s="87"/>
      <c r="F1012" s="14"/>
      <c r="G1012" s="14"/>
      <c r="H1012" s="14"/>
      <c r="I1012" s="14"/>
      <c r="J1012" s="14"/>
      <c r="K1012" s="12"/>
    </row>
    <row r="1013" ht="19.5" customHeight="1">
      <c r="A1013" s="12"/>
      <c r="C1013" s="12"/>
      <c r="D1013" s="87"/>
      <c r="F1013" s="14"/>
      <c r="G1013" s="14"/>
      <c r="H1013" s="14"/>
      <c r="I1013" s="14"/>
      <c r="J1013" s="14"/>
      <c r="K1013" s="12"/>
    </row>
    <row r="1014" ht="19.5" customHeight="1">
      <c r="A1014" s="12"/>
      <c r="C1014" s="12"/>
      <c r="D1014" s="87"/>
      <c r="F1014" s="14"/>
      <c r="G1014" s="14"/>
      <c r="H1014" s="14"/>
      <c r="I1014" s="14"/>
      <c r="J1014" s="14"/>
      <c r="K1014" s="12"/>
    </row>
    <row r="1015" ht="19.5" customHeight="1">
      <c r="A1015" s="12"/>
      <c r="C1015" s="12"/>
      <c r="D1015" s="87"/>
      <c r="F1015" s="14"/>
      <c r="G1015" s="14"/>
      <c r="H1015" s="14"/>
      <c r="I1015" s="14"/>
      <c r="J1015" s="14"/>
      <c r="K1015" s="12"/>
    </row>
    <row r="1016" ht="19.5" customHeight="1">
      <c r="A1016" s="12"/>
      <c r="C1016" s="12"/>
      <c r="D1016" s="87"/>
      <c r="F1016" s="14"/>
      <c r="G1016" s="14"/>
      <c r="H1016" s="14"/>
      <c r="I1016" s="14"/>
      <c r="J1016" s="14"/>
      <c r="K1016" s="12"/>
    </row>
    <row r="1017" ht="19.5" customHeight="1">
      <c r="A1017" s="12"/>
      <c r="C1017" s="12"/>
      <c r="D1017" s="87"/>
      <c r="F1017" s="14"/>
      <c r="G1017" s="14"/>
      <c r="H1017" s="14"/>
      <c r="I1017" s="14"/>
      <c r="J1017" s="14"/>
      <c r="K1017" s="12"/>
    </row>
    <row r="1018" ht="19.5" customHeight="1">
      <c r="A1018" s="12"/>
      <c r="C1018" s="12"/>
      <c r="D1018" s="87"/>
      <c r="F1018" s="14"/>
      <c r="G1018" s="14"/>
      <c r="H1018" s="14"/>
      <c r="I1018" s="14"/>
      <c r="J1018" s="14"/>
      <c r="K1018" s="12"/>
    </row>
    <row r="1019" ht="19.5" customHeight="1">
      <c r="A1019" s="12"/>
      <c r="C1019" s="12"/>
      <c r="D1019" s="87"/>
      <c r="F1019" s="14"/>
      <c r="G1019" s="14"/>
      <c r="H1019" s="14"/>
      <c r="I1019" s="14"/>
      <c r="J1019" s="14"/>
      <c r="K1019" s="12"/>
    </row>
    <row r="1020" ht="19.5" customHeight="1">
      <c r="A1020" s="12"/>
      <c r="C1020" s="12"/>
      <c r="D1020" s="87"/>
      <c r="F1020" s="14"/>
      <c r="G1020" s="14"/>
      <c r="H1020" s="14"/>
      <c r="I1020" s="14"/>
      <c r="J1020" s="14"/>
      <c r="K1020" s="12"/>
    </row>
    <row r="1021" ht="19.5" customHeight="1">
      <c r="A1021" s="12"/>
      <c r="C1021" s="12"/>
      <c r="D1021" s="87"/>
      <c r="F1021" s="14"/>
      <c r="G1021" s="14"/>
      <c r="H1021" s="14"/>
      <c r="I1021" s="14"/>
      <c r="J1021" s="14"/>
      <c r="K1021" s="12"/>
    </row>
    <row r="1022" ht="19.5" customHeight="1">
      <c r="A1022" s="12"/>
      <c r="C1022" s="12"/>
      <c r="D1022" s="87"/>
      <c r="F1022" s="14"/>
      <c r="G1022" s="14"/>
      <c r="H1022" s="14"/>
      <c r="I1022" s="14"/>
      <c r="J1022" s="14"/>
      <c r="K1022" s="12"/>
    </row>
    <row r="1023" ht="19.5" customHeight="1">
      <c r="A1023" s="12"/>
      <c r="C1023" s="12"/>
      <c r="D1023" s="87"/>
      <c r="F1023" s="14"/>
      <c r="G1023" s="14"/>
      <c r="H1023" s="14"/>
      <c r="I1023" s="14"/>
      <c r="J1023" s="14"/>
      <c r="K1023" s="12"/>
    </row>
    <row r="1024" ht="19.5" customHeight="1">
      <c r="A1024" s="12"/>
      <c r="C1024" s="12"/>
      <c r="D1024" s="87"/>
      <c r="F1024" s="14"/>
      <c r="G1024" s="14"/>
      <c r="H1024" s="14"/>
      <c r="I1024" s="14"/>
      <c r="J1024" s="14"/>
      <c r="K1024" s="12"/>
    </row>
    <row r="1025" ht="19.5" customHeight="1">
      <c r="A1025" s="12"/>
      <c r="C1025" s="12"/>
      <c r="D1025" s="87"/>
      <c r="F1025" s="14"/>
      <c r="G1025" s="14"/>
      <c r="H1025" s="14"/>
      <c r="I1025" s="14"/>
      <c r="J1025" s="14"/>
      <c r="K1025" s="12"/>
    </row>
    <row r="1026" ht="19.5" customHeight="1">
      <c r="A1026" s="12"/>
      <c r="C1026" s="12"/>
      <c r="D1026" s="87"/>
      <c r="F1026" s="14"/>
      <c r="G1026" s="14"/>
      <c r="H1026" s="14"/>
      <c r="I1026" s="14"/>
      <c r="J1026" s="14"/>
      <c r="K1026" s="12"/>
    </row>
  </sheetData>
  <mergeCells count="24">
    <mergeCell ref="A6:K6"/>
    <mergeCell ref="A7:K7"/>
    <mergeCell ref="A8:K8"/>
    <mergeCell ref="A9:A10"/>
    <mergeCell ref="B9:B10"/>
    <mergeCell ref="C9:C10"/>
    <mergeCell ref="D9:D10"/>
    <mergeCell ref="K9:K10"/>
    <mergeCell ref="L49:M49"/>
    <mergeCell ref="L50:M50"/>
    <mergeCell ref="L53:M53"/>
    <mergeCell ref="L55:M55"/>
    <mergeCell ref="L69:M69"/>
    <mergeCell ref="L70:M70"/>
    <mergeCell ref="L71:M71"/>
    <mergeCell ref="L72:N72"/>
    <mergeCell ref="E9:G9"/>
    <mergeCell ref="J9:J10"/>
    <mergeCell ref="M30:N30"/>
    <mergeCell ref="L32:M32"/>
    <mergeCell ref="L33:M33"/>
    <mergeCell ref="L37:N37"/>
    <mergeCell ref="K49:K51"/>
    <mergeCell ref="L51:M51"/>
  </mergeCells>
  <printOptions/>
  <pageMargins bottom="0.787401575" footer="0.0" header="0.0" left="0.511811024" right="0.511811024" top="0.787401575"/>
  <pageSetup paperSize="9" scale="65" orientation="landscape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47.5"/>
    <col customWidth="1" min="3" max="3" width="9.13"/>
    <col customWidth="1" min="4" max="4" width="16.25"/>
    <col customWidth="1" min="5" max="5" width="19.13"/>
    <col customWidth="1" min="6" max="6" width="17.75"/>
    <col customWidth="1" min="7" max="7" width="21.88"/>
    <col customWidth="1" min="8" max="8" width="16.75"/>
    <col customWidth="1" min="9" max="9" width="13.13"/>
    <col customWidth="1" min="10" max="10" width="16.13"/>
    <col customWidth="1" min="11" max="11" width="50.13"/>
    <col customWidth="1" min="12" max="26" width="8.63"/>
  </cols>
  <sheetData>
    <row r="1" ht="19.5" customHeight="1">
      <c r="A1" s="353" t="s">
        <v>1057</v>
      </c>
      <c r="B1" s="5"/>
      <c r="C1" s="6"/>
      <c r="D1" s="86"/>
      <c r="E1" s="5"/>
      <c r="F1" s="8"/>
      <c r="G1" s="8"/>
      <c r="H1" s="8"/>
      <c r="I1" s="354"/>
      <c r="J1" s="8"/>
      <c r="K1" s="9"/>
    </row>
    <row r="2" ht="19.5" customHeight="1">
      <c r="A2" s="355" t="s">
        <v>1057</v>
      </c>
      <c r="B2" s="11" t="s">
        <v>84</v>
      </c>
      <c r="C2" s="12"/>
      <c r="D2" s="87"/>
      <c r="F2" s="14"/>
      <c r="G2" s="14"/>
      <c r="H2" s="14"/>
      <c r="I2" s="356"/>
      <c r="J2" s="17" t="s">
        <v>144</v>
      </c>
      <c r="K2" s="18"/>
    </row>
    <row r="3" ht="19.5" customHeight="1">
      <c r="A3" s="355">
        <v>0.0</v>
      </c>
      <c r="B3" s="11" t="s">
        <v>87</v>
      </c>
      <c r="C3" s="12"/>
      <c r="D3" s="87"/>
      <c r="F3" s="14"/>
      <c r="G3" s="14"/>
      <c r="H3" s="14"/>
      <c r="I3" s="356"/>
      <c r="J3" s="14"/>
      <c r="K3" s="18"/>
    </row>
    <row r="4" ht="19.5" customHeight="1">
      <c r="A4" s="357" t="s">
        <v>1058</v>
      </c>
      <c r="C4" s="12"/>
      <c r="D4" s="87"/>
      <c r="F4" s="14"/>
      <c r="G4" s="14"/>
      <c r="H4" s="14"/>
      <c r="I4" s="356"/>
      <c r="J4" s="14"/>
      <c r="K4" s="18"/>
    </row>
    <row r="5" ht="19.5" customHeight="1">
      <c r="A5" s="357">
        <v>0.0</v>
      </c>
      <c r="C5" s="12"/>
      <c r="D5" s="87"/>
      <c r="F5" s="14"/>
      <c r="G5" s="14"/>
      <c r="H5" s="14"/>
      <c r="I5" s="356"/>
      <c r="J5" s="14"/>
      <c r="K5" s="18"/>
    </row>
    <row r="6" ht="200.25" customHeight="1">
      <c r="A6" s="172" t="s">
        <v>170</v>
      </c>
      <c r="K6" s="21"/>
    </row>
    <row r="7" ht="64.5" customHeight="1">
      <c r="A7" s="358" t="s">
        <v>1059</v>
      </c>
      <c r="K7" s="21"/>
    </row>
    <row r="8" ht="37.5" customHeight="1">
      <c r="A8" s="174" t="s">
        <v>90</v>
      </c>
      <c r="B8" s="24"/>
      <c r="C8" s="24"/>
      <c r="D8" s="24"/>
      <c r="E8" s="24"/>
      <c r="F8" s="24"/>
      <c r="G8" s="24"/>
      <c r="H8" s="24"/>
      <c r="I8" s="24"/>
      <c r="J8" s="24"/>
      <c r="K8" s="25"/>
    </row>
    <row r="9" ht="19.5" customHeight="1">
      <c r="A9" s="359" t="s">
        <v>1</v>
      </c>
      <c r="B9" s="26" t="s">
        <v>91</v>
      </c>
      <c r="C9" s="26" t="s">
        <v>92</v>
      </c>
      <c r="D9" s="31" t="s">
        <v>93</v>
      </c>
      <c r="E9" s="27" t="s">
        <v>94</v>
      </c>
      <c r="F9" s="28"/>
      <c r="G9" s="29"/>
      <c r="H9" s="30"/>
      <c r="I9" s="360"/>
      <c r="J9" s="31" t="s">
        <v>95</v>
      </c>
      <c r="K9" s="26" t="s">
        <v>96</v>
      </c>
    </row>
    <row r="10" ht="19.5" customHeight="1">
      <c r="A10" s="32"/>
      <c r="B10" s="32"/>
      <c r="C10" s="32"/>
      <c r="D10" s="32"/>
      <c r="E10" s="33" t="s">
        <v>97</v>
      </c>
      <c r="F10" s="34" t="s">
        <v>121</v>
      </c>
      <c r="G10" s="34" t="s">
        <v>99</v>
      </c>
      <c r="H10" s="35" t="s">
        <v>100</v>
      </c>
      <c r="I10" s="361" t="s">
        <v>101</v>
      </c>
      <c r="J10" s="32"/>
      <c r="K10" s="32"/>
    </row>
    <row r="11" ht="19.5" customHeight="1">
      <c r="A11" s="218">
        <v>36899.0</v>
      </c>
      <c r="B11" s="49" t="s">
        <v>1060</v>
      </c>
      <c r="C11" s="46" t="s">
        <v>148</v>
      </c>
      <c r="D11" s="78">
        <v>72.0</v>
      </c>
      <c r="E11" s="37">
        <v>1.2</v>
      </c>
      <c r="F11" s="40">
        <v>0.9</v>
      </c>
      <c r="G11" s="40">
        <v>0.9</v>
      </c>
      <c r="H11" s="40">
        <f>G11*F11*E11*D11</f>
        <v>69.984</v>
      </c>
      <c r="I11" s="362"/>
      <c r="J11" s="43">
        <f>H11-I11</f>
        <v>69.984</v>
      </c>
      <c r="K11" s="46"/>
    </row>
    <row r="12" ht="19.5" customHeight="1">
      <c r="A12" s="216" t="s">
        <v>1</v>
      </c>
      <c r="B12" s="74" t="s">
        <v>91</v>
      </c>
      <c r="C12" s="74" t="s">
        <v>92</v>
      </c>
      <c r="D12" s="76" t="s">
        <v>93</v>
      </c>
      <c r="E12" s="50" t="s">
        <v>97</v>
      </c>
      <c r="F12" s="53" t="s">
        <v>121</v>
      </c>
      <c r="G12" s="53" t="s">
        <v>99</v>
      </c>
      <c r="H12" s="75" t="s">
        <v>100</v>
      </c>
      <c r="I12" s="363" t="s">
        <v>101</v>
      </c>
      <c r="J12" s="76" t="s">
        <v>95</v>
      </c>
      <c r="K12" s="74" t="s">
        <v>96</v>
      </c>
    </row>
    <row r="13" ht="19.5" customHeight="1">
      <c r="A13" s="218">
        <v>39821.0</v>
      </c>
      <c r="B13" s="49" t="s">
        <v>1061</v>
      </c>
      <c r="C13" s="46" t="s">
        <v>148</v>
      </c>
      <c r="D13" s="78">
        <f>H11</f>
        <v>69.984</v>
      </c>
      <c r="E13" s="37"/>
      <c r="F13" s="78"/>
      <c r="G13" s="40"/>
      <c r="H13" s="40">
        <f>D13</f>
        <v>69.984</v>
      </c>
      <c r="I13" s="362"/>
      <c r="J13" s="43">
        <f>H13</f>
        <v>69.984</v>
      </c>
      <c r="K13" s="46"/>
    </row>
    <row r="14" ht="19.5" customHeight="1">
      <c r="A14" s="216" t="s">
        <v>1</v>
      </c>
      <c r="B14" s="74" t="s">
        <v>91</v>
      </c>
      <c r="C14" s="74" t="s">
        <v>92</v>
      </c>
      <c r="D14" s="76" t="s">
        <v>93</v>
      </c>
      <c r="E14" s="50" t="s">
        <v>97</v>
      </c>
      <c r="F14" s="53" t="s">
        <v>121</v>
      </c>
      <c r="G14" s="53" t="s">
        <v>99</v>
      </c>
      <c r="H14" s="75" t="s">
        <v>100</v>
      </c>
      <c r="I14" s="363" t="s">
        <v>101</v>
      </c>
      <c r="J14" s="76" t="s">
        <v>95</v>
      </c>
      <c r="K14" s="74" t="s">
        <v>96</v>
      </c>
      <c r="L14" s="14" t="str">
        <f>#REF!+#REF!</f>
        <v>#REF!</v>
      </c>
    </row>
    <row r="15" ht="19.5" customHeight="1">
      <c r="A15" s="141">
        <v>37080.0</v>
      </c>
      <c r="B15" s="49" t="s">
        <v>1062</v>
      </c>
      <c r="C15" s="46" t="s">
        <v>103</v>
      </c>
      <c r="D15" s="78">
        <v>1.0</v>
      </c>
      <c r="E15" s="37">
        <v>0.05</v>
      </c>
      <c r="F15" s="39">
        <v>84.65</v>
      </c>
      <c r="G15" s="41">
        <v>11.1</v>
      </c>
      <c r="H15" s="40">
        <f>G15*F15*E15*D15</f>
        <v>46.98075</v>
      </c>
      <c r="I15" s="362"/>
      <c r="J15" s="43">
        <f t="shared" ref="J15:J31" si="1">H15</f>
        <v>46.98075</v>
      </c>
      <c r="K15" s="46"/>
    </row>
    <row r="16" ht="19.5" customHeight="1">
      <c r="A16" s="141">
        <v>37445.0</v>
      </c>
      <c r="B16" s="37" t="s">
        <v>342</v>
      </c>
      <c r="C16" s="46" t="s">
        <v>103</v>
      </c>
      <c r="D16" s="78"/>
      <c r="E16" s="37"/>
      <c r="F16" s="39"/>
      <c r="G16" s="41"/>
      <c r="H16" s="40">
        <f>J32</f>
        <v>914.4</v>
      </c>
      <c r="I16" s="362"/>
      <c r="J16" s="43">
        <f t="shared" si="1"/>
        <v>914.4</v>
      </c>
      <c r="K16" s="46"/>
    </row>
    <row r="17" ht="19.5" customHeight="1">
      <c r="A17" s="144">
        <v>37810.0</v>
      </c>
      <c r="B17" s="49" t="s">
        <v>1063</v>
      </c>
      <c r="C17" s="46" t="s">
        <v>103</v>
      </c>
      <c r="D17" s="115">
        <v>6.0</v>
      </c>
      <c r="E17" s="37"/>
      <c r="F17" s="39"/>
      <c r="G17" s="41"/>
      <c r="H17" s="58">
        <f>6*64</f>
        <v>384</v>
      </c>
      <c r="I17" s="364"/>
      <c r="J17" s="143">
        <f t="shared" si="1"/>
        <v>384</v>
      </c>
      <c r="K17" s="79"/>
    </row>
    <row r="18" ht="19.5" customHeight="1">
      <c r="A18" s="144">
        <v>37810.0</v>
      </c>
      <c r="B18" s="49" t="s">
        <v>1064</v>
      </c>
      <c r="C18" s="46" t="s">
        <v>103</v>
      </c>
      <c r="D18" s="122"/>
      <c r="E18" s="37"/>
      <c r="F18" s="39"/>
      <c r="G18" s="41"/>
      <c r="H18" s="58">
        <v>11.5</v>
      </c>
      <c r="I18" s="364"/>
      <c r="J18" s="143">
        <f t="shared" si="1"/>
        <v>11.5</v>
      </c>
      <c r="K18" s="79"/>
    </row>
    <row r="19" ht="19.5" customHeight="1">
      <c r="A19" s="144">
        <v>37810.0</v>
      </c>
      <c r="B19" s="49" t="s">
        <v>1065</v>
      </c>
      <c r="C19" s="46" t="s">
        <v>103</v>
      </c>
      <c r="D19" s="122"/>
      <c r="E19" s="37"/>
      <c r="F19" s="39"/>
      <c r="G19" s="41"/>
      <c r="H19" s="58">
        <v>19.3</v>
      </c>
      <c r="I19" s="364"/>
      <c r="J19" s="143">
        <f t="shared" si="1"/>
        <v>19.3</v>
      </c>
      <c r="K19" s="79"/>
    </row>
    <row r="20" ht="19.5" customHeight="1">
      <c r="A20" s="144">
        <v>37810.0</v>
      </c>
      <c r="B20" s="49" t="s">
        <v>1066</v>
      </c>
      <c r="C20" s="46" t="s">
        <v>103</v>
      </c>
      <c r="D20" s="115">
        <v>1.0</v>
      </c>
      <c r="E20" s="37"/>
      <c r="F20" s="39">
        <v>11.0</v>
      </c>
      <c r="G20" s="41">
        <v>10.3</v>
      </c>
      <c r="H20" s="59">
        <f>D20*F20*G20</f>
        <v>113.3</v>
      </c>
      <c r="I20" s="364"/>
      <c r="J20" s="143">
        <f t="shared" si="1"/>
        <v>113.3</v>
      </c>
      <c r="K20" s="79"/>
    </row>
    <row r="21" ht="19.5" customHeight="1">
      <c r="A21" s="144">
        <v>37810.0</v>
      </c>
      <c r="B21" s="49" t="s">
        <v>1067</v>
      </c>
      <c r="C21" s="46" t="s">
        <v>103</v>
      </c>
      <c r="D21" s="122"/>
      <c r="E21" s="37"/>
      <c r="F21" s="39"/>
      <c r="G21" s="41"/>
      <c r="H21" s="58">
        <v>11.8</v>
      </c>
      <c r="I21" s="364"/>
      <c r="J21" s="143">
        <f t="shared" si="1"/>
        <v>11.8</v>
      </c>
      <c r="K21" s="79"/>
    </row>
    <row r="22" ht="19.5" customHeight="1">
      <c r="A22" s="144">
        <v>37810.0</v>
      </c>
      <c r="B22" s="49" t="s">
        <v>1065</v>
      </c>
      <c r="C22" s="46" t="s">
        <v>103</v>
      </c>
      <c r="D22" s="122"/>
      <c r="E22" s="37"/>
      <c r="F22" s="39"/>
      <c r="G22" s="41"/>
      <c r="H22" s="58">
        <v>19.0</v>
      </c>
      <c r="I22" s="364"/>
      <c r="J22" s="143">
        <f t="shared" si="1"/>
        <v>19</v>
      </c>
      <c r="K22" s="79"/>
    </row>
    <row r="23" ht="19.5" customHeight="1">
      <c r="A23" s="144">
        <v>37810.0</v>
      </c>
      <c r="B23" s="49" t="s">
        <v>1068</v>
      </c>
      <c r="C23" s="46" t="s">
        <v>103</v>
      </c>
      <c r="D23" s="122"/>
      <c r="E23" s="37"/>
      <c r="F23" s="39"/>
      <c r="G23" s="41"/>
      <c r="H23" s="58">
        <v>31.4</v>
      </c>
      <c r="I23" s="364"/>
      <c r="J23" s="143">
        <f t="shared" si="1"/>
        <v>31.4</v>
      </c>
      <c r="K23" s="79"/>
    </row>
    <row r="24" ht="19.5" customHeight="1">
      <c r="A24" s="144">
        <v>37810.0</v>
      </c>
      <c r="B24" s="49" t="s">
        <v>1069</v>
      </c>
      <c r="C24" s="46" t="s">
        <v>103</v>
      </c>
      <c r="D24" s="122"/>
      <c r="E24" s="37"/>
      <c r="F24" s="39"/>
      <c r="G24" s="41"/>
      <c r="H24" s="58">
        <v>17.66</v>
      </c>
      <c r="I24" s="364"/>
      <c r="J24" s="143">
        <f t="shared" si="1"/>
        <v>17.66</v>
      </c>
      <c r="K24" s="79"/>
    </row>
    <row r="25" ht="19.5" customHeight="1">
      <c r="A25" s="144">
        <v>37810.0</v>
      </c>
      <c r="B25" s="49" t="s">
        <v>1070</v>
      </c>
      <c r="C25" s="46" t="s">
        <v>103</v>
      </c>
      <c r="D25" s="122"/>
      <c r="E25" s="37"/>
      <c r="F25" s="39"/>
      <c r="G25" s="41"/>
      <c r="H25" s="58">
        <v>30.32</v>
      </c>
      <c r="I25" s="364"/>
      <c r="J25" s="143">
        <f t="shared" si="1"/>
        <v>30.32</v>
      </c>
      <c r="K25" s="79"/>
    </row>
    <row r="26" ht="19.5" customHeight="1">
      <c r="A26" s="144">
        <v>37810.0</v>
      </c>
      <c r="B26" s="49" t="s">
        <v>1071</v>
      </c>
      <c r="C26" s="46" t="s">
        <v>103</v>
      </c>
      <c r="D26" s="122"/>
      <c r="E26" s="37"/>
      <c r="F26" s="39"/>
      <c r="G26" s="41"/>
      <c r="H26" s="58">
        <v>9.63</v>
      </c>
      <c r="I26" s="364"/>
      <c r="J26" s="143">
        <f t="shared" si="1"/>
        <v>9.63</v>
      </c>
      <c r="K26" s="79"/>
    </row>
    <row r="27" ht="19.5" customHeight="1">
      <c r="A27" s="144">
        <v>37810.0</v>
      </c>
      <c r="B27" s="49" t="s">
        <v>1072</v>
      </c>
      <c r="C27" s="46" t="s">
        <v>103</v>
      </c>
      <c r="D27" s="122"/>
      <c r="E27" s="37"/>
      <c r="F27" s="39"/>
      <c r="G27" s="41"/>
      <c r="H27" s="58">
        <v>17.66</v>
      </c>
      <c r="I27" s="364"/>
      <c r="J27" s="143">
        <f t="shared" si="1"/>
        <v>17.66</v>
      </c>
      <c r="K27" s="79"/>
    </row>
    <row r="28" ht="19.5" customHeight="1">
      <c r="A28" s="144">
        <v>37810.0</v>
      </c>
      <c r="B28" s="49" t="s">
        <v>1073</v>
      </c>
      <c r="C28" s="46" t="s">
        <v>103</v>
      </c>
      <c r="D28" s="122"/>
      <c r="E28" s="37"/>
      <c r="F28" s="39"/>
      <c r="G28" s="41"/>
      <c r="H28" s="58">
        <v>14.87</v>
      </c>
      <c r="I28" s="364"/>
      <c r="J28" s="143">
        <f t="shared" si="1"/>
        <v>14.87</v>
      </c>
      <c r="K28" s="79"/>
    </row>
    <row r="29" ht="19.5" customHeight="1">
      <c r="A29" s="144">
        <v>37810.0</v>
      </c>
      <c r="B29" s="49" t="s">
        <v>1074</v>
      </c>
      <c r="C29" s="46" t="s">
        <v>103</v>
      </c>
      <c r="D29" s="122"/>
      <c r="E29" s="37"/>
      <c r="F29" s="39"/>
      <c r="G29" s="41"/>
      <c r="H29" s="58">
        <v>2.31</v>
      </c>
      <c r="I29" s="364"/>
      <c r="J29" s="143">
        <f t="shared" si="1"/>
        <v>2.31</v>
      </c>
      <c r="K29" s="79"/>
    </row>
    <row r="30" ht="19.5" customHeight="1">
      <c r="A30" s="144">
        <v>37810.0</v>
      </c>
      <c r="B30" s="49" t="s">
        <v>1075</v>
      </c>
      <c r="C30" s="46" t="s">
        <v>103</v>
      </c>
      <c r="D30" s="115">
        <v>2.0</v>
      </c>
      <c r="E30" s="37"/>
      <c r="F30" s="39"/>
      <c r="G30" s="41"/>
      <c r="H30" s="58">
        <f>73.65*2</f>
        <v>147.3</v>
      </c>
      <c r="I30" s="364"/>
      <c r="J30" s="143">
        <f t="shared" si="1"/>
        <v>147.3</v>
      </c>
      <c r="K30" s="79"/>
    </row>
    <row r="31" ht="19.5" customHeight="1">
      <c r="A31" s="144">
        <v>37810.0</v>
      </c>
      <c r="B31" s="114" t="s">
        <v>1076</v>
      </c>
      <c r="C31" s="46" t="s">
        <v>103</v>
      </c>
      <c r="D31" s="115">
        <v>1.0</v>
      </c>
      <c r="E31" s="37"/>
      <c r="F31" s="39">
        <v>84.35</v>
      </c>
      <c r="G31" s="41">
        <v>1.0</v>
      </c>
      <c r="H31" s="58">
        <f>D31*F31*G31</f>
        <v>84.35</v>
      </c>
      <c r="I31" s="364"/>
      <c r="J31" s="143">
        <f t="shared" si="1"/>
        <v>84.35</v>
      </c>
      <c r="K31" s="79"/>
    </row>
    <row r="32" ht="19.5" customHeight="1">
      <c r="A32" s="144"/>
      <c r="B32" s="114"/>
      <c r="C32" s="79"/>
      <c r="D32" s="122"/>
      <c r="E32" s="37"/>
      <c r="F32" s="39"/>
      <c r="G32" s="41"/>
      <c r="H32" s="58"/>
      <c r="I32" s="364"/>
      <c r="J32" s="143">
        <f>SUM(J17:J31)</f>
        <v>914.4</v>
      </c>
      <c r="K32" s="79"/>
    </row>
    <row r="33" ht="19.5" customHeight="1">
      <c r="A33" s="144">
        <v>38541.0</v>
      </c>
      <c r="B33" s="114" t="s">
        <v>1077</v>
      </c>
      <c r="C33" s="297" t="s">
        <v>108</v>
      </c>
      <c r="D33" s="249">
        <v>6.0</v>
      </c>
      <c r="E33" s="204"/>
      <c r="F33" s="207">
        <v>1.6</v>
      </c>
      <c r="G33" s="205"/>
      <c r="H33" s="206">
        <f>D33*F33</f>
        <v>9.6</v>
      </c>
      <c r="I33" s="365"/>
      <c r="J33" s="143">
        <f>H33</f>
        <v>9.6</v>
      </c>
      <c r="K33" s="201"/>
      <c r="L33" s="185"/>
      <c r="M33" s="185"/>
      <c r="N33" s="185"/>
      <c r="O33" s="185"/>
      <c r="P33" s="185"/>
      <c r="Q33" s="185"/>
      <c r="R33" s="185"/>
      <c r="S33" s="185"/>
      <c r="T33" s="185"/>
      <c r="U33" s="185"/>
      <c r="V33" s="185"/>
      <c r="W33" s="185"/>
      <c r="X33" s="185"/>
      <c r="Y33" s="185"/>
      <c r="Z33" s="185"/>
    </row>
    <row r="34" ht="19.5" customHeight="1">
      <c r="A34" s="216" t="s">
        <v>1</v>
      </c>
      <c r="B34" s="74" t="s">
        <v>91</v>
      </c>
      <c r="C34" s="74" t="s">
        <v>92</v>
      </c>
      <c r="D34" s="76" t="s">
        <v>93</v>
      </c>
      <c r="E34" s="50" t="s">
        <v>97</v>
      </c>
      <c r="F34" s="53" t="s">
        <v>121</v>
      </c>
      <c r="G34" s="53" t="s">
        <v>99</v>
      </c>
      <c r="H34" s="75" t="s">
        <v>100</v>
      </c>
      <c r="I34" s="363" t="s">
        <v>101</v>
      </c>
      <c r="J34" s="76" t="s">
        <v>95</v>
      </c>
      <c r="K34" s="74" t="s">
        <v>96</v>
      </c>
    </row>
    <row r="35" ht="19.5" customHeight="1">
      <c r="A35" s="366">
        <v>36958.0</v>
      </c>
      <c r="B35" s="37" t="s">
        <v>345</v>
      </c>
      <c r="C35" s="46" t="s">
        <v>148</v>
      </c>
      <c r="D35" s="78">
        <v>4.0</v>
      </c>
      <c r="E35" s="37">
        <v>0.3</v>
      </c>
      <c r="F35" s="78">
        <v>84.64</v>
      </c>
      <c r="G35" s="40">
        <v>0.14</v>
      </c>
      <c r="H35" s="40">
        <f t="shared" ref="H35:H37" si="2">G35*F35*E35*D35</f>
        <v>14.21952</v>
      </c>
      <c r="I35" s="362"/>
      <c r="J35" s="40"/>
      <c r="K35" s="46"/>
    </row>
    <row r="36" ht="19.5" customHeight="1">
      <c r="A36" s="366">
        <v>36958.0</v>
      </c>
      <c r="B36" s="37" t="s">
        <v>345</v>
      </c>
      <c r="C36" s="46" t="s">
        <v>148</v>
      </c>
      <c r="D36" s="78">
        <v>14.0</v>
      </c>
      <c r="E36" s="37">
        <v>0.3</v>
      </c>
      <c r="F36" s="78">
        <v>11.1</v>
      </c>
      <c r="G36" s="40">
        <v>0.14</v>
      </c>
      <c r="H36" s="40">
        <f t="shared" si="2"/>
        <v>6.5268</v>
      </c>
      <c r="I36" s="362"/>
      <c r="J36" s="107"/>
      <c r="K36" s="46"/>
    </row>
    <row r="37" ht="19.5" customHeight="1">
      <c r="A37" s="366">
        <v>36958.0</v>
      </c>
      <c r="B37" s="37" t="s">
        <v>345</v>
      </c>
      <c r="C37" s="46" t="s">
        <v>148</v>
      </c>
      <c r="D37" s="78">
        <v>5.0</v>
      </c>
      <c r="E37" s="37">
        <v>0.3</v>
      </c>
      <c r="F37" s="78">
        <v>4.0</v>
      </c>
      <c r="G37" s="40">
        <v>0.14</v>
      </c>
      <c r="H37" s="40">
        <f t="shared" si="2"/>
        <v>0.84</v>
      </c>
      <c r="I37" s="362"/>
      <c r="J37" s="107"/>
      <c r="K37" s="79"/>
    </row>
    <row r="38" ht="19.5" customHeight="1">
      <c r="A38" s="219"/>
      <c r="B38" s="37"/>
      <c r="C38" s="46"/>
      <c r="D38" s="78"/>
      <c r="E38" s="37"/>
      <c r="F38" s="78"/>
      <c r="G38" s="40"/>
      <c r="H38" s="40"/>
      <c r="I38" s="362"/>
      <c r="J38" s="43">
        <f>SUM(H35:H38)</f>
        <v>21.58632</v>
      </c>
      <c r="K38" s="79"/>
    </row>
    <row r="39" ht="19.5" customHeight="1">
      <c r="A39" s="216" t="s">
        <v>1</v>
      </c>
      <c r="B39" s="74" t="s">
        <v>91</v>
      </c>
      <c r="C39" s="74" t="s">
        <v>92</v>
      </c>
      <c r="D39" s="76" t="s">
        <v>93</v>
      </c>
      <c r="E39" s="50" t="s">
        <v>97</v>
      </c>
      <c r="F39" s="53" t="s">
        <v>121</v>
      </c>
      <c r="G39" s="53" t="s">
        <v>99</v>
      </c>
      <c r="H39" s="75" t="s">
        <v>100</v>
      </c>
      <c r="I39" s="363" t="s">
        <v>101</v>
      </c>
      <c r="J39" s="76" t="s">
        <v>95</v>
      </c>
      <c r="K39" s="74" t="s">
        <v>96</v>
      </c>
    </row>
    <row r="40" ht="19.5" customHeight="1">
      <c r="A40" s="367">
        <v>37323.0</v>
      </c>
      <c r="B40" s="49" t="s">
        <v>1078</v>
      </c>
      <c r="C40" s="46" t="s">
        <v>103</v>
      </c>
      <c r="D40" s="39">
        <v>1.0</v>
      </c>
      <c r="E40" s="49">
        <v>6.4</v>
      </c>
      <c r="F40" s="78">
        <v>84.64</v>
      </c>
      <c r="G40" s="40"/>
      <c r="H40" s="40">
        <f t="shared" ref="H40:H46" si="3">F40*E40*D40</f>
        <v>541.696</v>
      </c>
      <c r="I40" s="362">
        <f>J164+J171+J172+J173+(1.8*2.1)</f>
        <v>126.79</v>
      </c>
      <c r="J40" s="40">
        <f t="shared" ref="J40:J46" si="4">H40-I40</f>
        <v>414.906</v>
      </c>
      <c r="K40" s="46"/>
    </row>
    <row r="41" ht="19.5" customHeight="1">
      <c r="A41" s="367">
        <v>37323.0</v>
      </c>
      <c r="B41" s="49" t="s">
        <v>1078</v>
      </c>
      <c r="C41" s="46" t="s">
        <v>103</v>
      </c>
      <c r="D41" s="39">
        <v>1.0</v>
      </c>
      <c r="E41" s="49">
        <v>3.35</v>
      </c>
      <c r="F41" s="39">
        <v>84.64</v>
      </c>
      <c r="G41" s="40"/>
      <c r="H41" s="40">
        <f t="shared" si="3"/>
        <v>283.544</v>
      </c>
      <c r="I41" s="362"/>
      <c r="J41" s="40">
        <f t="shared" si="4"/>
        <v>283.544</v>
      </c>
      <c r="K41" s="46"/>
    </row>
    <row r="42" ht="19.5" customHeight="1">
      <c r="A42" s="367">
        <v>37323.0</v>
      </c>
      <c r="B42" s="49" t="s">
        <v>1078</v>
      </c>
      <c r="C42" s="46" t="s">
        <v>103</v>
      </c>
      <c r="D42" s="78">
        <v>2.0</v>
      </c>
      <c r="E42" s="49">
        <v>3.6</v>
      </c>
      <c r="F42" s="78">
        <v>84.64</v>
      </c>
      <c r="G42" s="40"/>
      <c r="H42" s="40">
        <f t="shared" si="3"/>
        <v>609.408</v>
      </c>
      <c r="I42" s="362"/>
      <c r="J42" s="40">
        <f t="shared" si="4"/>
        <v>609.408</v>
      </c>
      <c r="K42" s="46"/>
    </row>
    <row r="43" ht="19.5" customHeight="1">
      <c r="A43" s="367">
        <v>37323.0</v>
      </c>
      <c r="B43" s="49" t="s">
        <v>1078</v>
      </c>
      <c r="C43" s="46" t="s">
        <v>103</v>
      </c>
      <c r="D43" s="78">
        <v>2.0</v>
      </c>
      <c r="E43" s="49">
        <v>6.4</v>
      </c>
      <c r="F43" s="39">
        <v>11.45</v>
      </c>
      <c r="G43" s="40"/>
      <c r="H43" s="40">
        <f t="shared" si="3"/>
        <v>146.56</v>
      </c>
      <c r="I43" s="362">
        <f>2*2*2.4</f>
        <v>9.6</v>
      </c>
      <c r="J43" s="40">
        <f t="shared" si="4"/>
        <v>136.96</v>
      </c>
      <c r="K43" s="46"/>
    </row>
    <row r="44" ht="19.5" customHeight="1">
      <c r="A44" s="367">
        <v>37323.0</v>
      </c>
      <c r="B44" s="49" t="s">
        <v>1078</v>
      </c>
      <c r="C44" s="46" t="s">
        <v>103</v>
      </c>
      <c r="D44" s="39">
        <v>12.0</v>
      </c>
      <c r="E44" s="37">
        <v>4.0</v>
      </c>
      <c r="F44" s="39">
        <v>8.0</v>
      </c>
      <c r="G44" s="40"/>
      <c r="H44" s="40">
        <f t="shared" si="3"/>
        <v>384</v>
      </c>
      <c r="I44" s="362"/>
      <c r="J44" s="40">
        <f t="shared" si="4"/>
        <v>384</v>
      </c>
      <c r="K44" s="46"/>
    </row>
    <row r="45" ht="19.5" customHeight="1">
      <c r="A45" s="367">
        <v>37323.0</v>
      </c>
      <c r="B45" s="49" t="s">
        <v>1078</v>
      </c>
      <c r="C45" s="46" t="s">
        <v>103</v>
      </c>
      <c r="D45" s="39">
        <v>3.0</v>
      </c>
      <c r="E45" s="37">
        <v>4.0</v>
      </c>
      <c r="F45" s="40">
        <v>4.0</v>
      </c>
      <c r="G45" s="40"/>
      <c r="H45" s="40">
        <f t="shared" si="3"/>
        <v>48</v>
      </c>
      <c r="I45" s="362"/>
      <c r="J45" s="40">
        <f t="shared" si="4"/>
        <v>48</v>
      </c>
      <c r="K45" s="46"/>
    </row>
    <row r="46" ht="19.5" customHeight="1">
      <c r="A46" s="367">
        <v>37323.0</v>
      </c>
      <c r="B46" s="49" t="s">
        <v>1078</v>
      </c>
      <c r="C46" s="46" t="s">
        <v>103</v>
      </c>
      <c r="D46" s="115">
        <v>40.0</v>
      </c>
      <c r="E46" s="49">
        <v>0.9</v>
      </c>
      <c r="F46" s="39">
        <v>1.15</v>
      </c>
      <c r="G46" s="40"/>
      <c r="H46" s="40">
        <f t="shared" si="3"/>
        <v>41.4</v>
      </c>
      <c r="I46" s="364"/>
      <c r="J46" s="40">
        <f t="shared" si="4"/>
        <v>41.4</v>
      </c>
      <c r="K46" s="79"/>
    </row>
    <row r="47" ht="19.5" customHeight="1">
      <c r="A47" s="180"/>
      <c r="B47" s="95"/>
      <c r="C47" s="79"/>
      <c r="D47" s="92"/>
      <c r="E47" s="37"/>
      <c r="F47" s="78"/>
      <c r="G47" s="40"/>
      <c r="H47" s="59"/>
      <c r="I47" s="368"/>
      <c r="J47" s="96">
        <f>SUM(J40:J46)</f>
        <v>1918.218</v>
      </c>
      <c r="K47" s="79"/>
    </row>
    <row r="48" ht="19.5" customHeight="1">
      <c r="A48" s="367">
        <v>37688.0</v>
      </c>
      <c r="B48" s="114" t="s">
        <v>72</v>
      </c>
      <c r="C48" s="83" t="s">
        <v>108</v>
      </c>
      <c r="D48" s="92"/>
      <c r="E48" s="37"/>
      <c r="F48" s="78">
        <f>D40*F40+D41*F41+D42*F42+D43*F43+D44*F44+D45*F45+D46*F46</f>
        <v>515.46</v>
      </c>
      <c r="G48" s="40"/>
      <c r="H48" s="59"/>
      <c r="I48" s="368"/>
      <c r="J48" s="96">
        <f>F48</f>
        <v>515.46</v>
      </c>
      <c r="K48" s="79"/>
    </row>
    <row r="49" ht="19.5" customHeight="1">
      <c r="A49" s="216" t="s">
        <v>1</v>
      </c>
      <c r="B49" s="74" t="s">
        <v>91</v>
      </c>
      <c r="C49" s="74" t="s">
        <v>92</v>
      </c>
      <c r="D49" s="76" t="s">
        <v>93</v>
      </c>
      <c r="E49" s="50" t="s">
        <v>97</v>
      </c>
      <c r="F49" s="53" t="s">
        <v>99</v>
      </c>
      <c r="G49" s="53" t="s">
        <v>121</v>
      </c>
      <c r="H49" s="75" t="s">
        <v>100</v>
      </c>
      <c r="I49" s="363" t="s">
        <v>101</v>
      </c>
      <c r="J49" s="76" t="s">
        <v>95</v>
      </c>
      <c r="K49" s="74" t="s">
        <v>96</v>
      </c>
    </row>
    <row r="50" ht="19.5" customHeight="1">
      <c r="A50" s="141">
        <v>37415.0</v>
      </c>
      <c r="B50" s="37" t="s">
        <v>184</v>
      </c>
      <c r="C50" s="46" t="s">
        <v>108</v>
      </c>
      <c r="D50" s="78">
        <v>2.0</v>
      </c>
      <c r="E50" s="37"/>
      <c r="F50" s="41">
        <v>11.1</v>
      </c>
      <c r="G50" s="41">
        <v>84.65</v>
      </c>
      <c r="H50" s="40">
        <f>D50*(F50+G50)</f>
        <v>191.5</v>
      </c>
      <c r="I50" s="362"/>
      <c r="J50" s="77"/>
      <c r="K50" s="46"/>
    </row>
    <row r="51" ht="19.5" customHeight="1">
      <c r="A51" s="141">
        <v>37415.0</v>
      </c>
      <c r="B51" s="37" t="s">
        <v>185</v>
      </c>
      <c r="C51" s="46" t="s">
        <v>108</v>
      </c>
      <c r="D51" s="78">
        <v>2.0</v>
      </c>
      <c r="E51" s="37"/>
      <c r="F51" s="40"/>
      <c r="G51" s="40">
        <v>11.1</v>
      </c>
      <c r="H51" s="40">
        <f>D51*G51</f>
        <v>22.2</v>
      </c>
      <c r="I51" s="362"/>
      <c r="J51" s="43">
        <f>H51+H50</f>
        <v>213.7</v>
      </c>
      <c r="K51" s="46"/>
    </row>
    <row r="52" ht="19.5" customHeight="1">
      <c r="A52" s="216" t="s">
        <v>1</v>
      </c>
      <c r="B52" s="74" t="s">
        <v>91</v>
      </c>
      <c r="C52" s="74" t="s">
        <v>92</v>
      </c>
      <c r="D52" s="76" t="s">
        <v>93</v>
      </c>
      <c r="E52" s="50" t="s">
        <v>97</v>
      </c>
      <c r="F52" s="53" t="s">
        <v>99</v>
      </c>
      <c r="G52" s="53" t="s">
        <v>121</v>
      </c>
      <c r="H52" s="75" t="s">
        <v>100</v>
      </c>
      <c r="I52" s="363" t="s">
        <v>101</v>
      </c>
      <c r="J52" s="76" t="s">
        <v>95</v>
      </c>
      <c r="K52" s="74" t="s">
        <v>96</v>
      </c>
    </row>
    <row r="53" ht="19.5" customHeight="1">
      <c r="A53" s="154">
        <v>39.0</v>
      </c>
      <c r="B53" s="49" t="s">
        <v>789</v>
      </c>
      <c r="C53" s="38"/>
      <c r="D53" s="78"/>
      <c r="E53" s="37"/>
      <c r="F53" s="41"/>
      <c r="G53" s="41"/>
      <c r="H53" s="40"/>
      <c r="I53" s="362"/>
      <c r="J53" s="43"/>
      <c r="K53" s="46"/>
    </row>
    <row r="54" ht="19.5" customHeight="1">
      <c r="A54" s="216" t="s">
        <v>1</v>
      </c>
      <c r="B54" s="74" t="s">
        <v>91</v>
      </c>
      <c r="C54" s="74" t="s">
        <v>92</v>
      </c>
      <c r="D54" s="76" t="s">
        <v>93</v>
      </c>
      <c r="E54" s="50" t="s">
        <v>97</v>
      </c>
      <c r="F54" s="53" t="s">
        <v>99</v>
      </c>
      <c r="G54" s="53" t="s">
        <v>121</v>
      </c>
      <c r="H54" s="75" t="s">
        <v>100</v>
      </c>
      <c r="I54" s="363" t="s">
        <v>101</v>
      </c>
      <c r="J54" s="76" t="s">
        <v>95</v>
      </c>
      <c r="K54" s="74" t="s">
        <v>96</v>
      </c>
    </row>
    <row r="55" ht="19.5" customHeight="1">
      <c r="A55" s="141">
        <v>37050.0</v>
      </c>
      <c r="B55" s="37" t="s">
        <v>189</v>
      </c>
      <c r="C55" s="46" t="s">
        <v>103</v>
      </c>
      <c r="D55" s="78">
        <v>1.0</v>
      </c>
      <c r="E55" s="37"/>
      <c r="F55" s="41">
        <v>11.15</v>
      </c>
      <c r="G55" s="41">
        <v>84.35</v>
      </c>
      <c r="H55" s="40">
        <f>G55*F55</f>
        <v>940.5025</v>
      </c>
      <c r="I55" s="362"/>
      <c r="J55" s="43">
        <f t="shared" ref="J55:J56" si="5">H55-I55</f>
        <v>940.5025</v>
      </c>
      <c r="K55" s="46"/>
    </row>
    <row r="56" ht="19.5" customHeight="1">
      <c r="A56" s="144">
        <v>38146.0</v>
      </c>
      <c r="B56" s="114" t="s">
        <v>583</v>
      </c>
      <c r="C56" s="83" t="s">
        <v>108</v>
      </c>
      <c r="D56" s="115">
        <v>1.0</v>
      </c>
      <c r="E56" s="37"/>
      <c r="F56" s="41"/>
      <c r="G56" s="41">
        <f>G55</f>
        <v>84.35</v>
      </c>
      <c r="H56" s="59">
        <f>G56*D56</f>
        <v>84.35</v>
      </c>
      <c r="I56" s="364"/>
      <c r="J56" s="43">
        <f t="shared" si="5"/>
        <v>84.35</v>
      </c>
      <c r="K56" s="79"/>
    </row>
    <row r="57" ht="19.5" customHeight="1">
      <c r="A57" s="216" t="s">
        <v>1</v>
      </c>
      <c r="B57" s="74" t="s">
        <v>91</v>
      </c>
      <c r="C57" s="74" t="s">
        <v>92</v>
      </c>
      <c r="D57" s="76" t="s">
        <v>93</v>
      </c>
      <c r="E57" s="50" t="s">
        <v>97</v>
      </c>
      <c r="F57" s="53" t="s">
        <v>99</v>
      </c>
      <c r="G57" s="53" t="s">
        <v>121</v>
      </c>
      <c r="H57" s="75" t="s">
        <v>100</v>
      </c>
      <c r="I57" s="363" t="s">
        <v>101</v>
      </c>
      <c r="J57" s="76" t="s">
        <v>95</v>
      </c>
      <c r="K57" s="74" t="s">
        <v>96</v>
      </c>
    </row>
    <row r="58" ht="19.5" customHeight="1">
      <c r="A58" s="141">
        <v>37780.0</v>
      </c>
      <c r="B58" s="49" t="s">
        <v>1079</v>
      </c>
      <c r="C58" s="46" t="s">
        <v>103</v>
      </c>
      <c r="D58" s="78">
        <v>2.0</v>
      </c>
      <c r="E58" s="37"/>
      <c r="F58" s="40"/>
      <c r="G58" s="41">
        <v>84.65</v>
      </c>
      <c r="H58" s="40">
        <f>D58*G58</f>
        <v>169.3</v>
      </c>
      <c r="I58" s="362"/>
      <c r="J58" s="43">
        <f>H58-I58</f>
        <v>169.3</v>
      </c>
      <c r="K58" s="46"/>
    </row>
    <row r="59" ht="19.5" customHeight="1">
      <c r="A59" s="216" t="s">
        <v>1</v>
      </c>
      <c r="B59" s="74" t="s">
        <v>91</v>
      </c>
      <c r="C59" s="74" t="s">
        <v>92</v>
      </c>
      <c r="D59" s="76" t="s">
        <v>93</v>
      </c>
      <c r="E59" s="50" t="s">
        <v>193</v>
      </c>
      <c r="F59" s="53" t="s">
        <v>121</v>
      </c>
      <c r="G59" s="53" t="s">
        <v>194</v>
      </c>
      <c r="H59" s="75" t="s">
        <v>100</v>
      </c>
      <c r="I59" s="363" t="s">
        <v>101</v>
      </c>
      <c r="J59" s="76" t="s">
        <v>95</v>
      </c>
      <c r="K59" s="74" t="s">
        <v>96</v>
      </c>
    </row>
    <row r="60" ht="19.5" customHeight="1">
      <c r="A60" s="145" t="s">
        <v>1080</v>
      </c>
      <c r="B60" s="37" t="s">
        <v>1081</v>
      </c>
      <c r="C60" s="46" t="s">
        <v>103</v>
      </c>
      <c r="D60" s="78">
        <v>2.0</v>
      </c>
      <c r="E60" s="37">
        <v>1.1</v>
      </c>
      <c r="F60" s="40">
        <v>84.64</v>
      </c>
      <c r="G60" s="40"/>
      <c r="H60" s="40">
        <f t="shared" ref="H60:H63" si="6">F60*E60*D60</f>
        <v>186.208</v>
      </c>
      <c r="I60" s="362"/>
      <c r="J60" s="43">
        <f>H60-I60</f>
        <v>186.208</v>
      </c>
      <c r="K60" s="46"/>
    </row>
    <row r="61" ht="19.5" customHeight="1">
      <c r="A61" s="145" t="s">
        <v>1082</v>
      </c>
      <c r="B61" s="37" t="s">
        <v>362</v>
      </c>
      <c r="C61" s="46" t="s">
        <v>103</v>
      </c>
      <c r="D61" s="78">
        <v>4.0</v>
      </c>
      <c r="E61" s="37">
        <v>0.8</v>
      </c>
      <c r="F61" s="40">
        <v>84.64</v>
      </c>
      <c r="G61" s="40"/>
      <c r="H61" s="40">
        <f t="shared" si="6"/>
        <v>270.848</v>
      </c>
      <c r="I61" s="362"/>
      <c r="J61" s="107"/>
      <c r="K61" s="79"/>
    </row>
    <row r="62" ht="19.5" customHeight="1">
      <c r="A62" s="145" t="s">
        <v>1082</v>
      </c>
      <c r="B62" s="37" t="s">
        <v>362</v>
      </c>
      <c r="C62" s="46" t="s">
        <v>103</v>
      </c>
      <c r="D62" s="78">
        <v>16.0</v>
      </c>
      <c r="E62" s="37">
        <v>0.8</v>
      </c>
      <c r="F62" s="40">
        <v>11.1</v>
      </c>
      <c r="G62" s="40"/>
      <c r="H62" s="40">
        <f t="shared" si="6"/>
        <v>142.08</v>
      </c>
      <c r="I62" s="362"/>
      <c r="J62" s="121"/>
      <c r="K62" s="79"/>
    </row>
    <row r="63" ht="19.5" customHeight="1">
      <c r="A63" s="145" t="s">
        <v>1082</v>
      </c>
      <c r="B63" s="37" t="s">
        <v>362</v>
      </c>
      <c r="C63" s="46" t="s">
        <v>103</v>
      </c>
      <c r="D63" s="78">
        <v>5.0</v>
      </c>
      <c r="E63" s="37">
        <v>0.8</v>
      </c>
      <c r="F63" s="40">
        <v>4.0</v>
      </c>
      <c r="G63" s="40"/>
      <c r="H63" s="40">
        <f t="shared" si="6"/>
        <v>16</v>
      </c>
      <c r="I63" s="362"/>
      <c r="J63" s="121"/>
      <c r="K63" s="79"/>
    </row>
    <row r="64" ht="19.5" customHeight="1">
      <c r="A64" s="220"/>
      <c r="B64" s="37"/>
      <c r="C64" s="46"/>
      <c r="D64" s="78"/>
      <c r="E64" s="37"/>
      <c r="F64" s="40"/>
      <c r="G64" s="40"/>
      <c r="H64" s="40"/>
      <c r="I64" s="362"/>
      <c r="J64" s="96">
        <f>SUM(H61:H64)</f>
        <v>428.928</v>
      </c>
      <c r="K64" s="79"/>
    </row>
    <row r="65" ht="19.5" customHeight="1">
      <c r="A65" s="216" t="s">
        <v>1</v>
      </c>
      <c r="B65" s="74" t="s">
        <v>91</v>
      </c>
      <c r="C65" s="74" t="s">
        <v>92</v>
      </c>
      <c r="D65" s="76" t="s">
        <v>93</v>
      </c>
      <c r="E65" s="50" t="s">
        <v>161</v>
      </c>
      <c r="F65" s="53" t="s">
        <v>99</v>
      </c>
      <c r="G65" s="53" t="s">
        <v>121</v>
      </c>
      <c r="H65" s="75" t="s">
        <v>100</v>
      </c>
      <c r="I65" s="363" t="s">
        <v>101</v>
      </c>
      <c r="J65" s="76" t="s">
        <v>95</v>
      </c>
      <c r="K65" s="74" t="s">
        <v>96</v>
      </c>
    </row>
    <row r="66" ht="19.5" customHeight="1">
      <c r="A66" s="141">
        <v>37111.0</v>
      </c>
      <c r="B66" s="37" t="s">
        <v>197</v>
      </c>
      <c r="C66" s="46" t="s">
        <v>103</v>
      </c>
      <c r="D66" s="78" t="str">
        <f>D53</f>
        <v/>
      </c>
      <c r="E66" s="37"/>
      <c r="F66" s="40"/>
      <c r="G66" s="40"/>
      <c r="H66" s="40">
        <f>J32</f>
        <v>914.4</v>
      </c>
      <c r="I66" s="362">
        <f>J31</f>
        <v>84.35</v>
      </c>
      <c r="J66" s="43">
        <f>H66-I66</f>
        <v>830.05</v>
      </c>
      <c r="K66" s="46"/>
    </row>
    <row r="67" ht="19.5" customHeight="1">
      <c r="A67" s="216" t="s">
        <v>1</v>
      </c>
      <c r="B67" s="74" t="s">
        <v>91</v>
      </c>
      <c r="C67" s="74" t="s">
        <v>92</v>
      </c>
      <c r="D67" s="76" t="s">
        <v>93</v>
      </c>
      <c r="E67" s="50" t="s">
        <v>97</v>
      </c>
      <c r="F67" s="53" t="s">
        <v>121</v>
      </c>
      <c r="G67" s="53" t="s">
        <v>198</v>
      </c>
      <c r="H67" s="75" t="s">
        <v>100</v>
      </c>
      <c r="I67" s="363" t="s">
        <v>101</v>
      </c>
      <c r="J67" s="76" t="s">
        <v>95</v>
      </c>
      <c r="K67" s="74" t="s">
        <v>96</v>
      </c>
    </row>
    <row r="68" ht="19.5" customHeight="1">
      <c r="A68" s="141">
        <v>37019.0</v>
      </c>
      <c r="B68" s="49" t="s">
        <v>1083</v>
      </c>
      <c r="C68" s="46" t="s">
        <v>103</v>
      </c>
      <c r="D68" s="39">
        <v>4.0</v>
      </c>
      <c r="E68" s="49">
        <v>4.0</v>
      </c>
      <c r="F68" s="39">
        <v>32.0</v>
      </c>
      <c r="G68" s="40"/>
      <c r="H68" s="40">
        <f t="shared" ref="H68:H84" si="7">D68*E68*F68</f>
        <v>512</v>
      </c>
      <c r="I68" s="362">
        <f>4*(1.89+3.36+3.85+1.7+2.2)</f>
        <v>52</v>
      </c>
      <c r="J68" s="40">
        <f t="shared" ref="J68:J84" si="8">H68-I68</f>
        <v>460</v>
      </c>
      <c r="K68" s="46"/>
    </row>
    <row r="69" ht="19.5" customHeight="1">
      <c r="A69" s="141">
        <v>37019.0</v>
      </c>
      <c r="B69" s="49" t="s">
        <v>1084</v>
      </c>
      <c r="C69" s="46" t="s">
        <v>103</v>
      </c>
      <c r="D69" s="39">
        <v>2.0</v>
      </c>
      <c r="E69" s="49">
        <v>4.0</v>
      </c>
      <c r="F69" s="39">
        <v>32.0</v>
      </c>
      <c r="G69" s="40"/>
      <c r="H69" s="40">
        <f t="shared" si="7"/>
        <v>256</v>
      </c>
      <c r="I69" s="362">
        <f>4*(1.89+3.36+3.85+2.2)</f>
        <v>45.2</v>
      </c>
      <c r="J69" s="40">
        <f t="shared" si="8"/>
        <v>210.8</v>
      </c>
      <c r="K69" s="46"/>
    </row>
    <row r="70" ht="19.5" customHeight="1">
      <c r="A70" s="141">
        <v>37019.0</v>
      </c>
      <c r="B70" s="49" t="s">
        <v>1085</v>
      </c>
      <c r="C70" s="46" t="s">
        <v>103</v>
      </c>
      <c r="D70" s="39">
        <v>1.0</v>
      </c>
      <c r="E70" s="49">
        <v>4.0</v>
      </c>
      <c r="F70" s="39">
        <v>13.7</v>
      </c>
      <c r="G70" s="40"/>
      <c r="H70" s="40">
        <f t="shared" si="7"/>
        <v>54.8</v>
      </c>
      <c r="I70" s="362">
        <f>1.89+1.32</f>
        <v>3.21</v>
      </c>
      <c r="J70" s="40">
        <f t="shared" si="8"/>
        <v>51.59</v>
      </c>
      <c r="K70" s="46"/>
    </row>
    <row r="71" ht="19.5" customHeight="1">
      <c r="A71" s="141">
        <v>37019.0</v>
      </c>
      <c r="B71" s="49" t="s">
        <v>1086</v>
      </c>
      <c r="C71" s="46" t="s">
        <v>103</v>
      </c>
      <c r="D71" s="39">
        <v>2.0</v>
      </c>
      <c r="E71" s="49">
        <v>4.0</v>
      </c>
      <c r="F71" s="39">
        <v>17.7</v>
      </c>
      <c r="G71" s="40"/>
      <c r="H71" s="40">
        <f t="shared" si="7"/>
        <v>141.6</v>
      </c>
      <c r="I71" s="362">
        <f>2*1.7</f>
        <v>3.4</v>
      </c>
      <c r="J71" s="40">
        <f t="shared" si="8"/>
        <v>138.2</v>
      </c>
      <c r="K71" s="79"/>
    </row>
    <row r="72" ht="19.5" customHeight="1">
      <c r="A72" s="141">
        <v>37019.0</v>
      </c>
      <c r="B72" s="49" t="s">
        <v>1087</v>
      </c>
      <c r="C72" s="46" t="s">
        <v>103</v>
      </c>
      <c r="D72" s="39">
        <v>1.0</v>
      </c>
      <c r="E72" s="49">
        <v>4.0</v>
      </c>
      <c r="F72" s="39">
        <v>13.85</v>
      </c>
      <c r="G72" s="40"/>
      <c r="H72" s="40">
        <f t="shared" si="7"/>
        <v>55.4</v>
      </c>
      <c r="I72" s="362">
        <f>1.89+1.65</f>
        <v>3.54</v>
      </c>
      <c r="J72" s="40">
        <f t="shared" si="8"/>
        <v>51.86</v>
      </c>
      <c r="K72" s="79"/>
    </row>
    <row r="73" ht="19.5" customHeight="1">
      <c r="A73" s="141">
        <v>37019.0</v>
      </c>
      <c r="B73" s="49" t="s">
        <v>1088</v>
      </c>
      <c r="C73" s="46" t="s">
        <v>103</v>
      </c>
      <c r="D73" s="39">
        <v>1.0</v>
      </c>
      <c r="E73" s="49">
        <v>4.0</v>
      </c>
      <c r="F73" s="39">
        <v>23.85</v>
      </c>
      <c r="G73" s="40"/>
      <c r="H73" s="40">
        <f t="shared" si="7"/>
        <v>95.4</v>
      </c>
      <c r="I73" s="362">
        <f t="shared" ref="I73:I74" si="9">1.89+3.85</f>
        <v>5.74</v>
      </c>
      <c r="J73" s="40">
        <f t="shared" si="8"/>
        <v>89.66</v>
      </c>
      <c r="K73" s="79"/>
    </row>
    <row r="74" ht="19.5" customHeight="1">
      <c r="A74" s="141">
        <v>37019.0</v>
      </c>
      <c r="B74" s="49" t="s">
        <v>1089</v>
      </c>
      <c r="C74" s="158" t="s">
        <v>103</v>
      </c>
      <c r="D74" s="39">
        <v>1.0</v>
      </c>
      <c r="E74" s="49">
        <v>4.0</v>
      </c>
      <c r="F74" s="39">
        <v>16.85</v>
      </c>
      <c r="G74" s="40"/>
      <c r="H74" s="40">
        <f t="shared" si="7"/>
        <v>67.4</v>
      </c>
      <c r="I74" s="362">
        <f t="shared" si="9"/>
        <v>5.74</v>
      </c>
      <c r="J74" s="40">
        <f t="shared" si="8"/>
        <v>61.66</v>
      </c>
      <c r="K74" s="79"/>
    </row>
    <row r="75" ht="18.75" customHeight="1">
      <c r="A75" s="141">
        <v>37019.0</v>
      </c>
      <c r="B75" s="49" t="s">
        <v>1090</v>
      </c>
      <c r="C75" s="369" t="s">
        <v>103</v>
      </c>
      <c r="D75" s="39">
        <v>1.0</v>
      </c>
      <c r="E75" s="49">
        <v>4.0</v>
      </c>
      <c r="F75" s="39">
        <v>25.25</v>
      </c>
      <c r="G75" s="243"/>
      <c r="H75" s="40">
        <f t="shared" si="7"/>
        <v>101</v>
      </c>
      <c r="I75" s="362">
        <f>3.78+4*1.89+1.7</f>
        <v>13.04</v>
      </c>
      <c r="J75" s="40">
        <f t="shared" si="8"/>
        <v>87.96</v>
      </c>
      <c r="K75" s="243"/>
    </row>
    <row r="76" ht="19.5" customHeight="1">
      <c r="A76" s="141">
        <v>37019.0</v>
      </c>
      <c r="B76" s="49" t="s">
        <v>1091</v>
      </c>
      <c r="C76" s="369" t="s">
        <v>103</v>
      </c>
      <c r="D76" s="39">
        <v>1.0</v>
      </c>
      <c r="E76" s="49">
        <v>4.0</v>
      </c>
      <c r="F76" s="67">
        <v>16.85</v>
      </c>
      <c r="G76" s="243"/>
      <c r="H76" s="40">
        <f t="shared" si="7"/>
        <v>67.4</v>
      </c>
      <c r="I76" s="370">
        <f>1.89*2+2.2</f>
        <v>5.98</v>
      </c>
      <c r="J76" s="40">
        <f t="shared" si="8"/>
        <v>61.42</v>
      </c>
    </row>
    <row r="77" ht="19.5" customHeight="1">
      <c r="A77" s="141">
        <v>37019.0</v>
      </c>
      <c r="B77" s="49" t="s">
        <v>1092</v>
      </c>
      <c r="C77" s="158" t="s">
        <v>103</v>
      </c>
      <c r="D77" s="39">
        <v>1.0</v>
      </c>
      <c r="E77" s="49">
        <v>4.0</v>
      </c>
      <c r="F77" s="39">
        <v>6.1</v>
      </c>
      <c r="G77" s="40"/>
      <c r="H77" s="40">
        <f t="shared" si="7"/>
        <v>24.4</v>
      </c>
      <c r="I77" s="362">
        <f>1.89+0.5</f>
        <v>2.39</v>
      </c>
      <c r="J77" s="40">
        <f t="shared" si="8"/>
        <v>22.01</v>
      </c>
      <c r="K77" s="79"/>
    </row>
    <row r="78" ht="19.5" customHeight="1">
      <c r="A78" s="141">
        <v>37019.0</v>
      </c>
      <c r="B78" s="49" t="s">
        <v>1093</v>
      </c>
      <c r="C78" s="158" t="s">
        <v>103</v>
      </c>
      <c r="D78" s="39">
        <v>1.0</v>
      </c>
      <c r="E78" s="49">
        <v>4.0</v>
      </c>
      <c r="F78" s="39">
        <v>12.0</v>
      </c>
      <c r="G78" s="40"/>
      <c r="H78" s="40">
        <f t="shared" si="7"/>
        <v>48</v>
      </c>
      <c r="I78" s="362">
        <f>1.89+1</f>
        <v>2.89</v>
      </c>
      <c r="J78" s="40">
        <f t="shared" si="8"/>
        <v>45.11</v>
      </c>
      <c r="K78" s="79"/>
    </row>
    <row r="79" ht="19.5" customHeight="1">
      <c r="A79" s="141">
        <v>37019.0</v>
      </c>
      <c r="B79" s="49" t="s">
        <v>1094</v>
      </c>
      <c r="C79" s="158" t="s">
        <v>103</v>
      </c>
      <c r="D79" s="39">
        <v>1.0</v>
      </c>
      <c r="E79" s="49">
        <v>4.0</v>
      </c>
      <c r="F79" s="39">
        <v>16.85</v>
      </c>
      <c r="G79" s="40"/>
      <c r="H79" s="40">
        <f t="shared" si="7"/>
        <v>67.4</v>
      </c>
      <c r="I79" s="362">
        <f>3.85+1.89</f>
        <v>5.74</v>
      </c>
      <c r="J79" s="40">
        <f t="shared" si="8"/>
        <v>61.66</v>
      </c>
      <c r="K79" s="79"/>
    </row>
    <row r="80" ht="19.5" customHeight="1">
      <c r="A80" s="141">
        <v>37019.0</v>
      </c>
      <c r="B80" s="49" t="s">
        <v>811</v>
      </c>
      <c r="C80" s="46" t="s">
        <v>103</v>
      </c>
      <c r="D80" s="39">
        <v>1.0</v>
      </c>
      <c r="E80" s="49">
        <v>6.4</v>
      </c>
      <c r="F80" s="39">
        <v>84.65</v>
      </c>
      <c r="G80" s="40"/>
      <c r="H80" s="40">
        <f t="shared" si="7"/>
        <v>541.76</v>
      </c>
      <c r="I80" s="362">
        <f>37*4</f>
        <v>148</v>
      </c>
      <c r="J80" s="40">
        <f t="shared" si="8"/>
        <v>393.76</v>
      </c>
      <c r="K80" s="79"/>
    </row>
    <row r="81" ht="19.5" customHeight="1">
      <c r="A81" s="141">
        <v>37019.0</v>
      </c>
      <c r="B81" s="49" t="s">
        <v>811</v>
      </c>
      <c r="C81" s="46" t="s">
        <v>103</v>
      </c>
      <c r="D81" s="115">
        <v>1.0</v>
      </c>
      <c r="E81" s="49">
        <v>3.6</v>
      </c>
      <c r="F81" s="39">
        <v>84.65</v>
      </c>
      <c r="G81" s="40"/>
      <c r="H81" s="40">
        <f t="shared" si="7"/>
        <v>304.74</v>
      </c>
      <c r="I81" s="364">
        <f>8*1.89+3.78+4*1.7+1.32+1.65+1</f>
        <v>29.67</v>
      </c>
      <c r="J81" s="40">
        <f t="shared" si="8"/>
        <v>275.07</v>
      </c>
      <c r="K81" s="79"/>
    </row>
    <row r="82" ht="19.5" customHeight="1">
      <c r="A82" s="141">
        <v>37019.0</v>
      </c>
      <c r="B82" s="49" t="s">
        <v>1095</v>
      </c>
      <c r="C82" s="46" t="s">
        <v>103</v>
      </c>
      <c r="D82" s="115">
        <v>2.0</v>
      </c>
      <c r="E82" s="49">
        <v>4.0</v>
      </c>
      <c r="F82" s="39">
        <v>9.3</v>
      </c>
      <c r="G82" s="40"/>
      <c r="H82" s="40">
        <f t="shared" si="7"/>
        <v>74.4</v>
      </c>
      <c r="I82" s="364"/>
      <c r="J82" s="40">
        <f t="shared" si="8"/>
        <v>74.4</v>
      </c>
      <c r="K82" s="79"/>
    </row>
    <row r="83" ht="19.5" customHeight="1">
      <c r="A83" s="141">
        <v>37019.0</v>
      </c>
      <c r="B83" s="49" t="s">
        <v>815</v>
      </c>
      <c r="C83" s="46" t="s">
        <v>103</v>
      </c>
      <c r="D83" s="115">
        <v>1.0</v>
      </c>
      <c r="E83" s="49">
        <v>3.35</v>
      </c>
      <c r="F83" s="39">
        <v>84.65</v>
      </c>
      <c r="G83" s="40"/>
      <c r="H83" s="40">
        <f t="shared" si="7"/>
        <v>283.5775</v>
      </c>
      <c r="I83" s="364"/>
      <c r="J83" s="40">
        <f t="shared" si="8"/>
        <v>283.5775</v>
      </c>
      <c r="K83" s="79"/>
    </row>
    <row r="84" ht="19.5" customHeight="1">
      <c r="A84" s="144">
        <v>37019.0</v>
      </c>
      <c r="B84" s="49" t="s">
        <v>1096</v>
      </c>
      <c r="C84" s="46" t="s">
        <v>103</v>
      </c>
      <c r="D84" s="115">
        <v>40.0</v>
      </c>
      <c r="E84" s="49">
        <v>0.9</v>
      </c>
      <c r="F84" s="39">
        <v>2.6</v>
      </c>
      <c r="G84" s="41"/>
      <c r="H84" s="59">
        <f t="shared" si="7"/>
        <v>93.6</v>
      </c>
      <c r="I84" s="364"/>
      <c r="J84" s="40">
        <f t="shared" si="8"/>
        <v>93.6</v>
      </c>
      <c r="K84" s="79"/>
    </row>
    <row r="85" ht="19.5" customHeight="1">
      <c r="A85" s="141">
        <v>37019.0</v>
      </c>
      <c r="B85" s="95"/>
      <c r="C85" s="79"/>
      <c r="D85" s="92"/>
      <c r="E85" s="37"/>
      <c r="F85" s="78"/>
      <c r="G85" s="40"/>
      <c r="H85" s="40"/>
      <c r="I85" s="368"/>
      <c r="J85" s="96">
        <f>SUM(J68:J84)</f>
        <v>2462.3375</v>
      </c>
      <c r="K85" s="79"/>
    </row>
    <row r="86" ht="19.5" customHeight="1">
      <c r="A86" s="144">
        <v>37384.0</v>
      </c>
      <c r="B86" s="114" t="s">
        <v>602</v>
      </c>
      <c r="C86" s="46" t="s">
        <v>103</v>
      </c>
      <c r="D86" s="94">
        <v>2.0</v>
      </c>
      <c r="E86" s="49">
        <v>6.4</v>
      </c>
      <c r="F86" s="39">
        <v>11.45</v>
      </c>
      <c r="G86" s="40"/>
      <c r="H86" s="40">
        <f t="shared" ref="H86:H90" si="10">D86*E86*F86</f>
        <v>146.56</v>
      </c>
      <c r="I86" s="368">
        <f>2*2*2.4</f>
        <v>9.6</v>
      </c>
      <c r="J86" s="153">
        <f t="shared" ref="J86:J88" si="11">H86-I86</f>
        <v>136.96</v>
      </c>
      <c r="K86" s="79"/>
    </row>
    <row r="87" ht="19.5" customHeight="1">
      <c r="A87" s="144">
        <v>37384.0</v>
      </c>
      <c r="B87" s="114" t="s">
        <v>602</v>
      </c>
      <c r="C87" s="46" t="s">
        <v>103</v>
      </c>
      <c r="D87" s="94">
        <v>1.0</v>
      </c>
      <c r="E87" s="49">
        <v>6.4</v>
      </c>
      <c r="F87" s="39">
        <v>84.65</v>
      </c>
      <c r="G87" s="40"/>
      <c r="H87" s="40">
        <f t="shared" si="10"/>
        <v>541.76</v>
      </c>
      <c r="I87" s="368">
        <f>10*1.85+6*3.36+0.5+7*2.2+2*4*2.4</f>
        <v>73.76</v>
      </c>
      <c r="J87" s="153">
        <f t="shared" si="11"/>
        <v>468</v>
      </c>
      <c r="K87" s="79"/>
    </row>
    <row r="88" ht="19.5" customHeight="1">
      <c r="A88" s="144">
        <v>37384.0</v>
      </c>
      <c r="B88" s="114" t="s">
        <v>602</v>
      </c>
      <c r="C88" s="46" t="s">
        <v>103</v>
      </c>
      <c r="D88" s="94">
        <v>1.0</v>
      </c>
      <c r="E88" s="49">
        <v>3.35</v>
      </c>
      <c r="F88" s="39">
        <v>84.65</v>
      </c>
      <c r="G88" s="40"/>
      <c r="H88" s="40">
        <f t="shared" si="10"/>
        <v>283.5775</v>
      </c>
      <c r="I88" s="368"/>
      <c r="J88" s="153">
        <f t="shared" si="11"/>
        <v>283.5775</v>
      </c>
      <c r="K88" s="79"/>
    </row>
    <row r="89" ht="19.5" customHeight="1">
      <c r="A89" s="144">
        <v>37384.0</v>
      </c>
      <c r="B89" s="114" t="s">
        <v>1097</v>
      </c>
      <c r="C89" s="46" t="s">
        <v>103</v>
      </c>
      <c r="D89" s="94">
        <v>11.0</v>
      </c>
      <c r="E89" s="49">
        <v>2.55</v>
      </c>
      <c r="F89" s="39">
        <v>1.2</v>
      </c>
      <c r="G89" s="40"/>
      <c r="H89" s="59">
        <f t="shared" si="10"/>
        <v>33.66</v>
      </c>
      <c r="I89" s="368"/>
      <c r="J89" s="153">
        <f t="shared" ref="J89:J90" si="12">H89</f>
        <v>33.66</v>
      </c>
      <c r="K89" s="79"/>
    </row>
    <row r="90" ht="19.5" customHeight="1">
      <c r="A90" s="144">
        <v>37384.0</v>
      </c>
      <c r="B90" s="114" t="s">
        <v>1098</v>
      </c>
      <c r="C90" s="83" t="s">
        <v>103</v>
      </c>
      <c r="D90" s="94">
        <v>8.0</v>
      </c>
      <c r="E90" s="49">
        <v>2.55</v>
      </c>
      <c r="F90" s="39">
        <v>1.2</v>
      </c>
      <c r="G90" s="40"/>
      <c r="H90" s="59">
        <f t="shared" si="10"/>
        <v>24.48</v>
      </c>
      <c r="I90" s="368"/>
      <c r="J90" s="153">
        <f t="shared" si="12"/>
        <v>24.48</v>
      </c>
      <c r="K90" s="79"/>
    </row>
    <row r="91" ht="19.5" customHeight="1">
      <c r="A91" s="371"/>
      <c r="B91" s="95"/>
      <c r="C91" s="79"/>
      <c r="D91" s="92"/>
      <c r="E91" s="37"/>
      <c r="F91" s="78"/>
      <c r="G91" s="40"/>
      <c r="H91" s="59"/>
      <c r="I91" s="368"/>
      <c r="J91" s="96">
        <f>SUM(J86:J90)</f>
        <v>946.6775</v>
      </c>
      <c r="K91" s="79"/>
    </row>
    <row r="92" ht="19.5" customHeight="1">
      <c r="A92" s="144">
        <v>37384.0</v>
      </c>
      <c r="B92" s="114" t="s">
        <v>1099</v>
      </c>
      <c r="C92" s="83" t="s">
        <v>103</v>
      </c>
      <c r="D92" s="94">
        <v>1.0</v>
      </c>
      <c r="E92" s="49">
        <v>1.0</v>
      </c>
      <c r="F92" s="39">
        <v>84.65</v>
      </c>
      <c r="G92" s="40"/>
      <c r="H92" s="59">
        <f>D92*E92*F92</f>
        <v>84.65</v>
      </c>
      <c r="I92" s="368"/>
      <c r="J92" s="96">
        <f>H92</f>
        <v>84.65</v>
      </c>
      <c r="K92" s="79"/>
    </row>
    <row r="93" ht="19.5" customHeight="1">
      <c r="A93" s="216" t="s">
        <v>1</v>
      </c>
      <c r="B93" s="74" t="s">
        <v>91</v>
      </c>
      <c r="C93" s="74" t="s">
        <v>92</v>
      </c>
      <c r="D93" s="76" t="s">
        <v>93</v>
      </c>
      <c r="E93" s="50" t="s">
        <v>97</v>
      </c>
      <c r="F93" s="53" t="s">
        <v>121</v>
      </c>
      <c r="G93" s="53" t="s">
        <v>198</v>
      </c>
      <c r="H93" s="75" t="s">
        <v>100</v>
      </c>
      <c r="I93" s="363" t="s">
        <v>101</v>
      </c>
      <c r="J93" s="76" t="s">
        <v>95</v>
      </c>
      <c r="K93" s="74" t="s">
        <v>96</v>
      </c>
    </row>
    <row r="94" ht="19.5" customHeight="1">
      <c r="A94" s="141">
        <v>37749.0</v>
      </c>
      <c r="B94" s="49" t="s">
        <v>1100</v>
      </c>
      <c r="C94" s="46" t="s">
        <v>103</v>
      </c>
      <c r="D94" s="39">
        <v>4.0</v>
      </c>
      <c r="E94" s="49">
        <v>4.0</v>
      </c>
      <c r="F94" s="39">
        <v>32.0</v>
      </c>
      <c r="G94" s="40"/>
      <c r="H94" s="40">
        <f t="shared" ref="H94:H110" si="13">D94*E94*F94</f>
        <v>512</v>
      </c>
      <c r="I94" s="362">
        <f>4*(1.89+3.36+3.85+1.7+2.2)</f>
        <v>52</v>
      </c>
      <c r="J94" s="40">
        <f t="shared" ref="J94:J110" si="14">H94-I94</f>
        <v>460</v>
      </c>
      <c r="K94" s="79"/>
    </row>
    <row r="95" ht="19.5" customHeight="1">
      <c r="A95" s="141">
        <v>37749.0</v>
      </c>
      <c r="B95" s="49" t="s">
        <v>1101</v>
      </c>
      <c r="C95" s="46" t="s">
        <v>103</v>
      </c>
      <c r="D95" s="39">
        <v>2.0</v>
      </c>
      <c r="E95" s="49">
        <v>4.0</v>
      </c>
      <c r="F95" s="39">
        <v>32.0</v>
      </c>
      <c r="G95" s="40"/>
      <c r="H95" s="40">
        <f t="shared" si="13"/>
        <v>256</v>
      </c>
      <c r="I95" s="362">
        <f>4*(1.89+3.36+3.85+2.2)</f>
        <v>45.2</v>
      </c>
      <c r="J95" s="40">
        <f t="shared" si="14"/>
        <v>210.8</v>
      </c>
      <c r="K95" s="79"/>
    </row>
    <row r="96" ht="19.5" customHeight="1">
      <c r="A96" s="141">
        <v>37749.0</v>
      </c>
      <c r="B96" s="49" t="s">
        <v>1102</v>
      </c>
      <c r="C96" s="46" t="s">
        <v>103</v>
      </c>
      <c r="D96" s="39">
        <v>1.0</v>
      </c>
      <c r="E96" s="49">
        <v>4.0</v>
      </c>
      <c r="F96" s="39">
        <v>13.7</v>
      </c>
      <c r="G96" s="40"/>
      <c r="H96" s="40">
        <f t="shared" si="13"/>
        <v>54.8</v>
      </c>
      <c r="I96" s="362">
        <f>1.89+1.32</f>
        <v>3.21</v>
      </c>
      <c r="J96" s="40">
        <f t="shared" si="14"/>
        <v>51.59</v>
      </c>
      <c r="K96" s="79"/>
    </row>
    <row r="97" ht="19.5" customHeight="1">
      <c r="A97" s="141">
        <v>37749.0</v>
      </c>
      <c r="B97" s="49" t="s">
        <v>1103</v>
      </c>
      <c r="C97" s="46" t="s">
        <v>103</v>
      </c>
      <c r="D97" s="39">
        <v>2.0</v>
      </c>
      <c r="E97" s="49">
        <v>4.0</v>
      </c>
      <c r="F97" s="39">
        <v>17.7</v>
      </c>
      <c r="G97" s="40"/>
      <c r="H97" s="40">
        <f t="shared" si="13"/>
        <v>141.6</v>
      </c>
      <c r="I97" s="362">
        <f>2*1.7</f>
        <v>3.4</v>
      </c>
      <c r="J97" s="40">
        <f t="shared" si="14"/>
        <v>138.2</v>
      </c>
      <c r="K97" s="79"/>
    </row>
    <row r="98" ht="19.5" customHeight="1">
      <c r="A98" s="141">
        <v>37749.0</v>
      </c>
      <c r="B98" s="49" t="s">
        <v>1104</v>
      </c>
      <c r="C98" s="46" t="s">
        <v>103</v>
      </c>
      <c r="D98" s="39">
        <v>1.0</v>
      </c>
      <c r="E98" s="49">
        <v>4.0</v>
      </c>
      <c r="F98" s="39">
        <v>13.85</v>
      </c>
      <c r="G98" s="40"/>
      <c r="H98" s="40">
        <f t="shared" si="13"/>
        <v>55.4</v>
      </c>
      <c r="I98" s="362">
        <f>1.89+1.65</f>
        <v>3.54</v>
      </c>
      <c r="J98" s="40">
        <f t="shared" si="14"/>
        <v>51.86</v>
      </c>
      <c r="K98" s="79"/>
    </row>
    <row r="99" ht="19.5" customHeight="1">
      <c r="A99" s="141">
        <v>37749.0</v>
      </c>
      <c r="B99" s="49" t="s">
        <v>1105</v>
      </c>
      <c r="C99" s="46" t="s">
        <v>103</v>
      </c>
      <c r="D99" s="39">
        <v>1.0</v>
      </c>
      <c r="E99" s="49">
        <v>4.0</v>
      </c>
      <c r="F99" s="39">
        <v>23.85</v>
      </c>
      <c r="G99" s="40"/>
      <c r="H99" s="40">
        <f t="shared" si="13"/>
        <v>95.4</v>
      </c>
      <c r="I99" s="362">
        <f t="shared" ref="I99:I100" si="15">1.89+3.85</f>
        <v>5.74</v>
      </c>
      <c r="J99" s="40">
        <f t="shared" si="14"/>
        <v>89.66</v>
      </c>
      <c r="K99" s="79"/>
    </row>
    <row r="100" ht="19.5" customHeight="1">
      <c r="A100" s="141">
        <v>37749.0</v>
      </c>
      <c r="B100" s="49" t="s">
        <v>1106</v>
      </c>
      <c r="C100" s="158" t="s">
        <v>103</v>
      </c>
      <c r="D100" s="39">
        <v>1.0</v>
      </c>
      <c r="E100" s="49">
        <v>4.0</v>
      </c>
      <c r="F100" s="39">
        <v>16.85</v>
      </c>
      <c r="G100" s="40"/>
      <c r="H100" s="40">
        <f t="shared" si="13"/>
        <v>67.4</v>
      </c>
      <c r="I100" s="362">
        <f t="shared" si="15"/>
        <v>5.74</v>
      </c>
      <c r="J100" s="40">
        <f t="shared" si="14"/>
        <v>61.66</v>
      </c>
      <c r="K100" s="79"/>
    </row>
    <row r="101" ht="19.5" customHeight="1">
      <c r="A101" s="141">
        <v>37749.0</v>
      </c>
      <c r="B101" s="49" t="s">
        <v>1107</v>
      </c>
      <c r="C101" s="369" t="s">
        <v>103</v>
      </c>
      <c r="D101" s="39">
        <v>1.0</v>
      </c>
      <c r="E101" s="49">
        <v>4.0</v>
      </c>
      <c r="F101" s="39">
        <v>25.25</v>
      </c>
      <c r="G101" s="243"/>
      <c r="H101" s="40">
        <f t="shared" si="13"/>
        <v>101</v>
      </c>
      <c r="I101" s="362">
        <f>3.78+4*1.89+1.7</f>
        <v>13.04</v>
      </c>
      <c r="J101" s="40">
        <f t="shared" si="14"/>
        <v>87.96</v>
      </c>
      <c r="K101" s="79"/>
    </row>
    <row r="102" ht="19.5" customHeight="1">
      <c r="A102" s="141">
        <v>37749.0</v>
      </c>
      <c r="B102" s="49" t="s">
        <v>1108</v>
      </c>
      <c r="C102" s="369" t="s">
        <v>103</v>
      </c>
      <c r="D102" s="39">
        <v>1.0</v>
      </c>
      <c r="E102" s="49">
        <v>4.0</v>
      </c>
      <c r="F102" s="67">
        <v>16.85</v>
      </c>
      <c r="G102" s="243"/>
      <c r="H102" s="40">
        <f t="shared" si="13"/>
        <v>67.4</v>
      </c>
      <c r="I102" s="370">
        <f>1.89*2+2.2</f>
        <v>5.98</v>
      </c>
      <c r="J102" s="40">
        <f t="shared" si="14"/>
        <v>61.42</v>
      </c>
      <c r="K102" s="79"/>
    </row>
    <row r="103" ht="19.5" customHeight="1">
      <c r="A103" s="141">
        <v>37749.0</v>
      </c>
      <c r="B103" s="49" t="s">
        <v>1109</v>
      </c>
      <c r="C103" s="158" t="s">
        <v>103</v>
      </c>
      <c r="D103" s="39">
        <v>1.0</v>
      </c>
      <c r="E103" s="49">
        <v>4.0</v>
      </c>
      <c r="F103" s="39">
        <v>6.1</v>
      </c>
      <c r="G103" s="40"/>
      <c r="H103" s="40">
        <f t="shared" si="13"/>
        <v>24.4</v>
      </c>
      <c r="I103" s="362">
        <f>1.89+0.5</f>
        <v>2.39</v>
      </c>
      <c r="J103" s="40">
        <f t="shared" si="14"/>
        <v>22.01</v>
      </c>
      <c r="K103" s="79"/>
    </row>
    <row r="104" ht="19.5" customHeight="1">
      <c r="A104" s="141">
        <v>37749.0</v>
      </c>
      <c r="B104" s="49" t="s">
        <v>1110</v>
      </c>
      <c r="C104" s="158" t="s">
        <v>103</v>
      </c>
      <c r="D104" s="39">
        <v>1.0</v>
      </c>
      <c r="E104" s="49">
        <v>4.0</v>
      </c>
      <c r="F104" s="39">
        <v>12.0</v>
      </c>
      <c r="G104" s="40"/>
      <c r="H104" s="40">
        <f t="shared" si="13"/>
        <v>48</v>
      </c>
      <c r="I104" s="362">
        <f>1.89+1</f>
        <v>2.89</v>
      </c>
      <c r="J104" s="40">
        <f t="shared" si="14"/>
        <v>45.11</v>
      </c>
      <c r="K104" s="79"/>
    </row>
    <row r="105" ht="19.5" customHeight="1">
      <c r="A105" s="141">
        <v>37749.0</v>
      </c>
      <c r="B105" s="49" t="s">
        <v>1111</v>
      </c>
      <c r="C105" s="158" t="s">
        <v>103</v>
      </c>
      <c r="D105" s="39">
        <v>1.0</v>
      </c>
      <c r="E105" s="49">
        <v>4.0</v>
      </c>
      <c r="F105" s="39">
        <v>16.85</v>
      </c>
      <c r="G105" s="40"/>
      <c r="H105" s="40">
        <f t="shared" si="13"/>
        <v>67.4</v>
      </c>
      <c r="I105" s="362">
        <f>3.85+1.89</f>
        <v>5.74</v>
      </c>
      <c r="J105" s="40">
        <f t="shared" si="14"/>
        <v>61.66</v>
      </c>
      <c r="K105" s="79"/>
    </row>
    <row r="106" ht="19.5" customHeight="1">
      <c r="A106" s="141">
        <v>37749.0</v>
      </c>
      <c r="B106" s="49" t="s">
        <v>822</v>
      </c>
      <c r="C106" s="46" t="s">
        <v>103</v>
      </c>
      <c r="D106" s="39">
        <v>1.0</v>
      </c>
      <c r="E106" s="49">
        <v>6.4</v>
      </c>
      <c r="F106" s="39">
        <v>84.65</v>
      </c>
      <c r="G106" s="40"/>
      <c r="H106" s="40">
        <f t="shared" si="13"/>
        <v>541.76</v>
      </c>
      <c r="I106" s="362">
        <f>37*4</f>
        <v>148</v>
      </c>
      <c r="J106" s="40">
        <f t="shared" si="14"/>
        <v>393.76</v>
      </c>
      <c r="K106" s="79"/>
    </row>
    <row r="107" ht="19.5" customHeight="1">
      <c r="A107" s="141">
        <v>37749.0</v>
      </c>
      <c r="B107" s="49" t="s">
        <v>822</v>
      </c>
      <c r="C107" s="46" t="s">
        <v>103</v>
      </c>
      <c r="D107" s="115">
        <v>1.0</v>
      </c>
      <c r="E107" s="49">
        <v>3.6</v>
      </c>
      <c r="F107" s="39">
        <v>84.65</v>
      </c>
      <c r="G107" s="40"/>
      <c r="H107" s="40">
        <f t="shared" si="13"/>
        <v>304.74</v>
      </c>
      <c r="I107" s="364">
        <f>8*1.89+3.78+4*1.7+1.32+1.65+1</f>
        <v>29.67</v>
      </c>
      <c r="J107" s="40">
        <f t="shared" si="14"/>
        <v>275.07</v>
      </c>
      <c r="K107" s="79"/>
    </row>
    <row r="108" ht="19.5" customHeight="1">
      <c r="A108" s="141">
        <v>37749.0</v>
      </c>
      <c r="B108" s="49" t="s">
        <v>1112</v>
      </c>
      <c r="C108" s="46" t="s">
        <v>103</v>
      </c>
      <c r="D108" s="115">
        <v>2.0</v>
      </c>
      <c r="E108" s="49">
        <v>4.0</v>
      </c>
      <c r="F108" s="39">
        <v>9.3</v>
      </c>
      <c r="G108" s="40"/>
      <c r="H108" s="40">
        <f t="shared" si="13"/>
        <v>74.4</v>
      </c>
      <c r="I108" s="364"/>
      <c r="J108" s="40">
        <f t="shared" si="14"/>
        <v>74.4</v>
      </c>
      <c r="K108" s="79"/>
    </row>
    <row r="109" ht="19.5" customHeight="1">
      <c r="A109" s="141">
        <v>37749.0</v>
      </c>
      <c r="B109" s="49" t="s">
        <v>826</v>
      </c>
      <c r="C109" s="46" t="s">
        <v>103</v>
      </c>
      <c r="D109" s="115">
        <v>1.0</v>
      </c>
      <c r="E109" s="49">
        <v>3.35</v>
      </c>
      <c r="F109" s="39">
        <v>84.65</v>
      </c>
      <c r="G109" s="40"/>
      <c r="H109" s="40">
        <f t="shared" si="13"/>
        <v>283.5775</v>
      </c>
      <c r="I109" s="364"/>
      <c r="J109" s="40">
        <f t="shared" si="14"/>
        <v>283.5775</v>
      </c>
      <c r="K109" s="46"/>
    </row>
    <row r="110" ht="19.5" customHeight="1">
      <c r="A110" s="144">
        <v>37749.0</v>
      </c>
      <c r="B110" s="49" t="s">
        <v>1113</v>
      </c>
      <c r="C110" s="46" t="s">
        <v>103</v>
      </c>
      <c r="D110" s="115">
        <v>40.0</v>
      </c>
      <c r="E110" s="49">
        <v>0.9</v>
      </c>
      <c r="F110" s="39">
        <v>2.6</v>
      </c>
      <c r="G110" s="41"/>
      <c r="H110" s="59">
        <f t="shared" si="13"/>
        <v>93.6</v>
      </c>
      <c r="I110" s="364"/>
      <c r="J110" s="40">
        <f t="shared" si="14"/>
        <v>93.6</v>
      </c>
      <c r="K110" s="46"/>
    </row>
    <row r="111" ht="19.5" customHeight="1">
      <c r="A111" s="141">
        <v>37749.0</v>
      </c>
      <c r="B111" s="95"/>
      <c r="C111" s="79"/>
      <c r="D111" s="92"/>
      <c r="E111" s="37"/>
      <c r="F111" s="78"/>
      <c r="G111" s="40"/>
      <c r="H111" s="40"/>
      <c r="I111" s="368"/>
      <c r="J111" s="96">
        <f>SUM(J94:J110)</f>
        <v>2462.3375</v>
      </c>
      <c r="K111" s="46"/>
    </row>
    <row r="112" ht="19.5" customHeight="1">
      <c r="A112" s="144">
        <v>38115.0</v>
      </c>
      <c r="B112" s="114" t="s">
        <v>614</v>
      </c>
      <c r="C112" s="46" t="s">
        <v>103</v>
      </c>
      <c r="D112" s="94">
        <v>2.0</v>
      </c>
      <c r="E112" s="49">
        <v>6.4</v>
      </c>
      <c r="F112" s="39">
        <v>11.45</v>
      </c>
      <c r="G112" s="40"/>
      <c r="H112" s="40">
        <f t="shared" ref="H112:H116" si="16">D112*E112*F112</f>
        <v>146.56</v>
      </c>
      <c r="I112" s="368">
        <f>2*2*2.4</f>
        <v>9.6</v>
      </c>
      <c r="J112" s="153">
        <f t="shared" ref="J112:J114" si="17">H112-I112</f>
        <v>136.96</v>
      </c>
      <c r="K112" s="46"/>
    </row>
    <row r="113" ht="19.5" customHeight="1">
      <c r="A113" s="144">
        <v>38115.0</v>
      </c>
      <c r="B113" s="114" t="s">
        <v>614</v>
      </c>
      <c r="C113" s="46" t="s">
        <v>103</v>
      </c>
      <c r="D113" s="94">
        <v>1.0</v>
      </c>
      <c r="E113" s="49">
        <v>6.4</v>
      </c>
      <c r="F113" s="39">
        <v>84.65</v>
      </c>
      <c r="G113" s="40"/>
      <c r="H113" s="40">
        <f t="shared" si="16"/>
        <v>541.76</v>
      </c>
      <c r="I113" s="368">
        <f>10*1.85+6*3.36+0.5+7*2.2+2*4*2.4</f>
        <v>73.76</v>
      </c>
      <c r="J113" s="153">
        <f t="shared" si="17"/>
        <v>468</v>
      </c>
      <c r="K113" s="46"/>
    </row>
    <row r="114" ht="19.5" customHeight="1">
      <c r="A114" s="144">
        <v>38115.0</v>
      </c>
      <c r="B114" s="114" t="s">
        <v>614</v>
      </c>
      <c r="C114" s="46" t="s">
        <v>103</v>
      </c>
      <c r="D114" s="94">
        <v>1.0</v>
      </c>
      <c r="E114" s="49">
        <v>3.35</v>
      </c>
      <c r="F114" s="39">
        <v>84.65</v>
      </c>
      <c r="G114" s="40"/>
      <c r="H114" s="40">
        <f t="shared" si="16"/>
        <v>283.5775</v>
      </c>
      <c r="I114" s="368"/>
      <c r="J114" s="153">
        <f t="shared" si="17"/>
        <v>283.5775</v>
      </c>
      <c r="K114" s="46"/>
    </row>
    <row r="115" ht="19.5" customHeight="1">
      <c r="A115" s="144">
        <v>38115.0</v>
      </c>
      <c r="B115" s="114" t="s">
        <v>1114</v>
      </c>
      <c r="C115" s="46" t="s">
        <v>103</v>
      </c>
      <c r="D115" s="94">
        <v>11.0</v>
      </c>
      <c r="E115" s="49">
        <v>2.55</v>
      </c>
      <c r="F115" s="39">
        <v>1.2</v>
      </c>
      <c r="G115" s="40"/>
      <c r="H115" s="59">
        <f t="shared" si="16"/>
        <v>33.66</v>
      </c>
      <c r="I115" s="368"/>
      <c r="J115" s="153">
        <f t="shared" ref="J115:J116" si="18">H115</f>
        <v>33.66</v>
      </c>
      <c r="K115" s="46"/>
    </row>
    <row r="116" ht="19.5" customHeight="1">
      <c r="A116" s="144">
        <v>38115.0</v>
      </c>
      <c r="B116" s="114" t="s">
        <v>1115</v>
      </c>
      <c r="C116" s="83" t="s">
        <v>103</v>
      </c>
      <c r="D116" s="94">
        <v>8.0</v>
      </c>
      <c r="E116" s="49">
        <v>2.55</v>
      </c>
      <c r="F116" s="39">
        <v>1.2</v>
      </c>
      <c r="G116" s="40"/>
      <c r="H116" s="59">
        <f t="shared" si="16"/>
        <v>24.48</v>
      </c>
      <c r="I116" s="368"/>
      <c r="J116" s="153">
        <f t="shared" si="18"/>
        <v>24.48</v>
      </c>
      <c r="K116" s="46"/>
    </row>
    <row r="117" ht="19.5" customHeight="1">
      <c r="A117" s="371"/>
      <c r="B117" s="95"/>
      <c r="C117" s="79"/>
      <c r="D117" s="92"/>
      <c r="E117" s="37"/>
      <c r="F117" s="78"/>
      <c r="G117" s="40"/>
      <c r="H117" s="59"/>
      <c r="I117" s="368"/>
      <c r="J117" s="96">
        <f>SUM(J112:J116)</f>
        <v>946.6775</v>
      </c>
      <c r="K117" s="46"/>
    </row>
    <row r="118" ht="19.5" customHeight="1">
      <c r="A118" s="144">
        <v>37384.0</v>
      </c>
      <c r="B118" s="114" t="s">
        <v>1116</v>
      </c>
      <c r="C118" s="83" t="s">
        <v>103</v>
      </c>
      <c r="D118" s="94">
        <v>1.0</v>
      </c>
      <c r="E118" s="49">
        <v>1.0</v>
      </c>
      <c r="F118" s="39">
        <v>84.65</v>
      </c>
      <c r="G118" s="40"/>
      <c r="H118" s="59">
        <f>D118*E118*F118</f>
        <v>84.65</v>
      </c>
      <c r="I118" s="368"/>
      <c r="J118" s="96">
        <f>H118</f>
        <v>84.65</v>
      </c>
      <c r="K118" s="79"/>
    </row>
    <row r="119" ht="19.5" customHeight="1">
      <c r="A119" s="216" t="s">
        <v>1</v>
      </c>
      <c r="B119" s="74" t="s">
        <v>91</v>
      </c>
      <c r="C119" s="74" t="s">
        <v>92</v>
      </c>
      <c r="D119" s="76" t="s">
        <v>93</v>
      </c>
      <c r="E119" s="50" t="s">
        <v>97</v>
      </c>
      <c r="F119" s="53" t="s">
        <v>121</v>
      </c>
      <c r="G119" s="53" t="s">
        <v>198</v>
      </c>
      <c r="H119" s="75" t="s">
        <v>100</v>
      </c>
      <c r="I119" s="363" t="s">
        <v>101</v>
      </c>
      <c r="J119" s="76" t="s">
        <v>95</v>
      </c>
      <c r="K119" s="74" t="s">
        <v>96</v>
      </c>
    </row>
    <row r="120" ht="19.5" customHeight="1">
      <c r="A120" s="154" t="s">
        <v>1117</v>
      </c>
      <c r="B120" s="49" t="s">
        <v>1118</v>
      </c>
      <c r="C120" s="46" t="s">
        <v>103</v>
      </c>
      <c r="D120" s="39">
        <v>4.0</v>
      </c>
      <c r="E120" s="49">
        <v>1.3</v>
      </c>
      <c r="F120" s="39">
        <v>32.0</v>
      </c>
      <c r="G120" s="40"/>
      <c r="H120" s="40">
        <f t="shared" ref="H120:H134" si="19">D120*E120*F120</f>
        <v>166.4</v>
      </c>
      <c r="I120" s="362"/>
      <c r="J120" s="40">
        <f t="shared" ref="J120:J134" si="20">H120-I120</f>
        <v>166.4</v>
      </c>
      <c r="K120" s="131"/>
    </row>
    <row r="121" ht="19.5" customHeight="1">
      <c r="A121" s="154" t="s">
        <v>1117</v>
      </c>
      <c r="B121" s="49" t="s">
        <v>1119</v>
      </c>
      <c r="C121" s="46" t="s">
        <v>103</v>
      </c>
      <c r="D121" s="39">
        <v>2.0</v>
      </c>
      <c r="E121" s="49">
        <v>1.3</v>
      </c>
      <c r="F121" s="39">
        <v>32.0</v>
      </c>
      <c r="G121" s="40"/>
      <c r="H121" s="40">
        <f t="shared" si="19"/>
        <v>83.2</v>
      </c>
      <c r="I121" s="362"/>
      <c r="J121" s="40">
        <f t="shared" si="20"/>
        <v>83.2</v>
      </c>
      <c r="K121" s="131"/>
    </row>
    <row r="122" ht="19.5" customHeight="1">
      <c r="A122" s="154" t="s">
        <v>1117</v>
      </c>
      <c r="B122" s="49" t="s">
        <v>1120</v>
      </c>
      <c r="C122" s="46" t="s">
        <v>103</v>
      </c>
      <c r="D122" s="39">
        <v>1.0</v>
      </c>
      <c r="E122" s="49">
        <v>1.3</v>
      </c>
      <c r="F122" s="39">
        <v>13.7</v>
      </c>
      <c r="G122" s="40"/>
      <c r="H122" s="40">
        <f t="shared" si="19"/>
        <v>17.81</v>
      </c>
      <c r="I122" s="362"/>
      <c r="J122" s="40">
        <f t="shared" si="20"/>
        <v>17.81</v>
      </c>
      <c r="K122" s="131"/>
    </row>
    <row r="123" ht="19.5" customHeight="1">
      <c r="A123" s="154" t="s">
        <v>1117</v>
      </c>
      <c r="B123" s="49" t="s">
        <v>1121</v>
      </c>
      <c r="C123" s="46" t="s">
        <v>103</v>
      </c>
      <c r="D123" s="39">
        <v>2.0</v>
      </c>
      <c r="E123" s="49">
        <v>1.3</v>
      </c>
      <c r="F123" s="39">
        <v>17.7</v>
      </c>
      <c r="G123" s="40"/>
      <c r="H123" s="40">
        <f t="shared" si="19"/>
        <v>46.02</v>
      </c>
      <c r="I123" s="372"/>
      <c r="J123" s="40">
        <f t="shared" si="20"/>
        <v>46.02</v>
      </c>
      <c r="K123" s="131"/>
    </row>
    <row r="124" ht="19.5" customHeight="1">
      <c r="A124" s="154" t="s">
        <v>1117</v>
      </c>
      <c r="B124" s="49" t="s">
        <v>1122</v>
      </c>
      <c r="C124" s="46" t="s">
        <v>103</v>
      </c>
      <c r="D124" s="39">
        <v>1.0</v>
      </c>
      <c r="E124" s="49">
        <v>1.3</v>
      </c>
      <c r="F124" s="39">
        <v>13.85</v>
      </c>
      <c r="G124" s="40"/>
      <c r="H124" s="40">
        <f t="shared" si="19"/>
        <v>18.005</v>
      </c>
      <c r="I124" s="362"/>
      <c r="J124" s="40">
        <f t="shared" si="20"/>
        <v>18.005</v>
      </c>
      <c r="K124" s="131"/>
    </row>
    <row r="125" ht="19.5" customHeight="1">
      <c r="A125" s="154" t="s">
        <v>1117</v>
      </c>
      <c r="B125" s="49" t="s">
        <v>1123</v>
      </c>
      <c r="C125" s="46" t="s">
        <v>103</v>
      </c>
      <c r="D125" s="39">
        <v>1.0</v>
      </c>
      <c r="E125" s="49">
        <v>1.3</v>
      </c>
      <c r="F125" s="39">
        <v>23.85</v>
      </c>
      <c r="G125" s="40"/>
      <c r="H125" s="40">
        <f t="shared" si="19"/>
        <v>31.005</v>
      </c>
      <c r="I125" s="362"/>
      <c r="J125" s="40">
        <f t="shared" si="20"/>
        <v>31.005</v>
      </c>
      <c r="K125" s="131"/>
    </row>
    <row r="126" ht="19.5" customHeight="1">
      <c r="A126" s="154" t="s">
        <v>1117</v>
      </c>
      <c r="B126" s="49" t="s">
        <v>1124</v>
      </c>
      <c r="C126" s="158" t="s">
        <v>103</v>
      </c>
      <c r="D126" s="39">
        <v>1.0</v>
      </c>
      <c r="E126" s="49">
        <v>1.3</v>
      </c>
      <c r="F126" s="39">
        <v>16.85</v>
      </c>
      <c r="G126" s="40"/>
      <c r="H126" s="40">
        <f t="shared" si="19"/>
        <v>21.905</v>
      </c>
      <c r="I126" s="362"/>
      <c r="J126" s="40">
        <f t="shared" si="20"/>
        <v>21.905</v>
      </c>
      <c r="K126" s="131"/>
    </row>
    <row r="127" ht="19.5" customHeight="1">
      <c r="A127" s="154" t="s">
        <v>1117</v>
      </c>
      <c r="B127" s="49" t="s">
        <v>1125</v>
      </c>
      <c r="C127" s="369" t="s">
        <v>103</v>
      </c>
      <c r="D127" s="39">
        <v>1.0</v>
      </c>
      <c r="E127" s="49">
        <v>1.3</v>
      </c>
      <c r="F127" s="39">
        <v>25.25</v>
      </c>
      <c r="G127" s="243"/>
      <c r="H127" s="40">
        <f t="shared" si="19"/>
        <v>32.825</v>
      </c>
      <c r="I127" s="362"/>
      <c r="J127" s="40">
        <f t="shared" si="20"/>
        <v>32.825</v>
      </c>
      <c r="K127" s="131"/>
    </row>
    <row r="128" ht="19.5" customHeight="1">
      <c r="A128" s="154" t="s">
        <v>1117</v>
      </c>
      <c r="B128" s="49" t="s">
        <v>1126</v>
      </c>
      <c r="C128" s="369" t="s">
        <v>103</v>
      </c>
      <c r="D128" s="39">
        <v>1.0</v>
      </c>
      <c r="E128" s="49">
        <v>1.3</v>
      </c>
      <c r="F128" s="67">
        <v>16.85</v>
      </c>
      <c r="G128" s="243"/>
      <c r="H128" s="40">
        <f t="shared" si="19"/>
        <v>21.905</v>
      </c>
      <c r="I128" s="370"/>
      <c r="J128" s="40">
        <f t="shared" si="20"/>
        <v>21.905</v>
      </c>
      <c r="K128" s="131"/>
    </row>
    <row r="129" ht="19.5" customHeight="1">
      <c r="A129" s="154" t="s">
        <v>1117</v>
      </c>
      <c r="B129" s="49" t="s">
        <v>1127</v>
      </c>
      <c r="C129" s="158" t="s">
        <v>103</v>
      </c>
      <c r="D129" s="39">
        <v>1.0</v>
      </c>
      <c r="E129" s="49">
        <v>1.3</v>
      </c>
      <c r="F129" s="39">
        <v>6.1</v>
      </c>
      <c r="G129" s="40"/>
      <c r="H129" s="40">
        <f t="shared" si="19"/>
        <v>7.93</v>
      </c>
      <c r="I129" s="362"/>
      <c r="J129" s="40">
        <f t="shared" si="20"/>
        <v>7.93</v>
      </c>
      <c r="K129" s="131"/>
    </row>
    <row r="130" ht="19.5" customHeight="1">
      <c r="A130" s="154" t="s">
        <v>1117</v>
      </c>
      <c r="B130" s="49" t="s">
        <v>1128</v>
      </c>
      <c r="C130" s="158" t="s">
        <v>103</v>
      </c>
      <c r="D130" s="39">
        <v>1.0</v>
      </c>
      <c r="E130" s="49">
        <v>1.3</v>
      </c>
      <c r="F130" s="39">
        <v>12.0</v>
      </c>
      <c r="G130" s="40"/>
      <c r="H130" s="40">
        <f t="shared" si="19"/>
        <v>15.6</v>
      </c>
      <c r="I130" s="362"/>
      <c r="J130" s="40">
        <f t="shared" si="20"/>
        <v>15.6</v>
      </c>
      <c r="K130" s="131"/>
    </row>
    <row r="131" ht="19.5" customHeight="1">
      <c r="A131" s="154" t="s">
        <v>1117</v>
      </c>
      <c r="B131" s="49" t="s">
        <v>1129</v>
      </c>
      <c r="C131" s="158" t="s">
        <v>103</v>
      </c>
      <c r="D131" s="39">
        <v>1.0</v>
      </c>
      <c r="E131" s="49">
        <v>1.3</v>
      </c>
      <c r="F131" s="39">
        <v>16.85</v>
      </c>
      <c r="G131" s="40"/>
      <c r="H131" s="40">
        <f t="shared" si="19"/>
        <v>21.905</v>
      </c>
      <c r="I131" s="362"/>
      <c r="J131" s="40">
        <f t="shared" si="20"/>
        <v>21.905</v>
      </c>
      <c r="K131" s="131"/>
    </row>
    <row r="132" ht="19.5" customHeight="1">
      <c r="A132" s="154" t="s">
        <v>1117</v>
      </c>
      <c r="B132" s="49" t="s">
        <v>831</v>
      </c>
      <c r="C132" s="46" t="s">
        <v>103</v>
      </c>
      <c r="D132" s="39">
        <v>1.0</v>
      </c>
      <c r="E132" s="49">
        <v>1.3</v>
      </c>
      <c r="F132" s="39">
        <v>84.65</v>
      </c>
      <c r="G132" s="40"/>
      <c r="H132" s="40">
        <f t="shared" si="19"/>
        <v>110.045</v>
      </c>
      <c r="I132" s="362"/>
      <c r="J132" s="40">
        <f t="shared" si="20"/>
        <v>110.045</v>
      </c>
      <c r="K132" s="46"/>
    </row>
    <row r="133" ht="19.5" customHeight="1">
      <c r="A133" s="154" t="s">
        <v>1117</v>
      </c>
      <c r="B133" s="49" t="s">
        <v>831</v>
      </c>
      <c r="C133" s="46" t="s">
        <v>103</v>
      </c>
      <c r="D133" s="115">
        <v>1.0</v>
      </c>
      <c r="E133" s="49">
        <v>1.3</v>
      </c>
      <c r="F133" s="39">
        <v>84.65</v>
      </c>
      <c r="G133" s="40"/>
      <c r="H133" s="40">
        <f t="shared" si="19"/>
        <v>110.045</v>
      </c>
      <c r="I133" s="364"/>
      <c r="J133" s="40">
        <f t="shared" si="20"/>
        <v>110.045</v>
      </c>
      <c r="K133" s="46"/>
    </row>
    <row r="134" ht="19.5" customHeight="1">
      <c r="A134" s="154" t="s">
        <v>1117</v>
      </c>
      <c r="B134" s="49" t="s">
        <v>1130</v>
      </c>
      <c r="C134" s="46" t="s">
        <v>103</v>
      </c>
      <c r="D134" s="115">
        <v>2.0</v>
      </c>
      <c r="E134" s="49">
        <v>1.3</v>
      </c>
      <c r="F134" s="39">
        <v>9.3</v>
      </c>
      <c r="G134" s="40"/>
      <c r="H134" s="40">
        <f t="shared" si="19"/>
        <v>24.18</v>
      </c>
      <c r="I134" s="364"/>
      <c r="J134" s="40">
        <f t="shared" si="20"/>
        <v>24.18</v>
      </c>
      <c r="K134" s="79"/>
    </row>
    <row r="135" ht="19.5" customHeight="1">
      <c r="A135" s="154" t="s">
        <v>1117</v>
      </c>
      <c r="B135" s="95"/>
      <c r="C135" s="79"/>
      <c r="D135" s="92"/>
      <c r="E135" s="37"/>
      <c r="F135" s="78"/>
      <c r="G135" s="40"/>
      <c r="H135" s="40"/>
      <c r="I135" s="368"/>
      <c r="J135" s="96">
        <f>SUM(J120:J134)</f>
        <v>728.78</v>
      </c>
      <c r="K135" s="79"/>
    </row>
    <row r="136" ht="19.5" customHeight="1">
      <c r="A136" s="216" t="s">
        <v>1</v>
      </c>
      <c r="B136" s="74" t="s">
        <v>91</v>
      </c>
      <c r="C136" s="74" t="s">
        <v>92</v>
      </c>
      <c r="D136" s="76" t="s">
        <v>93</v>
      </c>
      <c r="E136" s="50" t="s">
        <v>97</v>
      </c>
      <c r="F136" s="53" t="s">
        <v>121</v>
      </c>
      <c r="G136" s="53" t="s">
        <v>206</v>
      </c>
      <c r="H136" s="75" t="s">
        <v>100</v>
      </c>
      <c r="I136" s="363" t="s">
        <v>101</v>
      </c>
      <c r="J136" s="76" t="s">
        <v>95</v>
      </c>
      <c r="K136" s="74" t="s">
        <v>96</v>
      </c>
    </row>
    <row r="137" ht="19.5" customHeight="1">
      <c r="A137" s="141">
        <v>38480.0</v>
      </c>
      <c r="B137" s="49" t="s">
        <v>1131</v>
      </c>
      <c r="C137" s="46" t="s">
        <v>103</v>
      </c>
      <c r="D137" s="39">
        <v>4.0</v>
      </c>
      <c r="E137" s="49">
        <v>1.6</v>
      </c>
      <c r="F137" s="39">
        <v>32.0</v>
      </c>
      <c r="G137" s="40"/>
      <c r="H137" s="40">
        <f t="shared" ref="H137:H152" si="21">D137*E137*F137</f>
        <v>204.8</v>
      </c>
      <c r="I137" s="362">
        <f>4*(0.9+1.6)*1.6</f>
        <v>16</v>
      </c>
      <c r="J137" s="40">
        <f t="shared" ref="J137:J152" si="22">H137-I137</f>
        <v>188.8</v>
      </c>
      <c r="K137" s="79"/>
    </row>
    <row r="138" ht="19.5" customHeight="1">
      <c r="A138" s="141">
        <v>38480.0</v>
      </c>
      <c r="B138" s="49" t="s">
        <v>1132</v>
      </c>
      <c r="C138" s="46" t="s">
        <v>103</v>
      </c>
      <c r="D138" s="39">
        <v>2.0</v>
      </c>
      <c r="E138" s="49">
        <v>1.6</v>
      </c>
      <c r="F138" s="39">
        <v>32.0</v>
      </c>
      <c r="G138" s="40"/>
      <c r="H138" s="40">
        <f t="shared" si="21"/>
        <v>102.4</v>
      </c>
      <c r="I138" s="362">
        <f>2*(0.9+1.6)*1.6</f>
        <v>8</v>
      </c>
      <c r="J138" s="40">
        <f t="shared" si="22"/>
        <v>94.4</v>
      </c>
      <c r="K138" s="79"/>
    </row>
    <row r="139" ht="19.5" customHeight="1">
      <c r="A139" s="141">
        <v>38480.0</v>
      </c>
      <c r="B139" s="49" t="s">
        <v>1133</v>
      </c>
      <c r="C139" s="46" t="s">
        <v>103</v>
      </c>
      <c r="D139" s="39">
        <v>1.0</v>
      </c>
      <c r="E139" s="49">
        <v>1.6</v>
      </c>
      <c r="F139" s="39">
        <v>13.7</v>
      </c>
      <c r="G139" s="40"/>
      <c r="H139" s="40">
        <f t="shared" si="21"/>
        <v>21.92</v>
      </c>
      <c r="I139" s="362">
        <f>0.9*1.6</f>
        <v>1.44</v>
      </c>
      <c r="J139" s="40">
        <f t="shared" si="22"/>
        <v>20.48</v>
      </c>
      <c r="K139" s="79"/>
    </row>
    <row r="140" ht="19.5" customHeight="1">
      <c r="A140" s="141">
        <v>38480.0</v>
      </c>
      <c r="B140" s="49" t="s">
        <v>1134</v>
      </c>
      <c r="C140" s="46" t="s">
        <v>103</v>
      </c>
      <c r="D140" s="39">
        <v>2.0</v>
      </c>
      <c r="E140" s="49">
        <v>1.6</v>
      </c>
      <c r="F140" s="39">
        <v>17.7</v>
      </c>
      <c r="G140" s="40"/>
      <c r="H140" s="40">
        <f t="shared" si="21"/>
        <v>56.64</v>
      </c>
      <c r="I140" s="372">
        <f>2*0.9*1.6</f>
        <v>2.88</v>
      </c>
      <c r="J140" s="40">
        <f t="shared" si="22"/>
        <v>53.76</v>
      </c>
      <c r="K140" s="79"/>
    </row>
    <row r="141" ht="19.5" customHeight="1">
      <c r="A141" s="141">
        <v>38480.0</v>
      </c>
      <c r="B141" s="49" t="s">
        <v>1135</v>
      </c>
      <c r="C141" s="46" t="s">
        <v>103</v>
      </c>
      <c r="D141" s="39">
        <v>1.0</v>
      </c>
      <c r="E141" s="49">
        <v>1.6</v>
      </c>
      <c r="F141" s="39">
        <v>13.85</v>
      </c>
      <c r="G141" s="40"/>
      <c r="H141" s="40">
        <f t="shared" si="21"/>
        <v>22.16</v>
      </c>
      <c r="I141" s="362">
        <f t="shared" ref="I141:I143" si="23">0.9*1.6</f>
        <v>1.44</v>
      </c>
      <c r="J141" s="40">
        <f t="shared" si="22"/>
        <v>20.72</v>
      </c>
      <c r="K141" s="79"/>
    </row>
    <row r="142" ht="19.5" customHeight="1">
      <c r="A142" s="141">
        <v>38480.0</v>
      </c>
      <c r="B142" s="49" t="s">
        <v>1136</v>
      </c>
      <c r="C142" s="46" t="s">
        <v>103</v>
      </c>
      <c r="D142" s="39">
        <v>1.0</v>
      </c>
      <c r="E142" s="49">
        <v>1.6</v>
      </c>
      <c r="F142" s="39">
        <v>23.85</v>
      </c>
      <c r="G142" s="40"/>
      <c r="H142" s="40">
        <f t="shared" si="21"/>
        <v>38.16</v>
      </c>
      <c r="I142" s="362">
        <f t="shared" si="23"/>
        <v>1.44</v>
      </c>
      <c r="J142" s="40">
        <f t="shared" si="22"/>
        <v>36.72</v>
      </c>
      <c r="K142" s="79"/>
    </row>
    <row r="143" ht="19.5" customHeight="1">
      <c r="A143" s="141">
        <v>38480.0</v>
      </c>
      <c r="B143" s="49" t="s">
        <v>1137</v>
      </c>
      <c r="C143" s="158" t="s">
        <v>103</v>
      </c>
      <c r="D143" s="39">
        <v>1.0</v>
      </c>
      <c r="E143" s="49">
        <v>1.6</v>
      </c>
      <c r="F143" s="39">
        <v>16.85</v>
      </c>
      <c r="G143" s="40"/>
      <c r="H143" s="40">
        <f t="shared" si="21"/>
        <v>26.96</v>
      </c>
      <c r="I143" s="362">
        <f t="shared" si="23"/>
        <v>1.44</v>
      </c>
      <c r="J143" s="40">
        <f t="shared" si="22"/>
        <v>25.52</v>
      </c>
      <c r="K143" s="79"/>
    </row>
    <row r="144" ht="19.5" customHeight="1">
      <c r="A144" s="141">
        <v>38480.0</v>
      </c>
      <c r="B144" s="49" t="s">
        <v>1138</v>
      </c>
      <c r="C144" s="369" t="s">
        <v>103</v>
      </c>
      <c r="D144" s="39">
        <v>1.0</v>
      </c>
      <c r="E144" s="49">
        <v>1.6</v>
      </c>
      <c r="F144" s="39">
        <v>25.25</v>
      </c>
      <c r="G144" s="243"/>
      <c r="H144" s="40">
        <f t="shared" si="21"/>
        <v>40.4</v>
      </c>
      <c r="I144" s="362">
        <f>4*0.9*1.6+1.8*1.6</f>
        <v>8.64</v>
      </c>
      <c r="J144" s="40">
        <f t="shared" si="22"/>
        <v>31.76</v>
      </c>
      <c r="K144" s="79"/>
    </row>
    <row r="145" ht="19.5" customHeight="1">
      <c r="A145" s="141">
        <v>38480.0</v>
      </c>
      <c r="B145" s="49" t="s">
        <v>1139</v>
      </c>
      <c r="C145" s="369" t="s">
        <v>103</v>
      </c>
      <c r="D145" s="39">
        <v>1.0</v>
      </c>
      <c r="E145" s="49">
        <v>1.6</v>
      </c>
      <c r="F145" s="67">
        <v>16.85</v>
      </c>
      <c r="G145" s="243"/>
      <c r="H145" s="40">
        <f t="shared" si="21"/>
        <v>26.96</v>
      </c>
      <c r="I145" s="370">
        <f>2*0.9*1.6</f>
        <v>2.88</v>
      </c>
      <c r="J145" s="40">
        <f t="shared" si="22"/>
        <v>24.08</v>
      </c>
      <c r="K145" s="46"/>
    </row>
    <row r="146" ht="19.5" customHeight="1">
      <c r="A146" s="141">
        <v>38480.0</v>
      </c>
      <c r="B146" s="49" t="s">
        <v>1140</v>
      </c>
      <c r="C146" s="158" t="s">
        <v>103</v>
      </c>
      <c r="D146" s="39">
        <v>1.0</v>
      </c>
      <c r="E146" s="49">
        <v>1.6</v>
      </c>
      <c r="F146" s="39">
        <v>6.1</v>
      </c>
      <c r="G146" s="40"/>
      <c r="H146" s="40">
        <f t="shared" si="21"/>
        <v>9.76</v>
      </c>
      <c r="I146" s="362">
        <f t="shared" ref="I146:I148" si="24">0.9*1.6</f>
        <v>1.44</v>
      </c>
      <c r="J146" s="40">
        <f t="shared" si="22"/>
        <v>8.32</v>
      </c>
      <c r="K146" s="46"/>
    </row>
    <row r="147" ht="19.5" customHeight="1">
      <c r="A147" s="141">
        <v>38480.0</v>
      </c>
      <c r="B147" s="49" t="s">
        <v>1141</v>
      </c>
      <c r="C147" s="158" t="s">
        <v>103</v>
      </c>
      <c r="D147" s="39">
        <v>1.0</v>
      </c>
      <c r="E147" s="49">
        <v>1.6</v>
      </c>
      <c r="F147" s="39">
        <v>12.0</v>
      </c>
      <c r="G147" s="40"/>
      <c r="H147" s="40">
        <f t="shared" si="21"/>
        <v>19.2</v>
      </c>
      <c r="I147" s="362">
        <f t="shared" si="24"/>
        <v>1.44</v>
      </c>
      <c r="J147" s="40">
        <f t="shared" si="22"/>
        <v>17.76</v>
      </c>
      <c r="K147" s="79"/>
    </row>
    <row r="148" ht="19.5" customHeight="1">
      <c r="A148" s="141">
        <v>38480.0</v>
      </c>
      <c r="B148" s="49" t="s">
        <v>1142</v>
      </c>
      <c r="C148" s="158" t="s">
        <v>103</v>
      </c>
      <c r="D148" s="39">
        <v>1.0</v>
      </c>
      <c r="E148" s="49">
        <v>1.6</v>
      </c>
      <c r="F148" s="39">
        <v>16.85</v>
      </c>
      <c r="G148" s="40"/>
      <c r="H148" s="40">
        <f t="shared" si="21"/>
        <v>26.96</v>
      </c>
      <c r="I148" s="362">
        <f t="shared" si="24"/>
        <v>1.44</v>
      </c>
      <c r="J148" s="40">
        <f t="shared" si="22"/>
        <v>25.52</v>
      </c>
      <c r="K148" s="79"/>
    </row>
    <row r="149" ht="19.5" customHeight="1">
      <c r="A149" s="141">
        <v>38480.0</v>
      </c>
      <c r="B149" s="49" t="s">
        <v>1143</v>
      </c>
      <c r="C149" s="46" t="s">
        <v>103</v>
      </c>
      <c r="D149" s="39">
        <v>1.0</v>
      </c>
      <c r="E149" s="49">
        <v>1.6</v>
      </c>
      <c r="F149" s="39">
        <f>84.65-37</f>
        <v>47.65</v>
      </c>
      <c r="G149" s="40"/>
      <c r="H149" s="40">
        <f t="shared" si="21"/>
        <v>76.24</v>
      </c>
      <c r="I149" s="362">
        <f>8*0.9*1.6+1.8+1.6</f>
        <v>14.92</v>
      </c>
      <c r="J149" s="40">
        <f t="shared" si="22"/>
        <v>61.32</v>
      </c>
      <c r="K149" s="79"/>
    </row>
    <row r="150" ht="19.5" customHeight="1">
      <c r="A150" s="141">
        <v>38480.0</v>
      </c>
      <c r="B150" s="49" t="s">
        <v>1143</v>
      </c>
      <c r="C150" s="46" t="s">
        <v>103</v>
      </c>
      <c r="D150" s="115">
        <v>1.0</v>
      </c>
      <c r="E150" s="49">
        <v>1.6</v>
      </c>
      <c r="F150" s="39">
        <f>84.65-11</f>
        <v>73.65</v>
      </c>
      <c r="G150" s="40"/>
      <c r="H150" s="40">
        <f t="shared" si="21"/>
        <v>117.84</v>
      </c>
      <c r="I150" s="364"/>
      <c r="J150" s="40">
        <f t="shared" si="22"/>
        <v>117.84</v>
      </c>
      <c r="K150" s="79"/>
    </row>
    <row r="151" ht="19.5" customHeight="1">
      <c r="A151" s="141">
        <v>38480.0</v>
      </c>
      <c r="B151" s="49" t="s">
        <v>1144</v>
      </c>
      <c r="C151" s="46" t="s">
        <v>103</v>
      </c>
      <c r="D151" s="115">
        <v>2.0</v>
      </c>
      <c r="E151" s="49">
        <v>1.6</v>
      </c>
      <c r="F151" s="39">
        <v>9.3</v>
      </c>
      <c r="G151" s="40"/>
      <c r="H151" s="40">
        <f t="shared" si="21"/>
        <v>29.76</v>
      </c>
      <c r="I151" s="364"/>
      <c r="J151" s="40">
        <f t="shared" si="22"/>
        <v>29.76</v>
      </c>
      <c r="K151" s="79"/>
    </row>
    <row r="152" ht="19.5" customHeight="1">
      <c r="A152" s="144">
        <v>38480.0</v>
      </c>
      <c r="B152" s="49" t="s">
        <v>1145</v>
      </c>
      <c r="C152" s="46" t="s">
        <v>103</v>
      </c>
      <c r="D152" s="115">
        <v>40.0</v>
      </c>
      <c r="E152" s="49">
        <v>0.9</v>
      </c>
      <c r="F152" s="39">
        <v>2.6</v>
      </c>
      <c r="G152" s="41"/>
      <c r="H152" s="59">
        <f t="shared" si="21"/>
        <v>93.6</v>
      </c>
      <c r="I152" s="364"/>
      <c r="J152" s="40">
        <f t="shared" si="22"/>
        <v>93.6</v>
      </c>
      <c r="K152" s="79"/>
    </row>
    <row r="153" ht="19.5" customHeight="1">
      <c r="A153" s="144"/>
      <c r="B153" s="95"/>
      <c r="C153" s="79"/>
      <c r="D153" s="92"/>
      <c r="E153" s="37"/>
      <c r="F153" s="78"/>
      <c r="G153" s="40"/>
      <c r="H153" s="59"/>
      <c r="I153" s="368"/>
      <c r="J153" s="96">
        <f>SUM(J137:J152)</f>
        <v>850.36</v>
      </c>
      <c r="K153" s="79"/>
    </row>
    <row r="154" ht="19.5" customHeight="1">
      <c r="A154" s="216" t="s">
        <v>1</v>
      </c>
      <c r="B154" s="74" t="s">
        <v>91</v>
      </c>
      <c r="C154" s="74" t="s">
        <v>92</v>
      </c>
      <c r="D154" s="76" t="s">
        <v>93</v>
      </c>
      <c r="E154" s="50" t="s">
        <v>97</v>
      </c>
      <c r="F154" s="53" t="s">
        <v>121</v>
      </c>
      <c r="G154" s="53" t="s">
        <v>99</v>
      </c>
      <c r="H154" s="75" t="s">
        <v>100</v>
      </c>
      <c r="I154" s="363" t="s">
        <v>101</v>
      </c>
      <c r="J154" s="76" t="s">
        <v>95</v>
      </c>
      <c r="K154" s="111"/>
    </row>
    <row r="155" ht="19.5" customHeight="1">
      <c r="A155" s="144">
        <v>38845.0</v>
      </c>
      <c r="B155" s="114" t="s">
        <v>1146</v>
      </c>
      <c r="C155" s="46" t="s">
        <v>103</v>
      </c>
      <c r="D155" s="94">
        <v>2.0</v>
      </c>
      <c r="E155" s="49">
        <v>6.4</v>
      </c>
      <c r="F155" s="39">
        <v>11.45</v>
      </c>
      <c r="G155" s="40"/>
      <c r="H155" s="40">
        <f t="shared" ref="H155:H158" si="25">D155*E155*F155</f>
        <v>146.56</v>
      </c>
      <c r="I155" s="368">
        <f>2*2*2.4</f>
        <v>9.6</v>
      </c>
      <c r="J155" s="153">
        <f t="shared" ref="J155:J158" si="26">H155-I155</f>
        <v>136.96</v>
      </c>
      <c r="K155" s="201"/>
      <c r="L155" s="185"/>
      <c r="M155" s="185"/>
      <c r="N155" s="185"/>
      <c r="O155" s="185"/>
      <c r="P155" s="185"/>
      <c r="Q155" s="185"/>
      <c r="R155" s="185"/>
      <c r="S155" s="185"/>
      <c r="T155" s="185"/>
      <c r="U155" s="185"/>
      <c r="V155" s="185"/>
      <c r="W155" s="185"/>
      <c r="X155" s="185"/>
      <c r="Y155" s="185"/>
      <c r="Z155" s="185"/>
    </row>
    <row r="156" ht="19.5" customHeight="1">
      <c r="A156" s="144">
        <v>38845.0</v>
      </c>
      <c r="B156" s="114" t="s">
        <v>1146</v>
      </c>
      <c r="C156" s="46" t="s">
        <v>103</v>
      </c>
      <c r="D156" s="94">
        <v>1.0</v>
      </c>
      <c r="E156" s="49">
        <v>6.4</v>
      </c>
      <c r="F156" s="39">
        <v>84.65</v>
      </c>
      <c r="G156" s="40"/>
      <c r="H156" s="40">
        <f t="shared" si="25"/>
        <v>541.76</v>
      </c>
      <c r="I156" s="368">
        <f>10*1.85+6*3.36+0.5+7*2.2+2*4*2.4</f>
        <v>73.76</v>
      </c>
      <c r="J156" s="153">
        <f t="shared" si="26"/>
        <v>468</v>
      </c>
      <c r="K156" s="201"/>
      <c r="L156" s="185"/>
      <c r="M156" s="185"/>
      <c r="N156" s="185"/>
      <c r="O156" s="185"/>
      <c r="P156" s="185"/>
      <c r="Q156" s="185"/>
      <c r="R156" s="185"/>
      <c r="S156" s="185"/>
      <c r="T156" s="185"/>
      <c r="U156" s="185"/>
      <c r="V156" s="185"/>
      <c r="W156" s="185"/>
      <c r="X156" s="185"/>
      <c r="Y156" s="185"/>
      <c r="Z156" s="185"/>
    </row>
    <row r="157" ht="19.5" customHeight="1">
      <c r="A157" s="144">
        <v>38845.0</v>
      </c>
      <c r="B157" s="114" t="s">
        <v>1146</v>
      </c>
      <c r="C157" s="46" t="s">
        <v>103</v>
      </c>
      <c r="D157" s="94">
        <v>1.0</v>
      </c>
      <c r="E157" s="49">
        <v>3.35</v>
      </c>
      <c r="F157" s="39">
        <v>84.65</v>
      </c>
      <c r="G157" s="40"/>
      <c r="H157" s="40">
        <f t="shared" si="25"/>
        <v>283.5775</v>
      </c>
      <c r="I157" s="368"/>
      <c r="J157" s="153">
        <f t="shared" si="26"/>
        <v>283.5775</v>
      </c>
      <c r="K157" s="201"/>
      <c r="L157" s="185"/>
      <c r="M157" s="185"/>
      <c r="N157" s="185"/>
      <c r="O157" s="185"/>
      <c r="P157" s="185"/>
      <c r="Q157" s="185"/>
      <c r="R157" s="185"/>
      <c r="S157" s="185"/>
      <c r="T157" s="185"/>
      <c r="U157" s="185"/>
      <c r="V157" s="185"/>
      <c r="W157" s="185"/>
      <c r="X157" s="185"/>
      <c r="Y157" s="185"/>
      <c r="Z157" s="185"/>
    </row>
    <row r="158" ht="19.5" customHeight="1">
      <c r="A158" s="144">
        <v>38845.0</v>
      </c>
      <c r="B158" s="114" t="s">
        <v>1147</v>
      </c>
      <c r="C158" s="46" t="s">
        <v>103</v>
      </c>
      <c r="D158" s="94">
        <v>1.0</v>
      </c>
      <c r="E158" s="49">
        <v>1.0</v>
      </c>
      <c r="F158" s="39">
        <v>84.65</v>
      </c>
      <c r="G158" s="40"/>
      <c r="H158" s="40">
        <f t="shared" si="25"/>
        <v>84.65</v>
      </c>
      <c r="I158" s="368"/>
      <c r="J158" s="153">
        <f t="shared" si="26"/>
        <v>84.65</v>
      </c>
      <c r="K158" s="201"/>
      <c r="L158" s="185"/>
      <c r="M158" s="185"/>
      <c r="N158" s="185"/>
      <c r="O158" s="185"/>
      <c r="P158" s="185"/>
      <c r="Q158" s="185"/>
      <c r="R158" s="185"/>
      <c r="S158" s="185"/>
      <c r="T158" s="185"/>
      <c r="U158" s="185"/>
      <c r="V158" s="185"/>
      <c r="W158" s="185"/>
      <c r="X158" s="185"/>
      <c r="Y158" s="185"/>
      <c r="Z158" s="185"/>
    </row>
    <row r="159" ht="19.5" customHeight="1">
      <c r="A159" s="144"/>
      <c r="B159" s="114"/>
      <c r="C159" s="79"/>
      <c r="D159" s="94"/>
      <c r="E159" s="49"/>
      <c r="F159" s="39"/>
      <c r="G159" s="40"/>
      <c r="H159" s="59"/>
      <c r="I159" s="368"/>
      <c r="J159" s="96">
        <f>SUM(J155:J158)</f>
        <v>973.1875</v>
      </c>
      <c r="K159" s="201"/>
      <c r="L159" s="185"/>
      <c r="M159" s="185"/>
      <c r="N159" s="185"/>
      <c r="O159" s="185"/>
      <c r="P159" s="185"/>
      <c r="Q159" s="185"/>
      <c r="R159" s="185"/>
      <c r="S159" s="185"/>
      <c r="T159" s="185"/>
      <c r="U159" s="185"/>
      <c r="V159" s="185"/>
      <c r="W159" s="185"/>
      <c r="X159" s="185"/>
      <c r="Y159" s="185"/>
      <c r="Z159" s="185"/>
    </row>
    <row r="160" ht="19.5" customHeight="1">
      <c r="A160" s="144">
        <v>39210.0</v>
      </c>
      <c r="B160" s="114" t="s">
        <v>1148</v>
      </c>
      <c r="C160" s="46" t="s">
        <v>103</v>
      </c>
      <c r="D160" s="94">
        <v>11.0</v>
      </c>
      <c r="E160" s="49">
        <v>2.55</v>
      </c>
      <c r="F160" s="39">
        <v>1.2</v>
      </c>
      <c r="G160" s="40"/>
      <c r="H160" s="59">
        <f t="shared" ref="H160:H161" si="27">D160*E160*F160</f>
        <v>33.66</v>
      </c>
      <c r="I160" s="368"/>
      <c r="J160" s="153">
        <f t="shared" ref="J160:J161" si="28">H160</f>
        <v>33.66</v>
      </c>
      <c r="K160" s="201"/>
      <c r="L160" s="185"/>
      <c r="M160" s="185"/>
      <c r="N160" s="185"/>
      <c r="O160" s="185"/>
      <c r="P160" s="185"/>
      <c r="Q160" s="185"/>
      <c r="R160" s="185"/>
      <c r="S160" s="185"/>
      <c r="T160" s="185"/>
      <c r="U160" s="185"/>
      <c r="V160" s="185"/>
      <c r="W160" s="185"/>
      <c r="X160" s="185"/>
      <c r="Y160" s="185"/>
      <c r="Z160" s="185"/>
    </row>
    <row r="161" ht="19.5" customHeight="1">
      <c r="A161" s="144">
        <v>39210.0</v>
      </c>
      <c r="B161" s="114" t="s">
        <v>1149</v>
      </c>
      <c r="C161" s="83" t="s">
        <v>103</v>
      </c>
      <c r="D161" s="94">
        <v>8.0</v>
      </c>
      <c r="E161" s="49">
        <v>2.55</v>
      </c>
      <c r="F161" s="39">
        <v>1.2</v>
      </c>
      <c r="G161" s="40"/>
      <c r="H161" s="59">
        <f t="shared" si="27"/>
        <v>24.48</v>
      </c>
      <c r="I161" s="368"/>
      <c r="J161" s="153">
        <f t="shared" si="28"/>
        <v>24.48</v>
      </c>
      <c r="K161" s="201"/>
      <c r="L161" s="185"/>
      <c r="M161" s="185"/>
      <c r="N161" s="185"/>
      <c r="O161" s="185"/>
      <c r="P161" s="185"/>
      <c r="Q161" s="185"/>
      <c r="R161" s="185"/>
      <c r="S161" s="185"/>
      <c r="T161" s="185"/>
      <c r="U161" s="185"/>
      <c r="V161" s="185"/>
      <c r="W161" s="185"/>
      <c r="X161" s="185"/>
      <c r="Y161" s="185"/>
      <c r="Z161" s="185"/>
    </row>
    <row r="162" ht="19.5" customHeight="1">
      <c r="A162" s="144"/>
      <c r="B162" s="114"/>
      <c r="C162" s="83"/>
      <c r="D162" s="94"/>
      <c r="E162" s="49"/>
      <c r="F162" s="39"/>
      <c r="G162" s="40"/>
      <c r="H162" s="59"/>
      <c r="I162" s="368"/>
      <c r="J162" s="96">
        <f>SUM(J160:J161)</f>
        <v>58.14</v>
      </c>
      <c r="K162" s="201"/>
      <c r="L162" s="185"/>
      <c r="M162" s="185"/>
      <c r="N162" s="185"/>
      <c r="O162" s="185"/>
      <c r="P162" s="185"/>
      <c r="Q162" s="185"/>
      <c r="R162" s="185"/>
      <c r="S162" s="185"/>
      <c r="T162" s="185"/>
      <c r="U162" s="185"/>
      <c r="V162" s="185"/>
      <c r="W162" s="185"/>
      <c r="X162" s="185"/>
      <c r="Y162" s="185"/>
      <c r="Z162" s="185"/>
    </row>
    <row r="163" ht="19.5" customHeight="1">
      <c r="A163" s="216" t="s">
        <v>1</v>
      </c>
      <c r="B163" s="74" t="s">
        <v>91</v>
      </c>
      <c r="C163" s="74" t="s">
        <v>92</v>
      </c>
      <c r="D163" s="76" t="s">
        <v>93</v>
      </c>
      <c r="E163" s="50" t="s">
        <v>97</v>
      </c>
      <c r="F163" s="52" t="s">
        <v>632</v>
      </c>
      <c r="G163" s="53" t="s">
        <v>99</v>
      </c>
      <c r="H163" s="75" t="s">
        <v>100</v>
      </c>
      <c r="I163" s="363" t="s">
        <v>101</v>
      </c>
      <c r="J163" s="76" t="s">
        <v>95</v>
      </c>
      <c r="K163" s="74" t="s">
        <v>96</v>
      </c>
    </row>
    <row r="164" ht="19.5" customHeight="1">
      <c r="A164" s="141">
        <v>37507.0</v>
      </c>
      <c r="B164" s="49" t="s">
        <v>1150</v>
      </c>
      <c r="C164" s="46" t="s">
        <v>103</v>
      </c>
      <c r="D164" s="39">
        <v>17.0</v>
      </c>
      <c r="E164" s="37">
        <v>2.1</v>
      </c>
      <c r="F164" s="78"/>
      <c r="G164" s="40">
        <v>0.9</v>
      </c>
      <c r="H164" s="40">
        <f t="shared" ref="H164:H165" si="29">G164*E164*D164</f>
        <v>32.13</v>
      </c>
      <c r="I164" s="362"/>
      <c r="J164" s="64">
        <f>SUM(H164:H165)</f>
        <v>52.29</v>
      </c>
      <c r="K164" s="46"/>
    </row>
    <row r="165" ht="19.5" customHeight="1">
      <c r="A165" s="141">
        <v>37507.0</v>
      </c>
      <c r="B165" s="49" t="s">
        <v>1151</v>
      </c>
      <c r="C165" s="46" t="s">
        <v>103</v>
      </c>
      <c r="D165" s="39">
        <v>6.0</v>
      </c>
      <c r="E165" s="49">
        <v>2.1</v>
      </c>
      <c r="F165" s="78"/>
      <c r="G165" s="41">
        <v>1.6</v>
      </c>
      <c r="H165" s="40">
        <f t="shared" si="29"/>
        <v>20.16</v>
      </c>
      <c r="I165" s="362"/>
      <c r="J165" s="168"/>
      <c r="K165" s="38" t="s">
        <v>1152</v>
      </c>
    </row>
    <row r="166" ht="19.5" customHeight="1">
      <c r="A166" s="141">
        <v>37872.0</v>
      </c>
      <c r="B166" s="49" t="s">
        <v>1153</v>
      </c>
      <c r="C166" s="38" t="s">
        <v>106</v>
      </c>
      <c r="D166" s="39">
        <v>1.0</v>
      </c>
      <c r="E166" s="49"/>
      <c r="F166" s="78"/>
      <c r="G166" s="41"/>
      <c r="H166" s="40">
        <f>D166</f>
        <v>1</v>
      </c>
      <c r="I166" s="362"/>
      <c r="J166" s="64">
        <f>H166</f>
        <v>1</v>
      </c>
      <c r="K166" s="38" t="s">
        <v>1154</v>
      </c>
    </row>
    <row r="167" ht="19.5" customHeight="1">
      <c r="A167" s="141">
        <v>38603.0</v>
      </c>
      <c r="B167" s="49" t="s">
        <v>1155</v>
      </c>
      <c r="C167" s="46" t="s">
        <v>103</v>
      </c>
      <c r="D167" s="39">
        <v>11.0</v>
      </c>
      <c r="E167" s="49">
        <v>1.1</v>
      </c>
      <c r="F167" s="78">
        <f t="shared" ref="F167:F172" si="30">(E167+G167)*2</f>
        <v>9.2</v>
      </c>
      <c r="G167" s="41">
        <v>3.5</v>
      </c>
      <c r="H167" s="40">
        <f t="shared" ref="H167:H173" si="31">G167*E167*D167</f>
        <v>42.35</v>
      </c>
      <c r="I167" s="362"/>
      <c r="J167" s="168"/>
      <c r="K167" s="38"/>
    </row>
    <row r="168" ht="19.5" customHeight="1">
      <c r="A168" s="141">
        <v>38603.0</v>
      </c>
      <c r="B168" s="49" t="s">
        <v>1156</v>
      </c>
      <c r="C168" s="46" t="s">
        <v>103</v>
      </c>
      <c r="D168" s="39">
        <v>5.0</v>
      </c>
      <c r="E168" s="49">
        <v>0.5</v>
      </c>
      <c r="F168" s="78">
        <f t="shared" si="30"/>
        <v>7.8</v>
      </c>
      <c r="G168" s="41">
        <v>3.4</v>
      </c>
      <c r="H168" s="40">
        <f t="shared" si="31"/>
        <v>8.5</v>
      </c>
      <c r="I168" s="362"/>
      <c r="J168" s="168"/>
      <c r="K168" s="38"/>
    </row>
    <row r="169" ht="19.5" customHeight="1">
      <c r="A169" s="141">
        <v>38603.0</v>
      </c>
      <c r="B169" s="49" t="s">
        <v>1157</v>
      </c>
      <c r="C169" s="46" t="s">
        <v>103</v>
      </c>
      <c r="D169" s="39">
        <v>7.0</v>
      </c>
      <c r="E169" s="49">
        <v>1.1</v>
      </c>
      <c r="F169" s="78">
        <f t="shared" si="30"/>
        <v>6.2</v>
      </c>
      <c r="G169" s="41">
        <v>2.0</v>
      </c>
      <c r="H169" s="40">
        <f t="shared" si="31"/>
        <v>15.4</v>
      </c>
      <c r="I169" s="362"/>
      <c r="J169" s="168"/>
      <c r="K169" s="46"/>
    </row>
    <row r="170" ht="19.5" customHeight="1">
      <c r="A170" s="141">
        <v>38603.0</v>
      </c>
      <c r="B170" s="49" t="s">
        <v>1158</v>
      </c>
      <c r="C170" s="46" t="s">
        <v>103</v>
      </c>
      <c r="D170" s="39">
        <v>1.0</v>
      </c>
      <c r="E170" s="49">
        <v>0.5</v>
      </c>
      <c r="F170" s="78">
        <f t="shared" si="30"/>
        <v>6.28</v>
      </c>
      <c r="G170" s="41">
        <v>2.64</v>
      </c>
      <c r="H170" s="40">
        <f t="shared" si="31"/>
        <v>1.32</v>
      </c>
      <c r="I170" s="362"/>
      <c r="J170" s="168"/>
      <c r="K170" s="46"/>
    </row>
    <row r="171" ht="19.5" customHeight="1">
      <c r="A171" s="141">
        <v>38603.0</v>
      </c>
      <c r="B171" s="49" t="s">
        <v>1159</v>
      </c>
      <c r="C171" s="46" t="s">
        <v>103</v>
      </c>
      <c r="D171" s="39">
        <v>1.0</v>
      </c>
      <c r="E171" s="49">
        <v>0.5</v>
      </c>
      <c r="F171" s="78">
        <f t="shared" si="30"/>
        <v>5</v>
      </c>
      <c r="G171" s="41">
        <v>2.0</v>
      </c>
      <c r="H171" s="40">
        <f t="shared" si="31"/>
        <v>1</v>
      </c>
      <c r="I171" s="362"/>
      <c r="J171" s="64">
        <f>SUM(H167:H171)</f>
        <v>68.57</v>
      </c>
      <c r="K171" s="46"/>
    </row>
    <row r="172" ht="19.5" customHeight="1">
      <c r="A172" s="141">
        <v>37142.0</v>
      </c>
      <c r="B172" s="49" t="s">
        <v>1160</v>
      </c>
      <c r="C172" s="46" t="s">
        <v>103</v>
      </c>
      <c r="D172" s="39">
        <v>1.0</v>
      </c>
      <c r="E172" s="49">
        <v>0.5</v>
      </c>
      <c r="F172" s="78">
        <f t="shared" si="30"/>
        <v>3</v>
      </c>
      <c r="G172" s="41">
        <v>1.0</v>
      </c>
      <c r="H172" s="40">
        <f t="shared" si="31"/>
        <v>0.5</v>
      </c>
      <c r="I172" s="362"/>
      <c r="J172" s="64">
        <f t="shared" ref="J172:J173" si="32">H172</f>
        <v>0.5</v>
      </c>
      <c r="K172" s="46"/>
    </row>
    <row r="173" ht="19.5" customHeight="1">
      <c r="A173" s="141">
        <v>38238.0</v>
      </c>
      <c r="B173" s="49" t="s">
        <v>1161</v>
      </c>
      <c r="C173" s="46" t="s">
        <v>103</v>
      </c>
      <c r="D173" s="39">
        <v>1.0</v>
      </c>
      <c r="E173" s="49">
        <v>1.5</v>
      </c>
      <c r="F173" s="78"/>
      <c r="G173" s="41">
        <v>1.1</v>
      </c>
      <c r="H173" s="40">
        <f t="shared" si="31"/>
        <v>1.65</v>
      </c>
      <c r="I173" s="362"/>
      <c r="J173" s="64">
        <f t="shared" si="32"/>
        <v>1.65</v>
      </c>
      <c r="K173" s="46"/>
    </row>
    <row r="174" ht="19.5" customHeight="1">
      <c r="A174" s="144">
        <v>38968.0</v>
      </c>
      <c r="B174" s="114" t="s">
        <v>636</v>
      </c>
      <c r="C174" s="79"/>
      <c r="D174" s="115"/>
      <c r="E174" s="49"/>
      <c r="F174" s="78">
        <f>SUM(F167:F172)</f>
        <v>37.48</v>
      </c>
      <c r="G174" s="41"/>
      <c r="H174" s="59"/>
      <c r="I174" s="364"/>
      <c r="J174" s="109">
        <f>F174</f>
        <v>37.48</v>
      </c>
      <c r="K174" s="79"/>
    </row>
    <row r="175" ht="19.5" customHeight="1">
      <c r="A175" s="373"/>
      <c r="B175" s="258"/>
      <c r="C175" s="374"/>
      <c r="D175" s="375"/>
      <c r="E175" s="376"/>
      <c r="F175" s="377"/>
      <c r="G175" s="378"/>
      <c r="H175" s="379"/>
      <c r="I175" s="364"/>
      <c r="J175" s="380"/>
      <c r="K175" s="381"/>
      <c r="L175" s="382"/>
      <c r="M175" s="382"/>
      <c r="N175" s="382"/>
      <c r="O175" s="382"/>
      <c r="P175" s="382"/>
      <c r="Q175" s="382"/>
      <c r="R175" s="382"/>
      <c r="S175" s="382"/>
      <c r="T175" s="382"/>
      <c r="U175" s="382"/>
      <c r="V175" s="382"/>
      <c r="W175" s="382"/>
      <c r="X175" s="382"/>
      <c r="Y175" s="382"/>
      <c r="Z175" s="382"/>
    </row>
    <row r="176" ht="19.5" customHeight="1">
      <c r="A176" s="373">
        <v>38419.0</v>
      </c>
      <c r="B176" s="258" t="s">
        <v>1162</v>
      </c>
      <c r="C176" s="374"/>
      <c r="D176" s="375"/>
      <c r="E176" s="376"/>
      <c r="F176" s="377"/>
      <c r="G176" s="378"/>
      <c r="H176" s="379"/>
      <c r="I176" s="364"/>
      <c r="J176" s="109">
        <f>SUM(H177:H183)</f>
        <v>97.84</v>
      </c>
      <c r="K176" s="381"/>
      <c r="L176" s="382"/>
      <c r="M176" s="382"/>
      <c r="N176" s="382"/>
      <c r="O176" s="382"/>
      <c r="P176" s="382"/>
      <c r="Q176" s="382"/>
      <c r="R176" s="382"/>
      <c r="S176" s="382"/>
      <c r="T176" s="382"/>
      <c r="U176" s="382"/>
      <c r="V176" s="382"/>
      <c r="W176" s="382"/>
      <c r="X176" s="382"/>
      <c r="Y176" s="382"/>
      <c r="Z176" s="382"/>
    </row>
    <row r="177" ht="19.5" customHeight="1">
      <c r="A177" s="373">
        <v>38054.0</v>
      </c>
      <c r="B177" s="258" t="s">
        <v>1163</v>
      </c>
      <c r="C177" s="374"/>
      <c r="D177" s="39">
        <v>11.0</v>
      </c>
      <c r="E177" s="376"/>
      <c r="F177" s="377"/>
      <c r="G177" s="41">
        <f>0.8+3.5</f>
        <v>4.3</v>
      </c>
      <c r="H177" s="379">
        <f t="shared" ref="H177:H186" si="33">D177*G177</f>
        <v>47.3</v>
      </c>
      <c r="I177" s="364"/>
      <c r="J177" s="380"/>
      <c r="K177" s="381"/>
      <c r="L177" s="382"/>
      <c r="M177" s="382"/>
      <c r="N177" s="382"/>
      <c r="O177" s="382"/>
      <c r="P177" s="382"/>
      <c r="Q177" s="382"/>
      <c r="R177" s="382"/>
      <c r="S177" s="382"/>
      <c r="T177" s="382"/>
      <c r="U177" s="382"/>
      <c r="V177" s="382"/>
      <c r="W177" s="382"/>
      <c r="X177" s="382"/>
      <c r="Y177" s="382"/>
      <c r="Z177" s="382"/>
    </row>
    <row r="178" ht="19.5" customHeight="1">
      <c r="A178" s="373">
        <v>38054.0</v>
      </c>
      <c r="B178" s="258" t="s">
        <v>1164</v>
      </c>
      <c r="C178" s="374"/>
      <c r="D178" s="39">
        <v>5.0</v>
      </c>
      <c r="E178" s="376"/>
      <c r="F178" s="377"/>
      <c r="G178" s="41">
        <f>0.8+3.4</f>
        <v>4.2</v>
      </c>
      <c r="H178" s="379">
        <f t="shared" si="33"/>
        <v>21</v>
      </c>
      <c r="I178" s="364"/>
      <c r="J178" s="380"/>
      <c r="K178" s="381"/>
      <c r="L178" s="382"/>
      <c r="M178" s="382"/>
      <c r="N178" s="382"/>
      <c r="O178" s="382"/>
      <c r="P178" s="382"/>
      <c r="Q178" s="382"/>
      <c r="R178" s="382"/>
      <c r="S178" s="382"/>
      <c r="T178" s="382"/>
      <c r="U178" s="382"/>
      <c r="V178" s="382"/>
      <c r="W178" s="382"/>
      <c r="X178" s="382"/>
      <c r="Y178" s="382"/>
      <c r="Z178" s="382"/>
    </row>
    <row r="179" ht="19.5" customHeight="1">
      <c r="A179" s="373">
        <v>38054.0</v>
      </c>
      <c r="B179" s="258" t="s">
        <v>1165</v>
      </c>
      <c r="C179" s="374"/>
      <c r="D179" s="39">
        <v>7.0</v>
      </c>
      <c r="E179" s="376"/>
      <c r="F179" s="377"/>
      <c r="G179" s="41">
        <f>0.8+2</f>
        <v>2.8</v>
      </c>
      <c r="H179" s="379">
        <f t="shared" si="33"/>
        <v>19.6</v>
      </c>
      <c r="I179" s="364"/>
      <c r="J179" s="380"/>
      <c r="K179" s="381"/>
      <c r="L179" s="382"/>
      <c r="M179" s="382"/>
      <c r="N179" s="382"/>
      <c r="O179" s="382"/>
      <c r="P179" s="382"/>
      <c r="Q179" s="382"/>
      <c r="R179" s="382"/>
      <c r="S179" s="382"/>
      <c r="T179" s="382"/>
      <c r="U179" s="382"/>
      <c r="V179" s="382"/>
      <c r="W179" s="382"/>
      <c r="X179" s="382"/>
      <c r="Y179" s="382"/>
      <c r="Z179" s="382"/>
    </row>
    <row r="180" ht="19.5" customHeight="1">
      <c r="A180" s="373">
        <v>38054.0</v>
      </c>
      <c r="B180" s="258" t="s">
        <v>1166</v>
      </c>
      <c r="C180" s="374"/>
      <c r="D180" s="39">
        <v>1.0</v>
      </c>
      <c r="E180" s="376"/>
      <c r="F180" s="377"/>
      <c r="G180" s="41">
        <f>0.8+2.64</f>
        <v>3.44</v>
      </c>
      <c r="H180" s="379">
        <f t="shared" si="33"/>
        <v>3.44</v>
      </c>
      <c r="I180" s="364"/>
      <c r="J180" s="380"/>
      <c r="K180" s="381"/>
      <c r="L180" s="382"/>
      <c r="M180" s="382"/>
      <c r="N180" s="382"/>
      <c r="O180" s="382"/>
      <c r="P180" s="382"/>
      <c r="Q180" s="382"/>
      <c r="R180" s="382"/>
      <c r="S180" s="382"/>
      <c r="T180" s="382"/>
      <c r="U180" s="382"/>
      <c r="V180" s="382"/>
      <c r="W180" s="382"/>
      <c r="X180" s="382"/>
      <c r="Y180" s="382"/>
      <c r="Z180" s="382"/>
    </row>
    <row r="181" ht="19.5" customHeight="1">
      <c r="A181" s="373">
        <v>38054.0</v>
      </c>
      <c r="B181" s="258" t="s">
        <v>1167</v>
      </c>
      <c r="C181" s="374"/>
      <c r="D181" s="39">
        <v>1.0</v>
      </c>
      <c r="E181" s="376"/>
      <c r="F181" s="377"/>
      <c r="G181" s="41">
        <f>0.8+2</f>
        <v>2.8</v>
      </c>
      <c r="H181" s="379">
        <f t="shared" si="33"/>
        <v>2.8</v>
      </c>
      <c r="I181" s="364"/>
      <c r="J181" s="380"/>
      <c r="K181" s="381"/>
      <c r="L181" s="382"/>
      <c r="M181" s="382"/>
      <c r="N181" s="382"/>
      <c r="O181" s="382"/>
      <c r="P181" s="382"/>
      <c r="Q181" s="382"/>
      <c r="R181" s="382"/>
      <c r="S181" s="382"/>
      <c r="T181" s="382"/>
      <c r="U181" s="382"/>
      <c r="V181" s="382"/>
      <c r="W181" s="382"/>
      <c r="X181" s="382"/>
      <c r="Y181" s="382"/>
      <c r="Z181" s="382"/>
    </row>
    <row r="182" ht="19.5" customHeight="1">
      <c r="A182" s="373">
        <v>38054.0</v>
      </c>
      <c r="B182" s="258" t="s">
        <v>1168</v>
      </c>
      <c r="C182" s="374"/>
      <c r="D182" s="39">
        <v>1.0</v>
      </c>
      <c r="E182" s="376"/>
      <c r="F182" s="377"/>
      <c r="G182" s="41">
        <f>0.8+1</f>
        <v>1.8</v>
      </c>
      <c r="H182" s="379">
        <f t="shared" si="33"/>
        <v>1.8</v>
      </c>
      <c r="I182" s="364"/>
      <c r="J182" s="380"/>
      <c r="K182" s="381"/>
      <c r="L182" s="382"/>
      <c r="M182" s="382"/>
      <c r="N182" s="382"/>
      <c r="O182" s="382"/>
      <c r="P182" s="382"/>
      <c r="Q182" s="382"/>
      <c r="R182" s="382"/>
      <c r="S182" s="382"/>
      <c r="T182" s="382"/>
      <c r="U182" s="382"/>
      <c r="V182" s="382"/>
      <c r="W182" s="382"/>
      <c r="X182" s="382"/>
      <c r="Y182" s="382"/>
      <c r="Z182" s="382"/>
    </row>
    <row r="183" ht="19.5" customHeight="1">
      <c r="A183" s="373">
        <v>38054.0</v>
      </c>
      <c r="B183" s="258" t="s">
        <v>1169</v>
      </c>
      <c r="C183" s="374"/>
      <c r="D183" s="39">
        <v>1.0</v>
      </c>
      <c r="E183" s="376"/>
      <c r="F183" s="377"/>
      <c r="G183" s="41">
        <f>0.8+1.1</f>
        <v>1.9</v>
      </c>
      <c r="H183" s="379">
        <f t="shared" si="33"/>
        <v>1.9</v>
      </c>
      <c r="I183" s="364"/>
      <c r="J183" s="380"/>
      <c r="K183" s="381"/>
      <c r="L183" s="382"/>
      <c r="M183" s="382"/>
      <c r="N183" s="382"/>
      <c r="O183" s="382"/>
      <c r="P183" s="382"/>
      <c r="Q183" s="382"/>
      <c r="R183" s="382"/>
      <c r="S183" s="382"/>
      <c r="T183" s="382"/>
      <c r="U183" s="382"/>
      <c r="V183" s="382"/>
      <c r="W183" s="382"/>
      <c r="X183" s="382"/>
      <c r="Y183" s="382"/>
      <c r="Z183" s="382"/>
    </row>
    <row r="184" ht="19.5" customHeight="1">
      <c r="A184" s="373">
        <v>38054.0</v>
      </c>
      <c r="B184" s="256" t="s">
        <v>227</v>
      </c>
      <c r="C184" s="383" t="s">
        <v>108</v>
      </c>
      <c r="D184" s="384">
        <v>17.0</v>
      </c>
      <c r="E184" s="376"/>
      <c r="F184" s="377"/>
      <c r="G184" s="378">
        <f>0.8+0.9</f>
        <v>1.7</v>
      </c>
      <c r="H184" s="378">
        <f t="shared" si="33"/>
        <v>28.9</v>
      </c>
      <c r="I184" s="362"/>
      <c r="J184" s="385"/>
      <c r="K184" s="386"/>
      <c r="L184" s="382"/>
      <c r="M184" s="382"/>
      <c r="N184" s="382"/>
      <c r="O184" s="382"/>
      <c r="P184" s="382"/>
      <c r="Q184" s="382"/>
      <c r="R184" s="382"/>
      <c r="S184" s="382"/>
      <c r="T184" s="382"/>
      <c r="U184" s="382"/>
      <c r="V184" s="382"/>
      <c r="W184" s="382"/>
      <c r="X184" s="382"/>
      <c r="Y184" s="382"/>
      <c r="Z184" s="382"/>
    </row>
    <row r="185" ht="19.5" customHeight="1">
      <c r="A185" s="373">
        <v>38054.0</v>
      </c>
      <c r="B185" s="256" t="s">
        <v>852</v>
      </c>
      <c r="C185" s="383" t="s">
        <v>108</v>
      </c>
      <c r="D185" s="384">
        <v>6.0</v>
      </c>
      <c r="E185" s="256"/>
      <c r="F185" s="377"/>
      <c r="G185" s="387">
        <f>0.8+1.6</f>
        <v>2.4</v>
      </c>
      <c r="H185" s="378">
        <f t="shared" si="33"/>
        <v>14.4</v>
      </c>
      <c r="I185" s="362"/>
      <c r="J185" s="385"/>
      <c r="K185" s="383"/>
      <c r="L185" s="382"/>
      <c r="M185" s="382"/>
      <c r="N185" s="382"/>
      <c r="O185" s="382"/>
      <c r="P185" s="382"/>
      <c r="Q185" s="382"/>
      <c r="R185" s="382"/>
      <c r="S185" s="382"/>
      <c r="T185" s="382"/>
      <c r="U185" s="382"/>
      <c r="V185" s="382"/>
      <c r="W185" s="382"/>
      <c r="X185" s="382"/>
      <c r="Y185" s="382"/>
      <c r="Z185" s="382"/>
    </row>
    <row r="186" ht="19.5" customHeight="1">
      <c r="A186" s="373">
        <v>38054.0</v>
      </c>
      <c r="B186" s="256" t="s">
        <v>228</v>
      </c>
      <c r="C186" s="383" t="s">
        <v>108</v>
      </c>
      <c r="D186" s="384">
        <v>1.0</v>
      </c>
      <c r="E186" s="256"/>
      <c r="F186" s="377"/>
      <c r="G186" s="387">
        <f>0.8+1.8</f>
        <v>2.6</v>
      </c>
      <c r="H186" s="378">
        <f t="shared" si="33"/>
        <v>2.6</v>
      </c>
      <c r="I186" s="362"/>
      <c r="J186" s="388">
        <f>SUM(H177:H186)</f>
        <v>143.74</v>
      </c>
      <c r="K186" s="383"/>
      <c r="L186" s="382"/>
      <c r="M186" s="382"/>
      <c r="N186" s="382"/>
      <c r="O186" s="382"/>
      <c r="P186" s="382"/>
      <c r="Q186" s="382"/>
      <c r="R186" s="382"/>
      <c r="S186" s="382"/>
      <c r="T186" s="382"/>
      <c r="U186" s="382"/>
      <c r="V186" s="382"/>
      <c r="W186" s="382"/>
      <c r="X186" s="382"/>
      <c r="Y186" s="382"/>
      <c r="Z186" s="382"/>
    </row>
    <row r="187" ht="19.5" customHeight="1">
      <c r="A187" s="216" t="s">
        <v>1</v>
      </c>
      <c r="B187" s="74" t="s">
        <v>91</v>
      </c>
      <c r="C187" s="74" t="s">
        <v>92</v>
      </c>
      <c r="D187" s="76" t="s">
        <v>93</v>
      </c>
      <c r="E187" s="50" t="s">
        <v>161</v>
      </c>
      <c r="F187" s="53" t="s">
        <v>121</v>
      </c>
      <c r="G187" s="53" t="s">
        <v>99</v>
      </c>
      <c r="H187" s="75" t="s">
        <v>100</v>
      </c>
      <c r="I187" s="363" t="s">
        <v>101</v>
      </c>
      <c r="J187" s="76" t="s">
        <v>95</v>
      </c>
      <c r="K187" s="74" t="s">
        <v>96</v>
      </c>
    </row>
    <row r="188" ht="19.5" customHeight="1">
      <c r="A188" s="141">
        <v>38176.0</v>
      </c>
      <c r="B188" s="37" t="s">
        <v>162</v>
      </c>
      <c r="C188" s="46" t="s">
        <v>103</v>
      </c>
      <c r="D188" s="39">
        <v>84.65</v>
      </c>
      <c r="E188" s="49">
        <v>1.0</v>
      </c>
      <c r="F188" s="78"/>
      <c r="G188" s="40">
        <v>1.0</v>
      </c>
      <c r="H188" s="40">
        <f t="shared" ref="H188:H189" si="34">G188*E188*D188</f>
        <v>84.65</v>
      </c>
      <c r="I188" s="362"/>
      <c r="J188" s="40"/>
      <c r="K188" s="46"/>
    </row>
    <row r="189" ht="19.5" customHeight="1">
      <c r="A189" s="141">
        <v>38176.0</v>
      </c>
      <c r="B189" s="37" t="s">
        <v>162</v>
      </c>
      <c r="C189" s="46" t="s">
        <v>103</v>
      </c>
      <c r="D189" s="78">
        <v>13.1</v>
      </c>
      <c r="E189" s="37">
        <v>2.0</v>
      </c>
      <c r="F189" s="78"/>
      <c r="G189" s="40">
        <v>1.0</v>
      </c>
      <c r="H189" s="40">
        <f t="shared" si="34"/>
        <v>26.2</v>
      </c>
      <c r="I189" s="362"/>
      <c r="J189" s="64">
        <f>SUM(H188:H189)</f>
        <v>110.85</v>
      </c>
      <c r="K189" s="46"/>
    </row>
    <row r="190" ht="19.5" customHeight="1">
      <c r="A190" s="216" t="s">
        <v>1</v>
      </c>
      <c r="B190" s="74" t="s">
        <v>91</v>
      </c>
      <c r="C190" s="74" t="s">
        <v>92</v>
      </c>
      <c r="D190" s="76" t="s">
        <v>93</v>
      </c>
      <c r="E190" s="50" t="s">
        <v>161</v>
      </c>
      <c r="F190" s="53" t="s">
        <v>121</v>
      </c>
      <c r="G190" s="53" t="s">
        <v>99</v>
      </c>
      <c r="H190" s="75" t="s">
        <v>100</v>
      </c>
      <c r="I190" s="363" t="s">
        <v>101</v>
      </c>
      <c r="J190" s="76" t="s">
        <v>95</v>
      </c>
      <c r="K190" s="74" t="s">
        <v>96</v>
      </c>
    </row>
    <row r="191" ht="19.5" customHeight="1">
      <c r="A191" s="145">
        <v>1.0</v>
      </c>
      <c r="B191" s="37" t="s">
        <v>374</v>
      </c>
      <c r="C191" s="46" t="s">
        <v>106</v>
      </c>
      <c r="D191" s="78">
        <v>12.0</v>
      </c>
      <c r="E191" s="37">
        <v>1.0</v>
      </c>
      <c r="F191" s="78"/>
      <c r="G191" s="40">
        <v>1.0</v>
      </c>
      <c r="H191" s="40">
        <f t="shared" ref="H191:H193" si="35">G191*E191*D191</f>
        <v>12</v>
      </c>
      <c r="I191" s="362"/>
      <c r="J191" s="40"/>
      <c r="K191" s="46"/>
    </row>
    <row r="192" ht="19.5" customHeight="1">
      <c r="A192" s="145">
        <v>2.0</v>
      </c>
      <c r="B192" s="37" t="s">
        <v>1170</v>
      </c>
      <c r="C192" s="46" t="s">
        <v>106</v>
      </c>
      <c r="D192" s="78">
        <v>8.0</v>
      </c>
      <c r="E192" s="37">
        <v>1.0</v>
      </c>
      <c r="F192" s="78"/>
      <c r="G192" s="40">
        <v>1.0</v>
      </c>
      <c r="H192" s="40">
        <f t="shared" si="35"/>
        <v>8</v>
      </c>
      <c r="I192" s="362"/>
      <c r="J192" s="64">
        <f>SUM(H191:H192)</f>
        <v>20</v>
      </c>
      <c r="K192" s="46"/>
    </row>
    <row r="193" ht="19.5" customHeight="1">
      <c r="A193" s="145">
        <v>3.0</v>
      </c>
      <c r="B193" s="37" t="s">
        <v>376</v>
      </c>
      <c r="C193" s="46" t="s">
        <v>106</v>
      </c>
      <c r="D193" s="78">
        <v>20.0</v>
      </c>
      <c r="E193" s="37">
        <v>1.0</v>
      </c>
      <c r="F193" s="78"/>
      <c r="G193" s="40">
        <v>1.0</v>
      </c>
      <c r="H193" s="40">
        <f t="shared" si="35"/>
        <v>20</v>
      </c>
      <c r="I193" s="362"/>
      <c r="J193" s="64">
        <f>H193</f>
        <v>20</v>
      </c>
      <c r="K193" s="79"/>
    </row>
    <row r="194" ht="19.5" customHeight="1">
      <c r="A194" s="216" t="s">
        <v>1</v>
      </c>
      <c r="B194" s="74" t="s">
        <v>91</v>
      </c>
      <c r="C194" s="50" t="s">
        <v>92</v>
      </c>
      <c r="D194" s="76" t="s">
        <v>93</v>
      </c>
      <c r="E194" s="50" t="s">
        <v>161</v>
      </c>
      <c r="F194" s="53" t="s">
        <v>121</v>
      </c>
      <c r="G194" s="53" t="s">
        <v>99</v>
      </c>
      <c r="H194" s="75" t="s">
        <v>100</v>
      </c>
      <c r="I194" s="363" t="s">
        <v>101</v>
      </c>
      <c r="J194" s="76" t="s">
        <v>95</v>
      </c>
      <c r="K194" s="74" t="s">
        <v>96</v>
      </c>
    </row>
    <row r="195" ht="19.5" customHeight="1">
      <c r="A195" s="151" t="s">
        <v>1171</v>
      </c>
      <c r="B195" s="114" t="s">
        <v>1172</v>
      </c>
      <c r="C195" s="243"/>
      <c r="D195" s="115">
        <v>2.0</v>
      </c>
      <c r="E195" s="49">
        <v>1.0</v>
      </c>
      <c r="F195" s="78">
        <f>4.4+5.33+6.8</f>
        <v>16.53</v>
      </c>
      <c r="G195" s="41">
        <v>0.6</v>
      </c>
      <c r="H195" s="59">
        <f t="shared" ref="H195:H201" si="36">G195*F195*E195*D195</f>
        <v>19.836</v>
      </c>
      <c r="I195" s="364"/>
      <c r="J195" s="101"/>
      <c r="K195" s="79"/>
    </row>
    <row r="196" ht="19.5" customHeight="1">
      <c r="A196" s="151" t="s">
        <v>1171</v>
      </c>
      <c r="B196" s="114" t="s">
        <v>1172</v>
      </c>
      <c r="C196" s="46"/>
      <c r="D196" s="115">
        <v>2.0</v>
      </c>
      <c r="E196" s="49">
        <v>2.0</v>
      </c>
      <c r="F196" s="39">
        <v>4.7</v>
      </c>
      <c r="G196" s="41">
        <v>1.35</v>
      </c>
      <c r="H196" s="59">
        <f t="shared" si="36"/>
        <v>25.38</v>
      </c>
      <c r="I196" s="364"/>
      <c r="J196" s="101"/>
      <c r="K196" s="79"/>
    </row>
    <row r="197" ht="19.5" customHeight="1">
      <c r="A197" s="151" t="s">
        <v>1171</v>
      </c>
      <c r="B197" s="114" t="s">
        <v>1172</v>
      </c>
      <c r="C197" s="46"/>
      <c r="D197" s="115">
        <v>2.0</v>
      </c>
      <c r="E197" s="49">
        <v>2.0</v>
      </c>
      <c r="F197" s="39">
        <v>4.54</v>
      </c>
      <c r="G197" s="41">
        <v>0.19</v>
      </c>
      <c r="H197" s="59">
        <f t="shared" si="36"/>
        <v>3.4504</v>
      </c>
      <c r="I197" s="364"/>
      <c r="J197" s="101"/>
      <c r="K197" s="79"/>
    </row>
    <row r="198" ht="19.5" customHeight="1">
      <c r="A198" s="151" t="s">
        <v>1171</v>
      </c>
      <c r="B198" s="114" t="s">
        <v>1173</v>
      </c>
      <c r="C198" s="79"/>
      <c r="D198" s="115">
        <v>4.0</v>
      </c>
      <c r="E198" s="49">
        <v>1.0</v>
      </c>
      <c r="F198" s="78">
        <f>6.6+6.8+5.2</f>
        <v>18.6</v>
      </c>
      <c r="G198" s="41">
        <v>0.6</v>
      </c>
      <c r="H198" s="59">
        <f t="shared" si="36"/>
        <v>44.64</v>
      </c>
      <c r="I198" s="364"/>
      <c r="J198" s="101"/>
      <c r="K198" s="79"/>
    </row>
    <row r="199" ht="19.5" customHeight="1">
      <c r="A199" s="151" t="s">
        <v>1171</v>
      </c>
      <c r="B199" s="114" t="s">
        <v>1173</v>
      </c>
      <c r="C199" s="79"/>
      <c r="D199" s="115">
        <v>4.0</v>
      </c>
      <c r="E199" s="49">
        <v>2.0</v>
      </c>
      <c r="F199" s="39">
        <v>4.7</v>
      </c>
      <c r="G199" s="41">
        <v>1.35</v>
      </c>
      <c r="H199" s="59">
        <f t="shared" si="36"/>
        <v>50.76</v>
      </c>
      <c r="I199" s="364"/>
      <c r="J199" s="101"/>
      <c r="K199" s="79"/>
    </row>
    <row r="200" ht="19.5" customHeight="1">
      <c r="A200" s="151" t="s">
        <v>1171</v>
      </c>
      <c r="B200" s="114" t="s">
        <v>1173</v>
      </c>
      <c r="C200" s="79"/>
      <c r="D200" s="115">
        <v>4.0</v>
      </c>
      <c r="E200" s="49">
        <v>2.0</v>
      </c>
      <c r="F200" s="39">
        <v>4.54</v>
      </c>
      <c r="G200" s="41">
        <v>0.19</v>
      </c>
      <c r="H200" s="59">
        <f t="shared" si="36"/>
        <v>6.9008</v>
      </c>
      <c r="I200" s="364"/>
      <c r="J200" s="101"/>
      <c r="K200" s="79"/>
    </row>
    <row r="201" ht="19.5" customHeight="1">
      <c r="A201" s="151" t="s">
        <v>1171</v>
      </c>
      <c r="B201" s="114" t="s">
        <v>640</v>
      </c>
      <c r="C201" s="79"/>
      <c r="D201" s="115">
        <v>1.0</v>
      </c>
      <c r="E201" s="49">
        <v>1.0</v>
      </c>
      <c r="F201" s="78">
        <f>SUM(F195:F200)</f>
        <v>53.61</v>
      </c>
      <c r="G201" s="41">
        <v>0.2</v>
      </c>
      <c r="H201" s="59">
        <f t="shared" si="36"/>
        <v>10.722</v>
      </c>
      <c r="I201" s="364"/>
      <c r="J201" s="257"/>
      <c r="K201" s="79"/>
    </row>
    <row r="202" ht="19.5" customHeight="1">
      <c r="A202" s="220"/>
      <c r="B202" s="37"/>
      <c r="C202" s="46"/>
      <c r="D202" s="78"/>
      <c r="E202" s="37"/>
      <c r="F202" s="78"/>
      <c r="G202" s="40"/>
      <c r="H202" s="40"/>
      <c r="I202" s="368"/>
      <c r="J202" s="64">
        <f>SUM(H195:H201)</f>
        <v>161.6892</v>
      </c>
      <c r="K202" s="79"/>
    </row>
    <row r="203" ht="19.5" customHeight="1">
      <c r="A203" s="216" t="s">
        <v>1</v>
      </c>
      <c r="B203" s="74" t="s">
        <v>91</v>
      </c>
      <c r="C203" s="74" t="s">
        <v>92</v>
      </c>
      <c r="D203" s="76" t="s">
        <v>93</v>
      </c>
      <c r="E203" s="50" t="s">
        <v>161</v>
      </c>
      <c r="F203" s="53"/>
      <c r="G203" s="53"/>
      <c r="H203" s="75" t="s">
        <v>100</v>
      </c>
      <c r="I203" s="363" t="s">
        <v>101</v>
      </c>
      <c r="J203" s="76" t="s">
        <v>95</v>
      </c>
      <c r="K203" s="74" t="s">
        <v>96</v>
      </c>
    </row>
    <row r="204" ht="19.5" customHeight="1">
      <c r="A204" s="145">
        <v>1.0</v>
      </c>
      <c r="B204" s="37" t="s">
        <v>245</v>
      </c>
      <c r="C204" s="46" t="s">
        <v>106</v>
      </c>
      <c r="D204" s="78">
        <v>4.0</v>
      </c>
      <c r="E204" s="37">
        <v>20.0</v>
      </c>
      <c r="F204" s="78"/>
      <c r="G204" s="40"/>
      <c r="H204" s="40">
        <f>E204*D204+6</f>
        <v>86</v>
      </c>
      <c r="I204" s="362"/>
      <c r="J204" s="64">
        <f t="shared" ref="J204:J222" si="37">H204</f>
        <v>86</v>
      </c>
      <c r="K204" s="46"/>
    </row>
    <row r="205" ht="19.5" customHeight="1">
      <c r="A205" s="145">
        <v>2.0</v>
      </c>
      <c r="B205" s="37" t="s">
        <v>245</v>
      </c>
      <c r="C205" s="46" t="s">
        <v>106</v>
      </c>
      <c r="D205" s="78">
        <v>19.0</v>
      </c>
      <c r="E205" s="37">
        <v>1.0</v>
      </c>
      <c r="F205" s="78"/>
      <c r="G205" s="40"/>
      <c r="H205" s="40">
        <f t="shared" ref="H205:H222" si="38">E205*D205</f>
        <v>19</v>
      </c>
      <c r="I205" s="362"/>
      <c r="J205" s="64">
        <f t="shared" si="37"/>
        <v>19</v>
      </c>
      <c r="K205" s="46"/>
    </row>
    <row r="206" ht="19.5" customHeight="1">
      <c r="A206" s="145">
        <v>3.0</v>
      </c>
      <c r="B206" s="37" t="s">
        <v>246</v>
      </c>
      <c r="C206" s="46" t="s">
        <v>106</v>
      </c>
      <c r="D206" s="78">
        <v>4.0</v>
      </c>
      <c r="E206" s="37">
        <v>20.0</v>
      </c>
      <c r="F206" s="78"/>
      <c r="G206" s="40"/>
      <c r="H206" s="40">
        <f t="shared" si="38"/>
        <v>80</v>
      </c>
      <c r="I206" s="362"/>
      <c r="J206" s="64">
        <f t="shared" si="37"/>
        <v>80</v>
      </c>
      <c r="K206" s="46"/>
    </row>
    <row r="207" ht="19.5" customHeight="1">
      <c r="A207" s="145">
        <v>4.0</v>
      </c>
      <c r="B207" s="37" t="s">
        <v>246</v>
      </c>
      <c r="C207" s="46" t="s">
        <v>106</v>
      </c>
      <c r="D207" s="78">
        <v>8.0</v>
      </c>
      <c r="E207" s="37">
        <v>1.0</v>
      </c>
      <c r="F207" s="78"/>
      <c r="G207" s="40"/>
      <c r="H207" s="40">
        <f t="shared" si="38"/>
        <v>8</v>
      </c>
      <c r="I207" s="362"/>
      <c r="J207" s="64">
        <f t="shared" si="37"/>
        <v>8</v>
      </c>
      <c r="K207" s="46"/>
    </row>
    <row r="208" ht="19.5" customHeight="1">
      <c r="A208" s="145">
        <v>5.0</v>
      </c>
      <c r="B208" s="37" t="s">
        <v>247</v>
      </c>
      <c r="C208" s="46" t="s">
        <v>106</v>
      </c>
      <c r="D208" s="78">
        <v>2.0</v>
      </c>
      <c r="E208" s="37">
        <v>1.0</v>
      </c>
      <c r="F208" s="78"/>
      <c r="G208" s="40"/>
      <c r="H208" s="40">
        <f t="shared" si="38"/>
        <v>2</v>
      </c>
      <c r="I208" s="362"/>
      <c r="J208" s="64">
        <f t="shared" si="37"/>
        <v>2</v>
      </c>
      <c r="K208" s="46"/>
    </row>
    <row r="209" ht="19.5" customHeight="1">
      <c r="A209" s="145">
        <v>6.0</v>
      </c>
      <c r="B209" s="37" t="s">
        <v>248</v>
      </c>
      <c r="C209" s="46" t="s">
        <v>106</v>
      </c>
      <c r="D209" s="78">
        <v>4.0</v>
      </c>
      <c r="E209" s="37">
        <v>1.0</v>
      </c>
      <c r="F209" s="78"/>
      <c r="G209" s="40"/>
      <c r="H209" s="40">
        <f t="shared" si="38"/>
        <v>4</v>
      </c>
      <c r="I209" s="362"/>
      <c r="J209" s="64">
        <f t="shared" si="37"/>
        <v>4</v>
      </c>
      <c r="K209" s="46"/>
    </row>
    <row r="210" ht="19.5" customHeight="1">
      <c r="A210" s="145">
        <v>7.0</v>
      </c>
      <c r="B210" s="37" t="s">
        <v>249</v>
      </c>
      <c r="C210" s="46" t="s">
        <v>106</v>
      </c>
      <c r="D210" s="78">
        <v>11.0</v>
      </c>
      <c r="E210" s="37">
        <v>1.0</v>
      </c>
      <c r="F210" s="78"/>
      <c r="G210" s="40"/>
      <c r="H210" s="40">
        <f t="shared" si="38"/>
        <v>11</v>
      </c>
      <c r="I210" s="362"/>
      <c r="J210" s="64">
        <f t="shared" si="37"/>
        <v>11</v>
      </c>
      <c r="K210" s="46"/>
    </row>
    <row r="211" ht="19.5" customHeight="1">
      <c r="A211" s="145">
        <v>8.0</v>
      </c>
      <c r="B211" s="37" t="s">
        <v>250</v>
      </c>
      <c r="C211" s="46" t="s">
        <v>106</v>
      </c>
      <c r="D211" s="123">
        <f>H210+H209+H208+H207+H206</f>
        <v>105</v>
      </c>
      <c r="E211" s="37">
        <v>1.0</v>
      </c>
      <c r="F211" s="40"/>
      <c r="G211" s="40"/>
      <c r="H211" s="40">
        <f t="shared" si="38"/>
        <v>105</v>
      </c>
      <c r="I211" s="378"/>
      <c r="J211" s="64">
        <f t="shared" si="37"/>
        <v>105</v>
      </c>
      <c r="K211" s="46"/>
    </row>
    <row r="212" ht="19.5" customHeight="1">
      <c r="A212" s="145">
        <v>9.0</v>
      </c>
      <c r="B212" s="37" t="s">
        <v>251</v>
      </c>
      <c r="C212" s="46" t="s">
        <v>106</v>
      </c>
      <c r="D212" s="123">
        <f>H205+H204</f>
        <v>105</v>
      </c>
      <c r="E212" s="37">
        <v>1.0</v>
      </c>
      <c r="F212" s="40"/>
      <c r="G212" s="40"/>
      <c r="H212" s="40">
        <f t="shared" si="38"/>
        <v>105</v>
      </c>
      <c r="I212" s="378"/>
      <c r="J212" s="64">
        <f t="shared" si="37"/>
        <v>105</v>
      </c>
      <c r="K212" s="46"/>
    </row>
    <row r="213" ht="19.5" customHeight="1">
      <c r="A213" s="145">
        <v>10.0</v>
      </c>
      <c r="B213" s="37" t="s">
        <v>252</v>
      </c>
      <c r="C213" s="46" t="s">
        <v>108</v>
      </c>
      <c r="D213" s="123">
        <v>800.0</v>
      </c>
      <c r="E213" s="37">
        <v>1.0</v>
      </c>
      <c r="F213" s="40"/>
      <c r="G213" s="40"/>
      <c r="H213" s="40">
        <f t="shared" si="38"/>
        <v>800</v>
      </c>
      <c r="I213" s="378"/>
      <c r="J213" s="64">
        <f t="shared" si="37"/>
        <v>800</v>
      </c>
      <c r="K213" s="46"/>
    </row>
    <row r="214" ht="19.5" customHeight="1">
      <c r="A214" s="145">
        <v>11.0</v>
      </c>
      <c r="B214" s="37" t="s">
        <v>253</v>
      </c>
      <c r="C214" s="46" t="s">
        <v>108</v>
      </c>
      <c r="D214" s="123">
        <v>300.0</v>
      </c>
      <c r="E214" s="37">
        <v>1.0</v>
      </c>
      <c r="F214" s="40"/>
      <c r="G214" s="40"/>
      <c r="H214" s="40">
        <f t="shared" si="38"/>
        <v>300</v>
      </c>
      <c r="I214" s="378"/>
      <c r="J214" s="64">
        <f t="shared" si="37"/>
        <v>300</v>
      </c>
      <c r="K214" s="46"/>
    </row>
    <row r="215" ht="19.5" customHeight="1">
      <c r="A215" s="145">
        <v>12.0</v>
      </c>
      <c r="B215" s="37" t="s">
        <v>254</v>
      </c>
      <c r="C215" s="46" t="s">
        <v>108</v>
      </c>
      <c r="D215" s="123">
        <v>3000.0</v>
      </c>
      <c r="E215" s="37">
        <v>1.0</v>
      </c>
      <c r="F215" s="40"/>
      <c r="G215" s="40"/>
      <c r="H215" s="40">
        <f t="shared" si="38"/>
        <v>3000</v>
      </c>
      <c r="I215" s="378"/>
      <c r="J215" s="64">
        <f t="shared" si="37"/>
        <v>3000</v>
      </c>
      <c r="K215" s="46"/>
    </row>
    <row r="216" ht="19.5" customHeight="1">
      <c r="A216" s="145">
        <v>13.0</v>
      </c>
      <c r="B216" s="37" t="s">
        <v>255</v>
      </c>
      <c r="C216" s="46" t="s">
        <v>108</v>
      </c>
      <c r="D216" s="123">
        <v>22.0</v>
      </c>
      <c r="E216" s="37">
        <v>19.0</v>
      </c>
      <c r="F216" s="40"/>
      <c r="G216" s="40"/>
      <c r="H216" s="40">
        <f t="shared" si="38"/>
        <v>418</v>
      </c>
      <c r="I216" s="378"/>
      <c r="J216" s="64">
        <f t="shared" si="37"/>
        <v>418</v>
      </c>
      <c r="K216" s="46"/>
    </row>
    <row r="217" ht="19.5" customHeight="1">
      <c r="A217" s="145">
        <v>14.0</v>
      </c>
      <c r="B217" s="37" t="s">
        <v>256</v>
      </c>
      <c r="C217" s="46" t="s">
        <v>108</v>
      </c>
      <c r="D217" s="123">
        <v>100.0</v>
      </c>
      <c r="E217" s="37">
        <v>1.0</v>
      </c>
      <c r="F217" s="40"/>
      <c r="G217" s="40"/>
      <c r="H217" s="40">
        <f t="shared" si="38"/>
        <v>100</v>
      </c>
      <c r="I217" s="378"/>
      <c r="J217" s="64">
        <f t="shared" si="37"/>
        <v>100</v>
      </c>
      <c r="K217" s="46"/>
    </row>
    <row r="218" ht="19.5" customHeight="1">
      <c r="A218" s="145">
        <v>15.0</v>
      </c>
      <c r="B218" s="37" t="s">
        <v>257</v>
      </c>
      <c r="C218" s="46" t="s">
        <v>106</v>
      </c>
      <c r="D218" s="123">
        <v>2.0</v>
      </c>
      <c r="E218" s="37">
        <v>1.0</v>
      </c>
      <c r="F218" s="40"/>
      <c r="G218" s="40"/>
      <c r="H218" s="40">
        <f t="shared" si="38"/>
        <v>2</v>
      </c>
      <c r="I218" s="378"/>
      <c r="J218" s="64">
        <f t="shared" si="37"/>
        <v>2</v>
      </c>
      <c r="K218" s="46"/>
    </row>
    <row r="219" ht="19.5" customHeight="1">
      <c r="A219" s="145">
        <v>16.0</v>
      </c>
      <c r="B219" s="37" t="s">
        <v>258</v>
      </c>
      <c r="C219" s="46" t="s">
        <v>106</v>
      </c>
      <c r="D219" s="123">
        <v>13.0</v>
      </c>
      <c r="E219" s="37">
        <v>1.0</v>
      </c>
      <c r="F219" s="40"/>
      <c r="G219" s="40"/>
      <c r="H219" s="40">
        <f t="shared" si="38"/>
        <v>13</v>
      </c>
      <c r="I219" s="378"/>
      <c r="J219" s="64">
        <f t="shared" si="37"/>
        <v>13</v>
      </c>
      <c r="K219" s="46"/>
    </row>
    <row r="220" ht="19.5" customHeight="1">
      <c r="A220" s="145">
        <v>17.0</v>
      </c>
      <c r="B220" s="37" t="s">
        <v>259</v>
      </c>
      <c r="C220" s="46" t="s">
        <v>108</v>
      </c>
      <c r="D220" s="123">
        <v>100.0</v>
      </c>
      <c r="E220" s="37">
        <v>1.0</v>
      </c>
      <c r="F220" s="40"/>
      <c r="G220" s="40"/>
      <c r="H220" s="40">
        <f t="shared" si="38"/>
        <v>100</v>
      </c>
      <c r="I220" s="378"/>
      <c r="J220" s="64">
        <f t="shared" si="37"/>
        <v>100</v>
      </c>
      <c r="K220" s="46"/>
    </row>
    <row r="221" ht="19.5" customHeight="1">
      <c r="A221" s="145">
        <v>18.0</v>
      </c>
      <c r="B221" s="37" t="s">
        <v>260</v>
      </c>
      <c r="C221" s="46" t="s">
        <v>108</v>
      </c>
      <c r="D221" s="123">
        <v>84.64</v>
      </c>
      <c r="E221" s="37">
        <v>1.0</v>
      </c>
      <c r="F221" s="40"/>
      <c r="G221" s="40"/>
      <c r="H221" s="40">
        <f t="shared" si="38"/>
        <v>84.64</v>
      </c>
      <c r="I221" s="378"/>
      <c r="J221" s="64">
        <f t="shared" si="37"/>
        <v>84.64</v>
      </c>
      <c r="K221" s="46"/>
    </row>
    <row r="222" ht="19.5" customHeight="1">
      <c r="A222" s="145">
        <v>19.0</v>
      </c>
      <c r="B222" s="37" t="s">
        <v>261</v>
      </c>
      <c r="C222" s="46" t="s">
        <v>106</v>
      </c>
      <c r="D222" s="123">
        <v>6.0</v>
      </c>
      <c r="E222" s="37">
        <v>1.0</v>
      </c>
      <c r="F222" s="40"/>
      <c r="G222" s="40"/>
      <c r="H222" s="40">
        <f t="shared" si="38"/>
        <v>6</v>
      </c>
      <c r="I222" s="378"/>
      <c r="J222" s="64">
        <f t="shared" si="37"/>
        <v>6</v>
      </c>
      <c r="K222" s="46"/>
    </row>
    <row r="223" ht="19.5" customHeight="1">
      <c r="A223" s="389"/>
      <c r="C223" s="12"/>
      <c r="D223" s="87"/>
      <c r="F223" s="14"/>
      <c r="G223" s="14"/>
      <c r="H223" s="14"/>
      <c r="I223" s="356"/>
      <c r="J223" s="14"/>
      <c r="K223" s="12"/>
    </row>
    <row r="224" ht="19.5" customHeight="1">
      <c r="A224" s="216" t="s">
        <v>1</v>
      </c>
      <c r="B224" s="74" t="s">
        <v>91</v>
      </c>
      <c r="C224" s="74" t="s">
        <v>92</v>
      </c>
      <c r="D224" s="76" t="s">
        <v>93</v>
      </c>
      <c r="E224" s="50" t="s">
        <v>161</v>
      </c>
      <c r="F224" s="53" t="s">
        <v>121</v>
      </c>
      <c r="G224" s="53" t="s">
        <v>99</v>
      </c>
      <c r="H224" s="53" t="s">
        <v>100</v>
      </c>
      <c r="I224" s="390" t="s">
        <v>101</v>
      </c>
      <c r="J224" s="76" t="s">
        <v>95</v>
      </c>
      <c r="K224" s="74" t="s">
        <v>96</v>
      </c>
    </row>
    <row r="225" ht="19.5" customHeight="1">
      <c r="A225" s="145">
        <v>1.0</v>
      </c>
      <c r="B225" s="37" t="s">
        <v>262</v>
      </c>
      <c r="C225" s="46" t="s">
        <v>108</v>
      </c>
      <c r="D225" s="78">
        <v>200.0</v>
      </c>
      <c r="E225" s="37">
        <v>1.0</v>
      </c>
      <c r="F225" s="78"/>
      <c r="G225" s="40"/>
      <c r="H225" s="40">
        <f t="shared" ref="H225:H246" si="39">E225*D225</f>
        <v>200</v>
      </c>
      <c r="I225" s="362"/>
      <c r="J225" s="64">
        <f t="shared" ref="J225:J246" si="40">H225</f>
        <v>200</v>
      </c>
      <c r="K225" s="46"/>
    </row>
    <row r="226" ht="19.5" customHeight="1">
      <c r="A226" s="145">
        <v>2.0</v>
      </c>
      <c r="B226" s="37" t="s">
        <v>263</v>
      </c>
      <c r="C226" s="46" t="s">
        <v>108</v>
      </c>
      <c r="D226" s="123">
        <v>100.0</v>
      </c>
      <c r="E226" s="37">
        <v>1.0</v>
      </c>
      <c r="F226" s="40"/>
      <c r="G226" s="40"/>
      <c r="H226" s="40">
        <f t="shared" si="39"/>
        <v>100</v>
      </c>
      <c r="I226" s="378"/>
      <c r="J226" s="64">
        <f t="shared" si="40"/>
        <v>100</v>
      </c>
      <c r="K226" s="46"/>
    </row>
    <row r="227" ht="19.5" customHeight="1">
      <c r="A227" s="145">
        <v>3.0</v>
      </c>
      <c r="B227" s="37" t="s">
        <v>264</v>
      </c>
      <c r="C227" s="46" t="s">
        <v>108</v>
      </c>
      <c r="D227" s="123">
        <v>100.0</v>
      </c>
      <c r="E227" s="37">
        <v>1.0</v>
      </c>
      <c r="F227" s="40"/>
      <c r="G227" s="40"/>
      <c r="H227" s="40">
        <f t="shared" si="39"/>
        <v>100</v>
      </c>
      <c r="I227" s="378"/>
      <c r="J227" s="64">
        <f t="shared" si="40"/>
        <v>100</v>
      </c>
      <c r="K227" s="46"/>
    </row>
    <row r="228" ht="19.5" customHeight="1">
      <c r="A228" s="145">
        <v>4.0</v>
      </c>
      <c r="B228" s="37" t="s">
        <v>265</v>
      </c>
      <c r="C228" s="46" t="s">
        <v>106</v>
      </c>
      <c r="D228" s="123">
        <v>4.0</v>
      </c>
      <c r="E228" s="37">
        <v>1.0</v>
      </c>
      <c r="F228" s="40"/>
      <c r="G228" s="40"/>
      <c r="H228" s="40">
        <f t="shared" si="39"/>
        <v>4</v>
      </c>
      <c r="I228" s="378"/>
      <c r="J228" s="64">
        <f t="shared" si="40"/>
        <v>4</v>
      </c>
      <c r="K228" s="46"/>
    </row>
    <row r="229" ht="19.5" customHeight="1">
      <c r="A229" s="145">
        <v>5.0</v>
      </c>
      <c r="B229" s="37" t="s">
        <v>266</v>
      </c>
      <c r="C229" s="46" t="s">
        <v>106</v>
      </c>
      <c r="D229" s="123">
        <v>8.0</v>
      </c>
      <c r="E229" s="37">
        <v>1.0</v>
      </c>
      <c r="F229" s="40"/>
      <c r="G229" s="40"/>
      <c r="H229" s="40">
        <f t="shared" si="39"/>
        <v>8</v>
      </c>
      <c r="I229" s="378"/>
      <c r="J229" s="64">
        <f t="shared" si="40"/>
        <v>8</v>
      </c>
      <c r="K229" s="46"/>
    </row>
    <row r="230" ht="19.5" customHeight="1">
      <c r="A230" s="145">
        <v>6.0</v>
      </c>
      <c r="B230" s="37" t="s">
        <v>267</v>
      </c>
      <c r="C230" s="46" t="s">
        <v>106</v>
      </c>
      <c r="D230" s="123">
        <v>8.0</v>
      </c>
      <c r="E230" s="37">
        <v>1.0</v>
      </c>
      <c r="F230" s="40"/>
      <c r="G230" s="40"/>
      <c r="H230" s="40">
        <f t="shared" si="39"/>
        <v>8</v>
      </c>
      <c r="I230" s="378"/>
      <c r="J230" s="64">
        <f t="shared" si="40"/>
        <v>8</v>
      </c>
      <c r="K230" s="46"/>
    </row>
    <row r="231" ht="19.5" customHeight="1">
      <c r="A231" s="145">
        <v>7.0</v>
      </c>
      <c r="B231" s="37" t="s">
        <v>268</v>
      </c>
      <c r="C231" s="46" t="s">
        <v>106</v>
      </c>
      <c r="D231" s="123">
        <v>8.0</v>
      </c>
      <c r="E231" s="37">
        <v>1.0</v>
      </c>
      <c r="F231" s="40"/>
      <c r="G231" s="40"/>
      <c r="H231" s="40">
        <f t="shared" si="39"/>
        <v>8</v>
      </c>
      <c r="I231" s="378"/>
      <c r="J231" s="64">
        <f t="shared" si="40"/>
        <v>8</v>
      </c>
      <c r="K231" s="46"/>
    </row>
    <row r="232" ht="19.5" customHeight="1">
      <c r="A232" s="145">
        <v>8.0</v>
      </c>
      <c r="B232" s="37" t="s">
        <v>269</v>
      </c>
      <c r="C232" s="46" t="s">
        <v>106</v>
      </c>
      <c r="D232" s="123">
        <v>8.0</v>
      </c>
      <c r="E232" s="37">
        <v>1.0</v>
      </c>
      <c r="F232" s="40"/>
      <c r="G232" s="40"/>
      <c r="H232" s="40">
        <f t="shared" si="39"/>
        <v>8</v>
      </c>
      <c r="I232" s="378"/>
      <c r="J232" s="64">
        <f t="shared" si="40"/>
        <v>8</v>
      </c>
      <c r="K232" s="46"/>
    </row>
    <row r="233" ht="19.5" customHeight="1">
      <c r="A233" s="145">
        <v>9.0</v>
      </c>
      <c r="B233" s="37" t="s">
        <v>270</v>
      </c>
      <c r="C233" s="46" t="s">
        <v>106</v>
      </c>
      <c r="D233" s="123">
        <v>8.0</v>
      </c>
      <c r="E233" s="37">
        <v>1.0</v>
      </c>
      <c r="F233" s="40"/>
      <c r="G233" s="40"/>
      <c r="H233" s="40">
        <f t="shared" si="39"/>
        <v>8</v>
      </c>
      <c r="I233" s="378"/>
      <c r="J233" s="64">
        <f t="shared" si="40"/>
        <v>8</v>
      </c>
      <c r="K233" s="46"/>
    </row>
    <row r="234" ht="19.5" customHeight="1">
      <c r="A234" s="145">
        <v>10.0</v>
      </c>
      <c r="B234" s="37" t="s">
        <v>271</v>
      </c>
      <c r="C234" s="46" t="s">
        <v>106</v>
      </c>
      <c r="D234" s="123">
        <v>8.0</v>
      </c>
      <c r="E234" s="37">
        <v>1.0</v>
      </c>
      <c r="F234" s="40"/>
      <c r="G234" s="40"/>
      <c r="H234" s="40">
        <f t="shared" si="39"/>
        <v>8</v>
      </c>
      <c r="I234" s="378"/>
      <c r="J234" s="64">
        <f t="shared" si="40"/>
        <v>8</v>
      </c>
      <c r="K234" s="46"/>
    </row>
    <row r="235" ht="19.5" customHeight="1">
      <c r="A235" s="145">
        <v>11.0</v>
      </c>
      <c r="B235" s="37" t="s">
        <v>272</v>
      </c>
      <c r="C235" s="46" t="s">
        <v>106</v>
      </c>
      <c r="D235" s="123">
        <v>8.0</v>
      </c>
      <c r="E235" s="37">
        <v>1.0</v>
      </c>
      <c r="F235" s="40"/>
      <c r="G235" s="40"/>
      <c r="H235" s="40">
        <f t="shared" si="39"/>
        <v>8</v>
      </c>
      <c r="I235" s="378"/>
      <c r="J235" s="64">
        <f t="shared" si="40"/>
        <v>8</v>
      </c>
      <c r="K235" s="46"/>
    </row>
    <row r="236" ht="19.5" customHeight="1">
      <c r="A236" s="145">
        <v>12.0</v>
      </c>
      <c r="B236" s="37" t="s">
        <v>273</v>
      </c>
      <c r="C236" s="46" t="s">
        <v>106</v>
      </c>
      <c r="D236" s="123">
        <v>4.0</v>
      </c>
      <c r="E236" s="37">
        <v>1.0</v>
      </c>
      <c r="F236" s="40"/>
      <c r="G236" s="40"/>
      <c r="H236" s="40">
        <f t="shared" si="39"/>
        <v>4</v>
      </c>
      <c r="I236" s="378"/>
      <c r="J236" s="64">
        <f t="shared" si="40"/>
        <v>4</v>
      </c>
      <c r="K236" s="46"/>
    </row>
    <row r="237" ht="19.5" customHeight="1">
      <c r="A237" s="145">
        <v>13.0</v>
      </c>
      <c r="B237" s="37" t="s">
        <v>274</v>
      </c>
      <c r="C237" s="46" t="s">
        <v>106</v>
      </c>
      <c r="D237" s="123">
        <v>4.0</v>
      </c>
      <c r="E237" s="37">
        <v>1.0</v>
      </c>
      <c r="F237" s="40"/>
      <c r="G237" s="40"/>
      <c r="H237" s="40">
        <f t="shared" si="39"/>
        <v>4</v>
      </c>
      <c r="I237" s="378"/>
      <c r="J237" s="64">
        <f t="shared" si="40"/>
        <v>4</v>
      </c>
      <c r="K237" s="46"/>
    </row>
    <row r="238" ht="19.5" customHeight="1">
      <c r="A238" s="145">
        <v>14.0</v>
      </c>
      <c r="B238" s="37" t="s">
        <v>275</v>
      </c>
      <c r="C238" s="46" t="s">
        <v>106</v>
      </c>
      <c r="D238" s="123">
        <v>4.0</v>
      </c>
      <c r="E238" s="37">
        <v>1.0</v>
      </c>
      <c r="F238" s="40"/>
      <c r="G238" s="40"/>
      <c r="H238" s="40">
        <f t="shared" si="39"/>
        <v>4</v>
      </c>
      <c r="I238" s="378"/>
      <c r="J238" s="64">
        <f t="shared" si="40"/>
        <v>4</v>
      </c>
      <c r="K238" s="46"/>
    </row>
    <row r="239" ht="19.5" customHeight="1">
      <c r="A239" s="145">
        <v>15.0</v>
      </c>
      <c r="B239" s="37" t="s">
        <v>276</v>
      </c>
      <c r="C239" s="46" t="s">
        <v>106</v>
      </c>
      <c r="D239" s="123">
        <v>4.0</v>
      </c>
      <c r="E239" s="37">
        <v>1.0</v>
      </c>
      <c r="F239" s="40"/>
      <c r="G239" s="40"/>
      <c r="H239" s="40">
        <f t="shared" si="39"/>
        <v>4</v>
      </c>
      <c r="I239" s="378"/>
      <c r="J239" s="64">
        <f t="shared" si="40"/>
        <v>4</v>
      </c>
      <c r="K239" s="46"/>
    </row>
    <row r="240" ht="19.5" customHeight="1">
      <c r="A240" s="145">
        <v>16.0</v>
      </c>
      <c r="B240" s="37" t="s">
        <v>277</v>
      </c>
      <c r="C240" s="46" t="s">
        <v>106</v>
      </c>
      <c r="D240" s="123">
        <v>3.0</v>
      </c>
      <c r="E240" s="37">
        <v>1.0</v>
      </c>
      <c r="F240" s="40"/>
      <c r="G240" s="40"/>
      <c r="H240" s="40">
        <f t="shared" si="39"/>
        <v>3</v>
      </c>
      <c r="I240" s="378"/>
      <c r="J240" s="64">
        <f t="shared" si="40"/>
        <v>3</v>
      </c>
      <c r="K240" s="46"/>
    </row>
    <row r="241" ht="19.5" customHeight="1">
      <c r="A241" s="145">
        <v>17.0</v>
      </c>
      <c r="B241" s="37" t="s">
        <v>278</v>
      </c>
      <c r="C241" s="46" t="s">
        <v>106</v>
      </c>
      <c r="D241" s="123">
        <v>3.0</v>
      </c>
      <c r="E241" s="37">
        <v>1.0</v>
      </c>
      <c r="F241" s="40"/>
      <c r="G241" s="40"/>
      <c r="H241" s="40">
        <f t="shared" si="39"/>
        <v>3</v>
      </c>
      <c r="I241" s="378"/>
      <c r="J241" s="64">
        <f t="shared" si="40"/>
        <v>3</v>
      </c>
      <c r="K241" s="46"/>
    </row>
    <row r="242" ht="19.5" customHeight="1">
      <c r="A242" s="145">
        <v>18.0</v>
      </c>
      <c r="B242" s="37" t="s">
        <v>279</v>
      </c>
      <c r="C242" s="46" t="s">
        <v>106</v>
      </c>
      <c r="D242" s="123">
        <v>19.0</v>
      </c>
      <c r="E242" s="37">
        <v>1.0</v>
      </c>
      <c r="F242" s="40"/>
      <c r="G242" s="40"/>
      <c r="H242" s="40">
        <f t="shared" si="39"/>
        <v>19</v>
      </c>
      <c r="I242" s="378"/>
      <c r="J242" s="64">
        <f t="shared" si="40"/>
        <v>19</v>
      </c>
      <c r="K242" s="46"/>
    </row>
    <row r="243" ht="19.5" customHeight="1">
      <c r="A243" s="154" t="s">
        <v>1174</v>
      </c>
      <c r="B243" s="37" t="s">
        <v>280</v>
      </c>
      <c r="C243" s="46" t="s">
        <v>106</v>
      </c>
      <c r="D243" s="125">
        <v>16.0</v>
      </c>
      <c r="E243" s="37">
        <v>1.0</v>
      </c>
      <c r="F243" s="40"/>
      <c r="G243" s="40"/>
      <c r="H243" s="40">
        <f t="shared" si="39"/>
        <v>16</v>
      </c>
      <c r="I243" s="378"/>
      <c r="J243" s="64">
        <f t="shared" si="40"/>
        <v>16</v>
      </c>
      <c r="K243" s="46"/>
    </row>
    <row r="244" ht="19.5" customHeight="1">
      <c r="A244" s="154" t="s">
        <v>1175</v>
      </c>
      <c r="B244" s="49" t="s">
        <v>1176</v>
      </c>
      <c r="C244" s="46" t="s">
        <v>106</v>
      </c>
      <c r="D244" s="125">
        <v>4.0</v>
      </c>
      <c r="E244" s="37">
        <v>1.0</v>
      </c>
      <c r="F244" s="40"/>
      <c r="G244" s="40"/>
      <c r="H244" s="40">
        <f t="shared" si="39"/>
        <v>4</v>
      </c>
      <c r="I244" s="378"/>
      <c r="J244" s="64">
        <f t="shared" si="40"/>
        <v>4</v>
      </c>
      <c r="K244" s="46"/>
    </row>
    <row r="245" ht="19.5" customHeight="1">
      <c r="A245" s="154" t="s">
        <v>1177</v>
      </c>
      <c r="B245" s="49" t="s">
        <v>284</v>
      </c>
      <c r="C245" s="46" t="s">
        <v>106</v>
      </c>
      <c r="D245" s="125">
        <v>4.0</v>
      </c>
      <c r="E245" s="37">
        <v>1.0</v>
      </c>
      <c r="F245" s="40"/>
      <c r="G245" s="40"/>
      <c r="H245" s="40">
        <f t="shared" si="39"/>
        <v>4</v>
      </c>
      <c r="I245" s="378"/>
      <c r="J245" s="64">
        <f t="shared" si="40"/>
        <v>4</v>
      </c>
      <c r="K245" s="46"/>
    </row>
    <row r="246" ht="19.5" customHeight="1">
      <c r="A246" s="154" t="s">
        <v>1178</v>
      </c>
      <c r="B246" s="114" t="s">
        <v>1179</v>
      </c>
      <c r="C246" s="46" t="s">
        <v>106</v>
      </c>
      <c r="D246" s="148">
        <v>16.0</v>
      </c>
      <c r="E246" s="49">
        <v>1.0</v>
      </c>
      <c r="F246" s="40"/>
      <c r="G246" s="40"/>
      <c r="H246" s="40">
        <f t="shared" si="39"/>
        <v>16</v>
      </c>
      <c r="I246" s="378"/>
      <c r="J246" s="64">
        <f t="shared" si="40"/>
        <v>16</v>
      </c>
      <c r="K246" s="79"/>
    </row>
    <row r="247" ht="19.5" customHeight="1">
      <c r="A247" s="151"/>
      <c r="B247" s="114"/>
      <c r="C247" s="79"/>
      <c r="D247" s="148"/>
      <c r="E247" s="49"/>
      <c r="F247" s="40"/>
      <c r="G247" s="40"/>
      <c r="H247" s="40"/>
      <c r="I247" s="378"/>
      <c r="J247" s="109"/>
      <c r="K247" s="79"/>
    </row>
    <row r="248" ht="19.5" customHeight="1">
      <c r="A248" s="216" t="s">
        <v>1</v>
      </c>
      <c r="B248" s="74" t="s">
        <v>91</v>
      </c>
      <c r="C248" s="74" t="s">
        <v>92</v>
      </c>
      <c r="D248" s="76" t="s">
        <v>93</v>
      </c>
      <c r="E248" s="50" t="s">
        <v>161</v>
      </c>
      <c r="F248" s="53" t="s">
        <v>121</v>
      </c>
      <c r="G248" s="53" t="s">
        <v>99</v>
      </c>
      <c r="H248" s="53" t="s">
        <v>100</v>
      </c>
      <c r="I248" s="390" t="s">
        <v>101</v>
      </c>
      <c r="J248" s="76" t="s">
        <v>95</v>
      </c>
      <c r="K248" s="74" t="s">
        <v>96</v>
      </c>
    </row>
    <row r="249" ht="19.5" customHeight="1">
      <c r="A249" s="145">
        <v>1.0</v>
      </c>
      <c r="B249" s="37" t="s">
        <v>288</v>
      </c>
      <c r="C249" s="46" t="s">
        <v>108</v>
      </c>
      <c r="D249" s="78">
        <v>100.0</v>
      </c>
      <c r="E249" s="37">
        <v>1.0</v>
      </c>
      <c r="F249" s="78"/>
      <c r="G249" s="40"/>
      <c r="H249" s="40">
        <f t="shared" ref="H249:H280" si="41">E249*D249</f>
        <v>100</v>
      </c>
      <c r="I249" s="362"/>
      <c r="J249" s="64">
        <f t="shared" ref="J249:J280" si="42">H249</f>
        <v>100</v>
      </c>
      <c r="K249" s="46"/>
    </row>
    <row r="250" ht="19.5" customHeight="1">
      <c r="A250" s="145">
        <v>2.0</v>
      </c>
      <c r="B250" s="37" t="s">
        <v>289</v>
      </c>
      <c r="C250" s="46" t="s">
        <v>108</v>
      </c>
      <c r="D250" s="78">
        <v>50.0</v>
      </c>
      <c r="E250" s="37">
        <v>1.0</v>
      </c>
      <c r="F250" s="78"/>
      <c r="G250" s="40"/>
      <c r="H250" s="40">
        <f t="shared" si="41"/>
        <v>50</v>
      </c>
      <c r="I250" s="362"/>
      <c r="J250" s="64">
        <f t="shared" si="42"/>
        <v>50</v>
      </c>
      <c r="K250" s="46"/>
    </row>
    <row r="251" ht="19.5" customHeight="1">
      <c r="A251" s="145">
        <v>3.0</v>
      </c>
      <c r="B251" s="37" t="s">
        <v>263</v>
      </c>
      <c r="C251" s="46" t="s">
        <v>108</v>
      </c>
      <c r="D251" s="78">
        <v>100.0</v>
      </c>
      <c r="E251" s="37">
        <v>1.0</v>
      </c>
      <c r="F251" s="78"/>
      <c r="G251" s="40"/>
      <c r="H251" s="40">
        <f t="shared" si="41"/>
        <v>100</v>
      </c>
      <c r="I251" s="362"/>
      <c r="J251" s="64">
        <f t="shared" si="42"/>
        <v>100</v>
      </c>
      <c r="K251" s="46"/>
    </row>
    <row r="252" ht="19.5" customHeight="1">
      <c r="A252" s="145">
        <v>4.0</v>
      </c>
      <c r="B252" s="37" t="s">
        <v>264</v>
      </c>
      <c r="C252" s="46" t="s">
        <v>108</v>
      </c>
      <c r="D252" s="123">
        <v>100.0</v>
      </c>
      <c r="E252" s="37">
        <v>1.0</v>
      </c>
      <c r="F252" s="40"/>
      <c r="G252" s="40"/>
      <c r="H252" s="40">
        <f t="shared" si="41"/>
        <v>100</v>
      </c>
      <c r="I252" s="378"/>
      <c r="J252" s="64">
        <f t="shared" si="42"/>
        <v>100</v>
      </c>
      <c r="K252" s="46"/>
    </row>
    <row r="253" ht="19.5" customHeight="1">
      <c r="A253" s="145">
        <v>5.0</v>
      </c>
      <c r="B253" s="37" t="s">
        <v>290</v>
      </c>
      <c r="C253" s="46" t="s">
        <v>108</v>
      </c>
      <c r="D253" s="123">
        <v>24.0</v>
      </c>
      <c r="E253" s="37">
        <v>1.0</v>
      </c>
      <c r="F253" s="40"/>
      <c r="G253" s="40"/>
      <c r="H253" s="40">
        <f t="shared" si="41"/>
        <v>24</v>
      </c>
      <c r="I253" s="378"/>
      <c r="J253" s="64">
        <f t="shared" si="42"/>
        <v>24</v>
      </c>
      <c r="K253" s="46"/>
    </row>
    <row r="254" ht="19.5" customHeight="1">
      <c r="A254" s="145">
        <v>6.0</v>
      </c>
      <c r="B254" s="37" t="s">
        <v>291</v>
      </c>
      <c r="C254" s="46" t="s">
        <v>108</v>
      </c>
      <c r="D254" s="123">
        <v>60.0</v>
      </c>
      <c r="E254" s="37">
        <v>1.0</v>
      </c>
      <c r="F254" s="40"/>
      <c r="G254" s="40"/>
      <c r="H254" s="40">
        <f t="shared" si="41"/>
        <v>60</v>
      </c>
      <c r="I254" s="378"/>
      <c r="J254" s="64">
        <f t="shared" si="42"/>
        <v>60</v>
      </c>
      <c r="K254" s="46"/>
    </row>
    <row r="255" ht="19.5" customHeight="1">
      <c r="A255" s="145">
        <v>7.0</v>
      </c>
      <c r="B255" s="37" t="s">
        <v>293</v>
      </c>
      <c r="C255" s="46" t="s">
        <v>106</v>
      </c>
      <c r="D255" s="123">
        <v>2.0</v>
      </c>
      <c r="E255" s="37">
        <v>1.0</v>
      </c>
      <c r="F255" s="40"/>
      <c r="G255" s="40"/>
      <c r="H255" s="40">
        <f t="shared" si="41"/>
        <v>2</v>
      </c>
      <c r="I255" s="378"/>
      <c r="J255" s="64">
        <f t="shared" si="42"/>
        <v>2</v>
      </c>
      <c r="K255" s="46"/>
    </row>
    <row r="256" ht="19.5" customHeight="1">
      <c r="A256" s="145">
        <v>8.0</v>
      </c>
      <c r="B256" s="37" t="s">
        <v>294</v>
      </c>
      <c r="C256" s="46" t="s">
        <v>106</v>
      </c>
      <c r="D256" s="123">
        <v>2.0</v>
      </c>
      <c r="E256" s="37">
        <v>1.0</v>
      </c>
      <c r="F256" s="40"/>
      <c r="G256" s="40"/>
      <c r="H256" s="40">
        <f t="shared" si="41"/>
        <v>2</v>
      </c>
      <c r="I256" s="378"/>
      <c r="J256" s="64">
        <f t="shared" si="42"/>
        <v>2</v>
      </c>
      <c r="K256" s="46"/>
    </row>
    <row r="257" ht="19.5" customHeight="1">
      <c r="A257" s="145">
        <v>9.0</v>
      </c>
      <c r="B257" s="37" t="s">
        <v>295</v>
      </c>
      <c r="C257" s="46" t="s">
        <v>106</v>
      </c>
      <c r="D257" s="123">
        <v>2.0</v>
      </c>
      <c r="E257" s="37">
        <v>1.0</v>
      </c>
      <c r="F257" s="40"/>
      <c r="G257" s="40"/>
      <c r="H257" s="40">
        <f t="shared" si="41"/>
        <v>2</v>
      </c>
      <c r="I257" s="378"/>
      <c r="J257" s="64">
        <f t="shared" si="42"/>
        <v>2</v>
      </c>
      <c r="K257" s="46"/>
    </row>
    <row r="258" ht="19.5" customHeight="1">
      <c r="A258" s="145">
        <v>10.0</v>
      </c>
      <c r="B258" s="37" t="s">
        <v>270</v>
      </c>
      <c r="C258" s="46" t="s">
        <v>106</v>
      </c>
      <c r="D258" s="123">
        <v>2.0</v>
      </c>
      <c r="E258" s="37">
        <v>1.0</v>
      </c>
      <c r="F258" s="40"/>
      <c r="G258" s="40"/>
      <c r="H258" s="40">
        <f t="shared" si="41"/>
        <v>2</v>
      </c>
      <c r="I258" s="378"/>
      <c r="J258" s="64">
        <f t="shared" si="42"/>
        <v>2</v>
      </c>
      <c r="K258" s="46"/>
    </row>
    <row r="259" ht="19.5" customHeight="1">
      <c r="A259" s="145">
        <v>11.0</v>
      </c>
      <c r="B259" s="37" t="s">
        <v>296</v>
      </c>
      <c r="C259" s="46" t="s">
        <v>106</v>
      </c>
      <c r="D259" s="123">
        <v>2.0</v>
      </c>
      <c r="E259" s="37">
        <v>2.0</v>
      </c>
      <c r="F259" s="40"/>
      <c r="G259" s="40"/>
      <c r="H259" s="40">
        <f t="shared" si="41"/>
        <v>4</v>
      </c>
      <c r="I259" s="378"/>
      <c r="J259" s="64">
        <f t="shared" si="42"/>
        <v>4</v>
      </c>
      <c r="K259" s="46"/>
    </row>
    <row r="260" ht="19.5" customHeight="1">
      <c r="A260" s="145">
        <v>12.0</v>
      </c>
      <c r="B260" s="37" t="s">
        <v>297</v>
      </c>
      <c r="C260" s="46" t="s">
        <v>106</v>
      </c>
      <c r="D260" s="123">
        <v>4.0</v>
      </c>
      <c r="E260" s="37">
        <v>2.0</v>
      </c>
      <c r="F260" s="40"/>
      <c r="G260" s="40"/>
      <c r="H260" s="40">
        <f t="shared" si="41"/>
        <v>8</v>
      </c>
      <c r="I260" s="378"/>
      <c r="J260" s="64">
        <f t="shared" si="42"/>
        <v>8</v>
      </c>
      <c r="K260" s="46"/>
    </row>
    <row r="261" ht="19.5" customHeight="1">
      <c r="A261" s="145">
        <v>13.0</v>
      </c>
      <c r="B261" s="37" t="s">
        <v>298</v>
      </c>
      <c r="C261" s="46" t="s">
        <v>106</v>
      </c>
      <c r="D261" s="123">
        <v>2.0</v>
      </c>
      <c r="E261" s="37">
        <v>1.0</v>
      </c>
      <c r="F261" s="40"/>
      <c r="G261" s="40"/>
      <c r="H261" s="40">
        <f t="shared" si="41"/>
        <v>2</v>
      </c>
      <c r="I261" s="378"/>
      <c r="J261" s="64">
        <f t="shared" si="42"/>
        <v>2</v>
      </c>
      <c r="K261" s="46"/>
    </row>
    <row r="262" ht="19.5" customHeight="1">
      <c r="A262" s="145">
        <v>14.0</v>
      </c>
      <c r="B262" s="37" t="s">
        <v>299</v>
      </c>
      <c r="C262" s="46" t="s">
        <v>106</v>
      </c>
      <c r="D262" s="123">
        <v>2.0</v>
      </c>
      <c r="E262" s="37">
        <v>1.0</v>
      </c>
      <c r="F262" s="40"/>
      <c r="G262" s="40"/>
      <c r="H262" s="40">
        <f t="shared" si="41"/>
        <v>2</v>
      </c>
      <c r="I262" s="378"/>
      <c r="J262" s="64">
        <f t="shared" si="42"/>
        <v>2</v>
      </c>
      <c r="K262" s="46"/>
    </row>
    <row r="263" ht="19.5" customHeight="1">
      <c r="A263" s="145">
        <v>15.0</v>
      </c>
      <c r="B263" s="37" t="s">
        <v>300</v>
      </c>
      <c r="C263" s="46" t="s">
        <v>106</v>
      </c>
      <c r="D263" s="123">
        <v>2.0</v>
      </c>
      <c r="E263" s="37">
        <v>1.0</v>
      </c>
      <c r="F263" s="40"/>
      <c r="G263" s="40"/>
      <c r="H263" s="40">
        <f t="shared" si="41"/>
        <v>2</v>
      </c>
      <c r="I263" s="378"/>
      <c r="J263" s="64">
        <f t="shared" si="42"/>
        <v>2</v>
      </c>
      <c r="K263" s="46"/>
    </row>
    <row r="264" ht="19.5" customHeight="1">
      <c r="A264" s="145">
        <v>16.0</v>
      </c>
      <c r="B264" s="37" t="s">
        <v>301</v>
      </c>
      <c r="C264" s="46" t="s">
        <v>106</v>
      </c>
      <c r="D264" s="123">
        <v>2.0</v>
      </c>
      <c r="E264" s="37">
        <v>1.0</v>
      </c>
      <c r="F264" s="40"/>
      <c r="G264" s="40"/>
      <c r="H264" s="40">
        <f t="shared" si="41"/>
        <v>2</v>
      </c>
      <c r="I264" s="378"/>
      <c r="J264" s="64">
        <f t="shared" si="42"/>
        <v>2</v>
      </c>
      <c r="K264" s="46"/>
    </row>
    <row r="265" ht="19.5" customHeight="1">
      <c r="A265" s="145">
        <v>17.0</v>
      </c>
      <c r="B265" s="37" t="s">
        <v>302</v>
      </c>
      <c r="C265" s="46" t="s">
        <v>106</v>
      </c>
      <c r="D265" s="123">
        <v>2.0</v>
      </c>
      <c r="E265" s="37">
        <v>1.0</v>
      </c>
      <c r="F265" s="40"/>
      <c r="G265" s="40"/>
      <c r="H265" s="40">
        <f t="shared" si="41"/>
        <v>2</v>
      </c>
      <c r="I265" s="378"/>
      <c r="J265" s="64">
        <f t="shared" si="42"/>
        <v>2</v>
      </c>
      <c r="K265" s="46"/>
    </row>
    <row r="266" ht="19.5" customHeight="1">
      <c r="A266" s="145">
        <v>18.0</v>
      </c>
      <c r="B266" s="37" t="s">
        <v>303</v>
      </c>
      <c r="C266" s="46" t="s">
        <v>106</v>
      </c>
      <c r="D266" s="123">
        <v>1.0</v>
      </c>
      <c r="E266" s="37">
        <v>1.0</v>
      </c>
      <c r="F266" s="40"/>
      <c r="G266" s="40"/>
      <c r="H266" s="40">
        <f t="shared" si="41"/>
        <v>1</v>
      </c>
      <c r="I266" s="378"/>
      <c r="J266" s="64">
        <f t="shared" si="42"/>
        <v>1</v>
      </c>
      <c r="K266" s="46"/>
    </row>
    <row r="267" ht="19.5" customHeight="1">
      <c r="A267" s="145">
        <v>19.0</v>
      </c>
      <c r="B267" s="37" t="s">
        <v>304</v>
      </c>
      <c r="C267" s="46" t="s">
        <v>106</v>
      </c>
      <c r="D267" s="123">
        <v>4.0</v>
      </c>
      <c r="E267" s="37">
        <v>1.0</v>
      </c>
      <c r="F267" s="40"/>
      <c r="G267" s="40"/>
      <c r="H267" s="40">
        <f t="shared" si="41"/>
        <v>4</v>
      </c>
      <c r="I267" s="378"/>
      <c r="J267" s="64">
        <f t="shared" si="42"/>
        <v>4</v>
      </c>
      <c r="K267" s="46"/>
    </row>
    <row r="268" ht="19.5" customHeight="1">
      <c r="A268" s="145">
        <v>20.0</v>
      </c>
      <c r="B268" s="37" t="s">
        <v>306</v>
      </c>
      <c r="C268" s="46" t="s">
        <v>106</v>
      </c>
      <c r="D268" s="123">
        <v>2.0</v>
      </c>
      <c r="E268" s="37">
        <v>1.0</v>
      </c>
      <c r="F268" s="40"/>
      <c r="G268" s="40"/>
      <c r="H268" s="40">
        <f t="shared" si="41"/>
        <v>2</v>
      </c>
      <c r="I268" s="378"/>
      <c r="J268" s="64">
        <f t="shared" si="42"/>
        <v>2</v>
      </c>
      <c r="K268" s="46"/>
    </row>
    <row r="269" ht="19.5" customHeight="1">
      <c r="A269" s="145">
        <v>21.0</v>
      </c>
      <c r="B269" s="37" t="s">
        <v>307</v>
      </c>
      <c r="C269" s="46" t="s">
        <v>106</v>
      </c>
      <c r="D269" s="123">
        <v>2.0</v>
      </c>
      <c r="E269" s="37">
        <v>1.0</v>
      </c>
      <c r="F269" s="40"/>
      <c r="G269" s="40"/>
      <c r="H269" s="40">
        <f t="shared" si="41"/>
        <v>2</v>
      </c>
      <c r="I269" s="378"/>
      <c r="J269" s="64">
        <f t="shared" si="42"/>
        <v>2</v>
      </c>
      <c r="K269" s="46"/>
    </row>
    <row r="270" ht="19.5" customHeight="1">
      <c r="A270" s="145">
        <v>22.0</v>
      </c>
      <c r="B270" s="37" t="s">
        <v>308</v>
      </c>
      <c r="C270" s="46" t="s">
        <v>106</v>
      </c>
      <c r="D270" s="123">
        <v>2.0</v>
      </c>
      <c r="E270" s="37">
        <v>1.0</v>
      </c>
      <c r="F270" s="40"/>
      <c r="G270" s="40"/>
      <c r="H270" s="40">
        <f t="shared" si="41"/>
        <v>2</v>
      </c>
      <c r="I270" s="378"/>
      <c r="J270" s="64">
        <f t="shared" si="42"/>
        <v>2</v>
      </c>
      <c r="K270" s="46"/>
    </row>
    <row r="271" ht="19.5" customHeight="1">
      <c r="A271" s="145">
        <v>23.0</v>
      </c>
      <c r="B271" s="37" t="s">
        <v>309</v>
      </c>
      <c r="C271" s="46" t="s">
        <v>106</v>
      </c>
      <c r="D271" s="123">
        <v>4.0</v>
      </c>
      <c r="E271" s="37">
        <v>1.0</v>
      </c>
      <c r="F271" s="40"/>
      <c r="G271" s="40"/>
      <c r="H271" s="40">
        <f t="shared" si="41"/>
        <v>4</v>
      </c>
      <c r="I271" s="378"/>
      <c r="J271" s="64">
        <f t="shared" si="42"/>
        <v>4</v>
      </c>
      <c r="K271" s="46"/>
    </row>
    <row r="272" ht="19.5" customHeight="1">
      <c r="A272" s="145">
        <v>24.0</v>
      </c>
      <c r="B272" s="37" t="s">
        <v>310</v>
      </c>
      <c r="C272" s="46" t="s">
        <v>106</v>
      </c>
      <c r="D272" s="123">
        <v>2.0</v>
      </c>
      <c r="E272" s="37">
        <v>1.0</v>
      </c>
      <c r="F272" s="40"/>
      <c r="G272" s="40"/>
      <c r="H272" s="40">
        <f t="shared" si="41"/>
        <v>2</v>
      </c>
      <c r="I272" s="378"/>
      <c r="J272" s="64">
        <f t="shared" si="42"/>
        <v>2</v>
      </c>
      <c r="K272" s="46"/>
    </row>
    <row r="273" ht="19.5" customHeight="1">
      <c r="A273" s="145">
        <v>25.0</v>
      </c>
      <c r="B273" s="37" t="s">
        <v>311</v>
      </c>
      <c r="C273" s="46" t="s">
        <v>106</v>
      </c>
      <c r="D273" s="123">
        <v>4.0</v>
      </c>
      <c r="E273" s="37">
        <v>1.0</v>
      </c>
      <c r="F273" s="40"/>
      <c r="G273" s="40"/>
      <c r="H273" s="40">
        <f t="shared" si="41"/>
        <v>4</v>
      </c>
      <c r="I273" s="378"/>
      <c r="J273" s="64">
        <f t="shared" si="42"/>
        <v>4</v>
      </c>
      <c r="K273" s="46"/>
    </row>
    <row r="274" ht="19.5" customHeight="1">
      <c r="A274" s="145">
        <v>26.0</v>
      </c>
      <c r="B274" s="37" t="s">
        <v>312</v>
      </c>
      <c r="C274" s="46" t="s">
        <v>106</v>
      </c>
      <c r="D274" s="123">
        <v>11.0</v>
      </c>
      <c r="E274" s="37">
        <v>1.0</v>
      </c>
      <c r="F274" s="40"/>
      <c r="G274" s="40"/>
      <c r="H274" s="40">
        <f t="shared" si="41"/>
        <v>11</v>
      </c>
      <c r="I274" s="378"/>
      <c r="J274" s="64">
        <f t="shared" si="42"/>
        <v>11</v>
      </c>
      <c r="K274" s="46"/>
    </row>
    <row r="275" ht="19.5" customHeight="1">
      <c r="A275" s="145">
        <v>27.0</v>
      </c>
      <c r="B275" s="37" t="s">
        <v>313</v>
      </c>
      <c r="C275" s="46" t="s">
        <v>106</v>
      </c>
      <c r="D275" s="123">
        <v>20.0</v>
      </c>
      <c r="E275" s="37">
        <v>1.0</v>
      </c>
      <c r="F275" s="40"/>
      <c r="G275" s="40"/>
      <c r="H275" s="40">
        <f t="shared" si="41"/>
        <v>20</v>
      </c>
      <c r="I275" s="378"/>
      <c r="J275" s="64">
        <f t="shared" si="42"/>
        <v>20</v>
      </c>
      <c r="K275" s="46"/>
    </row>
    <row r="276" ht="19.5" customHeight="1">
      <c r="A276" s="145">
        <v>28.0</v>
      </c>
      <c r="B276" s="37" t="s">
        <v>314</v>
      </c>
      <c r="C276" s="46" t="s">
        <v>106</v>
      </c>
      <c r="D276" s="123">
        <v>2.0</v>
      </c>
      <c r="E276" s="37">
        <v>1.0</v>
      </c>
      <c r="F276" s="40"/>
      <c r="G276" s="40"/>
      <c r="H276" s="40">
        <f t="shared" si="41"/>
        <v>2</v>
      </c>
      <c r="I276" s="378"/>
      <c r="J276" s="64">
        <f t="shared" si="42"/>
        <v>2</v>
      </c>
      <c r="K276" s="46"/>
    </row>
    <row r="277" ht="19.5" customHeight="1">
      <c r="A277" s="145">
        <v>29.0</v>
      </c>
      <c r="B277" s="37" t="s">
        <v>315</v>
      </c>
      <c r="C277" s="46" t="s">
        <v>106</v>
      </c>
      <c r="D277" s="123">
        <v>4.0</v>
      </c>
      <c r="E277" s="37">
        <v>1.0</v>
      </c>
      <c r="F277" s="40"/>
      <c r="G277" s="40"/>
      <c r="H277" s="40">
        <f t="shared" si="41"/>
        <v>4</v>
      </c>
      <c r="I277" s="378"/>
      <c r="J277" s="64">
        <f t="shared" si="42"/>
        <v>4</v>
      </c>
      <c r="K277" s="46"/>
    </row>
    <row r="278" ht="19.5" customHeight="1">
      <c r="A278" s="145">
        <v>30.0</v>
      </c>
      <c r="B278" s="37" t="s">
        <v>317</v>
      </c>
      <c r="C278" s="46" t="s">
        <v>106</v>
      </c>
      <c r="D278" s="123">
        <v>7.0</v>
      </c>
      <c r="E278" s="37">
        <v>1.0</v>
      </c>
      <c r="F278" s="40"/>
      <c r="G278" s="40"/>
      <c r="H278" s="40">
        <f t="shared" si="41"/>
        <v>7</v>
      </c>
      <c r="I278" s="378"/>
      <c r="J278" s="64">
        <f t="shared" si="42"/>
        <v>7</v>
      </c>
      <c r="K278" s="46"/>
    </row>
    <row r="279" ht="19.5" customHeight="1">
      <c r="A279" s="145">
        <v>31.0</v>
      </c>
      <c r="B279" s="37" t="s">
        <v>318</v>
      </c>
      <c r="C279" s="46" t="s">
        <v>106</v>
      </c>
      <c r="D279" s="123">
        <v>1.0</v>
      </c>
      <c r="E279" s="37">
        <v>1.0</v>
      </c>
      <c r="F279" s="40"/>
      <c r="G279" s="40"/>
      <c r="H279" s="40">
        <f t="shared" si="41"/>
        <v>1</v>
      </c>
      <c r="I279" s="378"/>
      <c r="J279" s="64">
        <f t="shared" si="42"/>
        <v>1</v>
      </c>
      <c r="K279" s="46"/>
    </row>
    <row r="280" ht="19.5" customHeight="1">
      <c r="A280" s="145">
        <v>32.0</v>
      </c>
      <c r="B280" s="37" t="s">
        <v>319</v>
      </c>
      <c r="C280" s="46" t="s">
        <v>106</v>
      </c>
      <c r="D280" s="123">
        <v>25.0</v>
      </c>
      <c r="E280" s="37">
        <v>1.0</v>
      </c>
      <c r="F280" s="40"/>
      <c r="G280" s="40"/>
      <c r="H280" s="40">
        <f t="shared" si="41"/>
        <v>25</v>
      </c>
      <c r="I280" s="378"/>
      <c r="J280" s="64">
        <f t="shared" si="42"/>
        <v>25</v>
      </c>
      <c r="K280" s="46"/>
    </row>
    <row r="281" ht="19.5" customHeight="1">
      <c r="A281" s="154"/>
      <c r="B281" s="37"/>
      <c r="C281" s="46"/>
      <c r="D281" s="123"/>
      <c r="E281" s="37"/>
      <c r="F281" s="40"/>
      <c r="G281" s="40"/>
      <c r="H281" s="40"/>
      <c r="I281" s="378"/>
      <c r="J281" s="64"/>
      <c r="K281" s="46"/>
    </row>
    <row r="282" ht="19.5" customHeight="1">
      <c r="A282" s="154" t="s">
        <v>1180</v>
      </c>
      <c r="B282" s="37" t="s">
        <v>320</v>
      </c>
      <c r="C282" s="46" t="s">
        <v>106</v>
      </c>
      <c r="D282" s="123">
        <f>D245+D246</f>
        <v>20</v>
      </c>
      <c r="E282" s="37">
        <v>1.0</v>
      </c>
      <c r="F282" s="40"/>
      <c r="G282" s="40"/>
      <c r="H282" s="40">
        <f>E282*D282</f>
        <v>20</v>
      </c>
      <c r="I282" s="378"/>
      <c r="J282" s="64">
        <f>H282</f>
        <v>20</v>
      </c>
      <c r="K282" s="46"/>
    </row>
    <row r="283" ht="19.5" customHeight="1">
      <c r="A283" s="216" t="s">
        <v>1</v>
      </c>
      <c r="B283" s="74" t="s">
        <v>91</v>
      </c>
      <c r="C283" s="74" t="s">
        <v>92</v>
      </c>
      <c r="D283" s="76" t="s">
        <v>93</v>
      </c>
      <c r="E283" s="51" t="s">
        <v>97</v>
      </c>
      <c r="F283" s="53" t="s">
        <v>121</v>
      </c>
      <c r="G283" s="53" t="s">
        <v>99</v>
      </c>
      <c r="H283" s="53" t="s">
        <v>100</v>
      </c>
      <c r="I283" s="390" t="s">
        <v>101</v>
      </c>
      <c r="J283" s="76" t="s">
        <v>95</v>
      </c>
      <c r="K283" s="74" t="s">
        <v>96</v>
      </c>
    </row>
    <row r="284" ht="19.5" customHeight="1">
      <c r="A284" s="291" t="s">
        <v>1181</v>
      </c>
      <c r="B284" s="37" t="s">
        <v>327</v>
      </c>
      <c r="C284" s="46" t="s">
        <v>106</v>
      </c>
      <c r="D284" s="125">
        <v>16.0</v>
      </c>
      <c r="E284" s="37"/>
      <c r="F284" s="40"/>
      <c r="G284" s="40"/>
      <c r="H284" s="40">
        <f t="shared" ref="H284:H285" si="43">D284</f>
        <v>16</v>
      </c>
      <c r="I284" s="378"/>
      <c r="J284" s="43">
        <f t="shared" ref="J284:J285" si="44">H284</f>
        <v>16</v>
      </c>
      <c r="K284" s="46"/>
    </row>
    <row r="285" ht="19.5" customHeight="1">
      <c r="A285" s="291" t="s">
        <v>1182</v>
      </c>
      <c r="B285" s="49" t="s">
        <v>326</v>
      </c>
      <c r="C285" s="46" t="s">
        <v>106</v>
      </c>
      <c r="D285" s="125">
        <v>16.0</v>
      </c>
      <c r="E285" s="37"/>
      <c r="F285" s="40"/>
      <c r="G285" s="40"/>
      <c r="H285" s="40">
        <f t="shared" si="43"/>
        <v>16</v>
      </c>
      <c r="I285" s="378"/>
      <c r="J285" s="43">
        <f t="shared" si="44"/>
        <v>16</v>
      </c>
      <c r="K285" s="46"/>
    </row>
    <row r="286" ht="19.5" customHeight="1">
      <c r="A286" s="70"/>
      <c r="C286" s="12"/>
      <c r="D286" s="87"/>
      <c r="F286" s="14"/>
      <c r="G286" s="14"/>
      <c r="H286" s="14"/>
      <c r="I286" s="356"/>
      <c r="J286" s="14"/>
      <c r="K286" s="12"/>
    </row>
    <row r="287" ht="19.5" customHeight="1">
      <c r="A287" s="221"/>
      <c r="C287" s="12"/>
      <c r="D287" s="87"/>
      <c r="F287" s="14"/>
      <c r="G287" s="14"/>
      <c r="H287" s="14"/>
      <c r="I287" s="356"/>
      <c r="J287" s="14"/>
      <c r="K287" s="12"/>
    </row>
    <row r="288" ht="19.5" customHeight="1">
      <c r="A288" s="221"/>
      <c r="C288" s="12"/>
      <c r="D288" s="87"/>
      <c r="F288" s="14"/>
      <c r="G288" s="14"/>
      <c r="H288" s="14"/>
      <c r="I288" s="356"/>
      <c r="J288" s="14"/>
      <c r="K288" s="12"/>
    </row>
    <row r="289" ht="19.5" customHeight="1">
      <c r="A289" s="221"/>
      <c r="C289" s="12"/>
      <c r="D289" s="87"/>
      <c r="F289" s="14"/>
      <c r="G289" s="14"/>
      <c r="H289" s="14"/>
      <c r="I289" s="356"/>
      <c r="J289" s="14"/>
      <c r="K289" s="12"/>
    </row>
    <row r="290" ht="19.5" customHeight="1">
      <c r="A290" s="221"/>
      <c r="C290" s="12"/>
      <c r="D290" s="391"/>
      <c r="F290" s="14"/>
      <c r="G290" s="14"/>
      <c r="H290" s="14"/>
      <c r="I290" s="356"/>
      <c r="J290" s="14"/>
      <c r="K290" s="12"/>
    </row>
    <row r="291" ht="19.5" customHeight="1">
      <c r="A291" s="221"/>
      <c r="C291" s="12"/>
      <c r="D291" s="87"/>
      <c r="F291" s="14"/>
      <c r="G291" s="14"/>
      <c r="H291" s="14"/>
      <c r="I291" s="356"/>
      <c r="J291" s="14"/>
      <c r="K291" s="12"/>
    </row>
    <row r="292" ht="19.5" customHeight="1">
      <c r="A292" s="221"/>
      <c r="C292" s="12"/>
      <c r="D292" s="87"/>
      <c r="F292" s="14"/>
      <c r="G292" s="14"/>
      <c r="H292" s="14"/>
      <c r="I292" s="356"/>
      <c r="J292" s="14"/>
      <c r="K292" s="12"/>
    </row>
    <row r="293" ht="19.5" customHeight="1">
      <c r="A293" s="221"/>
      <c r="C293" s="12"/>
      <c r="D293" s="87"/>
      <c r="F293" s="14"/>
      <c r="G293" s="14"/>
      <c r="H293" s="14"/>
      <c r="I293" s="356"/>
      <c r="J293" s="14"/>
      <c r="K293" s="12"/>
    </row>
    <row r="294" ht="19.5" customHeight="1">
      <c r="A294" s="221"/>
      <c r="C294" s="12"/>
      <c r="D294" s="87"/>
      <c r="F294" s="14"/>
      <c r="G294" s="14"/>
      <c r="H294" s="14"/>
      <c r="I294" s="356"/>
      <c r="J294" s="14"/>
      <c r="K294" s="12"/>
    </row>
    <row r="295" ht="19.5" customHeight="1">
      <c r="A295" s="221"/>
      <c r="C295" s="12"/>
      <c r="D295" s="87"/>
      <c r="F295" s="14"/>
      <c r="G295" s="14"/>
      <c r="H295" s="14"/>
      <c r="I295" s="356"/>
      <c r="J295" s="14"/>
      <c r="K295" s="12"/>
    </row>
    <row r="296" ht="19.5" customHeight="1">
      <c r="A296" s="221"/>
      <c r="C296" s="12"/>
      <c r="D296" s="87"/>
      <c r="F296" s="14"/>
      <c r="G296" s="14"/>
      <c r="H296" s="14"/>
      <c r="I296" s="356"/>
      <c r="J296" s="14"/>
      <c r="K296" s="12"/>
    </row>
    <row r="297" ht="19.5" customHeight="1">
      <c r="A297" s="221"/>
      <c r="C297" s="12"/>
      <c r="D297" s="87"/>
      <c r="F297" s="14"/>
      <c r="G297" s="14"/>
      <c r="H297" s="14"/>
      <c r="I297" s="356"/>
      <c r="J297" s="14"/>
      <c r="K297" s="12"/>
    </row>
    <row r="298" ht="19.5" customHeight="1">
      <c r="A298" s="221"/>
      <c r="C298" s="12"/>
      <c r="D298" s="87"/>
      <c r="F298" s="14"/>
      <c r="G298" s="14"/>
      <c r="H298" s="14"/>
      <c r="I298" s="356"/>
      <c r="J298" s="14"/>
      <c r="K298" s="12"/>
    </row>
    <row r="299" ht="19.5" customHeight="1">
      <c r="A299" s="221"/>
      <c r="C299" s="12"/>
      <c r="D299" s="87"/>
      <c r="F299" s="14"/>
      <c r="G299" s="14"/>
      <c r="H299" s="14"/>
      <c r="I299" s="356"/>
      <c r="J299" s="14"/>
      <c r="K299" s="12"/>
    </row>
    <row r="300" ht="19.5" customHeight="1">
      <c r="A300" s="221"/>
      <c r="C300" s="12"/>
      <c r="D300" s="87"/>
      <c r="F300" s="14"/>
      <c r="G300" s="14"/>
      <c r="H300" s="14"/>
      <c r="I300" s="356"/>
      <c r="J300" s="14"/>
      <c r="K300" s="12"/>
    </row>
    <row r="301" ht="19.5" customHeight="1">
      <c r="A301" s="221"/>
      <c r="C301" s="12"/>
      <c r="D301" s="87"/>
      <c r="F301" s="14"/>
      <c r="G301" s="14"/>
      <c r="H301" s="14"/>
      <c r="I301" s="356"/>
      <c r="J301" s="14"/>
      <c r="K301" s="12"/>
    </row>
    <row r="302" ht="19.5" customHeight="1">
      <c r="A302" s="221"/>
      <c r="C302" s="12"/>
      <c r="D302" s="87"/>
      <c r="F302" s="14"/>
      <c r="G302" s="14"/>
      <c r="H302" s="14"/>
      <c r="I302" s="356"/>
      <c r="J302" s="14"/>
      <c r="K302" s="12"/>
    </row>
    <row r="303" ht="19.5" customHeight="1">
      <c r="A303" s="221"/>
      <c r="C303" s="12"/>
      <c r="D303" s="87"/>
      <c r="F303" s="14"/>
      <c r="G303" s="14"/>
      <c r="H303" s="14"/>
      <c r="I303" s="356"/>
      <c r="J303" s="14"/>
      <c r="K303" s="12"/>
    </row>
    <row r="304" ht="19.5" customHeight="1">
      <c r="A304" s="221"/>
      <c r="C304" s="12"/>
      <c r="D304" s="87"/>
      <c r="F304" s="14"/>
      <c r="G304" s="14"/>
      <c r="H304" s="14"/>
      <c r="I304" s="356"/>
      <c r="J304" s="14"/>
      <c r="K304" s="12"/>
    </row>
    <row r="305" ht="19.5" customHeight="1">
      <c r="A305" s="221"/>
      <c r="C305" s="12"/>
      <c r="D305" s="87"/>
      <c r="F305" s="14"/>
      <c r="G305" s="14"/>
      <c r="H305" s="14"/>
      <c r="I305" s="356"/>
      <c r="J305" s="14"/>
      <c r="K305" s="12"/>
    </row>
    <row r="306" ht="19.5" customHeight="1">
      <c r="A306" s="221"/>
      <c r="C306" s="12"/>
      <c r="D306" s="87"/>
      <c r="F306" s="14"/>
      <c r="G306" s="14"/>
      <c r="H306" s="14"/>
      <c r="I306" s="356"/>
      <c r="J306" s="14"/>
      <c r="K306" s="12"/>
    </row>
    <row r="307" ht="19.5" customHeight="1">
      <c r="A307" s="221"/>
      <c r="C307" s="12"/>
      <c r="D307" s="87"/>
      <c r="F307" s="14"/>
      <c r="G307" s="14"/>
      <c r="H307" s="14"/>
      <c r="I307" s="356"/>
      <c r="J307" s="14"/>
      <c r="K307" s="12"/>
    </row>
    <row r="308" ht="19.5" customHeight="1">
      <c r="A308" s="221"/>
      <c r="C308" s="12"/>
      <c r="D308" s="87"/>
      <c r="F308" s="14"/>
      <c r="G308" s="14"/>
      <c r="H308" s="14"/>
      <c r="I308" s="356"/>
      <c r="J308" s="14"/>
      <c r="K308" s="12"/>
    </row>
    <row r="309" ht="19.5" customHeight="1">
      <c r="A309" s="221"/>
      <c r="C309" s="12"/>
      <c r="D309" s="87"/>
      <c r="F309" s="14"/>
      <c r="G309" s="14"/>
      <c r="H309" s="14"/>
      <c r="I309" s="356"/>
      <c r="J309" s="14"/>
      <c r="K309" s="12"/>
    </row>
    <row r="310" ht="19.5" customHeight="1">
      <c r="A310" s="221"/>
      <c r="C310" s="12"/>
      <c r="D310" s="87"/>
      <c r="F310" s="14"/>
      <c r="G310" s="14"/>
      <c r="H310" s="14"/>
      <c r="I310" s="356"/>
      <c r="J310" s="14"/>
      <c r="K310" s="12"/>
    </row>
    <row r="311" ht="19.5" customHeight="1">
      <c r="A311" s="221"/>
      <c r="C311" s="12"/>
      <c r="D311" s="87"/>
      <c r="F311" s="14"/>
      <c r="G311" s="14"/>
      <c r="H311" s="14"/>
      <c r="I311" s="356"/>
      <c r="J311" s="14"/>
      <c r="K311" s="12"/>
    </row>
    <row r="312" ht="19.5" customHeight="1">
      <c r="A312" s="221"/>
      <c r="C312" s="12"/>
      <c r="D312" s="87"/>
      <c r="F312" s="14"/>
      <c r="G312" s="14"/>
      <c r="H312" s="14"/>
      <c r="I312" s="356"/>
      <c r="J312" s="14"/>
      <c r="K312" s="12"/>
    </row>
    <row r="313" ht="19.5" customHeight="1">
      <c r="A313" s="221"/>
      <c r="C313" s="12"/>
      <c r="D313" s="87"/>
      <c r="F313" s="14"/>
      <c r="G313" s="14"/>
      <c r="H313" s="14"/>
      <c r="I313" s="356"/>
      <c r="J313" s="14"/>
      <c r="K313" s="12"/>
    </row>
    <row r="314" ht="19.5" customHeight="1">
      <c r="A314" s="221"/>
      <c r="C314" s="12"/>
      <c r="D314" s="87"/>
      <c r="F314" s="14"/>
      <c r="G314" s="14"/>
      <c r="H314" s="14"/>
      <c r="I314" s="356"/>
      <c r="J314" s="14"/>
      <c r="K314" s="12"/>
    </row>
    <row r="315" ht="19.5" customHeight="1">
      <c r="A315" s="221"/>
      <c r="C315" s="12"/>
      <c r="D315" s="87"/>
      <c r="F315" s="14"/>
      <c r="G315" s="14"/>
      <c r="H315" s="14"/>
      <c r="I315" s="356"/>
      <c r="J315" s="14"/>
      <c r="K315" s="12"/>
    </row>
    <row r="316" ht="19.5" customHeight="1">
      <c r="A316" s="221"/>
      <c r="C316" s="12"/>
      <c r="D316" s="87"/>
      <c r="F316" s="14"/>
      <c r="G316" s="14"/>
      <c r="H316" s="14"/>
      <c r="I316" s="356"/>
      <c r="J316" s="14"/>
      <c r="K316" s="12"/>
    </row>
    <row r="317" ht="19.5" customHeight="1">
      <c r="A317" s="221"/>
      <c r="C317" s="12"/>
      <c r="D317" s="87"/>
      <c r="F317" s="14"/>
      <c r="G317" s="14"/>
      <c r="H317" s="14"/>
      <c r="I317" s="356"/>
      <c r="J317" s="14"/>
      <c r="K317" s="12"/>
    </row>
    <row r="318" ht="19.5" customHeight="1">
      <c r="A318" s="221"/>
      <c r="C318" s="12"/>
      <c r="D318" s="87"/>
      <c r="F318" s="14"/>
      <c r="G318" s="14"/>
      <c r="H318" s="14"/>
      <c r="I318" s="356"/>
      <c r="J318" s="14"/>
      <c r="K318" s="12"/>
    </row>
    <row r="319" ht="19.5" customHeight="1">
      <c r="A319" s="221"/>
      <c r="C319" s="12"/>
      <c r="D319" s="87"/>
      <c r="F319" s="14"/>
      <c r="G319" s="14"/>
      <c r="H319" s="14"/>
      <c r="I319" s="356"/>
      <c r="J319" s="14"/>
      <c r="K319" s="12"/>
    </row>
    <row r="320" ht="19.5" customHeight="1">
      <c r="A320" s="221"/>
      <c r="C320" s="12"/>
      <c r="D320" s="87"/>
      <c r="F320" s="14"/>
      <c r="G320" s="14"/>
      <c r="H320" s="14"/>
      <c r="I320" s="356"/>
      <c r="J320" s="14"/>
      <c r="K320" s="12"/>
    </row>
    <row r="321" ht="19.5" customHeight="1">
      <c r="A321" s="221"/>
      <c r="C321" s="12"/>
      <c r="D321" s="87"/>
      <c r="F321" s="14"/>
      <c r="G321" s="14"/>
      <c r="H321" s="14"/>
      <c r="I321" s="356"/>
      <c r="J321" s="14"/>
      <c r="K321" s="12"/>
    </row>
    <row r="322" ht="19.5" customHeight="1">
      <c r="A322" s="221"/>
      <c r="C322" s="12"/>
      <c r="D322" s="87"/>
      <c r="F322" s="14"/>
      <c r="G322" s="14"/>
      <c r="H322" s="14"/>
      <c r="I322" s="356"/>
      <c r="J322" s="14"/>
      <c r="K322" s="12"/>
    </row>
    <row r="323" ht="19.5" customHeight="1">
      <c r="A323" s="221"/>
      <c r="C323" s="12"/>
      <c r="D323" s="87"/>
      <c r="F323" s="14"/>
      <c r="G323" s="14"/>
      <c r="H323" s="14"/>
      <c r="I323" s="356"/>
      <c r="J323" s="14"/>
      <c r="K323" s="12"/>
    </row>
    <row r="324" ht="19.5" customHeight="1">
      <c r="A324" s="221"/>
      <c r="C324" s="12"/>
      <c r="D324" s="87"/>
      <c r="F324" s="14"/>
      <c r="G324" s="14"/>
      <c r="H324" s="14"/>
      <c r="I324" s="356"/>
      <c r="J324" s="14"/>
      <c r="K324" s="12"/>
    </row>
    <row r="325" ht="19.5" customHeight="1">
      <c r="A325" s="221"/>
      <c r="C325" s="12"/>
      <c r="D325" s="87"/>
      <c r="F325" s="14"/>
      <c r="G325" s="14"/>
      <c r="H325" s="14"/>
      <c r="I325" s="356"/>
      <c r="J325" s="14"/>
      <c r="K325" s="12"/>
    </row>
    <row r="326" ht="19.5" customHeight="1">
      <c r="A326" s="221"/>
      <c r="C326" s="12"/>
      <c r="D326" s="87"/>
      <c r="F326" s="14"/>
      <c r="G326" s="14"/>
      <c r="H326" s="14"/>
      <c r="I326" s="356"/>
      <c r="J326" s="14"/>
      <c r="K326" s="12"/>
    </row>
    <row r="327" ht="19.5" customHeight="1">
      <c r="A327" s="221"/>
      <c r="C327" s="12"/>
      <c r="D327" s="87"/>
      <c r="F327" s="14"/>
      <c r="G327" s="14"/>
      <c r="H327" s="14"/>
      <c r="I327" s="356"/>
      <c r="J327" s="14"/>
      <c r="K327" s="12"/>
    </row>
    <row r="328" ht="19.5" customHeight="1">
      <c r="A328" s="221"/>
      <c r="C328" s="12"/>
      <c r="D328" s="87"/>
      <c r="F328" s="14"/>
      <c r="G328" s="14"/>
      <c r="H328" s="14"/>
      <c r="I328" s="356"/>
      <c r="J328" s="14"/>
      <c r="K328" s="12"/>
    </row>
    <row r="329" ht="19.5" customHeight="1">
      <c r="A329" s="221"/>
      <c r="C329" s="12"/>
      <c r="D329" s="87"/>
      <c r="F329" s="14"/>
      <c r="G329" s="14"/>
      <c r="H329" s="14"/>
      <c r="I329" s="356"/>
      <c r="J329" s="14"/>
      <c r="K329" s="12"/>
    </row>
    <row r="330" ht="19.5" customHeight="1">
      <c r="A330" s="221"/>
      <c r="C330" s="12"/>
      <c r="D330" s="87"/>
      <c r="F330" s="14"/>
      <c r="G330" s="14"/>
      <c r="H330" s="14"/>
      <c r="I330" s="356"/>
      <c r="J330" s="14"/>
      <c r="K330" s="12"/>
    </row>
    <row r="331" ht="19.5" customHeight="1">
      <c r="A331" s="221"/>
      <c r="C331" s="12"/>
      <c r="D331" s="87"/>
      <c r="F331" s="14"/>
      <c r="G331" s="14"/>
      <c r="H331" s="14"/>
      <c r="I331" s="356"/>
      <c r="J331" s="14"/>
      <c r="K331" s="12"/>
    </row>
    <row r="332" ht="19.5" customHeight="1">
      <c r="A332" s="221"/>
      <c r="C332" s="12"/>
      <c r="D332" s="87"/>
      <c r="F332" s="14"/>
      <c r="G332" s="14"/>
      <c r="H332" s="14"/>
      <c r="I332" s="356"/>
      <c r="J332" s="14"/>
      <c r="K332" s="12"/>
    </row>
    <row r="333" ht="19.5" customHeight="1">
      <c r="A333" s="221"/>
      <c r="C333" s="12"/>
      <c r="D333" s="87"/>
      <c r="F333" s="14"/>
      <c r="G333" s="14"/>
      <c r="H333" s="14"/>
      <c r="I333" s="356"/>
      <c r="J333" s="14"/>
      <c r="K333" s="12"/>
    </row>
    <row r="334" ht="19.5" customHeight="1">
      <c r="A334" s="221"/>
      <c r="C334" s="12"/>
      <c r="D334" s="87"/>
      <c r="F334" s="14"/>
      <c r="G334" s="14"/>
      <c r="H334" s="14"/>
      <c r="I334" s="356"/>
      <c r="J334" s="14"/>
      <c r="K334" s="12"/>
    </row>
    <row r="335" ht="19.5" customHeight="1">
      <c r="A335" s="221"/>
      <c r="C335" s="12"/>
      <c r="D335" s="87"/>
      <c r="F335" s="14"/>
      <c r="G335" s="14"/>
      <c r="H335" s="14"/>
      <c r="I335" s="356"/>
      <c r="J335" s="14"/>
      <c r="K335" s="12"/>
    </row>
    <row r="336" ht="19.5" customHeight="1">
      <c r="A336" s="221"/>
      <c r="C336" s="12"/>
      <c r="D336" s="87"/>
      <c r="F336" s="14"/>
      <c r="G336" s="14"/>
      <c r="H336" s="14"/>
      <c r="I336" s="356"/>
      <c r="J336" s="14"/>
      <c r="K336" s="12"/>
    </row>
    <row r="337" ht="19.5" customHeight="1">
      <c r="A337" s="221"/>
      <c r="C337" s="12"/>
      <c r="D337" s="87"/>
      <c r="F337" s="14"/>
      <c r="G337" s="14"/>
      <c r="H337" s="14"/>
      <c r="I337" s="356"/>
      <c r="J337" s="14"/>
      <c r="K337" s="12"/>
    </row>
    <row r="338" ht="19.5" customHeight="1">
      <c r="A338" s="221"/>
      <c r="C338" s="12"/>
      <c r="D338" s="87"/>
      <c r="F338" s="14"/>
      <c r="G338" s="14"/>
      <c r="H338" s="14"/>
      <c r="I338" s="356"/>
      <c r="J338" s="14"/>
      <c r="K338" s="12"/>
    </row>
    <row r="339" ht="19.5" customHeight="1">
      <c r="A339" s="221"/>
      <c r="C339" s="12"/>
      <c r="D339" s="87"/>
      <c r="F339" s="14"/>
      <c r="G339" s="14"/>
      <c r="H339" s="14"/>
      <c r="I339" s="356"/>
      <c r="J339" s="14"/>
      <c r="K339" s="12"/>
    </row>
    <row r="340" ht="19.5" customHeight="1">
      <c r="A340" s="221"/>
      <c r="C340" s="12"/>
      <c r="D340" s="87"/>
      <c r="F340" s="14"/>
      <c r="G340" s="14"/>
      <c r="H340" s="14"/>
      <c r="I340" s="356"/>
      <c r="J340" s="14"/>
      <c r="K340" s="12"/>
    </row>
    <row r="341" ht="19.5" customHeight="1">
      <c r="A341" s="221"/>
      <c r="C341" s="12"/>
      <c r="D341" s="87"/>
      <c r="F341" s="14"/>
      <c r="G341" s="14"/>
      <c r="H341" s="14"/>
      <c r="I341" s="356"/>
      <c r="J341" s="14"/>
      <c r="K341" s="12"/>
    </row>
    <row r="342" ht="19.5" customHeight="1">
      <c r="A342" s="221"/>
      <c r="C342" s="12"/>
      <c r="D342" s="87"/>
      <c r="F342" s="14"/>
      <c r="G342" s="14"/>
      <c r="H342" s="14"/>
      <c r="I342" s="356"/>
      <c r="J342" s="14"/>
      <c r="K342" s="12"/>
    </row>
    <row r="343" ht="19.5" customHeight="1">
      <c r="A343" s="221"/>
      <c r="C343" s="12"/>
      <c r="D343" s="87"/>
      <c r="F343" s="14"/>
      <c r="G343" s="14"/>
      <c r="H343" s="14"/>
      <c r="I343" s="356"/>
      <c r="J343" s="14"/>
      <c r="K343" s="12"/>
    </row>
    <row r="344" ht="19.5" customHeight="1">
      <c r="A344" s="221"/>
      <c r="C344" s="12"/>
      <c r="D344" s="87"/>
      <c r="F344" s="14"/>
      <c r="G344" s="14"/>
      <c r="H344" s="14"/>
      <c r="I344" s="356"/>
      <c r="J344" s="14"/>
      <c r="K344" s="12"/>
    </row>
    <row r="345" ht="19.5" customHeight="1">
      <c r="A345" s="221"/>
      <c r="C345" s="12"/>
      <c r="D345" s="87"/>
      <c r="F345" s="14"/>
      <c r="G345" s="14"/>
      <c r="H345" s="14"/>
      <c r="I345" s="356"/>
      <c r="J345" s="14"/>
      <c r="K345" s="12"/>
    </row>
    <row r="346" ht="19.5" customHeight="1">
      <c r="A346" s="221"/>
      <c r="C346" s="12"/>
      <c r="D346" s="87"/>
      <c r="F346" s="14"/>
      <c r="G346" s="14"/>
      <c r="H346" s="14"/>
      <c r="I346" s="356"/>
      <c r="J346" s="14"/>
      <c r="K346" s="12"/>
    </row>
    <row r="347" ht="19.5" customHeight="1">
      <c r="A347" s="221"/>
      <c r="C347" s="12"/>
      <c r="D347" s="87"/>
      <c r="F347" s="14"/>
      <c r="G347" s="14"/>
      <c r="H347" s="14"/>
      <c r="I347" s="356"/>
      <c r="J347" s="14"/>
      <c r="K347" s="12"/>
    </row>
    <row r="348" ht="19.5" customHeight="1">
      <c r="A348" s="221"/>
      <c r="C348" s="12"/>
      <c r="D348" s="87"/>
      <c r="F348" s="14"/>
      <c r="G348" s="14"/>
      <c r="H348" s="14"/>
      <c r="I348" s="356"/>
      <c r="J348" s="14"/>
      <c r="K348" s="12"/>
    </row>
    <row r="349" ht="19.5" customHeight="1">
      <c r="A349" s="221"/>
      <c r="C349" s="12"/>
      <c r="D349" s="87"/>
      <c r="F349" s="14"/>
      <c r="G349" s="14"/>
      <c r="H349" s="14"/>
      <c r="I349" s="356"/>
      <c r="J349" s="14"/>
      <c r="K349" s="12"/>
    </row>
    <row r="350" ht="19.5" customHeight="1">
      <c r="A350" s="221"/>
      <c r="C350" s="12"/>
      <c r="D350" s="87"/>
      <c r="F350" s="14"/>
      <c r="G350" s="14"/>
      <c r="H350" s="14"/>
      <c r="I350" s="356"/>
      <c r="J350" s="14"/>
      <c r="K350" s="12"/>
    </row>
    <row r="351" ht="19.5" customHeight="1">
      <c r="A351" s="221"/>
      <c r="C351" s="12"/>
      <c r="D351" s="87"/>
      <c r="F351" s="14"/>
      <c r="G351" s="14"/>
      <c r="H351" s="14"/>
      <c r="I351" s="356"/>
      <c r="J351" s="14"/>
      <c r="K351" s="12"/>
    </row>
    <row r="352" ht="19.5" customHeight="1">
      <c r="A352" s="221"/>
      <c r="C352" s="12"/>
      <c r="D352" s="87"/>
      <c r="F352" s="14"/>
      <c r="G352" s="14"/>
      <c r="H352" s="14"/>
      <c r="I352" s="356"/>
      <c r="J352" s="14"/>
      <c r="K352" s="12"/>
    </row>
    <row r="353" ht="19.5" customHeight="1">
      <c r="A353" s="221"/>
      <c r="C353" s="12"/>
      <c r="D353" s="87"/>
      <c r="F353" s="14"/>
      <c r="G353" s="14"/>
      <c r="H353" s="14"/>
      <c r="I353" s="356"/>
      <c r="J353" s="14"/>
      <c r="K353" s="12"/>
    </row>
    <row r="354" ht="19.5" customHeight="1">
      <c r="A354" s="221"/>
      <c r="C354" s="12"/>
      <c r="D354" s="87"/>
      <c r="F354" s="14"/>
      <c r="G354" s="14"/>
      <c r="H354" s="14"/>
      <c r="I354" s="356"/>
      <c r="J354" s="14"/>
      <c r="K354" s="12"/>
    </row>
    <row r="355" ht="19.5" customHeight="1">
      <c r="A355" s="221"/>
      <c r="C355" s="12"/>
      <c r="D355" s="87"/>
      <c r="F355" s="14"/>
      <c r="G355" s="14"/>
      <c r="H355" s="14"/>
      <c r="I355" s="356"/>
      <c r="J355" s="14"/>
      <c r="K355" s="12"/>
    </row>
    <row r="356" ht="19.5" customHeight="1">
      <c r="A356" s="221"/>
      <c r="C356" s="12"/>
      <c r="D356" s="87"/>
      <c r="F356" s="14"/>
      <c r="G356" s="14"/>
      <c r="H356" s="14"/>
      <c r="I356" s="356"/>
      <c r="J356" s="14"/>
      <c r="K356" s="12"/>
    </row>
    <row r="357" ht="19.5" customHeight="1">
      <c r="A357" s="221"/>
      <c r="C357" s="12"/>
      <c r="D357" s="87"/>
      <c r="F357" s="14"/>
      <c r="G357" s="14"/>
      <c r="H357" s="14"/>
      <c r="I357" s="356"/>
      <c r="J357" s="14"/>
      <c r="K357" s="12"/>
    </row>
    <row r="358" ht="19.5" customHeight="1">
      <c r="A358" s="221"/>
      <c r="C358" s="12"/>
      <c r="D358" s="87"/>
      <c r="F358" s="14"/>
      <c r="G358" s="14"/>
      <c r="H358" s="14"/>
      <c r="I358" s="356"/>
      <c r="J358" s="14"/>
      <c r="K358" s="12"/>
    </row>
    <row r="359" ht="19.5" customHeight="1">
      <c r="A359" s="221"/>
      <c r="C359" s="12"/>
      <c r="D359" s="87"/>
      <c r="F359" s="14"/>
      <c r="G359" s="14"/>
      <c r="H359" s="14"/>
      <c r="I359" s="356"/>
      <c r="J359" s="14"/>
      <c r="K359" s="12"/>
    </row>
    <row r="360" ht="19.5" customHeight="1">
      <c r="A360" s="221"/>
      <c r="C360" s="12"/>
      <c r="D360" s="87"/>
      <c r="F360" s="14"/>
      <c r="G360" s="14"/>
      <c r="H360" s="14"/>
      <c r="I360" s="356"/>
      <c r="J360" s="14"/>
      <c r="K360" s="12"/>
    </row>
    <row r="361" ht="19.5" customHeight="1">
      <c r="A361" s="221"/>
      <c r="C361" s="12"/>
      <c r="D361" s="87"/>
      <c r="F361" s="14"/>
      <c r="G361" s="14"/>
      <c r="H361" s="14"/>
      <c r="I361" s="356"/>
      <c r="J361" s="14"/>
      <c r="K361" s="12"/>
    </row>
    <row r="362" ht="19.5" customHeight="1">
      <c r="A362" s="221"/>
      <c r="C362" s="12"/>
      <c r="D362" s="87"/>
      <c r="F362" s="14"/>
      <c r="G362" s="14"/>
      <c r="H362" s="14"/>
      <c r="I362" s="356"/>
      <c r="J362" s="14"/>
      <c r="K362" s="12"/>
    </row>
    <row r="363" ht="19.5" customHeight="1">
      <c r="A363" s="221"/>
      <c r="C363" s="12"/>
      <c r="D363" s="87"/>
      <c r="F363" s="14"/>
      <c r="G363" s="14"/>
      <c r="H363" s="14"/>
      <c r="I363" s="356"/>
      <c r="J363" s="14"/>
      <c r="K363" s="12"/>
    </row>
    <row r="364" ht="19.5" customHeight="1">
      <c r="A364" s="221"/>
      <c r="C364" s="12"/>
      <c r="D364" s="87"/>
      <c r="F364" s="14"/>
      <c r="G364" s="14"/>
      <c r="H364" s="14"/>
      <c r="I364" s="356"/>
      <c r="J364" s="14"/>
      <c r="K364" s="12"/>
    </row>
    <row r="365" ht="19.5" customHeight="1">
      <c r="A365" s="221"/>
      <c r="C365" s="12"/>
      <c r="D365" s="87"/>
      <c r="F365" s="14"/>
      <c r="G365" s="14"/>
      <c r="H365" s="14"/>
      <c r="I365" s="356"/>
      <c r="J365" s="14"/>
      <c r="K365" s="12"/>
    </row>
    <row r="366" ht="19.5" customHeight="1">
      <c r="A366" s="221"/>
      <c r="C366" s="12"/>
      <c r="D366" s="87"/>
      <c r="F366" s="14"/>
      <c r="G366" s="14"/>
      <c r="H366" s="14"/>
      <c r="I366" s="356"/>
      <c r="J366" s="14"/>
      <c r="K366" s="12"/>
    </row>
    <row r="367" ht="19.5" customHeight="1">
      <c r="A367" s="221"/>
      <c r="C367" s="12"/>
      <c r="D367" s="87"/>
      <c r="F367" s="14"/>
      <c r="G367" s="14"/>
      <c r="H367" s="14"/>
      <c r="I367" s="356"/>
      <c r="J367" s="14"/>
      <c r="K367" s="12"/>
    </row>
    <row r="368" ht="19.5" customHeight="1">
      <c r="A368" s="221"/>
      <c r="C368" s="12"/>
      <c r="D368" s="87"/>
      <c r="F368" s="14"/>
      <c r="G368" s="14"/>
      <c r="H368" s="14"/>
      <c r="I368" s="356"/>
      <c r="J368" s="14"/>
      <c r="K368" s="12"/>
    </row>
    <row r="369" ht="19.5" customHeight="1">
      <c r="A369" s="221"/>
      <c r="C369" s="12"/>
      <c r="D369" s="87"/>
      <c r="F369" s="14"/>
      <c r="G369" s="14"/>
      <c r="H369" s="14"/>
      <c r="I369" s="356"/>
      <c r="J369" s="14"/>
      <c r="K369" s="12"/>
    </row>
    <row r="370" ht="19.5" customHeight="1">
      <c r="A370" s="221"/>
      <c r="C370" s="12"/>
      <c r="D370" s="87"/>
      <c r="F370" s="14"/>
      <c r="G370" s="14"/>
      <c r="H370" s="14"/>
      <c r="I370" s="356"/>
      <c r="J370" s="14"/>
      <c r="K370" s="12"/>
    </row>
    <row r="371" ht="19.5" customHeight="1">
      <c r="A371" s="221"/>
      <c r="C371" s="12"/>
      <c r="D371" s="87"/>
      <c r="F371" s="14"/>
      <c r="G371" s="14"/>
      <c r="H371" s="14"/>
      <c r="I371" s="356"/>
      <c r="J371" s="14"/>
      <c r="K371" s="12"/>
    </row>
    <row r="372" ht="19.5" customHeight="1">
      <c r="A372" s="221"/>
      <c r="C372" s="12"/>
      <c r="D372" s="87"/>
      <c r="F372" s="14"/>
      <c r="G372" s="14"/>
      <c r="H372" s="14"/>
      <c r="I372" s="356"/>
      <c r="J372" s="14"/>
      <c r="K372" s="12"/>
    </row>
    <row r="373" ht="19.5" customHeight="1">
      <c r="A373" s="221"/>
      <c r="C373" s="12"/>
      <c r="D373" s="87"/>
      <c r="F373" s="14"/>
      <c r="G373" s="14"/>
      <c r="H373" s="14"/>
      <c r="I373" s="356"/>
      <c r="J373" s="14"/>
      <c r="K373" s="12"/>
    </row>
    <row r="374" ht="19.5" customHeight="1">
      <c r="A374" s="221"/>
      <c r="C374" s="12"/>
      <c r="D374" s="87"/>
      <c r="F374" s="14"/>
      <c r="G374" s="14"/>
      <c r="H374" s="14"/>
      <c r="I374" s="356"/>
      <c r="J374" s="14"/>
      <c r="K374" s="12"/>
    </row>
    <row r="375" ht="19.5" customHeight="1">
      <c r="A375" s="221"/>
      <c r="C375" s="12"/>
      <c r="D375" s="87"/>
      <c r="F375" s="14"/>
      <c r="G375" s="14"/>
      <c r="H375" s="14"/>
      <c r="I375" s="356"/>
      <c r="J375" s="14"/>
      <c r="K375" s="12"/>
    </row>
    <row r="376" ht="19.5" customHeight="1">
      <c r="A376" s="221"/>
      <c r="C376" s="12"/>
      <c r="D376" s="87"/>
      <c r="F376" s="14"/>
      <c r="G376" s="14"/>
      <c r="H376" s="14"/>
      <c r="I376" s="356"/>
      <c r="J376" s="14"/>
      <c r="K376" s="12"/>
    </row>
    <row r="377" ht="19.5" customHeight="1">
      <c r="A377" s="221"/>
      <c r="C377" s="12"/>
      <c r="D377" s="87"/>
      <c r="F377" s="14"/>
      <c r="G377" s="14"/>
      <c r="H377" s="14"/>
      <c r="I377" s="356"/>
      <c r="J377" s="14"/>
      <c r="K377" s="12"/>
    </row>
    <row r="378" ht="19.5" customHeight="1">
      <c r="A378" s="221"/>
      <c r="C378" s="12"/>
      <c r="D378" s="87"/>
      <c r="F378" s="14"/>
      <c r="G378" s="14"/>
      <c r="H378" s="14"/>
      <c r="I378" s="356"/>
      <c r="J378" s="14"/>
      <c r="K378" s="12"/>
    </row>
    <row r="379" ht="19.5" customHeight="1">
      <c r="A379" s="221"/>
      <c r="C379" s="12"/>
      <c r="D379" s="87"/>
      <c r="F379" s="14"/>
      <c r="G379" s="14"/>
      <c r="H379" s="14"/>
      <c r="I379" s="356"/>
      <c r="J379" s="14"/>
      <c r="K379" s="12"/>
    </row>
    <row r="380" ht="19.5" customHeight="1">
      <c r="A380" s="221"/>
      <c r="C380" s="12"/>
      <c r="D380" s="87"/>
      <c r="F380" s="14"/>
      <c r="G380" s="14"/>
      <c r="H380" s="14"/>
      <c r="I380" s="356"/>
      <c r="J380" s="14"/>
      <c r="K380" s="12"/>
    </row>
    <row r="381" ht="19.5" customHeight="1">
      <c r="A381" s="221"/>
      <c r="C381" s="12"/>
      <c r="D381" s="87"/>
      <c r="F381" s="14"/>
      <c r="G381" s="14"/>
      <c r="H381" s="14"/>
      <c r="I381" s="356"/>
      <c r="J381" s="14"/>
      <c r="K381" s="12"/>
    </row>
    <row r="382" ht="19.5" customHeight="1">
      <c r="A382" s="221"/>
      <c r="C382" s="12"/>
      <c r="D382" s="87"/>
      <c r="F382" s="14"/>
      <c r="G382" s="14"/>
      <c r="H382" s="14"/>
      <c r="I382" s="356"/>
      <c r="J382" s="14"/>
      <c r="K382" s="12"/>
    </row>
    <row r="383" ht="19.5" customHeight="1">
      <c r="A383" s="221"/>
      <c r="C383" s="12"/>
      <c r="D383" s="87"/>
      <c r="F383" s="14"/>
      <c r="G383" s="14"/>
      <c r="H383" s="14"/>
      <c r="I383" s="356"/>
      <c r="J383" s="14"/>
      <c r="K383" s="12"/>
    </row>
    <row r="384" ht="19.5" customHeight="1">
      <c r="A384" s="221"/>
      <c r="C384" s="12"/>
      <c r="D384" s="87"/>
      <c r="F384" s="14"/>
      <c r="G384" s="14"/>
      <c r="H384" s="14"/>
      <c r="I384" s="356"/>
      <c r="J384" s="14"/>
      <c r="K384" s="12"/>
    </row>
    <row r="385" ht="19.5" customHeight="1">
      <c r="A385" s="221"/>
      <c r="C385" s="12"/>
      <c r="D385" s="87"/>
      <c r="F385" s="14"/>
      <c r="G385" s="14"/>
      <c r="H385" s="14"/>
      <c r="I385" s="356"/>
      <c r="J385" s="14"/>
      <c r="K385" s="12"/>
    </row>
    <row r="386" ht="19.5" customHeight="1">
      <c r="A386" s="221"/>
      <c r="C386" s="12"/>
      <c r="D386" s="87"/>
      <c r="F386" s="14"/>
      <c r="G386" s="14"/>
      <c r="H386" s="14"/>
      <c r="I386" s="356"/>
      <c r="J386" s="14"/>
      <c r="K386" s="12"/>
    </row>
    <row r="387" ht="19.5" customHeight="1">
      <c r="A387" s="221"/>
      <c r="C387" s="12"/>
      <c r="D387" s="87"/>
      <c r="F387" s="14"/>
      <c r="G387" s="14"/>
      <c r="H387" s="14"/>
      <c r="I387" s="356"/>
      <c r="J387" s="14"/>
      <c r="K387" s="12"/>
    </row>
    <row r="388" ht="19.5" customHeight="1">
      <c r="A388" s="221"/>
      <c r="C388" s="12"/>
      <c r="D388" s="87"/>
      <c r="F388" s="14"/>
      <c r="G388" s="14"/>
      <c r="H388" s="14"/>
      <c r="I388" s="356"/>
      <c r="J388" s="14"/>
      <c r="K388" s="12"/>
    </row>
    <row r="389" ht="19.5" customHeight="1">
      <c r="A389" s="221"/>
      <c r="C389" s="12"/>
      <c r="D389" s="87"/>
      <c r="F389" s="14"/>
      <c r="G389" s="14"/>
      <c r="H389" s="14"/>
      <c r="I389" s="356"/>
      <c r="J389" s="14"/>
      <c r="K389" s="12"/>
    </row>
    <row r="390" ht="19.5" customHeight="1">
      <c r="A390" s="221"/>
      <c r="C390" s="12"/>
      <c r="D390" s="87"/>
      <c r="F390" s="14"/>
      <c r="G390" s="14"/>
      <c r="H390" s="14"/>
      <c r="I390" s="356"/>
      <c r="J390" s="14"/>
      <c r="K390" s="12"/>
    </row>
    <row r="391" ht="19.5" customHeight="1">
      <c r="A391" s="221"/>
      <c r="C391" s="12"/>
      <c r="D391" s="87"/>
      <c r="F391" s="14"/>
      <c r="G391" s="14"/>
      <c r="H391" s="14"/>
      <c r="I391" s="356"/>
      <c r="J391" s="14"/>
      <c r="K391" s="12"/>
    </row>
    <row r="392" ht="19.5" customHeight="1">
      <c r="A392" s="221"/>
      <c r="C392" s="12"/>
      <c r="D392" s="87"/>
      <c r="F392" s="14"/>
      <c r="G392" s="14"/>
      <c r="H392" s="14"/>
      <c r="I392" s="356"/>
      <c r="J392" s="14"/>
      <c r="K392" s="12"/>
    </row>
    <row r="393" ht="19.5" customHeight="1">
      <c r="A393" s="221"/>
      <c r="C393" s="12"/>
      <c r="D393" s="87"/>
      <c r="F393" s="14"/>
      <c r="G393" s="14"/>
      <c r="H393" s="14"/>
      <c r="I393" s="356"/>
      <c r="J393" s="14"/>
      <c r="K393" s="12"/>
    </row>
    <row r="394" ht="19.5" customHeight="1">
      <c r="A394" s="221"/>
      <c r="C394" s="12"/>
      <c r="D394" s="87"/>
      <c r="F394" s="14"/>
      <c r="G394" s="14"/>
      <c r="H394" s="14"/>
      <c r="I394" s="356"/>
      <c r="J394" s="14"/>
      <c r="K394" s="12"/>
    </row>
    <row r="395" ht="19.5" customHeight="1">
      <c r="A395" s="221"/>
      <c r="C395" s="12"/>
      <c r="D395" s="87"/>
      <c r="F395" s="14"/>
      <c r="G395" s="14"/>
      <c r="H395" s="14"/>
      <c r="I395" s="356"/>
      <c r="J395" s="14"/>
      <c r="K395" s="12"/>
    </row>
    <row r="396" ht="19.5" customHeight="1">
      <c r="A396" s="221"/>
      <c r="C396" s="12"/>
      <c r="D396" s="87"/>
      <c r="F396" s="14"/>
      <c r="G396" s="14"/>
      <c r="H396" s="14"/>
      <c r="I396" s="356"/>
      <c r="J396" s="14"/>
      <c r="K396" s="12"/>
    </row>
    <row r="397" ht="19.5" customHeight="1">
      <c r="A397" s="221"/>
      <c r="C397" s="12"/>
      <c r="D397" s="87"/>
      <c r="F397" s="14"/>
      <c r="G397" s="14"/>
      <c r="H397" s="14"/>
      <c r="I397" s="356"/>
      <c r="J397" s="14"/>
      <c r="K397" s="12"/>
    </row>
    <row r="398" ht="19.5" customHeight="1">
      <c r="A398" s="221"/>
      <c r="C398" s="12"/>
      <c r="D398" s="87"/>
      <c r="F398" s="14"/>
      <c r="G398" s="14"/>
      <c r="H398" s="14"/>
      <c r="I398" s="356"/>
      <c r="J398" s="14"/>
      <c r="K398" s="12"/>
    </row>
    <row r="399" ht="19.5" customHeight="1">
      <c r="A399" s="221"/>
      <c r="C399" s="12"/>
      <c r="D399" s="87"/>
      <c r="F399" s="14"/>
      <c r="G399" s="14"/>
      <c r="H399" s="14"/>
      <c r="I399" s="356"/>
      <c r="J399" s="14"/>
      <c r="K399" s="12"/>
    </row>
    <row r="400" ht="19.5" customHeight="1">
      <c r="A400" s="221"/>
      <c r="C400" s="12"/>
      <c r="D400" s="87"/>
      <c r="F400" s="14"/>
      <c r="G400" s="14"/>
      <c r="H400" s="14"/>
      <c r="I400" s="356"/>
      <c r="J400" s="14"/>
      <c r="K400" s="12"/>
    </row>
    <row r="401" ht="19.5" customHeight="1">
      <c r="A401" s="221"/>
      <c r="C401" s="12"/>
      <c r="D401" s="87"/>
      <c r="F401" s="14"/>
      <c r="G401" s="14"/>
      <c r="H401" s="14"/>
      <c r="I401" s="356"/>
      <c r="J401" s="14"/>
      <c r="K401" s="12"/>
    </row>
    <row r="402" ht="19.5" customHeight="1">
      <c r="A402" s="221"/>
      <c r="C402" s="12"/>
      <c r="D402" s="87"/>
      <c r="F402" s="14"/>
      <c r="G402" s="14"/>
      <c r="H402" s="14"/>
      <c r="I402" s="356"/>
      <c r="J402" s="14"/>
      <c r="K402" s="12"/>
    </row>
    <row r="403" ht="19.5" customHeight="1">
      <c r="A403" s="221"/>
      <c r="C403" s="12"/>
      <c r="D403" s="87"/>
      <c r="F403" s="14"/>
      <c r="G403" s="14"/>
      <c r="H403" s="14"/>
      <c r="I403" s="356"/>
      <c r="J403" s="14"/>
      <c r="K403" s="12"/>
    </row>
    <row r="404" ht="19.5" customHeight="1">
      <c r="A404" s="221"/>
      <c r="C404" s="12"/>
      <c r="D404" s="87"/>
      <c r="F404" s="14"/>
      <c r="G404" s="14"/>
      <c r="H404" s="14"/>
      <c r="I404" s="356"/>
      <c r="J404" s="14"/>
      <c r="K404" s="12"/>
    </row>
    <row r="405" ht="19.5" customHeight="1">
      <c r="A405" s="221"/>
      <c r="C405" s="12"/>
      <c r="D405" s="87"/>
      <c r="F405" s="14"/>
      <c r="G405" s="14"/>
      <c r="H405" s="14"/>
      <c r="I405" s="356"/>
      <c r="J405" s="14"/>
      <c r="K405" s="12"/>
    </row>
    <row r="406" ht="19.5" customHeight="1">
      <c r="A406" s="221"/>
      <c r="C406" s="12"/>
      <c r="D406" s="87"/>
      <c r="F406" s="14"/>
      <c r="G406" s="14"/>
      <c r="H406" s="14"/>
      <c r="I406" s="356"/>
      <c r="J406" s="14"/>
      <c r="K406" s="12"/>
    </row>
    <row r="407" ht="19.5" customHeight="1">
      <c r="A407" s="221"/>
      <c r="C407" s="12"/>
      <c r="D407" s="87"/>
      <c r="F407" s="14"/>
      <c r="G407" s="14"/>
      <c r="H407" s="14"/>
      <c r="I407" s="356"/>
      <c r="J407" s="14"/>
      <c r="K407" s="12"/>
    </row>
    <row r="408" ht="19.5" customHeight="1">
      <c r="A408" s="221"/>
      <c r="C408" s="12"/>
      <c r="D408" s="87"/>
      <c r="F408" s="14"/>
      <c r="G408" s="14"/>
      <c r="H408" s="14"/>
      <c r="I408" s="356"/>
      <c r="J408" s="14"/>
      <c r="K408" s="12"/>
    </row>
    <row r="409" ht="19.5" customHeight="1">
      <c r="A409" s="221"/>
      <c r="C409" s="12"/>
      <c r="D409" s="87"/>
      <c r="F409" s="14"/>
      <c r="G409" s="14"/>
      <c r="H409" s="14"/>
      <c r="I409" s="356"/>
      <c r="J409" s="14"/>
      <c r="K409" s="12"/>
    </row>
    <row r="410" ht="19.5" customHeight="1">
      <c r="A410" s="221"/>
      <c r="C410" s="12"/>
      <c r="D410" s="87"/>
      <c r="F410" s="14"/>
      <c r="G410" s="14"/>
      <c r="H410" s="14"/>
      <c r="I410" s="356"/>
      <c r="J410" s="14"/>
      <c r="K410" s="12"/>
    </row>
    <row r="411" ht="19.5" customHeight="1">
      <c r="A411" s="221"/>
      <c r="C411" s="12"/>
      <c r="D411" s="87"/>
      <c r="F411" s="14"/>
      <c r="G411" s="14"/>
      <c r="H411" s="14"/>
      <c r="I411" s="356"/>
      <c r="J411" s="14"/>
      <c r="K411" s="12"/>
    </row>
    <row r="412" ht="19.5" customHeight="1">
      <c r="A412" s="221"/>
      <c r="C412" s="12"/>
      <c r="D412" s="87"/>
      <c r="F412" s="14"/>
      <c r="G412" s="14"/>
      <c r="H412" s="14"/>
      <c r="I412" s="356"/>
      <c r="J412" s="14"/>
      <c r="K412" s="12"/>
    </row>
    <row r="413" ht="19.5" customHeight="1">
      <c r="A413" s="221"/>
      <c r="C413" s="12"/>
      <c r="D413" s="87"/>
      <c r="F413" s="14"/>
      <c r="G413" s="14"/>
      <c r="H413" s="14"/>
      <c r="I413" s="356"/>
      <c r="J413" s="14"/>
      <c r="K413" s="12"/>
    </row>
    <row r="414" ht="19.5" customHeight="1">
      <c r="A414" s="221"/>
      <c r="C414" s="12"/>
      <c r="D414" s="87"/>
      <c r="F414" s="14"/>
      <c r="G414" s="14"/>
      <c r="H414" s="14"/>
      <c r="I414" s="356"/>
      <c r="J414" s="14"/>
      <c r="K414" s="12"/>
    </row>
    <row r="415" ht="19.5" customHeight="1">
      <c r="A415" s="221"/>
      <c r="C415" s="12"/>
      <c r="D415" s="87"/>
      <c r="F415" s="14"/>
      <c r="G415" s="14"/>
      <c r="H415" s="14"/>
      <c r="I415" s="356"/>
      <c r="J415" s="14"/>
      <c r="K415" s="12"/>
    </row>
    <row r="416" ht="19.5" customHeight="1">
      <c r="A416" s="221"/>
      <c r="C416" s="12"/>
      <c r="D416" s="87"/>
      <c r="F416" s="14"/>
      <c r="G416" s="14"/>
      <c r="H416" s="14"/>
      <c r="I416" s="356"/>
      <c r="J416" s="14"/>
      <c r="K416" s="12"/>
    </row>
    <row r="417" ht="19.5" customHeight="1">
      <c r="A417" s="221"/>
      <c r="C417" s="12"/>
      <c r="D417" s="87"/>
      <c r="F417" s="14"/>
      <c r="G417" s="14"/>
      <c r="H417" s="14"/>
      <c r="I417" s="356"/>
      <c r="J417" s="14"/>
      <c r="K417" s="12"/>
    </row>
    <row r="418" ht="19.5" customHeight="1">
      <c r="A418" s="221"/>
      <c r="C418" s="12"/>
      <c r="D418" s="87"/>
      <c r="F418" s="14"/>
      <c r="G418" s="14"/>
      <c r="H418" s="14"/>
      <c r="I418" s="356"/>
      <c r="J418" s="14"/>
      <c r="K418" s="12"/>
    </row>
    <row r="419" ht="19.5" customHeight="1">
      <c r="A419" s="221"/>
      <c r="C419" s="12"/>
      <c r="D419" s="87"/>
      <c r="F419" s="14"/>
      <c r="G419" s="14"/>
      <c r="H419" s="14"/>
      <c r="I419" s="356"/>
      <c r="J419" s="14"/>
      <c r="K419" s="12"/>
    </row>
    <row r="420" ht="19.5" customHeight="1">
      <c r="A420" s="221"/>
      <c r="C420" s="12"/>
      <c r="D420" s="87"/>
      <c r="F420" s="14"/>
      <c r="G420" s="14"/>
      <c r="H420" s="14"/>
      <c r="I420" s="356"/>
      <c r="J420" s="14"/>
      <c r="K420" s="12"/>
    </row>
    <row r="421" ht="19.5" customHeight="1">
      <c r="A421" s="221"/>
      <c r="C421" s="12"/>
      <c r="D421" s="87"/>
      <c r="F421" s="14"/>
      <c r="G421" s="14"/>
      <c r="H421" s="14"/>
      <c r="I421" s="356"/>
      <c r="J421" s="14"/>
      <c r="K421" s="12"/>
    </row>
    <row r="422" ht="19.5" customHeight="1">
      <c r="A422" s="221"/>
      <c r="C422" s="12"/>
      <c r="D422" s="87"/>
      <c r="F422" s="14"/>
      <c r="G422" s="14"/>
      <c r="H422" s="14"/>
      <c r="I422" s="356"/>
      <c r="J422" s="14"/>
      <c r="K422" s="12"/>
    </row>
    <row r="423" ht="19.5" customHeight="1">
      <c r="A423" s="221"/>
      <c r="C423" s="12"/>
      <c r="D423" s="87"/>
      <c r="F423" s="14"/>
      <c r="G423" s="14"/>
      <c r="H423" s="14"/>
      <c r="I423" s="356"/>
      <c r="J423" s="14"/>
      <c r="K423" s="12"/>
    </row>
    <row r="424" ht="19.5" customHeight="1">
      <c r="A424" s="221"/>
      <c r="C424" s="12"/>
      <c r="D424" s="87"/>
      <c r="F424" s="14"/>
      <c r="G424" s="14"/>
      <c r="H424" s="14"/>
      <c r="I424" s="356"/>
      <c r="J424" s="14"/>
      <c r="K424" s="12"/>
    </row>
    <row r="425" ht="19.5" customHeight="1">
      <c r="A425" s="221"/>
      <c r="C425" s="12"/>
      <c r="D425" s="87"/>
      <c r="F425" s="14"/>
      <c r="G425" s="14"/>
      <c r="H425" s="14"/>
      <c r="I425" s="356"/>
      <c r="J425" s="14"/>
      <c r="K425" s="12"/>
    </row>
    <row r="426" ht="19.5" customHeight="1">
      <c r="A426" s="221"/>
      <c r="C426" s="12"/>
      <c r="D426" s="87"/>
      <c r="F426" s="14"/>
      <c r="G426" s="14"/>
      <c r="H426" s="14"/>
      <c r="I426" s="356"/>
      <c r="J426" s="14"/>
      <c r="K426" s="12"/>
    </row>
    <row r="427" ht="19.5" customHeight="1">
      <c r="A427" s="221"/>
      <c r="C427" s="12"/>
      <c r="D427" s="87"/>
      <c r="F427" s="14"/>
      <c r="G427" s="14"/>
      <c r="H427" s="14"/>
      <c r="I427" s="356"/>
      <c r="J427" s="14"/>
      <c r="K427" s="12"/>
    </row>
    <row r="428" ht="19.5" customHeight="1">
      <c r="A428" s="221"/>
      <c r="C428" s="12"/>
      <c r="D428" s="87"/>
      <c r="F428" s="14"/>
      <c r="G428" s="14"/>
      <c r="H428" s="14"/>
      <c r="I428" s="356"/>
      <c r="J428" s="14"/>
      <c r="K428" s="12"/>
    </row>
    <row r="429" ht="19.5" customHeight="1">
      <c r="A429" s="221"/>
      <c r="C429" s="12"/>
      <c r="D429" s="87"/>
      <c r="F429" s="14"/>
      <c r="G429" s="14"/>
      <c r="H429" s="14"/>
      <c r="I429" s="356"/>
      <c r="J429" s="14"/>
      <c r="K429" s="12"/>
    </row>
    <row r="430" ht="19.5" customHeight="1">
      <c r="A430" s="221"/>
      <c r="C430" s="12"/>
      <c r="D430" s="87"/>
      <c r="F430" s="14"/>
      <c r="G430" s="14"/>
      <c r="H430" s="14"/>
      <c r="I430" s="356"/>
      <c r="J430" s="14"/>
      <c r="K430" s="12"/>
    </row>
    <row r="431" ht="19.5" customHeight="1">
      <c r="A431" s="221"/>
      <c r="C431" s="12"/>
      <c r="D431" s="87"/>
      <c r="F431" s="14"/>
      <c r="G431" s="14"/>
      <c r="H431" s="14"/>
      <c r="I431" s="356"/>
      <c r="J431" s="14"/>
      <c r="K431" s="12"/>
    </row>
    <row r="432" ht="19.5" customHeight="1">
      <c r="A432" s="221"/>
      <c r="C432" s="12"/>
      <c r="D432" s="87"/>
      <c r="F432" s="14"/>
      <c r="G432" s="14"/>
      <c r="H432" s="14"/>
      <c r="I432" s="356"/>
      <c r="J432" s="14"/>
      <c r="K432" s="12"/>
    </row>
    <row r="433" ht="19.5" customHeight="1">
      <c r="A433" s="221"/>
      <c r="C433" s="12"/>
      <c r="D433" s="87"/>
      <c r="F433" s="14"/>
      <c r="G433" s="14"/>
      <c r="H433" s="14"/>
      <c r="I433" s="356"/>
      <c r="J433" s="14"/>
      <c r="K433" s="12"/>
    </row>
    <row r="434" ht="19.5" customHeight="1">
      <c r="A434" s="221"/>
      <c r="C434" s="12"/>
      <c r="D434" s="87"/>
      <c r="F434" s="14"/>
      <c r="G434" s="14"/>
      <c r="H434" s="14"/>
      <c r="I434" s="356"/>
      <c r="J434" s="14"/>
      <c r="K434" s="12"/>
    </row>
    <row r="435" ht="19.5" customHeight="1">
      <c r="A435" s="221"/>
      <c r="C435" s="12"/>
      <c r="D435" s="87"/>
      <c r="F435" s="14"/>
      <c r="G435" s="14"/>
      <c r="H435" s="14"/>
      <c r="I435" s="356"/>
      <c r="J435" s="14"/>
      <c r="K435" s="12"/>
    </row>
    <row r="436" ht="19.5" customHeight="1">
      <c r="A436" s="221"/>
      <c r="C436" s="12"/>
      <c r="D436" s="87"/>
      <c r="F436" s="14"/>
      <c r="G436" s="14"/>
      <c r="H436" s="14"/>
      <c r="I436" s="356"/>
      <c r="J436" s="14"/>
      <c r="K436" s="12"/>
    </row>
    <row r="437" ht="19.5" customHeight="1">
      <c r="A437" s="221"/>
      <c r="C437" s="12"/>
      <c r="D437" s="87"/>
      <c r="F437" s="14"/>
      <c r="G437" s="14"/>
      <c r="H437" s="14"/>
      <c r="I437" s="356"/>
      <c r="J437" s="14"/>
      <c r="K437" s="12"/>
    </row>
    <row r="438" ht="19.5" customHeight="1">
      <c r="A438" s="221"/>
      <c r="C438" s="12"/>
      <c r="D438" s="87"/>
      <c r="F438" s="14"/>
      <c r="G438" s="14"/>
      <c r="H438" s="14"/>
      <c r="I438" s="356"/>
      <c r="J438" s="14"/>
      <c r="K438" s="12"/>
    </row>
    <row r="439" ht="19.5" customHeight="1">
      <c r="A439" s="221"/>
      <c r="C439" s="12"/>
      <c r="D439" s="87"/>
      <c r="F439" s="14"/>
      <c r="G439" s="14"/>
      <c r="H439" s="14"/>
      <c r="I439" s="356"/>
      <c r="J439" s="14"/>
      <c r="K439" s="12"/>
    </row>
    <row r="440" ht="19.5" customHeight="1">
      <c r="A440" s="221"/>
      <c r="C440" s="12"/>
      <c r="D440" s="87"/>
      <c r="F440" s="14"/>
      <c r="G440" s="14"/>
      <c r="H440" s="14"/>
      <c r="I440" s="356"/>
      <c r="J440" s="14"/>
      <c r="K440" s="12"/>
    </row>
    <row r="441" ht="19.5" customHeight="1">
      <c r="A441" s="221"/>
      <c r="C441" s="12"/>
      <c r="D441" s="87"/>
      <c r="F441" s="14"/>
      <c r="G441" s="14"/>
      <c r="H441" s="14"/>
      <c r="I441" s="356"/>
      <c r="J441" s="14"/>
      <c r="K441" s="12"/>
    </row>
    <row r="442" ht="19.5" customHeight="1">
      <c r="A442" s="221"/>
      <c r="C442" s="12"/>
      <c r="D442" s="87"/>
      <c r="F442" s="14"/>
      <c r="G442" s="14"/>
      <c r="H442" s="14"/>
      <c r="I442" s="356"/>
      <c r="J442" s="14"/>
      <c r="K442" s="12"/>
    </row>
    <row r="443" ht="19.5" customHeight="1">
      <c r="A443" s="221"/>
      <c r="C443" s="12"/>
      <c r="D443" s="87"/>
      <c r="F443" s="14"/>
      <c r="G443" s="14"/>
      <c r="H443" s="14"/>
      <c r="I443" s="356"/>
      <c r="J443" s="14"/>
      <c r="K443" s="12"/>
    </row>
    <row r="444" ht="19.5" customHeight="1">
      <c r="A444" s="221"/>
      <c r="C444" s="12"/>
      <c r="D444" s="87"/>
      <c r="F444" s="14"/>
      <c r="G444" s="14"/>
      <c r="H444" s="14"/>
      <c r="I444" s="356"/>
      <c r="J444" s="14"/>
      <c r="K444" s="12"/>
    </row>
    <row r="445" ht="19.5" customHeight="1">
      <c r="A445" s="221"/>
      <c r="C445" s="12"/>
      <c r="D445" s="87"/>
      <c r="F445" s="14"/>
      <c r="G445" s="14"/>
      <c r="H445" s="14"/>
      <c r="I445" s="356"/>
      <c r="J445" s="14"/>
      <c r="K445" s="12"/>
    </row>
    <row r="446" ht="19.5" customHeight="1">
      <c r="A446" s="221"/>
      <c r="C446" s="12"/>
      <c r="D446" s="87"/>
      <c r="F446" s="14"/>
      <c r="G446" s="14"/>
      <c r="H446" s="14"/>
      <c r="I446" s="356"/>
      <c r="J446" s="14"/>
      <c r="K446" s="12"/>
    </row>
    <row r="447" ht="19.5" customHeight="1">
      <c r="A447" s="221"/>
      <c r="C447" s="12"/>
      <c r="D447" s="87"/>
      <c r="F447" s="14"/>
      <c r="G447" s="14"/>
      <c r="H447" s="14"/>
      <c r="I447" s="356"/>
      <c r="J447" s="14"/>
      <c r="K447" s="12"/>
    </row>
    <row r="448" ht="19.5" customHeight="1">
      <c r="A448" s="221"/>
      <c r="C448" s="12"/>
      <c r="D448" s="87"/>
      <c r="F448" s="14"/>
      <c r="G448" s="14"/>
      <c r="H448" s="14"/>
      <c r="I448" s="356"/>
      <c r="J448" s="14"/>
      <c r="K448" s="12"/>
    </row>
    <row r="449" ht="19.5" customHeight="1">
      <c r="A449" s="221"/>
      <c r="C449" s="12"/>
      <c r="D449" s="87"/>
      <c r="F449" s="14"/>
      <c r="G449" s="14"/>
      <c r="H449" s="14"/>
      <c r="I449" s="356"/>
      <c r="J449" s="14"/>
      <c r="K449" s="12"/>
    </row>
    <row r="450" ht="19.5" customHeight="1">
      <c r="A450" s="221"/>
      <c r="C450" s="12"/>
      <c r="D450" s="87"/>
      <c r="F450" s="14"/>
      <c r="G450" s="14"/>
      <c r="H450" s="14"/>
      <c r="I450" s="356"/>
      <c r="J450" s="14"/>
      <c r="K450" s="12"/>
    </row>
    <row r="451" ht="19.5" customHeight="1">
      <c r="A451" s="221"/>
      <c r="C451" s="12"/>
      <c r="D451" s="87"/>
      <c r="F451" s="14"/>
      <c r="G451" s="14"/>
      <c r="H451" s="14"/>
      <c r="I451" s="356"/>
      <c r="J451" s="14"/>
      <c r="K451" s="12"/>
    </row>
    <row r="452" ht="19.5" customHeight="1">
      <c r="A452" s="221"/>
      <c r="C452" s="12"/>
      <c r="D452" s="87"/>
      <c r="F452" s="14"/>
      <c r="G452" s="14"/>
      <c r="H452" s="14"/>
      <c r="I452" s="356"/>
      <c r="J452" s="14"/>
      <c r="K452" s="12"/>
    </row>
    <row r="453" ht="19.5" customHeight="1">
      <c r="A453" s="221"/>
      <c r="C453" s="12"/>
      <c r="D453" s="87"/>
      <c r="F453" s="14"/>
      <c r="G453" s="14"/>
      <c r="H453" s="14"/>
      <c r="I453" s="356"/>
      <c r="J453" s="14"/>
      <c r="K453" s="12"/>
    </row>
    <row r="454" ht="19.5" customHeight="1">
      <c r="A454" s="221"/>
      <c r="C454" s="12"/>
      <c r="D454" s="87"/>
      <c r="F454" s="14"/>
      <c r="G454" s="14"/>
      <c r="H454" s="14"/>
      <c r="I454" s="356"/>
      <c r="J454" s="14"/>
      <c r="K454" s="12"/>
    </row>
    <row r="455" ht="19.5" customHeight="1">
      <c r="A455" s="221"/>
      <c r="C455" s="12"/>
      <c r="D455" s="87"/>
      <c r="F455" s="14"/>
      <c r="G455" s="14"/>
      <c r="H455" s="14"/>
      <c r="I455" s="356"/>
      <c r="J455" s="14"/>
      <c r="K455" s="12"/>
    </row>
    <row r="456" ht="19.5" customHeight="1">
      <c r="A456" s="221"/>
      <c r="C456" s="12"/>
      <c r="D456" s="87"/>
      <c r="F456" s="14"/>
      <c r="G456" s="14"/>
      <c r="H456" s="14"/>
      <c r="I456" s="356"/>
      <c r="J456" s="14"/>
      <c r="K456" s="12"/>
    </row>
    <row r="457" ht="19.5" customHeight="1">
      <c r="A457" s="221"/>
      <c r="C457" s="12"/>
      <c r="D457" s="87"/>
      <c r="F457" s="14"/>
      <c r="G457" s="14"/>
      <c r="H457" s="14"/>
      <c r="I457" s="356"/>
      <c r="J457" s="14"/>
      <c r="K457" s="12"/>
    </row>
    <row r="458" ht="19.5" customHeight="1">
      <c r="A458" s="221"/>
      <c r="C458" s="12"/>
      <c r="D458" s="87"/>
      <c r="F458" s="14"/>
      <c r="G458" s="14"/>
      <c r="H458" s="14"/>
      <c r="I458" s="356"/>
      <c r="J458" s="14"/>
      <c r="K458" s="12"/>
    </row>
    <row r="459" ht="19.5" customHeight="1">
      <c r="A459" s="221"/>
      <c r="C459" s="12"/>
      <c r="D459" s="87"/>
      <c r="F459" s="14"/>
      <c r="G459" s="14"/>
      <c r="H459" s="14"/>
      <c r="I459" s="356"/>
      <c r="J459" s="14"/>
      <c r="K459" s="12"/>
    </row>
    <row r="460" ht="19.5" customHeight="1">
      <c r="A460" s="221"/>
      <c r="C460" s="12"/>
      <c r="D460" s="87"/>
      <c r="F460" s="14"/>
      <c r="G460" s="14"/>
      <c r="H460" s="14"/>
      <c r="I460" s="356"/>
      <c r="J460" s="14"/>
      <c r="K460" s="12"/>
    </row>
    <row r="461" ht="19.5" customHeight="1">
      <c r="A461" s="221"/>
      <c r="C461" s="12"/>
      <c r="D461" s="87"/>
      <c r="F461" s="14"/>
      <c r="G461" s="14"/>
      <c r="H461" s="14"/>
      <c r="I461" s="356"/>
      <c r="J461" s="14"/>
      <c r="K461" s="12"/>
    </row>
    <row r="462" ht="19.5" customHeight="1">
      <c r="A462" s="221"/>
      <c r="C462" s="12"/>
      <c r="D462" s="87"/>
      <c r="F462" s="14"/>
      <c r="G462" s="14"/>
      <c r="H462" s="14"/>
      <c r="I462" s="356"/>
      <c r="J462" s="14"/>
      <c r="K462" s="12"/>
    </row>
    <row r="463" ht="19.5" customHeight="1">
      <c r="A463" s="221"/>
      <c r="C463" s="12"/>
      <c r="D463" s="87"/>
      <c r="F463" s="14"/>
      <c r="G463" s="14"/>
      <c r="H463" s="14"/>
      <c r="I463" s="356"/>
      <c r="J463" s="14"/>
      <c r="K463" s="12"/>
    </row>
    <row r="464" ht="19.5" customHeight="1">
      <c r="A464" s="221"/>
      <c r="C464" s="12"/>
      <c r="D464" s="87"/>
      <c r="F464" s="14"/>
      <c r="G464" s="14"/>
      <c r="H464" s="14"/>
      <c r="I464" s="356"/>
      <c r="J464" s="14"/>
      <c r="K464" s="12"/>
    </row>
    <row r="465" ht="19.5" customHeight="1">
      <c r="A465" s="221"/>
      <c r="C465" s="12"/>
      <c r="D465" s="87"/>
      <c r="F465" s="14"/>
      <c r="G465" s="14"/>
      <c r="H465" s="14"/>
      <c r="I465" s="356"/>
      <c r="J465" s="14"/>
      <c r="K465" s="12"/>
    </row>
    <row r="466" ht="19.5" customHeight="1">
      <c r="A466" s="221"/>
      <c r="C466" s="12"/>
      <c r="D466" s="87"/>
      <c r="F466" s="14"/>
      <c r="G466" s="14"/>
      <c r="H466" s="14"/>
      <c r="I466" s="356"/>
      <c r="J466" s="14"/>
      <c r="K466" s="12"/>
    </row>
    <row r="467" ht="19.5" customHeight="1">
      <c r="A467" s="221"/>
      <c r="C467" s="12"/>
      <c r="D467" s="87"/>
      <c r="F467" s="14"/>
      <c r="G467" s="14"/>
      <c r="H467" s="14"/>
      <c r="I467" s="356"/>
      <c r="J467" s="14"/>
      <c r="K467" s="12"/>
    </row>
    <row r="468" ht="19.5" customHeight="1">
      <c r="A468" s="221"/>
      <c r="C468" s="12"/>
      <c r="D468" s="87"/>
      <c r="F468" s="14"/>
      <c r="G468" s="14"/>
      <c r="H468" s="14"/>
      <c r="I468" s="356"/>
      <c r="J468" s="14"/>
      <c r="K468" s="12"/>
    </row>
    <row r="469" ht="19.5" customHeight="1">
      <c r="A469" s="221"/>
      <c r="C469" s="12"/>
      <c r="D469" s="87"/>
      <c r="F469" s="14"/>
      <c r="G469" s="14"/>
      <c r="H469" s="14"/>
      <c r="I469" s="356"/>
      <c r="J469" s="14"/>
      <c r="K469" s="12"/>
    </row>
    <row r="470" ht="19.5" customHeight="1">
      <c r="A470" s="221"/>
      <c r="C470" s="12"/>
      <c r="D470" s="87"/>
      <c r="F470" s="14"/>
      <c r="G470" s="14"/>
      <c r="H470" s="14"/>
      <c r="I470" s="356"/>
      <c r="J470" s="14"/>
      <c r="K470" s="12"/>
    </row>
    <row r="471" ht="19.5" customHeight="1">
      <c r="A471" s="221"/>
      <c r="C471" s="12"/>
      <c r="D471" s="87"/>
      <c r="F471" s="14"/>
      <c r="G471" s="14"/>
      <c r="H471" s="14"/>
      <c r="I471" s="356"/>
      <c r="J471" s="14"/>
      <c r="K471" s="12"/>
    </row>
    <row r="472" ht="19.5" customHeight="1">
      <c r="A472" s="221"/>
      <c r="C472" s="12"/>
      <c r="D472" s="87"/>
      <c r="F472" s="14"/>
      <c r="G472" s="14"/>
      <c r="H472" s="14"/>
      <c r="I472" s="356"/>
      <c r="J472" s="14"/>
      <c r="K472" s="12"/>
    </row>
    <row r="473" ht="19.5" customHeight="1">
      <c r="A473" s="221"/>
      <c r="C473" s="12"/>
      <c r="D473" s="87"/>
      <c r="F473" s="14"/>
      <c r="G473" s="14"/>
      <c r="H473" s="14"/>
      <c r="I473" s="356"/>
      <c r="J473" s="14"/>
      <c r="K473" s="12"/>
    </row>
    <row r="474" ht="19.5" customHeight="1">
      <c r="A474" s="221"/>
      <c r="C474" s="12"/>
      <c r="D474" s="87"/>
      <c r="F474" s="14"/>
      <c r="G474" s="14"/>
      <c r="H474" s="14"/>
      <c r="I474" s="356"/>
      <c r="J474" s="14"/>
      <c r="K474" s="12"/>
    </row>
    <row r="475" ht="19.5" customHeight="1">
      <c r="A475" s="221"/>
      <c r="C475" s="12"/>
      <c r="D475" s="87"/>
      <c r="F475" s="14"/>
      <c r="G475" s="14"/>
      <c r="H475" s="14"/>
      <c r="I475" s="356"/>
      <c r="J475" s="14"/>
      <c r="K475" s="12"/>
    </row>
    <row r="476" ht="19.5" customHeight="1">
      <c r="A476" s="221"/>
      <c r="C476" s="12"/>
      <c r="D476" s="87"/>
      <c r="F476" s="14"/>
      <c r="G476" s="14"/>
      <c r="H476" s="14"/>
      <c r="I476" s="356"/>
      <c r="J476" s="14"/>
      <c r="K476" s="12"/>
    </row>
    <row r="477" ht="19.5" customHeight="1">
      <c r="A477" s="221"/>
      <c r="C477" s="12"/>
      <c r="D477" s="87"/>
      <c r="F477" s="14"/>
      <c r="G477" s="14"/>
      <c r="H477" s="14"/>
      <c r="I477" s="356"/>
      <c r="J477" s="14"/>
      <c r="K477" s="12"/>
    </row>
    <row r="478" ht="19.5" customHeight="1">
      <c r="A478" s="221"/>
      <c r="C478" s="12"/>
      <c r="D478" s="87"/>
      <c r="F478" s="14"/>
      <c r="G478" s="14"/>
      <c r="H478" s="14"/>
      <c r="I478" s="356"/>
      <c r="J478" s="14"/>
      <c r="K478" s="12"/>
    </row>
    <row r="479" ht="19.5" customHeight="1">
      <c r="A479" s="221"/>
      <c r="C479" s="12"/>
      <c r="D479" s="87"/>
      <c r="F479" s="14"/>
      <c r="G479" s="14"/>
      <c r="H479" s="14"/>
      <c r="I479" s="356"/>
      <c r="J479" s="14"/>
      <c r="K479" s="12"/>
    </row>
    <row r="480" ht="19.5" customHeight="1">
      <c r="A480" s="221"/>
      <c r="C480" s="12"/>
      <c r="D480" s="87"/>
      <c r="F480" s="14"/>
      <c r="G480" s="14"/>
      <c r="H480" s="14"/>
      <c r="I480" s="356"/>
      <c r="J480" s="14"/>
      <c r="K480" s="12"/>
    </row>
    <row r="481" ht="19.5" customHeight="1">
      <c r="A481" s="221"/>
      <c r="C481" s="12"/>
      <c r="D481" s="87"/>
      <c r="F481" s="14"/>
      <c r="G481" s="14"/>
      <c r="H481" s="14"/>
      <c r="I481" s="356"/>
      <c r="J481" s="14"/>
      <c r="K481" s="12"/>
    </row>
    <row r="482" ht="19.5" customHeight="1">
      <c r="A482" s="221"/>
      <c r="C482" s="12"/>
      <c r="D482" s="87"/>
      <c r="F482" s="14"/>
      <c r="G482" s="14"/>
      <c r="H482" s="14"/>
      <c r="I482" s="356"/>
      <c r="J482" s="14"/>
      <c r="K482" s="12"/>
    </row>
    <row r="483" ht="19.5" customHeight="1">
      <c r="A483" s="221"/>
      <c r="C483" s="12"/>
      <c r="D483" s="87"/>
      <c r="F483" s="14"/>
      <c r="G483" s="14"/>
      <c r="H483" s="14"/>
      <c r="I483" s="356"/>
      <c r="J483" s="14"/>
      <c r="K483" s="12"/>
    </row>
    <row r="484" ht="19.5" customHeight="1">
      <c r="A484" s="221"/>
      <c r="C484" s="12"/>
      <c r="D484" s="87"/>
      <c r="F484" s="14"/>
      <c r="G484" s="14"/>
      <c r="H484" s="14"/>
      <c r="I484" s="356"/>
      <c r="J484" s="14"/>
      <c r="K484" s="12"/>
    </row>
    <row r="485" ht="19.5" customHeight="1">
      <c r="A485" s="221"/>
      <c r="C485" s="12"/>
      <c r="D485" s="87"/>
      <c r="F485" s="14"/>
      <c r="G485" s="14"/>
      <c r="H485" s="14"/>
      <c r="I485" s="356"/>
      <c r="J485" s="14"/>
      <c r="K485" s="12"/>
    </row>
    <row r="486" ht="19.5" customHeight="1">
      <c r="A486" s="221"/>
      <c r="C486" s="12"/>
      <c r="D486" s="87"/>
      <c r="F486" s="14"/>
      <c r="G486" s="14"/>
      <c r="H486" s="14"/>
      <c r="I486" s="356"/>
      <c r="J486" s="14"/>
      <c r="K486" s="12"/>
    </row>
    <row r="487" ht="19.5" customHeight="1">
      <c r="A487" s="221"/>
      <c r="C487" s="12"/>
      <c r="D487" s="87"/>
      <c r="F487" s="14"/>
      <c r="G487" s="14"/>
      <c r="H487" s="14"/>
      <c r="I487" s="356"/>
      <c r="J487" s="14"/>
      <c r="K487" s="12"/>
    </row>
    <row r="488" ht="19.5" customHeight="1">
      <c r="A488" s="221"/>
      <c r="C488" s="12"/>
      <c r="D488" s="87"/>
      <c r="F488" s="14"/>
      <c r="G488" s="14"/>
      <c r="H488" s="14"/>
      <c r="I488" s="356"/>
      <c r="J488" s="14"/>
      <c r="K488" s="12"/>
    </row>
    <row r="489" ht="19.5" customHeight="1">
      <c r="A489" s="221"/>
      <c r="C489" s="12"/>
      <c r="D489" s="87"/>
      <c r="F489" s="14"/>
      <c r="G489" s="14"/>
      <c r="H489" s="14"/>
      <c r="I489" s="356"/>
      <c r="J489" s="14"/>
      <c r="K489" s="12"/>
    </row>
    <row r="490" ht="19.5" customHeight="1">
      <c r="A490" s="221"/>
      <c r="C490" s="12"/>
      <c r="D490" s="87"/>
      <c r="F490" s="14"/>
      <c r="G490" s="14"/>
      <c r="H490" s="14"/>
      <c r="I490" s="356"/>
      <c r="J490" s="14"/>
      <c r="K490" s="12"/>
    </row>
    <row r="491" ht="19.5" customHeight="1">
      <c r="A491" s="221"/>
      <c r="C491" s="12"/>
      <c r="D491" s="87"/>
      <c r="F491" s="14"/>
      <c r="G491" s="14"/>
      <c r="H491" s="14"/>
      <c r="I491" s="356"/>
      <c r="J491" s="14"/>
      <c r="K491" s="12"/>
    </row>
    <row r="492" ht="19.5" customHeight="1">
      <c r="A492" s="221"/>
      <c r="C492" s="12"/>
      <c r="D492" s="87"/>
      <c r="F492" s="14"/>
      <c r="G492" s="14"/>
      <c r="H492" s="14"/>
      <c r="I492" s="356"/>
      <c r="J492" s="14"/>
      <c r="K492" s="12"/>
    </row>
    <row r="493" ht="19.5" customHeight="1">
      <c r="A493" s="221"/>
      <c r="C493" s="12"/>
      <c r="D493" s="87"/>
      <c r="F493" s="14"/>
      <c r="G493" s="14"/>
      <c r="H493" s="14"/>
      <c r="I493" s="356"/>
      <c r="J493" s="14"/>
      <c r="K493" s="12"/>
    </row>
    <row r="494" ht="19.5" customHeight="1">
      <c r="A494" s="221"/>
      <c r="C494" s="12"/>
      <c r="D494" s="87"/>
      <c r="F494" s="14"/>
      <c r="G494" s="14"/>
      <c r="H494" s="14"/>
      <c r="I494" s="356"/>
      <c r="J494" s="14"/>
      <c r="K494" s="12"/>
    </row>
    <row r="495" ht="19.5" customHeight="1">
      <c r="A495" s="221"/>
      <c r="C495" s="12"/>
      <c r="D495" s="87"/>
      <c r="F495" s="14"/>
      <c r="G495" s="14"/>
      <c r="H495" s="14"/>
      <c r="I495" s="356"/>
      <c r="J495" s="14"/>
      <c r="K495" s="12"/>
    </row>
    <row r="496" ht="19.5" customHeight="1">
      <c r="A496" s="221"/>
      <c r="C496" s="12"/>
      <c r="D496" s="87"/>
      <c r="F496" s="14"/>
      <c r="G496" s="14"/>
      <c r="H496" s="14"/>
      <c r="I496" s="356"/>
      <c r="J496" s="14"/>
      <c r="K496" s="12"/>
    </row>
    <row r="497" ht="19.5" customHeight="1">
      <c r="A497" s="221"/>
      <c r="C497" s="12"/>
      <c r="D497" s="87"/>
      <c r="F497" s="14"/>
      <c r="G497" s="14"/>
      <c r="H497" s="14"/>
      <c r="I497" s="356"/>
      <c r="J497" s="14"/>
      <c r="K497" s="12"/>
    </row>
    <row r="498" ht="19.5" customHeight="1">
      <c r="A498" s="221"/>
      <c r="C498" s="12"/>
      <c r="D498" s="87"/>
      <c r="F498" s="14"/>
      <c r="G498" s="14"/>
      <c r="H498" s="14"/>
      <c r="I498" s="356"/>
      <c r="J498" s="14"/>
      <c r="K498" s="12"/>
    </row>
    <row r="499" ht="19.5" customHeight="1">
      <c r="A499" s="221"/>
      <c r="C499" s="12"/>
      <c r="D499" s="87"/>
      <c r="F499" s="14"/>
      <c r="G499" s="14"/>
      <c r="H499" s="14"/>
      <c r="I499" s="356"/>
      <c r="J499" s="14"/>
      <c r="K499" s="12"/>
    </row>
    <row r="500" ht="19.5" customHeight="1">
      <c r="A500" s="221"/>
      <c r="C500" s="12"/>
      <c r="D500" s="87"/>
      <c r="F500" s="14"/>
      <c r="G500" s="14"/>
      <c r="H500" s="14"/>
      <c r="I500" s="356"/>
      <c r="J500" s="14"/>
      <c r="K500" s="12"/>
    </row>
    <row r="501" ht="19.5" customHeight="1">
      <c r="A501" s="221"/>
      <c r="C501" s="12"/>
      <c r="D501" s="87"/>
      <c r="F501" s="14"/>
      <c r="G501" s="14"/>
      <c r="H501" s="14"/>
      <c r="I501" s="356"/>
      <c r="J501" s="14"/>
      <c r="K501" s="12"/>
    </row>
    <row r="502" ht="19.5" customHeight="1">
      <c r="A502" s="221"/>
      <c r="C502" s="12"/>
      <c r="D502" s="87"/>
      <c r="F502" s="14"/>
      <c r="G502" s="14"/>
      <c r="H502" s="14"/>
      <c r="I502" s="356"/>
      <c r="J502" s="14"/>
      <c r="K502" s="12"/>
    </row>
    <row r="503" ht="19.5" customHeight="1">
      <c r="A503" s="221"/>
      <c r="C503" s="12"/>
      <c r="D503" s="87"/>
      <c r="F503" s="14"/>
      <c r="G503" s="14"/>
      <c r="H503" s="14"/>
      <c r="I503" s="356"/>
      <c r="J503" s="14"/>
      <c r="K503" s="12"/>
    </row>
    <row r="504" ht="19.5" customHeight="1">
      <c r="A504" s="221"/>
      <c r="C504" s="12"/>
      <c r="D504" s="87"/>
      <c r="F504" s="14"/>
      <c r="G504" s="14"/>
      <c r="H504" s="14"/>
      <c r="I504" s="356"/>
      <c r="J504" s="14"/>
      <c r="K504" s="12"/>
    </row>
    <row r="505" ht="19.5" customHeight="1">
      <c r="A505" s="221"/>
      <c r="C505" s="12"/>
      <c r="D505" s="87"/>
      <c r="F505" s="14"/>
      <c r="G505" s="14"/>
      <c r="H505" s="14"/>
      <c r="I505" s="356"/>
      <c r="J505" s="14"/>
      <c r="K505" s="12"/>
    </row>
    <row r="506" ht="19.5" customHeight="1">
      <c r="A506" s="221"/>
      <c r="C506" s="12"/>
      <c r="D506" s="87"/>
      <c r="F506" s="14"/>
      <c r="G506" s="14"/>
      <c r="H506" s="14"/>
      <c r="I506" s="356"/>
      <c r="J506" s="14"/>
      <c r="K506" s="12"/>
    </row>
    <row r="507" ht="19.5" customHeight="1">
      <c r="A507" s="221"/>
      <c r="C507" s="12"/>
      <c r="D507" s="87"/>
      <c r="F507" s="14"/>
      <c r="G507" s="14"/>
      <c r="H507" s="14"/>
      <c r="I507" s="356"/>
      <c r="J507" s="14"/>
      <c r="K507" s="12"/>
    </row>
    <row r="508" ht="19.5" customHeight="1">
      <c r="A508" s="221"/>
      <c r="C508" s="12"/>
      <c r="D508" s="87"/>
      <c r="F508" s="14"/>
      <c r="G508" s="14"/>
      <c r="H508" s="14"/>
      <c r="I508" s="356"/>
      <c r="J508" s="14"/>
      <c r="K508" s="12"/>
    </row>
    <row r="509" ht="19.5" customHeight="1">
      <c r="A509" s="221"/>
      <c r="C509" s="12"/>
      <c r="D509" s="87"/>
      <c r="F509" s="14"/>
      <c r="G509" s="14"/>
      <c r="H509" s="14"/>
      <c r="I509" s="356"/>
      <c r="J509" s="14"/>
      <c r="K509" s="12"/>
    </row>
    <row r="510" ht="19.5" customHeight="1">
      <c r="A510" s="221"/>
      <c r="C510" s="12"/>
      <c r="D510" s="87"/>
      <c r="F510" s="14"/>
      <c r="G510" s="14"/>
      <c r="H510" s="14"/>
      <c r="I510" s="356"/>
      <c r="J510" s="14"/>
      <c r="K510" s="12"/>
    </row>
    <row r="511" ht="19.5" customHeight="1">
      <c r="A511" s="221"/>
      <c r="C511" s="12"/>
      <c r="D511" s="87"/>
      <c r="F511" s="14"/>
      <c r="G511" s="14"/>
      <c r="H511" s="14"/>
      <c r="I511" s="356"/>
      <c r="J511" s="14"/>
      <c r="K511" s="12"/>
    </row>
    <row r="512" ht="19.5" customHeight="1">
      <c r="A512" s="221"/>
      <c r="C512" s="12"/>
      <c r="D512" s="87"/>
      <c r="F512" s="14"/>
      <c r="G512" s="14"/>
      <c r="H512" s="14"/>
      <c r="I512" s="356"/>
      <c r="J512" s="14"/>
      <c r="K512" s="12"/>
    </row>
    <row r="513" ht="19.5" customHeight="1">
      <c r="A513" s="221"/>
      <c r="C513" s="12"/>
      <c r="D513" s="87"/>
      <c r="F513" s="14"/>
      <c r="G513" s="14"/>
      <c r="H513" s="14"/>
      <c r="I513" s="356"/>
      <c r="J513" s="14"/>
      <c r="K513" s="12"/>
    </row>
    <row r="514" ht="19.5" customHeight="1">
      <c r="A514" s="221"/>
      <c r="C514" s="12"/>
      <c r="D514" s="87"/>
      <c r="F514" s="14"/>
      <c r="G514" s="14"/>
      <c r="H514" s="14"/>
      <c r="I514" s="356"/>
      <c r="J514" s="14"/>
      <c r="K514" s="12"/>
    </row>
    <row r="515" ht="19.5" customHeight="1">
      <c r="A515" s="221"/>
      <c r="C515" s="12"/>
      <c r="D515" s="87"/>
      <c r="F515" s="14"/>
      <c r="G515" s="14"/>
      <c r="H515" s="14"/>
      <c r="I515" s="356"/>
      <c r="J515" s="14"/>
      <c r="K515" s="12"/>
    </row>
    <row r="516" ht="19.5" customHeight="1">
      <c r="A516" s="221"/>
      <c r="C516" s="12"/>
      <c r="D516" s="87"/>
      <c r="F516" s="14"/>
      <c r="G516" s="14"/>
      <c r="H516" s="14"/>
      <c r="I516" s="356"/>
      <c r="J516" s="14"/>
      <c r="K516" s="12"/>
    </row>
    <row r="517" ht="19.5" customHeight="1">
      <c r="A517" s="221"/>
      <c r="C517" s="12"/>
      <c r="D517" s="87"/>
      <c r="F517" s="14"/>
      <c r="G517" s="14"/>
      <c r="H517" s="14"/>
      <c r="I517" s="356"/>
      <c r="J517" s="14"/>
      <c r="K517" s="12"/>
    </row>
    <row r="518" ht="19.5" customHeight="1">
      <c r="A518" s="221"/>
      <c r="C518" s="12"/>
      <c r="D518" s="87"/>
      <c r="F518" s="14"/>
      <c r="G518" s="14"/>
      <c r="H518" s="14"/>
      <c r="I518" s="356"/>
      <c r="J518" s="14"/>
      <c r="K518" s="12"/>
    </row>
    <row r="519" ht="19.5" customHeight="1">
      <c r="A519" s="221"/>
      <c r="C519" s="12"/>
      <c r="D519" s="87"/>
      <c r="F519" s="14"/>
      <c r="G519" s="14"/>
      <c r="H519" s="14"/>
      <c r="I519" s="356"/>
      <c r="J519" s="14"/>
      <c r="K519" s="12"/>
    </row>
    <row r="520" ht="19.5" customHeight="1">
      <c r="A520" s="221"/>
      <c r="C520" s="12"/>
      <c r="D520" s="87"/>
      <c r="F520" s="14"/>
      <c r="G520" s="14"/>
      <c r="H520" s="14"/>
      <c r="I520" s="356"/>
      <c r="J520" s="14"/>
      <c r="K520" s="12"/>
    </row>
    <row r="521" ht="19.5" customHeight="1">
      <c r="A521" s="221"/>
      <c r="C521" s="12"/>
      <c r="D521" s="87"/>
      <c r="F521" s="14"/>
      <c r="G521" s="14"/>
      <c r="H521" s="14"/>
      <c r="I521" s="356"/>
      <c r="J521" s="14"/>
      <c r="K521" s="12"/>
    </row>
    <row r="522" ht="19.5" customHeight="1">
      <c r="A522" s="221"/>
      <c r="C522" s="12"/>
      <c r="D522" s="87"/>
      <c r="F522" s="14"/>
      <c r="G522" s="14"/>
      <c r="H522" s="14"/>
      <c r="I522" s="356"/>
      <c r="J522" s="14"/>
      <c r="K522" s="12"/>
    </row>
    <row r="523" ht="19.5" customHeight="1">
      <c r="A523" s="221"/>
      <c r="C523" s="12"/>
      <c r="D523" s="87"/>
      <c r="F523" s="14"/>
      <c r="G523" s="14"/>
      <c r="H523" s="14"/>
      <c r="I523" s="356"/>
      <c r="J523" s="14"/>
      <c r="K523" s="12"/>
    </row>
    <row r="524" ht="19.5" customHeight="1">
      <c r="A524" s="221"/>
      <c r="C524" s="12"/>
      <c r="D524" s="87"/>
      <c r="F524" s="14"/>
      <c r="G524" s="14"/>
      <c r="H524" s="14"/>
      <c r="I524" s="356"/>
      <c r="J524" s="14"/>
      <c r="K524" s="12"/>
    </row>
    <row r="525" ht="19.5" customHeight="1">
      <c r="A525" s="221"/>
      <c r="C525" s="12"/>
      <c r="D525" s="87"/>
      <c r="F525" s="14"/>
      <c r="G525" s="14"/>
      <c r="H525" s="14"/>
      <c r="I525" s="356"/>
      <c r="J525" s="14"/>
      <c r="K525" s="12"/>
    </row>
    <row r="526" ht="19.5" customHeight="1">
      <c r="A526" s="221"/>
      <c r="C526" s="12"/>
      <c r="D526" s="87"/>
      <c r="F526" s="14"/>
      <c r="G526" s="14"/>
      <c r="H526" s="14"/>
      <c r="I526" s="356"/>
      <c r="J526" s="14"/>
      <c r="K526" s="12"/>
    </row>
    <row r="527" ht="19.5" customHeight="1">
      <c r="A527" s="221"/>
      <c r="C527" s="12"/>
      <c r="D527" s="87"/>
      <c r="F527" s="14"/>
      <c r="G527" s="14"/>
      <c r="H527" s="14"/>
      <c r="I527" s="356"/>
      <c r="J527" s="14"/>
      <c r="K527" s="12"/>
    </row>
    <row r="528" ht="19.5" customHeight="1">
      <c r="A528" s="221"/>
      <c r="C528" s="12"/>
      <c r="D528" s="87"/>
      <c r="F528" s="14"/>
      <c r="G528" s="14"/>
      <c r="H528" s="14"/>
      <c r="I528" s="356"/>
      <c r="J528" s="14"/>
      <c r="K528" s="12"/>
    </row>
    <row r="529" ht="19.5" customHeight="1">
      <c r="A529" s="221"/>
      <c r="C529" s="12"/>
      <c r="D529" s="87"/>
      <c r="F529" s="14"/>
      <c r="G529" s="14"/>
      <c r="H529" s="14"/>
      <c r="I529" s="356"/>
      <c r="J529" s="14"/>
      <c r="K529" s="12"/>
    </row>
    <row r="530" ht="19.5" customHeight="1">
      <c r="A530" s="221"/>
      <c r="C530" s="12"/>
      <c r="D530" s="87"/>
      <c r="F530" s="14"/>
      <c r="G530" s="14"/>
      <c r="H530" s="14"/>
      <c r="I530" s="356"/>
      <c r="J530" s="14"/>
      <c r="K530" s="12"/>
    </row>
    <row r="531" ht="19.5" customHeight="1">
      <c r="A531" s="221"/>
      <c r="C531" s="12"/>
      <c r="D531" s="87"/>
      <c r="F531" s="14"/>
      <c r="G531" s="14"/>
      <c r="H531" s="14"/>
      <c r="I531" s="356"/>
      <c r="J531" s="14"/>
      <c r="K531" s="12"/>
    </row>
    <row r="532" ht="19.5" customHeight="1">
      <c r="A532" s="221"/>
      <c r="C532" s="12"/>
      <c r="D532" s="87"/>
      <c r="F532" s="14"/>
      <c r="G532" s="14"/>
      <c r="H532" s="14"/>
      <c r="I532" s="356"/>
      <c r="J532" s="14"/>
      <c r="K532" s="12"/>
    </row>
    <row r="533" ht="19.5" customHeight="1">
      <c r="A533" s="221"/>
      <c r="C533" s="12"/>
      <c r="D533" s="87"/>
      <c r="F533" s="14"/>
      <c r="G533" s="14"/>
      <c r="H533" s="14"/>
      <c r="I533" s="356"/>
      <c r="J533" s="14"/>
      <c r="K533" s="12"/>
    </row>
    <row r="534" ht="19.5" customHeight="1">
      <c r="A534" s="221"/>
      <c r="C534" s="12"/>
      <c r="D534" s="87"/>
      <c r="F534" s="14"/>
      <c r="G534" s="14"/>
      <c r="H534" s="14"/>
      <c r="I534" s="356"/>
      <c r="J534" s="14"/>
      <c r="K534" s="12"/>
    </row>
    <row r="535" ht="19.5" customHeight="1">
      <c r="A535" s="221"/>
      <c r="C535" s="12"/>
      <c r="D535" s="87"/>
      <c r="F535" s="14"/>
      <c r="G535" s="14"/>
      <c r="H535" s="14"/>
      <c r="I535" s="356"/>
      <c r="J535" s="14"/>
      <c r="K535" s="12"/>
    </row>
    <row r="536" ht="19.5" customHeight="1">
      <c r="A536" s="221"/>
      <c r="C536" s="12"/>
      <c r="D536" s="87"/>
      <c r="F536" s="14"/>
      <c r="G536" s="14"/>
      <c r="H536" s="14"/>
      <c r="I536" s="356"/>
      <c r="J536" s="14"/>
      <c r="K536" s="12"/>
    </row>
    <row r="537" ht="19.5" customHeight="1">
      <c r="A537" s="221"/>
      <c r="C537" s="12"/>
      <c r="D537" s="87"/>
      <c r="F537" s="14"/>
      <c r="G537" s="14"/>
      <c r="H537" s="14"/>
      <c r="I537" s="356"/>
      <c r="J537" s="14"/>
      <c r="K537" s="12"/>
    </row>
    <row r="538" ht="19.5" customHeight="1">
      <c r="A538" s="221"/>
      <c r="C538" s="12"/>
      <c r="D538" s="87"/>
      <c r="F538" s="14"/>
      <c r="G538" s="14"/>
      <c r="H538" s="14"/>
      <c r="I538" s="356"/>
      <c r="J538" s="14"/>
      <c r="K538" s="12"/>
    </row>
    <row r="539" ht="19.5" customHeight="1">
      <c r="A539" s="221"/>
      <c r="C539" s="12"/>
      <c r="D539" s="87"/>
      <c r="F539" s="14"/>
      <c r="G539" s="14"/>
      <c r="H539" s="14"/>
      <c r="I539" s="356"/>
      <c r="J539" s="14"/>
      <c r="K539" s="12"/>
    </row>
    <row r="540" ht="19.5" customHeight="1">
      <c r="A540" s="221"/>
      <c r="C540" s="12"/>
      <c r="D540" s="87"/>
      <c r="F540" s="14"/>
      <c r="G540" s="14"/>
      <c r="H540" s="14"/>
      <c r="I540" s="356"/>
      <c r="J540" s="14"/>
      <c r="K540" s="12"/>
    </row>
    <row r="541" ht="19.5" customHeight="1">
      <c r="A541" s="221"/>
      <c r="C541" s="12"/>
      <c r="D541" s="87"/>
      <c r="F541" s="14"/>
      <c r="G541" s="14"/>
      <c r="H541" s="14"/>
      <c r="I541" s="356"/>
      <c r="J541" s="14"/>
      <c r="K541" s="12"/>
    </row>
    <row r="542" ht="19.5" customHeight="1">
      <c r="A542" s="221"/>
      <c r="C542" s="12"/>
      <c r="D542" s="87"/>
      <c r="F542" s="14"/>
      <c r="G542" s="14"/>
      <c r="H542" s="14"/>
      <c r="I542" s="356"/>
      <c r="J542" s="14"/>
      <c r="K542" s="12"/>
    </row>
    <row r="543" ht="19.5" customHeight="1">
      <c r="A543" s="221"/>
      <c r="C543" s="12"/>
      <c r="D543" s="87"/>
      <c r="F543" s="14"/>
      <c r="G543" s="14"/>
      <c r="H543" s="14"/>
      <c r="I543" s="356"/>
      <c r="J543" s="14"/>
      <c r="K543" s="12"/>
    </row>
    <row r="544" ht="19.5" customHeight="1">
      <c r="A544" s="221"/>
      <c r="C544" s="12"/>
      <c r="D544" s="87"/>
      <c r="F544" s="14"/>
      <c r="G544" s="14"/>
      <c r="H544" s="14"/>
      <c r="I544" s="356"/>
      <c r="J544" s="14"/>
      <c r="K544" s="12"/>
    </row>
    <row r="545" ht="19.5" customHeight="1">
      <c r="A545" s="221"/>
      <c r="C545" s="12"/>
      <c r="D545" s="87"/>
      <c r="F545" s="14"/>
      <c r="G545" s="14"/>
      <c r="H545" s="14"/>
      <c r="I545" s="356"/>
      <c r="J545" s="14"/>
      <c r="K545" s="12"/>
    </row>
    <row r="546" ht="19.5" customHeight="1">
      <c r="A546" s="221"/>
      <c r="C546" s="12"/>
      <c r="D546" s="87"/>
      <c r="F546" s="14"/>
      <c r="G546" s="14"/>
      <c r="H546" s="14"/>
      <c r="I546" s="356"/>
      <c r="J546" s="14"/>
      <c r="K546" s="12"/>
    </row>
    <row r="547" ht="19.5" customHeight="1">
      <c r="A547" s="221"/>
      <c r="C547" s="12"/>
      <c r="D547" s="87"/>
      <c r="F547" s="14"/>
      <c r="G547" s="14"/>
      <c r="H547" s="14"/>
      <c r="I547" s="356"/>
      <c r="J547" s="14"/>
      <c r="K547" s="12"/>
    </row>
    <row r="548" ht="19.5" customHeight="1">
      <c r="A548" s="221"/>
      <c r="C548" s="12"/>
      <c r="D548" s="87"/>
      <c r="F548" s="14"/>
      <c r="G548" s="14"/>
      <c r="H548" s="14"/>
      <c r="I548" s="356"/>
      <c r="J548" s="14"/>
      <c r="K548" s="12"/>
    </row>
    <row r="549" ht="19.5" customHeight="1">
      <c r="A549" s="221"/>
      <c r="C549" s="12"/>
      <c r="D549" s="87"/>
      <c r="F549" s="14"/>
      <c r="G549" s="14"/>
      <c r="H549" s="14"/>
      <c r="I549" s="356"/>
      <c r="J549" s="14"/>
      <c r="K549" s="12"/>
    </row>
    <row r="550" ht="19.5" customHeight="1">
      <c r="A550" s="221"/>
      <c r="C550" s="12"/>
      <c r="D550" s="87"/>
      <c r="F550" s="14"/>
      <c r="G550" s="14"/>
      <c r="H550" s="14"/>
      <c r="I550" s="356"/>
      <c r="J550" s="14"/>
      <c r="K550" s="12"/>
    </row>
    <row r="551" ht="19.5" customHeight="1">
      <c r="A551" s="221"/>
      <c r="C551" s="12"/>
      <c r="D551" s="87"/>
      <c r="F551" s="14"/>
      <c r="G551" s="14"/>
      <c r="H551" s="14"/>
      <c r="I551" s="356"/>
      <c r="J551" s="14"/>
      <c r="K551" s="12"/>
    </row>
    <row r="552" ht="19.5" customHeight="1">
      <c r="A552" s="221"/>
      <c r="C552" s="12"/>
      <c r="D552" s="87"/>
      <c r="F552" s="14"/>
      <c r="G552" s="14"/>
      <c r="H552" s="14"/>
      <c r="I552" s="356"/>
      <c r="J552" s="14"/>
      <c r="K552" s="12"/>
    </row>
    <row r="553" ht="19.5" customHeight="1">
      <c r="A553" s="221"/>
      <c r="C553" s="12"/>
      <c r="D553" s="87"/>
      <c r="F553" s="14"/>
      <c r="G553" s="14"/>
      <c r="H553" s="14"/>
      <c r="I553" s="356"/>
      <c r="J553" s="14"/>
      <c r="K553" s="12"/>
    </row>
    <row r="554" ht="19.5" customHeight="1">
      <c r="A554" s="221"/>
      <c r="C554" s="12"/>
      <c r="D554" s="87"/>
      <c r="F554" s="14"/>
      <c r="G554" s="14"/>
      <c r="H554" s="14"/>
      <c r="I554" s="356"/>
      <c r="J554" s="14"/>
      <c r="K554" s="12"/>
    </row>
    <row r="555" ht="19.5" customHeight="1">
      <c r="A555" s="221"/>
      <c r="C555" s="12"/>
      <c r="D555" s="87"/>
      <c r="F555" s="14"/>
      <c r="G555" s="14"/>
      <c r="H555" s="14"/>
      <c r="I555" s="356"/>
      <c r="J555" s="14"/>
      <c r="K555" s="12"/>
    </row>
    <row r="556" ht="19.5" customHeight="1">
      <c r="A556" s="221"/>
      <c r="C556" s="12"/>
      <c r="D556" s="87"/>
      <c r="F556" s="14"/>
      <c r="G556" s="14"/>
      <c r="H556" s="14"/>
      <c r="I556" s="356"/>
      <c r="J556" s="14"/>
      <c r="K556" s="12"/>
    </row>
    <row r="557" ht="19.5" customHeight="1">
      <c r="A557" s="221"/>
      <c r="C557" s="12"/>
      <c r="D557" s="87"/>
      <c r="F557" s="14"/>
      <c r="G557" s="14"/>
      <c r="H557" s="14"/>
      <c r="I557" s="356"/>
      <c r="J557" s="14"/>
      <c r="K557" s="12"/>
    </row>
    <row r="558" ht="19.5" customHeight="1">
      <c r="A558" s="221"/>
      <c r="C558" s="12"/>
      <c r="D558" s="87"/>
      <c r="F558" s="14"/>
      <c r="G558" s="14"/>
      <c r="H558" s="14"/>
      <c r="I558" s="356"/>
      <c r="J558" s="14"/>
      <c r="K558" s="12"/>
    </row>
    <row r="559" ht="19.5" customHeight="1">
      <c r="A559" s="221"/>
      <c r="C559" s="12"/>
      <c r="D559" s="87"/>
      <c r="F559" s="14"/>
      <c r="G559" s="14"/>
      <c r="H559" s="14"/>
      <c r="I559" s="356"/>
      <c r="J559" s="14"/>
      <c r="K559" s="12"/>
    </row>
    <row r="560" ht="19.5" customHeight="1">
      <c r="A560" s="221"/>
      <c r="C560" s="12"/>
      <c r="D560" s="87"/>
      <c r="F560" s="14"/>
      <c r="G560" s="14"/>
      <c r="H560" s="14"/>
      <c r="I560" s="356"/>
      <c r="J560" s="14"/>
      <c r="K560" s="12"/>
    </row>
    <row r="561" ht="19.5" customHeight="1">
      <c r="A561" s="221"/>
      <c r="C561" s="12"/>
      <c r="D561" s="87"/>
      <c r="F561" s="14"/>
      <c r="G561" s="14"/>
      <c r="H561" s="14"/>
      <c r="I561" s="356"/>
      <c r="J561" s="14"/>
      <c r="K561" s="12"/>
    </row>
    <row r="562" ht="19.5" customHeight="1">
      <c r="A562" s="221"/>
      <c r="C562" s="12"/>
      <c r="D562" s="87"/>
      <c r="F562" s="14"/>
      <c r="G562" s="14"/>
      <c r="H562" s="14"/>
      <c r="I562" s="356"/>
      <c r="J562" s="14"/>
      <c r="K562" s="12"/>
    </row>
    <row r="563" ht="19.5" customHeight="1">
      <c r="A563" s="221"/>
      <c r="C563" s="12"/>
      <c r="D563" s="87"/>
      <c r="F563" s="14"/>
      <c r="G563" s="14"/>
      <c r="H563" s="14"/>
      <c r="I563" s="356"/>
      <c r="J563" s="14"/>
      <c r="K563" s="12"/>
    </row>
    <row r="564" ht="19.5" customHeight="1">
      <c r="A564" s="221"/>
      <c r="C564" s="12"/>
      <c r="D564" s="87"/>
      <c r="F564" s="14"/>
      <c r="G564" s="14"/>
      <c r="H564" s="14"/>
      <c r="I564" s="356"/>
      <c r="J564" s="14"/>
      <c r="K564" s="12"/>
    </row>
    <row r="565" ht="19.5" customHeight="1">
      <c r="A565" s="221"/>
      <c r="C565" s="12"/>
      <c r="D565" s="87"/>
      <c r="F565" s="14"/>
      <c r="G565" s="14"/>
      <c r="H565" s="14"/>
      <c r="I565" s="356"/>
      <c r="J565" s="14"/>
      <c r="K565" s="12"/>
    </row>
    <row r="566" ht="19.5" customHeight="1">
      <c r="A566" s="221"/>
      <c r="C566" s="12"/>
      <c r="D566" s="87"/>
      <c r="F566" s="14"/>
      <c r="G566" s="14"/>
      <c r="H566" s="14"/>
      <c r="I566" s="356"/>
      <c r="J566" s="14"/>
      <c r="K566" s="12"/>
    </row>
    <row r="567" ht="19.5" customHeight="1">
      <c r="A567" s="221"/>
      <c r="C567" s="12"/>
      <c r="D567" s="87"/>
      <c r="F567" s="14"/>
      <c r="G567" s="14"/>
      <c r="H567" s="14"/>
      <c r="I567" s="356"/>
      <c r="J567" s="14"/>
      <c r="K567" s="12"/>
    </row>
    <row r="568" ht="19.5" customHeight="1">
      <c r="A568" s="221"/>
      <c r="C568" s="12"/>
      <c r="D568" s="87"/>
      <c r="F568" s="14"/>
      <c r="G568" s="14"/>
      <c r="H568" s="14"/>
      <c r="I568" s="356"/>
      <c r="J568" s="14"/>
      <c r="K568" s="12"/>
    </row>
    <row r="569" ht="19.5" customHeight="1">
      <c r="A569" s="221"/>
      <c r="C569" s="12"/>
      <c r="D569" s="87"/>
      <c r="F569" s="14"/>
      <c r="G569" s="14"/>
      <c r="H569" s="14"/>
      <c r="I569" s="356"/>
      <c r="J569" s="14"/>
      <c r="K569" s="12"/>
    </row>
    <row r="570" ht="19.5" customHeight="1">
      <c r="A570" s="221"/>
      <c r="C570" s="12"/>
      <c r="D570" s="87"/>
      <c r="F570" s="14"/>
      <c r="G570" s="14"/>
      <c r="H570" s="14"/>
      <c r="I570" s="356"/>
      <c r="J570" s="14"/>
      <c r="K570" s="12"/>
    </row>
    <row r="571" ht="19.5" customHeight="1">
      <c r="A571" s="221"/>
      <c r="C571" s="12"/>
      <c r="D571" s="87"/>
      <c r="F571" s="14"/>
      <c r="G571" s="14"/>
      <c r="H571" s="14"/>
      <c r="I571" s="356"/>
      <c r="J571" s="14"/>
      <c r="K571" s="12"/>
    </row>
    <row r="572" ht="19.5" customHeight="1">
      <c r="A572" s="221"/>
      <c r="C572" s="12"/>
      <c r="D572" s="87"/>
      <c r="F572" s="14"/>
      <c r="G572" s="14"/>
      <c r="H572" s="14"/>
      <c r="I572" s="356"/>
      <c r="J572" s="14"/>
      <c r="K572" s="12"/>
    </row>
    <row r="573" ht="19.5" customHeight="1">
      <c r="A573" s="221"/>
      <c r="C573" s="12"/>
      <c r="D573" s="87"/>
      <c r="F573" s="14"/>
      <c r="G573" s="14"/>
      <c r="H573" s="14"/>
      <c r="I573" s="356"/>
      <c r="J573" s="14"/>
      <c r="K573" s="12"/>
    </row>
    <row r="574" ht="19.5" customHeight="1">
      <c r="A574" s="221"/>
      <c r="C574" s="12"/>
      <c r="D574" s="87"/>
      <c r="F574" s="14"/>
      <c r="G574" s="14"/>
      <c r="H574" s="14"/>
      <c r="I574" s="356"/>
      <c r="J574" s="14"/>
      <c r="K574" s="12"/>
    </row>
    <row r="575" ht="19.5" customHeight="1">
      <c r="A575" s="221"/>
      <c r="C575" s="12"/>
      <c r="D575" s="87"/>
      <c r="F575" s="14"/>
      <c r="G575" s="14"/>
      <c r="H575" s="14"/>
      <c r="I575" s="356"/>
      <c r="J575" s="14"/>
      <c r="K575" s="12"/>
    </row>
    <row r="576" ht="19.5" customHeight="1">
      <c r="A576" s="221"/>
      <c r="C576" s="12"/>
      <c r="D576" s="87"/>
      <c r="F576" s="14"/>
      <c r="G576" s="14"/>
      <c r="H576" s="14"/>
      <c r="I576" s="356"/>
      <c r="J576" s="14"/>
      <c r="K576" s="12"/>
    </row>
    <row r="577" ht="19.5" customHeight="1">
      <c r="A577" s="221"/>
      <c r="C577" s="12"/>
      <c r="D577" s="87"/>
      <c r="F577" s="14"/>
      <c r="G577" s="14"/>
      <c r="H577" s="14"/>
      <c r="I577" s="356"/>
      <c r="J577" s="14"/>
      <c r="K577" s="12"/>
    </row>
    <row r="578" ht="19.5" customHeight="1">
      <c r="A578" s="221"/>
      <c r="C578" s="12"/>
      <c r="D578" s="87"/>
      <c r="F578" s="14"/>
      <c r="G578" s="14"/>
      <c r="H578" s="14"/>
      <c r="I578" s="356"/>
      <c r="J578" s="14"/>
      <c r="K578" s="12"/>
    </row>
    <row r="579" ht="19.5" customHeight="1">
      <c r="A579" s="221"/>
      <c r="C579" s="12"/>
      <c r="D579" s="87"/>
      <c r="F579" s="14"/>
      <c r="G579" s="14"/>
      <c r="H579" s="14"/>
      <c r="I579" s="356"/>
      <c r="J579" s="14"/>
      <c r="K579" s="12"/>
    </row>
    <row r="580" ht="19.5" customHeight="1">
      <c r="A580" s="221"/>
      <c r="C580" s="12"/>
      <c r="D580" s="87"/>
      <c r="F580" s="14"/>
      <c r="G580" s="14"/>
      <c r="H580" s="14"/>
      <c r="I580" s="356"/>
      <c r="J580" s="14"/>
      <c r="K580" s="12"/>
    </row>
    <row r="581" ht="19.5" customHeight="1">
      <c r="A581" s="221"/>
      <c r="C581" s="12"/>
      <c r="D581" s="87"/>
      <c r="F581" s="14"/>
      <c r="G581" s="14"/>
      <c r="H581" s="14"/>
      <c r="I581" s="356"/>
      <c r="J581" s="14"/>
      <c r="K581" s="12"/>
    </row>
    <row r="582" ht="19.5" customHeight="1">
      <c r="A582" s="221"/>
      <c r="C582" s="12"/>
      <c r="D582" s="87"/>
      <c r="F582" s="14"/>
      <c r="G582" s="14"/>
      <c r="H582" s="14"/>
      <c r="I582" s="356"/>
      <c r="J582" s="14"/>
      <c r="K582" s="12"/>
    </row>
    <row r="583" ht="19.5" customHeight="1">
      <c r="A583" s="221"/>
      <c r="C583" s="12"/>
      <c r="D583" s="87"/>
      <c r="F583" s="14"/>
      <c r="G583" s="14"/>
      <c r="H583" s="14"/>
      <c r="I583" s="356"/>
      <c r="J583" s="14"/>
      <c r="K583" s="12"/>
    </row>
    <row r="584" ht="19.5" customHeight="1">
      <c r="A584" s="221"/>
      <c r="C584" s="12"/>
      <c r="D584" s="87"/>
      <c r="F584" s="14"/>
      <c r="G584" s="14"/>
      <c r="H584" s="14"/>
      <c r="I584" s="356"/>
      <c r="J584" s="14"/>
      <c r="K584" s="12"/>
    </row>
    <row r="585" ht="19.5" customHeight="1">
      <c r="A585" s="221"/>
      <c r="C585" s="12"/>
      <c r="D585" s="87"/>
      <c r="F585" s="14"/>
      <c r="G585" s="14"/>
      <c r="H585" s="14"/>
      <c r="I585" s="356"/>
      <c r="J585" s="14"/>
      <c r="K585" s="12"/>
    </row>
    <row r="586" ht="19.5" customHeight="1">
      <c r="A586" s="221"/>
      <c r="C586" s="12"/>
      <c r="D586" s="87"/>
      <c r="F586" s="14"/>
      <c r="G586" s="14"/>
      <c r="H586" s="14"/>
      <c r="I586" s="356"/>
      <c r="J586" s="14"/>
      <c r="K586" s="12"/>
    </row>
    <row r="587" ht="19.5" customHeight="1">
      <c r="A587" s="221"/>
      <c r="C587" s="12"/>
      <c r="D587" s="87"/>
      <c r="F587" s="14"/>
      <c r="G587" s="14"/>
      <c r="H587" s="14"/>
      <c r="I587" s="356"/>
      <c r="J587" s="14"/>
      <c r="K587" s="12"/>
    </row>
    <row r="588" ht="19.5" customHeight="1">
      <c r="A588" s="221"/>
      <c r="C588" s="12"/>
      <c r="D588" s="87"/>
      <c r="F588" s="14"/>
      <c r="G588" s="14"/>
      <c r="H588" s="14"/>
      <c r="I588" s="356"/>
      <c r="J588" s="14"/>
      <c r="K588" s="12"/>
    </row>
    <row r="589" ht="19.5" customHeight="1">
      <c r="A589" s="221"/>
      <c r="C589" s="12"/>
      <c r="D589" s="87"/>
      <c r="F589" s="14"/>
      <c r="G589" s="14"/>
      <c r="H589" s="14"/>
      <c r="I589" s="356"/>
      <c r="J589" s="14"/>
      <c r="K589" s="12"/>
    </row>
    <row r="590" ht="19.5" customHeight="1">
      <c r="A590" s="221"/>
      <c r="C590" s="12"/>
      <c r="D590" s="87"/>
      <c r="F590" s="14"/>
      <c r="G590" s="14"/>
      <c r="H590" s="14"/>
      <c r="I590" s="356"/>
      <c r="J590" s="14"/>
      <c r="K590" s="12"/>
    </row>
    <row r="591" ht="19.5" customHeight="1">
      <c r="A591" s="221"/>
      <c r="C591" s="12"/>
      <c r="D591" s="87"/>
      <c r="F591" s="14"/>
      <c r="G591" s="14"/>
      <c r="H591" s="14"/>
      <c r="I591" s="356"/>
      <c r="J591" s="14"/>
      <c r="K591" s="12"/>
    </row>
    <row r="592" ht="19.5" customHeight="1">
      <c r="A592" s="221"/>
      <c r="C592" s="12"/>
      <c r="D592" s="87"/>
      <c r="F592" s="14"/>
      <c r="G592" s="14"/>
      <c r="H592" s="14"/>
      <c r="I592" s="356"/>
      <c r="J592" s="14"/>
      <c r="K592" s="12"/>
    </row>
    <row r="593" ht="19.5" customHeight="1">
      <c r="A593" s="221"/>
      <c r="C593" s="12"/>
      <c r="D593" s="87"/>
      <c r="F593" s="14"/>
      <c r="G593" s="14"/>
      <c r="H593" s="14"/>
      <c r="I593" s="356"/>
      <c r="J593" s="14"/>
      <c r="K593" s="12"/>
    </row>
    <row r="594" ht="19.5" customHeight="1">
      <c r="A594" s="221"/>
      <c r="C594" s="12"/>
      <c r="D594" s="87"/>
      <c r="F594" s="14"/>
      <c r="G594" s="14"/>
      <c r="H594" s="14"/>
      <c r="I594" s="356"/>
      <c r="J594" s="14"/>
      <c r="K594" s="12"/>
    </row>
    <row r="595" ht="19.5" customHeight="1">
      <c r="A595" s="221"/>
      <c r="C595" s="12"/>
      <c r="D595" s="87"/>
      <c r="F595" s="14"/>
      <c r="G595" s="14"/>
      <c r="H595" s="14"/>
      <c r="I595" s="356"/>
      <c r="J595" s="14"/>
      <c r="K595" s="12"/>
    </row>
    <row r="596" ht="19.5" customHeight="1">
      <c r="A596" s="221"/>
      <c r="C596" s="12"/>
      <c r="D596" s="87"/>
      <c r="F596" s="14"/>
      <c r="G596" s="14"/>
      <c r="H596" s="14"/>
      <c r="I596" s="356"/>
      <c r="J596" s="14"/>
      <c r="K596" s="12"/>
    </row>
    <row r="597" ht="19.5" customHeight="1">
      <c r="A597" s="221"/>
      <c r="C597" s="12"/>
      <c r="D597" s="87"/>
      <c r="F597" s="14"/>
      <c r="G597" s="14"/>
      <c r="H597" s="14"/>
      <c r="I597" s="356"/>
      <c r="J597" s="14"/>
      <c r="K597" s="12"/>
    </row>
    <row r="598" ht="19.5" customHeight="1">
      <c r="A598" s="221"/>
      <c r="C598" s="12"/>
      <c r="D598" s="87"/>
      <c r="F598" s="14"/>
      <c r="G598" s="14"/>
      <c r="H598" s="14"/>
      <c r="I598" s="356"/>
      <c r="J598" s="14"/>
      <c r="K598" s="12"/>
    </row>
    <row r="599" ht="19.5" customHeight="1">
      <c r="A599" s="221"/>
      <c r="C599" s="12"/>
      <c r="D599" s="87"/>
      <c r="F599" s="14"/>
      <c r="G599" s="14"/>
      <c r="H599" s="14"/>
      <c r="I599" s="356"/>
      <c r="J599" s="14"/>
      <c r="K599" s="12"/>
    </row>
    <row r="600" ht="19.5" customHeight="1">
      <c r="A600" s="221"/>
      <c r="C600" s="12"/>
      <c r="D600" s="87"/>
      <c r="F600" s="14"/>
      <c r="G600" s="14"/>
      <c r="H600" s="14"/>
      <c r="I600" s="356"/>
      <c r="J600" s="14"/>
      <c r="K600" s="12"/>
    </row>
    <row r="601" ht="19.5" customHeight="1">
      <c r="A601" s="221"/>
      <c r="C601" s="12"/>
      <c r="D601" s="87"/>
      <c r="F601" s="14"/>
      <c r="G601" s="14"/>
      <c r="H601" s="14"/>
      <c r="I601" s="356"/>
      <c r="J601" s="14"/>
      <c r="K601" s="12"/>
    </row>
    <row r="602" ht="19.5" customHeight="1">
      <c r="A602" s="221"/>
      <c r="C602" s="12"/>
      <c r="D602" s="87"/>
      <c r="F602" s="14"/>
      <c r="G602" s="14"/>
      <c r="H602" s="14"/>
      <c r="I602" s="356"/>
      <c r="J602" s="14"/>
      <c r="K602" s="12"/>
    </row>
    <row r="603" ht="19.5" customHeight="1">
      <c r="A603" s="221"/>
      <c r="C603" s="12"/>
      <c r="D603" s="87"/>
      <c r="F603" s="14"/>
      <c r="G603" s="14"/>
      <c r="H603" s="14"/>
      <c r="I603" s="356"/>
      <c r="J603" s="14"/>
      <c r="K603" s="12"/>
    </row>
    <row r="604" ht="19.5" customHeight="1">
      <c r="A604" s="221"/>
      <c r="C604" s="12"/>
      <c r="D604" s="87"/>
      <c r="F604" s="14"/>
      <c r="G604" s="14"/>
      <c r="H604" s="14"/>
      <c r="I604" s="356"/>
      <c r="J604" s="14"/>
      <c r="K604" s="12"/>
    </row>
    <row r="605" ht="19.5" customHeight="1">
      <c r="A605" s="221"/>
      <c r="C605" s="12"/>
      <c r="D605" s="87"/>
      <c r="F605" s="14"/>
      <c r="G605" s="14"/>
      <c r="H605" s="14"/>
      <c r="I605" s="356"/>
      <c r="J605" s="14"/>
      <c r="K605" s="12"/>
    </row>
    <row r="606" ht="19.5" customHeight="1">
      <c r="A606" s="221"/>
      <c r="C606" s="12"/>
      <c r="D606" s="87"/>
      <c r="F606" s="14"/>
      <c r="G606" s="14"/>
      <c r="H606" s="14"/>
      <c r="I606" s="356"/>
      <c r="J606" s="14"/>
      <c r="K606" s="12"/>
    </row>
    <row r="607" ht="19.5" customHeight="1">
      <c r="A607" s="221"/>
      <c r="C607" s="12"/>
      <c r="D607" s="87"/>
      <c r="F607" s="14"/>
      <c r="G607" s="14"/>
      <c r="H607" s="14"/>
      <c r="I607" s="356"/>
      <c r="J607" s="14"/>
      <c r="K607" s="12"/>
    </row>
    <row r="608" ht="19.5" customHeight="1">
      <c r="A608" s="221"/>
      <c r="C608" s="12"/>
      <c r="D608" s="87"/>
      <c r="F608" s="14"/>
      <c r="G608" s="14"/>
      <c r="H608" s="14"/>
      <c r="I608" s="356"/>
      <c r="J608" s="14"/>
      <c r="K608" s="12"/>
    </row>
    <row r="609" ht="19.5" customHeight="1">
      <c r="A609" s="221"/>
      <c r="C609" s="12"/>
      <c r="D609" s="87"/>
      <c r="F609" s="14"/>
      <c r="G609" s="14"/>
      <c r="H609" s="14"/>
      <c r="I609" s="356"/>
      <c r="J609" s="14"/>
      <c r="K609" s="12"/>
    </row>
    <row r="610" ht="19.5" customHeight="1">
      <c r="A610" s="221"/>
      <c r="C610" s="12"/>
      <c r="D610" s="87"/>
      <c r="F610" s="14"/>
      <c r="G610" s="14"/>
      <c r="H610" s="14"/>
      <c r="I610" s="356"/>
      <c r="J610" s="14"/>
      <c r="K610" s="12"/>
    </row>
    <row r="611" ht="19.5" customHeight="1">
      <c r="A611" s="221"/>
      <c r="C611" s="12"/>
      <c r="D611" s="87"/>
      <c r="F611" s="14"/>
      <c r="G611" s="14"/>
      <c r="H611" s="14"/>
      <c r="I611" s="356"/>
      <c r="J611" s="14"/>
      <c r="K611" s="12"/>
    </row>
    <row r="612" ht="19.5" customHeight="1">
      <c r="A612" s="221"/>
      <c r="C612" s="12"/>
      <c r="D612" s="87"/>
      <c r="F612" s="14"/>
      <c r="G612" s="14"/>
      <c r="H612" s="14"/>
      <c r="I612" s="356"/>
      <c r="J612" s="14"/>
      <c r="K612" s="12"/>
    </row>
    <row r="613" ht="19.5" customHeight="1">
      <c r="A613" s="221"/>
      <c r="C613" s="12"/>
      <c r="D613" s="87"/>
      <c r="F613" s="14"/>
      <c r="G613" s="14"/>
      <c r="H613" s="14"/>
      <c r="I613" s="356"/>
      <c r="J613" s="14"/>
      <c r="K613" s="12"/>
    </row>
    <row r="614" ht="19.5" customHeight="1">
      <c r="A614" s="221"/>
      <c r="C614" s="12"/>
      <c r="D614" s="87"/>
      <c r="F614" s="14"/>
      <c r="G614" s="14"/>
      <c r="H614" s="14"/>
      <c r="I614" s="356"/>
      <c r="J614" s="14"/>
      <c r="K614" s="12"/>
    </row>
    <row r="615" ht="19.5" customHeight="1">
      <c r="A615" s="221"/>
      <c r="C615" s="12"/>
      <c r="D615" s="87"/>
      <c r="F615" s="14"/>
      <c r="G615" s="14"/>
      <c r="H615" s="14"/>
      <c r="I615" s="356"/>
      <c r="J615" s="14"/>
      <c r="K615" s="12"/>
    </row>
    <row r="616" ht="19.5" customHeight="1">
      <c r="A616" s="221"/>
      <c r="C616" s="12"/>
      <c r="D616" s="87"/>
      <c r="F616" s="14"/>
      <c r="G616" s="14"/>
      <c r="H616" s="14"/>
      <c r="I616" s="356"/>
      <c r="J616" s="14"/>
      <c r="K616" s="12"/>
    </row>
    <row r="617" ht="19.5" customHeight="1">
      <c r="A617" s="221"/>
      <c r="C617" s="12"/>
      <c r="D617" s="87"/>
      <c r="F617" s="14"/>
      <c r="G617" s="14"/>
      <c r="H617" s="14"/>
      <c r="I617" s="356"/>
      <c r="J617" s="14"/>
      <c r="K617" s="12"/>
    </row>
    <row r="618" ht="19.5" customHeight="1">
      <c r="A618" s="221"/>
      <c r="C618" s="12"/>
      <c r="D618" s="87"/>
      <c r="F618" s="14"/>
      <c r="G618" s="14"/>
      <c r="H618" s="14"/>
      <c r="I618" s="356"/>
      <c r="J618" s="14"/>
      <c r="K618" s="12"/>
    </row>
    <row r="619" ht="19.5" customHeight="1">
      <c r="A619" s="221"/>
      <c r="C619" s="12"/>
      <c r="D619" s="87"/>
      <c r="F619" s="14"/>
      <c r="G619" s="14"/>
      <c r="H619" s="14"/>
      <c r="I619" s="356"/>
      <c r="J619" s="14"/>
      <c r="K619" s="12"/>
    </row>
    <row r="620" ht="19.5" customHeight="1">
      <c r="A620" s="221"/>
      <c r="C620" s="12"/>
      <c r="D620" s="87"/>
      <c r="F620" s="14"/>
      <c r="G620" s="14"/>
      <c r="H620" s="14"/>
      <c r="I620" s="356"/>
      <c r="J620" s="14"/>
      <c r="K620" s="12"/>
    </row>
    <row r="621" ht="19.5" customHeight="1">
      <c r="A621" s="221"/>
      <c r="C621" s="12"/>
      <c r="D621" s="87"/>
      <c r="F621" s="14"/>
      <c r="G621" s="14"/>
      <c r="H621" s="14"/>
      <c r="I621" s="356"/>
      <c r="J621" s="14"/>
      <c r="K621" s="12"/>
    </row>
    <row r="622" ht="19.5" customHeight="1">
      <c r="A622" s="221"/>
      <c r="C622" s="12"/>
      <c r="D622" s="87"/>
      <c r="F622" s="14"/>
      <c r="G622" s="14"/>
      <c r="H622" s="14"/>
      <c r="I622" s="356"/>
      <c r="J622" s="14"/>
      <c r="K622" s="12"/>
    </row>
    <row r="623" ht="19.5" customHeight="1">
      <c r="A623" s="221"/>
      <c r="C623" s="12"/>
      <c r="D623" s="87"/>
      <c r="F623" s="14"/>
      <c r="G623" s="14"/>
      <c r="H623" s="14"/>
      <c r="I623" s="356"/>
      <c r="J623" s="14"/>
      <c r="K623" s="12"/>
    </row>
    <row r="624" ht="19.5" customHeight="1">
      <c r="A624" s="221"/>
      <c r="C624" s="12"/>
      <c r="D624" s="87"/>
      <c r="F624" s="14"/>
      <c r="G624" s="14"/>
      <c r="H624" s="14"/>
      <c r="I624" s="356"/>
      <c r="J624" s="14"/>
      <c r="K624" s="12"/>
    </row>
    <row r="625" ht="19.5" customHeight="1">
      <c r="A625" s="221"/>
      <c r="C625" s="12"/>
      <c r="D625" s="87"/>
      <c r="F625" s="14"/>
      <c r="G625" s="14"/>
      <c r="H625" s="14"/>
      <c r="I625" s="356"/>
      <c r="J625" s="14"/>
      <c r="K625" s="12"/>
    </row>
    <row r="626" ht="19.5" customHeight="1">
      <c r="A626" s="221"/>
      <c r="C626" s="12"/>
      <c r="D626" s="87"/>
      <c r="F626" s="14"/>
      <c r="G626" s="14"/>
      <c r="H626" s="14"/>
      <c r="I626" s="356"/>
      <c r="J626" s="14"/>
      <c r="K626" s="12"/>
    </row>
    <row r="627" ht="19.5" customHeight="1">
      <c r="A627" s="221"/>
      <c r="C627" s="12"/>
      <c r="D627" s="87"/>
      <c r="F627" s="14"/>
      <c r="G627" s="14"/>
      <c r="H627" s="14"/>
      <c r="I627" s="356"/>
      <c r="J627" s="14"/>
      <c r="K627" s="12"/>
    </row>
    <row r="628" ht="19.5" customHeight="1">
      <c r="A628" s="221"/>
      <c r="C628" s="12"/>
      <c r="D628" s="87"/>
      <c r="F628" s="14"/>
      <c r="G628" s="14"/>
      <c r="H628" s="14"/>
      <c r="I628" s="356"/>
      <c r="J628" s="14"/>
      <c r="K628" s="12"/>
    </row>
    <row r="629" ht="19.5" customHeight="1">
      <c r="A629" s="221"/>
      <c r="C629" s="12"/>
      <c r="D629" s="87"/>
      <c r="F629" s="14"/>
      <c r="G629" s="14"/>
      <c r="H629" s="14"/>
      <c r="I629" s="356"/>
      <c r="J629" s="14"/>
      <c r="K629" s="12"/>
    </row>
    <row r="630" ht="19.5" customHeight="1">
      <c r="A630" s="221"/>
      <c r="C630" s="12"/>
      <c r="D630" s="87"/>
      <c r="F630" s="14"/>
      <c r="G630" s="14"/>
      <c r="H630" s="14"/>
      <c r="I630" s="356"/>
      <c r="J630" s="14"/>
      <c r="K630" s="12"/>
    </row>
    <row r="631" ht="19.5" customHeight="1">
      <c r="A631" s="221"/>
      <c r="C631" s="12"/>
      <c r="D631" s="87"/>
      <c r="F631" s="14"/>
      <c r="G631" s="14"/>
      <c r="H631" s="14"/>
      <c r="I631" s="356"/>
      <c r="J631" s="14"/>
      <c r="K631" s="12"/>
    </row>
    <row r="632" ht="19.5" customHeight="1">
      <c r="A632" s="221"/>
      <c r="C632" s="12"/>
      <c r="D632" s="87"/>
      <c r="F632" s="14"/>
      <c r="G632" s="14"/>
      <c r="H632" s="14"/>
      <c r="I632" s="356"/>
      <c r="J632" s="14"/>
      <c r="K632" s="12"/>
    </row>
    <row r="633" ht="19.5" customHeight="1">
      <c r="A633" s="221"/>
      <c r="C633" s="12"/>
      <c r="D633" s="87"/>
      <c r="F633" s="14"/>
      <c r="G633" s="14"/>
      <c r="H633" s="14"/>
      <c r="I633" s="356"/>
      <c r="J633" s="14"/>
      <c r="K633" s="12"/>
    </row>
    <row r="634" ht="19.5" customHeight="1">
      <c r="A634" s="221"/>
      <c r="C634" s="12"/>
      <c r="D634" s="87"/>
      <c r="F634" s="14"/>
      <c r="G634" s="14"/>
      <c r="H634" s="14"/>
      <c r="I634" s="356"/>
      <c r="J634" s="14"/>
      <c r="K634" s="12"/>
    </row>
    <row r="635" ht="19.5" customHeight="1">
      <c r="A635" s="221"/>
      <c r="C635" s="12"/>
      <c r="D635" s="87"/>
      <c r="F635" s="14"/>
      <c r="G635" s="14"/>
      <c r="H635" s="14"/>
      <c r="I635" s="356"/>
      <c r="J635" s="14"/>
      <c r="K635" s="12"/>
    </row>
    <row r="636" ht="19.5" customHeight="1">
      <c r="A636" s="221"/>
      <c r="C636" s="12"/>
      <c r="D636" s="87"/>
      <c r="F636" s="14"/>
      <c r="G636" s="14"/>
      <c r="H636" s="14"/>
      <c r="I636" s="356"/>
      <c r="J636" s="14"/>
      <c r="K636" s="12"/>
    </row>
    <row r="637" ht="19.5" customHeight="1">
      <c r="A637" s="221"/>
      <c r="C637" s="12"/>
      <c r="D637" s="87"/>
      <c r="F637" s="14"/>
      <c r="G637" s="14"/>
      <c r="H637" s="14"/>
      <c r="I637" s="356"/>
      <c r="J637" s="14"/>
      <c r="K637" s="12"/>
    </row>
    <row r="638" ht="19.5" customHeight="1">
      <c r="A638" s="221"/>
      <c r="C638" s="12"/>
      <c r="D638" s="87"/>
      <c r="F638" s="14"/>
      <c r="G638" s="14"/>
      <c r="H638" s="14"/>
      <c r="I638" s="356"/>
      <c r="J638" s="14"/>
      <c r="K638" s="12"/>
    </row>
    <row r="639" ht="19.5" customHeight="1">
      <c r="A639" s="221"/>
      <c r="C639" s="12"/>
      <c r="D639" s="87"/>
      <c r="F639" s="14"/>
      <c r="G639" s="14"/>
      <c r="H639" s="14"/>
      <c r="I639" s="356"/>
      <c r="J639" s="14"/>
      <c r="K639" s="12"/>
    </row>
    <row r="640" ht="19.5" customHeight="1">
      <c r="A640" s="221"/>
      <c r="C640" s="12"/>
      <c r="D640" s="87"/>
      <c r="F640" s="14"/>
      <c r="G640" s="14"/>
      <c r="H640" s="14"/>
      <c r="I640" s="356"/>
      <c r="J640" s="14"/>
      <c r="K640" s="12"/>
    </row>
    <row r="641" ht="19.5" customHeight="1">
      <c r="A641" s="221"/>
      <c r="C641" s="12"/>
      <c r="D641" s="87"/>
      <c r="F641" s="14"/>
      <c r="G641" s="14"/>
      <c r="H641" s="14"/>
      <c r="I641" s="356"/>
      <c r="J641" s="14"/>
      <c r="K641" s="12"/>
    </row>
    <row r="642" ht="19.5" customHeight="1">
      <c r="A642" s="221"/>
      <c r="C642" s="12"/>
      <c r="D642" s="87"/>
      <c r="F642" s="14"/>
      <c r="G642" s="14"/>
      <c r="H642" s="14"/>
      <c r="I642" s="356"/>
      <c r="J642" s="14"/>
      <c r="K642" s="12"/>
    </row>
    <row r="643" ht="19.5" customHeight="1">
      <c r="A643" s="221"/>
      <c r="C643" s="12"/>
      <c r="D643" s="87"/>
      <c r="F643" s="14"/>
      <c r="G643" s="14"/>
      <c r="H643" s="14"/>
      <c r="I643" s="356"/>
      <c r="J643" s="14"/>
      <c r="K643" s="12"/>
    </row>
    <row r="644" ht="19.5" customHeight="1">
      <c r="A644" s="221"/>
      <c r="C644" s="12"/>
      <c r="D644" s="87"/>
      <c r="F644" s="14"/>
      <c r="G644" s="14"/>
      <c r="H644" s="14"/>
      <c r="I644" s="356"/>
      <c r="J644" s="14"/>
      <c r="K644" s="12"/>
    </row>
    <row r="645" ht="19.5" customHeight="1">
      <c r="A645" s="221"/>
      <c r="C645" s="12"/>
      <c r="D645" s="87"/>
      <c r="F645" s="14"/>
      <c r="G645" s="14"/>
      <c r="H645" s="14"/>
      <c r="I645" s="356"/>
      <c r="J645" s="14"/>
      <c r="K645" s="12"/>
    </row>
    <row r="646" ht="19.5" customHeight="1">
      <c r="A646" s="221"/>
      <c r="C646" s="12"/>
      <c r="D646" s="87"/>
      <c r="F646" s="14"/>
      <c r="G646" s="14"/>
      <c r="H646" s="14"/>
      <c r="I646" s="356"/>
      <c r="J646" s="14"/>
      <c r="K646" s="12"/>
    </row>
    <row r="647" ht="19.5" customHeight="1">
      <c r="A647" s="221"/>
      <c r="C647" s="12"/>
      <c r="D647" s="87"/>
      <c r="F647" s="14"/>
      <c r="G647" s="14"/>
      <c r="H647" s="14"/>
      <c r="I647" s="356"/>
      <c r="J647" s="14"/>
      <c r="K647" s="12"/>
    </row>
    <row r="648" ht="19.5" customHeight="1">
      <c r="A648" s="221"/>
      <c r="C648" s="12"/>
      <c r="D648" s="87"/>
      <c r="F648" s="14"/>
      <c r="G648" s="14"/>
      <c r="H648" s="14"/>
      <c r="I648" s="356"/>
      <c r="J648" s="14"/>
      <c r="K648" s="12"/>
    </row>
    <row r="649" ht="19.5" customHeight="1">
      <c r="A649" s="221"/>
      <c r="C649" s="12"/>
      <c r="D649" s="87"/>
      <c r="F649" s="14"/>
      <c r="G649" s="14"/>
      <c r="H649" s="14"/>
      <c r="I649" s="356"/>
      <c r="J649" s="14"/>
      <c r="K649" s="12"/>
    </row>
    <row r="650" ht="19.5" customHeight="1">
      <c r="A650" s="221"/>
      <c r="C650" s="12"/>
      <c r="D650" s="87"/>
      <c r="F650" s="14"/>
      <c r="G650" s="14"/>
      <c r="H650" s="14"/>
      <c r="I650" s="356"/>
      <c r="J650" s="14"/>
      <c r="K650" s="12"/>
    </row>
    <row r="651" ht="19.5" customHeight="1">
      <c r="A651" s="221"/>
      <c r="C651" s="12"/>
      <c r="D651" s="87"/>
      <c r="F651" s="14"/>
      <c r="G651" s="14"/>
      <c r="H651" s="14"/>
      <c r="I651" s="356"/>
      <c r="J651" s="14"/>
      <c r="K651" s="12"/>
    </row>
    <row r="652" ht="19.5" customHeight="1">
      <c r="A652" s="221"/>
      <c r="C652" s="12"/>
      <c r="D652" s="87"/>
      <c r="F652" s="14"/>
      <c r="G652" s="14"/>
      <c r="H652" s="14"/>
      <c r="I652" s="356"/>
      <c r="J652" s="14"/>
      <c r="K652" s="12"/>
    </row>
    <row r="653" ht="19.5" customHeight="1">
      <c r="A653" s="221"/>
      <c r="C653" s="12"/>
      <c r="D653" s="87"/>
      <c r="F653" s="14"/>
      <c r="G653" s="14"/>
      <c r="H653" s="14"/>
      <c r="I653" s="356"/>
      <c r="J653" s="14"/>
      <c r="K653" s="12"/>
    </row>
    <row r="654" ht="19.5" customHeight="1">
      <c r="A654" s="221"/>
      <c r="C654" s="12"/>
      <c r="D654" s="87"/>
      <c r="F654" s="14"/>
      <c r="G654" s="14"/>
      <c r="H654" s="14"/>
      <c r="I654" s="356"/>
      <c r="J654" s="14"/>
      <c r="K654" s="12"/>
    </row>
    <row r="655" ht="19.5" customHeight="1">
      <c r="A655" s="221"/>
      <c r="C655" s="12"/>
      <c r="D655" s="87"/>
      <c r="F655" s="14"/>
      <c r="G655" s="14"/>
      <c r="H655" s="14"/>
      <c r="I655" s="356"/>
      <c r="J655" s="14"/>
      <c r="K655" s="12"/>
    </row>
    <row r="656" ht="19.5" customHeight="1">
      <c r="A656" s="221"/>
      <c r="C656" s="12"/>
      <c r="D656" s="87"/>
      <c r="F656" s="14"/>
      <c r="G656" s="14"/>
      <c r="H656" s="14"/>
      <c r="I656" s="356"/>
      <c r="J656" s="14"/>
      <c r="K656" s="12"/>
    </row>
    <row r="657" ht="19.5" customHeight="1">
      <c r="A657" s="221"/>
      <c r="C657" s="12"/>
      <c r="D657" s="87"/>
      <c r="F657" s="14"/>
      <c r="G657" s="14"/>
      <c r="H657" s="14"/>
      <c r="I657" s="356"/>
      <c r="J657" s="14"/>
      <c r="K657" s="12"/>
    </row>
    <row r="658" ht="19.5" customHeight="1">
      <c r="A658" s="221"/>
      <c r="C658" s="12"/>
      <c r="D658" s="87"/>
      <c r="F658" s="14"/>
      <c r="G658" s="14"/>
      <c r="H658" s="14"/>
      <c r="I658" s="356"/>
      <c r="J658" s="14"/>
      <c r="K658" s="12"/>
    </row>
    <row r="659" ht="19.5" customHeight="1">
      <c r="A659" s="221"/>
      <c r="C659" s="12"/>
      <c r="D659" s="87"/>
      <c r="F659" s="14"/>
      <c r="G659" s="14"/>
      <c r="H659" s="14"/>
      <c r="I659" s="356"/>
      <c r="J659" s="14"/>
      <c r="K659" s="12"/>
    </row>
    <row r="660" ht="19.5" customHeight="1">
      <c r="A660" s="221"/>
      <c r="C660" s="12"/>
      <c r="D660" s="87"/>
      <c r="F660" s="14"/>
      <c r="G660" s="14"/>
      <c r="H660" s="14"/>
      <c r="I660" s="356"/>
      <c r="J660" s="14"/>
      <c r="K660" s="12"/>
    </row>
    <row r="661" ht="19.5" customHeight="1">
      <c r="A661" s="221"/>
      <c r="C661" s="12"/>
      <c r="D661" s="87"/>
      <c r="F661" s="14"/>
      <c r="G661" s="14"/>
      <c r="H661" s="14"/>
      <c r="I661" s="356"/>
      <c r="J661" s="14"/>
      <c r="K661" s="12"/>
    </row>
    <row r="662" ht="19.5" customHeight="1">
      <c r="A662" s="221"/>
      <c r="C662" s="12"/>
      <c r="D662" s="87"/>
      <c r="F662" s="14"/>
      <c r="G662" s="14"/>
      <c r="H662" s="14"/>
      <c r="I662" s="356"/>
      <c r="J662" s="14"/>
      <c r="K662" s="12"/>
    </row>
    <row r="663" ht="19.5" customHeight="1">
      <c r="A663" s="221"/>
      <c r="C663" s="12"/>
      <c r="D663" s="87"/>
      <c r="F663" s="14"/>
      <c r="G663" s="14"/>
      <c r="H663" s="14"/>
      <c r="I663" s="356"/>
      <c r="J663" s="14"/>
      <c r="K663" s="12"/>
    </row>
    <row r="664" ht="19.5" customHeight="1">
      <c r="A664" s="221"/>
      <c r="C664" s="12"/>
      <c r="D664" s="87"/>
      <c r="F664" s="14"/>
      <c r="G664" s="14"/>
      <c r="H664" s="14"/>
      <c r="I664" s="356"/>
      <c r="J664" s="14"/>
      <c r="K664" s="12"/>
    </row>
    <row r="665" ht="19.5" customHeight="1">
      <c r="A665" s="221"/>
      <c r="C665" s="12"/>
      <c r="D665" s="87"/>
      <c r="F665" s="14"/>
      <c r="G665" s="14"/>
      <c r="H665" s="14"/>
      <c r="I665" s="356"/>
      <c r="J665" s="14"/>
      <c r="K665" s="12"/>
    </row>
    <row r="666" ht="19.5" customHeight="1">
      <c r="A666" s="221"/>
      <c r="C666" s="12"/>
      <c r="D666" s="87"/>
      <c r="F666" s="14"/>
      <c r="G666" s="14"/>
      <c r="H666" s="14"/>
      <c r="I666" s="356"/>
      <c r="J666" s="14"/>
      <c r="K666" s="12"/>
    </row>
    <row r="667" ht="19.5" customHeight="1">
      <c r="A667" s="221"/>
      <c r="C667" s="12"/>
      <c r="D667" s="87"/>
      <c r="F667" s="14"/>
      <c r="G667" s="14"/>
      <c r="H667" s="14"/>
      <c r="I667" s="356"/>
      <c r="J667" s="14"/>
      <c r="K667" s="12"/>
    </row>
    <row r="668" ht="19.5" customHeight="1">
      <c r="A668" s="221"/>
      <c r="C668" s="12"/>
      <c r="D668" s="87"/>
      <c r="F668" s="14"/>
      <c r="G668" s="14"/>
      <c r="H668" s="14"/>
      <c r="I668" s="356"/>
      <c r="J668" s="14"/>
      <c r="K668" s="12"/>
    </row>
    <row r="669" ht="19.5" customHeight="1">
      <c r="A669" s="221"/>
      <c r="C669" s="12"/>
      <c r="D669" s="87"/>
      <c r="F669" s="14"/>
      <c r="G669" s="14"/>
      <c r="H669" s="14"/>
      <c r="I669" s="356"/>
      <c r="J669" s="14"/>
      <c r="K669" s="12"/>
    </row>
    <row r="670" ht="19.5" customHeight="1">
      <c r="A670" s="221"/>
      <c r="C670" s="12"/>
      <c r="D670" s="87"/>
      <c r="F670" s="14"/>
      <c r="G670" s="14"/>
      <c r="H670" s="14"/>
      <c r="I670" s="356"/>
      <c r="J670" s="14"/>
      <c r="K670" s="12"/>
    </row>
    <row r="671" ht="19.5" customHeight="1">
      <c r="A671" s="221"/>
      <c r="C671" s="12"/>
      <c r="D671" s="87"/>
      <c r="F671" s="14"/>
      <c r="G671" s="14"/>
      <c r="H671" s="14"/>
      <c r="I671" s="356"/>
      <c r="J671" s="14"/>
      <c r="K671" s="12"/>
    </row>
    <row r="672" ht="19.5" customHeight="1">
      <c r="A672" s="221"/>
      <c r="C672" s="12"/>
      <c r="D672" s="87"/>
      <c r="F672" s="14"/>
      <c r="G672" s="14"/>
      <c r="H672" s="14"/>
      <c r="I672" s="356"/>
      <c r="J672" s="14"/>
      <c r="K672" s="12"/>
    </row>
    <row r="673" ht="19.5" customHeight="1">
      <c r="A673" s="221"/>
      <c r="C673" s="12"/>
      <c r="D673" s="87"/>
      <c r="F673" s="14"/>
      <c r="G673" s="14"/>
      <c r="H673" s="14"/>
      <c r="I673" s="356"/>
      <c r="J673" s="14"/>
      <c r="K673" s="12"/>
    </row>
    <row r="674" ht="19.5" customHeight="1">
      <c r="A674" s="221"/>
      <c r="C674" s="12"/>
      <c r="D674" s="87"/>
      <c r="F674" s="14"/>
      <c r="G674" s="14"/>
      <c r="H674" s="14"/>
      <c r="I674" s="356"/>
      <c r="J674" s="14"/>
      <c r="K674" s="12"/>
    </row>
    <row r="675" ht="19.5" customHeight="1">
      <c r="A675" s="221"/>
      <c r="C675" s="12"/>
      <c r="D675" s="87"/>
      <c r="F675" s="14"/>
      <c r="G675" s="14"/>
      <c r="H675" s="14"/>
      <c r="I675" s="356"/>
      <c r="J675" s="14"/>
      <c r="K675" s="12"/>
    </row>
    <row r="676" ht="19.5" customHeight="1">
      <c r="A676" s="221"/>
      <c r="C676" s="12"/>
      <c r="D676" s="87"/>
      <c r="F676" s="14"/>
      <c r="G676" s="14"/>
      <c r="H676" s="14"/>
      <c r="I676" s="356"/>
      <c r="J676" s="14"/>
      <c r="K676" s="12"/>
    </row>
    <row r="677" ht="19.5" customHeight="1">
      <c r="A677" s="221"/>
      <c r="C677" s="12"/>
      <c r="D677" s="87"/>
      <c r="F677" s="14"/>
      <c r="G677" s="14"/>
      <c r="H677" s="14"/>
      <c r="I677" s="356"/>
      <c r="J677" s="14"/>
      <c r="K677" s="12"/>
    </row>
    <row r="678" ht="19.5" customHeight="1">
      <c r="A678" s="221"/>
      <c r="C678" s="12"/>
      <c r="D678" s="87"/>
      <c r="F678" s="14"/>
      <c r="G678" s="14"/>
      <c r="H678" s="14"/>
      <c r="I678" s="356"/>
      <c r="J678" s="14"/>
      <c r="K678" s="12"/>
    </row>
    <row r="679" ht="19.5" customHeight="1">
      <c r="A679" s="221"/>
      <c r="C679" s="12"/>
      <c r="D679" s="87"/>
      <c r="F679" s="14"/>
      <c r="G679" s="14"/>
      <c r="H679" s="14"/>
      <c r="I679" s="356"/>
      <c r="J679" s="14"/>
      <c r="K679" s="12"/>
    </row>
    <row r="680" ht="19.5" customHeight="1">
      <c r="A680" s="221"/>
      <c r="C680" s="12"/>
      <c r="D680" s="87"/>
      <c r="F680" s="14"/>
      <c r="G680" s="14"/>
      <c r="H680" s="14"/>
      <c r="I680" s="356"/>
      <c r="J680" s="14"/>
      <c r="K680" s="12"/>
    </row>
    <row r="681" ht="19.5" customHeight="1">
      <c r="A681" s="221"/>
      <c r="C681" s="12"/>
      <c r="D681" s="87"/>
      <c r="F681" s="14"/>
      <c r="G681" s="14"/>
      <c r="H681" s="14"/>
      <c r="I681" s="356"/>
      <c r="J681" s="14"/>
      <c r="K681" s="12"/>
    </row>
    <row r="682" ht="19.5" customHeight="1">
      <c r="A682" s="221"/>
      <c r="C682" s="12"/>
      <c r="D682" s="87"/>
      <c r="F682" s="14"/>
      <c r="G682" s="14"/>
      <c r="H682" s="14"/>
      <c r="I682" s="356"/>
      <c r="J682" s="14"/>
      <c r="K682" s="12"/>
    </row>
    <row r="683" ht="19.5" customHeight="1">
      <c r="A683" s="221"/>
      <c r="C683" s="12"/>
      <c r="D683" s="87"/>
      <c r="F683" s="14"/>
      <c r="G683" s="14"/>
      <c r="H683" s="14"/>
      <c r="I683" s="356"/>
      <c r="J683" s="14"/>
      <c r="K683" s="12"/>
    </row>
    <row r="684" ht="19.5" customHeight="1">
      <c r="A684" s="221"/>
      <c r="C684" s="12"/>
      <c r="D684" s="87"/>
      <c r="F684" s="14"/>
      <c r="G684" s="14"/>
      <c r="H684" s="14"/>
      <c r="I684" s="356"/>
      <c r="J684" s="14"/>
      <c r="K684" s="12"/>
    </row>
    <row r="685" ht="19.5" customHeight="1">
      <c r="A685" s="221"/>
      <c r="C685" s="12"/>
      <c r="D685" s="87"/>
      <c r="F685" s="14"/>
      <c r="G685" s="14"/>
      <c r="H685" s="14"/>
      <c r="I685" s="356"/>
      <c r="J685" s="14"/>
      <c r="K685" s="12"/>
    </row>
    <row r="686" ht="19.5" customHeight="1">
      <c r="A686" s="221"/>
      <c r="C686" s="12"/>
      <c r="D686" s="87"/>
      <c r="F686" s="14"/>
      <c r="G686" s="14"/>
      <c r="H686" s="14"/>
      <c r="I686" s="356"/>
      <c r="J686" s="14"/>
      <c r="K686" s="12"/>
    </row>
    <row r="687" ht="19.5" customHeight="1">
      <c r="A687" s="221"/>
      <c r="C687" s="12"/>
      <c r="D687" s="87"/>
      <c r="F687" s="14"/>
      <c r="G687" s="14"/>
      <c r="H687" s="14"/>
      <c r="I687" s="356"/>
      <c r="J687" s="14"/>
      <c r="K687" s="12"/>
    </row>
    <row r="688" ht="19.5" customHeight="1">
      <c r="A688" s="221"/>
      <c r="C688" s="12"/>
      <c r="D688" s="87"/>
      <c r="F688" s="14"/>
      <c r="G688" s="14"/>
      <c r="H688" s="14"/>
      <c r="I688" s="356"/>
      <c r="J688" s="14"/>
      <c r="K688" s="12"/>
    </row>
    <row r="689" ht="19.5" customHeight="1">
      <c r="A689" s="221"/>
      <c r="C689" s="12"/>
      <c r="D689" s="87"/>
      <c r="F689" s="14"/>
      <c r="G689" s="14"/>
      <c r="H689" s="14"/>
      <c r="I689" s="356"/>
      <c r="J689" s="14"/>
      <c r="K689" s="12"/>
    </row>
    <row r="690" ht="19.5" customHeight="1">
      <c r="A690" s="221"/>
      <c r="C690" s="12"/>
      <c r="D690" s="87"/>
      <c r="F690" s="14"/>
      <c r="G690" s="14"/>
      <c r="H690" s="14"/>
      <c r="I690" s="356"/>
      <c r="J690" s="14"/>
      <c r="K690" s="12"/>
    </row>
    <row r="691" ht="19.5" customHeight="1">
      <c r="A691" s="221"/>
      <c r="C691" s="12"/>
      <c r="D691" s="87"/>
      <c r="F691" s="14"/>
      <c r="G691" s="14"/>
      <c r="H691" s="14"/>
      <c r="I691" s="356"/>
      <c r="J691" s="14"/>
      <c r="K691" s="12"/>
    </row>
    <row r="692" ht="19.5" customHeight="1">
      <c r="A692" s="221"/>
      <c r="C692" s="12"/>
      <c r="D692" s="87"/>
      <c r="F692" s="14"/>
      <c r="G692" s="14"/>
      <c r="H692" s="14"/>
      <c r="I692" s="356"/>
      <c r="J692" s="14"/>
      <c r="K692" s="12"/>
    </row>
    <row r="693" ht="19.5" customHeight="1">
      <c r="A693" s="221"/>
      <c r="C693" s="12"/>
      <c r="D693" s="87"/>
      <c r="F693" s="14"/>
      <c r="G693" s="14"/>
      <c r="H693" s="14"/>
      <c r="I693" s="356"/>
      <c r="J693" s="14"/>
      <c r="K693" s="12"/>
    </row>
    <row r="694" ht="19.5" customHeight="1">
      <c r="A694" s="221"/>
      <c r="C694" s="12"/>
      <c r="D694" s="87"/>
      <c r="F694" s="14"/>
      <c r="G694" s="14"/>
      <c r="H694" s="14"/>
      <c r="I694" s="356"/>
      <c r="J694" s="14"/>
      <c r="K694" s="12"/>
    </row>
    <row r="695" ht="19.5" customHeight="1">
      <c r="A695" s="221"/>
      <c r="C695" s="12"/>
      <c r="D695" s="87"/>
      <c r="F695" s="14"/>
      <c r="G695" s="14"/>
      <c r="H695" s="14"/>
      <c r="I695" s="356"/>
      <c r="J695" s="14"/>
      <c r="K695" s="12"/>
    </row>
    <row r="696" ht="19.5" customHeight="1">
      <c r="A696" s="221"/>
      <c r="C696" s="12"/>
      <c r="D696" s="87"/>
      <c r="F696" s="14"/>
      <c r="G696" s="14"/>
      <c r="H696" s="14"/>
      <c r="I696" s="356"/>
      <c r="J696" s="14"/>
      <c r="K696" s="12"/>
    </row>
    <row r="697" ht="19.5" customHeight="1">
      <c r="A697" s="221"/>
      <c r="C697" s="12"/>
      <c r="D697" s="87"/>
      <c r="F697" s="14"/>
      <c r="G697" s="14"/>
      <c r="H697" s="14"/>
      <c r="I697" s="356"/>
      <c r="J697" s="14"/>
      <c r="K697" s="12"/>
    </row>
    <row r="698" ht="19.5" customHeight="1">
      <c r="A698" s="221"/>
      <c r="C698" s="12"/>
      <c r="D698" s="87"/>
      <c r="F698" s="14"/>
      <c r="G698" s="14"/>
      <c r="H698" s="14"/>
      <c r="I698" s="356"/>
      <c r="J698" s="14"/>
      <c r="K698" s="12"/>
    </row>
    <row r="699" ht="19.5" customHeight="1">
      <c r="A699" s="221"/>
      <c r="C699" s="12"/>
      <c r="D699" s="87"/>
      <c r="F699" s="14"/>
      <c r="G699" s="14"/>
      <c r="H699" s="14"/>
      <c r="I699" s="356"/>
      <c r="J699" s="14"/>
      <c r="K699" s="12"/>
    </row>
    <row r="700" ht="19.5" customHeight="1">
      <c r="A700" s="221"/>
      <c r="C700" s="12"/>
      <c r="D700" s="87"/>
      <c r="F700" s="14"/>
      <c r="G700" s="14"/>
      <c r="H700" s="14"/>
      <c r="I700" s="356"/>
      <c r="J700" s="14"/>
      <c r="K700" s="12"/>
    </row>
    <row r="701" ht="19.5" customHeight="1">
      <c r="A701" s="221"/>
      <c r="C701" s="12"/>
      <c r="D701" s="87"/>
      <c r="F701" s="14"/>
      <c r="G701" s="14"/>
      <c r="H701" s="14"/>
      <c r="I701" s="356"/>
      <c r="J701" s="14"/>
      <c r="K701" s="12"/>
    </row>
    <row r="702" ht="19.5" customHeight="1">
      <c r="A702" s="221"/>
      <c r="C702" s="12"/>
      <c r="D702" s="87"/>
      <c r="F702" s="14"/>
      <c r="G702" s="14"/>
      <c r="H702" s="14"/>
      <c r="I702" s="356"/>
      <c r="J702" s="14"/>
      <c r="K702" s="12"/>
    </row>
    <row r="703" ht="19.5" customHeight="1">
      <c r="A703" s="221"/>
      <c r="C703" s="12"/>
      <c r="D703" s="87"/>
      <c r="F703" s="14"/>
      <c r="G703" s="14"/>
      <c r="H703" s="14"/>
      <c r="I703" s="356"/>
      <c r="J703" s="14"/>
      <c r="K703" s="12"/>
    </row>
    <row r="704" ht="19.5" customHeight="1">
      <c r="A704" s="221"/>
      <c r="C704" s="12"/>
      <c r="D704" s="87"/>
      <c r="F704" s="14"/>
      <c r="G704" s="14"/>
      <c r="H704" s="14"/>
      <c r="I704" s="356"/>
      <c r="J704" s="14"/>
      <c r="K704" s="12"/>
    </row>
    <row r="705" ht="19.5" customHeight="1">
      <c r="A705" s="221"/>
      <c r="C705" s="12"/>
      <c r="D705" s="87"/>
      <c r="F705" s="14"/>
      <c r="G705" s="14"/>
      <c r="H705" s="14"/>
      <c r="I705" s="356"/>
      <c r="J705" s="14"/>
      <c r="K705" s="12"/>
    </row>
    <row r="706" ht="19.5" customHeight="1">
      <c r="A706" s="221"/>
      <c r="C706" s="12"/>
      <c r="D706" s="87"/>
      <c r="F706" s="14"/>
      <c r="G706" s="14"/>
      <c r="H706" s="14"/>
      <c r="I706" s="356"/>
      <c r="J706" s="14"/>
      <c r="K706" s="12"/>
    </row>
    <row r="707" ht="19.5" customHeight="1">
      <c r="A707" s="221"/>
      <c r="C707" s="12"/>
      <c r="D707" s="87"/>
      <c r="F707" s="14"/>
      <c r="G707" s="14"/>
      <c r="H707" s="14"/>
      <c r="I707" s="356"/>
      <c r="J707" s="14"/>
      <c r="K707" s="12"/>
    </row>
    <row r="708" ht="19.5" customHeight="1">
      <c r="A708" s="221"/>
      <c r="C708" s="12"/>
      <c r="D708" s="87"/>
      <c r="F708" s="14"/>
      <c r="G708" s="14"/>
      <c r="H708" s="14"/>
      <c r="I708" s="356"/>
      <c r="J708" s="14"/>
      <c r="K708" s="12"/>
    </row>
    <row r="709" ht="19.5" customHeight="1">
      <c r="A709" s="221"/>
      <c r="C709" s="12"/>
      <c r="D709" s="87"/>
      <c r="F709" s="14"/>
      <c r="G709" s="14"/>
      <c r="H709" s="14"/>
      <c r="I709" s="356"/>
      <c r="J709" s="14"/>
      <c r="K709" s="12"/>
    </row>
    <row r="710" ht="19.5" customHeight="1">
      <c r="A710" s="221"/>
      <c r="C710" s="12"/>
      <c r="D710" s="87"/>
      <c r="F710" s="14"/>
      <c r="G710" s="14"/>
      <c r="H710" s="14"/>
      <c r="I710" s="356"/>
      <c r="J710" s="14"/>
      <c r="K710" s="12"/>
    </row>
    <row r="711" ht="19.5" customHeight="1">
      <c r="A711" s="221"/>
      <c r="C711" s="12"/>
      <c r="D711" s="87"/>
      <c r="F711" s="14"/>
      <c r="G711" s="14"/>
      <c r="H711" s="14"/>
      <c r="I711" s="356"/>
      <c r="J711" s="14"/>
      <c r="K711" s="12"/>
    </row>
    <row r="712" ht="19.5" customHeight="1">
      <c r="A712" s="221"/>
      <c r="C712" s="12"/>
      <c r="D712" s="87"/>
      <c r="F712" s="14"/>
      <c r="G712" s="14"/>
      <c r="H712" s="14"/>
      <c r="I712" s="356"/>
      <c r="J712" s="14"/>
      <c r="K712" s="12"/>
    </row>
    <row r="713" ht="19.5" customHeight="1">
      <c r="A713" s="221"/>
      <c r="C713" s="12"/>
      <c r="D713" s="87"/>
      <c r="F713" s="14"/>
      <c r="G713" s="14"/>
      <c r="H713" s="14"/>
      <c r="I713" s="356"/>
      <c r="J713" s="14"/>
      <c r="K713" s="12"/>
    </row>
    <row r="714" ht="19.5" customHeight="1">
      <c r="A714" s="221"/>
      <c r="C714" s="12"/>
      <c r="D714" s="87"/>
      <c r="F714" s="14"/>
      <c r="G714" s="14"/>
      <c r="H714" s="14"/>
      <c r="I714" s="356"/>
      <c r="J714" s="14"/>
      <c r="K714" s="12"/>
    </row>
    <row r="715" ht="19.5" customHeight="1">
      <c r="A715" s="221"/>
      <c r="C715" s="12"/>
      <c r="D715" s="87"/>
      <c r="F715" s="14"/>
      <c r="G715" s="14"/>
      <c r="H715" s="14"/>
      <c r="I715" s="356"/>
      <c r="J715" s="14"/>
      <c r="K715" s="12"/>
    </row>
    <row r="716" ht="19.5" customHeight="1">
      <c r="A716" s="221"/>
      <c r="C716" s="12"/>
      <c r="D716" s="87"/>
      <c r="F716" s="14"/>
      <c r="G716" s="14"/>
      <c r="H716" s="14"/>
      <c r="I716" s="356"/>
      <c r="J716" s="14"/>
      <c r="K716" s="12"/>
    </row>
    <row r="717" ht="19.5" customHeight="1">
      <c r="A717" s="221"/>
      <c r="C717" s="12"/>
      <c r="D717" s="87"/>
      <c r="F717" s="14"/>
      <c r="G717" s="14"/>
      <c r="H717" s="14"/>
      <c r="I717" s="356"/>
      <c r="J717" s="14"/>
      <c r="K717" s="12"/>
    </row>
    <row r="718" ht="19.5" customHeight="1">
      <c r="A718" s="221"/>
      <c r="C718" s="12"/>
      <c r="D718" s="87"/>
      <c r="F718" s="14"/>
      <c r="G718" s="14"/>
      <c r="H718" s="14"/>
      <c r="I718" s="356"/>
      <c r="J718" s="14"/>
      <c r="K718" s="12"/>
    </row>
    <row r="719" ht="19.5" customHeight="1">
      <c r="A719" s="221"/>
      <c r="C719" s="12"/>
      <c r="D719" s="87"/>
      <c r="F719" s="14"/>
      <c r="G719" s="14"/>
      <c r="H719" s="14"/>
      <c r="I719" s="356"/>
      <c r="J719" s="14"/>
      <c r="K719" s="12"/>
    </row>
    <row r="720" ht="19.5" customHeight="1">
      <c r="A720" s="221"/>
      <c r="C720" s="12"/>
      <c r="D720" s="87"/>
      <c r="F720" s="14"/>
      <c r="G720" s="14"/>
      <c r="H720" s="14"/>
      <c r="I720" s="356"/>
      <c r="J720" s="14"/>
      <c r="K720" s="12"/>
    </row>
    <row r="721" ht="19.5" customHeight="1">
      <c r="A721" s="221"/>
      <c r="C721" s="12"/>
      <c r="D721" s="87"/>
      <c r="F721" s="14"/>
      <c r="G721" s="14"/>
      <c r="H721" s="14"/>
      <c r="I721" s="356"/>
      <c r="J721" s="14"/>
      <c r="K721" s="12"/>
    </row>
    <row r="722" ht="19.5" customHeight="1">
      <c r="A722" s="221"/>
      <c r="C722" s="12"/>
      <c r="D722" s="87"/>
      <c r="F722" s="14"/>
      <c r="G722" s="14"/>
      <c r="H722" s="14"/>
      <c r="I722" s="356"/>
      <c r="J722" s="14"/>
      <c r="K722" s="12"/>
    </row>
    <row r="723" ht="19.5" customHeight="1">
      <c r="A723" s="221"/>
      <c r="C723" s="12"/>
      <c r="D723" s="87"/>
      <c r="F723" s="14"/>
      <c r="G723" s="14"/>
      <c r="H723" s="14"/>
      <c r="I723" s="356"/>
      <c r="J723" s="14"/>
      <c r="K723" s="12"/>
    </row>
    <row r="724" ht="19.5" customHeight="1">
      <c r="A724" s="221"/>
      <c r="C724" s="12"/>
      <c r="D724" s="87"/>
      <c r="F724" s="14"/>
      <c r="G724" s="14"/>
      <c r="H724" s="14"/>
      <c r="I724" s="356"/>
      <c r="J724" s="14"/>
      <c r="K724" s="12"/>
    </row>
    <row r="725" ht="19.5" customHeight="1">
      <c r="A725" s="221"/>
      <c r="C725" s="12"/>
      <c r="D725" s="87"/>
      <c r="F725" s="14"/>
      <c r="G725" s="14"/>
      <c r="H725" s="14"/>
      <c r="I725" s="356"/>
      <c r="J725" s="14"/>
      <c r="K725" s="12"/>
    </row>
    <row r="726" ht="19.5" customHeight="1">
      <c r="A726" s="221"/>
      <c r="C726" s="12"/>
      <c r="D726" s="87"/>
      <c r="F726" s="14"/>
      <c r="G726" s="14"/>
      <c r="H726" s="14"/>
      <c r="I726" s="356"/>
      <c r="J726" s="14"/>
      <c r="K726" s="12"/>
    </row>
    <row r="727" ht="19.5" customHeight="1">
      <c r="A727" s="221"/>
      <c r="C727" s="12"/>
      <c r="D727" s="87"/>
      <c r="F727" s="14"/>
      <c r="G727" s="14"/>
      <c r="H727" s="14"/>
      <c r="I727" s="356"/>
      <c r="J727" s="14"/>
      <c r="K727" s="12"/>
    </row>
    <row r="728" ht="19.5" customHeight="1">
      <c r="A728" s="221"/>
      <c r="C728" s="12"/>
      <c r="D728" s="87"/>
      <c r="F728" s="14"/>
      <c r="G728" s="14"/>
      <c r="H728" s="14"/>
      <c r="I728" s="356"/>
      <c r="J728" s="14"/>
      <c r="K728" s="12"/>
    </row>
    <row r="729" ht="19.5" customHeight="1">
      <c r="A729" s="221"/>
      <c r="C729" s="12"/>
      <c r="D729" s="87"/>
      <c r="F729" s="14"/>
      <c r="G729" s="14"/>
      <c r="H729" s="14"/>
      <c r="I729" s="356"/>
      <c r="J729" s="14"/>
      <c r="K729" s="12"/>
    </row>
    <row r="730" ht="19.5" customHeight="1">
      <c r="A730" s="221"/>
      <c r="C730" s="12"/>
      <c r="D730" s="87"/>
      <c r="F730" s="14"/>
      <c r="G730" s="14"/>
      <c r="H730" s="14"/>
      <c r="I730" s="356"/>
      <c r="J730" s="14"/>
      <c r="K730" s="12"/>
    </row>
    <row r="731" ht="19.5" customHeight="1">
      <c r="A731" s="221"/>
      <c r="C731" s="12"/>
      <c r="D731" s="87"/>
      <c r="F731" s="14"/>
      <c r="G731" s="14"/>
      <c r="H731" s="14"/>
      <c r="I731" s="356"/>
      <c r="J731" s="14"/>
      <c r="K731" s="12"/>
    </row>
    <row r="732" ht="19.5" customHeight="1">
      <c r="A732" s="221"/>
      <c r="C732" s="12"/>
      <c r="D732" s="87"/>
      <c r="F732" s="14"/>
      <c r="G732" s="14"/>
      <c r="H732" s="14"/>
      <c r="I732" s="356"/>
      <c r="J732" s="14"/>
      <c r="K732" s="12"/>
    </row>
    <row r="733" ht="19.5" customHeight="1">
      <c r="A733" s="221"/>
      <c r="C733" s="12"/>
      <c r="D733" s="87"/>
      <c r="F733" s="14"/>
      <c r="G733" s="14"/>
      <c r="H733" s="14"/>
      <c r="I733" s="356"/>
      <c r="J733" s="14"/>
      <c r="K733" s="12"/>
    </row>
    <row r="734" ht="19.5" customHeight="1">
      <c r="A734" s="221"/>
      <c r="C734" s="12"/>
      <c r="D734" s="87"/>
      <c r="F734" s="14"/>
      <c r="G734" s="14"/>
      <c r="H734" s="14"/>
      <c r="I734" s="356"/>
      <c r="J734" s="14"/>
      <c r="K734" s="12"/>
    </row>
    <row r="735" ht="19.5" customHeight="1">
      <c r="A735" s="221"/>
      <c r="C735" s="12"/>
      <c r="D735" s="87"/>
      <c r="F735" s="14"/>
      <c r="G735" s="14"/>
      <c r="H735" s="14"/>
      <c r="I735" s="356"/>
      <c r="J735" s="14"/>
      <c r="K735" s="12"/>
    </row>
    <row r="736" ht="19.5" customHeight="1">
      <c r="A736" s="221"/>
      <c r="C736" s="12"/>
      <c r="D736" s="87"/>
      <c r="F736" s="14"/>
      <c r="G736" s="14"/>
      <c r="H736" s="14"/>
      <c r="I736" s="356"/>
      <c r="J736" s="14"/>
      <c r="K736" s="12"/>
    </row>
    <row r="737" ht="19.5" customHeight="1">
      <c r="A737" s="221"/>
      <c r="C737" s="12"/>
      <c r="D737" s="87"/>
      <c r="F737" s="14"/>
      <c r="G737" s="14"/>
      <c r="H737" s="14"/>
      <c r="I737" s="356"/>
      <c r="J737" s="14"/>
      <c r="K737" s="12"/>
    </row>
    <row r="738" ht="19.5" customHeight="1">
      <c r="A738" s="221"/>
      <c r="C738" s="12"/>
      <c r="D738" s="87"/>
      <c r="F738" s="14"/>
      <c r="G738" s="14"/>
      <c r="H738" s="14"/>
      <c r="I738" s="356"/>
      <c r="J738" s="14"/>
      <c r="K738" s="12"/>
    </row>
    <row r="739" ht="19.5" customHeight="1">
      <c r="A739" s="221"/>
      <c r="C739" s="12"/>
      <c r="D739" s="87"/>
      <c r="F739" s="14"/>
      <c r="G739" s="14"/>
      <c r="H739" s="14"/>
      <c r="I739" s="356"/>
      <c r="J739" s="14"/>
      <c r="K739" s="12"/>
    </row>
    <row r="740" ht="19.5" customHeight="1">
      <c r="A740" s="221"/>
      <c r="C740" s="12"/>
      <c r="D740" s="87"/>
      <c r="F740" s="14"/>
      <c r="G740" s="14"/>
      <c r="H740" s="14"/>
      <c r="I740" s="356"/>
      <c r="J740" s="14"/>
      <c r="K740" s="12"/>
    </row>
    <row r="741" ht="19.5" customHeight="1">
      <c r="A741" s="221"/>
      <c r="C741" s="12"/>
      <c r="D741" s="87"/>
      <c r="F741" s="14"/>
      <c r="G741" s="14"/>
      <c r="H741" s="14"/>
      <c r="I741" s="356"/>
      <c r="J741" s="14"/>
      <c r="K741" s="12"/>
    </row>
    <row r="742" ht="19.5" customHeight="1">
      <c r="A742" s="221"/>
      <c r="C742" s="12"/>
      <c r="D742" s="87"/>
      <c r="F742" s="14"/>
      <c r="G742" s="14"/>
      <c r="H742" s="14"/>
      <c r="I742" s="356"/>
      <c r="J742" s="14"/>
      <c r="K742" s="12"/>
    </row>
    <row r="743" ht="19.5" customHeight="1">
      <c r="A743" s="221"/>
      <c r="C743" s="12"/>
      <c r="D743" s="87"/>
      <c r="F743" s="14"/>
      <c r="G743" s="14"/>
      <c r="H743" s="14"/>
      <c r="I743" s="356"/>
      <c r="J743" s="14"/>
      <c r="K743" s="12"/>
    </row>
    <row r="744" ht="19.5" customHeight="1">
      <c r="A744" s="221"/>
      <c r="C744" s="12"/>
      <c r="D744" s="87"/>
      <c r="F744" s="14"/>
      <c r="G744" s="14"/>
      <c r="H744" s="14"/>
      <c r="I744" s="356"/>
      <c r="J744" s="14"/>
      <c r="K744" s="12"/>
    </row>
    <row r="745" ht="19.5" customHeight="1">
      <c r="A745" s="221"/>
      <c r="C745" s="12"/>
      <c r="D745" s="87"/>
      <c r="F745" s="14"/>
      <c r="G745" s="14"/>
      <c r="H745" s="14"/>
      <c r="I745" s="356"/>
      <c r="J745" s="14"/>
      <c r="K745" s="12"/>
    </row>
    <row r="746" ht="19.5" customHeight="1">
      <c r="A746" s="221"/>
      <c r="C746" s="12"/>
      <c r="D746" s="87"/>
      <c r="F746" s="14"/>
      <c r="G746" s="14"/>
      <c r="H746" s="14"/>
      <c r="I746" s="356"/>
      <c r="J746" s="14"/>
      <c r="K746" s="12"/>
    </row>
    <row r="747" ht="19.5" customHeight="1">
      <c r="A747" s="221"/>
      <c r="C747" s="12"/>
      <c r="D747" s="87"/>
      <c r="F747" s="14"/>
      <c r="G747" s="14"/>
      <c r="H747" s="14"/>
      <c r="I747" s="356"/>
      <c r="J747" s="14"/>
      <c r="K747" s="12"/>
    </row>
    <row r="748" ht="19.5" customHeight="1">
      <c r="A748" s="221"/>
      <c r="C748" s="12"/>
      <c r="D748" s="87"/>
      <c r="F748" s="14"/>
      <c r="G748" s="14"/>
      <c r="H748" s="14"/>
      <c r="I748" s="356"/>
      <c r="J748" s="14"/>
      <c r="K748" s="12"/>
    </row>
    <row r="749" ht="19.5" customHeight="1">
      <c r="A749" s="221"/>
      <c r="C749" s="12"/>
      <c r="D749" s="87"/>
      <c r="F749" s="14"/>
      <c r="G749" s="14"/>
      <c r="H749" s="14"/>
      <c r="I749" s="356"/>
      <c r="J749" s="14"/>
      <c r="K749" s="12"/>
    </row>
    <row r="750" ht="19.5" customHeight="1">
      <c r="A750" s="221"/>
      <c r="C750" s="12"/>
      <c r="D750" s="87"/>
      <c r="F750" s="14"/>
      <c r="G750" s="14"/>
      <c r="H750" s="14"/>
      <c r="I750" s="356"/>
      <c r="J750" s="14"/>
      <c r="K750" s="12"/>
    </row>
    <row r="751" ht="19.5" customHeight="1">
      <c r="A751" s="221"/>
      <c r="C751" s="12"/>
      <c r="D751" s="87"/>
      <c r="F751" s="14"/>
      <c r="G751" s="14"/>
      <c r="H751" s="14"/>
      <c r="I751" s="356"/>
      <c r="J751" s="14"/>
      <c r="K751" s="12"/>
    </row>
    <row r="752" ht="19.5" customHeight="1">
      <c r="A752" s="221"/>
      <c r="C752" s="12"/>
      <c r="D752" s="87"/>
      <c r="F752" s="14"/>
      <c r="G752" s="14"/>
      <c r="H752" s="14"/>
      <c r="I752" s="356"/>
      <c r="J752" s="14"/>
      <c r="K752" s="12"/>
    </row>
    <row r="753" ht="19.5" customHeight="1">
      <c r="A753" s="221"/>
      <c r="C753" s="12"/>
      <c r="D753" s="87"/>
      <c r="F753" s="14"/>
      <c r="G753" s="14"/>
      <c r="H753" s="14"/>
      <c r="I753" s="356"/>
      <c r="J753" s="14"/>
      <c r="K753" s="12"/>
    </row>
    <row r="754" ht="19.5" customHeight="1">
      <c r="A754" s="221"/>
      <c r="C754" s="12"/>
      <c r="D754" s="87"/>
      <c r="F754" s="14"/>
      <c r="G754" s="14"/>
      <c r="H754" s="14"/>
      <c r="I754" s="356"/>
      <c r="J754" s="14"/>
      <c r="K754" s="12"/>
    </row>
    <row r="755" ht="19.5" customHeight="1">
      <c r="A755" s="221"/>
      <c r="C755" s="12"/>
      <c r="D755" s="87"/>
      <c r="F755" s="14"/>
      <c r="G755" s="14"/>
      <c r="H755" s="14"/>
      <c r="I755" s="356"/>
      <c r="J755" s="14"/>
      <c r="K755" s="12"/>
    </row>
    <row r="756" ht="19.5" customHeight="1">
      <c r="A756" s="221"/>
      <c r="C756" s="12"/>
      <c r="D756" s="87"/>
      <c r="F756" s="14"/>
      <c r="G756" s="14"/>
      <c r="H756" s="14"/>
      <c r="I756" s="356"/>
      <c r="J756" s="14"/>
      <c r="K756" s="12"/>
    </row>
    <row r="757" ht="19.5" customHeight="1">
      <c r="A757" s="221"/>
      <c r="C757" s="12"/>
      <c r="D757" s="87"/>
      <c r="F757" s="14"/>
      <c r="G757" s="14"/>
      <c r="H757" s="14"/>
      <c r="I757" s="356"/>
      <c r="J757" s="14"/>
      <c r="K757" s="12"/>
    </row>
    <row r="758" ht="19.5" customHeight="1">
      <c r="A758" s="221"/>
      <c r="C758" s="12"/>
      <c r="D758" s="87"/>
      <c r="F758" s="14"/>
      <c r="G758" s="14"/>
      <c r="H758" s="14"/>
      <c r="I758" s="356"/>
      <c r="J758" s="14"/>
      <c r="K758" s="12"/>
    </row>
    <row r="759" ht="19.5" customHeight="1">
      <c r="A759" s="221"/>
      <c r="C759" s="12"/>
      <c r="D759" s="87"/>
      <c r="F759" s="14"/>
      <c r="G759" s="14"/>
      <c r="H759" s="14"/>
      <c r="I759" s="356"/>
      <c r="J759" s="14"/>
      <c r="K759" s="12"/>
    </row>
    <row r="760" ht="19.5" customHeight="1">
      <c r="A760" s="221"/>
      <c r="C760" s="12"/>
      <c r="D760" s="87"/>
      <c r="F760" s="14"/>
      <c r="G760" s="14"/>
      <c r="H760" s="14"/>
      <c r="I760" s="356"/>
      <c r="J760" s="14"/>
      <c r="K760" s="12"/>
    </row>
    <row r="761" ht="19.5" customHeight="1">
      <c r="A761" s="221"/>
      <c r="C761" s="12"/>
      <c r="D761" s="87"/>
      <c r="F761" s="14"/>
      <c r="G761" s="14"/>
      <c r="H761" s="14"/>
      <c r="I761" s="356"/>
      <c r="J761" s="14"/>
      <c r="K761" s="12"/>
    </row>
    <row r="762" ht="19.5" customHeight="1">
      <c r="A762" s="221"/>
      <c r="C762" s="12"/>
      <c r="D762" s="87"/>
      <c r="F762" s="14"/>
      <c r="G762" s="14"/>
      <c r="H762" s="14"/>
      <c r="I762" s="356"/>
      <c r="J762" s="14"/>
      <c r="K762" s="12"/>
    </row>
    <row r="763" ht="19.5" customHeight="1">
      <c r="A763" s="221"/>
      <c r="C763" s="12"/>
      <c r="D763" s="87"/>
      <c r="F763" s="14"/>
      <c r="G763" s="14"/>
      <c r="H763" s="14"/>
      <c r="I763" s="356"/>
      <c r="J763" s="14"/>
      <c r="K763" s="12"/>
    </row>
    <row r="764" ht="19.5" customHeight="1">
      <c r="A764" s="221"/>
      <c r="C764" s="12"/>
      <c r="D764" s="87"/>
      <c r="F764" s="14"/>
      <c r="G764" s="14"/>
      <c r="H764" s="14"/>
      <c r="I764" s="356"/>
      <c r="J764" s="14"/>
      <c r="K764" s="12"/>
    </row>
    <row r="765" ht="19.5" customHeight="1">
      <c r="A765" s="221"/>
      <c r="C765" s="12"/>
      <c r="D765" s="87"/>
      <c r="F765" s="14"/>
      <c r="G765" s="14"/>
      <c r="H765" s="14"/>
      <c r="I765" s="356"/>
      <c r="J765" s="14"/>
      <c r="K765" s="12"/>
    </row>
    <row r="766" ht="19.5" customHeight="1">
      <c r="A766" s="221"/>
      <c r="C766" s="12"/>
      <c r="D766" s="87"/>
      <c r="F766" s="14"/>
      <c r="G766" s="14"/>
      <c r="H766" s="14"/>
      <c r="I766" s="356"/>
      <c r="J766" s="14"/>
      <c r="K766" s="12"/>
    </row>
    <row r="767" ht="19.5" customHeight="1">
      <c r="A767" s="221"/>
      <c r="C767" s="12"/>
      <c r="D767" s="87"/>
      <c r="F767" s="14"/>
      <c r="G767" s="14"/>
      <c r="H767" s="14"/>
      <c r="I767" s="356"/>
      <c r="J767" s="14"/>
      <c r="K767" s="12"/>
    </row>
    <row r="768" ht="19.5" customHeight="1">
      <c r="A768" s="221"/>
      <c r="C768" s="12"/>
      <c r="D768" s="87"/>
      <c r="F768" s="14"/>
      <c r="G768" s="14"/>
      <c r="H768" s="14"/>
      <c r="I768" s="356"/>
      <c r="J768" s="14"/>
      <c r="K768" s="12"/>
    </row>
    <row r="769" ht="19.5" customHeight="1">
      <c r="A769" s="221"/>
      <c r="C769" s="12"/>
      <c r="D769" s="87"/>
      <c r="F769" s="14"/>
      <c r="G769" s="14"/>
      <c r="H769" s="14"/>
      <c r="I769" s="356"/>
      <c r="J769" s="14"/>
      <c r="K769" s="12"/>
    </row>
    <row r="770" ht="19.5" customHeight="1">
      <c r="A770" s="221"/>
      <c r="C770" s="12"/>
      <c r="D770" s="87"/>
      <c r="F770" s="14"/>
      <c r="G770" s="14"/>
      <c r="H770" s="14"/>
      <c r="I770" s="356"/>
      <c r="J770" s="14"/>
      <c r="K770" s="12"/>
    </row>
    <row r="771" ht="19.5" customHeight="1">
      <c r="A771" s="221"/>
      <c r="C771" s="12"/>
      <c r="D771" s="87"/>
      <c r="F771" s="14"/>
      <c r="G771" s="14"/>
      <c r="H771" s="14"/>
      <c r="I771" s="356"/>
      <c r="J771" s="14"/>
      <c r="K771" s="12"/>
    </row>
    <row r="772" ht="19.5" customHeight="1">
      <c r="A772" s="221"/>
      <c r="C772" s="12"/>
      <c r="D772" s="87"/>
      <c r="F772" s="14"/>
      <c r="G772" s="14"/>
      <c r="H772" s="14"/>
      <c r="I772" s="356"/>
      <c r="J772" s="14"/>
      <c r="K772" s="12"/>
    </row>
    <row r="773" ht="19.5" customHeight="1">
      <c r="A773" s="221"/>
      <c r="C773" s="12"/>
      <c r="D773" s="87"/>
      <c r="F773" s="14"/>
      <c r="G773" s="14"/>
      <c r="H773" s="14"/>
      <c r="I773" s="356"/>
      <c r="J773" s="14"/>
      <c r="K773" s="12"/>
    </row>
    <row r="774" ht="19.5" customHeight="1">
      <c r="A774" s="221"/>
      <c r="C774" s="12"/>
      <c r="D774" s="87"/>
      <c r="F774" s="14"/>
      <c r="G774" s="14"/>
      <c r="H774" s="14"/>
      <c r="I774" s="356"/>
      <c r="J774" s="14"/>
      <c r="K774" s="12"/>
    </row>
    <row r="775" ht="19.5" customHeight="1">
      <c r="A775" s="221"/>
      <c r="C775" s="12"/>
      <c r="D775" s="87"/>
      <c r="F775" s="14"/>
      <c r="G775" s="14"/>
      <c r="H775" s="14"/>
      <c r="I775" s="356"/>
      <c r="J775" s="14"/>
      <c r="K775" s="12"/>
    </row>
    <row r="776" ht="19.5" customHeight="1">
      <c r="A776" s="221"/>
      <c r="C776" s="12"/>
      <c r="D776" s="87"/>
      <c r="F776" s="14"/>
      <c r="G776" s="14"/>
      <c r="H776" s="14"/>
      <c r="I776" s="356"/>
      <c r="J776" s="14"/>
      <c r="K776" s="12"/>
    </row>
    <row r="777" ht="19.5" customHeight="1">
      <c r="A777" s="221"/>
      <c r="C777" s="12"/>
      <c r="D777" s="87"/>
      <c r="F777" s="14"/>
      <c r="G777" s="14"/>
      <c r="H777" s="14"/>
      <c r="I777" s="356"/>
      <c r="J777" s="14"/>
      <c r="K777" s="12"/>
    </row>
    <row r="778" ht="19.5" customHeight="1">
      <c r="A778" s="221"/>
      <c r="C778" s="12"/>
      <c r="D778" s="87"/>
      <c r="F778" s="14"/>
      <c r="G778" s="14"/>
      <c r="H778" s="14"/>
      <c r="I778" s="356"/>
      <c r="J778" s="14"/>
      <c r="K778" s="12"/>
    </row>
    <row r="779" ht="19.5" customHeight="1">
      <c r="A779" s="221"/>
      <c r="C779" s="12"/>
      <c r="D779" s="87"/>
      <c r="F779" s="14"/>
      <c r="G779" s="14"/>
      <c r="H779" s="14"/>
      <c r="I779" s="356"/>
      <c r="J779" s="14"/>
      <c r="K779" s="12"/>
    </row>
    <row r="780" ht="19.5" customHeight="1">
      <c r="A780" s="221"/>
      <c r="C780" s="12"/>
      <c r="D780" s="87"/>
      <c r="F780" s="14"/>
      <c r="G780" s="14"/>
      <c r="H780" s="14"/>
      <c r="I780" s="356"/>
      <c r="J780" s="14"/>
      <c r="K780" s="12"/>
    </row>
    <row r="781" ht="19.5" customHeight="1">
      <c r="A781" s="221"/>
      <c r="C781" s="12"/>
      <c r="D781" s="87"/>
      <c r="F781" s="14"/>
      <c r="G781" s="14"/>
      <c r="H781" s="14"/>
      <c r="I781" s="356"/>
      <c r="J781" s="14"/>
      <c r="K781" s="12"/>
    </row>
    <row r="782" ht="19.5" customHeight="1">
      <c r="A782" s="221"/>
      <c r="C782" s="12"/>
      <c r="D782" s="87"/>
      <c r="F782" s="14"/>
      <c r="G782" s="14"/>
      <c r="H782" s="14"/>
      <c r="I782" s="356"/>
      <c r="J782" s="14"/>
      <c r="K782" s="12"/>
    </row>
    <row r="783" ht="19.5" customHeight="1">
      <c r="A783" s="221"/>
      <c r="C783" s="12"/>
      <c r="D783" s="87"/>
      <c r="F783" s="14"/>
      <c r="G783" s="14"/>
      <c r="H783" s="14"/>
      <c r="I783" s="356"/>
      <c r="J783" s="14"/>
      <c r="K783" s="12"/>
    </row>
    <row r="784" ht="19.5" customHeight="1">
      <c r="A784" s="221"/>
      <c r="C784" s="12"/>
      <c r="D784" s="87"/>
      <c r="F784" s="14"/>
      <c r="G784" s="14"/>
      <c r="H784" s="14"/>
      <c r="I784" s="356"/>
      <c r="J784" s="14"/>
      <c r="K784" s="12"/>
    </row>
    <row r="785" ht="19.5" customHeight="1">
      <c r="A785" s="221"/>
      <c r="C785" s="12"/>
      <c r="D785" s="87"/>
      <c r="F785" s="14"/>
      <c r="G785" s="14"/>
      <c r="H785" s="14"/>
      <c r="I785" s="356"/>
      <c r="J785" s="14"/>
      <c r="K785" s="12"/>
    </row>
    <row r="786" ht="19.5" customHeight="1">
      <c r="A786" s="221"/>
      <c r="C786" s="12"/>
      <c r="D786" s="87"/>
      <c r="F786" s="14"/>
      <c r="G786" s="14"/>
      <c r="H786" s="14"/>
      <c r="I786" s="356"/>
      <c r="J786" s="14"/>
      <c r="K786" s="12"/>
    </row>
    <row r="787" ht="19.5" customHeight="1">
      <c r="A787" s="221"/>
      <c r="C787" s="12"/>
      <c r="D787" s="87"/>
      <c r="F787" s="14"/>
      <c r="G787" s="14"/>
      <c r="H787" s="14"/>
      <c r="I787" s="356"/>
      <c r="J787" s="14"/>
      <c r="K787" s="12"/>
    </row>
    <row r="788" ht="19.5" customHeight="1">
      <c r="A788" s="221"/>
      <c r="C788" s="12"/>
      <c r="D788" s="87"/>
      <c r="F788" s="14"/>
      <c r="G788" s="14"/>
      <c r="H788" s="14"/>
      <c r="I788" s="356"/>
      <c r="J788" s="14"/>
      <c r="K788" s="12"/>
    </row>
    <row r="789" ht="19.5" customHeight="1">
      <c r="A789" s="221"/>
      <c r="C789" s="12"/>
      <c r="D789" s="87"/>
      <c r="F789" s="14"/>
      <c r="G789" s="14"/>
      <c r="H789" s="14"/>
      <c r="I789" s="356"/>
      <c r="J789" s="14"/>
      <c r="K789" s="12"/>
    </row>
    <row r="790" ht="19.5" customHeight="1">
      <c r="A790" s="221"/>
      <c r="C790" s="12"/>
      <c r="D790" s="87"/>
      <c r="F790" s="14"/>
      <c r="G790" s="14"/>
      <c r="H790" s="14"/>
      <c r="I790" s="356"/>
      <c r="J790" s="14"/>
      <c r="K790" s="12"/>
    </row>
    <row r="791" ht="19.5" customHeight="1">
      <c r="A791" s="221"/>
      <c r="C791" s="12"/>
      <c r="D791" s="87"/>
      <c r="F791" s="14"/>
      <c r="G791" s="14"/>
      <c r="H791" s="14"/>
      <c r="I791" s="356"/>
      <c r="J791" s="14"/>
      <c r="K791" s="12"/>
    </row>
    <row r="792" ht="19.5" customHeight="1">
      <c r="A792" s="221"/>
      <c r="C792" s="12"/>
      <c r="D792" s="87"/>
      <c r="F792" s="14"/>
      <c r="G792" s="14"/>
      <c r="H792" s="14"/>
      <c r="I792" s="356"/>
      <c r="J792" s="14"/>
      <c r="K792" s="12"/>
    </row>
    <row r="793" ht="19.5" customHeight="1">
      <c r="A793" s="221"/>
      <c r="C793" s="12"/>
      <c r="D793" s="87"/>
      <c r="F793" s="14"/>
      <c r="G793" s="14"/>
      <c r="H793" s="14"/>
      <c r="I793" s="356"/>
      <c r="J793" s="14"/>
      <c r="K793" s="12"/>
    </row>
    <row r="794" ht="19.5" customHeight="1">
      <c r="A794" s="221"/>
      <c r="C794" s="12"/>
      <c r="D794" s="87"/>
      <c r="F794" s="14"/>
      <c r="G794" s="14"/>
      <c r="H794" s="14"/>
      <c r="I794" s="356"/>
      <c r="J794" s="14"/>
      <c r="K794" s="12"/>
    </row>
    <row r="795" ht="19.5" customHeight="1">
      <c r="A795" s="221"/>
      <c r="C795" s="12"/>
      <c r="D795" s="87"/>
      <c r="F795" s="14"/>
      <c r="G795" s="14"/>
      <c r="H795" s="14"/>
      <c r="I795" s="356"/>
      <c r="J795" s="14"/>
      <c r="K795" s="12"/>
    </row>
    <row r="796" ht="19.5" customHeight="1">
      <c r="A796" s="221"/>
      <c r="C796" s="12"/>
      <c r="D796" s="87"/>
      <c r="F796" s="14"/>
      <c r="G796" s="14"/>
      <c r="H796" s="14"/>
      <c r="I796" s="356"/>
      <c r="J796" s="14"/>
      <c r="K796" s="12"/>
    </row>
    <row r="797" ht="19.5" customHeight="1">
      <c r="A797" s="221"/>
      <c r="C797" s="12"/>
      <c r="D797" s="87"/>
      <c r="F797" s="14"/>
      <c r="G797" s="14"/>
      <c r="H797" s="14"/>
      <c r="I797" s="356"/>
      <c r="J797" s="14"/>
      <c r="K797" s="12"/>
    </row>
    <row r="798" ht="19.5" customHeight="1">
      <c r="A798" s="221"/>
      <c r="C798" s="12"/>
      <c r="D798" s="87"/>
      <c r="F798" s="14"/>
      <c r="G798" s="14"/>
      <c r="H798" s="14"/>
      <c r="I798" s="356"/>
      <c r="J798" s="14"/>
      <c r="K798" s="12"/>
    </row>
    <row r="799" ht="19.5" customHeight="1">
      <c r="A799" s="221"/>
      <c r="C799" s="12"/>
      <c r="D799" s="87"/>
      <c r="F799" s="14"/>
      <c r="G799" s="14"/>
      <c r="H799" s="14"/>
      <c r="I799" s="356"/>
      <c r="J799" s="14"/>
      <c r="K799" s="12"/>
    </row>
    <row r="800" ht="19.5" customHeight="1">
      <c r="A800" s="221"/>
      <c r="C800" s="12"/>
      <c r="D800" s="87"/>
      <c r="F800" s="14"/>
      <c r="G800" s="14"/>
      <c r="H800" s="14"/>
      <c r="I800" s="356"/>
      <c r="J800" s="14"/>
      <c r="K800" s="12"/>
    </row>
    <row r="801" ht="19.5" customHeight="1">
      <c r="A801" s="221"/>
      <c r="C801" s="12"/>
      <c r="D801" s="87"/>
      <c r="F801" s="14"/>
      <c r="G801" s="14"/>
      <c r="H801" s="14"/>
      <c r="I801" s="356"/>
      <c r="J801" s="14"/>
      <c r="K801" s="12"/>
    </row>
    <row r="802" ht="19.5" customHeight="1">
      <c r="A802" s="221"/>
      <c r="C802" s="12"/>
      <c r="D802" s="87"/>
      <c r="F802" s="14"/>
      <c r="G802" s="14"/>
      <c r="H802" s="14"/>
      <c r="I802" s="356"/>
      <c r="J802" s="14"/>
      <c r="K802" s="12"/>
    </row>
    <row r="803" ht="19.5" customHeight="1">
      <c r="A803" s="221"/>
      <c r="C803" s="12"/>
      <c r="D803" s="87"/>
      <c r="F803" s="14"/>
      <c r="G803" s="14"/>
      <c r="H803" s="14"/>
      <c r="I803" s="356"/>
      <c r="J803" s="14"/>
      <c r="K803" s="12"/>
    </row>
    <row r="804" ht="19.5" customHeight="1">
      <c r="A804" s="221"/>
      <c r="C804" s="12"/>
      <c r="D804" s="87"/>
      <c r="F804" s="14"/>
      <c r="G804" s="14"/>
      <c r="H804" s="14"/>
      <c r="I804" s="356"/>
      <c r="J804" s="14"/>
      <c r="K804" s="12"/>
    </row>
    <row r="805" ht="19.5" customHeight="1">
      <c r="A805" s="221"/>
      <c r="C805" s="12"/>
      <c r="D805" s="87"/>
      <c r="F805" s="14"/>
      <c r="G805" s="14"/>
      <c r="H805" s="14"/>
      <c r="I805" s="356"/>
      <c r="J805" s="14"/>
      <c r="K805" s="12"/>
    </row>
    <row r="806" ht="19.5" customHeight="1">
      <c r="A806" s="221"/>
      <c r="C806" s="12"/>
      <c r="D806" s="87"/>
      <c r="F806" s="14"/>
      <c r="G806" s="14"/>
      <c r="H806" s="14"/>
      <c r="I806" s="356"/>
      <c r="J806" s="14"/>
      <c r="K806" s="12"/>
    </row>
    <row r="807" ht="19.5" customHeight="1">
      <c r="A807" s="221"/>
      <c r="C807" s="12"/>
      <c r="D807" s="87"/>
      <c r="F807" s="14"/>
      <c r="G807" s="14"/>
      <c r="H807" s="14"/>
      <c r="I807" s="356"/>
      <c r="J807" s="14"/>
      <c r="K807" s="12"/>
    </row>
    <row r="808" ht="19.5" customHeight="1">
      <c r="A808" s="221"/>
      <c r="C808" s="12"/>
      <c r="D808" s="87"/>
      <c r="F808" s="14"/>
      <c r="G808" s="14"/>
      <c r="H808" s="14"/>
      <c r="I808" s="356"/>
      <c r="J808" s="14"/>
      <c r="K808" s="12"/>
    </row>
    <row r="809" ht="19.5" customHeight="1">
      <c r="A809" s="221"/>
      <c r="C809" s="12"/>
      <c r="D809" s="87"/>
      <c r="F809" s="14"/>
      <c r="G809" s="14"/>
      <c r="H809" s="14"/>
      <c r="I809" s="356"/>
      <c r="J809" s="14"/>
      <c r="K809" s="12"/>
    </row>
    <row r="810" ht="19.5" customHeight="1">
      <c r="A810" s="221"/>
      <c r="C810" s="12"/>
      <c r="D810" s="87"/>
      <c r="F810" s="14"/>
      <c r="G810" s="14"/>
      <c r="H810" s="14"/>
      <c r="I810" s="356"/>
      <c r="J810" s="14"/>
      <c r="K810" s="12"/>
    </row>
    <row r="811" ht="19.5" customHeight="1">
      <c r="A811" s="221"/>
      <c r="C811" s="12"/>
      <c r="D811" s="87"/>
      <c r="F811" s="14"/>
      <c r="G811" s="14"/>
      <c r="H811" s="14"/>
      <c r="I811" s="356"/>
      <c r="J811" s="14"/>
      <c r="K811" s="12"/>
    </row>
    <row r="812" ht="19.5" customHeight="1">
      <c r="A812" s="221"/>
      <c r="C812" s="12"/>
      <c r="D812" s="87"/>
      <c r="F812" s="14"/>
      <c r="G812" s="14"/>
      <c r="H812" s="14"/>
      <c r="I812" s="356"/>
      <c r="J812" s="14"/>
      <c r="K812" s="12"/>
    </row>
    <row r="813" ht="19.5" customHeight="1">
      <c r="A813" s="221"/>
      <c r="C813" s="12"/>
      <c r="D813" s="87"/>
      <c r="F813" s="14"/>
      <c r="G813" s="14"/>
      <c r="H813" s="14"/>
      <c r="I813" s="356"/>
      <c r="J813" s="14"/>
      <c r="K813" s="12"/>
    </row>
    <row r="814" ht="19.5" customHeight="1">
      <c r="A814" s="221"/>
      <c r="C814" s="12"/>
      <c r="D814" s="87"/>
      <c r="F814" s="14"/>
      <c r="G814" s="14"/>
      <c r="H814" s="14"/>
      <c r="I814" s="356"/>
      <c r="J814" s="14"/>
      <c r="K814" s="12"/>
    </row>
    <row r="815" ht="19.5" customHeight="1">
      <c r="A815" s="221"/>
      <c r="C815" s="12"/>
      <c r="D815" s="87"/>
      <c r="F815" s="14"/>
      <c r="G815" s="14"/>
      <c r="H815" s="14"/>
      <c r="I815" s="356"/>
      <c r="J815" s="14"/>
      <c r="K815" s="12"/>
    </row>
    <row r="816" ht="19.5" customHeight="1">
      <c r="A816" s="221"/>
      <c r="C816" s="12"/>
      <c r="D816" s="87"/>
      <c r="F816" s="14"/>
      <c r="G816" s="14"/>
      <c r="H816" s="14"/>
      <c r="I816" s="356"/>
      <c r="J816" s="14"/>
      <c r="K816" s="12"/>
    </row>
    <row r="817" ht="19.5" customHeight="1">
      <c r="A817" s="221"/>
      <c r="C817" s="12"/>
      <c r="D817" s="87"/>
      <c r="F817" s="14"/>
      <c r="G817" s="14"/>
      <c r="H817" s="14"/>
      <c r="I817" s="356"/>
      <c r="J817" s="14"/>
      <c r="K817" s="12"/>
    </row>
    <row r="818" ht="19.5" customHeight="1">
      <c r="A818" s="221"/>
      <c r="C818" s="12"/>
      <c r="D818" s="87"/>
      <c r="F818" s="14"/>
      <c r="G818" s="14"/>
      <c r="H818" s="14"/>
      <c r="I818" s="356"/>
      <c r="J818" s="14"/>
      <c r="K818" s="12"/>
    </row>
    <row r="819" ht="19.5" customHeight="1">
      <c r="A819" s="221"/>
      <c r="C819" s="12"/>
      <c r="D819" s="87"/>
      <c r="F819" s="14"/>
      <c r="G819" s="14"/>
      <c r="H819" s="14"/>
      <c r="I819" s="356"/>
      <c r="J819" s="14"/>
      <c r="K819" s="12"/>
    </row>
    <row r="820" ht="19.5" customHeight="1">
      <c r="A820" s="221"/>
      <c r="C820" s="12"/>
      <c r="D820" s="87"/>
      <c r="F820" s="14"/>
      <c r="G820" s="14"/>
      <c r="H820" s="14"/>
      <c r="I820" s="356"/>
      <c r="J820" s="14"/>
      <c r="K820" s="12"/>
    </row>
    <row r="821" ht="19.5" customHeight="1">
      <c r="A821" s="221"/>
      <c r="C821" s="12"/>
      <c r="D821" s="87"/>
      <c r="F821" s="14"/>
      <c r="G821" s="14"/>
      <c r="H821" s="14"/>
      <c r="I821" s="356"/>
      <c r="J821" s="14"/>
      <c r="K821" s="12"/>
    </row>
    <row r="822" ht="19.5" customHeight="1">
      <c r="A822" s="221"/>
      <c r="C822" s="12"/>
      <c r="D822" s="87"/>
      <c r="F822" s="14"/>
      <c r="G822" s="14"/>
      <c r="H822" s="14"/>
      <c r="I822" s="356"/>
      <c r="J822" s="14"/>
      <c r="K822" s="12"/>
    </row>
    <row r="823" ht="19.5" customHeight="1">
      <c r="A823" s="221"/>
      <c r="C823" s="12"/>
      <c r="D823" s="87"/>
      <c r="F823" s="14"/>
      <c r="G823" s="14"/>
      <c r="H823" s="14"/>
      <c r="I823" s="356"/>
      <c r="J823" s="14"/>
      <c r="K823" s="12"/>
    </row>
    <row r="824" ht="19.5" customHeight="1">
      <c r="A824" s="221"/>
      <c r="C824" s="12"/>
      <c r="D824" s="87"/>
      <c r="F824" s="14"/>
      <c r="G824" s="14"/>
      <c r="H824" s="14"/>
      <c r="I824" s="356"/>
      <c r="J824" s="14"/>
      <c r="K824" s="12"/>
    </row>
    <row r="825" ht="19.5" customHeight="1">
      <c r="A825" s="221"/>
      <c r="C825" s="12"/>
      <c r="D825" s="87"/>
      <c r="F825" s="14"/>
      <c r="G825" s="14"/>
      <c r="H825" s="14"/>
      <c r="I825" s="356"/>
      <c r="J825" s="14"/>
      <c r="K825" s="12"/>
    </row>
    <row r="826" ht="19.5" customHeight="1">
      <c r="A826" s="221"/>
      <c r="C826" s="12"/>
      <c r="D826" s="87"/>
      <c r="F826" s="14"/>
      <c r="G826" s="14"/>
      <c r="H826" s="14"/>
      <c r="I826" s="356"/>
      <c r="J826" s="14"/>
      <c r="K826" s="12"/>
    </row>
    <row r="827" ht="19.5" customHeight="1">
      <c r="A827" s="221"/>
      <c r="C827" s="12"/>
      <c r="D827" s="87"/>
      <c r="F827" s="14"/>
      <c r="G827" s="14"/>
      <c r="H827" s="14"/>
      <c r="I827" s="356"/>
      <c r="J827" s="14"/>
      <c r="K827" s="12"/>
    </row>
    <row r="828" ht="19.5" customHeight="1">
      <c r="A828" s="221"/>
      <c r="C828" s="12"/>
      <c r="D828" s="87"/>
      <c r="F828" s="14"/>
      <c r="G828" s="14"/>
      <c r="H828" s="14"/>
      <c r="I828" s="356"/>
      <c r="J828" s="14"/>
      <c r="K828" s="12"/>
    </row>
    <row r="829" ht="19.5" customHeight="1">
      <c r="A829" s="221"/>
      <c r="C829" s="12"/>
      <c r="D829" s="87"/>
      <c r="F829" s="14"/>
      <c r="G829" s="14"/>
      <c r="H829" s="14"/>
      <c r="I829" s="356"/>
      <c r="J829" s="14"/>
      <c r="K829" s="12"/>
    </row>
    <row r="830" ht="19.5" customHeight="1">
      <c r="A830" s="221"/>
      <c r="C830" s="12"/>
      <c r="D830" s="87"/>
      <c r="F830" s="14"/>
      <c r="G830" s="14"/>
      <c r="H830" s="14"/>
      <c r="I830" s="356"/>
      <c r="J830" s="14"/>
      <c r="K830" s="12"/>
    </row>
    <row r="831" ht="19.5" customHeight="1">
      <c r="A831" s="221"/>
      <c r="C831" s="12"/>
      <c r="D831" s="87"/>
      <c r="F831" s="14"/>
      <c r="G831" s="14"/>
      <c r="H831" s="14"/>
      <c r="I831" s="356"/>
      <c r="J831" s="14"/>
      <c r="K831" s="12"/>
    </row>
    <row r="832" ht="19.5" customHeight="1">
      <c r="A832" s="221"/>
      <c r="C832" s="12"/>
      <c r="D832" s="87"/>
      <c r="F832" s="14"/>
      <c r="G832" s="14"/>
      <c r="H832" s="14"/>
      <c r="I832" s="356"/>
      <c r="J832" s="14"/>
      <c r="K832" s="12"/>
    </row>
    <row r="833" ht="19.5" customHeight="1">
      <c r="A833" s="221"/>
      <c r="C833" s="12"/>
      <c r="D833" s="87"/>
      <c r="F833" s="14"/>
      <c r="G833" s="14"/>
      <c r="H833" s="14"/>
      <c r="I833" s="356"/>
      <c r="J833" s="14"/>
      <c r="K833" s="12"/>
    </row>
    <row r="834" ht="19.5" customHeight="1">
      <c r="A834" s="221"/>
      <c r="C834" s="12"/>
      <c r="D834" s="87"/>
      <c r="F834" s="14"/>
      <c r="G834" s="14"/>
      <c r="H834" s="14"/>
      <c r="I834" s="356"/>
      <c r="J834" s="14"/>
      <c r="K834" s="12"/>
    </row>
    <row r="835" ht="19.5" customHeight="1">
      <c r="A835" s="221"/>
      <c r="C835" s="12"/>
      <c r="D835" s="87"/>
      <c r="F835" s="14"/>
      <c r="G835" s="14"/>
      <c r="H835" s="14"/>
      <c r="I835" s="356"/>
      <c r="J835" s="14"/>
      <c r="K835" s="12"/>
    </row>
    <row r="836" ht="19.5" customHeight="1">
      <c r="A836" s="221"/>
      <c r="C836" s="12"/>
      <c r="D836" s="87"/>
      <c r="F836" s="14"/>
      <c r="G836" s="14"/>
      <c r="H836" s="14"/>
      <c r="I836" s="356"/>
      <c r="J836" s="14"/>
      <c r="K836" s="12"/>
    </row>
    <row r="837" ht="19.5" customHeight="1">
      <c r="A837" s="221"/>
      <c r="C837" s="12"/>
      <c r="D837" s="87"/>
      <c r="F837" s="14"/>
      <c r="G837" s="14"/>
      <c r="H837" s="14"/>
      <c r="I837" s="356"/>
      <c r="J837" s="14"/>
      <c r="K837" s="12"/>
    </row>
    <row r="838" ht="19.5" customHeight="1">
      <c r="A838" s="221"/>
      <c r="C838" s="12"/>
      <c r="D838" s="87"/>
      <c r="F838" s="14"/>
      <c r="G838" s="14"/>
      <c r="H838" s="14"/>
      <c r="I838" s="356"/>
      <c r="J838" s="14"/>
      <c r="K838" s="12"/>
    </row>
    <row r="839" ht="19.5" customHeight="1">
      <c r="A839" s="221"/>
      <c r="C839" s="12"/>
      <c r="D839" s="87"/>
      <c r="F839" s="14"/>
      <c r="G839" s="14"/>
      <c r="H839" s="14"/>
      <c r="I839" s="356"/>
      <c r="J839" s="14"/>
      <c r="K839" s="12"/>
    </row>
    <row r="840" ht="19.5" customHeight="1">
      <c r="A840" s="221"/>
      <c r="C840" s="12"/>
      <c r="D840" s="87"/>
      <c r="F840" s="14"/>
      <c r="G840" s="14"/>
      <c r="H840" s="14"/>
      <c r="I840" s="356"/>
      <c r="J840" s="14"/>
      <c r="K840" s="12"/>
    </row>
    <row r="841" ht="19.5" customHeight="1">
      <c r="A841" s="221"/>
      <c r="C841" s="12"/>
      <c r="D841" s="87"/>
      <c r="F841" s="14"/>
      <c r="G841" s="14"/>
      <c r="H841" s="14"/>
      <c r="I841" s="356"/>
      <c r="J841" s="14"/>
      <c r="K841" s="12"/>
    </row>
    <row r="842" ht="19.5" customHeight="1">
      <c r="A842" s="221"/>
      <c r="C842" s="12"/>
      <c r="D842" s="87"/>
      <c r="F842" s="14"/>
      <c r="G842" s="14"/>
      <c r="H842" s="14"/>
      <c r="I842" s="356"/>
      <c r="J842" s="14"/>
      <c r="K842" s="12"/>
    </row>
    <row r="843" ht="19.5" customHeight="1">
      <c r="A843" s="221"/>
      <c r="C843" s="12"/>
      <c r="D843" s="87"/>
      <c r="F843" s="14"/>
      <c r="G843" s="14"/>
      <c r="H843" s="14"/>
      <c r="I843" s="356"/>
      <c r="J843" s="14"/>
      <c r="K843" s="12"/>
    </row>
    <row r="844" ht="19.5" customHeight="1">
      <c r="A844" s="221"/>
      <c r="C844" s="12"/>
      <c r="D844" s="87"/>
      <c r="F844" s="14"/>
      <c r="G844" s="14"/>
      <c r="H844" s="14"/>
      <c r="I844" s="356"/>
      <c r="J844" s="14"/>
      <c r="K844" s="12"/>
    </row>
    <row r="845" ht="19.5" customHeight="1">
      <c r="A845" s="221"/>
      <c r="C845" s="12"/>
      <c r="D845" s="87"/>
      <c r="F845" s="14"/>
      <c r="G845" s="14"/>
      <c r="H845" s="14"/>
      <c r="I845" s="356"/>
      <c r="J845" s="14"/>
      <c r="K845" s="12"/>
    </row>
    <row r="846" ht="19.5" customHeight="1">
      <c r="A846" s="221"/>
      <c r="C846" s="12"/>
      <c r="D846" s="87"/>
      <c r="F846" s="14"/>
      <c r="G846" s="14"/>
      <c r="H846" s="14"/>
      <c r="I846" s="356"/>
      <c r="J846" s="14"/>
      <c r="K846" s="12"/>
    </row>
    <row r="847" ht="19.5" customHeight="1">
      <c r="A847" s="221"/>
      <c r="C847" s="12"/>
      <c r="D847" s="87"/>
      <c r="F847" s="14"/>
      <c r="G847" s="14"/>
      <c r="H847" s="14"/>
      <c r="I847" s="356"/>
      <c r="J847" s="14"/>
      <c r="K847" s="12"/>
    </row>
    <row r="848" ht="19.5" customHeight="1">
      <c r="A848" s="221"/>
      <c r="C848" s="12"/>
      <c r="D848" s="87"/>
      <c r="F848" s="14"/>
      <c r="G848" s="14"/>
      <c r="H848" s="14"/>
      <c r="I848" s="356"/>
      <c r="J848" s="14"/>
      <c r="K848" s="12"/>
    </row>
    <row r="849" ht="19.5" customHeight="1">
      <c r="A849" s="221"/>
      <c r="C849" s="12"/>
      <c r="D849" s="87"/>
      <c r="F849" s="14"/>
      <c r="G849" s="14"/>
      <c r="H849" s="14"/>
      <c r="I849" s="356"/>
      <c r="J849" s="14"/>
      <c r="K849" s="12"/>
    </row>
    <row r="850" ht="19.5" customHeight="1">
      <c r="A850" s="221"/>
      <c r="C850" s="12"/>
      <c r="D850" s="87"/>
      <c r="F850" s="14"/>
      <c r="G850" s="14"/>
      <c r="H850" s="14"/>
      <c r="I850" s="356"/>
      <c r="J850" s="14"/>
      <c r="K850" s="12"/>
    </row>
    <row r="851" ht="19.5" customHeight="1">
      <c r="A851" s="221"/>
      <c r="C851" s="12"/>
      <c r="D851" s="87"/>
      <c r="F851" s="14"/>
      <c r="G851" s="14"/>
      <c r="H851" s="14"/>
      <c r="I851" s="356"/>
      <c r="J851" s="14"/>
      <c r="K851" s="12"/>
    </row>
    <row r="852" ht="19.5" customHeight="1">
      <c r="A852" s="221"/>
      <c r="C852" s="12"/>
      <c r="D852" s="87"/>
      <c r="F852" s="14"/>
      <c r="G852" s="14"/>
      <c r="H852" s="14"/>
      <c r="I852" s="356"/>
      <c r="J852" s="14"/>
      <c r="K852" s="12"/>
    </row>
    <row r="853" ht="19.5" customHeight="1">
      <c r="A853" s="221"/>
      <c r="C853" s="12"/>
      <c r="D853" s="87"/>
      <c r="F853" s="14"/>
      <c r="G853" s="14"/>
      <c r="H853" s="14"/>
      <c r="I853" s="356"/>
      <c r="J853" s="14"/>
      <c r="K853" s="12"/>
    </row>
    <row r="854" ht="19.5" customHeight="1">
      <c r="A854" s="221"/>
      <c r="C854" s="12"/>
      <c r="D854" s="87"/>
      <c r="F854" s="14"/>
      <c r="G854" s="14"/>
      <c r="H854" s="14"/>
      <c r="I854" s="356"/>
      <c r="J854" s="14"/>
      <c r="K854" s="12"/>
    </row>
    <row r="855" ht="19.5" customHeight="1">
      <c r="A855" s="221"/>
      <c r="C855" s="12"/>
      <c r="D855" s="87"/>
      <c r="F855" s="14"/>
      <c r="G855" s="14"/>
      <c r="H855" s="14"/>
      <c r="I855" s="356"/>
      <c r="J855" s="14"/>
      <c r="K855" s="12"/>
    </row>
    <row r="856" ht="19.5" customHeight="1">
      <c r="A856" s="221"/>
      <c r="C856" s="12"/>
      <c r="D856" s="87"/>
      <c r="F856" s="14"/>
      <c r="G856" s="14"/>
      <c r="H856" s="14"/>
      <c r="I856" s="356"/>
      <c r="J856" s="14"/>
      <c r="K856" s="12"/>
    </row>
    <row r="857" ht="19.5" customHeight="1">
      <c r="A857" s="221"/>
      <c r="C857" s="12"/>
      <c r="D857" s="87"/>
      <c r="F857" s="14"/>
      <c r="G857" s="14"/>
      <c r="H857" s="14"/>
      <c r="I857" s="356"/>
      <c r="J857" s="14"/>
      <c r="K857" s="12"/>
    </row>
    <row r="858" ht="19.5" customHeight="1">
      <c r="A858" s="221"/>
      <c r="C858" s="12"/>
      <c r="D858" s="87"/>
      <c r="F858" s="14"/>
      <c r="G858" s="14"/>
      <c r="H858" s="14"/>
      <c r="I858" s="356"/>
      <c r="J858" s="14"/>
      <c r="K858" s="12"/>
    </row>
    <row r="859" ht="19.5" customHeight="1">
      <c r="A859" s="221"/>
      <c r="C859" s="12"/>
      <c r="D859" s="87"/>
      <c r="F859" s="14"/>
      <c r="G859" s="14"/>
      <c r="H859" s="14"/>
      <c r="I859" s="356"/>
      <c r="J859" s="14"/>
      <c r="K859" s="12"/>
    </row>
    <row r="860" ht="19.5" customHeight="1">
      <c r="A860" s="221"/>
      <c r="C860" s="12"/>
      <c r="D860" s="87"/>
      <c r="F860" s="14"/>
      <c r="G860" s="14"/>
      <c r="H860" s="14"/>
      <c r="I860" s="356"/>
      <c r="J860" s="14"/>
      <c r="K860" s="12"/>
    </row>
    <row r="861" ht="19.5" customHeight="1">
      <c r="A861" s="221"/>
      <c r="C861" s="12"/>
      <c r="D861" s="87"/>
      <c r="F861" s="14"/>
      <c r="G861" s="14"/>
      <c r="H861" s="14"/>
      <c r="I861" s="356"/>
      <c r="J861" s="14"/>
      <c r="K861" s="12"/>
    </row>
    <row r="862" ht="19.5" customHeight="1">
      <c r="A862" s="221"/>
      <c r="C862" s="12"/>
      <c r="D862" s="87"/>
      <c r="F862" s="14"/>
      <c r="G862" s="14"/>
      <c r="H862" s="14"/>
      <c r="I862" s="356"/>
      <c r="J862" s="14"/>
      <c r="K862" s="12"/>
    </row>
    <row r="863" ht="19.5" customHeight="1">
      <c r="A863" s="221"/>
      <c r="C863" s="12"/>
      <c r="D863" s="87"/>
      <c r="F863" s="14"/>
      <c r="G863" s="14"/>
      <c r="H863" s="14"/>
      <c r="I863" s="356"/>
      <c r="J863" s="14"/>
      <c r="K863" s="12"/>
    </row>
    <row r="864" ht="19.5" customHeight="1">
      <c r="A864" s="221"/>
      <c r="C864" s="12"/>
      <c r="D864" s="87"/>
      <c r="F864" s="14"/>
      <c r="G864" s="14"/>
      <c r="H864" s="14"/>
      <c r="I864" s="356"/>
      <c r="J864" s="14"/>
      <c r="K864" s="12"/>
    </row>
    <row r="865" ht="19.5" customHeight="1">
      <c r="A865" s="221"/>
      <c r="C865" s="12"/>
      <c r="D865" s="87"/>
      <c r="F865" s="14"/>
      <c r="G865" s="14"/>
      <c r="H865" s="14"/>
      <c r="I865" s="356"/>
      <c r="J865" s="14"/>
      <c r="K865" s="12"/>
    </row>
    <row r="866" ht="19.5" customHeight="1">
      <c r="A866" s="221"/>
      <c r="C866" s="12"/>
      <c r="D866" s="87"/>
      <c r="F866" s="14"/>
      <c r="G866" s="14"/>
      <c r="H866" s="14"/>
      <c r="I866" s="356"/>
      <c r="J866" s="14"/>
      <c r="K866" s="12"/>
    </row>
    <row r="867" ht="19.5" customHeight="1">
      <c r="A867" s="221"/>
      <c r="C867" s="12"/>
      <c r="D867" s="87"/>
      <c r="F867" s="14"/>
      <c r="G867" s="14"/>
      <c r="H867" s="14"/>
      <c r="I867" s="356"/>
      <c r="J867" s="14"/>
      <c r="K867" s="12"/>
    </row>
    <row r="868" ht="19.5" customHeight="1">
      <c r="A868" s="221"/>
      <c r="C868" s="12"/>
      <c r="D868" s="87"/>
      <c r="F868" s="14"/>
      <c r="G868" s="14"/>
      <c r="H868" s="14"/>
      <c r="I868" s="356"/>
      <c r="J868" s="14"/>
      <c r="K868" s="12"/>
    </row>
    <row r="869" ht="19.5" customHeight="1">
      <c r="A869" s="221"/>
      <c r="C869" s="12"/>
      <c r="D869" s="87"/>
      <c r="F869" s="14"/>
      <c r="G869" s="14"/>
      <c r="H869" s="14"/>
      <c r="I869" s="356"/>
      <c r="J869" s="14"/>
      <c r="K869" s="12"/>
    </row>
    <row r="870" ht="19.5" customHeight="1">
      <c r="A870" s="221"/>
      <c r="C870" s="12"/>
      <c r="D870" s="87"/>
      <c r="F870" s="14"/>
      <c r="G870" s="14"/>
      <c r="H870" s="14"/>
      <c r="I870" s="356"/>
      <c r="J870" s="14"/>
      <c r="K870" s="12"/>
    </row>
    <row r="871" ht="19.5" customHeight="1">
      <c r="A871" s="221"/>
      <c r="C871" s="12"/>
      <c r="D871" s="87"/>
      <c r="F871" s="14"/>
      <c r="G871" s="14"/>
      <c r="H871" s="14"/>
      <c r="I871" s="356"/>
      <c r="J871" s="14"/>
      <c r="K871" s="12"/>
    </row>
    <row r="872" ht="19.5" customHeight="1">
      <c r="A872" s="221"/>
      <c r="C872" s="12"/>
      <c r="D872" s="87"/>
      <c r="F872" s="14"/>
      <c r="G872" s="14"/>
      <c r="H872" s="14"/>
      <c r="I872" s="356"/>
      <c r="J872" s="14"/>
      <c r="K872" s="12"/>
    </row>
    <row r="873" ht="19.5" customHeight="1">
      <c r="A873" s="221"/>
      <c r="C873" s="12"/>
      <c r="D873" s="87"/>
      <c r="F873" s="14"/>
      <c r="G873" s="14"/>
      <c r="H873" s="14"/>
      <c r="I873" s="356"/>
      <c r="J873" s="14"/>
      <c r="K873" s="12"/>
    </row>
    <row r="874" ht="19.5" customHeight="1">
      <c r="A874" s="221"/>
      <c r="C874" s="12"/>
      <c r="D874" s="87"/>
      <c r="F874" s="14"/>
      <c r="G874" s="14"/>
      <c r="H874" s="14"/>
      <c r="I874" s="356"/>
      <c r="J874" s="14"/>
      <c r="K874" s="12"/>
    </row>
    <row r="875" ht="19.5" customHeight="1">
      <c r="A875" s="221"/>
      <c r="C875" s="12"/>
      <c r="D875" s="87"/>
      <c r="F875" s="14"/>
      <c r="G875" s="14"/>
      <c r="H875" s="14"/>
      <c r="I875" s="356"/>
      <c r="J875" s="14"/>
      <c r="K875" s="12"/>
    </row>
    <row r="876" ht="19.5" customHeight="1">
      <c r="A876" s="221"/>
      <c r="C876" s="12"/>
      <c r="D876" s="87"/>
      <c r="F876" s="14"/>
      <c r="G876" s="14"/>
      <c r="H876" s="14"/>
      <c r="I876" s="356"/>
      <c r="J876" s="14"/>
      <c r="K876" s="12"/>
    </row>
    <row r="877" ht="19.5" customHeight="1">
      <c r="A877" s="221"/>
      <c r="C877" s="12"/>
      <c r="D877" s="87"/>
      <c r="F877" s="14"/>
      <c r="G877" s="14"/>
      <c r="H877" s="14"/>
      <c r="I877" s="356"/>
      <c r="J877" s="14"/>
      <c r="K877" s="12"/>
    </row>
    <row r="878" ht="19.5" customHeight="1">
      <c r="A878" s="221"/>
      <c r="C878" s="12"/>
      <c r="D878" s="87"/>
      <c r="F878" s="14"/>
      <c r="G878" s="14"/>
      <c r="H878" s="14"/>
      <c r="I878" s="356"/>
      <c r="J878" s="14"/>
      <c r="K878" s="12"/>
    </row>
    <row r="879" ht="19.5" customHeight="1">
      <c r="A879" s="221"/>
      <c r="C879" s="12"/>
      <c r="D879" s="87"/>
      <c r="F879" s="14"/>
      <c r="G879" s="14"/>
      <c r="H879" s="14"/>
      <c r="I879" s="356"/>
      <c r="J879" s="14"/>
      <c r="K879" s="12"/>
    </row>
    <row r="880" ht="19.5" customHeight="1">
      <c r="A880" s="221"/>
      <c r="C880" s="12"/>
      <c r="D880" s="87"/>
      <c r="F880" s="14"/>
      <c r="G880" s="14"/>
      <c r="H880" s="14"/>
      <c r="I880" s="356"/>
      <c r="J880" s="14"/>
      <c r="K880" s="12"/>
    </row>
    <row r="881" ht="19.5" customHeight="1">
      <c r="A881" s="221"/>
      <c r="C881" s="12"/>
      <c r="D881" s="87"/>
      <c r="F881" s="14"/>
      <c r="G881" s="14"/>
      <c r="H881" s="14"/>
      <c r="I881" s="356"/>
      <c r="J881" s="14"/>
      <c r="K881" s="12"/>
    </row>
    <row r="882" ht="19.5" customHeight="1">
      <c r="A882" s="221"/>
      <c r="C882" s="12"/>
      <c r="D882" s="87"/>
      <c r="F882" s="14"/>
      <c r="G882" s="14"/>
      <c r="H882" s="14"/>
      <c r="I882" s="356"/>
      <c r="J882" s="14"/>
      <c r="K882" s="12"/>
    </row>
    <row r="883" ht="19.5" customHeight="1">
      <c r="A883" s="221"/>
      <c r="C883" s="12"/>
      <c r="D883" s="87"/>
      <c r="F883" s="14"/>
      <c r="G883" s="14"/>
      <c r="H883" s="14"/>
      <c r="I883" s="356"/>
      <c r="J883" s="14"/>
      <c r="K883" s="12"/>
    </row>
    <row r="884" ht="19.5" customHeight="1">
      <c r="A884" s="221"/>
      <c r="C884" s="12"/>
      <c r="D884" s="87"/>
      <c r="F884" s="14"/>
      <c r="G884" s="14"/>
      <c r="H884" s="14"/>
      <c r="I884" s="356"/>
      <c r="J884" s="14"/>
      <c r="K884" s="12"/>
    </row>
    <row r="885" ht="19.5" customHeight="1">
      <c r="A885" s="221"/>
      <c r="C885" s="12"/>
      <c r="D885" s="87"/>
      <c r="F885" s="14"/>
      <c r="G885" s="14"/>
      <c r="H885" s="14"/>
      <c r="I885" s="356"/>
      <c r="J885" s="14"/>
      <c r="K885" s="12"/>
    </row>
    <row r="886" ht="19.5" customHeight="1">
      <c r="A886" s="221"/>
      <c r="C886" s="12"/>
      <c r="D886" s="87"/>
      <c r="F886" s="14"/>
      <c r="G886" s="14"/>
      <c r="H886" s="14"/>
      <c r="I886" s="356"/>
      <c r="J886" s="14"/>
      <c r="K886" s="12"/>
    </row>
    <row r="887" ht="19.5" customHeight="1">
      <c r="A887" s="221"/>
      <c r="C887" s="12"/>
      <c r="D887" s="87"/>
      <c r="F887" s="14"/>
      <c r="G887" s="14"/>
      <c r="H887" s="14"/>
      <c r="I887" s="356"/>
      <c r="J887" s="14"/>
      <c r="K887" s="12"/>
    </row>
    <row r="888" ht="19.5" customHeight="1">
      <c r="A888" s="221"/>
      <c r="C888" s="12"/>
      <c r="D888" s="87"/>
      <c r="F888" s="14"/>
      <c r="G888" s="14"/>
      <c r="H888" s="14"/>
      <c r="I888" s="356"/>
      <c r="J888" s="14"/>
      <c r="K888" s="12"/>
    </row>
    <row r="889" ht="19.5" customHeight="1">
      <c r="A889" s="221"/>
      <c r="C889" s="12"/>
      <c r="D889" s="87"/>
      <c r="F889" s="14"/>
      <c r="G889" s="14"/>
      <c r="H889" s="14"/>
      <c r="I889" s="356"/>
      <c r="J889" s="14"/>
      <c r="K889" s="12"/>
    </row>
    <row r="890" ht="19.5" customHeight="1">
      <c r="A890" s="221"/>
      <c r="C890" s="12"/>
      <c r="D890" s="87"/>
      <c r="F890" s="14"/>
      <c r="G890" s="14"/>
      <c r="H890" s="14"/>
      <c r="I890" s="356"/>
      <c r="J890" s="14"/>
      <c r="K890" s="12"/>
    </row>
    <row r="891" ht="19.5" customHeight="1">
      <c r="A891" s="221"/>
      <c r="C891" s="12"/>
      <c r="D891" s="87"/>
      <c r="F891" s="14"/>
      <c r="G891" s="14"/>
      <c r="H891" s="14"/>
      <c r="I891" s="356"/>
      <c r="J891" s="14"/>
      <c r="K891" s="12"/>
    </row>
    <row r="892" ht="19.5" customHeight="1">
      <c r="A892" s="221"/>
      <c r="C892" s="12"/>
      <c r="D892" s="87"/>
      <c r="F892" s="14"/>
      <c r="G892" s="14"/>
      <c r="H892" s="14"/>
      <c r="I892" s="356"/>
      <c r="J892" s="14"/>
      <c r="K892" s="12"/>
    </row>
    <row r="893" ht="19.5" customHeight="1">
      <c r="A893" s="221"/>
      <c r="C893" s="12"/>
      <c r="D893" s="87"/>
      <c r="F893" s="14"/>
      <c r="G893" s="14"/>
      <c r="H893" s="14"/>
      <c r="I893" s="356"/>
      <c r="J893" s="14"/>
      <c r="K893" s="12"/>
    </row>
    <row r="894" ht="19.5" customHeight="1">
      <c r="A894" s="221"/>
      <c r="C894" s="12"/>
      <c r="D894" s="87"/>
      <c r="F894" s="14"/>
      <c r="G894" s="14"/>
      <c r="H894" s="14"/>
      <c r="I894" s="356"/>
      <c r="J894" s="14"/>
      <c r="K894" s="12"/>
    </row>
    <row r="895" ht="19.5" customHeight="1">
      <c r="A895" s="221"/>
      <c r="C895" s="12"/>
      <c r="D895" s="87"/>
      <c r="F895" s="14"/>
      <c r="G895" s="14"/>
      <c r="H895" s="14"/>
      <c r="I895" s="356"/>
      <c r="J895" s="14"/>
      <c r="K895" s="12"/>
    </row>
    <row r="896" ht="19.5" customHeight="1">
      <c r="A896" s="221"/>
      <c r="C896" s="12"/>
      <c r="D896" s="87"/>
      <c r="F896" s="14"/>
      <c r="G896" s="14"/>
      <c r="H896" s="14"/>
      <c r="I896" s="356"/>
      <c r="J896" s="14"/>
      <c r="K896" s="12"/>
    </row>
    <row r="897" ht="19.5" customHeight="1">
      <c r="A897" s="221"/>
      <c r="C897" s="12"/>
      <c r="D897" s="87"/>
      <c r="F897" s="14"/>
      <c r="G897" s="14"/>
      <c r="H897" s="14"/>
      <c r="I897" s="356"/>
      <c r="J897" s="14"/>
      <c r="K897" s="12"/>
    </row>
    <row r="898" ht="19.5" customHeight="1">
      <c r="A898" s="221"/>
      <c r="C898" s="12"/>
      <c r="D898" s="87"/>
      <c r="F898" s="14"/>
      <c r="G898" s="14"/>
      <c r="H898" s="14"/>
      <c r="I898" s="356"/>
      <c r="J898" s="14"/>
      <c r="K898" s="12"/>
    </row>
    <row r="899" ht="19.5" customHeight="1">
      <c r="A899" s="221"/>
      <c r="C899" s="12"/>
      <c r="D899" s="87"/>
      <c r="F899" s="14"/>
      <c r="G899" s="14"/>
      <c r="H899" s="14"/>
      <c r="I899" s="356"/>
      <c r="J899" s="14"/>
      <c r="K899" s="12"/>
    </row>
    <row r="900" ht="19.5" customHeight="1">
      <c r="A900" s="221"/>
      <c r="C900" s="12"/>
      <c r="D900" s="87"/>
      <c r="F900" s="14"/>
      <c r="G900" s="14"/>
      <c r="H900" s="14"/>
      <c r="I900" s="356"/>
      <c r="J900" s="14"/>
      <c r="K900" s="12"/>
    </row>
    <row r="901" ht="19.5" customHeight="1">
      <c r="A901" s="221"/>
      <c r="C901" s="12"/>
      <c r="D901" s="87"/>
      <c r="F901" s="14"/>
      <c r="G901" s="14"/>
      <c r="H901" s="14"/>
      <c r="I901" s="356"/>
      <c r="J901" s="14"/>
      <c r="K901" s="12"/>
    </row>
    <row r="902" ht="19.5" customHeight="1">
      <c r="A902" s="221"/>
      <c r="C902" s="12"/>
      <c r="D902" s="87"/>
      <c r="F902" s="14"/>
      <c r="G902" s="14"/>
      <c r="H902" s="14"/>
      <c r="I902" s="356"/>
      <c r="J902" s="14"/>
      <c r="K902" s="12"/>
    </row>
    <row r="903" ht="19.5" customHeight="1">
      <c r="A903" s="221"/>
      <c r="C903" s="12"/>
      <c r="D903" s="87"/>
      <c r="F903" s="14"/>
      <c r="G903" s="14"/>
      <c r="H903" s="14"/>
      <c r="I903" s="356"/>
      <c r="J903" s="14"/>
      <c r="K903" s="12"/>
    </row>
    <row r="904" ht="19.5" customHeight="1">
      <c r="A904" s="221"/>
      <c r="C904" s="12"/>
      <c r="D904" s="87"/>
      <c r="F904" s="14"/>
      <c r="G904" s="14"/>
      <c r="H904" s="14"/>
      <c r="I904" s="356"/>
      <c r="J904" s="14"/>
      <c r="K904" s="12"/>
    </row>
    <row r="905" ht="19.5" customHeight="1">
      <c r="A905" s="221"/>
      <c r="C905" s="12"/>
      <c r="D905" s="87"/>
      <c r="F905" s="14"/>
      <c r="G905" s="14"/>
      <c r="H905" s="14"/>
      <c r="I905" s="356"/>
      <c r="J905" s="14"/>
      <c r="K905" s="12"/>
    </row>
    <row r="906" ht="19.5" customHeight="1">
      <c r="A906" s="221"/>
      <c r="C906" s="12"/>
      <c r="D906" s="87"/>
      <c r="F906" s="14"/>
      <c r="G906" s="14"/>
      <c r="H906" s="14"/>
      <c r="I906" s="356"/>
      <c r="J906" s="14"/>
      <c r="K906" s="12"/>
    </row>
    <row r="907" ht="19.5" customHeight="1">
      <c r="A907" s="221"/>
      <c r="C907" s="12"/>
      <c r="D907" s="87"/>
      <c r="F907" s="14"/>
      <c r="G907" s="14"/>
      <c r="H907" s="14"/>
      <c r="I907" s="356"/>
      <c r="J907" s="14"/>
      <c r="K907" s="12"/>
    </row>
    <row r="908" ht="19.5" customHeight="1">
      <c r="A908" s="221"/>
      <c r="C908" s="12"/>
      <c r="D908" s="87"/>
      <c r="F908" s="14"/>
      <c r="G908" s="14"/>
      <c r="H908" s="14"/>
      <c r="I908" s="356"/>
      <c r="J908" s="14"/>
      <c r="K908" s="12"/>
    </row>
    <row r="909" ht="19.5" customHeight="1">
      <c r="A909" s="221"/>
      <c r="C909" s="12"/>
      <c r="D909" s="87"/>
      <c r="F909" s="14"/>
      <c r="G909" s="14"/>
      <c r="H909" s="14"/>
      <c r="I909" s="356"/>
      <c r="J909" s="14"/>
      <c r="K909" s="12"/>
    </row>
    <row r="910" ht="19.5" customHeight="1">
      <c r="A910" s="221"/>
      <c r="C910" s="12"/>
      <c r="D910" s="87"/>
      <c r="F910" s="14"/>
      <c r="G910" s="14"/>
      <c r="H910" s="14"/>
      <c r="I910" s="356"/>
      <c r="J910" s="14"/>
      <c r="K910" s="12"/>
    </row>
    <row r="911" ht="19.5" customHeight="1">
      <c r="A911" s="221"/>
      <c r="C911" s="12"/>
      <c r="D911" s="87"/>
      <c r="F911" s="14"/>
      <c r="G911" s="14"/>
      <c r="H911" s="14"/>
      <c r="I911" s="356"/>
      <c r="J911" s="14"/>
      <c r="K911" s="12"/>
    </row>
    <row r="912" ht="19.5" customHeight="1">
      <c r="A912" s="221"/>
      <c r="C912" s="12"/>
      <c r="D912" s="87"/>
      <c r="F912" s="14"/>
      <c r="G912" s="14"/>
      <c r="H912" s="14"/>
      <c r="I912" s="356"/>
      <c r="J912" s="14"/>
      <c r="K912" s="12"/>
    </row>
    <row r="913" ht="19.5" customHeight="1">
      <c r="A913" s="221"/>
      <c r="C913" s="12"/>
      <c r="D913" s="87"/>
      <c r="F913" s="14"/>
      <c r="G913" s="14"/>
      <c r="H913" s="14"/>
      <c r="I913" s="356"/>
      <c r="J913" s="14"/>
      <c r="K913" s="12"/>
    </row>
    <row r="914" ht="19.5" customHeight="1">
      <c r="A914" s="221"/>
      <c r="C914" s="12"/>
      <c r="D914" s="87"/>
      <c r="F914" s="14"/>
      <c r="G914" s="14"/>
      <c r="H914" s="14"/>
      <c r="I914" s="356"/>
      <c r="J914" s="14"/>
      <c r="K914" s="12"/>
    </row>
    <row r="915" ht="19.5" customHeight="1">
      <c r="A915" s="221"/>
      <c r="C915" s="12"/>
      <c r="D915" s="87"/>
      <c r="F915" s="14"/>
      <c r="G915" s="14"/>
      <c r="H915" s="14"/>
      <c r="I915" s="356"/>
      <c r="J915" s="14"/>
      <c r="K915" s="12"/>
    </row>
    <row r="916" ht="19.5" customHeight="1">
      <c r="A916" s="221"/>
      <c r="C916" s="12"/>
      <c r="D916" s="87"/>
      <c r="F916" s="14"/>
      <c r="G916" s="14"/>
      <c r="H916" s="14"/>
      <c r="I916" s="356"/>
      <c r="J916" s="14"/>
      <c r="K916" s="12"/>
    </row>
    <row r="917" ht="19.5" customHeight="1">
      <c r="A917" s="221"/>
      <c r="C917" s="12"/>
      <c r="D917" s="87"/>
      <c r="F917" s="14"/>
      <c r="G917" s="14"/>
      <c r="H917" s="14"/>
      <c r="I917" s="356"/>
      <c r="J917" s="14"/>
      <c r="K917" s="12"/>
    </row>
    <row r="918" ht="19.5" customHeight="1">
      <c r="A918" s="221"/>
      <c r="C918" s="12"/>
      <c r="D918" s="87"/>
      <c r="F918" s="14"/>
      <c r="G918" s="14"/>
      <c r="H918" s="14"/>
      <c r="I918" s="356"/>
      <c r="J918" s="14"/>
      <c r="K918" s="12"/>
    </row>
    <row r="919" ht="19.5" customHeight="1">
      <c r="A919" s="221"/>
      <c r="C919" s="12"/>
      <c r="D919" s="87"/>
      <c r="F919" s="14"/>
      <c r="G919" s="14"/>
      <c r="H919" s="14"/>
      <c r="I919" s="356"/>
      <c r="J919" s="14"/>
      <c r="K919" s="12"/>
    </row>
    <row r="920" ht="19.5" customHeight="1">
      <c r="A920" s="221"/>
      <c r="C920" s="12"/>
      <c r="D920" s="87"/>
      <c r="F920" s="14"/>
      <c r="G920" s="14"/>
      <c r="H920" s="14"/>
      <c r="I920" s="356"/>
      <c r="J920" s="14"/>
      <c r="K920" s="12"/>
    </row>
    <row r="921" ht="19.5" customHeight="1">
      <c r="A921" s="221"/>
      <c r="C921" s="12"/>
      <c r="D921" s="87"/>
      <c r="F921" s="14"/>
      <c r="G921" s="14"/>
      <c r="H921" s="14"/>
      <c r="I921" s="356"/>
      <c r="J921" s="14"/>
      <c r="K921" s="12"/>
    </row>
    <row r="922" ht="19.5" customHeight="1">
      <c r="A922" s="221"/>
      <c r="C922" s="12"/>
      <c r="D922" s="87"/>
      <c r="F922" s="14"/>
      <c r="G922" s="14"/>
      <c r="H922" s="14"/>
      <c r="I922" s="356"/>
      <c r="J922" s="14"/>
      <c r="K922" s="12"/>
    </row>
    <row r="923" ht="19.5" customHeight="1">
      <c r="A923" s="221"/>
      <c r="C923" s="12"/>
      <c r="D923" s="87"/>
      <c r="F923" s="14"/>
      <c r="G923" s="14"/>
      <c r="H923" s="14"/>
      <c r="I923" s="356"/>
      <c r="J923" s="14"/>
      <c r="K923" s="12"/>
    </row>
    <row r="924" ht="19.5" customHeight="1">
      <c r="A924" s="221"/>
      <c r="C924" s="12"/>
      <c r="D924" s="87"/>
      <c r="F924" s="14"/>
      <c r="G924" s="14"/>
      <c r="H924" s="14"/>
      <c r="I924" s="356"/>
      <c r="J924" s="14"/>
      <c r="K924" s="12"/>
    </row>
    <row r="925" ht="19.5" customHeight="1">
      <c r="A925" s="221"/>
      <c r="C925" s="12"/>
      <c r="D925" s="87"/>
      <c r="F925" s="14"/>
      <c r="G925" s="14"/>
      <c r="H925" s="14"/>
      <c r="I925" s="356"/>
      <c r="J925" s="14"/>
      <c r="K925" s="12"/>
    </row>
    <row r="926" ht="19.5" customHeight="1">
      <c r="A926" s="221"/>
      <c r="C926" s="12"/>
      <c r="D926" s="87"/>
      <c r="F926" s="14"/>
      <c r="G926" s="14"/>
      <c r="H926" s="14"/>
      <c r="I926" s="356"/>
      <c r="J926" s="14"/>
      <c r="K926" s="12"/>
    </row>
    <row r="927" ht="19.5" customHeight="1">
      <c r="A927" s="221"/>
      <c r="C927" s="12"/>
      <c r="D927" s="87"/>
      <c r="F927" s="14"/>
      <c r="G927" s="14"/>
      <c r="H927" s="14"/>
      <c r="I927" s="356"/>
      <c r="J927" s="14"/>
      <c r="K927" s="12"/>
    </row>
    <row r="928" ht="19.5" customHeight="1">
      <c r="A928" s="221"/>
      <c r="C928" s="12"/>
      <c r="D928" s="87"/>
      <c r="F928" s="14"/>
      <c r="G928" s="14"/>
      <c r="H928" s="14"/>
      <c r="I928" s="356"/>
      <c r="J928" s="14"/>
      <c r="K928" s="12"/>
    </row>
    <row r="929" ht="19.5" customHeight="1">
      <c r="A929" s="221"/>
      <c r="C929" s="12"/>
      <c r="D929" s="87"/>
      <c r="F929" s="14"/>
      <c r="G929" s="14"/>
      <c r="H929" s="14"/>
      <c r="I929" s="356"/>
      <c r="J929" s="14"/>
      <c r="K929" s="12"/>
    </row>
    <row r="930" ht="19.5" customHeight="1">
      <c r="A930" s="221"/>
      <c r="C930" s="12"/>
      <c r="D930" s="87"/>
      <c r="F930" s="14"/>
      <c r="G930" s="14"/>
      <c r="H930" s="14"/>
      <c r="I930" s="356"/>
      <c r="J930" s="14"/>
      <c r="K930" s="12"/>
    </row>
    <row r="931" ht="19.5" customHeight="1">
      <c r="A931" s="221"/>
      <c r="C931" s="12"/>
      <c r="D931" s="87"/>
      <c r="F931" s="14"/>
      <c r="G931" s="14"/>
      <c r="H931" s="14"/>
      <c r="I931" s="356"/>
      <c r="J931" s="14"/>
      <c r="K931" s="12"/>
    </row>
    <row r="932" ht="19.5" customHeight="1">
      <c r="A932" s="221"/>
      <c r="C932" s="12"/>
      <c r="D932" s="87"/>
      <c r="F932" s="14"/>
      <c r="G932" s="14"/>
      <c r="H932" s="14"/>
      <c r="I932" s="356"/>
      <c r="J932" s="14"/>
      <c r="K932" s="12"/>
    </row>
    <row r="933" ht="19.5" customHeight="1">
      <c r="A933" s="221"/>
      <c r="C933" s="12"/>
      <c r="D933" s="87"/>
      <c r="F933" s="14"/>
      <c r="G933" s="14"/>
      <c r="H933" s="14"/>
      <c r="I933" s="356"/>
      <c r="J933" s="14"/>
      <c r="K933" s="12"/>
    </row>
    <row r="934" ht="19.5" customHeight="1">
      <c r="A934" s="221"/>
      <c r="C934" s="12"/>
      <c r="D934" s="87"/>
      <c r="F934" s="14"/>
      <c r="G934" s="14"/>
      <c r="H934" s="14"/>
      <c r="I934" s="356"/>
      <c r="J934" s="14"/>
      <c r="K934" s="12"/>
    </row>
    <row r="935" ht="19.5" customHeight="1">
      <c r="A935" s="221"/>
      <c r="C935" s="12"/>
      <c r="D935" s="87"/>
      <c r="F935" s="14"/>
      <c r="G935" s="14"/>
      <c r="H935" s="14"/>
      <c r="I935" s="356"/>
      <c r="J935" s="14"/>
      <c r="K935" s="12"/>
    </row>
    <row r="936" ht="19.5" customHeight="1">
      <c r="A936" s="221"/>
      <c r="C936" s="12"/>
      <c r="D936" s="87"/>
      <c r="F936" s="14"/>
      <c r="G936" s="14"/>
      <c r="H936" s="14"/>
      <c r="I936" s="356"/>
      <c r="J936" s="14"/>
      <c r="K936" s="12"/>
    </row>
    <row r="937" ht="19.5" customHeight="1">
      <c r="A937" s="221"/>
      <c r="C937" s="12"/>
      <c r="D937" s="87"/>
      <c r="F937" s="14"/>
      <c r="G937" s="14"/>
      <c r="H937" s="14"/>
      <c r="I937" s="356"/>
      <c r="J937" s="14"/>
      <c r="K937" s="12"/>
    </row>
    <row r="938" ht="19.5" customHeight="1">
      <c r="A938" s="221"/>
      <c r="C938" s="12"/>
      <c r="D938" s="87"/>
      <c r="F938" s="14"/>
      <c r="G938" s="14"/>
      <c r="H938" s="14"/>
      <c r="I938" s="356"/>
      <c r="J938" s="14"/>
      <c r="K938" s="12"/>
    </row>
    <row r="939" ht="19.5" customHeight="1">
      <c r="A939" s="221"/>
      <c r="C939" s="12"/>
      <c r="D939" s="87"/>
      <c r="F939" s="14"/>
      <c r="G939" s="14"/>
      <c r="H939" s="14"/>
      <c r="I939" s="356"/>
      <c r="J939" s="14"/>
      <c r="K939" s="12"/>
    </row>
    <row r="940" ht="19.5" customHeight="1">
      <c r="A940" s="221"/>
      <c r="C940" s="12"/>
      <c r="D940" s="87"/>
      <c r="F940" s="14"/>
      <c r="G940" s="14"/>
      <c r="H940" s="14"/>
      <c r="I940" s="356"/>
      <c r="J940" s="14"/>
      <c r="K940" s="12"/>
    </row>
    <row r="941" ht="19.5" customHeight="1">
      <c r="A941" s="221"/>
      <c r="C941" s="12"/>
      <c r="D941" s="87"/>
      <c r="F941" s="14"/>
      <c r="G941" s="14"/>
      <c r="H941" s="14"/>
      <c r="I941" s="356"/>
      <c r="J941" s="14"/>
      <c r="K941" s="12"/>
    </row>
    <row r="942" ht="19.5" customHeight="1">
      <c r="A942" s="221"/>
      <c r="C942" s="12"/>
      <c r="D942" s="87"/>
      <c r="F942" s="14"/>
      <c r="G942" s="14"/>
      <c r="H942" s="14"/>
      <c r="I942" s="356"/>
      <c r="J942" s="14"/>
      <c r="K942" s="12"/>
    </row>
    <row r="943" ht="19.5" customHeight="1">
      <c r="A943" s="221"/>
      <c r="C943" s="12"/>
      <c r="D943" s="87"/>
      <c r="F943" s="14"/>
      <c r="G943" s="14"/>
      <c r="H943" s="14"/>
      <c r="I943" s="356"/>
      <c r="J943" s="14"/>
      <c r="K943" s="12"/>
    </row>
    <row r="944" ht="19.5" customHeight="1">
      <c r="A944" s="221"/>
      <c r="C944" s="12"/>
      <c r="D944" s="87"/>
      <c r="F944" s="14"/>
      <c r="G944" s="14"/>
      <c r="H944" s="14"/>
      <c r="I944" s="356"/>
      <c r="J944" s="14"/>
      <c r="K944" s="12"/>
    </row>
    <row r="945" ht="19.5" customHeight="1">
      <c r="A945" s="221"/>
      <c r="C945" s="12"/>
      <c r="D945" s="87"/>
      <c r="F945" s="14"/>
      <c r="G945" s="14"/>
      <c r="H945" s="14"/>
      <c r="I945" s="356"/>
      <c r="J945" s="14"/>
      <c r="K945" s="12"/>
    </row>
    <row r="946" ht="19.5" customHeight="1">
      <c r="A946" s="221"/>
      <c r="C946" s="12"/>
      <c r="D946" s="87"/>
      <c r="F946" s="14"/>
      <c r="G946" s="14"/>
      <c r="H946" s="14"/>
      <c r="I946" s="356"/>
      <c r="J946" s="14"/>
      <c r="K946" s="12"/>
    </row>
    <row r="947" ht="19.5" customHeight="1">
      <c r="A947" s="221"/>
      <c r="C947" s="12"/>
      <c r="D947" s="87"/>
      <c r="F947" s="14"/>
      <c r="G947" s="14"/>
      <c r="H947" s="14"/>
      <c r="I947" s="356"/>
      <c r="J947" s="14"/>
      <c r="K947" s="12"/>
    </row>
    <row r="948" ht="19.5" customHeight="1">
      <c r="A948" s="221"/>
      <c r="C948" s="12"/>
      <c r="D948" s="87"/>
      <c r="F948" s="14"/>
      <c r="G948" s="14"/>
      <c r="H948" s="14"/>
      <c r="I948" s="356"/>
      <c r="J948" s="14"/>
      <c r="K948" s="12"/>
    </row>
    <row r="949" ht="19.5" customHeight="1">
      <c r="A949" s="221"/>
      <c r="C949" s="12"/>
      <c r="D949" s="87"/>
      <c r="F949" s="14"/>
      <c r="G949" s="14"/>
      <c r="H949" s="14"/>
      <c r="I949" s="356"/>
      <c r="J949" s="14"/>
      <c r="K949" s="12"/>
    </row>
    <row r="950" ht="19.5" customHeight="1">
      <c r="A950" s="221"/>
      <c r="C950" s="12"/>
      <c r="D950" s="87"/>
      <c r="F950" s="14"/>
      <c r="G950" s="14"/>
      <c r="H950" s="14"/>
      <c r="I950" s="356"/>
      <c r="J950" s="14"/>
      <c r="K950" s="12"/>
    </row>
    <row r="951" ht="19.5" customHeight="1">
      <c r="A951" s="221"/>
      <c r="C951" s="12"/>
      <c r="D951" s="87"/>
      <c r="F951" s="14"/>
      <c r="G951" s="14"/>
      <c r="H951" s="14"/>
      <c r="I951" s="356"/>
      <c r="J951" s="14"/>
      <c r="K951" s="12"/>
    </row>
    <row r="952" ht="19.5" customHeight="1">
      <c r="A952" s="221"/>
      <c r="C952" s="12"/>
      <c r="D952" s="87"/>
      <c r="F952" s="14"/>
      <c r="G952" s="14"/>
      <c r="H952" s="14"/>
      <c r="I952" s="356"/>
      <c r="J952" s="14"/>
      <c r="K952" s="12"/>
    </row>
    <row r="953" ht="19.5" customHeight="1">
      <c r="A953" s="221"/>
      <c r="C953" s="12"/>
      <c r="D953" s="87"/>
      <c r="F953" s="14"/>
      <c r="G953" s="14"/>
      <c r="H953" s="14"/>
      <c r="I953" s="356"/>
      <c r="J953" s="14"/>
      <c r="K953" s="12"/>
    </row>
    <row r="954" ht="19.5" customHeight="1">
      <c r="A954" s="221"/>
      <c r="C954" s="12"/>
      <c r="D954" s="87"/>
      <c r="F954" s="14"/>
      <c r="G954" s="14"/>
      <c r="H954" s="14"/>
      <c r="I954" s="356"/>
      <c r="J954" s="14"/>
      <c r="K954" s="12"/>
    </row>
    <row r="955" ht="19.5" customHeight="1">
      <c r="A955" s="221"/>
      <c r="C955" s="12"/>
      <c r="D955" s="87"/>
      <c r="F955" s="14"/>
      <c r="G955" s="14"/>
      <c r="H955" s="14"/>
      <c r="I955" s="356"/>
      <c r="J955" s="14"/>
      <c r="K955" s="12"/>
    </row>
    <row r="956" ht="19.5" customHeight="1">
      <c r="A956" s="221"/>
      <c r="C956" s="12"/>
      <c r="D956" s="87"/>
      <c r="F956" s="14"/>
      <c r="G956" s="14"/>
      <c r="H956" s="14"/>
      <c r="I956" s="356"/>
      <c r="J956" s="14"/>
      <c r="K956" s="12"/>
    </row>
    <row r="957" ht="19.5" customHeight="1">
      <c r="A957" s="221"/>
      <c r="C957" s="12"/>
      <c r="D957" s="87"/>
      <c r="F957" s="14"/>
      <c r="G957" s="14"/>
      <c r="H957" s="14"/>
      <c r="I957" s="356"/>
      <c r="J957" s="14"/>
      <c r="K957" s="12"/>
    </row>
    <row r="958" ht="19.5" customHeight="1">
      <c r="A958" s="221"/>
      <c r="C958" s="12"/>
      <c r="D958" s="87"/>
      <c r="F958" s="14"/>
      <c r="G958" s="14"/>
      <c r="H958" s="14"/>
      <c r="I958" s="356"/>
      <c r="J958" s="14"/>
      <c r="K958" s="12"/>
    </row>
    <row r="959" ht="19.5" customHeight="1">
      <c r="A959" s="221"/>
      <c r="C959" s="12"/>
      <c r="D959" s="87"/>
      <c r="F959" s="14"/>
      <c r="G959" s="14"/>
      <c r="H959" s="14"/>
      <c r="I959" s="356"/>
      <c r="J959" s="14"/>
      <c r="K959" s="12"/>
    </row>
    <row r="960" ht="19.5" customHeight="1">
      <c r="A960" s="221"/>
      <c r="C960" s="12"/>
      <c r="D960" s="87"/>
      <c r="F960" s="14"/>
      <c r="G960" s="14"/>
      <c r="H960" s="14"/>
      <c r="I960" s="356"/>
      <c r="J960" s="14"/>
      <c r="K960" s="12"/>
    </row>
    <row r="961" ht="19.5" customHeight="1">
      <c r="A961" s="221"/>
      <c r="C961" s="12"/>
      <c r="D961" s="87"/>
      <c r="F961" s="14"/>
      <c r="G961" s="14"/>
      <c r="H961" s="14"/>
      <c r="I961" s="356"/>
      <c r="J961" s="14"/>
      <c r="K961" s="12"/>
    </row>
    <row r="962" ht="19.5" customHeight="1">
      <c r="A962" s="221"/>
      <c r="C962" s="12"/>
      <c r="D962" s="87"/>
      <c r="F962" s="14"/>
      <c r="G962" s="14"/>
      <c r="H962" s="14"/>
      <c r="I962" s="356"/>
      <c r="J962" s="14"/>
      <c r="K962" s="12"/>
    </row>
    <row r="963" ht="19.5" customHeight="1">
      <c r="A963" s="221"/>
      <c r="C963" s="12"/>
      <c r="D963" s="87"/>
      <c r="F963" s="14"/>
      <c r="G963" s="14"/>
      <c r="H963" s="14"/>
      <c r="I963" s="356"/>
      <c r="J963" s="14"/>
      <c r="K963" s="12"/>
    </row>
    <row r="964" ht="19.5" customHeight="1">
      <c r="A964" s="221"/>
      <c r="C964" s="12"/>
      <c r="D964" s="87"/>
      <c r="F964" s="14"/>
      <c r="G964" s="14"/>
      <c r="H964" s="14"/>
      <c r="I964" s="356"/>
      <c r="J964" s="14"/>
      <c r="K964" s="12"/>
    </row>
    <row r="965" ht="19.5" customHeight="1">
      <c r="A965" s="221"/>
      <c r="C965" s="12"/>
      <c r="D965" s="87"/>
      <c r="F965" s="14"/>
      <c r="G965" s="14"/>
      <c r="H965" s="14"/>
      <c r="I965" s="356"/>
      <c r="J965" s="14"/>
      <c r="K965" s="12"/>
    </row>
    <row r="966" ht="19.5" customHeight="1">
      <c r="A966" s="221"/>
      <c r="C966" s="12"/>
      <c r="D966" s="87"/>
      <c r="F966" s="14"/>
      <c r="G966" s="14"/>
      <c r="H966" s="14"/>
      <c r="I966" s="356"/>
      <c r="J966" s="14"/>
      <c r="K966" s="12"/>
    </row>
    <row r="967" ht="19.5" customHeight="1">
      <c r="A967" s="221"/>
      <c r="C967" s="12"/>
      <c r="D967" s="87"/>
      <c r="F967" s="14"/>
      <c r="G967" s="14"/>
      <c r="H967" s="14"/>
      <c r="I967" s="356"/>
      <c r="J967" s="14"/>
      <c r="K967" s="12"/>
    </row>
    <row r="968" ht="19.5" customHeight="1">
      <c r="A968" s="221"/>
      <c r="C968" s="12"/>
      <c r="D968" s="87"/>
      <c r="F968" s="14"/>
      <c r="G968" s="14"/>
      <c r="H968" s="14"/>
      <c r="I968" s="356"/>
      <c r="J968" s="14"/>
      <c r="K968" s="12"/>
    </row>
    <row r="969" ht="19.5" customHeight="1">
      <c r="A969" s="221"/>
      <c r="C969" s="12"/>
      <c r="D969" s="87"/>
      <c r="F969" s="14"/>
      <c r="G969" s="14"/>
      <c r="H969" s="14"/>
      <c r="I969" s="356"/>
      <c r="J969" s="14"/>
      <c r="K969" s="12"/>
    </row>
    <row r="970" ht="19.5" customHeight="1">
      <c r="A970" s="221"/>
      <c r="C970" s="12"/>
      <c r="D970" s="87"/>
      <c r="F970" s="14"/>
      <c r="G970" s="14"/>
      <c r="H970" s="14"/>
      <c r="I970" s="356"/>
      <c r="J970" s="14"/>
      <c r="K970" s="12"/>
    </row>
    <row r="971" ht="19.5" customHeight="1">
      <c r="A971" s="221"/>
      <c r="C971" s="12"/>
      <c r="D971" s="87"/>
      <c r="F971" s="14"/>
      <c r="G971" s="14"/>
      <c r="H971" s="14"/>
      <c r="I971" s="356"/>
      <c r="J971" s="14"/>
      <c r="K971" s="12"/>
    </row>
    <row r="972" ht="19.5" customHeight="1">
      <c r="A972" s="221"/>
      <c r="C972" s="12"/>
      <c r="D972" s="87"/>
      <c r="F972" s="14"/>
      <c r="G972" s="14"/>
      <c r="H972" s="14"/>
      <c r="I972" s="356"/>
      <c r="J972" s="14"/>
      <c r="K972" s="12"/>
    </row>
    <row r="973" ht="19.5" customHeight="1">
      <c r="A973" s="221"/>
      <c r="C973" s="12"/>
      <c r="D973" s="87"/>
      <c r="F973" s="14"/>
      <c r="G973" s="14"/>
      <c r="H973" s="14"/>
      <c r="I973" s="356"/>
      <c r="J973" s="14"/>
      <c r="K973" s="12"/>
    </row>
    <row r="974" ht="19.5" customHeight="1">
      <c r="A974" s="221"/>
      <c r="C974" s="12"/>
      <c r="D974" s="87"/>
      <c r="F974" s="14"/>
      <c r="G974" s="14"/>
      <c r="H974" s="14"/>
      <c r="I974" s="356"/>
      <c r="J974" s="14"/>
      <c r="K974" s="12"/>
    </row>
    <row r="975" ht="19.5" customHeight="1">
      <c r="A975" s="221"/>
      <c r="C975" s="12"/>
      <c r="D975" s="87"/>
      <c r="F975" s="14"/>
      <c r="G975" s="14"/>
      <c r="H975" s="14"/>
      <c r="I975" s="356"/>
      <c r="J975" s="14"/>
      <c r="K975" s="12"/>
    </row>
    <row r="976" ht="19.5" customHeight="1">
      <c r="A976" s="221"/>
      <c r="C976" s="12"/>
      <c r="D976" s="87"/>
      <c r="F976" s="14"/>
      <c r="G976" s="14"/>
      <c r="H976" s="14"/>
      <c r="I976" s="356"/>
      <c r="J976" s="14"/>
      <c r="K976" s="12"/>
    </row>
    <row r="977" ht="19.5" customHeight="1">
      <c r="A977" s="221"/>
      <c r="C977" s="12"/>
      <c r="D977" s="87"/>
      <c r="F977" s="14"/>
      <c r="G977" s="14"/>
      <c r="H977" s="14"/>
      <c r="I977" s="356"/>
      <c r="J977" s="14"/>
      <c r="K977" s="12"/>
    </row>
    <row r="978" ht="19.5" customHeight="1">
      <c r="A978" s="221"/>
      <c r="C978" s="12"/>
      <c r="D978" s="87"/>
      <c r="F978" s="14"/>
      <c r="G978" s="14"/>
      <c r="H978" s="14"/>
      <c r="I978" s="356"/>
      <c r="J978" s="14"/>
      <c r="K978" s="12"/>
    </row>
    <row r="979" ht="19.5" customHeight="1">
      <c r="A979" s="221"/>
      <c r="C979" s="12"/>
      <c r="D979" s="87"/>
      <c r="F979" s="14"/>
      <c r="G979" s="14"/>
      <c r="H979" s="14"/>
      <c r="I979" s="356"/>
      <c r="J979" s="14"/>
      <c r="K979" s="12"/>
    </row>
    <row r="980" ht="19.5" customHeight="1">
      <c r="A980" s="221"/>
      <c r="C980" s="12"/>
      <c r="D980" s="87"/>
      <c r="F980" s="14"/>
      <c r="G980" s="14"/>
      <c r="H980" s="14"/>
      <c r="I980" s="356"/>
      <c r="J980" s="14"/>
      <c r="K980" s="12"/>
    </row>
    <row r="981" ht="19.5" customHeight="1">
      <c r="A981" s="221"/>
      <c r="C981" s="12"/>
      <c r="D981" s="87"/>
      <c r="F981" s="14"/>
      <c r="G981" s="14"/>
      <c r="H981" s="14"/>
      <c r="I981" s="356"/>
      <c r="J981" s="14"/>
      <c r="K981" s="12"/>
    </row>
    <row r="982" ht="19.5" customHeight="1">
      <c r="A982" s="221"/>
      <c r="C982" s="12"/>
      <c r="D982" s="87"/>
      <c r="F982" s="14"/>
      <c r="G982" s="14"/>
      <c r="H982" s="14"/>
      <c r="I982" s="356"/>
      <c r="J982" s="14"/>
      <c r="K982" s="12"/>
    </row>
    <row r="983" ht="19.5" customHeight="1">
      <c r="A983" s="221"/>
      <c r="C983" s="12"/>
      <c r="D983" s="87"/>
      <c r="F983" s="14"/>
      <c r="G983" s="14"/>
      <c r="H983" s="14"/>
      <c r="I983" s="356"/>
      <c r="J983" s="14"/>
      <c r="K983" s="12"/>
    </row>
    <row r="984" ht="19.5" customHeight="1">
      <c r="A984" s="221"/>
      <c r="C984" s="12"/>
      <c r="D984" s="87"/>
      <c r="F984" s="14"/>
      <c r="G984" s="14"/>
      <c r="H984" s="14"/>
      <c r="I984" s="356"/>
      <c r="J984" s="14"/>
      <c r="K984" s="12"/>
    </row>
    <row r="985" ht="19.5" customHeight="1">
      <c r="A985" s="221"/>
      <c r="C985" s="12"/>
      <c r="D985" s="87"/>
      <c r="F985" s="14"/>
      <c r="G985" s="14"/>
      <c r="H985" s="14"/>
      <c r="I985" s="356"/>
      <c r="J985" s="14"/>
      <c r="K985" s="12"/>
    </row>
    <row r="986" ht="19.5" customHeight="1">
      <c r="A986" s="221"/>
      <c r="C986" s="12"/>
      <c r="D986" s="87"/>
      <c r="F986" s="14"/>
      <c r="G986" s="14"/>
      <c r="H986" s="14"/>
      <c r="I986" s="356"/>
      <c r="J986" s="14"/>
      <c r="K986" s="12"/>
    </row>
    <row r="987" ht="19.5" customHeight="1">
      <c r="A987" s="221"/>
      <c r="C987" s="12"/>
      <c r="D987" s="87"/>
      <c r="F987" s="14"/>
      <c r="G987" s="14"/>
      <c r="H987" s="14"/>
      <c r="I987" s="356"/>
      <c r="J987" s="14"/>
      <c r="K987" s="12"/>
    </row>
    <row r="988" ht="19.5" customHeight="1">
      <c r="A988" s="221"/>
      <c r="C988" s="12"/>
      <c r="D988" s="87"/>
      <c r="F988" s="14"/>
      <c r="G988" s="14"/>
      <c r="H988" s="14"/>
      <c r="I988" s="356"/>
      <c r="J988" s="14"/>
      <c r="K988" s="12"/>
    </row>
    <row r="989" ht="19.5" customHeight="1">
      <c r="A989" s="221"/>
      <c r="C989" s="12"/>
      <c r="D989" s="87"/>
      <c r="F989" s="14"/>
      <c r="G989" s="14"/>
      <c r="H989" s="14"/>
      <c r="I989" s="356"/>
      <c r="J989" s="14"/>
      <c r="K989" s="12"/>
    </row>
    <row r="990" ht="19.5" customHeight="1">
      <c r="A990" s="221"/>
      <c r="C990" s="12"/>
      <c r="D990" s="87"/>
      <c r="F990" s="14"/>
      <c r="G990" s="14"/>
      <c r="H990" s="14"/>
      <c r="I990" s="356"/>
      <c r="J990" s="14"/>
      <c r="K990" s="12"/>
    </row>
    <row r="991" ht="19.5" customHeight="1">
      <c r="A991" s="221"/>
      <c r="C991" s="12"/>
      <c r="D991" s="87"/>
      <c r="F991" s="14"/>
      <c r="G991" s="14"/>
      <c r="H991" s="14"/>
      <c r="I991" s="356"/>
      <c r="J991" s="14"/>
      <c r="K991" s="12"/>
    </row>
    <row r="992" ht="19.5" customHeight="1">
      <c r="A992" s="221"/>
      <c r="C992" s="12"/>
      <c r="D992" s="87"/>
      <c r="F992" s="14"/>
      <c r="G992" s="14"/>
      <c r="H992" s="14"/>
      <c r="I992" s="356"/>
      <c r="J992" s="14"/>
      <c r="K992" s="12"/>
    </row>
    <row r="993" ht="19.5" customHeight="1">
      <c r="A993" s="221"/>
      <c r="C993" s="12"/>
      <c r="D993" s="87"/>
      <c r="F993" s="14"/>
      <c r="G993" s="14"/>
      <c r="H993" s="14"/>
      <c r="I993" s="356"/>
      <c r="J993" s="14"/>
      <c r="K993" s="12"/>
    </row>
    <row r="994" ht="19.5" customHeight="1">
      <c r="A994" s="221"/>
      <c r="C994" s="12"/>
      <c r="D994" s="87"/>
      <c r="F994" s="14"/>
      <c r="G994" s="14"/>
      <c r="H994" s="14"/>
      <c r="I994" s="356"/>
      <c r="J994" s="14"/>
      <c r="K994" s="12"/>
    </row>
    <row r="995" ht="19.5" customHeight="1">
      <c r="A995" s="221"/>
      <c r="C995" s="12"/>
      <c r="D995" s="87"/>
      <c r="F995" s="14"/>
      <c r="G995" s="14"/>
      <c r="H995" s="14"/>
      <c r="I995" s="356"/>
      <c r="J995" s="14"/>
      <c r="K995" s="12"/>
    </row>
    <row r="996" ht="19.5" customHeight="1">
      <c r="A996" s="221"/>
      <c r="C996" s="12"/>
      <c r="D996" s="87"/>
      <c r="F996" s="14"/>
      <c r="G996" s="14"/>
      <c r="H996" s="14"/>
      <c r="I996" s="356"/>
      <c r="J996" s="14"/>
      <c r="K996" s="12"/>
    </row>
    <row r="997" ht="19.5" customHeight="1">
      <c r="A997" s="221"/>
      <c r="C997" s="12"/>
      <c r="D997" s="87"/>
      <c r="F997" s="14"/>
      <c r="G997" s="14"/>
      <c r="H997" s="14"/>
      <c r="I997" s="356"/>
      <c r="J997" s="14"/>
      <c r="K997" s="12"/>
    </row>
    <row r="998" ht="19.5" customHeight="1">
      <c r="A998" s="221"/>
      <c r="C998" s="12"/>
      <c r="D998" s="87"/>
      <c r="F998" s="14"/>
      <c r="G998" s="14"/>
      <c r="H998" s="14"/>
      <c r="I998" s="356"/>
      <c r="J998" s="14"/>
      <c r="K998" s="12"/>
    </row>
    <row r="999" ht="19.5" customHeight="1">
      <c r="A999" s="221"/>
      <c r="C999" s="12"/>
      <c r="D999" s="87"/>
      <c r="F999" s="14"/>
      <c r="G999" s="14"/>
      <c r="H999" s="14"/>
      <c r="I999" s="356"/>
      <c r="J999" s="14"/>
      <c r="K999" s="12"/>
    </row>
    <row r="1000" ht="19.5" customHeight="1">
      <c r="A1000" s="221"/>
      <c r="C1000" s="12"/>
      <c r="D1000" s="87"/>
      <c r="F1000" s="14"/>
      <c r="G1000" s="14"/>
      <c r="H1000" s="14"/>
      <c r="I1000" s="356"/>
      <c r="J1000" s="14"/>
      <c r="K1000" s="12"/>
    </row>
    <row r="1001" ht="19.5" customHeight="1">
      <c r="A1001" s="221"/>
      <c r="C1001" s="12"/>
      <c r="D1001" s="87"/>
      <c r="F1001" s="14"/>
      <c r="G1001" s="14"/>
      <c r="H1001" s="14"/>
      <c r="I1001" s="356"/>
      <c r="J1001" s="14"/>
      <c r="K1001" s="12"/>
    </row>
    <row r="1002" ht="19.5" customHeight="1">
      <c r="A1002" s="221"/>
      <c r="C1002" s="12"/>
      <c r="D1002" s="87"/>
      <c r="F1002" s="14"/>
      <c r="G1002" s="14"/>
      <c r="H1002" s="14"/>
      <c r="I1002" s="356"/>
      <c r="J1002" s="14"/>
      <c r="K1002" s="12"/>
    </row>
    <row r="1003" ht="19.5" customHeight="1">
      <c r="A1003" s="221"/>
      <c r="C1003" s="12"/>
      <c r="D1003" s="87"/>
      <c r="F1003" s="14"/>
      <c r="G1003" s="14"/>
      <c r="H1003" s="14"/>
      <c r="I1003" s="356"/>
      <c r="J1003" s="14"/>
      <c r="K1003" s="12"/>
    </row>
    <row r="1004" ht="19.5" customHeight="1">
      <c r="A1004" s="221"/>
      <c r="C1004" s="12"/>
      <c r="D1004" s="87"/>
      <c r="F1004" s="14"/>
      <c r="G1004" s="14"/>
      <c r="H1004" s="14"/>
      <c r="I1004" s="356"/>
      <c r="J1004" s="14"/>
      <c r="K1004" s="12"/>
    </row>
    <row r="1005" ht="19.5" customHeight="1">
      <c r="A1005" s="221"/>
      <c r="C1005" s="12"/>
      <c r="D1005" s="87"/>
      <c r="F1005" s="14"/>
      <c r="G1005" s="14"/>
      <c r="H1005" s="14"/>
      <c r="I1005" s="356"/>
      <c r="J1005" s="14"/>
      <c r="K1005" s="12"/>
    </row>
    <row r="1006" ht="19.5" customHeight="1">
      <c r="A1006" s="221"/>
      <c r="C1006" s="12"/>
      <c r="D1006" s="87"/>
      <c r="F1006" s="14"/>
      <c r="G1006" s="14"/>
      <c r="H1006" s="14"/>
      <c r="I1006" s="356"/>
      <c r="J1006" s="14"/>
      <c r="K1006" s="12"/>
    </row>
    <row r="1007" ht="19.5" customHeight="1">
      <c r="A1007" s="221"/>
      <c r="C1007" s="12"/>
      <c r="D1007" s="87"/>
      <c r="F1007" s="14"/>
      <c r="G1007" s="14"/>
      <c r="H1007" s="14"/>
      <c r="I1007" s="356"/>
      <c r="J1007" s="14"/>
      <c r="K1007" s="12"/>
    </row>
    <row r="1008" ht="19.5" customHeight="1">
      <c r="A1008" s="221"/>
      <c r="C1008" s="12"/>
      <c r="D1008" s="87"/>
      <c r="F1008" s="14"/>
      <c r="G1008" s="14"/>
      <c r="H1008" s="14"/>
      <c r="I1008" s="356"/>
      <c r="J1008" s="14"/>
      <c r="K1008" s="12"/>
    </row>
    <row r="1009" ht="19.5" customHeight="1">
      <c r="A1009" s="221"/>
      <c r="C1009" s="12"/>
      <c r="D1009" s="87"/>
      <c r="F1009" s="14"/>
      <c r="G1009" s="14"/>
      <c r="H1009" s="14"/>
      <c r="I1009" s="356"/>
      <c r="J1009" s="14"/>
      <c r="K1009" s="12"/>
    </row>
    <row r="1010" ht="19.5" customHeight="1">
      <c r="A1010" s="221"/>
      <c r="C1010" s="12"/>
      <c r="D1010" s="87"/>
      <c r="F1010" s="14"/>
      <c r="G1010" s="14"/>
      <c r="H1010" s="14"/>
      <c r="I1010" s="356"/>
      <c r="J1010" s="14"/>
      <c r="K1010" s="12"/>
    </row>
    <row r="1011" ht="19.5" customHeight="1">
      <c r="A1011" s="221"/>
      <c r="C1011" s="12"/>
      <c r="D1011" s="87"/>
      <c r="F1011" s="14"/>
      <c r="G1011" s="14"/>
      <c r="H1011" s="14"/>
      <c r="I1011" s="356"/>
      <c r="J1011" s="14"/>
      <c r="K1011" s="12"/>
    </row>
    <row r="1012" ht="19.5" customHeight="1">
      <c r="A1012" s="221"/>
      <c r="C1012" s="12"/>
      <c r="D1012" s="87"/>
      <c r="F1012" s="14"/>
      <c r="G1012" s="14"/>
      <c r="H1012" s="14"/>
      <c r="I1012" s="356"/>
      <c r="J1012" s="14"/>
      <c r="K1012" s="12"/>
    </row>
    <row r="1013" ht="19.5" customHeight="1">
      <c r="A1013" s="221"/>
      <c r="C1013" s="12"/>
      <c r="D1013" s="87"/>
      <c r="F1013" s="14"/>
      <c r="G1013" s="14"/>
      <c r="H1013" s="14"/>
      <c r="I1013" s="356"/>
      <c r="J1013" s="14"/>
      <c r="K1013" s="12"/>
    </row>
    <row r="1014" ht="19.5" customHeight="1">
      <c r="A1014" s="221"/>
      <c r="C1014" s="12"/>
      <c r="D1014" s="87"/>
      <c r="F1014" s="14"/>
      <c r="G1014" s="14"/>
      <c r="H1014" s="14"/>
      <c r="I1014" s="356"/>
      <c r="J1014" s="14"/>
      <c r="K1014" s="12"/>
    </row>
    <row r="1015" ht="19.5" customHeight="1">
      <c r="A1015" s="221"/>
      <c r="C1015" s="12"/>
      <c r="D1015" s="87"/>
      <c r="F1015" s="14"/>
      <c r="G1015" s="14"/>
      <c r="H1015" s="14"/>
      <c r="I1015" s="356"/>
      <c r="J1015" s="14"/>
      <c r="K1015" s="12"/>
    </row>
    <row r="1016" ht="19.5" customHeight="1">
      <c r="A1016" s="221"/>
      <c r="C1016" s="12"/>
      <c r="D1016" s="87"/>
      <c r="F1016" s="14"/>
      <c r="G1016" s="14"/>
      <c r="H1016" s="14"/>
      <c r="I1016" s="356"/>
      <c r="J1016" s="14"/>
      <c r="K1016" s="12"/>
    </row>
    <row r="1017" ht="19.5" customHeight="1">
      <c r="A1017" s="221"/>
      <c r="C1017" s="12"/>
      <c r="D1017" s="87"/>
      <c r="F1017" s="14"/>
      <c r="G1017" s="14"/>
      <c r="H1017" s="14"/>
      <c r="I1017" s="356"/>
      <c r="J1017" s="14"/>
      <c r="K1017" s="12"/>
    </row>
    <row r="1018" ht="19.5" customHeight="1">
      <c r="A1018" s="221"/>
      <c r="C1018" s="12"/>
      <c r="D1018" s="87"/>
      <c r="F1018" s="14"/>
      <c r="G1018" s="14"/>
      <c r="H1018" s="14"/>
      <c r="I1018" s="356"/>
      <c r="J1018" s="14"/>
      <c r="K1018" s="12"/>
    </row>
    <row r="1019" ht="19.5" customHeight="1">
      <c r="A1019" s="221"/>
      <c r="C1019" s="12"/>
      <c r="D1019" s="87"/>
      <c r="F1019" s="14"/>
      <c r="G1019" s="14"/>
      <c r="H1019" s="14"/>
      <c r="I1019" s="356"/>
      <c r="J1019" s="14"/>
      <c r="K1019" s="12"/>
    </row>
    <row r="1020" ht="19.5" customHeight="1">
      <c r="A1020" s="221"/>
      <c r="C1020" s="12"/>
      <c r="D1020" s="87"/>
      <c r="F1020" s="14"/>
      <c r="G1020" s="14"/>
      <c r="H1020" s="14"/>
      <c r="I1020" s="356"/>
      <c r="J1020" s="14"/>
      <c r="K1020" s="12"/>
    </row>
    <row r="1021" ht="19.5" customHeight="1">
      <c r="A1021" s="221"/>
      <c r="C1021" s="12"/>
      <c r="D1021" s="87"/>
      <c r="F1021" s="14"/>
      <c r="G1021" s="14"/>
      <c r="H1021" s="14"/>
      <c r="I1021" s="356"/>
      <c r="J1021" s="14"/>
      <c r="K1021" s="12"/>
    </row>
    <row r="1022" ht="19.5" customHeight="1">
      <c r="A1022" s="221"/>
      <c r="C1022" s="12"/>
      <c r="D1022" s="87"/>
      <c r="F1022" s="14"/>
      <c r="G1022" s="14"/>
      <c r="H1022" s="14"/>
      <c r="I1022" s="356"/>
      <c r="J1022" s="14"/>
      <c r="K1022" s="12"/>
    </row>
    <row r="1023" ht="19.5" customHeight="1">
      <c r="A1023" s="221"/>
      <c r="C1023" s="12"/>
      <c r="D1023" s="87"/>
      <c r="F1023" s="14"/>
      <c r="G1023" s="14"/>
      <c r="H1023" s="14"/>
      <c r="I1023" s="356"/>
      <c r="J1023" s="14"/>
      <c r="K1023" s="12"/>
    </row>
    <row r="1024" ht="19.5" customHeight="1">
      <c r="A1024" s="221"/>
      <c r="C1024" s="12"/>
      <c r="D1024" s="87"/>
      <c r="F1024" s="14"/>
      <c r="G1024" s="14"/>
      <c r="H1024" s="14"/>
      <c r="I1024" s="356"/>
      <c r="J1024" s="14"/>
      <c r="K1024" s="12"/>
    </row>
    <row r="1025" ht="19.5" customHeight="1">
      <c r="A1025" s="221"/>
      <c r="C1025" s="12"/>
      <c r="D1025" s="87"/>
      <c r="F1025" s="14"/>
      <c r="G1025" s="14"/>
      <c r="H1025" s="14"/>
      <c r="I1025" s="356"/>
      <c r="J1025" s="14"/>
      <c r="K1025" s="12"/>
    </row>
    <row r="1026" ht="19.5" customHeight="1">
      <c r="A1026" s="221"/>
      <c r="C1026" s="12"/>
      <c r="D1026" s="87"/>
      <c r="F1026" s="14"/>
      <c r="G1026" s="14"/>
      <c r="H1026" s="14"/>
      <c r="I1026" s="356"/>
      <c r="J1026" s="14"/>
      <c r="K1026" s="12"/>
    </row>
    <row r="1027" ht="19.5" customHeight="1">
      <c r="A1027" s="221"/>
      <c r="C1027" s="12"/>
      <c r="D1027" s="87"/>
      <c r="F1027" s="14"/>
      <c r="G1027" s="14"/>
      <c r="H1027" s="14"/>
      <c r="I1027" s="356"/>
      <c r="J1027" s="14"/>
      <c r="K1027" s="12"/>
    </row>
    <row r="1028" ht="19.5" customHeight="1">
      <c r="A1028" s="221"/>
      <c r="C1028" s="12"/>
      <c r="D1028" s="87"/>
      <c r="F1028" s="14"/>
      <c r="G1028" s="14"/>
      <c r="H1028" s="14"/>
      <c r="I1028" s="356"/>
      <c r="J1028" s="14"/>
      <c r="K1028" s="12"/>
    </row>
    <row r="1029" ht="19.5" customHeight="1">
      <c r="A1029" s="221"/>
      <c r="C1029" s="12"/>
      <c r="D1029" s="87"/>
      <c r="F1029" s="14"/>
      <c r="G1029" s="14"/>
      <c r="H1029" s="14"/>
      <c r="I1029" s="356"/>
      <c r="J1029" s="14"/>
      <c r="K1029" s="12"/>
    </row>
    <row r="1030" ht="19.5" customHeight="1">
      <c r="A1030" s="221"/>
      <c r="C1030" s="12"/>
      <c r="D1030" s="87"/>
      <c r="F1030" s="14"/>
      <c r="G1030" s="14"/>
      <c r="H1030" s="14"/>
      <c r="I1030" s="356"/>
      <c r="J1030" s="14"/>
      <c r="K1030" s="12"/>
    </row>
    <row r="1031" ht="19.5" customHeight="1">
      <c r="A1031" s="221"/>
      <c r="C1031" s="12"/>
      <c r="D1031" s="87"/>
      <c r="F1031" s="14"/>
      <c r="G1031" s="14"/>
      <c r="H1031" s="14"/>
      <c r="I1031" s="356"/>
      <c r="J1031" s="14"/>
      <c r="K1031" s="12"/>
    </row>
    <row r="1032" ht="19.5" customHeight="1">
      <c r="A1032" s="221"/>
      <c r="C1032" s="12"/>
      <c r="D1032" s="87"/>
      <c r="F1032" s="14"/>
      <c r="G1032" s="14"/>
      <c r="H1032" s="14"/>
      <c r="I1032" s="356"/>
      <c r="J1032" s="14"/>
      <c r="K1032" s="12"/>
    </row>
    <row r="1033" ht="19.5" customHeight="1">
      <c r="A1033" s="221"/>
      <c r="C1033" s="12"/>
      <c r="D1033" s="87"/>
      <c r="F1033" s="14"/>
      <c r="G1033" s="14"/>
      <c r="H1033" s="14"/>
      <c r="I1033" s="356"/>
      <c r="J1033" s="14"/>
      <c r="K1033" s="12"/>
    </row>
    <row r="1034" ht="19.5" customHeight="1">
      <c r="A1034" s="221"/>
      <c r="C1034" s="12"/>
      <c r="D1034" s="87"/>
      <c r="F1034" s="14"/>
      <c r="G1034" s="14"/>
      <c r="H1034" s="14"/>
      <c r="I1034" s="356"/>
      <c r="J1034" s="14"/>
      <c r="K1034" s="12"/>
    </row>
    <row r="1035" ht="19.5" customHeight="1">
      <c r="A1035" s="221"/>
      <c r="C1035" s="12"/>
      <c r="D1035" s="87"/>
      <c r="F1035" s="14"/>
      <c r="G1035" s="14"/>
      <c r="H1035" s="14"/>
      <c r="I1035" s="356"/>
      <c r="J1035" s="14"/>
      <c r="K1035" s="12"/>
    </row>
    <row r="1036" ht="19.5" customHeight="1">
      <c r="A1036" s="221"/>
      <c r="C1036" s="12"/>
      <c r="D1036" s="87"/>
      <c r="F1036" s="14"/>
      <c r="G1036" s="14"/>
      <c r="H1036" s="14"/>
      <c r="I1036" s="356"/>
      <c r="J1036" s="14"/>
      <c r="K1036" s="12"/>
    </row>
    <row r="1037" ht="19.5" customHeight="1">
      <c r="A1037" s="221"/>
      <c r="C1037" s="12"/>
      <c r="D1037" s="87"/>
      <c r="F1037" s="14"/>
      <c r="G1037" s="14"/>
      <c r="H1037" s="14"/>
      <c r="I1037" s="356"/>
      <c r="J1037" s="14"/>
      <c r="K1037" s="12"/>
    </row>
    <row r="1038" ht="19.5" customHeight="1">
      <c r="A1038" s="221"/>
      <c r="C1038" s="12"/>
      <c r="D1038" s="87"/>
      <c r="F1038" s="14"/>
      <c r="G1038" s="14"/>
      <c r="H1038" s="14"/>
      <c r="I1038" s="356"/>
      <c r="J1038" s="14"/>
      <c r="K1038" s="12"/>
    </row>
    <row r="1039" ht="19.5" customHeight="1">
      <c r="A1039" s="221"/>
      <c r="C1039" s="12"/>
      <c r="D1039" s="87"/>
      <c r="F1039" s="14"/>
      <c r="G1039" s="14"/>
      <c r="H1039" s="14"/>
      <c r="I1039" s="356"/>
      <c r="J1039" s="14"/>
      <c r="K1039" s="12"/>
    </row>
    <row r="1040" ht="19.5" customHeight="1">
      <c r="A1040" s="221"/>
      <c r="C1040" s="12"/>
      <c r="D1040" s="87"/>
      <c r="F1040" s="14"/>
      <c r="G1040" s="14"/>
      <c r="H1040" s="14"/>
      <c r="I1040" s="356"/>
      <c r="J1040" s="14"/>
      <c r="K1040" s="12"/>
    </row>
    <row r="1041" ht="19.5" customHeight="1">
      <c r="A1041" s="221"/>
      <c r="C1041" s="12"/>
      <c r="D1041" s="87"/>
      <c r="F1041" s="14"/>
      <c r="G1041" s="14"/>
      <c r="H1041" s="14"/>
      <c r="I1041" s="356"/>
      <c r="J1041" s="14"/>
      <c r="K1041" s="12"/>
    </row>
    <row r="1042" ht="19.5" customHeight="1">
      <c r="A1042" s="221"/>
      <c r="C1042" s="12"/>
      <c r="D1042" s="87"/>
      <c r="F1042" s="14"/>
      <c r="G1042" s="14"/>
      <c r="H1042" s="14"/>
      <c r="I1042" s="356"/>
      <c r="J1042" s="14"/>
      <c r="K1042" s="12"/>
    </row>
    <row r="1043" ht="19.5" customHeight="1">
      <c r="A1043" s="221"/>
      <c r="C1043" s="12"/>
      <c r="D1043" s="87"/>
      <c r="F1043" s="14"/>
      <c r="G1043" s="14"/>
      <c r="H1043" s="14"/>
      <c r="I1043" s="356"/>
      <c r="J1043" s="14"/>
      <c r="K1043" s="12"/>
    </row>
    <row r="1044" ht="19.5" customHeight="1">
      <c r="A1044" s="221"/>
      <c r="C1044" s="12"/>
      <c r="D1044" s="87"/>
      <c r="F1044" s="14"/>
      <c r="G1044" s="14"/>
      <c r="H1044" s="14"/>
      <c r="I1044" s="356"/>
      <c r="J1044" s="14"/>
      <c r="K1044" s="12"/>
    </row>
  </sheetData>
  <mergeCells count="10">
    <mergeCell ref="E9:G9"/>
    <mergeCell ref="J9:J10"/>
    <mergeCell ref="A6:K6"/>
    <mergeCell ref="A7:K7"/>
    <mergeCell ref="A8:K8"/>
    <mergeCell ref="A9:A10"/>
    <mergeCell ref="B9:B10"/>
    <mergeCell ref="C9:C10"/>
    <mergeCell ref="D9:D10"/>
    <mergeCell ref="K9:K10"/>
  </mergeCells>
  <printOptions/>
  <pageMargins bottom="0.787401575" footer="0.0" header="0.0" left="0.511811024" right="0.511811024" top="0.787401575"/>
  <pageSetup paperSize="9" scale="6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35.88"/>
    <col customWidth="1" min="3" max="3" width="9.13"/>
    <col customWidth="1" min="4" max="4" width="16.25"/>
    <col customWidth="1" min="5" max="5" width="16.38"/>
    <col customWidth="1" min="6" max="6" width="18.0"/>
    <col customWidth="1" min="7" max="7" width="16.13"/>
    <col customWidth="1" min="8" max="8" width="16.63"/>
    <col customWidth="1" min="9" max="9" width="15.75"/>
    <col customWidth="1" min="10" max="10" width="20.63"/>
    <col customWidth="1" min="11" max="11" width="51.88"/>
    <col customWidth="1" min="12" max="15" width="8.63"/>
  </cols>
  <sheetData>
    <row r="1" ht="19.5" customHeight="1">
      <c r="A1" s="4"/>
      <c r="B1" s="5"/>
      <c r="C1" s="6"/>
      <c r="D1" s="7"/>
      <c r="E1" s="5"/>
      <c r="F1" s="8"/>
      <c r="G1" s="8"/>
      <c r="H1" s="8"/>
      <c r="I1" s="8"/>
      <c r="J1" s="8"/>
      <c r="K1" s="9"/>
    </row>
    <row r="2" ht="19.5" customHeight="1">
      <c r="A2" s="10" t="s">
        <v>83</v>
      </c>
      <c r="B2" s="11" t="s">
        <v>84</v>
      </c>
      <c r="C2" s="12"/>
      <c r="D2" s="13"/>
      <c r="G2" s="14"/>
      <c r="H2" s="15"/>
      <c r="I2" s="16" t="s">
        <v>85</v>
      </c>
      <c r="J2" s="17"/>
      <c r="K2" s="18"/>
    </row>
    <row r="3" ht="19.5" customHeight="1">
      <c r="A3" s="10" t="s">
        <v>86</v>
      </c>
      <c r="B3" s="11" t="s">
        <v>87</v>
      </c>
      <c r="C3" s="12"/>
      <c r="D3" s="13"/>
      <c r="F3" s="14"/>
      <c r="G3" s="14"/>
      <c r="H3" s="14"/>
      <c r="I3" s="14"/>
      <c r="J3" s="14"/>
      <c r="K3" s="18"/>
    </row>
    <row r="4" ht="19.5" customHeight="1">
      <c r="A4" s="19"/>
      <c r="C4" s="12"/>
      <c r="D4" s="13"/>
      <c r="F4" s="14"/>
      <c r="G4" s="14"/>
      <c r="H4" s="14"/>
      <c r="I4" s="14"/>
      <c r="J4" s="14"/>
      <c r="K4" s="18"/>
    </row>
    <row r="5" ht="19.5" customHeight="1">
      <c r="A5" s="19"/>
      <c r="C5" s="12"/>
      <c r="D5" s="13"/>
      <c r="F5" s="14"/>
      <c r="G5" s="14"/>
      <c r="H5" s="14"/>
      <c r="I5" s="14"/>
      <c r="J5" s="14"/>
      <c r="K5" s="18"/>
    </row>
    <row r="6" ht="38.25" customHeight="1">
      <c r="A6" s="20" t="s">
        <v>88</v>
      </c>
      <c r="K6" s="21"/>
    </row>
    <row r="7" ht="64.5" customHeight="1">
      <c r="A7" s="22" t="s">
        <v>89</v>
      </c>
      <c r="K7" s="21"/>
    </row>
    <row r="8" ht="28.5" customHeight="1">
      <c r="A8" s="23" t="s">
        <v>90</v>
      </c>
      <c r="B8" s="24"/>
      <c r="C8" s="24"/>
      <c r="D8" s="24"/>
      <c r="E8" s="24"/>
      <c r="F8" s="24"/>
      <c r="G8" s="24"/>
      <c r="H8" s="24"/>
      <c r="I8" s="24"/>
      <c r="J8" s="24"/>
      <c r="K8" s="25"/>
    </row>
    <row r="9" ht="19.5" customHeight="1">
      <c r="A9" s="26" t="s">
        <v>1</v>
      </c>
      <c r="B9" s="26" t="s">
        <v>91</v>
      </c>
      <c r="C9" s="26" t="s">
        <v>92</v>
      </c>
      <c r="D9" s="26" t="s">
        <v>93</v>
      </c>
      <c r="E9" s="27" t="s">
        <v>94</v>
      </c>
      <c r="F9" s="28"/>
      <c r="G9" s="29"/>
      <c r="H9" s="30"/>
      <c r="I9" s="30"/>
      <c r="J9" s="31" t="s">
        <v>95</v>
      </c>
      <c r="K9" s="26" t="s">
        <v>96</v>
      </c>
    </row>
    <row r="10" ht="19.5" customHeight="1">
      <c r="A10" s="32"/>
      <c r="B10" s="32"/>
      <c r="C10" s="32"/>
      <c r="D10" s="32"/>
      <c r="E10" s="33" t="s">
        <v>97</v>
      </c>
      <c r="F10" s="34" t="s">
        <v>98</v>
      </c>
      <c r="G10" s="34" t="s">
        <v>99</v>
      </c>
      <c r="H10" s="35" t="s">
        <v>100</v>
      </c>
      <c r="I10" s="35" t="s">
        <v>101</v>
      </c>
      <c r="J10" s="32"/>
      <c r="K10" s="32"/>
    </row>
    <row r="11" ht="21.0" customHeight="1">
      <c r="A11" s="36">
        <v>36923.0</v>
      </c>
      <c r="B11" s="37" t="s">
        <v>102</v>
      </c>
      <c r="C11" s="38" t="s">
        <v>103</v>
      </c>
      <c r="D11" s="39">
        <v>1.0</v>
      </c>
      <c r="E11" s="37"/>
      <c r="F11" s="40"/>
      <c r="G11" s="40"/>
      <c r="H11" s="41">
        <v>80000.33</v>
      </c>
      <c r="I11" s="42"/>
      <c r="J11" s="43">
        <f>H11*D11</f>
        <v>80000.33</v>
      </c>
      <c r="M11" s="44" t="s">
        <v>104</v>
      </c>
      <c r="N11" s="45" t="str">
        <f>H11/#REF!</f>
        <v>#REF!</v>
      </c>
    </row>
    <row r="12" ht="19.5" customHeight="1">
      <c r="A12" s="36">
        <v>37288.0</v>
      </c>
      <c r="B12" s="37" t="s">
        <v>105</v>
      </c>
      <c r="C12" s="38" t="s">
        <v>106</v>
      </c>
      <c r="D12" s="39">
        <v>25.0</v>
      </c>
      <c r="E12" s="46"/>
      <c r="F12" s="47"/>
      <c r="G12" s="47"/>
      <c r="H12" s="41">
        <f t="shared" ref="H12:H13" si="1">D12</f>
        <v>25</v>
      </c>
      <c r="I12" s="47"/>
      <c r="J12" s="43">
        <f t="shared" ref="J12:J13" si="2">H12</f>
        <v>25</v>
      </c>
      <c r="K12" s="48"/>
    </row>
    <row r="13" ht="19.5" customHeight="1">
      <c r="A13" s="36">
        <v>37653.0</v>
      </c>
      <c r="B13" s="49" t="s">
        <v>107</v>
      </c>
      <c r="C13" s="38" t="s">
        <v>108</v>
      </c>
      <c r="D13" s="39">
        <v>1217.43</v>
      </c>
      <c r="E13" s="46"/>
      <c r="F13" s="47"/>
      <c r="G13" s="47"/>
      <c r="H13" s="41">
        <f t="shared" si="1"/>
        <v>1217.43</v>
      </c>
      <c r="I13" s="47"/>
      <c r="J13" s="43">
        <f t="shared" si="2"/>
        <v>1217.43</v>
      </c>
      <c r="K13" s="48"/>
    </row>
    <row r="14" ht="19.5" customHeight="1">
      <c r="A14" s="50" t="s">
        <v>1</v>
      </c>
      <c r="B14" s="50" t="s">
        <v>91</v>
      </c>
      <c r="C14" s="50" t="s">
        <v>92</v>
      </c>
      <c r="D14" s="50" t="s">
        <v>93</v>
      </c>
      <c r="E14" s="51" t="s">
        <v>109</v>
      </c>
      <c r="F14" s="52" t="s">
        <v>110</v>
      </c>
      <c r="G14" s="52" t="s">
        <v>111</v>
      </c>
      <c r="H14" s="53" t="s">
        <v>100</v>
      </c>
      <c r="I14" s="53" t="s">
        <v>101</v>
      </c>
      <c r="J14" s="53" t="s">
        <v>95</v>
      </c>
      <c r="K14" s="50" t="s">
        <v>96</v>
      </c>
    </row>
    <row r="15" ht="19.5" customHeight="1">
      <c r="A15" s="36">
        <v>36951.0</v>
      </c>
      <c r="B15" s="54" t="s">
        <v>112</v>
      </c>
      <c r="C15" s="55" t="s">
        <v>113</v>
      </c>
      <c r="D15" s="56">
        <v>1.0</v>
      </c>
      <c r="E15" s="57">
        <v>18.0</v>
      </c>
      <c r="F15" s="58">
        <v>22.0</v>
      </c>
      <c r="G15" s="58">
        <v>8.0</v>
      </c>
      <c r="H15" s="59">
        <f t="shared" ref="H15:H20" si="3">D15*E15*F15*G15</f>
        <v>3168</v>
      </c>
      <c r="I15" s="59"/>
      <c r="J15" s="60">
        <f t="shared" ref="J15:J20" si="4">H15</f>
        <v>3168</v>
      </c>
      <c r="K15" s="61"/>
      <c r="L15" s="2" t="s">
        <v>114</v>
      </c>
      <c r="M15" s="62">
        <v>300.0</v>
      </c>
      <c r="N15" s="2">
        <v>5.0</v>
      </c>
    </row>
    <row r="16" ht="19.5" customHeight="1">
      <c r="A16" s="36">
        <v>37316.0</v>
      </c>
      <c r="B16" s="63" t="s">
        <v>115</v>
      </c>
      <c r="C16" s="55" t="s">
        <v>113</v>
      </c>
      <c r="D16" s="56">
        <v>1.0</v>
      </c>
      <c r="E16" s="57">
        <v>18.0</v>
      </c>
      <c r="F16" s="58">
        <v>22.0</v>
      </c>
      <c r="G16" s="58">
        <v>8.0</v>
      </c>
      <c r="H16" s="59">
        <f t="shared" si="3"/>
        <v>3168</v>
      </c>
      <c r="I16" s="40"/>
      <c r="J16" s="64">
        <f t="shared" si="4"/>
        <v>3168</v>
      </c>
      <c r="K16" s="65"/>
      <c r="M16" s="62"/>
      <c r="N16" s="2">
        <f>M15/N15</f>
        <v>60</v>
      </c>
      <c r="O16" s="2" t="s">
        <v>116</v>
      </c>
    </row>
    <row r="17" ht="19.5" customHeight="1">
      <c r="A17" s="36">
        <v>37681.0</v>
      </c>
      <c r="B17" s="63" t="s">
        <v>117</v>
      </c>
      <c r="C17" s="38" t="s">
        <v>113</v>
      </c>
      <c r="D17" s="56">
        <v>1.0</v>
      </c>
      <c r="E17" s="57">
        <v>18.0</v>
      </c>
      <c r="F17" s="58">
        <v>22.0</v>
      </c>
      <c r="G17" s="58">
        <v>4.0</v>
      </c>
      <c r="H17" s="59">
        <f t="shared" si="3"/>
        <v>1584</v>
      </c>
      <c r="I17" s="40"/>
      <c r="J17" s="64">
        <f t="shared" si="4"/>
        <v>1584</v>
      </c>
      <c r="K17" s="65"/>
      <c r="M17" s="66"/>
      <c r="N17" s="62">
        <v>7.0</v>
      </c>
    </row>
    <row r="18" ht="19.5" customHeight="1">
      <c r="A18" s="36">
        <v>38047.0</v>
      </c>
      <c r="B18" s="63" t="s">
        <v>118</v>
      </c>
      <c r="C18" s="38" t="s">
        <v>113</v>
      </c>
      <c r="D18" s="56">
        <v>1.0</v>
      </c>
      <c r="E18" s="57">
        <v>18.0</v>
      </c>
      <c r="F18" s="58">
        <v>22.0</v>
      </c>
      <c r="G18" s="58">
        <v>8.0</v>
      </c>
      <c r="H18" s="59">
        <f t="shared" si="3"/>
        <v>3168</v>
      </c>
      <c r="I18" s="40"/>
      <c r="J18" s="64">
        <f t="shared" si="4"/>
        <v>3168</v>
      </c>
      <c r="K18" s="65"/>
      <c r="M18" s="2"/>
      <c r="N18" s="2">
        <f>N16*N17</f>
        <v>420</v>
      </c>
    </row>
    <row r="19" ht="19.5" customHeight="1">
      <c r="A19" s="36">
        <v>38412.0</v>
      </c>
      <c r="B19" s="63" t="s">
        <v>119</v>
      </c>
      <c r="C19" s="38" t="s">
        <v>113</v>
      </c>
      <c r="D19" s="56">
        <v>1.0</v>
      </c>
      <c r="E19" s="67">
        <v>18.0</v>
      </c>
      <c r="F19" s="41">
        <v>8.0</v>
      </c>
      <c r="G19" s="41">
        <v>12.0</v>
      </c>
      <c r="H19" s="59">
        <f t="shared" si="3"/>
        <v>1728</v>
      </c>
      <c r="I19" s="40"/>
      <c r="J19" s="64">
        <f t="shared" si="4"/>
        <v>1728</v>
      </c>
      <c r="K19" s="65"/>
      <c r="M19" s="2"/>
      <c r="N19" s="2">
        <v>30.0</v>
      </c>
    </row>
    <row r="20" ht="19.5" customHeight="1">
      <c r="A20" s="36">
        <v>38777.0</v>
      </c>
      <c r="B20" s="63" t="s">
        <v>120</v>
      </c>
      <c r="C20" s="38" t="s">
        <v>113</v>
      </c>
      <c r="D20" s="56">
        <v>1.0</v>
      </c>
      <c r="E20" s="67">
        <v>18.0</v>
      </c>
      <c r="F20" s="41">
        <v>30.0</v>
      </c>
      <c r="G20" s="41">
        <v>12.0</v>
      </c>
      <c r="H20" s="59">
        <f t="shared" si="3"/>
        <v>6480</v>
      </c>
      <c r="I20" s="40"/>
      <c r="J20" s="64">
        <f t="shared" si="4"/>
        <v>6480</v>
      </c>
      <c r="K20" s="65"/>
      <c r="M20" s="2"/>
      <c r="N20" s="2">
        <f>N18/N19</f>
        <v>14</v>
      </c>
    </row>
    <row r="21" ht="19.5" customHeight="1">
      <c r="A21" s="12"/>
      <c r="C21" s="12"/>
      <c r="D21" s="13"/>
      <c r="F21" s="14"/>
      <c r="G21" s="14"/>
      <c r="H21" s="14"/>
      <c r="I21" s="14"/>
      <c r="J21" s="14"/>
      <c r="K21" s="12"/>
    </row>
    <row r="22" ht="19.5" customHeight="1">
      <c r="A22" s="50" t="s">
        <v>1</v>
      </c>
      <c r="B22" s="50" t="s">
        <v>91</v>
      </c>
      <c r="C22" s="50" t="s">
        <v>92</v>
      </c>
      <c r="D22" s="50" t="s">
        <v>93</v>
      </c>
      <c r="E22" s="50" t="s">
        <v>97</v>
      </c>
      <c r="F22" s="53" t="s">
        <v>121</v>
      </c>
      <c r="G22" s="53" t="s">
        <v>99</v>
      </c>
      <c r="H22" s="53" t="s">
        <v>100</v>
      </c>
      <c r="I22" s="53" t="s">
        <v>101</v>
      </c>
      <c r="J22" s="53" t="s">
        <v>95</v>
      </c>
      <c r="K22" s="50" t="s">
        <v>96</v>
      </c>
      <c r="N22" s="2">
        <v>300.0</v>
      </c>
    </row>
    <row r="23" ht="19.5" customHeight="1">
      <c r="A23" s="36">
        <v>36982.0</v>
      </c>
      <c r="B23" s="2" t="s">
        <v>122</v>
      </c>
      <c r="C23" s="12" t="s">
        <v>103</v>
      </c>
      <c r="D23" s="68">
        <v>1.0</v>
      </c>
      <c r="F23" s="14"/>
      <c r="G23" s="14"/>
      <c r="H23" s="16">
        <v>4.5</v>
      </c>
      <c r="I23" s="14"/>
      <c r="J23" s="69">
        <f t="shared" ref="J23:J34" si="5">H23</f>
        <v>4.5</v>
      </c>
      <c r="K23" s="70"/>
      <c r="N23" s="45">
        <f>N16*N22</f>
        <v>18000</v>
      </c>
    </row>
    <row r="24" ht="19.5" customHeight="1">
      <c r="A24" s="36">
        <v>38808.0</v>
      </c>
      <c r="B24" s="2" t="s">
        <v>123</v>
      </c>
      <c r="C24" s="12" t="s">
        <v>103</v>
      </c>
      <c r="D24" s="13">
        <v>1.0</v>
      </c>
      <c r="F24" s="14"/>
      <c r="G24" s="14"/>
      <c r="H24" s="16">
        <v>54.09</v>
      </c>
      <c r="I24" s="14"/>
      <c r="J24" s="71">
        <f t="shared" si="5"/>
        <v>54.09</v>
      </c>
      <c r="K24" s="72" t="s">
        <v>124</v>
      </c>
    </row>
    <row r="25" ht="19.5" customHeight="1">
      <c r="A25" s="36">
        <v>37712.0</v>
      </c>
      <c r="B25" s="45" t="s">
        <v>125</v>
      </c>
      <c r="C25" s="12" t="s">
        <v>103</v>
      </c>
      <c r="D25" s="13">
        <v>1.0</v>
      </c>
      <c r="F25" s="14"/>
      <c r="G25" s="14"/>
      <c r="H25" s="16">
        <v>39.2</v>
      </c>
      <c r="I25" s="14"/>
      <c r="J25" s="71">
        <f t="shared" si="5"/>
        <v>39.2</v>
      </c>
    </row>
    <row r="26" ht="19.5" customHeight="1">
      <c r="A26" s="36">
        <v>38078.0</v>
      </c>
      <c r="B26" s="2" t="s">
        <v>126</v>
      </c>
      <c r="C26" s="12" t="s">
        <v>103</v>
      </c>
      <c r="D26" s="13">
        <v>1.0</v>
      </c>
      <c r="F26" s="14"/>
      <c r="G26" s="14"/>
      <c r="H26" s="16">
        <v>41.74</v>
      </c>
      <c r="I26" s="14"/>
      <c r="J26" s="71">
        <f t="shared" si="5"/>
        <v>41.74</v>
      </c>
    </row>
    <row r="27" ht="19.5" customHeight="1">
      <c r="A27" s="36">
        <v>38443.0</v>
      </c>
      <c r="B27" s="2" t="s">
        <v>127</v>
      </c>
      <c r="C27" s="12" t="s">
        <v>103</v>
      </c>
      <c r="D27" s="13">
        <v>1.0</v>
      </c>
      <c r="F27" s="14"/>
      <c r="G27" s="14"/>
      <c r="H27" s="16">
        <v>59.86</v>
      </c>
      <c r="I27" s="14"/>
      <c r="J27" s="71">
        <f t="shared" si="5"/>
        <v>59.86</v>
      </c>
    </row>
    <row r="28" ht="19.5" customHeight="1">
      <c r="A28" s="36">
        <v>39173.0</v>
      </c>
      <c r="B28" s="2" t="s">
        <v>128</v>
      </c>
      <c r="C28" s="70" t="s">
        <v>106</v>
      </c>
      <c r="D28" s="68">
        <v>50.0</v>
      </c>
      <c r="F28" s="14"/>
      <c r="G28" s="14"/>
      <c r="H28" s="16">
        <f>D28</f>
        <v>50</v>
      </c>
      <c r="I28" s="14"/>
      <c r="J28" s="71">
        <f t="shared" si="5"/>
        <v>50</v>
      </c>
    </row>
    <row r="29" ht="19.5" customHeight="1">
      <c r="A29" s="36">
        <v>39539.0</v>
      </c>
      <c r="B29" s="2" t="s">
        <v>129</v>
      </c>
      <c r="C29" s="70" t="s">
        <v>106</v>
      </c>
      <c r="D29" s="68">
        <v>1.0</v>
      </c>
      <c r="F29" s="14"/>
      <c r="G29" s="14"/>
      <c r="H29" s="16">
        <v>1.0</v>
      </c>
      <c r="I29" s="14"/>
      <c r="J29" s="71">
        <f t="shared" si="5"/>
        <v>1</v>
      </c>
    </row>
    <row r="30" ht="19.5" customHeight="1">
      <c r="A30" s="36">
        <v>39904.0</v>
      </c>
      <c r="B30" s="2" t="s">
        <v>130</v>
      </c>
      <c r="C30" s="70" t="s">
        <v>106</v>
      </c>
      <c r="D30" s="68">
        <v>1.0</v>
      </c>
      <c r="F30" s="14"/>
      <c r="G30" s="14"/>
      <c r="H30" s="16">
        <v>1.0</v>
      </c>
      <c r="I30" s="14"/>
      <c r="J30" s="71">
        <f t="shared" si="5"/>
        <v>1</v>
      </c>
      <c r="K30" s="12"/>
    </row>
    <row r="31" ht="19.5" customHeight="1">
      <c r="A31" s="36">
        <v>40269.0</v>
      </c>
      <c r="B31" s="2" t="s">
        <v>131</v>
      </c>
      <c r="C31" s="70" t="s">
        <v>106</v>
      </c>
      <c r="D31" s="68">
        <v>1.0</v>
      </c>
      <c r="F31" s="14"/>
      <c r="G31" s="14"/>
      <c r="H31" s="16">
        <v>1.0</v>
      </c>
      <c r="I31" s="14"/>
      <c r="J31" s="71">
        <f t="shared" si="5"/>
        <v>1</v>
      </c>
      <c r="K31" s="12"/>
    </row>
    <row r="32" ht="18.75" customHeight="1">
      <c r="A32" s="36">
        <v>40634.0</v>
      </c>
      <c r="B32" s="2" t="s">
        <v>132</v>
      </c>
      <c r="C32" s="12" t="s">
        <v>103</v>
      </c>
      <c r="D32" s="13">
        <v>1.0</v>
      </c>
      <c r="F32" s="14"/>
      <c r="G32" s="14"/>
      <c r="H32" s="16">
        <v>60.4</v>
      </c>
      <c r="I32" s="14"/>
      <c r="J32" s="71">
        <f t="shared" si="5"/>
        <v>60.4</v>
      </c>
      <c r="K32" s="12"/>
    </row>
    <row r="33" ht="19.5" customHeight="1">
      <c r="A33" s="36">
        <v>41000.0</v>
      </c>
      <c r="B33" s="2" t="s">
        <v>133</v>
      </c>
      <c r="C33" s="12" t="s">
        <v>103</v>
      </c>
      <c r="D33" s="13">
        <v>1.0</v>
      </c>
      <c r="F33" s="14"/>
      <c r="G33" s="14"/>
      <c r="H33" s="16">
        <v>10.35</v>
      </c>
      <c r="I33" s="14"/>
      <c r="J33" s="71">
        <f t="shared" si="5"/>
        <v>10.35</v>
      </c>
      <c r="K33" s="12"/>
    </row>
    <row r="34" ht="19.5" customHeight="1">
      <c r="A34" s="36">
        <v>37347.0</v>
      </c>
      <c r="B34" s="45" t="s">
        <v>134</v>
      </c>
      <c r="C34" s="12" t="s">
        <v>103</v>
      </c>
      <c r="D34" s="13">
        <v>1.0</v>
      </c>
      <c r="E34" s="2">
        <v>2.0</v>
      </c>
      <c r="F34" s="14">
        <f>(26*2)+24+24</f>
        <v>100</v>
      </c>
      <c r="G34" s="14"/>
      <c r="H34" s="14">
        <f>F34*E34*D34</f>
        <v>200</v>
      </c>
      <c r="I34" s="14"/>
      <c r="J34" s="71">
        <f t="shared" si="5"/>
        <v>200</v>
      </c>
      <c r="K34" s="12"/>
    </row>
    <row r="35" ht="19.5" customHeight="1">
      <c r="A35" s="12"/>
      <c r="C35" s="12"/>
      <c r="D35" s="13"/>
      <c r="F35" s="14"/>
      <c r="G35" s="14"/>
      <c r="H35" s="14"/>
      <c r="I35" s="14"/>
      <c r="J35" s="14"/>
      <c r="K35" s="12"/>
    </row>
    <row r="36" ht="19.5" customHeight="1">
      <c r="A36" s="50" t="s">
        <v>1</v>
      </c>
      <c r="B36" s="50" t="s">
        <v>91</v>
      </c>
      <c r="C36" s="50" t="s">
        <v>92</v>
      </c>
      <c r="D36" s="50" t="s">
        <v>93</v>
      </c>
      <c r="E36" s="50" t="s">
        <v>97</v>
      </c>
      <c r="F36" s="53" t="s">
        <v>121</v>
      </c>
      <c r="G36" s="53" t="s">
        <v>99</v>
      </c>
      <c r="H36" s="53" t="s">
        <v>100</v>
      </c>
      <c r="I36" s="53" t="s">
        <v>101</v>
      </c>
      <c r="J36" s="53" t="s">
        <v>95</v>
      </c>
      <c r="K36" s="50" t="s">
        <v>96</v>
      </c>
    </row>
    <row r="37" ht="19.5" customHeight="1">
      <c r="A37" s="36">
        <v>36892.0</v>
      </c>
      <c r="B37" s="2" t="s">
        <v>135</v>
      </c>
      <c r="C37" s="70" t="s">
        <v>106</v>
      </c>
      <c r="D37" s="13">
        <v>1.0</v>
      </c>
      <c r="E37" s="2"/>
      <c r="F37" s="14"/>
      <c r="G37" s="14"/>
      <c r="H37" s="14">
        <f t="shared" ref="H37:H39" si="6">D37</f>
        <v>1</v>
      </c>
      <c r="I37" s="14"/>
      <c r="J37" s="71">
        <f t="shared" ref="J37:J39" si="7">H37</f>
        <v>1</v>
      </c>
      <c r="K37" s="12"/>
    </row>
    <row r="38" ht="19.5" customHeight="1">
      <c r="A38" s="36">
        <v>37257.0</v>
      </c>
      <c r="B38" s="2" t="s">
        <v>136</v>
      </c>
      <c r="C38" s="70" t="s">
        <v>103</v>
      </c>
      <c r="D38" s="68">
        <v>6417.91</v>
      </c>
      <c r="E38" s="2"/>
      <c r="F38" s="14"/>
      <c r="G38" s="14"/>
      <c r="H38" s="14">
        <f t="shared" si="6"/>
        <v>6417.91</v>
      </c>
      <c r="I38" s="14"/>
      <c r="J38" s="71">
        <f t="shared" si="7"/>
        <v>6417.91</v>
      </c>
      <c r="K38" s="12"/>
    </row>
    <row r="39" ht="19.5" customHeight="1">
      <c r="A39" s="36">
        <v>37622.0</v>
      </c>
      <c r="B39" s="2" t="s">
        <v>137</v>
      </c>
      <c r="C39" s="70" t="s">
        <v>103</v>
      </c>
      <c r="D39" s="68">
        <v>6417.91</v>
      </c>
      <c r="E39" s="2"/>
      <c r="F39" s="14"/>
      <c r="G39" s="14"/>
      <c r="H39" s="14">
        <f t="shared" si="6"/>
        <v>6417.91</v>
      </c>
      <c r="I39" s="14"/>
      <c r="J39" s="71">
        <f t="shared" si="7"/>
        <v>6417.91</v>
      </c>
      <c r="K39" s="12"/>
    </row>
    <row r="40" ht="19.5" customHeight="1">
      <c r="A40" s="12"/>
      <c r="C40" s="12"/>
      <c r="D40" s="13"/>
      <c r="F40" s="14"/>
      <c r="G40" s="14"/>
      <c r="H40" s="14"/>
      <c r="I40" s="14"/>
      <c r="J40" s="14"/>
      <c r="K40" s="12"/>
    </row>
    <row r="41" ht="19.5" customHeight="1">
      <c r="A41" s="12"/>
      <c r="C41" s="12"/>
      <c r="D41" s="13"/>
      <c r="F41" s="14"/>
      <c r="G41" s="14"/>
      <c r="H41" s="14"/>
      <c r="I41" s="14"/>
      <c r="J41" s="14"/>
      <c r="K41" s="12"/>
    </row>
    <row r="42" ht="19.5" customHeight="1">
      <c r="A42" s="12"/>
      <c r="C42" s="12"/>
      <c r="D42" s="13"/>
      <c r="F42" s="14"/>
      <c r="G42" s="14"/>
      <c r="H42" s="14"/>
      <c r="I42" s="14"/>
      <c r="J42" s="14"/>
      <c r="K42" s="12"/>
    </row>
    <row r="43" ht="19.5" customHeight="1">
      <c r="A43" s="12"/>
      <c r="C43" s="12"/>
      <c r="D43" s="13"/>
      <c r="F43" s="14"/>
      <c r="G43" s="14"/>
      <c r="H43" s="14"/>
      <c r="I43" s="14"/>
      <c r="J43" s="14"/>
      <c r="K43" s="12"/>
    </row>
    <row r="44" ht="19.5" customHeight="1">
      <c r="A44" s="12"/>
      <c r="C44" s="12"/>
      <c r="D44" s="13"/>
      <c r="F44" s="14"/>
      <c r="G44" s="14"/>
      <c r="H44" s="14"/>
      <c r="I44" s="14"/>
      <c r="J44" s="14"/>
      <c r="K44" s="12"/>
    </row>
    <row r="45" ht="19.5" customHeight="1">
      <c r="A45" s="12"/>
      <c r="C45" s="12"/>
      <c r="D45" s="13"/>
      <c r="F45" s="14"/>
      <c r="G45" s="14"/>
      <c r="H45" s="14"/>
      <c r="I45" s="14"/>
      <c r="J45" s="14"/>
      <c r="K45" s="12"/>
    </row>
    <row r="46" ht="19.5" customHeight="1">
      <c r="A46" s="12"/>
      <c r="C46" s="12"/>
      <c r="D46" s="13"/>
      <c r="F46" s="14"/>
      <c r="G46" s="14"/>
      <c r="H46" s="14"/>
      <c r="I46" s="14"/>
      <c r="J46" s="14"/>
      <c r="K46" s="12"/>
    </row>
    <row r="47" ht="19.5" customHeight="1">
      <c r="A47" s="12"/>
      <c r="C47" s="12"/>
      <c r="D47" s="13"/>
      <c r="F47" s="14"/>
      <c r="G47" s="14"/>
      <c r="H47" s="14"/>
      <c r="I47" s="14"/>
      <c r="J47" s="14"/>
      <c r="K47" s="12"/>
    </row>
    <row r="48" ht="19.5" customHeight="1">
      <c r="A48" s="12"/>
      <c r="C48" s="12"/>
      <c r="D48" s="13"/>
      <c r="F48" s="14"/>
      <c r="G48" s="14"/>
      <c r="H48" s="14"/>
      <c r="I48" s="14"/>
      <c r="J48" s="14"/>
      <c r="K48" s="12"/>
    </row>
    <row r="49" ht="19.5" customHeight="1">
      <c r="A49" s="12"/>
      <c r="C49" s="12"/>
      <c r="D49" s="13"/>
      <c r="F49" s="14"/>
      <c r="G49" s="14"/>
      <c r="H49" s="14"/>
      <c r="I49" s="14"/>
      <c r="J49" s="14"/>
      <c r="K49" s="12"/>
    </row>
    <row r="50" ht="19.5" customHeight="1">
      <c r="A50" s="12"/>
      <c r="C50" s="12"/>
      <c r="D50" s="13"/>
      <c r="F50" s="14"/>
      <c r="G50" s="14"/>
      <c r="H50" s="14"/>
      <c r="I50" s="14"/>
      <c r="J50" s="14"/>
      <c r="K50" s="12"/>
    </row>
    <row r="51" ht="19.5" customHeight="1">
      <c r="A51" s="12"/>
      <c r="C51" s="12"/>
      <c r="D51" s="13"/>
      <c r="F51" s="14"/>
      <c r="G51" s="14"/>
      <c r="H51" s="14"/>
      <c r="I51" s="14"/>
      <c r="J51" s="14"/>
      <c r="K51" s="12"/>
    </row>
    <row r="52" ht="19.5" customHeight="1">
      <c r="A52" s="12"/>
      <c r="C52" s="12"/>
      <c r="D52" s="13"/>
      <c r="F52" s="14"/>
      <c r="G52" s="14"/>
      <c r="H52" s="14"/>
      <c r="I52" s="14"/>
      <c r="J52" s="14"/>
      <c r="K52" s="12"/>
    </row>
    <row r="53" ht="19.5" customHeight="1">
      <c r="A53" s="12"/>
      <c r="C53" s="12"/>
      <c r="D53" s="13"/>
      <c r="F53" s="14"/>
      <c r="G53" s="14"/>
      <c r="H53" s="14"/>
      <c r="I53" s="14"/>
      <c r="J53" s="14"/>
      <c r="K53" s="12"/>
    </row>
    <row r="54" ht="19.5" customHeight="1">
      <c r="A54" s="12"/>
      <c r="C54" s="12"/>
      <c r="D54" s="13"/>
      <c r="F54" s="14"/>
      <c r="G54" s="14"/>
      <c r="H54" s="14"/>
      <c r="I54" s="14"/>
      <c r="J54" s="14"/>
      <c r="K54" s="12"/>
    </row>
    <row r="55" ht="19.5" customHeight="1">
      <c r="A55" s="12"/>
      <c r="C55" s="12"/>
      <c r="D55" s="13"/>
      <c r="F55" s="14"/>
      <c r="G55" s="14"/>
      <c r="H55" s="14"/>
      <c r="I55" s="14"/>
      <c r="J55" s="14"/>
      <c r="K55" s="12"/>
    </row>
    <row r="56" ht="19.5" customHeight="1">
      <c r="A56" s="12"/>
      <c r="C56" s="12"/>
      <c r="D56" s="13"/>
      <c r="F56" s="14"/>
      <c r="G56" s="14"/>
      <c r="H56" s="14"/>
      <c r="I56" s="14"/>
      <c r="J56" s="14"/>
      <c r="K56" s="12"/>
    </row>
    <row r="57" ht="19.5" customHeight="1">
      <c r="A57" s="12"/>
      <c r="C57" s="12"/>
      <c r="D57" s="13"/>
      <c r="F57" s="14"/>
      <c r="G57" s="14"/>
      <c r="H57" s="14"/>
      <c r="I57" s="14"/>
      <c r="J57" s="14"/>
      <c r="K57" s="12"/>
    </row>
    <row r="58" ht="19.5" customHeight="1">
      <c r="A58" s="12"/>
      <c r="C58" s="12"/>
      <c r="D58" s="13"/>
      <c r="F58" s="14"/>
      <c r="G58" s="14"/>
      <c r="H58" s="14"/>
      <c r="I58" s="14"/>
      <c r="J58" s="14"/>
      <c r="K58" s="12"/>
    </row>
    <row r="59" ht="19.5" customHeight="1">
      <c r="A59" s="12"/>
      <c r="C59" s="12"/>
      <c r="D59" s="13"/>
      <c r="F59" s="14"/>
      <c r="G59" s="14"/>
      <c r="H59" s="14"/>
      <c r="I59" s="14"/>
      <c r="J59" s="14"/>
      <c r="K59" s="12"/>
    </row>
    <row r="60" ht="19.5" customHeight="1">
      <c r="A60" s="12"/>
      <c r="C60" s="12"/>
      <c r="D60" s="13"/>
      <c r="F60" s="14"/>
      <c r="G60" s="14"/>
      <c r="H60" s="14"/>
      <c r="I60" s="14"/>
      <c r="J60" s="14"/>
      <c r="K60" s="12"/>
    </row>
    <row r="61" ht="19.5" customHeight="1">
      <c r="A61" s="12"/>
      <c r="C61" s="12"/>
      <c r="D61" s="13"/>
      <c r="F61" s="14"/>
      <c r="G61" s="14"/>
      <c r="H61" s="14"/>
      <c r="I61" s="14"/>
      <c r="J61" s="14"/>
      <c r="K61" s="12"/>
    </row>
    <row r="62" ht="19.5" customHeight="1">
      <c r="A62" s="12"/>
      <c r="C62" s="12"/>
      <c r="D62" s="13"/>
      <c r="F62" s="14"/>
      <c r="G62" s="14"/>
      <c r="H62" s="14"/>
      <c r="I62" s="14"/>
      <c r="J62" s="14"/>
      <c r="K62" s="12"/>
    </row>
    <row r="63" ht="19.5" customHeight="1">
      <c r="A63" s="12"/>
      <c r="C63" s="12"/>
      <c r="D63" s="13"/>
      <c r="F63" s="14"/>
      <c r="G63" s="14"/>
      <c r="H63" s="14"/>
      <c r="I63" s="14"/>
      <c r="J63" s="14"/>
      <c r="K63" s="12"/>
    </row>
    <row r="64" ht="19.5" customHeight="1">
      <c r="A64" s="12"/>
      <c r="C64" s="12"/>
      <c r="D64" s="13"/>
      <c r="F64" s="14"/>
      <c r="G64" s="14"/>
      <c r="H64" s="14"/>
      <c r="I64" s="14"/>
      <c r="J64" s="14"/>
      <c r="K64" s="12"/>
    </row>
    <row r="65" ht="19.5" customHeight="1">
      <c r="A65" s="12"/>
      <c r="C65" s="12"/>
      <c r="D65" s="13"/>
      <c r="F65" s="14"/>
      <c r="G65" s="14"/>
      <c r="H65" s="14"/>
      <c r="I65" s="14"/>
      <c r="J65" s="14"/>
      <c r="K65" s="12"/>
    </row>
    <row r="66" ht="19.5" customHeight="1">
      <c r="A66" s="12"/>
      <c r="C66" s="12"/>
      <c r="D66" s="13"/>
      <c r="F66" s="14"/>
      <c r="G66" s="14"/>
      <c r="H66" s="14"/>
      <c r="I66" s="14"/>
      <c r="J66" s="14"/>
      <c r="K66" s="12"/>
    </row>
    <row r="67" ht="19.5" customHeight="1">
      <c r="A67" s="12"/>
      <c r="C67" s="12"/>
      <c r="D67" s="13"/>
      <c r="F67" s="14"/>
      <c r="G67" s="14"/>
      <c r="H67" s="14"/>
      <c r="I67" s="14"/>
      <c r="J67" s="14"/>
      <c r="K67" s="12"/>
    </row>
    <row r="68" ht="19.5" customHeight="1">
      <c r="A68" s="12"/>
      <c r="C68" s="12"/>
      <c r="D68" s="13"/>
      <c r="F68" s="14"/>
      <c r="G68" s="14"/>
      <c r="H68" s="14"/>
      <c r="I68" s="14"/>
      <c r="J68" s="14"/>
      <c r="K68" s="12"/>
    </row>
    <row r="69" ht="19.5" customHeight="1">
      <c r="A69" s="12"/>
      <c r="C69" s="12"/>
      <c r="D69" s="13"/>
      <c r="F69" s="14"/>
      <c r="G69" s="14"/>
      <c r="H69" s="14"/>
      <c r="I69" s="14"/>
      <c r="J69" s="14"/>
      <c r="K69" s="12"/>
    </row>
    <row r="70" ht="19.5" customHeight="1">
      <c r="A70" s="12"/>
      <c r="C70" s="12"/>
      <c r="D70" s="13"/>
      <c r="F70" s="14"/>
      <c r="G70" s="14"/>
      <c r="H70" s="14"/>
      <c r="I70" s="14"/>
      <c r="J70" s="14"/>
      <c r="K70" s="12"/>
    </row>
    <row r="71" ht="19.5" customHeight="1">
      <c r="A71" s="12"/>
      <c r="C71" s="12"/>
      <c r="D71" s="13"/>
      <c r="F71" s="14"/>
      <c r="G71" s="14"/>
      <c r="H71" s="14"/>
      <c r="I71" s="14"/>
      <c r="J71" s="14"/>
      <c r="K71" s="12"/>
    </row>
    <row r="72" ht="19.5" customHeight="1">
      <c r="A72" s="12"/>
      <c r="C72" s="12"/>
      <c r="D72" s="13"/>
      <c r="F72" s="14"/>
      <c r="G72" s="14"/>
      <c r="H72" s="14"/>
      <c r="I72" s="14"/>
      <c r="J72" s="14"/>
      <c r="K72" s="12"/>
    </row>
    <row r="73" ht="19.5" customHeight="1">
      <c r="A73" s="12"/>
      <c r="C73" s="12"/>
      <c r="D73" s="13"/>
      <c r="F73" s="14"/>
      <c r="G73" s="14"/>
      <c r="H73" s="14"/>
      <c r="I73" s="14"/>
      <c r="J73" s="14"/>
      <c r="K73" s="12"/>
    </row>
    <row r="74" ht="19.5" customHeight="1">
      <c r="A74" s="12"/>
      <c r="C74" s="12"/>
      <c r="D74" s="13"/>
      <c r="F74" s="14"/>
      <c r="G74" s="14"/>
      <c r="H74" s="14"/>
      <c r="I74" s="14"/>
      <c r="J74" s="14"/>
      <c r="K74" s="12"/>
    </row>
    <row r="75" ht="19.5" customHeight="1">
      <c r="A75" s="12"/>
      <c r="C75" s="12"/>
      <c r="D75" s="13"/>
      <c r="F75" s="14"/>
      <c r="G75" s="14"/>
      <c r="H75" s="14"/>
      <c r="I75" s="14"/>
      <c r="J75" s="14"/>
      <c r="K75" s="12"/>
    </row>
    <row r="76" ht="19.5" customHeight="1">
      <c r="A76" s="12"/>
      <c r="C76" s="12"/>
      <c r="D76" s="13"/>
      <c r="F76" s="14"/>
      <c r="G76" s="14"/>
      <c r="H76" s="14"/>
      <c r="I76" s="14"/>
      <c r="J76" s="14"/>
      <c r="K76" s="12"/>
    </row>
    <row r="77" ht="19.5" customHeight="1">
      <c r="A77" s="12"/>
      <c r="C77" s="12"/>
      <c r="D77" s="13"/>
      <c r="F77" s="14"/>
      <c r="G77" s="14"/>
      <c r="H77" s="14"/>
      <c r="I77" s="14"/>
      <c r="J77" s="14"/>
      <c r="K77" s="12"/>
    </row>
    <row r="78" ht="19.5" customHeight="1">
      <c r="A78" s="12"/>
      <c r="C78" s="12"/>
      <c r="D78" s="13"/>
      <c r="F78" s="14"/>
      <c r="G78" s="14"/>
      <c r="H78" s="14"/>
      <c r="I78" s="14"/>
      <c r="J78" s="14"/>
      <c r="K78" s="12"/>
    </row>
    <row r="79" ht="19.5" customHeight="1">
      <c r="A79" s="12"/>
      <c r="C79" s="12"/>
      <c r="D79" s="13"/>
      <c r="F79" s="14"/>
      <c r="G79" s="14"/>
      <c r="H79" s="14"/>
      <c r="I79" s="14"/>
      <c r="J79" s="14"/>
      <c r="K79" s="12"/>
    </row>
    <row r="80" ht="19.5" customHeight="1">
      <c r="A80" s="12"/>
      <c r="C80" s="12"/>
      <c r="D80" s="13"/>
      <c r="F80" s="14"/>
      <c r="G80" s="14"/>
      <c r="H80" s="14"/>
      <c r="I80" s="14"/>
      <c r="J80" s="14"/>
      <c r="K80" s="12"/>
    </row>
    <row r="81" ht="19.5" customHeight="1">
      <c r="A81" s="12"/>
      <c r="C81" s="12"/>
      <c r="D81" s="13"/>
      <c r="F81" s="14"/>
      <c r="G81" s="14"/>
      <c r="H81" s="14"/>
      <c r="I81" s="14"/>
      <c r="J81" s="14"/>
      <c r="K81" s="12"/>
    </row>
    <row r="82" ht="19.5" customHeight="1">
      <c r="A82" s="12"/>
      <c r="C82" s="12"/>
      <c r="D82" s="13"/>
      <c r="F82" s="14"/>
      <c r="G82" s="14"/>
      <c r="H82" s="14"/>
      <c r="I82" s="14"/>
      <c r="J82" s="14"/>
      <c r="K82" s="12"/>
    </row>
    <row r="83" ht="19.5" customHeight="1">
      <c r="A83" s="12"/>
      <c r="C83" s="12"/>
      <c r="D83" s="13"/>
      <c r="F83" s="14"/>
      <c r="G83" s="14"/>
      <c r="H83" s="14"/>
      <c r="I83" s="14"/>
      <c r="J83" s="14"/>
      <c r="K83" s="12"/>
    </row>
    <row r="84" ht="19.5" customHeight="1">
      <c r="A84" s="12"/>
      <c r="C84" s="12"/>
      <c r="D84" s="13"/>
      <c r="F84" s="14"/>
      <c r="G84" s="14"/>
      <c r="H84" s="14"/>
      <c r="I84" s="14"/>
      <c r="J84" s="14"/>
      <c r="K84" s="12"/>
    </row>
    <row r="85" ht="19.5" customHeight="1">
      <c r="A85" s="12"/>
      <c r="C85" s="12"/>
      <c r="D85" s="13"/>
      <c r="F85" s="14"/>
      <c r="G85" s="14"/>
      <c r="H85" s="14"/>
      <c r="I85" s="14"/>
      <c r="J85" s="14"/>
      <c r="K85" s="12"/>
    </row>
    <row r="86" ht="19.5" customHeight="1">
      <c r="A86" s="12"/>
      <c r="C86" s="12"/>
      <c r="D86" s="13"/>
      <c r="F86" s="14"/>
      <c r="G86" s="14"/>
      <c r="H86" s="14"/>
      <c r="I86" s="14"/>
      <c r="J86" s="14"/>
      <c r="K86" s="12"/>
    </row>
    <row r="87" ht="19.5" customHeight="1">
      <c r="A87" s="12"/>
      <c r="C87" s="12"/>
      <c r="D87" s="13"/>
      <c r="F87" s="14"/>
      <c r="G87" s="14"/>
      <c r="H87" s="14"/>
      <c r="I87" s="14"/>
      <c r="J87" s="14"/>
      <c r="K87" s="12"/>
    </row>
    <row r="88" ht="19.5" customHeight="1">
      <c r="A88" s="12"/>
      <c r="C88" s="12"/>
      <c r="D88" s="13"/>
      <c r="F88" s="14"/>
      <c r="G88" s="14"/>
      <c r="H88" s="14"/>
      <c r="I88" s="14"/>
      <c r="J88" s="14"/>
      <c r="K88" s="12"/>
    </row>
    <row r="89" ht="19.5" customHeight="1">
      <c r="A89" s="12"/>
      <c r="C89" s="12"/>
      <c r="D89" s="13"/>
      <c r="F89" s="14"/>
      <c r="G89" s="14"/>
      <c r="H89" s="14"/>
      <c r="I89" s="14"/>
      <c r="J89" s="14"/>
      <c r="K89" s="12"/>
    </row>
    <row r="90" ht="19.5" customHeight="1">
      <c r="A90" s="12"/>
      <c r="C90" s="12"/>
      <c r="D90" s="13"/>
      <c r="F90" s="14"/>
      <c r="G90" s="14"/>
      <c r="H90" s="14"/>
      <c r="I90" s="14"/>
      <c r="J90" s="14"/>
      <c r="K90" s="12"/>
    </row>
    <row r="91" ht="19.5" customHeight="1">
      <c r="A91" s="12"/>
      <c r="C91" s="12"/>
      <c r="D91" s="13"/>
      <c r="F91" s="14"/>
      <c r="G91" s="14"/>
      <c r="H91" s="14"/>
      <c r="I91" s="14"/>
      <c r="J91" s="14"/>
      <c r="K91" s="12"/>
    </row>
    <row r="92" ht="19.5" customHeight="1">
      <c r="A92" s="12"/>
      <c r="C92" s="12"/>
      <c r="D92" s="13"/>
      <c r="F92" s="14"/>
      <c r="G92" s="14"/>
      <c r="H92" s="14"/>
      <c r="I92" s="14"/>
      <c r="J92" s="14"/>
      <c r="K92" s="12"/>
    </row>
    <row r="93" ht="19.5" customHeight="1">
      <c r="A93" s="12"/>
      <c r="C93" s="12"/>
      <c r="D93" s="13"/>
      <c r="F93" s="14"/>
      <c r="G93" s="14"/>
      <c r="H93" s="14"/>
      <c r="I93" s="14"/>
      <c r="J93" s="14"/>
      <c r="K93" s="12"/>
    </row>
    <row r="94" ht="19.5" customHeight="1">
      <c r="A94" s="12"/>
      <c r="C94" s="12"/>
      <c r="D94" s="13"/>
      <c r="F94" s="14"/>
      <c r="G94" s="14"/>
      <c r="H94" s="14"/>
      <c r="I94" s="14"/>
      <c r="J94" s="14"/>
      <c r="K94" s="12"/>
    </row>
    <row r="95" ht="19.5" customHeight="1">
      <c r="A95" s="12"/>
      <c r="C95" s="12"/>
      <c r="D95" s="13"/>
      <c r="F95" s="14"/>
      <c r="G95" s="14"/>
      <c r="H95" s="14"/>
      <c r="I95" s="14"/>
      <c r="J95" s="14"/>
      <c r="K95" s="12"/>
    </row>
    <row r="96" ht="19.5" customHeight="1">
      <c r="A96" s="12"/>
      <c r="C96" s="12"/>
      <c r="D96" s="13"/>
      <c r="F96" s="14"/>
      <c r="G96" s="14"/>
      <c r="H96" s="14"/>
      <c r="I96" s="14"/>
      <c r="J96" s="14"/>
      <c r="K96" s="12"/>
    </row>
    <row r="97" ht="19.5" customHeight="1">
      <c r="A97" s="12"/>
      <c r="C97" s="12"/>
      <c r="D97" s="13"/>
      <c r="F97" s="14"/>
      <c r="G97" s="14"/>
      <c r="H97" s="14"/>
      <c r="I97" s="14"/>
      <c r="J97" s="14"/>
      <c r="K97" s="12"/>
    </row>
    <row r="98" ht="19.5" customHeight="1">
      <c r="A98" s="12"/>
      <c r="C98" s="12"/>
      <c r="D98" s="13"/>
      <c r="F98" s="14"/>
      <c r="G98" s="14"/>
      <c r="H98" s="14"/>
      <c r="I98" s="14"/>
      <c r="J98" s="14"/>
      <c r="K98" s="12"/>
    </row>
    <row r="99" ht="19.5" customHeight="1">
      <c r="A99" s="12"/>
      <c r="C99" s="12"/>
      <c r="D99" s="13"/>
      <c r="F99" s="14"/>
      <c r="G99" s="14"/>
      <c r="H99" s="14"/>
      <c r="I99" s="14"/>
      <c r="J99" s="14"/>
      <c r="K99" s="12"/>
    </row>
    <row r="100" ht="19.5" customHeight="1">
      <c r="A100" s="12"/>
      <c r="C100" s="12"/>
      <c r="D100" s="13"/>
      <c r="F100" s="14"/>
      <c r="G100" s="14"/>
      <c r="H100" s="14"/>
      <c r="I100" s="14"/>
      <c r="J100" s="14"/>
      <c r="K100" s="12"/>
    </row>
    <row r="101" ht="19.5" customHeight="1">
      <c r="A101" s="12"/>
      <c r="C101" s="12"/>
      <c r="D101" s="13"/>
      <c r="F101" s="14"/>
      <c r="G101" s="14"/>
      <c r="H101" s="14"/>
      <c r="I101" s="14"/>
      <c r="J101" s="14"/>
      <c r="K101" s="12"/>
    </row>
    <row r="102" ht="19.5" customHeight="1">
      <c r="A102" s="12"/>
      <c r="C102" s="12"/>
      <c r="D102" s="13"/>
      <c r="F102" s="14"/>
      <c r="G102" s="14"/>
      <c r="H102" s="14"/>
      <c r="I102" s="14"/>
      <c r="J102" s="14"/>
      <c r="K102" s="12"/>
    </row>
    <row r="103" ht="19.5" customHeight="1">
      <c r="A103" s="12"/>
      <c r="C103" s="12"/>
      <c r="D103" s="13"/>
      <c r="F103" s="14"/>
      <c r="G103" s="14"/>
      <c r="H103" s="14"/>
      <c r="I103" s="14"/>
      <c r="J103" s="14"/>
      <c r="K103" s="12"/>
    </row>
    <row r="104" ht="19.5" customHeight="1">
      <c r="A104" s="12"/>
      <c r="C104" s="12"/>
      <c r="D104" s="13"/>
      <c r="F104" s="14"/>
      <c r="G104" s="14"/>
      <c r="H104" s="14"/>
      <c r="I104" s="14"/>
      <c r="J104" s="14"/>
      <c r="K104" s="12"/>
    </row>
    <row r="105" ht="19.5" customHeight="1">
      <c r="A105" s="12"/>
      <c r="C105" s="12"/>
      <c r="D105" s="13"/>
      <c r="F105" s="14"/>
      <c r="G105" s="14"/>
      <c r="H105" s="14"/>
      <c r="I105" s="14"/>
      <c r="J105" s="14"/>
      <c r="K105" s="12"/>
    </row>
    <row r="106" ht="19.5" customHeight="1">
      <c r="A106" s="12"/>
      <c r="C106" s="12"/>
      <c r="D106" s="13"/>
      <c r="F106" s="14"/>
      <c r="G106" s="14"/>
      <c r="H106" s="14"/>
      <c r="I106" s="14"/>
      <c r="J106" s="14"/>
      <c r="K106" s="12"/>
    </row>
    <row r="107" ht="19.5" customHeight="1">
      <c r="A107" s="12"/>
      <c r="C107" s="12"/>
      <c r="D107" s="13"/>
      <c r="F107" s="14"/>
      <c r="G107" s="14"/>
      <c r="H107" s="14"/>
      <c r="I107" s="14"/>
      <c r="J107" s="14"/>
      <c r="K107" s="12"/>
    </row>
    <row r="108" ht="19.5" customHeight="1">
      <c r="A108" s="12"/>
      <c r="C108" s="12"/>
      <c r="D108" s="13"/>
      <c r="F108" s="14"/>
      <c r="G108" s="14"/>
      <c r="H108" s="14"/>
      <c r="I108" s="14"/>
      <c r="J108" s="14"/>
      <c r="K108" s="12"/>
    </row>
    <row r="109" ht="19.5" customHeight="1">
      <c r="A109" s="12"/>
      <c r="C109" s="12"/>
      <c r="D109" s="13"/>
      <c r="F109" s="14"/>
      <c r="G109" s="14"/>
      <c r="H109" s="14"/>
      <c r="I109" s="14"/>
      <c r="J109" s="14"/>
      <c r="K109" s="12"/>
    </row>
    <row r="110" ht="19.5" customHeight="1">
      <c r="A110" s="12"/>
      <c r="C110" s="12"/>
      <c r="D110" s="13"/>
      <c r="F110" s="14"/>
      <c r="G110" s="14"/>
      <c r="H110" s="14"/>
      <c r="I110" s="14"/>
      <c r="J110" s="14"/>
      <c r="K110" s="12"/>
    </row>
    <row r="111" ht="19.5" customHeight="1">
      <c r="A111" s="12"/>
      <c r="C111" s="12"/>
      <c r="D111" s="13"/>
      <c r="F111" s="14"/>
      <c r="G111" s="14"/>
      <c r="H111" s="14"/>
      <c r="I111" s="14"/>
      <c r="J111" s="14"/>
      <c r="K111" s="12"/>
    </row>
    <row r="112" ht="19.5" customHeight="1">
      <c r="A112" s="12"/>
      <c r="C112" s="12"/>
      <c r="D112" s="13"/>
      <c r="F112" s="14"/>
      <c r="G112" s="14"/>
      <c r="H112" s="14"/>
      <c r="I112" s="14"/>
      <c r="J112" s="14"/>
      <c r="K112" s="12"/>
    </row>
    <row r="113" ht="19.5" customHeight="1">
      <c r="A113" s="12"/>
      <c r="C113" s="12"/>
      <c r="D113" s="13"/>
      <c r="F113" s="14"/>
      <c r="G113" s="14"/>
      <c r="H113" s="14"/>
      <c r="I113" s="14"/>
      <c r="J113" s="14"/>
      <c r="K113" s="12"/>
    </row>
    <row r="114" ht="19.5" customHeight="1">
      <c r="A114" s="12"/>
      <c r="C114" s="12"/>
      <c r="D114" s="13"/>
      <c r="F114" s="14"/>
      <c r="G114" s="14"/>
      <c r="H114" s="14"/>
      <c r="I114" s="14"/>
      <c r="J114" s="14"/>
      <c r="K114" s="12"/>
    </row>
    <row r="115" ht="19.5" customHeight="1">
      <c r="A115" s="12"/>
      <c r="C115" s="12"/>
      <c r="D115" s="13"/>
      <c r="F115" s="14"/>
      <c r="G115" s="14"/>
      <c r="H115" s="14"/>
      <c r="I115" s="14"/>
      <c r="J115" s="14"/>
      <c r="K115" s="12"/>
    </row>
    <row r="116" ht="19.5" customHeight="1">
      <c r="A116" s="12"/>
      <c r="C116" s="12"/>
      <c r="D116" s="13"/>
      <c r="F116" s="14"/>
      <c r="G116" s="14"/>
      <c r="H116" s="14"/>
      <c r="I116" s="14"/>
      <c r="J116" s="14"/>
      <c r="K116" s="12"/>
    </row>
    <row r="117" ht="19.5" customHeight="1">
      <c r="A117" s="12"/>
      <c r="C117" s="12"/>
      <c r="D117" s="13"/>
      <c r="F117" s="14"/>
      <c r="G117" s="14"/>
      <c r="H117" s="14"/>
      <c r="I117" s="14"/>
      <c r="J117" s="14"/>
      <c r="K117" s="12"/>
    </row>
    <row r="118" ht="19.5" customHeight="1">
      <c r="A118" s="12"/>
      <c r="C118" s="12"/>
      <c r="D118" s="13"/>
      <c r="F118" s="14"/>
      <c r="G118" s="14"/>
      <c r="H118" s="14"/>
      <c r="I118" s="14"/>
      <c r="J118" s="14"/>
      <c r="K118" s="12"/>
    </row>
    <row r="119" ht="19.5" customHeight="1">
      <c r="A119" s="12"/>
      <c r="C119" s="12"/>
      <c r="D119" s="13"/>
      <c r="F119" s="14"/>
      <c r="G119" s="14"/>
      <c r="H119" s="14"/>
      <c r="I119" s="14"/>
      <c r="J119" s="14"/>
      <c r="K119" s="12"/>
    </row>
    <row r="120" ht="19.5" customHeight="1">
      <c r="A120" s="12"/>
      <c r="C120" s="12"/>
      <c r="D120" s="13"/>
      <c r="F120" s="14"/>
      <c r="G120" s="14"/>
      <c r="H120" s="14"/>
      <c r="I120" s="14"/>
      <c r="J120" s="14"/>
      <c r="K120" s="12"/>
    </row>
    <row r="121" ht="19.5" customHeight="1">
      <c r="A121" s="12"/>
      <c r="C121" s="12"/>
      <c r="D121" s="13"/>
      <c r="F121" s="14"/>
      <c r="G121" s="14"/>
      <c r="H121" s="14"/>
      <c r="I121" s="14"/>
      <c r="J121" s="14"/>
      <c r="K121" s="12"/>
    </row>
    <row r="122" ht="19.5" customHeight="1">
      <c r="A122" s="12"/>
      <c r="C122" s="12"/>
      <c r="D122" s="13"/>
      <c r="F122" s="14"/>
      <c r="G122" s="14"/>
      <c r="H122" s="14"/>
      <c r="I122" s="14"/>
      <c r="J122" s="14"/>
      <c r="K122" s="12"/>
    </row>
    <row r="123" ht="19.5" customHeight="1">
      <c r="A123" s="12"/>
      <c r="C123" s="12"/>
      <c r="D123" s="13"/>
      <c r="F123" s="14"/>
      <c r="G123" s="14"/>
      <c r="H123" s="14"/>
      <c r="I123" s="14"/>
      <c r="J123" s="14"/>
      <c r="K123" s="12"/>
    </row>
    <row r="124" ht="19.5" customHeight="1">
      <c r="A124" s="12"/>
      <c r="C124" s="12"/>
      <c r="D124" s="13"/>
      <c r="F124" s="14"/>
      <c r="G124" s="14"/>
      <c r="H124" s="14"/>
      <c r="I124" s="14"/>
      <c r="J124" s="14"/>
      <c r="K124" s="12"/>
    </row>
    <row r="125" ht="19.5" customHeight="1">
      <c r="A125" s="12"/>
      <c r="C125" s="12"/>
      <c r="D125" s="13"/>
      <c r="F125" s="14"/>
      <c r="G125" s="14"/>
      <c r="H125" s="14"/>
      <c r="I125" s="14"/>
      <c r="J125" s="14"/>
      <c r="K125" s="12"/>
    </row>
    <row r="126" ht="19.5" customHeight="1">
      <c r="A126" s="12"/>
      <c r="C126" s="12"/>
      <c r="D126" s="13"/>
      <c r="F126" s="14"/>
      <c r="G126" s="14"/>
      <c r="H126" s="14"/>
      <c r="I126" s="14"/>
      <c r="J126" s="14"/>
      <c r="K126" s="12"/>
    </row>
    <row r="127" ht="19.5" customHeight="1">
      <c r="A127" s="12"/>
      <c r="C127" s="12"/>
      <c r="D127" s="13"/>
      <c r="F127" s="14"/>
      <c r="G127" s="14"/>
      <c r="H127" s="14"/>
      <c r="I127" s="14"/>
      <c r="J127" s="14"/>
      <c r="K127" s="12"/>
    </row>
    <row r="128" ht="19.5" customHeight="1">
      <c r="A128" s="12"/>
      <c r="C128" s="12"/>
      <c r="D128" s="13"/>
      <c r="F128" s="14"/>
      <c r="G128" s="14"/>
      <c r="H128" s="14"/>
      <c r="I128" s="14"/>
      <c r="J128" s="14"/>
      <c r="K128" s="12"/>
    </row>
    <row r="129" ht="19.5" customHeight="1">
      <c r="A129" s="12"/>
      <c r="C129" s="12"/>
      <c r="D129" s="13"/>
      <c r="F129" s="14"/>
      <c r="G129" s="14"/>
      <c r="H129" s="14"/>
      <c r="I129" s="14"/>
      <c r="J129" s="14"/>
      <c r="K129" s="12"/>
    </row>
    <row r="130" ht="19.5" customHeight="1">
      <c r="A130" s="12"/>
      <c r="C130" s="12"/>
      <c r="D130" s="13"/>
      <c r="F130" s="14"/>
      <c r="G130" s="14"/>
      <c r="H130" s="14"/>
      <c r="I130" s="14"/>
      <c r="J130" s="14"/>
      <c r="K130" s="12"/>
    </row>
    <row r="131" ht="19.5" customHeight="1">
      <c r="A131" s="12"/>
      <c r="C131" s="12"/>
      <c r="D131" s="13"/>
      <c r="F131" s="14"/>
      <c r="G131" s="14"/>
      <c r="H131" s="14"/>
      <c r="I131" s="14"/>
      <c r="J131" s="14"/>
      <c r="K131" s="12"/>
    </row>
    <row r="132" ht="19.5" customHeight="1">
      <c r="A132" s="12"/>
      <c r="C132" s="12"/>
      <c r="D132" s="13"/>
      <c r="F132" s="14"/>
      <c r="G132" s="14"/>
      <c r="H132" s="14"/>
      <c r="I132" s="14"/>
      <c r="J132" s="14"/>
      <c r="K132" s="12"/>
    </row>
    <row r="133" ht="19.5" customHeight="1">
      <c r="A133" s="12"/>
      <c r="C133" s="12"/>
      <c r="D133" s="13"/>
      <c r="F133" s="14"/>
      <c r="G133" s="14"/>
      <c r="H133" s="14"/>
      <c r="I133" s="14"/>
      <c r="J133" s="14"/>
      <c r="K133" s="12"/>
    </row>
    <row r="134" ht="19.5" customHeight="1">
      <c r="A134" s="12"/>
      <c r="C134" s="12"/>
      <c r="D134" s="13"/>
      <c r="F134" s="14"/>
      <c r="G134" s="14"/>
      <c r="H134" s="14"/>
      <c r="I134" s="14"/>
      <c r="J134" s="14"/>
      <c r="K134" s="12"/>
    </row>
    <row r="135" ht="19.5" customHeight="1">
      <c r="A135" s="12"/>
      <c r="C135" s="12"/>
      <c r="D135" s="13"/>
      <c r="F135" s="14"/>
      <c r="G135" s="14"/>
      <c r="H135" s="14"/>
      <c r="I135" s="14"/>
      <c r="J135" s="14"/>
      <c r="K135" s="12"/>
    </row>
    <row r="136" ht="19.5" customHeight="1">
      <c r="A136" s="12"/>
      <c r="C136" s="12"/>
      <c r="D136" s="13"/>
      <c r="F136" s="14"/>
      <c r="G136" s="14"/>
      <c r="H136" s="14"/>
      <c r="I136" s="14"/>
      <c r="J136" s="14"/>
      <c r="K136" s="12"/>
    </row>
    <row r="137" ht="19.5" customHeight="1">
      <c r="A137" s="12"/>
      <c r="C137" s="12"/>
      <c r="D137" s="13"/>
      <c r="F137" s="14"/>
      <c r="G137" s="14"/>
      <c r="H137" s="14"/>
      <c r="I137" s="14"/>
      <c r="J137" s="14"/>
      <c r="K137" s="12"/>
    </row>
    <row r="138" ht="19.5" customHeight="1">
      <c r="A138" s="12"/>
      <c r="C138" s="12"/>
      <c r="D138" s="13"/>
      <c r="F138" s="14"/>
      <c r="G138" s="14"/>
      <c r="H138" s="14"/>
      <c r="I138" s="14"/>
      <c r="J138" s="14"/>
      <c r="K138" s="12"/>
    </row>
    <row r="139" ht="19.5" customHeight="1">
      <c r="A139" s="12"/>
      <c r="C139" s="12"/>
      <c r="D139" s="13"/>
      <c r="F139" s="14"/>
      <c r="G139" s="14"/>
      <c r="H139" s="14"/>
      <c r="I139" s="14"/>
      <c r="J139" s="14"/>
      <c r="K139" s="12"/>
    </row>
    <row r="140" ht="19.5" customHeight="1">
      <c r="A140" s="12"/>
      <c r="C140" s="12"/>
      <c r="D140" s="13"/>
      <c r="F140" s="14"/>
      <c r="G140" s="14"/>
      <c r="H140" s="14"/>
      <c r="I140" s="14"/>
      <c r="J140" s="14"/>
      <c r="K140" s="12"/>
    </row>
    <row r="141" ht="19.5" customHeight="1">
      <c r="A141" s="12"/>
      <c r="C141" s="12"/>
      <c r="D141" s="13"/>
      <c r="F141" s="14"/>
      <c r="G141" s="14"/>
      <c r="H141" s="14"/>
      <c r="I141" s="14"/>
      <c r="J141" s="14"/>
      <c r="K141" s="12"/>
    </row>
    <row r="142" ht="19.5" customHeight="1">
      <c r="A142" s="12"/>
      <c r="C142" s="12"/>
      <c r="D142" s="13"/>
      <c r="F142" s="14"/>
      <c r="G142" s="14"/>
      <c r="H142" s="14"/>
      <c r="I142" s="14"/>
      <c r="J142" s="14"/>
      <c r="K142" s="12"/>
    </row>
    <row r="143" ht="19.5" customHeight="1">
      <c r="A143" s="12"/>
      <c r="C143" s="12"/>
      <c r="D143" s="13"/>
      <c r="F143" s="14"/>
      <c r="G143" s="14"/>
      <c r="H143" s="14"/>
      <c r="I143" s="14"/>
      <c r="J143" s="14"/>
      <c r="K143" s="12"/>
    </row>
    <row r="144" ht="19.5" customHeight="1">
      <c r="A144" s="12"/>
      <c r="C144" s="12"/>
      <c r="D144" s="13"/>
      <c r="F144" s="14"/>
      <c r="G144" s="14"/>
      <c r="H144" s="14"/>
      <c r="I144" s="14"/>
      <c r="J144" s="14"/>
      <c r="K144" s="12"/>
    </row>
    <row r="145" ht="19.5" customHeight="1">
      <c r="A145" s="12"/>
      <c r="C145" s="12"/>
      <c r="D145" s="13"/>
      <c r="F145" s="14"/>
      <c r="G145" s="14"/>
      <c r="H145" s="14"/>
      <c r="I145" s="14"/>
      <c r="J145" s="14"/>
      <c r="K145" s="12"/>
    </row>
    <row r="146" ht="19.5" customHeight="1">
      <c r="A146" s="12"/>
      <c r="C146" s="12"/>
      <c r="D146" s="13"/>
      <c r="F146" s="14"/>
      <c r="G146" s="14"/>
      <c r="H146" s="14"/>
      <c r="I146" s="14"/>
      <c r="J146" s="14"/>
      <c r="K146" s="12"/>
    </row>
    <row r="147" ht="19.5" customHeight="1">
      <c r="A147" s="12"/>
      <c r="C147" s="12"/>
      <c r="D147" s="13"/>
      <c r="F147" s="14"/>
      <c r="G147" s="14"/>
      <c r="H147" s="14"/>
      <c r="I147" s="14"/>
      <c r="J147" s="14"/>
      <c r="K147" s="12"/>
    </row>
    <row r="148" ht="19.5" customHeight="1">
      <c r="A148" s="12"/>
      <c r="C148" s="12"/>
      <c r="D148" s="13"/>
      <c r="F148" s="14"/>
      <c r="G148" s="14"/>
      <c r="H148" s="14"/>
      <c r="I148" s="14"/>
      <c r="J148" s="14"/>
      <c r="K148" s="12"/>
    </row>
    <row r="149" ht="19.5" customHeight="1">
      <c r="A149" s="12"/>
      <c r="C149" s="12"/>
      <c r="D149" s="13"/>
      <c r="F149" s="14"/>
      <c r="G149" s="14"/>
      <c r="H149" s="14"/>
      <c r="I149" s="14"/>
      <c r="J149" s="14"/>
      <c r="K149" s="12"/>
    </row>
    <row r="150" ht="19.5" customHeight="1">
      <c r="A150" s="12"/>
      <c r="C150" s="12"/>
      <c r="D150" s="13"/>
      <c r="F150" s="14"/>
      <c r="G150" s="14"/>
      <c r="H150" s="14"/>
      <c r="I150" s="14"/>
      <c r="J150" s="14"/>
      <c r="K150" s="12"/>
    </row>
    <row r="151" ht="19.5" customHeight="1">
      <c r="A151" s="12"/>
      <c r="C151" s="12"/>
      <c r="D151" s="13"/>
      <c r="F151" s="14"/>
      <c r="G151" s="14"/>
      <c r="H151" s="14"/>
      <c r="I151" s="14"/>
      <c r="J151" s="14"/>
      <c r="K151" s="12"/>
    </row>
    <row r="152" ht="19.5" customHeight="1">
      <c r="A152" s="12"/>
      <c r="C152" s="12"/>
      <c r="D152" s="13"/>
      <c r="F152" s="14"/>
      <c r="G152" s="14"/>
      <c r="H152" s="14"/>
      <c r="I152" s="14"/>
      <c r="J152" s="14"/>
      <c r="K152" s="12"/>
    </row>
    <row r="153" ht="19.5" customHeight="1">
      <c r="A153" s="12"/>
      <c r="C153" s="12"/>
      <c r="D153" s="13"/>
      <c r="F153" s="14"/>
      <c r="G153" s="14"/>
      <c r="H153" s="14"/>
      <c r="I153" s="14"/>
      <c r="J153" s="14"/>
      <c r="K153" s="12"/>
    </row>
    <row r="154" ht="19.5" customHeight="1">
      <c r="A154" s="12"/>
      <c r="C154" s="12"/>
      <c r="D154" s="13"/>
      <c r="F154" s="14"/>
      <c r="G154" s="14"/>
      <c r="H154" s="14"/>
      <c r="I154" s="14"/>
      <c r="J154" s="14"/>
      <c r="K154" s="12"/>
    </row>
    <row r="155" ht="19.5" customHeight="1">
      <c r="A155" s="12"/>
      <c r="C155" s="12"/>
      <c r="D155" s="13"/>
      <c r="F155" s="14"/>
      <c r="G155" s="14"/>
      <c r="H155" s="14"/>
      <c r="I155" s="14"/>
      <c r="J155" s="14"/>
      <c r="K155" s="12"/>
    </row>
    <row r="156" ht="19.5" customHeight="1">
      <c r="A156" s="12"/>
      <c r="C156" s="12"/>
      <c r="D156" s="13"/>
      <c r="F156" s="14"/>
      <c r="G156" s="14"/>
      <c r="H156" s="14"/>
      <c r="I156" s="14"/>
      <c r="J156" s="14"/>
      <c r="K156" s="12"/>
    </row>
    <row r="157" ht="19.5" customHeight="1">
      <c r="A157" s="12"/>
      <c r="C157" s="12"/>
      <c r="D157" s="13"/>
      <c r="F157" s="14"/>
      <c r="G157" s="14"/>
      <c r="H157" s="14"/>
      <c r="I157" s="14"/>
      <c r="J157" s="14"/>
      <c r="K157" s="12"/>
    </row>
    <row r="158" ht="19.5" customHeight="1">
      <c r="A158" s="12"/>
      <c r="C158" s="12"/>
      <c r="D158" s="13"/>
      <c r="F158" s="14"/>
      <c r="G158" s="14"/>
      <c r="H158" s="14"/>
      <c r="I158" s="14"/>
      <c r="J158" s="14"/>
      <c r="K158" s="12"/>
    </row>
    <row r="159" ht="19.5" customHeight="1">
      <c r="A159" s="12"/>
      <c r="C159" s="12"/>
      <c r="D159" s="13"/>
      <c r="F159" s="14"/>
      <c r="G159" s="14"/>
      <c r="H159" s="14"/>
      <c r="I159" s="14"/>
      <c r="J159" s="14"/>
      <c r="K159" s="12"/>
    </row>
    <row r="160" ht="19.5" customHeight="1">
      <c r="A160" s="12"/>
      <c r="C160" s="12"/>
      <c r="D160" s="13"/>
      <c r="F160" s="14"/>
      <c r="G160" s="14"/>
      <c r="H160" s="14"/>
      <c r="I160" s="14"/>
      <c r="J160" s="14"/>
      <c r="K160" s="12"/>
    </row>
    <row r="161" ht="19.5" customHeight="1">
      <c r="A161" s="12"/>
      <c r="C161" s="12"/>
      <c r="D161" s="13"/>
      <c r="F161" s="14"/>
      <c r="G161" s="14"/>
      <c r="H161" s="14"/>
      <c r="I161" s="14"/>
      <c r="J161" s="14"/>
      <c r="K161" s="12"/>
    </row>
    <row r="162" ht="19.5" customHeight="1">
      <c r="A162" s="12"/>
      <c r="C162" s="12"/>
      <c r="D162" s="13"/>
      <c r="F162" s="14"/>
      <c r="G162" s="14"/>
      <c r="H162" s="14"/>
      <c r="I162" s="14"/>
      <c r="J162" s="14"/>
      <c r="K162" s="12"/>
    </row>
    <row r="163" ht="19.5" customHeight="1">
      <c r="A163" s="12"/>
      <c r="C163" s="12"/>
      <c r="D163" s="13"/>
      <c r="F163" s="14"/>
      <c r="G163" s="14"/>
      <c r="H163" s="14"/>
      <c r="I163" s="14"/>
      <c r="J163" s="14"/>
      <c r="K163" s="12"/>
    </row>
    <row r="164" ht="19.5" customHeight="1">
      <c r="A164" s="12"/>
      <c r="C164" s="12"/>
      <c r="D164" s="13"/>
      <c r="F164" s="14"/>
      <c r="G164" s="14"/>
      <c r="H164" s="14"/>
      <c r="I164" s="14"/>
      <c r="J164" s="14"/>
      <c r="K164" s="12"/>
    </row>
    <row r="165" ht="19.5" customHeight="1">
      <c r="A165" s="12"/>
      <c r="C165" s="12"/>
      <c r="D165" s="13"/>
      <c r="F165" s="14"/>
      <c r="G165" s="14"/>
      <c r="H165" s="14"/>
      <c r="I165" s="14"/>
      <c r="J165" s="14"/>
      <c r="K165" s="12"/>
    </row>
    <row r="166" ht="19.5" customHeight="1">
      <c r="A166" s="12"/>
      <c r="C166" s="12"/>
      <c r="D166" s="13"/>
      <c r="F166" s="14"/>
      <c r="G166" s="14"/>
      <c r="H166" s="14"/>
      <c r="I166" s="14"/>
      <c r="J166" s="14"/>
      <c r="K166" s="12"/>
    </row>
    <row r="167" ht="19.5" customHeight="1">
      <c r="A167" s="12"/>
      <c r="C167" s="12"/>
      <c r="D167" s="13"/>
      <c r="F167" s="14"/>
      <c r="G167" s="14"/>
      <c r="H167" s="14"/>
      <c r="I167" s="14"/>
      <c r="J167" s="14"/>
      <c r="K167" s="12"/>
    </row>
    <row r="168" ht="19.5" customHeight="1">
      <c r="A168" s="12"/>
      <c r="C168" s="12"/>
      <c r="D168" s="13"/>
      <c r="F168" s="14"/>
      <c r="G168" s="14"/>
      <c r="H168" s="14"/>
      <c r="I168" s="14"/>
      <c r="J168" s="14"/>
      <c r="K168" s="12"/>
    </row>
    <row r="169" ht="19.5" customHeight="1">
      <c r="A169" s="12"/>
      <c r="C169" s="12"/>
      <c r="D169" s="13"/>
      <c r="F169" s="14"/>
      <c r="G169" s="14"/>
      <c r="H169" s="14"/>
      <c r="I169" s="14"/>
      <c r="J169" s="14"/>
      <c r="K169" s="12"/>
    </row>
    <row r="170" ht="19.5" customHeight="1">
      <c r="A170" s="12"/>
      <c r="C170" s="12"/>
      <c r="D170" s="13"/>
      <c r="F170" s="14"/>
      <c r="G170" s="14"/>
      <c r="H170" s="14"/>
      <c r="I170" s="14"/>
      <c r="J170" s="14"/>
      <c r="K170" s="12"/>
    </row>
    <row r="171" ht="19.5" customHeight="1">
      <c r="A171" s="12"/>
      <c r="C171" s="12"/>
      <c r="D171" s="13"/>
      <c r="F171" s="14"/>
      <c r="G171" s="14"/>
      <c r="H171" s="14"/>
      <c r="I171" s="14"/>
      <c r="J171" s="14"/>
      <c r="K171" s="12"/>
    </row>
    <row r="172" ht="19.5" customHeight="1">
      <c r="A172" s="12"/>
      <c r="C172" s="12"/>
      <c r="D172" s="13"/>
      <c r="F172" s="14"/>
      <c r="G172" s="14"/>
      <c r="H172" s="14"/>
      <c r="I172" s="14"/>
      <c r="J172" s="14"/>
      <c r="K172" s="12"/>
    </row>
    <row r="173" ht="19.5" customHeight="1">
      <c r="A173" s="12"/>
      <c r="C173" s="12"/>
      <c r="D173" s="13"/>
      <c r="F173" s="14"/>
      <c r="G173" s="14"/>
      <c r="H173" s="14"/>
      <c r="I173" s="14"/>
      <c r="J173" s="14"/>
      <c r="K173" s="12"/>
    </row>
    <row r="174" ht="19.5" customHeight="1">
      <c r="A174" s="12"/>
      <c r="C174" s="12"/>
      <c r="D174" s="13"/>
      <c r="F174" s="14"/>
      <c r="G174" s="14"/>
      <c r="H174" s="14"/>
      <c r="I174" s="14"/>
      <c r="J174" s="14"/>
      <c r="K174" s="12"/>
    </row>
    <row r="175" ht="19.5" customHeight="1">
      <c r="A175" s="12"/>
      <c r="C175" s="12"/>
      <c r="D175" s="13"/>
      <c r="F175" s="14"/>
      <c r="G175" s="14"/>
      <c r="H175" s="14"/>
      <c r="I175" s="14"/>
      <c r="J175" s="14"/>
      <c r="K175" s="12"/>
    </row>
    <row r="176" ht="19.5" customHeight="1">
      <c r="A176" s="12"/>
      <c r="C176" s="12"/>
      <c r="D176" s="13"/>
      <c r="F176" s="14"/>
      <c r="G176" s="14"/>
      <c r="H176" s="14"/>
      <c r="I176" s="14"/>
      <c r="J176" s="14"/>
      <c r="K176" s="12"/>
    </row>
    <row r="177" ht="19.5" customHeight="1">
      <c r="A177" s="12"/>
      <c r="C177" s="12"/>
      <c r="D177" s="13"/>
      <c r="F177" s="14"/>
      <c r="G177" s="14"/>
      <c r="H177" s="14"/>
      <c r="I177" s="14"/>
      <c r="J177" s="14"/>
      <c r="K177" s="12"/>
    </row>
    <row r="178" ht="19.5" customHeight="1">
      <c r="A178" s="12"/>
      <c r="C178" s="12"/>
      <c r="D178" s="13"/>
      <c r="F178" s="14"/>
      <c r="G178" s="14"/>
      <c r="H178" s="14"/>
      <c r="I178" s="14"/>
      <c r="J178" s="14"/>
      <c r="K178" s="12"/>
    </row>
    <row r="179" ht="19.5" customHeight="1">
      <c r="A179" s="12"/>
      <c r="C179" s="12"/>
      <c r="D179" s="13"/>
      <c r="F179" s="14"/>
      <c r="G179" s="14"/>
      <c r="H179" s="14"/>
      <c r="I179" s="14"/>
      <c r="J179" s="14"/>
      <c r="K179" s="12"/>
    </row>
    <row r="180" ht="19.5" customHeight="1">
      <c r="A180" s="12"/>
      <c r="C180" s="12"/>
      <c r="D180" s="13"/>
      <c r="F180" s="14"/>
      <c r="G180" s="14"/>
      <c r="H180" s="14"/>
      <c r="I180" s="14"/>
      <c r="J180" s="14"/>
      <c r="K180" s="12"/>
    </row>
    <row r="181" ht="19.5" customHeight="1">
      <c r="A181" s="12"/>
      <c r="C181" s="12"/>
      <c r="D181" s="13"/>
      <c r="F181" s="14"/>
      <c r="G181" s="14"/>
      <c r="H181" s="14"/>
      <c r="I181" s="14"/>
      <c r="J181" s="14"/>
      <c r="K181" s="12"/>
    </row>
    <row r="182" ht="19.5" customHeight="1">
      <c r="A182" s="12"/>
      <c r="C182" s="12"/>
      <c r="D182" s="13"/>
      <c r="F182" s="14"/>
      <c r="G182" s="14"/>
      <c r="H182" s="14"/>
      <c r="I182" s="14"/>
      <c r="J182" s="14"/>
      <c r="K182" s="12"/>
    </row>
    <row r="183" ht="19.5" customHeight="1">
      <c r="A183" s="12"/>
      <c r="C183" s="12"/>
      <c r="D183" s="13"/>
      <c r="F183" s="14"/>
      <c r="G183" s="14"/>
      <c r="H183" s="14"/>
      <c r="I183" s="14"/>
      <c r="J183" s="14"/>
      <c r="K183" s="12"/>
    </row>
    <row r="184" ht="19.5" customHeight="1">
      <c r="A184" s="12"/>
      <c r="C184" s="12"/>
      <c r="D184" s="13"/>
      <c r="F184" s="14"/>
      <c r="G184" s="14"/>
      <c r="H184" s="14"/>
      <c r="I184" s="14"/>
      <c r="J184" s="14"/>
      <c r="K184" s="12"/>
    </row>
    <row r="185" ht="19.5" customHeight="1">
      <c r="A185" s="12"/>
      <c r="C185" s="12"/>
      <c r="D185" s="13"/>
      <c r="F185" s="14"/>
      <c r="G185" s="14"/>
      <c r="H185" s="14"/>
      <c r="I185" s="14"/>
      <c r="J185" s="14"/>
      <c r="K185" s="12"/>
    </row>
    <row r="186" ht="19.5" customHeight="1">
      <c r="A186" s="12"/>
      <c r="C186" s="12"/>
      <c r="D186" s="13"/>
      <c r="F186" s="14"/>
      <c r="G186" s="14"/>
      <c r="H186" s="14"/>
      <c r="I186" s="14"/>
      <c r="J186" s="14"/>
      <c r="K186" s="12"/>
    </row>
    <row r="187" ht="19.5" customHeight="1">
      <c r="A187" s="12"/>
      <c r="C187" s="12"/>
      <c r="D187" s="13"/>
      <c r="F187" s="14"/>
      <c r="G187" s="14"/>
      <c r="H187" s="14"/>
      <c r="I187" s="14"/>
      <c r="J187" s="14"/>
      <c r="K187" s="12"/>
    </row>
    <row r="188" ht="19.5" customHeight="1">
      <c r="A188" s="12"/>
      <c r="C188" s="12"/>
      <c r="D188" s="13"/>
      <c r="F188" s="14"/>
      <c r="G188" s="14"/>
      <c r="H188" s="14"/>
      <c r="I188" s="14"/>
      <c r="J188" s="14"/>
      <c r="K188" s="12"/>
    </row>
    <row r="189" ht="19.5" customHeight="1">
      <c r="A189" s="12"/>
      <c r="C189" s="12"/>
      <c r="D189" s="13"/>
      <c r="F189" s="14"/>
      <c r="G189" s="14"/>
      <c r="H189" s="14"/>
      <c r="I189" s="14"/>
      <c r="J189" s="14"/>
      <c r="K189" s="12"/>
    </row>
    <row r="190" ht="19.5" customHeight="1">
      <c r="A190" s="12"/>
      <c r="C190" s="12"/>
      <c r="D190" s="13"/>
      <c r="F190" s="14"/>
      <c r="G190" s="14"/>
      <c r="H190" s="14"/>
      <c r="I190" s="14"/>
      <c r="J190" s="14"/>
      <c r="K190" s="12"/>
    </row>
    <row r="191" ht="19.5" customHeight="1">
      <c r="A191" s="12"/>
      <c r="C191" s="12"/>
      <c r="D191" s="13"/>
      <c r="F191" s="14"/>
      <c r="G191" s="14"/>
      <c r="H191" s="14"/>
      <c r="I191" s="14"/>
      <c r="J191" s="14"/>
      <c r="K191" s="12"/>
    </row>
    <row r="192" ht="19.5" customHeight="1">
      <c r="A192" s="12"/>
      <c r="C192" s="12"/>
      <c r="D192" s="13"/>
      <c r="F192" s="14"/>
      <c r="G192" s="14"/>
      <c r="H192" s="14"/>
      <c r="I192" s="14"/>
      <c r="J192" s="14"/>
      <c r="K192" s="12"/>
    </row>
    <row r="193" ht="19.5" customHeight="1">
      <c r="A193" s="12"/>
      <c r="C193" s="12"/>
      <c r="D193" s="13"/>
      <c r="F193" s="14"/>
      <c r="G193" s="14"/>
      <c r="H193" s="14"/>
      <c r="I193" s="14"/>
      <c r="J193" s="14"/>
      <c r="K193" s="12"/>
    </row>
    <row r="194" ht="19.5" customHeight="1">
      <c r="A194" s="12"/>
      <c r="C194" s="12"/>
      <c r="D194" s="13"/>
      <c r="F194" s="14"/>
      <c r="G194" s="14"/>
      <c r="H194" s="14"/>
      <c r="I194" s="14"/>
      <c r="J194" s="14"/>
      <c r="K194" s="12"/>
    </row>
    <row r="195" ht="19.5" customHeight="1">
      <c r="A195" s="12"/>
      <c r="C195" s="12"/>
      <c r="D195" s="13"/>
      <c r="F195" s="14"/>
      <c r="G195" s="14"/>
      <c r="H195" s="14"/>
      <c r="I195" s="14"/>
      <c r="J195" s="14"/>
      <c r="K195" s="12"/>
    </row>
    <row r="196" ht="19.5" customHeight="1">
      <c r="A196" s="12"/>
      <c r="C196" s="12"/>
      <c r="D196" s="13"/>
      <c r="F196" s="14"/>
      <c r="G196" s="14"/>
      <c r="H196" s="14"/>
      <c r="I196" s="14"/>
      <c r="J196" s="14"/>
      <c r="K196" s="12"/>
    </row>
    <row r="197" ht="19.5" customHeight="1">
      <c r="A197" s="12"/>
      <c r="C197" s="12"/>
      <c r="D197" s="13"/>
      <c r="F197" s="14"/>
      <c r="G197" s="14"/>
      <c r="H197" s="14"/>
      <c r="I197" s="14"/>
      <c r="J197" s="14"/>
      <c r="K197" s="12"/>
    </row>
    <row r="198" ht="19.5" customHeight="1">
      <c r="A198" s="12"/>
      <c r="C198" s="12"/>
      <c r="D198" s="13"/>
      <c r="F198" s="14"/>
      <c r="G198" s="14"/>
      <c r="H198" s="14"/>
      <c r="I198" s="14"/>
      <c r="J198" s="14"/>
      <c r="K198" s="12"/>
    </row>
    <row r="199" ht="19.5" customHeight="1">
      <c r="A199" s="12"/>
      <c r="C199" s="12"/>
      <c r="D199" s="13"/>
      <c r="F199" s="14"/>
      <c r="G199" s="14"/>
      <c r="H199" s="14"/>
      <c r="I199" s="14"/>
      <c r="J199" s="14"/>
      <c r="K199" s="12"/>
    </row>
    <row r="200" ht="19.5" customHeight="1">
      <c r="A200" s="12"/>
      <c r="C200" s="12"/>
      <c r="D200" s="13"/>
      <c r="F200" s="14"/>
      <c r="G200" s="14"/>
      <c r="H200" s="14"/>
      <c r="I200" s="14"/>
      <c r="J200" s="14"/>
      <c r="K200" s="12"/>
    </row>
    <row r="201" ht="19.5" customHeight="1">
      <c r="A201" s="12"/>
      <c r="C201" s="12"/>
      <c r="D201" s="13"/>
      <c r="F201" s="14"/>
      <c r="G201" s="14"/>
      <c r="H201" s="14"/>
      <c r="I201" s="14"/>
      <c r="J201" s="14"/>
      <c r="K201" s="12"/>
    </row>
    <row r="202" ht="19.5" customHeight="1">
      <c r="A202" s="12"/>
      <c r="C202" s="12"/>
      <c r="D202" s="13"/>
      <c r="F202" s="14"/>
      <c r="G202" s="14"/>
      <c r="H202" s="14"/>
      <c r="I202" s="14"/>
      <c r="J202" s="14"/>
      <c r="K202" s="12"/>
    </row>
    <row r="203" ht="19.5" customHeight="1">
      <c r="A203" s="12"/>
      <c r="C203" s="12"/>
      <c r="D203" s="13"/>
      <c r="F203" s="14"/>
      <c r="G203" s="14"/>
      <c r="H203" s="14"/>
      <c r="I203" s="14"/>
      <c r="J203" s="14"/>
      <c r="K203" s="12"/>
    </row>
    <row r="204" ht="19.5" customHeight="1">
      <c r="A204" s="12"/>
      <c r="C204" s="12"/>
      <c r="D204" s="13"/>
      <c r="F204" s="14"/>
      <c r="G204" s="14"/>
      <c r="H204" s="14"/>
      <c r="I204" s="14"/>
      <c r="J204" s="14"/>
      <c r="K204" s="12"/>
    </row>
    <row r="205" ht="19.5" customHeight="1">
      <c r="A205" s="12"/>
      <c r="C205" s="12"/>
      <c r="D205" s="13"/>
      <c r="F205" s="14"/>
      <c r="G205" s="14"/>
      <c r="H205" s="14"/>
      <c r="I205" s="14"/>
      <c r="J205" s="14"/>
      <c r="K205" s="12"/>
    </row>
    <row r="206" ht="19.5" customHeight="1">
      <c r="A206" s="12"/>
      <c r="C206" s="12"/>
      <c r="D206" s="13"/>
      <c r="F206" s="14"/>
      <c r="G206" s="14"/>
      <c r="H206" s="14"/>
      <c r="I206" s="14"/>
      <c r="J206" s="14"/>
      <c r="K206" s="12"/>
    </row>
    <row r="207" ht="19.5" customHeight="1">
      <c r="A207" s="12"/>
      <c r="C207" s="12"/>
      <c r="D207" s="13"/>
      <c r="F207" s="14"/>
      <c r="G207" s="14"/>
      <c r="H207" s="14"/>
      <c r="I207" s="14"/>
      <c r="J207" s="14"/>
      <c r="K207" s="12"/>
    </row>
    <row r="208" ht="19.5" customHeight="1">
      <c r="A208" s="12"/>
      <c r="C208" s="12"/>
      <c r="D208" s="13"/>
      <c r="F208" s="14"/>
      <c r="G208" s="14"/>
      <c r="H208" s="14"/>
      <c r="I208" s="14"/>
      <c r="J208" s="14"/>
      <c r="K208" s="12"/>
    </row>
    <row r="209" ht="19.5" customHeight="1">
      <c r="A209" s="12"/>
      <c r="C209" s="12"/>
      <c r="D209" s="13"/>
      <c r="F209" s="14"/>
      <c r="G209" s="14"/>
      <c r="H209" s="14"/>
      <c r="I209" s="14"/>
      <c r="J209" s="14"/>
      <c r="K209" s="12"/>
    </row>
    <row r="210" ht="19.5" customHeight="1">
      <c r="A210" s="12"/>
      <c r="C210" s="12"/>
      <c r="D210" s="13"/>
      <c r="F210" s="14"/>
      <c r="G210" s="14"/>
      <c r="H210" s="14"/>
      <c r="I210" s="14"/>
      <c r="J210" s="14"/>
      <c r="K210" s="12"/>
    </row>
    <row r="211" ht="19.5" customHeight="1">
      <c r="A211" s="12"/>
      <c r="C211" s="12"/>
      <c r="D211" s="13"/>
      <c r="F211" s="14"/>
      <c r="G211" s="14"/>
      <c r="H211" s="14"/>
      <c r="I211" s="14"/>
      <c r="J211" s="14"/>
      <c r="K211" s="12"/>
    </row>
    <row r="212" ht="19.5" customHeight="1">
      <c r="A212" s="12"/>
      <c r="C212" s="12"/>
      <c r="D212" s="13"/>
      <c r="F212" s="14"/>
      <c r="G212" s="14"/>
      <c r="H212" s="14"/>
      <c r="I212" s="14"/>
      <c r="J212" s="14"/>
      <c r="K212" s="12"/>
    </row>
    <row r="213" ht="19.5" customHeight="1">
      <c r="A213" s="12"/>
      <c r="C213" s="12"/>
      <c r="D213" s="13"/>
      <c r="F213" s="14"/>
      <c r="G213" s="14"/>
      <c r="H213" s="14"/>
      <c r="I213" s="14"/>
      <c r="J213" s="14"/>
      <c r="K213" s="12"/>
    </row>
    <row r="214" ht="19.5" customHeight="1">
      <c r="A214" s="12"/>
      <c r="C214" s="12"/>
      <c r="D214" s="13"/>
      <c r="F214" s="14"/>
      <c r="G214" s="14"/>
      <c r="H214" s="14"/>
      <c r="I214" s="14"/>
      <c r="J214" s="14"/>
      <c r="K214" s="12"/>
    </row>
    <row r="215" ht="19.5" customHeight="1">
      <c r="A215" s="12"/>
      <c r="C215" s="12"/>
      <c r="D215" s="13"/>
      <c r="F215" s="14"/>
      <c r="G215" s="14"/>
      <c r="H215" s="14"/>
      <c r="I215" s="14"/>
      <c r="J215" s="14"/>
      <c r="K215" s="12"/>
    </row>
    <row r="216" ht="19.5" customHeight="1">
      <c r="A216" s="12"/>
      <c r="C216" s="12"/>
      <c r="D216" s="13"/>
      <c r="F216" s="14"/>
      <c r="G216" s="14"/>
      <c r="H216" s="14"/>
      <c r="I216" s="14"/>
      <c r="J216" s="14"/>
      <c r="K216" s="12"/>
    </row>
    <row r="217" ht="19.5" customHeight="1">
      <c r="A217" s="12"/>
      <c r="C217" s="12"/>
      <c r="D217" s="13"/>
      <c r="F217" s="14"/>
      <c r="G217" s="14"/>
      <c r="H217" s="14"/>
      <c r="I217" s="14"/>
      <c r="J217" s="14"/>
      <c r="K217" s="12"/>
    </row>
    <row r="218" ht="19.5" customHeight="1">
      <c r="A218" s="12"/>
      <c r="C218" s="12"/>
      <c r="D218" s="13"/>
      <c r="F218" s="14"/>
      <c r="G218" s="14"/>
      <c r="H218" s="14"/>
      <c r="I218" s="14"/>
      <c r="J218" s="14"/>
      <c r="K218" s="12"/>
    </row>
    <row r="219" ht="19.5" customHeight="1">
      <c r="A219" s="12"/>
      <c r="C219" s="12"/>
      <c r="D219" s="13"/>
      <c r="F219" s="14"/>
      <c r="G219" s="14"/>
      <c r="H219" s="14"/>
      <c r="I219" s="14"/>
      <c r="J219" s="14"/>
      <c r="K219" s="12"/>
    </row>
    <row r="220" ht="19.5" customHeight="1">
      <c r="A220" s="12"/>
      <c r="C220" s="12"/>
      <c r="D220" s="13"/>
      <c r="F220" s="14"/>
      <c r="G220" s="14"/>
      <c r="H220" s="14"/>
      <c r="I220" s="14"/>
      <c r="J220" s="14"/>
      <c r="K220" s="12"/>
    </row>
    <row r="221" ht="19.5" customHeight="1">
      <c r="A221" s="12"/>
      <c r="C221" s="12"/>
      <c r="D221" s="13"/>
      <c r="F221" s="14"/>
      <c r="G221" s="14"/>
      <c r="H221" s="14"/>
      <c r="I221" s="14"/>
      <c r="J221" s="14"/>
      <c r="K221" s="12"/>
    </row>
    <row r="222" ht="19.5" customHeight="1">
      <c r="A222" s="12"/>
      <c r="C222" s="12"/>
      <c r="D222" s="13"/>
      <c r="F222" s="14"/>
      <c r="G222" s="14"/>
      <c r="H222" s="14"/>
      <c r="I222" s="14"/>
      <c r="J222" s="14"/>
      <c r="K222" s="12"/>
    </row>
    <row r="223" ht="19.5" customHeight="1">
      <c r="A223" s="12"/>
      <c r="C223" s="12"/>
      <c r="D223" s="13"/>
      <c r="F223" s="14"/>
      <c r="G223" s="14"/>
      <c r="H223" s="14"/>
      <c r="I223" s="14"/>
      <c r="J223" s="14"/>
      <c r="K223" s="12"/>
    </row>
    <row r="224" ht="19.5" customHeight="1">
      <c r="A224" s="12"/>
      <c r="C224" s="12"/>
      <c r="D224" s="13"/>
      <c r="F224" s="14"/>
      <c r="G224" s="14"/>
      <c r="H224" s="14"/>
      <c r="I224" s="14"/>
      <c r="J224" s="14"/>
      <c r="K224" s="12"/>
    </row>
    <row r="225" ht="19.5" customHeight="1">
      <c r="A225" s="12"/>
      <c r="C225" s="12"/>
      <c r="D225" s="13"/>
      <c r="F225" s="14"/>
      <c r="G225" s="14"/>
      <c r="H225" s="14"/>
      <c r="I225" s="14"/>
      <c r="J225" s="14"/>
      <c r="K225" s="12"/>
    </row>
    <row r="226" ht="19.5" customHeight="1">
      <c r="A226" s="12"/>
      <c r="C226" s="12"/>
      <c r="D226" s="13"/>
      <c r="F226" s="14"/>
      <c r="G226" s="14"/>
      <c r="H226" s="14"/>
      <c r="I226" s="14"/>
      <c r="J226" s="14"/>
      <c r="K226" s="12"/>
    </row>
    <row r="227" ht="19.5" customHeight="1">
      <c r="A227" s="12"/>
      <c r="C227" s="12"/>
      <c r="D227" s="13"/>
      <c r="F227" s="14"/>
      <c r="G227" s="14"/>
      <c r="H227" s="14"/>
      <c r="I227" s="14"/>
      <c r="J227" s="14"/>
      <c r="K227" s="12"/>
    </row>
    <row r="228" ht="19.5" customHeight="1">
      <c r="A228" s="12"/>
      <c r="C228" s="12"/>
      <c r="D228" s="13"/>
      <c r="F228" s="14"/>
      <c r="G228" s="14"/>
      <c r="H228" s="14"/>
      <c r="I228" s="14"/>
      <c r="J228" s="14"/>
      <c r="K228" s="12"/>
    </row>
    <row r="229" ht="19.5" customHeight="1">
      <c r="A229" s="12"/>
      <c r="C229" s="12"/>
      <c r="D229" s="13"/>
      <c r="F229" s="14"/>
      <c r="G229" s="14"/>
      <c r="H229" s="14"/>
      <c r="I229" s="14"/>
      <c r="J229" s="14"/>
      <c r="K229" s="12"/>
    </row>
    <row r="230" ht="19.5" customHeight="1">
      <c r="A230" s="12"/>
      <c r="C230" s="12"/>
      <c r="D230" s="13"/>
      <c r="F230" s="14"/>
      <c r="G230" s="14"/>
      <c r="H230" s="14"/>
      <c r="I230" s="14"/>
      <c r="J230" s="14"/>
      <c r="K230" s="12"/>
    </row>
    <row r="231" ht="19.5" customHeight="1">
      <c r="A231" s="12"/>
      <c r="C231" s="12"/>
      <c r="D231" s="13"/>
      <c r="F231" s="14"/>
      <c r="G231" s="14"/>
      <c r="H231" s="14"/>
      <c r="I231" s="14"/>
      <c r="J231" s="14"/>
      <c r="K231" s="12"/>
    </row>
    <row r="232" ht="19.5" customHeight="1">
      <c r="A232" s="12"/>
      <c r="C232" s="12"/>
      <c r="D232" s="13"/>
      <c r="F232" s="14"/>
      <c r="G232" s="14"/>
      <c r="H232" s="14"/>
      <c r="I232" s="14"/>
      <c r="J232" s="14"/>
      <c r="K232" s="12"/>
    </row>
    <row r="233" ht="19.5" customHeight="1">
      <c r="A233" s="12"/>
      <c r="C233" s="12"/>
      <c r="D233" s="13"/>
      <c r="F233" s="14"/>
      <c r="G233" s="14"/>
      <c r="H233" s="14"/>
      <c r="I233" s="14"/>
      <c r="J233" s="14"/>
      <c r="K233" s="12"/>
    </row>
    <row r="234" ht="19.5" customHeight="1">
      <c r="A234" s="12"/>
      <c r="C234" s="12"/>
      <c r="D234" s="13"/>
      <c r="F234" s="14"/>
      <c r="G234" s="14"/>
      <c r="H234" s="14"/>
      <c r="I234" s="14"/>
      <c r="J234" s="14"/>
      <c r="K234" s="12"/>
    </row>
    <row r="235" ht="19.5" customHeight="1">
      <c r="A235" s="12"/>
      <c r="C235" s="12"/>
      <c r="D235" s="13"/>
      <c r="F235" s="14"/>
      <c r="G235" s="14"/>
      <c r="H235" s="14"/>
      <c r="I235" s="14"/>
      <c r="J235" s="14"/>
      <c r="K235" s="12"/>
    </row>
    <row r="236" ht="19.5" customHeight="1">
      <c r="A236" s="12"/>
      <c r="C236" s="12"/>
      <c r="D236" s="13"/>
      <c r="F236" s="14"/>
      <c r="G236" s="14"/>
      <c r="H236" s="14"/>
      <c r="I236" s="14"/>
      <c r="J236" s="14"/>
      <c r="K236" s="12"/>
    </row>
    <row r="237" ht="19.5" customHeight="1">
      <c r="A237" s="12"/>
      <c r="C237" s="12"/>
      <c r="D237" s="13"/>
      <c r="F237" s="14"/>
      <c r="G237" s="14"/>
      <c r="H237" s="14"/>
      <c r="I237" s="14"/>
      <c r="J237" s="14"/>
      <c r="K237" s="12"/>
    </row>
    <row r="238" ht="19.5" customHeight="1">
      <c r="A238" s="12"/>
      <c r="C238" s="12"/>
      <c r="D238" s="13"/>
      <c r="F238" s="14"/>
      <c r="G238" s="14"/>
      <c r="H238" s="14"/>
      <c r="I238" s="14"/>
      <c r="J238" s="14"/>
      <c r="K238" s="12"/>
    </row>
    <row r="239" ht="19.5" customHeight="1">
      <c r="A239" s="12"/>
      <c r="C239" s="12"/>
      <c r="D239" s="13"/>
      <c r="F239" s="14"/>
      <c r="G239" s="14"/>
      <c r="H239" s="14"/>
      <c r="I239" s="14"/>
      <c r="J239" s="14"/>
      <c r="K239" s="12"/>
    </row>
    <row r="240" ht="19.5" customHeight="1">
      <c r="A240" s="12"/>
      <c r="C240" s="12"/>
      <c r="D240" s="13"/>
      <c r="F240" s="14"/>
      <c r="G240" s="14"/>
      <c r="H240" s="14"/>
      <c r="I240" s="14"/>
      <c r="J240" s="14"/>
      <c r="K240" s="12"/>
    </row>
    <row r="241" ht="19.5" customHeight="1">
      <c r="A241" s="12"/>
      <c r="C241" s="12"/>
      <c r="D241" s="13"/>
      <c r="F241" s="14"/>
      <c r="G241" s="14"/>
      <c r="H241" s="14"/>
      <c r="I241" s="14"/>
      <c r="J241" s="14"/>
      <c r="K241" s="12"/>
    </row>
    <row r="242" ht="19.5" customHeight="1">
      <c r="A242" s="12"/>
      <c r="C242" s="12"/>
      <c r="D242" s="13"/>
      <c r="F242" s="14"/>
      <c r="G242" s="14"/>
      <c r="H242" s="14"/>
      <c r="I242" s="14"/>
      <c r="J242" s="14"/>
      <c r="K242" s="12"/>
    </row>
    <row r="243" ht="19.5" customHeight="1">
      <c r="A243" s="12"/>
      <c r="C243" s="12"/>
      <c r="D243" s="13"/>
      <c r="F243" s="14"/>
      <c r="G243" s="14"/>
      <c r="H243" s="14"/>
      <c r="I243" s="14"/>
      <c r="J243" s="14"/>
      <c r="K243" s="12"/>
    </row>
    <row r="244" ht="19.5" customHeight="1">
      <c r="A244" s="12"/>
      <c r="C244" s="12"/>
      <c r="D244" s="13"/>
      <c r="F244" s="14"/>
      <c r="G244" s="14"/>
      <c r="H244" s="14"/>
      <c r="I244" s="14"/>
      <c r="J244" s="14"/>
      <c r="K244" s="12"/>
    </row>
    <row r="245" ht="19.5" customHeight="1">
      <c r="A245" s="12"/>
      <c r="C245" s="12"/>
      <c r="D245" s="13"/>
      <c r="F245" s="14"/>
      <c r="G245" s="14"/>
      <c r="H245" s="14"/>
      <c r="I245" s="14"/>
      <c r="J245" s="14"/>
      <c r="K245" s="12"/>
    </row>
    <row r="246" ht="19.5" customHeight="1">
      <c r="A246" s="12"/>
      <c r="C246" s="12"/>
      <c r="D246" s="13"/>
      <c r="F246" s="14"/>
      <c r="G246" s="14"/>
      <c r="H246" s="14"/>
      <c r="I246" s="14"/>
      <c r="J246" s="14"/>
      <c r="K246" s="12"/>
    </row>
    <row r="247" ht="19.5" customHeight="1">
      <c r="A247" s="12"/>
      <c r="C247" s="12"/>
      <c r="D247" s="13"/>
      <c r="F247" s="14"/>
      <c r="G247" s="14"/>
      <c r="H247" s="14"/>
      <c r="I247" s="14"/>
      <c r="J247" s="14"/>
      <c r="K247" s="12"/>
    </row>
    <row r="248" ht="19.5" customHeight="1">
      <c r="A248" s="12"/>
      <c r="C248" s="12"/>
      <c r="D248" s="13"/>
      <c r="F248" s="14"/>
      <c r="G248" s="14"/>
      <c r="H248" s="14"/>
      <c r="I248" s="14"/>
      <c r="J248" s="14"/>
      <c r="K248" s="12"/>
    </row>
    <row r="249" ht="19.5" customHeight="1">
      <c r="A249" s="12"/>
      <c r="C249" s="12"/>
      <c r="D249" s="13"/>
      <c r="F249" s="14"/>
      <c r="G249" s="14"/>
      <c r="H249" s="14"/>
      <c r="I249" s="14"/>
      <c r="J249" s="14"/>
      <c r="K249" s="12"/>
    </row>
    <row r="250" ht="19.5" customHeight="1">
      <c r="A250" s="12"/>
      <c r="C250" s="12"/>
      <c r="D250" s="13"/>
      <c r="F250" s="14"/>
      <c r="G250" s="14"/>
      <c r="H250" s="14"/>
      <c r="I250" s="14"/>
      <c r="J250" s="14"/>
      <c r="K250" s="12"/>
    </row>
    <row r="251" ht="19.5" customHeight="1">
      <c r="A251" s="12"/>
      <c r="C251" s="12"/>
      <c r="D251" s="13"/>
      <c r="F251" s="14"/>
      <c r="G251" s="14"/>
      <c r="H251" s="14"/>
      <c r="I251" s="14"/>
      <c r="J251" s="14"/>
      <c r="K251" s="12"/>
    </row>
    <row r="252" ht="19.5" customHeight="1">
      <c r="A252" s="12"/>
      <c r="C252" s="12"/>
      <c r="D252" s="13"/>
      <c r="F252" s="14"/>
      <c r="G252" s="14"/>
      <c r="H252" s="14"/>
      <c r="I252" s="14"/>
      <c r="J252" s="14"/>
      <c r="K252" s="12"/>
    </row>
    <row r="253" ht="19.5" customHeight="1">
      <c r="A253" s="12"/>
      <c r="C253" s="12"/>
      <c r="D253" s="13"/>
      <c r="F253" s="14"/>
      <c r="G253" s="14"/>
      <c r="H253" s="14"/>
      <c r="I253" s="14"/>
      <c r="J253" s="14"/>
      <c r="K253" s="12"/>
    </row>
    <row r="254" ht="19.5" customHeight="1">
      <c r="A254" s="12"/>
      <c r="C254" s="12"/>
      <c r="D254" s="13"/>
      <c r="F254" s="14"/>
      <c r="G254" s="14"/>
      <c r="H254" s="14"/>
      <c r="I254" s="14"/>
      <c r="J254" s="14"/>
      <c r="K254" s="12"/>
    </row>
    <row r="255" ht="19.5" customHeight="1">
      <c r="A255" s="12"/>
      <c r="C255" s="12"/>
      <c r="D255" s="13"/>
      <c r="F255" s="14"/>
      <c r="G255" s="14"/>
      <c r="H255" s="14"/>
      <c r="I255" s="14"/>
      <c r="J255" s="14"/>
      <c r="K255" s="12"/>
    </row>
    <row r="256" ht="19.5" customHeight="1">
      <c r="A256" s="12"/>
      <c r="C256" s="12"/>
      <c r="D256" s="13"/>
      <c r="F256" s="14"/>
      <c r="G256" s="14"/>
      <c r="H256" s="14"/>
      <c r="I256" s="14"/>
      <c r="J256" s="14"/>
      <c r="K256" s="12"/>
    </row>
    <row r="257" ht="19.5" customHeight="1">
      <c r="A257" s="12"/>
      <c r="C257" s="12"/>
      <c r="D257" s="13"/>
      <c r="F257" s="14"/>
      <c r="G257" s="14"/>
      <c r="H257" s="14"/>
      <c r="I257" s="14"/>
      <c r="J257" s="14"/>
      <c r="K257" s="12"/>
    </row>
    <row r="258" ht="19.5" customHeight="1">
      <c r="A258" s="12"/>
      <c r="C258" s="12"/>
      <c r="D258" s="13"/>
      <c r="F258" s="14"/>
      <c r="G258" s="14"/>
      <c r="H258" s="14"/>
      <c r="I258" s="14"/>
      <c r="J258" s="14"/>
      <c r="K258" s="12"/>
    </row>
    <row r="259" ht="19.5" customHeight="1">
      <c r="A259" s="12"/>
      <c r="C259" s="12"/>
      <c r="D259" s="13"/>
      <c r="F259" s="14"/>
      <c r="G259" s="14"/>
      <c r="H259" s="14"/>
      <c r="I259" s="14"/>
      <c r="J259" s="14"/>
      <c r="K259" s="12"/>
    </row>
    <row r="260" ht="19.5" customHeight="1">
      <c r="A260" s="12"/>
      <c r="C260" s="12"/>
      <c r="D260" s="13"/>
      <c r="F260" s="14"/>
      <c r="G260" s="14"/>
      <c r="H260" s="14"/>
      <c r="I260" s="14"/>
      <c r="J260" s="14"/>
      <c r="K260" s="12"/>
    </row>
    <row r="261" ht="19.5" customHeight="1">
      <c r="A261" s="12"/>
      <c r="C261" s="12"/>
      <c r="D261" s="13"/>
      <c r="F261" s="14"/>
      <c r="G261" s="14"/>
      <c r="H261" s="14"/>
      <c r="I261" s="14"/>
      <c r="J261" s="14"/>
      <c r="K261" s="12"/>
    </row>
    <row r="262" ht="19.5" customHeight="1">
      <c r="A262" s="12"/>
      <c r="C262" s="12"/>
      <c r="D262" s="13"/>
      <c r="F262" s="14"/>
      <c r="G262" s="14"/>
      <c r="H262" s="14"/>
      <c r="I262" s="14"/>
      <c r="J262" s="14"/>
      <c r="K262" s="12"/>
    </row>
    <row r="263" ht="19.5" customHeight="1">
      <c r="A263" s="12"/>
      <c r="C263" s="12"/>
      <c r="D263" s="13"/>
      <c r="F263" s="14"/>
      <c r="G263" s="14"/>
      <c r="H263" s="14"/>
      <c r="I263" s="14"/>
      <c r="J263" s="14"/>
      <c r="K263" s="12"/>
    </row>
    <row r="264" ht="19.5" customHeight="1">
      <c r="A264" s="12"/>
      <c r="C264" s="12"/>
      <c r="D264" s="13"/>
      <c r="F264" s="14"/>
      <c r="G264" s="14"/>
      <c r="H264" s="14"/>
      <c r="I264" s="14"/>
      <c r="J264" s="14"/>
      <c r="K264" s="12"/>
    </row>
    <row r="265" ht="19.5" customHeight="1">
      <c r="A265" s="12"/>
      <c r="C265" s="12"/>
      <c r="D265" s="13"/>
      <c r="F265" s="14"/>
      <c r="G265" s="14"/>
      <c r="H265" s="14"/>
      <c r="I265" s="14"/>
      <c r="J265" s="14"/>
      <c r="K265" s="12"/>
    </row>
    <row r="266" ht="19.5" customHeight="1">
      <c r="A266" s="12"/>
      <c r="C266" s="12"/>
      <c r="D266" s="13"/>
      <c r="F266" s="14"/>
      <c r="G266" s="14"/>
      <c r="H266" s="14"/>
      <c r="I266" s="14"/>
      <c r="J266" s="14"/>
      <c r="K266" s="12"/>
    </row>
    <row r="267" ht="19.5" customHeight="1">
      <c r="A267" s="12"/>
      <c r="C267" s="12"/>
      <c r="D267" s="13"/>
      <c r="F267" s="14"/>
      <c r="G267" s="14"/>
      <c r="H267" s="14"/>
      <c r="I267" s="14"/>
      <c r="J267" s="14"/>
      <c r="K267" s="12"/>
    </row>
    <row r="268" ht="19.5" customHeight="1">
      <c r="A268" s="12"/>
      <c r="C268" s="12"/>
      <c r="D268" s="13"/>
      <c r="F268" s="14"/>
      <c r="G268" s="14"/>
      <c r="H268" s="14"/>
      <c r="I268" s="14"/>
      <c r="J268" s="14"/>
      <c r="K268" s="12"/>
    </row>
    <row r="269" ht="19.5" customHeight="1">
      <c r="A269" s="12"/>
      <c r="C269" s="12"/>
      <c r="D269" s="13"/>
      <c r="F269" s="14"/>
      <c r="G269" s="14"/>
      <c r="H269" s="14"/>
      <c r="I269" s="14"/>
      <c r="J269" s="14"/>
      <c r="K269" s="12"/>
    </row>
    <row r="270" ht="19.5" customHeight="1">
      <c r="A270" s="12"/>
      <c r="C270" s="12"/>
      <c r="D270" s="13"/>
      <c r="F270" s="14"/>
      <c r="G270" s="14"/>
      <c r="H270" s="14"/>
      <c r="I270" s="14"/>
      <c r="J270" s="14"/>
      <c r="K270" s="12"/>
    </row>
    <row r="271" ht="19.5" customHeight="1">
      <c r="A271" s="12"/>
      <c r="C271" s="12"/>
      <c r="D271" s="13"/>
      <c r="F271" s="14"/>
      <c r="G271" s="14"/>
      <c r="H271" s="14"/>
      <c r="I271" s="14"/>
      <c r="J271" s="14"/>
      <c r="K271" s="12"/>
    </row>
    <row r="272" ht="19.5" customHeight="1">
      <c r="A272" s="12"/>
      <c r="C272" s="12"/>
      <c r="D272" s="13"/>
      <c r="F272" s="14"/>
      <c r="G272" s="14"/>
      <c r="H272" s="14"/>
      <c r="I272" s="14"/>
      <c r="J272" s="14"/>
      <c r="K272" s="12"/>
    </row>
    <row r="273" ht="19.5" customHeight="1">
      <c r="A273" s="12"/>
      <c r="C273" s="12"/>
      <c r="D273" s="13"/>
      <c r="F273" s="14"/>
      <c r="G273" s="14"/>
      <c r="H273" s="14"/>
      <c r="I273" s="14"/>
      <c r="J273" s="14"/>
      <c r="K273" s="12"/>
    </row>
    <row r="274" ht="19.5" customHeight="1">
      <c r="A274" s="12"/>
      <c r="C274" s="12"/>
      <c r="D274" s="13"/>
      <c r="F274" s="14"/>
      <c r="G274" s="14"/>
      <c r="H274" s="14"/>
      <c r="I274" s="14"/>
      <c r="J274" s="14"/>
      <c r="K274" s="12"/>
    </row>
    <row r="275" ht="19.5" customHeight="1">
      <c r="A275" s="12"/>
      <c r="C275" s="12"/>
      <c r="D275" s="13"/>
      <c r="F275" s="14"/>
      <c r="G275" s="14"/>
      <c r="H275" s="14"/>
      <c r="I275" s="14"/>
      <c r="J275" s="14"/>
      <c r="K275" s="12"/>
    </row>
    <row r="276" ht="19.5" customHeight="1">
      <c r="A276" s="12"/>
      <c r="C276" s="12"/>
      <c r="D276" s="13"/>
      <c r="F276" s="14"/>
      <c r="G276" s="14"/>
      <c r="H276" s="14"/>
      <c r="I276" s="14"/>
      <c r="J276" s="14"/>
      <c r="K276" s="12"/>
    </row>
    <row r="277" ht="19.5" customHeight="1">
      <c r="A277" s="12"/>
      <c r="C277" s="12"/>
      <c r="D277" s="13"/>
      <c r="F277" s="14"/>
      <c r="G277" s="14"/>
      <c r="H277" s="14"/>
      <c r="I277" s="14"/>
      <c r="J277" s="14"/>
      <c r="K277" s="12"/>
    </row>
    <row r="278" ht="19.5" customHeight="1">
      <c r="A278" s="12"/>
      <c r="C278" s="12"/>
      <c r="D278" s="13"/>
      <c r="F278" s="14"/>
      <c r="G278" s="14"/>
      <c r="H278" s="14"/>
      <c r="I278" s="14"/>
      <c r="J278" s="14"/>
      <c r="K278" s="12"/>
    </row>
    <row r="279" ht="19.5" customHeight="1">
      <c r="A279" s="12"/>
      <c r="C279" s="12"/>
      <c r="D279" s="13"/>
      <c r="F279" s="14"/>
      <c r="G279" s="14"/>
      <c r="H279" s="14"/>
      <c r="I279" s="14"/>
      <c r="J279" s="14"/>
      <c r="K279" s="12"/>
    </row>
    <row r="280" ht="19.5" customHeight="1">
      <c r="A280" s="12"/>
      <c r="C280" s="12"/>
      <c r="D280" s="13"/>
      <c r="F280" s="14"/>
      <c r="G280" s="14"/>
      <c r="H280" s="14"/>
      <c r="I280" s="14"/>
      <c r="J280" s="14"/>
      <c r="K280" s="12"/>
    </row>
    <row r="281" ht="19.5" customHeight="1">
      <c r="A281" s="12"/>
      <c r="C281" s="12"/>
      <c r="D281" s="13"/>
      <c r="F281" s="14"/>
      <c r="G281" s="14"/>
      <c r="H281" s="14"/>
      <c r="I281" s="14"/>
      <c r="J281" s="14"/>
      <c r="K281" s="12"/>
    </row>
    <row r="282" ht="19.5" customHeight="1">
      <c r="A282" s="12"/>
      <c r="C282" s="12"/>
      <c r="D282" s="13"/>
      <c r="F282" s="14"/>
      <c r="G282" s="14"/>
      <c r="H282" s="14"/>
      <c r="I282" s="14"/>
      <c r="J282" s="14"/>
      <c r="K282" s="12"/>
    </row>
    <row r="283" ht="19.5" customHeight="1">
      <c r="A283" s="12"/>
      <c r="C283" s="12"/>
      <c r="D283" s="13"/>
      <c r="F283" s="14"/>
      <c r="G283" s="14"/>
      <c r="H283" s="14"/>
      <c r="I283" s="14"/>
      <c r="J283" s="14"/>
      <c r="K283" s="12"/>
    </row>
    <row r="284" ht="19.5" customHeight="1">
      <c r="A284" s="12"/>
      <c r="C284" s="12"/>
      <c r="D284" s="13"/>
      <c r="F284" s="14"/>
      <c r="G284" s="14"/>
      <c r="H284" s="14"/>
      <c r="I284" s="14"/>
      <c r="J284" s="14"/>
      <c r="K284" s="12"/>
    </row>
    <row r="285" ht="19.5" customHeight="1">
      <c r="A285" s="12"/>
      <c r="C285" s="12"/>
      <c r="D285" s="13"/>
      <c r="F285" s="14"/>
      <c r="G285" s="14"/>
      <c r="H285" s="14"/>
      <c r="I285" s="14"/>
      <c r="J285" s="14"/>
      <c r="K285" s="12"/>
    </row>
    <row r="286" ht="19.5" customHeight="1">
      <c r="A286" s="12"/>
      <c r="C286" s="12"/>
      <c r="D286" s="13"/>
      <c r="F286" s="14"/>
      <c r="G286" s="14"/>
      <c r="H286" s="14"/>
      <c r="I286" s="14"/>
      <c r="J286" s="14"/>
      <c r="K286" s="12"/>
    </row>
    <row r="287" ht="19.5" customHeight="1">
      <c r="A287" s="12"/>
      <c r="C287" s="12"/>
      <c r="D287" s="13"/>
      <c r="F287" s="14"/>
      <c r="G287" s="14"/>
      <c r="H287" s="14"/>
      <c r="I287" s="14"/>
      <c r="J287" s="14"/>
      <c r="K287" s="12"/>
    </row>
    <row r="288" ht="19.5" customHeight="1">
      <c r="A288" s="12"/>
      <c r="C288" s="12"/>
      <c r="D288" s="13"/>
      <c r="F288" s="14"/>
      <c r="G288" s="14"/>
      <c r="H288" s="14"/>
      <c r="I288" s="14"/>
      <c r="J288" s="14"/>
      <c r="K288" s="12"/>
    </row>
    <row r="289" ht="19.5" customHeight="1">
      <c r="A289" s="12"/>
      <c r="C289" s="12"/>
      <c r="D289" s="13"/>
      <c r="F289" s="14"/>
      <c r="G289" s="14"/>
      <c r="H289" s="14"/>
      <c r="I289" s="14"/>
      <c r="J289" s="14"/>
      <c r="K289" s="12"/>
    </row>
    <row r="290" ht="19.5" customHeight="1">
      <c r="A290" s="12"/>
      <c r="C290" s="12"/>
      <c r="D290" s="13"/>
      <c r="F290" s="14"/>
      <c r="G290" s="14"/>
      <c r="H290" s="14"/>
      <c r="I290" s="14"/>
      <c r="J290" s="14"/>
      <c r="K290" s="12"/>
    </row>
    <row r="291" ht="19.5" customHeight="1">
      <c r="A291" s="12"/>
      <c r="C291" s="12"/>
      <c r="D291" s="13"/>
      <c r="F291" s="14"/>
      <c r="G291" s="14"/>
      <c r="H291" s="14"/>
      <c r="I291" s="14"/>
      <c r="J291" s="14"/>
      <c r="K291" s="12"/>
    </row>
    <row r="292" ht="19.5" customHeight="1">
      <c r="A292" s="12"/>
      <c r="C292" s="12"/>
      <c r="D292" s="13"/>
      <c r="F292" s="14"/>
      <c r="G292" s="14"/>
      <c r="H292" s="14"/>
      <c r="I292" s="14"/>
      <c r="J292" s="14"/>
      <c r="K292" s="12"/>
    </row>
    <row r="293" ht="19.5" customHeight="1">
      <c r="A293" s="12"/>
      <c r="C293" s="12"/>
      <c r="D293" s="13"/>
      <c r="F293" s="14"/>
      <c r="G293" s="14"/>
      <c r="H293" s="14"/>
      <c r="I293" s="14"/>
      <c r="J293" s="14"/>
      <c r="K293" s="12"/>
    </row>
    <row r="294" ht="19.5" customHeight="1">
      <c r="A294" s="12"/>
      <c r="C294" s="12"/>
      <c r="D294" s="13"/>
      <c r="F294" s="14"/>
      <c r="G294" s="14"/>
      <c r="H294" s="14"/>
      <c r="I294" s="14"/>
      <c r="J294" s="14"/>
      <c r="K294" s="12"/>
    </row>
    <row r="295" ht="19.5" customHeight="1">
      <c r="A295" s="12"/>
      <c r="C295" s="12"/>
      <c r="D295" s="13"/>
      <c r="F295" s="14"/>
      <c r="G295" s="14"/>
      <c r="H295" s="14"/>
      <c r="I295" s="14"/>
      <c r="J295" s="14"/>
      <c r="K295" s="12"/>
    </row>
    <row r="296" ht="19.5" customHeight="1">
      <c r="A296" s="12"/>
      <c r="C296" s="12"/>
      <c r="D296" s="13"/>
      <c r="F296" s="14"/>
      <c r="G296" s="14"/>
      <c r="H296" s="14"/>
      <c r="I296" s="14"/>
      <c r="J296" s="14"/>
      <c r="K296" s="12"/>
    </row>
    <row r="297" ht="19.5" customHeight="1">
      <c r="A297" s="12"/>
      <c r="C297" s="12"/>
      <c r="D297" s="13"/>
      <c r="F297" s="14"/>
      <c r="G297" s="14"/>
      <c r="H297" s="14"/>
      <c r="I297" s="14"/>
      <c r="J297" s="14"/>
      <c r="K297" s="12"/>
    </row>
    <row r="298" ht="19.5" customHeight="1">
      <c r="A298" s="12"/>
      <c r="C298" s="12"/>
      <c r="D298" s="13"/>
      <c r="F298" s="14"/>
      <c r="G298" s="14"/>
      <c r="H298" s="14"/>
      <c r="I298" s="14"/>
      <c r="J298" s="14"/>
      <c r="K298" s="12"/>
    </row>
    <row r="299" ht="19.5" customHeight="1">
      <c r="A299" s="12"/>
      <c r="C299" s="12"/>
      <c r="D299" s="13"/>
      <c r="F299" s="14"/>
      <c r="G299" s="14"/>
      <c r="H299" s="14"/>
      <c r="I299" s="14"/>
      <c r="J299" s="14"/>
      <c r="K299" s="12"/>
    </row>
    <row r="300" ht="19.5" customHeight="1">
      <c r="A300" s="12"/>
      <c r="C300" s="12"/>
      <c r="D300" s="13"/>
      <c r="F300" s="14"/>
      <c r="G300" s="14"/>
      <c r="H300" s="14"/>
      <c r="I300" s="14"/>
      <c r="J300" s="14"/>
      <c r="K300" s="12"/>
    </row>
    <row r="301" ht="19.5" customHeight="1">
      <c r="A301" s="12"/>
      <c r="C301" s="12"/>
      <c r="D301" s="13"/>
      <c r="F301" s="14"/>
      <c r="G301" s="14"/>
      <c r="H301" s="14"/>
      <c r="I301" s="14"/>
      <c r="J301" s="14"/>
      <c r="K301" s="12"/>
    </row>
    <row r="302" ht="19.5" customHeight="1">
      <c r="A302" s="12"/>
      <c r="C302" s="12"/>
      <c r="D302" s="13"/>
      <c r="F302" s="14"/>
      <c r="G302" s="14"/>
      <c r="H302" s="14"/>
      <c r="I302" s="14"/>
      <c r="J302" s="14"/>
      <c r="K302" s="12"/>
    </row>
    <row r="303" ht="19.5" customHeight="1">
      <c r="A303" s="12"/>
      <c r="C303" s="12"/>
      <c r="D303" s="13"/>
      <c r="F303" s="14"/>
      <c r="G303" s="14"/>
      <c r="H303" s="14"/>
      <c r="I303" s="14"/>
      <c r="J303" s="14"/>
      <c r="K303" s="12"/>
    </row>
    <row r="304" ht="19.5" customHeight="1">
      <c r="A304" s="12"/>
      <c r="C304" s="12"/>
      <c r="D304" s="13"/>
      <c r="F304" s="14"/>
      <c r="G304" s="14"/>
      <c r="H304" s="14"/>
      <c r="I304" s="14"/>
      <c r="J304" s="14"/>
      <c r="K304" s="12"/>
    </row>
    <row r="305" ht="19.5" customHeight="1">
      <c r="A305" s="12"/>
      <c r="C305" s="12"/>
      <c r="D305" s="13"/>
      <c r="F305" s="14"/>
      <c r="G305" s="14"/>
      <c r="H305" s="14"/>
      <c r="I305" s="14"/>
      <c r="J305" s="14"/>
      <c r="K305" s="12"/>
    </row>
    <row r="306" ht="19.5" customHeight="1">
      <c r="A306" s="12"/>
      <c r="C306" s="12"/>
      <c r="D306" s="13"/>
      <c r="F306" s="14"/>
      <c r="G306" s="14"/>
      <c r="H306" s="14"/>
      <c r="I306" s="14"/>
      <c r="J306" s="14"/>
      <c r="K306" s="12"/>
    </row>
    <row r="307" ht="19.5" customHeight="1">
      <c r="A307" s="12"/>
      <c r="C307" s="12"/>
      <c r="D307" s="13"/>
      <c r="F307" s="14"/>
      <c r="G307" s="14"/>
      <c r="H307" s="14"/>
      <c r="I307" s="14"/>
      <c r="J307" s="14"/>
      <c r="K307" s="12"/>
    </row>
    <row r="308" ht="19.5" customHeight="1">
      <c r="A308" s="12"/>
      <c r="C308" s="12"/>
      <c r="D308" s="13"/>
      <c r="F308" s="14"/>
      <c r="G308" s="14"/>
      <c r="H308" s="14"/>
      <c r="I308" s="14"/>
      <c r="J308" s="14"/>
      <c r="K308" s="12"/>
    </row>
    <row r="309" ht="19.5" customHeight="1">
      <c r="A309" s="12"/>
      <c r="C309" s="12"/>
      <c r="D309" s="13"/>
      <c r="F309" s="14"/>
      <c r="G309" s="14"/>
      <c r="H309" s="14"/>
      <c r="I309" s="14"/>
      <c r="J309" s="14"/>
      <c r="K309" s="12"/>
    </row>
    <row r="310" ht="19.5" customHeight="1">
      <c r="A310" s="12"/>
      <c r="C310" s="12"/>
      <c r="D310" s="13"/>
      <c r="F310" s="14"/>
      <c r="G310" s="14"/>
      <c r="H310" s="14"/>
      <c r="I310" s="14"/>
      <c r="J310" s="14"/>
      <c r="K310" s="12"/>
    </row>
    <row r="311" ht="19.5" customHeight="1">
      <c r="A311" s="12"/>
      <c r="C311" s="12"/>
      <c r="D311" s="13"/>
      <c r="F311" s="14"/>
      <c r="G311" s="14"/>
      <c r="H311" s="14"/>
      <c r="I311" s="14"/>
      <c r="J311" s="14"/>
      <c r="K311" s="12"/>
    </row>
    <row r="312" ht="19.5" customHeight="1">
      <c r="A312" s="12"/>
      <c r="C312" s="12"/>
      <c r="D312" s="13"/>
      <c r="F312" s="14"/>
      <c r="G312" s="14"/>
      <c r="H312" s="14"/>
      <c r="I312" s="14"/>
      <c r="J312" s="14"/>
      <c r="K312" s="12"/>
    </row>
    <row r="313" ht="19.5" customHeight="1">
      <c r="A313" s="12"/>
      <c r="C313" s="12"/>
      <c r="D313" s="13"/>
      <c r="F313" s="14"/>
      <c r="G313" s="14"/>
      <c r="H313" s="14"/>
      <c r="I313" s="14"/>
      <c r="J313" s="14"/>
      <c r="K313" s="12"/>
    </row>
    <row r="314" ht="19.5" customHeight="1">
      <c r="A314" s="12"/>
      <c r="C314" s="12"/>
      <c r="D314" s="13"/>
      <c r="F314" s="14"/>
      <c r="G314" s="14"/>
      <c r="H314" s="14"/>
      <c r="I314" s="14"/>
      <c r="J314" s="14"/>
      <c r="K314" s="12"/>
    </row>
    <row r="315" ht="19.5" customHeight="1">
      <c r="A315" s="12"/>
      <c r="C315" s="12"/>
      <c r="D315" s="13"/>
      <c r="F315" s="14"/>
      <c r="G315" s="14"/>
      <c r="H315" s="14"/>
      <c r="I315" s="14"/>
      <c r="J315" s="14"/>
      <c r="K315" s="12"/>
    </row>
    <row r="316" ht="19.5" customHeight="1">
      <c r="A316" s="12"/>
      <c r="C316" s="12"/>
      <c r="D316" s="13"/>
      <c r="F316" s="14"/>
      <c r="G316" s="14"/>
      <c r="H316" s="14"/>
      <c r="I316" s="14"/>
      <c r="J316" s="14"/>
      <c r="K316" s="12"/>
    </row>
    <row r="317" ht="19.5" customHeight="1">
      <c r="A317" s="12"/>
      <c r="C317" s="12"/>
      <c r="D317" s="13"/>
      <c r="F317" s="14"/>
      <c r="G317" s="14"/>
      <c r="H317" s="14"/>
      <c r="I317" s="14"/>
      <c r="J317" s="14"/>
      <c r="K317" s="12"/>
    </row>
    <row r="318" ht="19.5" customHeight="1">
      <c r="A318" s="12"/>
      <c r="C318" s="12"/>
      <c r="D318" s="13"/>
      <c r="F318" s="14"/>
      <c r="G318" s="14"/>
      <c r="H318" s="14"/>
      <c r="I318" s="14"/>
      <c r="J318" s="14"/>
      <c r="K318" s="12"/>
    </row>
    <row r="319" ht="19.5" customHeight="1">
      <c r="A319" s="12"/>
      <c r="C319" s="12"/>
      <c r="D319" s="13"/>
      <c r="F319" s="14"/>
      <c r="G319" s="14"/>
      <c r="H319" s="14"/>
      <c r="I319" s="14"/>
      <c r="J319" s="14"/>
      <c r="K319" s="12"/>
    </row>
    <row r="320" ht="19.5" customHeight="1">
      <c r="A320" s="12"/>
      <c r="C320" s="12"/>
      <c r="D320" s="13"/>
      <c r="F320" s="14"/>
      <c r="G320" s="14"/>
      <c r="H320" s="14"/>
      <c r="I320" s="14"/>
      <c r="J320" s="14"/>
      <c r="K320" s="12"/>
    </row>
    <row r="321" ht="19.5" customHeight="1">
      <c r="A321" s="12"/>
      <c r="C321" s="12"/>
      <c r="D321" s="13"/>
      <c r="F321" s="14"/>
      <c r="G321" s="14"/>
      <c r="H321" s="14"/>
      <c r="I321" s="14"/>
      <c r="J321" s="14"/>
      <c r="K321" s="12"/>
    </row>
    <row r="322" ht="19.5" customHeight="1">
      <c r="A322" s="12"/>
      <c r="C322" s="12"/>
      <c r="D322" s="13"/>
      <c r="F322" s="14"/>
      <c r="G322" s="14"/>
      <c r="H322" s="14"/>
      <c r="I322" s="14"/>
      <c r="J322" s="14"/>
      <c r="K322" s="12"/>
    </row>
    <row r="323" ht="19.5" customHeight="1">
      <c r="A323" s="12"/>
      <c r="C323" s="12"/>
      <c r="D323" s="13"/>
      <c r="F323" s="14"/>
      <c r="G323" s="14"/>
      <c r="H323" s="14"/>
      <c r="I323" s="14"/>
      <c r="J323" s="14"/>
      <c r="K323" s="12"/>
    </row>
    <row r="324" ht="19.5" customHeight="1">
      <c r="A324" s="12"/>
      <c r="C324" s="12"/>
      <c r="D324" s="13"/>
      <c r="F324" s="14"/>
      <c r="G324" s="14"/>
      <c r="H324" s="14"/>
      <c r="I324" s="14"/>
      <c r="J324" s="14"/>
      <c r="K324" s="12"/>
    </row>
    <row r="325" ht="19.5" customHeight="1">
      <c r="A325" s="12"/>
      <c r="C325" s="12"/>
      <c r="D325" s="13"/>
      <c r="F325" s="14"/>
      <c r="G325" s="14"/>
      <c r="H325" s="14"/>
      <c r="I325" s="14"/>
      <c r="J325" s="14"/>
      <c r="K325" s="12"/>
    </row>
    <row r="326" ht="19.5" customHeight="1">
      <c r="A326" s="12"/>
      <c r="C326" s="12"/>
      <c r="D326" s="13"/>
      <c r="F326" s="14"/>
      <c r="G326" s="14"/>
      <c r="H326" s="14"/>
      <c r="I326" s="14"/>
      <c r="J326" s="14"/>
      <c r="K326" s="12"/>
    </row>
    <row r="327" ht="19.5" customHeight="1">
      <c r="A327" s="12"/>
      <c r="C327" s="12"/>
      <c r="D327" s="13"/>
      <c r="F327" s="14"/>
      <c r="G327" s="14"/>
      <c r="H327" s="14"/>
      <c r="I327" s="14"/>
      <c r="J327" s="14"/>
      <c r="K327" s="12"/>
    </row>
    <row r="328" ht="19.5" customHeight="1">
      <c r="A328" s="12"/>
      <c r="C328" s="12"/>
      <c r="D328" s="13"/>
      <c r="F328" s="14"/>
      <c r="G328" s="14"/>
      <c r="H328" s="14"/>
      <c r="I328" s="14"/>
      <c r="J328" s="14"/>
      <c r="K328" s="12"/>
    </row>
    <row r="329" ht="19.5" customHeight="1">
      <c r="A329" s="12"/>
      <c r="C329" s="12"/>
      <c r="D329" s="13"/>
      <c r="F329" s="14"/>
      <c r="G329" s="14"/>
      <c r="H329" s="14"/>
      <c r="I329" s="14"/>
      <c r="J329" s="14"/>
      <c r="K329" s="12"/>
    </row>
    <row r="330" ht="19.5" customHeight="1">
      <c r="A330" s="12"/>
      <c r="C330" s="12"/>
      <c r="D330" s="13"/>
      <c r="F330" s="14"/>
      <c r="G330" s="14"/>
      <c r="H330" s="14"/>
      <c r="I330" s="14"/>
      <c r="J330" s="14"/>
      <c r="K330" s="12"/>
    </row>
    <row r="331" ht="19.5" customHeight="1">
      <c r="A331" s="12"/>
      <c r="C331" s="12"/>
      <c r="D331" s="13"/>
      <c r="F331" s="14"/>
      <c r="G331" s="14"/>
      <c r="H331" s="14"/>
      <c r="I331" s="14"/>
      <c r="J331" s="14"/>
      <c r="K331" s="12"/>
    </row>
    <row r="332" ht="19.5" customHeight="1">
      <c r="A332" s="12"/>
      <c r="C332" s="12"/>
      <c r="D332" s="13"/>
      <c r="F332" s="14"/>
      <c r="G332" s="14"/>
      <c r="H332" s="14"/>
      <c r="I332" s="14"/>
      <c r="J332" s="14"/>
      <c r="K332" s="12"/>
    </row>
    <row r="333" ht="19.5" customHeight="1">
      <c r="A333" s="12"/>
      <c r="C333" s="12"/>
      <c r="D333" s="13"/>
      <c r="F333" s="14"/>
      <c r="G333" s="14"/>
      <c r="H333" s="14"/>
      <c r="I333" s="14"/>
      <c r="J333" s="14"/>
      <c r="K333" s="12"/>
    </row>
    <row r="334" ht="19.5" customHeight="1">
      <c r="A334" s="12"/>
      <c r="C334" s="12"/>
      <c r="D334" s="13"/>
      <c r="F334" s="14"/>
      <c r="G334" s="14"/>
      <c r="H334" s="14"/>
      <c r="I334" s="14"/>
      <c r="J334" s="14"/>
      <c r="K334" s="12"/>
    </row>
    <row r="335" ht="19.5" customHeight="1">
      <c r="A335" s="12"/>
      <c r="C335" s="12"/>
      <c r="D335" s="13"/>
      <c r="F335" s="14"/>
      <c r="G335" s="14"/>
      <c r="H335" s="14"/>
      <c r="I335" s="14"/>
      <c r="J335" s="14"/>
      <c r="K335" s="12"/>
    </row>
    <row r="336" ht="19.5" customHeight="1">
      <c r="A336" s="12"/>
      <c r="C336" s="12"/>
      <c r="D336" s="13"/>
      <c r="F336" s="14"/>
      <c r="G336" s="14"/>
      <c r="H336" s="14"/>
      <c r="I336" s="14"/>
      <c r="J336" s="14"/>
      <c r="K336" s="12"/>
    </row>
    <row r="337" ht="19.5" customHeight="1">
      <c r="A337" s="12"/>
      <c r="C337" s="12"/>
      <c r="D337" s="13"/>
      <c r="F337" s="14"/>
      <c r="G337" s="14"/>
      <c r="H337" s="14"/>
      <c r="I337" s="14"/>
      <c r="J337" s="14"/>
      <c r="K337" s="12"/>
    </row>
    <row r="338" ht="19.5" customHeight="1">
      <c r="A338" s="12"/>
      <c r="C338" s="12"/>
      <c r="D338" s="13"/>
      <c r="F338" s="14"/>
      <c r="G338" s="14"/>
      <c r="H338" s="14"/>
      <c r="I338" s="14"/>
      <c r="J338" s="14"/>
      <c r="K338" s="12"/>
    </row>
    <row r="339" ht="19.5" customHeight="1">
      <c r="A339" s="12"/>
      <c r="C339" s="12"/>
      <c r="D339" s="13"/>
      <c r="F339" s="14"/>
      <c r="G339" s="14"/>
      <c r="H339" s="14"/>
      <c r="I339" s="14"/>
      <c r="J339" s="14"/>
      <c r="K339" s="12"/>
    </row>
    <row r="340" ht="19.5" customHeight="1">
      <c r="A340" s="12"/>
      <c r="C340" s="12"/>
      <c r="D340" s="13"/>
      <c r="F340" s="14"/>
      <c r="G340" s="14"/>
      <c r="H340" s="14"/>
      <c r="I340" s="14"/>
      <c r="J340" s="14"/>
      <c r="K340" s="12"/>
    </row>
    <row r="341" ht="19.5" customHeight="1">
      <c r="A341" s="12"/>
      <c r="C341" s="12"/>
      <c r="D341" s="13"/>
      <c r="F341" s="14"/>
      <c r="G341" s="14"/>
      <c r="H341" s="14"/>
      <c r="I341" s="14"/>
      <c r="J341" s="14"/>
      <c r="K341" s="12"/>
    </row>
    <row r="342" ht="19.5" customHeight="1">
      <c r="A342" s="12"/>
      <c r="C342" s="12"/>
      <c r="D342" s="13"/>
      <c r="F342" s="14"/>
      <c r="G342" s="14"/>
      <c r="H342" s="14"/>
      <c r="I342" s="14"/>
      <c r="J342" s="14"/>
      <c r="K342" s="12"/>
    </row>
    <row r="343" ht="19.5" customHeight="1">
      <c r="A343" s="12"/>
      <c r="C343" s="12"/>
      <c r="D343" s="13"/>
      <c r="F343" s="14"/>
      <c r="G343" s="14"/>
      <c r="H343" s="14"/>
      <c r="I343" s="14"/>
      <c r="J343" s="14"/>
      <c r="K343" s="12"/>
    </row>
    <row r="344" ht="19.5" customHeight="1">
      <c r="A344" s="12"/>
      <c r="C344" s="12"/>
      <c r="D344" s="13"/>
      <c r="F344" s="14"/>
      <c r="G344" s="14"/>
      <c r="H344" s="14"/>
      <c r="I344" s="14"/>
      <c r="J344" s="14"/>
      <c r="K344" s="12"/>
    </row>
    <row r="345" ht="19.5" customHeight="1">
      <c r="A345" s="12"/>
      <c r="C345" s="12"/>
      <c r="D345" s="13"/>
      <c r="F345" s="14"/>
      <c r="G345" s="14"/>
      <c r="H345" s="14"/>
      <c r="I345" s="14"/>
      <c r="J345" s="14"/>
      <c r="K345" s="12"/>
    </row>
    <row r="346" ht="19.5" customHeight="1">
      <c r="A346" s="12"/>
      <c r="C346" s="12"/>
      <c r="D346" s="13"/>
      <c r="F346" s="14"/>
      <c r="G346" s="14"/>
      <c r="H346" s="14"/>
      <c r="I346" s="14"/>
      <c r="J346" s="14"/>
      <c r="K346" s="12"/>
    </row>
    <row r="347" ht="19.5" customHeight="1">
      <c r="A347" s="12"/>
      <c r="C347" s="12"/>
      <c r="D347" s="13"/>
      <c r="F347" s="14"/>
      <c r="G347" s="14"/>
      <c r="H347" s="14"/>
      <c r="I347" s="14"/>
      <c r="J347" s="14"/>
      <c r="K347" s="12"/>
    </row>
    <row r="348" ht="19.5" customHeight="1">
      <c r="A348" s="12"/>
      <c r="C348" s="12"/>
      <c r="D348" s="13"/>
      <c r="F348" s="14"/>
      <c r="G348" s="14"/>
      <c r="H348" s="14"/>
      <c r="I348" s="14"/>
      <c r="J348" s="14"/>
      <c r="K348" s="12"/>
    </row>
    <row r="349" ht="19.5" customHeight="1">
      <c r="A349" s="12"/>
      <c r="C349" s="12"/>
      <c r="D349" s="13"/>
      <c r="F349" s="14"/>
      <c r="G349" s="14"/>
      <c r="H349" s="14"/>
      <c r="I349" s="14"/>
      <c r="J349" s="14"/>
      <c r="K349" s="12"/>
    </row>
    <row r="350" ht="19.5" customHeight="1">
      <c r="A350" s="12"/>
      <c r="C350" s="12"/>
      <c r="D350" s="13"/>
      <c r="F350" s="14"/>
      <c r="G350" s="14"/>
      <c r="H350" s="14"/>
      <c r="I350" s="14"/>
      <c r="J350" s="14"/>
      <c r="K350" s="12"/>
    </row>
    <row r="351" ht="19.5" customHeight="1">
      <c r="A351" s="12"/>
      <c r="C351" s="12"/>
      <c r="D351" s="13"/>
      <c r="F351" s="14"/>
      <c r="G351" s="14"/>
      <c r="H351" s="14"/>
      <c r="I351" s="14"/>
      <c r="J351" s="14"/>
      <c r="K351" s="12"/>
    </row>
    <row r="352" ht="19.5" customHeight="1">
      <c r="A352" s="12"/>
      <c r="C352" s="12"/>
      <c r="D352" s="13"/>
      <c r="F352" s="14"/>
      <c r="G352" s="14"/>
      <c r="H352" s="14"/>
      <c r="I352" s="14"/>
      <c r="J352" s="14"/>
      <c r="K352" s="12"/>
    </row>
    <row r="353" ht="19.5" customHeight="1">
      <c r="A353" s="12"/>
      <c r="C353" s="12"/>
      <c r="D353" s="13"/>
      <c r="F353" s="14"/>
      <c r="G353" s="14"/>
      <c r="H353" s="14"/>
      <c r="I353" s="14"/>
      <c r="J353" s="14"/>
      <c r="K353" s="12"/>
    </row>
    <row r="354" ht="19.5" customHeight="1">
      <c r="A354" s="12"/>
      <c r="C354" s="12"/>
      <c r="D354" s="13"/>
      <c r="F354" s="14"/>
      <c r="G354" s="14"/>
      <c r="H354" s="14"/>
      <c r="I354" s="14"/>
      <c r="J354" s="14"/>
      <c r="K354" s="12"/>
    </row>
    <row r="355" ht="19.5" customHeight="1">
      <c r="A355" s="12"/>
      <c r="C355" s="12"/>
      <c r="D355" s="13"/>
      <c r="F355" s="14"/>
      <c r="G355" s="14"/>
      <c r="H355" s="14"/>
      <c r="I355" s="14"/>
      <c r="J355" s="14"/>
      <c r="K355" s="12"/>
    </row>
    <row r="356" ht="19.5" customHeight="1">
      <c r="A356" s="12"/>
      <c r="C356" s="12"/>
      <c r="D356" s="13"/>
      <c r="F356" s="14"/>
      <c r="G356" s="14"/>
      <c r="H356" s="14"/>
      <c r="I356" s="14"/>
      <c r="J356" s="14"/>
      <c r="K356" s="12"/>
    </row>
    <row r="357" ht="19.5" customHeight="1">
      <c r="A357" s="12"/>
      <c r="C357" s="12"/>
      <c r="D357" s="13"/>
      <c r="F357" s="14"/>
      <c r="G357" s="14"/>
      <c r="H357" s="14"/>
      <c r="I357" s="14"/>
      <c r="J357" s="14"/>
      <c r="K357" s="12"/>
    </row>
    <row r="358" ht="19.5" customHeight="1">
      <c r="A358" s="12"/>
      <c r="C358" s="12"/>
      <c r="D358" s="13"/>
      <c r="F358" s="14"/>
      <c r="G358" s="14"/>
      <c r="H358" s="14"/>
      <c r="I358" s="14"/>
      <c r="J358" s="14"/>
      <c r="K358" s="12"/>
    </row>
    <row r="359" ht="19.5" customHeight="1">
      <c r="A359" s="12"/>
      <c r="C359" s="12"/>
      <c r="D359" s="13"/>
      <c r="F359" s="14"/>
      <c r="G359" s="14"/>
      <c r="H359" s="14"/>
      <c r="I359" s="14"/>
      <c r="J359" s="14"/>
      <c r="K359" s="12"/>
    </row>
    <row r="360" ht="19.5" customHeight="1">
      <c r="A360" s="12"/>
      <c r="C360" s="12"/>
      <c r="D360" s="13"/>
      <c r="F360" s="14"/>
      <c r="G360" s="14"/>
      <c r="H360" s="14"/>
      <c r="I360" s="14"/>
      <c r="J360" s="14"/>
      <c r="K360" s="12"/>
    </row>
    <row r="361" ht="19.5" customHeight="1">
      <c r="A361" s="12"/>
      <c r="C361" s="12"/>
      <c r="D361" s="13"/>
      <c r="F361" s="14"/>
      <c r="G361" s="14"/>
      <c r="H361" s="14"/>
      <c r="I361" s="14"/>
      <c r="J361" s="14"/>
      <c r="K361" s="12"/>
    </row>
    <row r="362" ht="19.5" customHeight="1">
      <c r="A362" s="12"/>
      <c r="C362" s="12"/>
      <c r="D362" s="13"/>
      <c r="F362" s="14"/>
      <c r="G362" s="14"/>
      <c r="H362" s="14"/>
      <c r="I362" s="14"/>
      <c r="J362" s="14"/>
      <c r="K362" s="12"/>
    </row>
    <row r="363" ht="19.5" customHeight="1">
      <c r="A363" s="12"/>
      <c r="C363" s="12"/>
      <c r="D363" s="13"/>
      <c r="F363" s="14"/>
      <c r="G363" s="14"/>
      <c r="H363" s="14"/>
      <c r="I363" s="14"/>
      <c r="J363" s="14"/>
      <c r="K363" s="12"/>
    </row>
    <row r="364" ht="19.5" customHeight="1">
      <c r="A364" s="12"/>
      <c r="C364" s="12"/>
      <c r="D364" s="13"/>
      <c r="F364" s="14"/>
      <c r="G364" s="14"/>
      <c r="H364" s="14"/>
      <c r="I364" s="14"/>
      <c r="J364" s="14"/>
      <c r="K364" s="12"/>
    </row>
    <row r="365" ht="19.5" customHeight="1">
      <c r="A365" s="12"/>
      <c r="C365" s="12"/>
      <c r="D365" s="13"/>
      <c r="F365" s="14"/>
      <c r="G365" s="14"/>
      <c r="H365" s="14"/>
      <c r="I365" s="14"/>
      <c r="J365" s="14"/>
      <c r="K365" s="12"/>
    </row>
    <row r="366" ht="19.5" customHeight="1">
      <c r="A366" s="12"/>
      <c r="C366" s="12"/>
      <c r="D366" s="13"/>
      <c r="F366" s="14"/>
      <c r="G366" s="14"/>
      <c r="H366" s="14"/>
      <c r="I366" s="14"/>
      <c r="J366" s="14"/>
      <c r="K366" s="12"/>
    </row>
    <row r="367" ht="19.5" customHeight="1">
      <c r="A367" s="12"/>
      <c r="C367" s="12"/>
      <c r="D367" s="13"/>
      <c r="F367" s="14"/>
      <c r="G367" s="14"/>
      <c r="H367" s="14"/>
      <c r="I367" s="14"/>
      <c r="J367" s="14"/>
      <c r="K367" s="12"/>
    </row>
    <row r="368" ht="19.5" customHeight="1">
      <c r="A368" s="12"/>
      <c r="C368" s="12"/>
      <c r="D368" s="13"/>
      <c r="F368" s="14"/>
      <c r="G368" s="14"/>
      <c r="H368" s="14"/>
      <c r="I368" s="14"/>
      <c r="J368" s="14"/>
      <c r="K368" s="12"/>
    </row>
    <row r="369" ht="19.5" customHeight="1">
      <c r="A369" s="12"/>
      <c r="C369" s="12"/>
      <c r="D369" s="13"/>
      <c r="F369" s="14"/>
      <c r="G369" s="14"/>
      <c r="H369" s="14"/>
      <c r="I369" s="14"/>
      <c r="J369" s="14"/>
      <c r="K369" s="12"/>
    </row>
    <row r="370" ht="19.5" customHeight="1">
      <c r="A370" s="12"/>
      <c r="C370" s="12"/>
      <c r="D370" s="13"/>
      <c r="F370" s="14"/>
      <c r="G370" s="14"/>
      <c r="H370" s="14"/>
      <c r="I370" s="14"/>
      <c r="J370" s="14"/>
      <c r="K370" s="12"/>
    </row>
    <row r="371" ht="19.5" customHeight="1">
      <c r="A371" s="12"/>
      <c r="C371" s="12"/>
      <c r="D371" s="13"/>
      <c r="F371" s="14"/>
      <c r="G371" s="14"/>
      <c r="H371" s="14"/>
      <c r="I371" s="14"/>
      <c r="J371" s="14"/>
      <c r="K371" s="12"/>
    </row>
    <row r="372" ht="19.5" customHeight="1">
      <c r="A372" s="12"/>
      <c r="C372" s="12"/>
      <c r="D372" s="13"/>
      <c r="F372" s="14"/>
      <c r="G372" s="14"/>
      <c r="H372" s="14"/>
      <c r="I372" s="14"/>
      <c r="J372" s="14"/>
      <c r="K372" s="12"/>
    </row>
    <row r="373" ht="19.5" customHeight="1">
      <c r="A373" s="12"/>
      <c r="C373" s="12"/>
      <c r="D373" s="13"/>
      <c r="F373" s="14"/>
      <c r="G373" s="14"/>
      <c r="H373" s="14"/>
      <c r="I373" s="14"/>
      <c r="J373" s="14"/>
      <c r="K373" s="12"/>
    </row>
    <row r="374" ht="19.5" customHeight="1">
      <c r="A374" s="12"/>
      <c r="C374" s="12"/>
      <c r="D374" s="13"/>
      <c r="F374" s="14"/>
      <c r="G374" s="14"/>
      <c r="H374" s="14"/>
      <c r="I374" s="14"/>
      <c r="J374" s="14"/>
      <c r="K374" s="12"/>
    </row>
    <row r="375" ht="19.5" customHeight="1">
      <c r="A375" s="12"/>
      <c r="C375" s="12"/>
      <c r="D375" s="13"/>
      <c r="F375" s="14"/>
      <c r="G375" s="14"/>
      <c r="H375" s="14"/>
      <c r="I375" s="14"/>
      <c r="J375" s="14"/>
      <c r="K375" s="12"/>
    </row>
    <row r="376" ht="19.5" customHeight="1">
      <c r="A376" s="12"/>
      <c r="C376" s="12"/>
      <c r="D376" s="13"/>
      <c r="F376" s="14"/>
      <c r="G376" s="14"/>
      <c r="H376" s="14"/>
      <c r="I376" s="14"/>
      <c r="J376" s="14"/>
      <c r="K376" s="12"/>
    </row>
    <row r="377" ht="19.5" customHeight="1">
      <c r="A377" s="12"/>
      <c r="C377" s="12"/>
      <c r="D377" s="13"/>
      <c r="F377" s="14"/>
      <c r="G377" s="14"/>
      <c r="H377" s="14"/>
      <c r="I377" s="14"/>
      <c r="J377" s="14"/>
      <c r="K377" s="12"/>
    </row>
    <row r="378" ht="19.5" customHeight="1">
      <c r="A378" s="12"/>
      <c r="C378" s="12"/>
      <c r="D378" s="13"/>
      <c r="F378" s="14"/>
      <c r="G378" s="14"/>
      <c r="H378" s="14"/>
      <c r="I378" s="14"/>
      <c r="J378" s="14"/>
      <c r="K378" s="12"/>
    </row>
    <row r="379" ht="19.5" customHeight="1">
      <c r="A379" s="12"/>
      <c r="C379" s="12"/>
      <c r="D379" s="13"/>
      <c r="F379" s="14"/>
      <c r="G379" s="14"/>
      <c r="H379" s="14"/>
      <c r="I379" s="14"/>
      <c r="J379" s="14"/>
      <c r="K379" s="12"/>
    </row>
    <row r="380" ht="19.5" customHeight="1">
      <c r="A380" s="12"/>
      <c r="C380" s="12"/>
      <c r="D380" s="13"/>
      <c r="F380" s="14"/>
      <c r="G380" s="14"/>
      <c r="H380" s="14"/>
      <c r="I380" s="14"/>
      <c r="J380" s="14"/>
      <c r="K380" s="12"/>
    </row>
    <row r="381" ht="19.5" customHeight="1">
      <c r="A381" s="12"/>
      <c r="C381" s="12"/>
      <c r="D381" s="13"/>
      <c r="F381" s="14"/>
      <c r="G381" s="14"/>
      <c r="H381" s="14"/>
      <c r="I381" s="14"/>
      <c r="J381" s="14"/>
      <c r="K381" s="12"/>
    </row>
    <row r="382" ht="19.5" customHeight="1">
      <c r="A382" s="12"/>
      <c r="C382" s="12"/>
      <c r="D382" s="13"/>
      <c r="F382" s="14"/>
      <c r="G382" s="14"/>
      <c r="H382" s="14"/>
      <c r="I382" s="14"/>
      <c r="J382" s="14"/>
      <c r="K382" s="12"/>
    </row>
    <row r="383" ht="19.5" customHeight="1">
      <c r="A383" s="12"/>
      <c r="C383" s="12"/>
      <c r="D383" s="13"/>
      <c r="F383" s="14"/>
      <c r="G383" s="14"/>
      <c r="H383" s="14"/>
      <c r="I383" s="14"/>
      <c r="J383" s="14"/>
      <c r="K383" s="12"/>
    </row>
    <row r="384" ht="19.5" customHeight="1">
      <c r="A384" s="12"/>
      <c r="C384" s="12"/>
      <c r="D384" s="13"/>
      <c r="F384" s="14"/>
      <c r="G384" s="14"/>
      <c r="H384" s="14"/>
      <c r="I384" s="14"/>
      <c r="J384" s="14"/>
      <c r="K384" s="12"/>
    </row>
    <row r="385" ht="19.5" customHeight="1">
      <c r="A385" s="12"/>
      <c r="C385" s="12"/>
      <c r="D385" s="13"/>
      <c r="F385" s="14"/>
      <c r="G385" s="14"/>
      <c r="H385" s="14"/>
      <c r="I385" s="14"/>
      <c r="J385" s="14"/>
      <c r="K385" s="12"/>
    </row>
    <row r="386" ht="19.5" customHeight="1">
      <c r="A386" s="12"/>
      <c r="C386" s="12"/>
      <c r="D386" s="13"/>
      <c r="F386" s="14"/>
      <c r="G386" s="14"/>
      <c r="H386" s="14"/>
      <c r="I386" s="14"/>
      <c r="J386" s="14"/>
      <c r="K386" s="12"/>
    </row>
    <row r="387" ht="19.5" customHeight="1">
      <c r="A387" s="12"/>
      <c r="C387" s="12"/>
      <c r="D387" s="13"/>
      <c r="F387" s="14"/>
      <c r="G387" s="14"/>
      <c r="H387" s="14"/>
      <c r="I387" s="14"/>
      <c r="J387" s="14"/>
      <c r="K387" s="12"/>
    </row>
    <row r="388" ht="19.5" customHeight="1">
      <c r="A388" s="12"/>
      <c r="C388" s="12"/>
      <c r="D388" s="13"/>
      <c r="F388" s="14"/>
      <c r="G388" s="14"/>
      <c r="H388" s="14"/>
      <c r="I388" s="14"/>
      <c r="J388" s="14"/>
      <c r="K388" s="12"/>
    </row>
    <row r="389" ht="19.5" customHeight="1">
      <c r="A389" s="12"/>
      <c r="C389" s="12"/>
      <c r="D389" s="13"/>
      <c r="F389" s="14"/>
      <c r="G389" s="14"/>
      <c r="H389" s="14"/>
      <c r="I389" s="14"/>
      <c r="J389" s="14"/>
      <c r="K389" s="12"/>
    </row>
    <row r="390" ht="19.5" customHeight="1">
      <c r="A390" s="12"/>
      <c r="C390" s="12"/>
      <c r="D390" s="13"/>
      <c r="F390" s="14"/>
      <c r="G390" s="14"/>
      <c r="H390" s="14"/>
      <c r="I390" s="14"/>
      <c r="J390" s="14"/>
      <c r="K390" s="12"/>
    </row>
    <row r="391" ht="19.5" customHeight="1">
      <c r="A391" s="12"/>
      <c r="C391" s="12"/>
      <c r="D391" s="13"/>
      <c r="F391" s="14"/>
      <c r="G391" s="14"/>
      <c r="H391" s="14"/>
      <c r="I391" s="14"/>
      <c r="J391" s="14"/>
      <c r="K391" s="12"/>
    </row>
    <row r="392" ht="19.5" customHeight="1">
      <c r="A392" s="12"/>
      <c r="C392" s="12"/>
      <c r="D392" s="13"/>
      <c r="F392" s="14"/>
      <c r="G392" s="14"/>
      <c r="H392" s="14"/>
      <c r="I392" s="14"/>
      <c r="J392" s="14"/>
      <c r="K392" s="12"/>
    </row>
    <row r="393" ht="19.5" customHeight="1">
      <c r="A393" s="12"/>
      <c r="C393" s="12"/>
      <c r="D393" s="13"/>
      <c r="F393" s="14"/>
      <c r="G393" s="14"/>
      <c r="H393" s="14"/>
      <c r="I393" s="14"/>
      <c r="J393" s="14"/>
      <c r="K393" s="12"/>
    </row>
    <row r="394" ht="19.5" customHeight="1">
      <c r="A394" s="12"/>
      <c r="C394" s="12"/>
      <c r="D394" s="13"/>
      <c r="F394" s="14"/>
      <c r="G394" s="14"/>
      <c r="H394" s="14"/>
      <c r="I394" s="14"/>
      <c r="J394" s="14"/>
      <c r="K394" s="12"/>
    </row>
    <row r="395" ht="19.5" customHeight="1">
      <c r="A395" s="12"/>
      <c r="C395" s="12"/>
      <c r="D395" s="13"/>
      <c r="F395" s="14"/>
      <c r="G395" s="14"/>
      <c r="H395" s="14"/>
      <c r="I395" s="14"/>
      <c r="J395" s="14"/>
      <c r="K395" s="12"/>
    </row>
    <row r="396" ht="19.5" customHeight="1">
      <c r="A396" s="12"/>
      <c r="C396" s="12"/>
      <c r="D396" s="13"/>
      <c r="F396" s="14"/>
      <c r="G396" s="14"/>
      <c r="H396" s="14"/>
      <c r="I396" s="14"/>
      <c r="J396" s="14"/>
      <c r="K396" s="12"/>
    </row>
    <row r="397" ht="19.5" customHeight="1">
      <c r="A397" s="12"/>
      <c r="C397" s="12"/>
      <c r="D397" s="13"/>
      <c r="F397" s="14"/>
      <c r="G397" s="14"/>
      <c r="H397" s="14"/>
      <c r="I397" s="14"/>
      <c r="J397" s="14"/>
      <c r="K397" s="12"/>
    </row>
    <row r="398" ht="19.5" customHeight="1">
      <c r="A398" s="12"/>
      <c r="C398" s="12"/>
      <c r="D398" s="13"/>
      <c r="F398" s="14"/>
      <c r="G398" s="14"/>
      <c r="H398" s="14"/>
      <c r="I398" s="14"/>
      <c r="J398" s="14"/>
      <c r="K398" s="12"/>
    </row>
    <row r="399" ht="19.5" customHeight="1">
      <c r="A399" s="12"/>
      <c r="C399" s="12"/>
      <c r="D399" s="13"/>
      <c r="F399" s="14"/>
      <c r="G399" s="14"/>
      <c r="H399" s="14"/>
      <c r="I399" s="14"/>
      <c r="J399" s="14"/>
      <c r="K399" s="12"/>
    </row>
    <row r="400" ht="19.5" customHeight="1">
      <c r="A400" s="12"/>
      <c r="C400" s="12"/>
      <c r="D400" s="13"/>
      <c r="F400" s="14"/>
      <c r="G400" s="14"/>
      <c r="H400" s="14"/>
      <c r="I400" s="14"/>
      <c r="J400" s="14"/>
      <c r="K400" s="12"/>
    </row>
    <row r="401" ht="19.5" customHeight="1">
      <c r="A401" s="12"/>
      <c r="C401" s="12"/>
      <c r="D401" s="13"/>
      <c r="F401" s="14"/>
      <c r="G401" s="14"/>
      <c r="H401" s="14"/>
      <c r="I401" s="14"/>
      <c r="J401" s="14"/>
      <c r="K401" s="12"/>
    </row>
    <row r="402" ht="19.5" customHeight="1">
      <c r="A402" s="12"/>
      <c r="C402" s="12"/>
      <c r="D402" s="13"/>
      <c r="F402" s="14"/>
      <c r="G402" s="14"/>
      <c r="H402" s="14"/>
      <c r="I402" s="14"/>
      <c r="J402" s="14"/>
      <c r="K402" s="12"/>
    </row>
    <row r="403" ht="19.5" customHeight="1">
      <c r="A403" s="12"/>
      <c r="C403" s="12"/>
      <c r="D403" s="13"/>
      <c r="F403" s="14"/>
      <c r="G403" s="14"/>
      <c r="H403" s="14"/>
      <c r="I403" s="14"/>
      <c r="J403" s="14"/>
      <c r="K403" s="12"/>
    </row>
    <row r="404" ht="19.5" customHeight="1">
      <c r="A404" s="12"/>
      <c r="C404" s="12"/>
      <c r="D404" s="13"/>
      <c r="F404" s="14"/>
      <c r="G404" s="14"/>
      <c r="H404" s="14"/>
      <c r="I404" s="14"/>
      <c r="J404" s="14"/>
      <c r="K404" s="12"/>
    </row>
    <row r="405" ht="19.5" customHeight="1">
      <c r="A405" s="12"/>
      <c r="C405" s="12"/>
      <c r="D405" s="13"/>
      <c r="F405" s="14"/>
      <c r="G405" s="14"/>
      <c r="H405" s="14"/>
      <c r="I405" s="14"/>
      <c r="J405" s="14"/>
      <c r="K405" s="12"/>
    </row>
    <row r="406" ht="19.5" customHeight="1">
      <c r="A406" s="12"/>
      <c r="C406" s="12"/>
      <c r="D406" s="13"/>
      <c r="F406" s="14"/>
      <c r="G406" s="14"/>
      <c r="H406" s="14"/>
      <c r="I406" s="14"/>
      <c r="J406" s="14"/>
      <c r="K406" s="12"/>
    </row>
    <row r="407" ht="19.5" customHeight="1">
      <c r="A407" s="12"/>
      <c r="C407" s="12"/>
      <c r="D407" s="13"/>
      <c r="F407" s="14"/>
      <c r="G407" s="14"/>
      <c r="H407" s="14"/>
      <c r="I407" s="14"/>
      <c r="J407" s="14"/>
      <c r="K407" s="12"/>
    </row>
    <row r="408" ht="19.5" customHeight="1">
      <c r="A408" s="12"/>
      <c r="C408" s="12"/>
      <c r="D408" s="13"/>
      <c r="F408" s="14"/>
      <c r="G408" s="14"/>
      <c r="H408" s="14"/>
      <c r="I408" s="14"/>
      <c r="J408" s="14"/>
      <c r="K408" s="12"/>
    </row>
    <row r="409" ht="19.5" customHeight="1">
      <c r="A409" s="12"/>
      <c r="C409" s="12"/>
      <c r="D409" s="13"/>
      <c r="F409" s="14"/>
      <c r="G409" s="14"/>
      <c r="H409" s="14"/>
      <c r="I409" s="14"/>
      <c r="J409" s="14"/>
      <c r="K409" s="12"/>
    </row>
    <row r="410" ht="19.5" customHeight="1">
      <c r="A410" s="12"/>
      <c r="C410" s="12"/>
      <c r="D410" s="13"/>
      <c r="F410" s="14"/>
      <c r="G410" s="14"/>
      <c r="H410" s="14"/>
      <c r="I410" s="14"/>
      <c r="J410" s="14"/>
      <c r="K410" s="12"/>
    </row>
    <row r="411" ht="19.5" customHeight="1">
      <c r="A411" s="12"/>
      <c r="C411" s="12"/>
      <c r="D411" s="13"/>
      <c r="F411" s="14"/>
      <c r="G411" s="14"/>
      <c r="H411" s="14"/>
      <c r="I411" s="14"/>
      <c r="J411" s="14"/>
      <c r="K411" s="12"/>
    </row>
    <row r="412" ht="19.5" customHeight="1">
      <c r="A412" s="12"/>
      <c r="C412" s="12"/>
      <c r="D412" s="13"/>
      <c r="F412" s="14"/>
      <c r="G412" s="14"/>
      <c r="H412" s="14"/>
      <c r="I412" s="14"/>
      <c r="J412" s="14"/>
      <c r="K412" s="12"/>
    </row>
    <row r="413" ht="19.5" customHeight="1">
      <c r="A413" s="12"/>
      <c r="C413" s="12"/>
      <c r="D413" s="13"/>
      <c r="F413" s="14"/>
      <c r="G413" s="14"/>
      <c r="H413" s="14"/>
      <c r="I413" s="14"/>
      <c r="J413" s="14"/>
      <c r="K413" s="12"/>
    </row>
    <row r="414" ht="19.5" customHeight="1">
      <c r="A414" s="12"/>
      <c r="C414" s="12"/>
      <c r="D414" s="13"/>
      <c r="F414" s="14"/>
      <c r="G414" s="14"/>
      <c r="H414" s="14"/>
      <c r="I414" s="14"/>
      <c r="J414" s="14"/>
      <c r="K414" s="12"/>
    </row>
    <row r="415" ht="19.5" customHeight="1">
      <c r="A415" s="12"/>
      <c r="C415" s="12"/>
      <c r="D415" s="13"/>
      <c r="F415" s="14"/>
      <c r="G415" s="14"/>
      <c r="H415" s="14"/>
      <c r="I415" s="14"/>
      <c r="J415" s="14"/>
      <c r="K415" s="12"/>
    </row>
    <row r="416" ht="19.5" customHeight="1">
      <c r="A416" s="12"/>
      <c r="C416" s="12"/>
      <c r="D416" s="13"/>
      <c r="F416" s="14"/>
      <c r="G416" s="14"/>
      <c r="H416" s="14"/>
      <c r="I416" s="14"/>
      <c r="J416" s="14"/>
      <c r="K416" s="12"/>
    </row>
    <row r="417" ht="19.5" customHeight="1">
      <c r="A417" s="12"/>
      <c r="C417" s="12"/>
      <c r="D417" s="13"/>
      <c r="F417" s="14"/>
      <c r="G417" s="14"/>
      <c r="H417" s="14"/>
      <c r="I417" s="14"/>
      <c r="J417" s="14"/>
      <c r="K417" s="12"/>
    </row>
    <row r="418" ht="19.5" customHeight="1">
      <c r="A418" s="12"/>
      <c r="C418" s="12"/>
      <c r="D418" s="13"/>
      <c r="F418" s="14"/>
      <c r="G418" s="14"/>
      <c r="H418" s="14"/>
      <c r="I418" s="14"/>
      <c r="J418" s="14"/>
      <c r="K418" s="12"/>
    </row>
    <row r="419" ht="19.5" customHeight="1">
      <c r="A419" s="12"/>
      <c r="C419" s="12"/>
      <c r="D419" s="13"/>
      <c r="F419" s="14"/>
      <c r="G419" s="14"/>
      <c r="H419" s="14"/>
      <c r="I419" s="14"/>
      <c r="J419" s="14"/>
      <c r="K419" s="12"/>
    </row>
    <row r="420" ht="19.5" customHeight="1">
      <c r="A420" s="12"/>
      <c r="C420" s="12"/>
      <c r="D420" s="13"/>
      <c r="F420" s="14"/>
      <c r="G420" s="14"/>
      <c r="H420" s="14"/>
      <c r="I420" s="14"/>
      <c r="J420" s="14"/>
      <c r="K420" s="12"/>
    </row>
    <row r="421" ht="19.5" customHeight="1">
      <c r="A421" s="12"/>
      <c r="C421" s="12"/>
      <c r="D421" s="13"/>
      <c r="F421" s="14"/>
      <c r="G421" s="14"/>
      <c r="H421" s="14"/>
      <c r="I421" s="14"/>
      <c r="J421" s="14"/>
      <c r="K421" s="12"/>
    </row>
    <row r="422" ht="19.5" customHeight="1">
      <c r="A422" s="12"/>
      <c r="C422" s="12"/>
      <c r="D422" s="13"/>
      <c r="F422" s="14"/>
      <c r="G422" s="14"/>
      <c r="H422" s="14"/>
      <c r="I422" s="14"/>
      <c r="J422" s="14"/>
      <c r="K422" s="12"/>
    </row>
    <row r="423" ht="19.5" customHeight="1">
      <c r="A423" s="12"/>
      <c r="C423" s="12"/>
      <c r="D423" s="13"/>
      <c r="F423" s="14"/>
      <c r="G423" s="14"/>
      <c r="H423" s="14"/>
      <c r="I423" s="14"/>
      <c r="J423" s="14"/>
      <c r="K423" s="12"/>
    </row>
    <row r="424" ht="19.5" customHeight="1">
      <c r="A424" s="12"/>
      <c r="C424" s="12"/>
      <c r="D424" s="13"/>
      <c r="F424" s="14"/>
      <c r="G424" s="14"/>
      <c r="H424" s="14"/>
      <c r="I424" s="14"/>
      <c r="J424" s="14"/>
      <c r="K424" s="12"/>
    </row>
    <row r="425" ht="19.5" customHeight="1">
      <c r="A425" s="12"/>
      <c r="C425" s="12"/>
      <c r="D425" s="13"/>
      <c r="F425" s="14"/>
      <c r="G425" s="14"/>
      <c r="H425" s="14"/>
      <c r="I425" s="14"/>
      <c r="J425" s="14"/>
      <c r="K425" s="12"/>
    </row>
    <row r="426" ht="19.5" customHeight="1">
      <c r="A426" s="12"/>
      <c r="C426" s="12"/>
      <c r="D426" s="13"/>
      <c r="F426" s="14"/>
      <c r="G426" s="14"/>
      <c r="H426" s="14"/>
      <c r="I426" s="14"/>
      <c r="J426" s="14"/>
      <c r="K426" s="12"/>
    </row>
    <row r="427" ht="19.5" customHeight="1">
      <c r="A427" s="12"/>
      <c r="C427" s="12"/>
      <c r="D427" s="13"/>
      <c r="F427" s="14"/>
      <c r="G427" s="14"/>
      <c r="H427" s="14"/>
      <c r="I427" s="14"/>
      <c r="J427" s="14"/>
      <c r="K427" s="12"/>
    </row>
    <row r="428" ht="19.5" customHeight="1">
      <c r="A428" s="12"/>
      <c r="C428" s="12"/>
      <c r="D428" s="13"/>
      <c r="F428" s="14"/>
      <c r="G428" s="14"/>
      <c r="H428" s="14"/>
      <c r="I428" s="14"/>
      <c r="J428" s="14"/>
      <c r="K428" s="12"/>
    </row>
    <row r="429" ht="19.5" customHeight="1">
      <c r="A429" s="12"/>
      <c r="C429" s="12"/>
      <c r="D429" s="13"/>
      <c r="F429" s="14"/>
      <c r="G429" s="14"/>
      <c r="H429" s="14"/>
      <c r="I429" s="14"/>
      <c r="J429" s="14"/>
      <c r="K429" s="12"/>
    </row>
    <row r="430" ht="19.5" customHeight="1">
      <c r="A430" s="12"/>
      <c r="C430" s="12"/>
      <c r="D430" s="13"/>
      <c r="F430" s="14"/>
      <c r="G430" s="14"/>
      <c r="H430" s="14"/>
      <c r="I430" s="14"/>
      <c r="J430" s="14"/>
      <c r="K430" s="12"/>
    </row>
    <row r="431" ht="19.5" customHeight="1">
      <c r="A431" s="12"/>
      <c r="C431" s="12"/>
      <c r="D431" s="13"/>
      <c r="F431" s="14"/>
      <c r="G431" s="14"/>
      <c r="H431" s="14"/>
      <c r="I431" s="14"/>
      <c r="J431" s="14"/>
      <c r="K431" s="12"/>
    </row>
    <row r="432" ht="19.5" customHeight="1">
      <c r="A432" s="12"/>
      <c r="C432" s="12"/>
      <c r="D432" s="13"/>
      <c r="F432" s="14"/>
      <c r="G432" s="14"/>
      <c r="H432" s="14"/>
      <c r="I432" s="14"/>
      <c r="J432" s="14"/>
      <c r="K432" s="12"/>
    </row>
    <row r="433" ht="19.5" customHeight="1">
      <c r="A433" s="12"/>
      <c r="C433" s="12"/>
      <c r="D433" s="13"/>
      <c r="F433" s="14"/>
      <c r="G433" s="14"/>
      <c r="H433" s="14"/>
      <c r="I433" s="14"/>
      <c r="J433" s="14"/>
      <c r="K433" s="12"/>
    </row>
    <row r="434" ht="19.5" customHeight="1">
      <c r="A434" s="12"/>
      <c r="C434" s="12"/>
      <c r="D434" s="13"/>
      <c r="F434" s="14"/>
      <c r="G434" s="14"/>
      <c r="H434" s="14"/>
      <c r="I434" s="14"/>
      <c r="J434" s="14"/>
      <c r="K434" s="12"/>
    </row>
    <row r="435" ht="19.5" customHeight="1">
      <c r="A435" s="12"/>
      <c r="C435" s="12"/>
      <c r="D435" s="13"/>
      <c r="F435" s="14"/>
      <c r="G435" s="14"/>
      <c r="H435" s="14"/>
      <c r="I435" s="14"/>
      <c r="J435" s="14"/>
      <c r="K435" s="12"/>
    </row>
    <row r="436" ht="19.5" customHeight="1">
      <c r="A436" s="12"/>
      <c r="C436" s="12"/>
      <c r="D436" s="13"/>
      <c r="F436" s="14"/>
      <c r="G436" s="14"/>
      <c r="H436" s="14"/>
      <c r="I436" s="14"/>
      <c r="J436" s="14"/>
      <c r="K436" s="12"/>
    </row>
    <row r="437" ht="19.5" customHeight="1">
      <c r="A437" s="12"/>
      <c r="C437" s="12"/>
      <c r="D437" s="13"/>
      <c r="F437" s="14"/>
      <c r="G437" s="14"/>
      <c r="H437" s="14"/>
      <c r="I437" s="14"/>
      <c r="J437" s="14"/>
      <c r="K437" s="12"/>
    </row>
    <row r="438" ht="19.5" customHeight="1">
      <c r="A438" s="12"/>
      <c r="C438" s="12"/>
      <c r="D438" s="13"/>
      <c r="F438" s="14"/>
      <c r="G438" s="14"/>
      <c r="H438" s="14"/>
      <c r="I438" s="14"/>
      <c r="J438" s="14"/>
      <c r="K438" s="12"/>
    </row>
    <row r="439" ht="19.5" customHeight="1">
      <c r="A439" s="12"/>
      <c r="C439" s="12"/>
      <c r="D439" s="13"/>
      <c r="F439" s="14"/>
      <c r="G439" s="14"/>
      <c r="H439" s="14"/>
      <c r="I439" s="14"/>
      <c r="J439" s="14"/>
      <c r="K439" s="12"/>
    </row>
    <row r="440" ht="19.5" customHeight="1">
      <c r="A440" s="12"/>
      <c r="C440" s="12"/>
      <c r="D440" s="13"/>
      <c r="F440" s="14"/>
      <c r="G440" s="14"/>
      <c r="H440" s="14"/>
      <c r="I440" s="14"/>
      <c r="J440" s="14"/>
      <c r="K440" s="12"/>
    </row>
    <row r="441" ht="19.5" customHeight="1">
      <c r="A441" s="12"/>
      <c r="C441" s="12"/>
      <c r="D441" s="13"/>
      <c r="F441" s="14"/>
      <c r="G441" s="14"/>
      <c r="H441" s="14"/>
      <c r="I441" s="14"/>
      <c r="J441" s="14"/>
      <c r="K441" s="12"/>
    </row>
    <row r="442" ht="19.5" customHeight="1">
      <c r="A442" s="12"/>
      <c r="C442" s="12"/>
      <c r="D442" s="13"/>
      <c r="F442" s="14"/>
      <c r="G442" s="14"/>
      <c r="H442" s="14"/>
      <c r="I442" s="14"/>
      <c r="J442" s="14"/>
      <c r="K442" s="12"/>
    </row>
    <row r="443" ht="19.5" customHeight="1">
      <c r="A443" s="12"/>
      <c r="C443" s="12"/>
      <c r="D443" s="13"/>
      <c r="F443" s="14"/>
      <c r="G443" s="14"/>
      <c r="H443" s="14"/>
      <c r="I443" s="14"/>
      <c r="J443" s="14"/>
      <c r="K443" s="12"/>
    </row>
    <row r="444" ht="19.5" customHeight="1">
      <c r="A444" s="12"/>
      <c r="C444" s="12"/>
      <c r="D444" s="13"/>
      <c r="F444" s="14"/>
      <c r="G444" s="14"/>
      <c r="H444" s="14"/>
      <c r="I444" s="14"/>
      <c r="J444" s="14"/>
      <c r="K444" s="12"/>
    </row>
    <row r="445" ht="19.5" customHeight="1">
      <c r="A445" s="12"/>
      <c r="C445" s="12"/>
      <c r="D445" s="13"/>
      <c r="F445" s="14"/>
      <c r="G445" s="14"/>
      <c r="H445" s="14"/>
      <c r="I445" s="14"/>
      <c r="J445" s="14"/>
      <c r="K445" s="12"/>
    </row>
    <row r="446" ht="19.5" customHeight="1">
      <c r="A446" s="12"/>
      <c r="C446" s="12"/>
      <c r="D446" s="13"/>
      <c r="F446" s="14"/>
      <c r="G446" s="14"/>
      <c r="H446" s="14"/>
      <c r="I446" s="14"/>
      <c r="J446" s="14"/>
      <c r="K446" s="12"/>
    </row>
    <row r="447" ht="19.5" customHeight="1">
      <c r="A447" s="12"/>
      <c r="C447" s="12"/>
      <c r="D447" s="13"/>
      <c r="F447" s="14"/>
      <c r="G447" s="14"/>
      <c r="H447" s="14"/>
      <c r="I447" s="14"/>
      <c r="J447" s="14"/>
      <c r="K447" s="12"/>
    </row>
    <row r="448" ht="19.5" customHeight="1">
      <c r="A448" s="12"/>
      <c r="C448" s="12"/>
      <c r="D448" s="13"/>
      <c r="F448" s="14"/>
      <c r="G448" s="14"/>
      <c r="H448" s="14"/>
      <c r="I448" s="14"/>
      <c r="J448" s="14"/>
      <c r="K448" s="12"/>
    </row>
    <row r="449" ht="19.5" customHeight="1">
      <c r="A449" s="12"/>
      <c r="C449" s="12"/>
      <c r="D449" s="13"/>
      <c r="F449" s="14"/>
      <c r="G449" s="14"/>
      <c r="H449" s="14"/>
      <c r="I449" s="14"/>
      <c r="J449" s="14"/>
      <c r="K449" s="12"/>
    </row>
    <row r="450" ht="19.5" customHeight="1">
      <c r="A450" s="12"/>
      <c r="C450" s="12"/>
      <c r="D450" s="13"/>
      <c r="F450" s="14"/>
      <c r="G450" s="14"/>
      <c r="H450" s="14"/>
      <c r="I450" s="14"/>
      <c r="J450" s="14"/>
      <c r="K450" s="12"/>
    </row>
    <row r="451" ht="19.5" customHeight="1">
      <c r="A451" s="12"/>
      <c r="C451" s="12"/>
      <c r="D451" s="13"/>
      <c r="F451" s="14"/>
      <c r="G451" s="14"/>
      <c r="H451" s="14"/>
      <c r="I451" s="14"/>
      <c r="J451" s="14"/>
      <c r="K451" s="12"/>
    </row>
    <row r="452" ht="19.5" customHeight="1">
      <c r="A452" s="12"/>
      <c r="C452" s="12"/>
      <c r="D452" s="13"/>
      <c r="F452" s="14"/>
      <c r="G452" s="14"/>
      <c r="H452" s="14"/>
      <c r="I452" s="14"/>
      <c r="J452" s="14"/>
      <c r="K452" s="12"/>
    </row>
    <row r="453" ht="19.5" customHeight="1">
      <c r="A453" s="12"/>
      <c r="C453" s="12"/>
      <c r="D453" s="13"/>
      <c r="F453" s="14"/>
      <c r="G453" s="14"/>
      <c r="H453" s="14"/>
      <c r="I453" s="14"/>
      <c r="J453" s="14"/>
      <c r="K453" s="12"/>
    </row>
    <row r="454" ht="19.5" customHeight="1">
      <c r="A454" s="12"/>
      <c r="C454" s="12"/>
      <c r="D454" s="13"/>
      <c r="F454" s="14"/>
      <c r="G454" s="14"/>
      <c r="H454" s="14"/>
      <c r="I454" s="14"/>
      <c r="J454" s="14"/>
      <c r="K454" s="12"/>
    </row>
    <row r="455" ht="19.5" customHeight="1">
      <c r="A455" s="12"/>
      <c r="C455" s="12"/>
      <c r="D455" s="13"/>
      <c r="F455" s="14"/>
      <c r="G455" s="14"/>
      <c r="H455" s="14"/>
      <c r="I455" s="14"/>
      <c r="J455" s="14"/>
      <c r="K455" s="12"/>
    </row>
    <row r="456" ht="19.5" customHeight="1">
      <c r="A456" s="12"/>
      <c r="C456" s="12"/>
      <c r="D456" s="13"/>
      <c r="F456" s="14"/>
      <c r="G456" s="14"/>
      <c r="H456" s="14"/>
      <c r="I456" s="14"/>
      <c r="J456" s="14"/>
      <c r="K456" s="12"/>
    </row>
    <row r="457" ht="19.5" customHeight="1">
      <c r="A457" s="12"/>
      <c r="C457" s="12"/>
      <c r="D457" s="13"/>
      <c r="F457" s="14"/>
      <c r="G457" s="14"/>
      <c r="H457" s="14"/>
      <c r="I457" s="14"/>
      <c r="J457" s="14"/>
      <c r="K457" s="12"/>
    </row>
    <row r="458" ht="19.5" customHeight="1">
      <c r="A458" s="12"/>
      <c r="C458" s="12"/>
      <c r="D458" s="13"/>
      <c r="F458" s="14"/>
      <c r="G458" s="14"/>
      <c r="H458" s="14"/>
      <c r="I458" s="14"/>
      <c r="J458" s="14"/>
      <c r="K458" s="12"/>
    </row>
    <row r="459" ht="19.5" customHeight="1">
      <c r="A459" s="12"/>
      <c r="C459" s="12"/>
      <c r="D459" s="13"/>
      <c r="F459" s="14"/>
      <c r="G459" s="14"/>
      <c r="H459" s="14"/>
      <c r="I459" s="14"/>
      <c r="J459" s="14"/>
      <c r="K459" s="12"/>
    </row>
    <row r="460" ht="19.5" customHeight="1">
      <c r="A460" s="12"/>
      <c r="C460" s="12"/>
      <c r="D460" s="13"/>
      <c r="F460" s="14"/>
      <c r="G460" s="14"/>
      <c r="H460" s="14"/>
      <c r="I460" s="14"/>
      <c r="J460" s="14"/>
      <c r="K460" s="12"/>
    </row>
    <row r="461" ht="19.5" customHeight="1">
      <c r="A461" s="12"/>
      <c r="C461" s="12"/>
      <c r="D461" s="13"/>
      <c r="F461" s="14"/>
      <c r="G461" s="14"/>
      <c r="H461" s="14"/>
      <c r="I461" s="14"/>
      <c r="J461" s="14"/>
      <c r="K461" s="12"/>
    </row>
    <row r="462" ht="19.5" customHeight="1">
      <c r="A462" s="12"/>
      <c r="C462" s="12"/>
      <c r="D462" s="13"/>
      <c r="F462" s="14"/>
      <c r="G462" s="14"/>
      <c r="H462" s="14"/>
      <c r="I462" s="14"/>
      <c r="J462" s="14"/>
      <c r="K462" s="12"/>
    </row>
    <row r="463" ht="19.5" customHeight="1">
      <c r="A463" s="12"/>
      <c r="C463" s="12"/>
      <c r="D463" s="13"/>
      <c r="F463" s="14"/>
      <c r="G463" s="14"/>
      <c r="H463" s="14"/>
      <c r="I463" s="14"/>
      <c r="J463" s="14"/>
      <c r="K463" s="12"/>
    </row>
    <row r="464" ht="19.5" customHeight="1">
      <c r="A464" s="12"/>
      <c r="C464" s="12"/>
      <c r="D464" s="13"/>
      <c r="F464" s="14"/>
      <c r="G464" s="14"/>
      <c r="H464" s="14"/>
      <c r="I464" s="14"/>
      <c r="J464" s="14"/>
      <c r="K464" s="12"/>
    </row>
    <row r="465" ht="19.5" customHeight="1">
      <c r="A465" s="12"/>
      <c r="C465" s="12"/>
      <c r="D465" s="13"/>
      <c r="F465" s="14"/>
      <c r="G465" s="14"/>
      <c r="H465" s="14"/>
      <c r="I465" s="14"/>
      <c r="J465" s="14"/>
      <c r="K465" s="12"/>
    </row>
    <row r="466" ht="19.5" customHeight="1">
      <c r="A466" s="12"/>
      <c r="C466" s="12"/>
      <c r="D466" s="13"/>
      <c r="F466" s="14"/>
      <c r="G466" s="14"/>
      <c r="H466" s="14"/>
      <c r="I466" s="14"/>
      <c r="J466" s="14"/>
      <c r="K466" s="12"/>
    </row>
    <row r="467" ht="19.5" customHeight="1">
      <c r="A467" s="12"/>
      <c r="C467" s="12"/>
      <c r="D467" s="13"/>
      <c r="F467" s="14"/>
      <c r="G467" s="14"/>
      <c r="H467" s="14"/>
      <c r="I467" s="14"/>
      <c r="J467" s="14"/>
      <c r="K467" s="12"/>
    </row>
    <row r="468" ht="19.5" customHeight="1">
      <c r="A468" s="12"/>
      <c r="C468" s="12"/>
      <c r="D468" s="13"/>
      <c r="F468" s="14"/>
      <c r="G468" s="14"/>
      <c r="H468" s="14"/>
      <c r="I468" s="14"/>
      <c r="J468" s="14"/>
      <c r="K468" s="12"/>
    </row>
    <row r="469" ht="19.5" customHeight="1">
      <c r="A469" s="12"/>
      <c r="C469" s="12"/>
      <c r="D469" s="13"/>
      <c r="F469" s="14"/>
      <c r="G469" s="14"/>
      <c r="H469" s="14"/>
      <c r="I469" s="14"/>
      <c r="J469" s="14"/>
      <c r="K469" s="12"/>
    </row>
    <row r="470" ht="19.5" customHeight="1">
      <c r="A470" s="12"/>
      <c r="C470" s="12"/>
      <c r="D470" s="13"/>
      <c r="F470" s="14"/>
      <c r="G470" s="14"/>
      <c r="H470" s="14"/>
      <c r="I470" s="14"/>
      <c r="J470" s="14"/>
      <c r="K470" s="12"/>
    </row>
    <row r="471" ht="19.5" customHeight="1">
      <c r="A471" s="12"/>
      <c r="C471" s="12"/>
      <c r="D471" s="13"/>
      <c r="F471" s="14"/>
      <c r="G471" s="14"/>
      <c r="H471" s="14"/>
      <c r="I471" s="14"/>
      <c r="J471" s="14"/>
      <c r="K471" s="12"/>
    </row>
    <row r="472" ht="19.5" customHeight="1">
      <c r="A472" s="12"/>
      <c r="C472" s="12"/>
      <c r="D472" s="13"/>
      <c r="F472" s="14"/>
      <c r="G472" s="14"/>
      <c r="H472" s="14"/>
      <c r="I472" s="14"/>
      <c r="J472" s="14"/>
      <c r="K472" s="12"/>
    </row>
    <row r="473" ht="19.5" customHeight="1">
      <c r="A473" s="12"/>
      <c r="C473" s="12"/>
      <c r="D473" s="13"/>
      <c r="F473" s="14"/>
      <c r="G473" s="14"/>
      <c r="H473" s="14"/>
      <c r="I473" s="14"/>
      <c r="J473" s="14"/>
      <c r="K473" s="12"/>
    </row>
    <row r="474" ht="19.5" customHeight="1">
      <c r="A474" s="12"/>
      <c r="C474" s="12"/>
      <c r="D474" s="13"/>
      <c r="F474" s="14"/>
      <c r="G474" s="14"/>
      <c r="H474" s="14"/>
      <c r="I474" s="14"/>
      <c r="J474" s="14"/>
      <c r="K474" s="12"/>
    </row>
    <row r="475" ht="19.5" customHeight="1">
      <c r="A475" s="12"/>
      <c r="C475" s="12"/>
      <c r="D475" s="13"/>
      <c r="F475" s="14"/>
      <c r="G475" s="14"/>
      <c r="H475" s="14"/>
      <c r="I475" s="14"/>
      <c r="J475" s="14"/>
      <c r="K475" s="12"/>
    </row>
    <row r="476" ht="19.5" customHeight="1">
      <c r="A476" s="12"/>
      <c r="C476" s="12"/>
      <c r="D476" s="13"/>
      <c r="F476" s="14"/>
      <c r="G476" s="14"/>
      <c r="H476" s="14"/>
      <c r="I476" s="14"/>
      <c r="J476" s="14"/>
      <c r="K476" s="12"/>
    </row>
    <row r="477" ht="19.5" customHeight="1">
      <c r="A477" s="12"/>
      <c r="C477" s="12"/>
      <c r="D477" s="13"/>
      <c r="F477" s="14"/>
      <c r="G477" s="14"/>
      <c r="H477" s="14"/>
      <c r="I477" s="14"/>
      <c r="J477" s="14"/>
      <c r="K477" s="12"/>
    </row>
    <row r="478" ht="19.5" customHeight="1">
      <c r="A478" s="12"/>
      <c r="C478" s="12"/>
      <c r="D478" s="13"/>
      <c r="F478" s="14"/>
      <c r="G478" s="14"/>
      <c r="H478" s="14"/>
      <c r="I478" s="14"/>
      <c r="J478" s="14"/>
      <c r="K478" s="12"/>
    </row>
    <row r="479" ht="19.5" customHeight="1">
      <c r="A479" s="12"/>
      <c r="C479" s="12"/>
      <c r="D479" s="13"/>
      <c r="F479" s="14"/>
      <c r="G479" s="14"/>
      <c r="H479" s="14"/>
      <c r="I479" s="14"/>
      <c r="J479" s="14"/>
      <c r="K479" s="12"/>
    </row>
    <row r="480" ht="19.5" customHeight="1">
      <c r="A480" s="12"/>
      <c r="C480" s="12"/>
      <c r="D480" s="13"/>
      <c r="F480" s="14"/>
      <c r="G480" s="14"/>
      <c r="H480" s="14"/>
      <c r="I480" s="14"/>
      <c r="J480" s="14"/>
      <c r="K480" s="12"/>
    </row>
    <row r="481" ht="19.5" customHeight="1">
      <c r="A481" s="12"/>
      <c r="C481" s="12"/>
      <c r="D481" s="13"/>
      <c r="F481" s="14"/>
      <c r="G481" s="14"/>
      <c r="H481" s="14"/>
      <c r="I481" s="14"/>
      <c r="J481" s="14"/>
      <c r="K481" s="12"/>
    </row>
    <row r="482" ht="19.5" customHeight="1">
      <c r="A482" s="12"/>
      <c r="C482" s="12"/>
      <c r="D482" s="13"/>
      <c r="F482" s="14"/>
      <c r="G482" s="14"/>
      <c r="H482" s="14"/>
      <c r="I482" s="14"/>
      <c r="J482" s="14"/>
      <c r="K482" s="12"/>
    </row>
    <row r="483" ht="19.5" customHeight="1">
      <c r="A483" s="12"/>
      <c r="C483" s="12"/>
      <c r="D483" s="13"/>
      <c r="F483" s="14"/>
      <c r="G483" s="14"/>
      <c r="H483" s="14"/>
      <c r="I483" s="14"/>
      <c r="J483" s="14"/>
      <c r="K483" s="12"/>
    </row>
    <row r="484" ht="19.5" customHeight="1">
      <c r="A484" s="12"/>
      <c r="C484" s="12"/>
      <c r="D484" s="13"/>
      <c r="F484" s="14"/>
      <c r="G484" s="14"/>
      <c r="H484" s="14"/>
      <c r="I484" s="14"/>
      <c r="J484" s="14"/>
      <c r="K484" s="12"/>
    </row>
    <row r="485" ht="19.5" customHeight="1">
      <c r="A485" s="12"/>
      <c r="C485" s="12"/>
      <c r="D485" s="13"/>
      <c r="F485" s="14"/>
      <c r="G485" s="14"/>
      <c r="H485" s="14"/>
      <c r="I485" s="14"/>
      <c r="J485" s="14"/>
      <c r="K485" s="12"/>
    </row>
    <row r="486" ht="19.5" customHeight="1">
      <c r="A486" s="12"/>
      <c r="C486" s="12"/>
      <c r="D486" s="13"/>
      <c r="F486" s="14"/>
      <c r="G486" s="14"/>
      <c r="H486" s="14"/>
      <c r="I486" s="14"/>
      <c r="J486" s="14"/>
      <c r="K486" s="12"/>
    </row>
    <row r="487" ht="19.5" customHeight="1">
      <c r="A487" s="12"/>
      <c r="C487" s="12"/>
      <c r="D487" s="13"/>
      <c r="F487" s="14"/>
      <c r="G487" s="14"/>
      <c r="H487" s="14"/>
      <c r="I487" s="14"/>
      <c r="J487" s="14"/>
      <c r="K487" s="12"/>
    </row>
    <row r="488" ht="19.5" customHeight="1">
      <c r="A488" s="12"/>
      <c r="C488" s="12"/>
      <c r="D488" s="13"/>
      <c r="F488" s="14"/>
      <c r="G488" s="14"/>
      <c r="H488" s="14"/>
      <c r="I488" s="14"/>
      <c r="J488" s="14"/>
      <c r="K488" s="12"/>
    </row>
    <row r="489" ht="19.5" customHeight="1">
      <c r="A489" s="12"/>
      <c r="C489" s="12"/>
      <c r="D489" s="13"/>
      <c r="F489" s="14"/>
      <c r="G489" s="14"/>
      <c r="H489" s="14"/>
      <c r="I489" s="14"/>
      <c r="J489" s="14"/>
      <c r="K489" s="12"/>
    </row>
    <row r="490" ht="19.5" customHeight="1">
      <c r="A490" s="12"/>
      <c r="C490" s="12"/>
      <c r="D490" s="13"/>
      <c r="F490" s="14"/>
      <c r="G490" s="14"/>
      <c r="H490" s="14"/>
      <c r="I490" s="14"/>
      <c r="J490" s="14"/>
      <c r="K490" s="12"/>
    </row>
    <row r="491" ht="19.5" customHeight="1">
      <c r="A491" s="12"/>
      <c r="C491" s="12"/>
      <c r="D491" s="13"/>
      <c r="F491" s="14"/>
      <c r="G491" s="14"/>
      <c r="H491" s="14"/>
      <c r="I491" s="14"/>
      <c r="J491" s="14"/>
      <c r="K491" s="12"/>
    </row>
    <row r="492" ht="19.5" customHeight="1">
      <c r="A492" s="12"/>
      <c r="C492" s="12"/>
      <c r="D492" s="13"/>
      <c r="F492" s="14"/>
      <c r="G492" s="14"/>
      <c r="H492" s="14"/>
      <c r="I492" s="14"/>
      <c r="J492" s="14"/>
      <c r="K492" s="12"/>
    </row>
    <row r="493" ht="19.5" customHeight="1">
      <c r="A493" s="12"/>
      <c r="C493" s="12"/>
      <c r="D493" s="13"/>
      <c r="F493" s="14"/>
      <c r="G493" s="14"/>
      <c r="H493" s="14"/>
      <c r="I493" s="14"/>
      <c r="J493" s="14"/>
      <c r="K493" s="12"/>
    </row>
    <row r="494" ht="19.5" customHeight="1">
      <c r="A494" s="12"/>
      <c r="C494" s="12"/>
      <c r="D494" s="13"/>
      <c r="F494" s="14"/>
      <c r="G494" s="14"/>
      <c r="H494" s="14"/>
      <c r="I494" s="14"/>
      <c r="J494" s="14"/>
      <c r="K494" s="12"/>
    </row>
    <row r="495" ht="19.5" customHeight="1">
      <c r="A495" s="12"/>
      <c r="C495" s="12"/>
      <c r="D495" s="13"/>
      <c r="F495" s="14"/>
      <c r="G495" s="14"/>
      <c r="H495" s="14"/>
      <c r="I495" s="14"/>
      <c r="J495" s="14"/>
      <c r="K495" s="12"/>
    </row>
    <row r="496" ht="19.5" customHeight="1">
      <c r="A496" s="12"/>
      <c r="C496" s="12"/>
      <c r="D496" s="13"/>
      <c r="F496" s="14"/>
      <c r="G496" s="14"/>
      <c r="H496" s="14"/>
      <c r="I496" s="14"/>
      <c r="J496" s="14"/>
      <c r="K496" s="12"/>
    </row>
    <row r="497" ht="19.5" customHeight="1">
      <c r="A497" s="12"/>
      <c r="C497" s="12"/>
      <c r="D497" s="13"/>
      <c r="F497" s="14"/>
      <c r="G497" s="14"/>
      <c r="H497" s="14"/>
      <c r="I497" s="14"/>
      <c r="J497" s="14"/>
      <c r="K497" s="12"/>
    </row>
    <row r="498" ht="19.5" customHeight="1">
      <c r="A498" s="12"/>
      <c r="C498" s="12"/>
      <c r="D498" s="13"/>
      <c r="F498" s="14"/>
      <c r="G498" s="14"/>
      <c r="H498" s="14"/>
      <c r="I498" s="14"/>
      <c r="J498" s="14"/>
      <c r="K498" s="12"/>
    </row>
    <row r="499" ht="19.5" customHeight="1">
      <c r="A499" s="12"/>
      <c r="C499" s="12"/>
      <c r="D499" s="13"/>
      <c r="F499" s="14"/>
      <c r="G499" s="14"/>
      <c r="H499" s="14"/>
      <c r="I499" s="14"/>
      <c r="J499" s="14"/>
      <c r="K499" s="12"/>
    </row>
    <row r="500" ht="19.5" customHeight="1">
      <c r="A500" s="12"/>
      <c r="C500" s="12"/>
      <c r="D500" s="13"/>
      <c r="F500" s="14"/>
      <c r="G500" s="14"/>
      <c r="H500" s="14"/>
      <c r="I500" s="14"/>
      <c r="J500" s="14"/>
      <c r="K500" s="12"/>
    </row>
    <row r="501" ht="19.5" customHeight="1">
      <c r="A501" s="12"/>
      <c r="C501" s="12"/>
      <c r="D501" s="13"/>
      <c r="F501" s="14"/>
      <c r="G501" s="14"/>
      <c r="H501" s="14"/>
      <c r="I501" s="14"/>
      <c r="J501" s="14"/>
      <c r="K501" s="12"/>
    </row>
    <row r="502" ht="19.5" customHeight="1">
      <c r="A502" s="12"/>
      <c r="C502" s="12"/>
      <c r="D502" s="13"/>
      <c r="F502" s="14"/>
      <c r="G502" s="14"/>
      <c r="H502" s="14"/>
      <c r="I502" s="14"/>
      <c r="J502" s="14"/>
      <c r="K502" s="12"/>
    </row>
    <row r="503" ht="19.5" customHeight="1">
      <c r="A503" s="12"/>
      <c r="C503" s="12"/>
      <c r="D503" s="13"/>
      <c r="F503" s="14"/>
      <c r="G503" s="14"/>
      <c r="H503" s="14"/>
      <c r="I503" s="14"/>
      <c r="J503" s="14"/>
      <c r="K503" s="12"/>
    </row>
    <row r="504" ht="19.5" customHeight="1">
      <c r="A504" s="12"/>
      <c r="C504" s="12"/>
      <c r="D504" s="13"/>
      <c r="F504" s="14"/>
      <c r="G504" s="14"/>
      <c r="H504" s="14"/>
      <c r="I504" s="14"/>
      <c r="J504" s="14"/>
      <c r="K504" s="12"/>
    </row>
    <row r="505" ht="19.5" customHeight="1">
      <c r="A505" s="12"/>
      <c r="C505" s="12"/>
      <c r="D505" s="13"/>
      <c r="F505" s="14"/>
      <c r="G505" s="14"/>
      <c r="H505" s="14"/>
      <c r="I505" s="14"/>
      <c r="J505" s="14"/>
      <c r="K505" s="12"/>
    </row>
    <row r="506" ht="19.5" customHeight="1">
      <c r="A506" s="12"/>
      <c r="C506" s="12"/>
      <c r="D506" s="13"/>
      <c r="F506" s="14"/>
      <c r="G506" s="14"/>
      <c r="H506" s="14"/>
      <c r="I506" s="14"/>
      <c r="J506" s="14"/>
      <c r="K506" s="12"/>
    </row>
    <row r="507" ht="19.5" customHeight="1">
      <c r="A507" s="12"/>
      <c r="C507" s="12"/>
      <c r="D507" s="13"/>
      <c r="F507" s="14"/>
      <c r="G507" s="14"/>
      <c r="H507" s="14"/>
      <c r="I507" s="14"/>
      <c r="J507" s="14"/>
      <c r="K507" s="12"/>
    </row>
    <row r="508" ht="19.5" customHeight="1">
      <c r="A508" s="12"/>
      <c r="C508" s="12"/>
      <c r="D508" s="13"/>
      <c r="F508" s="14"/>
      <c r="G508" s="14"/>
      <c r="H508" s="14"/>
      <c r="I508" s="14"/>
      <c r="J508" s="14"/>
      <c r="K508" s="12"/>
    </row>
    <row r="509" ht="19.5" customHeight="1">
      <c r="A509" s="12"/>
      <c r="C509" s="12"/>
      <c r="D509" s="13"/>
      <c r="F509" s="14"/>
      <c r="G509" s="14"/>
      <c r="H509" s="14"/>
      <c r="I509" s="14"/>
      <c r="J509" s="14"/>
      <c r="K509" s="12"/>
    </row>
    <row r="510" ht="19.5" customHeight="1">
      <c r="A510" s="12"/>
      <c r="C510" s="12"/>
      <c r="D510" s="13"/>
      <c r="F510" s="14"/>
      <c r="G510" s="14"/>
      <c r="H510" s="14"/>
      <c r="I510" s="14"/>
      <c r="J510" s="14"/>
      <c r="K510" s="12"/>
    </row>
    <row r="511" ht="19.5" customHeight="1">
      <c r="A511" s="12"/>
      <c r="C511" s="12"/>
      <c r="D511" s="13"/>
      <c r="F511" s="14"/>
      <c r="G511" s="14"/>
      <c r="H511" s="14"/>
      <c r="I511" s="14"/>
      <c r="J511" s="14"/>
      <c r="K511" s="12"/>
    </row>
    <row r="512" ht="19.5" customHeight="1">
      <c r="A512" s="12"/>
      <c r="C512" s="12"/>
      <c r="D512" s="13"/>
      <c r="F512" s="14"/>
      <c r="G512" s="14"/>
      <c r="H512" s="14"/>
      <c r="I512" s="14"/>
      <c r="J512" s="14"/>
      <c r="K512" s="12"/>
    </row>
    <row r="513" ht="19.5" customHeight="1">
      <c r="A513" s="12"/>
      <c r="C513" s="12"/>
      <c r="D513" s="13"/>
      <c r="F513" s="14"/>
      <c r="G513" s="14"/>
      <c r="H513" s="14"/>
      <c r="I513" s="14"/>
      <c r="J513" s="14"/>
      <c r="K513" s="12"/>
    </row>
    <row r="514" ht="19.5" customHeight="1">
      <c r="A514" s="12"/>
      <c r="C514" s="12"/>
      <c r="D514" s="13"/>
      <c r="F514" s="14"/>
      <c r="G514" s="14"/>
      <c r="H514" s="14"/>
      <c r="I514" s="14"/>
      <c r="J514" s="14"/>
      <c r="K514" s="12"/>
    </row>
    <row r="515" ht="19.5" customHeight="1">
      <c r="A515" s="12"/>
      <c r="C515" s="12"/>
      <c r="D515" s="13"/>
      <c r="F515" s="14"/>
      <c r="G515" s="14"/>
      <c r="H515" s="14"/>
      <c r="I515" s="14"/>
      <c r="J515" s="14"/>
      <c r="K515" s="12"/>
    </row>
    <row r="516" ht="19.5" customHeight="1">
      <c r="A516" s="12"/>
      <c r="C516" s="12"/>
      <c r="D516" s="13"/>
      <c r="F516" s="14"/>
      <c r="G516" s="14"/>
      <c r="H516" s="14"/>
      <c r="I516" s="14"/>
      <c r="J516" s="14"/>
      <c r="K516" s="12"/>
    </row>
    <row r="517" ht="19.5" customHeight="1">
      <c r="A517" s="12"/>
      <c r="C517" s="12"/>
      <c r="D517" s="13"/>
      <c r="F517" s="14"/>
      <c r="G517" s="14"/>
      <c r="H517" s="14"/>
      <c r="I517" s="14"/>
      <c r="J517" s="14"/>
      <c r="K517" s="12"/>
    </row>
    <row r="518" ht="19.5" customHeight="1">
      <c r="A518" s="12"/>
      <c r="C518" s="12"/>
      <c r="D518" s="13"/>
      <c r="F518" s="14"/>
      <c r="G518" s="14"/>
      <c r="H518" s="14"/>
      <c r="I518" s="14"/>
      <c r="J518" s="14"/>
      <c r="K518" s="12"/>
    </row>
    <row r="519" ht="19.5" customHeight="1">
      <c r="A519" s="12"/>
      <c r="C519" s="12"/>
      <c r="D519" s="13"/>
      <c r="F519" s="14"/>
      <c r="G519" s="14"/>
      <c r="H519" s="14"/>
      <c r="I519" s="14"/>
      <c r="J519" s="14"/>
      <c r="K519" s="12"/>
    </row>
    <row r="520" ht="19.5" customHeight="1">
      <c r="A520" s="12"/>
      <c r="C520" s="12"/>
      <c r="D520" s="13"/>
      <c r="F520" s="14"/>
      <c r="G520" s="14"/>
      <c r="H520" s="14"/>
      <c r="I520" s="14"/>
      <c r="J520" s="14"/>
      <c r="K520" s="12"/>
    </row>
    <row r="521" ht="19.5" customHeight="1">
      <c r="A521" s="12"/>
      <c r="C521" s="12"/>
      <c r="D521" s="13"/>
      <c r="F521" s="14"/>
      <c r="G521" s="14"/>
      <c r="H521" s="14"/>
      <c r="I521" s="14"/>
      <c r="J521" s="14"/>
      <c r="K521" s="12"/>
    </row>
    <row r="522" ht="19.5" customHeight="1">
      <c r="A522" s="12"/>
      <c r="C522" s="12"/>
      <c r="D522" s="13"/>
      <c r="F522" s="14"/>
      <c r="G522" s="14"/>
      <c r="H522" s="14"/>
      <c r="I522" s="14"/>
      <c r="J522" s="14"/>
      <c r="K522" s="12"/>
    </row>
    <row r="523" ht="19.5" customHeight="1">
      <c r="A523" s="12"/>
      <c r="C523" s="12"/>
      <c r="D523" s="13"/>
      <c r="F523" s="14"/>
      <c r="G523" s="14"/>
      <c r="H523" s="14"/>
      <c r="I523" s="14"/>
      <c r="J523" s="14"/>
      <c r="K523" s="12"/>
    </row>
    <row r="524" ht="19.5" customHeight="1">
      <c r="A524" s="12"/>
      <c r="C524" s="12"/>
      <c r="D524" s="13"/>
      <c r="F524" s="14"/>
      <c r="G524" s="14"/>
      <c r="H524" s="14"/>
      <c r="I524" s="14"/>
      <c r="J524" s="14"/>
      <c r="K524" s="12"/>
    </row>
    <row r="525" ht="19.5" customHeight="1">
      <c r="A525" s="12"/>
      <c r="C525" s="12"/>
      <c r="D525" s="13"/>
      <c r="F525" s="14"/>
      <c r="G525" s="14"/>
      <c r="H525" s="14"/>
      <c r="I525" s="14"/>
      <c r="J525" s="14"/>
      <c r="K525" s="12"/>
    </row>
    <row r="526" ht="19.5" customHeight="1">
      <c r="A526" s="12"/>
      <c r="C526" s="12"/>
      <c r="D526" s="13"/>
      <c r="F526" s="14"/>
      <c r="G526" s="14"/>
      <c r="H526" s="14"/>
      <c r="I526" s="14"/>
      <c r="J526" s="14"/>
      <c r="K526" s="12"/>
    </row>
    <row r="527" ht="19.5" customHeight="1">
      <c r="A527" s="12"/>
      <c r="C527" s="12"/>
      <c r="D527" s="13"/>
      <c r="F527" s="14"/>
      <c r="G527" s="14"/>
      <c r="H527" s="14"/>
      <c r="I527" s="14"/>
      <c r="J527" s="14"/>
      <c r="K527" s="12"/>
    </row>
    <row r="528" ht="19.5" customHeight="1">
      <c r="A528" s="12"/>
      <c r="C528" s="12"/>
      <c r="D528" s="13"/>
      <c r="F528" s="14"/>
      <c r="G528" s="14"/>
      <c r="H528" s="14"/>
      <c r="I528" s="14"/>
      <c r="J528" s="14"/>
      <c r="K528" s="12"/>
    </row>
    <row r="529" ht="19.5" customHeight="1">
      <c r="A529" s="12"/>
      <c r="C529" s="12"/>
      <c r="D529" s="13"/>
      <c r="F529" s="14"/>
      <c r="G529" s="14"/>
      <c r="H529" s="14"/>
      <c r="I529" s="14"/>
      <c r="J529" s="14"/>
      <c r="K529" s="12"/>
    </row>
    <row r="530" ht="19.5" customHeight="1">
      <c r="A530" s="12"/>
      <c r="C530" s="12"/>
      <c r="D530" s="13"/>
      <c r="F530" s="14"/>
      <c r="G530" s="14"/>
      <c r="H530" s="14"/>
      <c r="I530" s="14"/>
      <c r="J530" s="14"/>
      <c r="K530" s="12"/>
    </row>
    <row r="531" ht="19.5" customHeight="1">
      <c r="A531" s="12"/>
      <c r="C531" s="12"/>
      <c r="D531" s="13"/>
      <c r="F531" s="14"/>
      <c r="G531" s="14"/>
      <c r="H531" s="14"/>
      <c r="I531" s="14"/>
      <c r="J531" s="14"/>
      <c r="K531" s="12"/>
    </row>
    <row r="532" ht="19.5" customHeight="1">
      <c r="A532" s="12"/>
      <c r="C532" s="12"/>
      <c r="D532" s="13"/>
      <c r="F532" s="14"/>
      <c r="G532" s="14"/>
      <c r="H532" s="14"/>
      <c r="I532" s="14"/>
      <c r="J532" s="14"/>
      <c r="K532" s="12"/>
    </row>
    <row r="533" ht="19.5" customHeight="1">
      <c r="A533" s="12"/>
      <c r="C533" s="12"/>
      <c r="D533" s="13"/>
      <c r="F533" s="14"/>
      <c r="G533" s="14"/>
      <c r="H533" s="14"/>
      <c r="I533" s="14"/>
      <c r="J533" s="14"/>
      <c r="K533" s="12"/>
    </row>
    <row r="534" ht="19.5" customHeight="1">
      <c r="A534" s="12"/>
      <c r="C534" s="12"/>
      <c r="D534" s="13"/>
      <c r="F534" s="14"/>
      <c r="G534" s="14"/>
      <c r="H534" s="14"/>
      <c r="I534" s="14"/>
      <c r="J534" s="14"/>
      <c r="K534" s="12"/>
    </row>
    <row r="535" ht="19.5" customHeight="1">
      <c r="A535" s="12"/>
      <c r="C535" s="12"/>
      <c r="D535" s="13"/>
      <c r="F535" s="14"/>
      <c r="G535" s="14"/>
      <c r="H535" s="14"/>
      <c r="I535" s="14"/>
      <c r="J535" s="14"/>
      <c r="K535" s="12"/>
    </row>
    <row r="536" ht="19.5" customHeight="1">
      <c r="A536" s="12"/>
      <c r="C536" s="12"/>
      <c r="D536" s="13"/>
      <c r="F536" s="14"/>
      <c r="G536" s="14"/>
      <c r="H536" s="14"/>
      <c r="I536" s="14"/>
      <c r="J536" s="14"/>
      <c r="K536" s="12"/>
    </row>
    <row r="537" ht="19.5" customHeight="1">
      <c r="A537" s="12"/>
      <c r="C537" s="12"/>
      <c r="D537" s="13"/>
      <c r="F537" s="14"/>
      <c r="G537" s="14"/>
      <c r="H537" s="14"/>
      <c r="I537" s="14"/>
      <c r="J537" s="14"/>
      <c r="K537" s="12"/>
    </row>
    <row r="538" ht="19.5" customHeight="1">
      <c r="A538" s="12"/>
      <c r="C538" s="12"/>
      <c r="D538" s="13"/>
      <c r="F538" s="14"/>
      <c r="G538" s="14"/>
      <c r="H538" s="14"/>
      <c r="I538" s="14"/>
      <c r="J538" s="14"/>
      <c r="K538" s="12"/>
    </row>
    <row r="539" ht="19.5" customHeight="1">
      <c r="A539" s="12"/>
      <c r="C539" s="12"/>
      <c r="D539" s="13"/>
      <c r="F539" s="14"/>
      <c r="G539" s="14"/>
      <c r="H539" s="14"/>
      <c r="I539" s="14"/>
      <c r="J539" s="14"/>
      <c r="K539" s="12"/>
    </row>
    <row r="540" ht="19.5" customHeight="1">
      <c r="A540" s="12"/>
      <c r="C540" s="12"/>
      <c r="D540" s="13"/>
      <c r="F540" s="14"/>
      <c r="G540" s="14"/>
      <c r="H540" s="14"/>
      <c r="I540" s="14"/>
      <c r="J540" s="14"/>
      <c r="K540" s="12"/>
    </row>
    <row r="541" ht="19.5" customHeight="1">
      <c r="A541" s="12"/>
      <c r="C541" s="12"/>
      <c r="D541" s="13"/>
      <c r="F541" s="14"/>
      <c r="G541" s="14"/>
      <c r="H541" s="14"/>
      <c r="I541" s="14"/>
      <c r="J541" s="14"/>
      <c r="K541" s="12"/>
    </row>
    <row r="542" ht="19.5" customHeight="1">
      <c r="A542" s="12"/>
      <c r="C542" s="12"/>
      <c r="D542" s="13"/>
      <c r="F542" s="14"/>
      <c r="G542" s="14"/>
      <c r="H542" s="14"/>
      <c r="I542" s="14"/>
      <c r="J542" s="14"/>
      <c r="K542" s="12"/>
    </row>
    <row r="543" ht="19.5" customHeight="1">
      <c r="A543" s="12"/>
      <c r="C543" s="12"/>
      <c r="D543" s="13"/>
      <c r="F543" s="14"/>
      <c r="G543" s="14"/>
      <c r="H543" s="14"/>
      <c r="I543" s="14"/>
      <c r="J543" s="14"/>
      <c r="K543" s="12"/>
    </row>
    <row r="544" ht="19.5" customHeight="1">
      <c r="A544" s="12"/>
      <c r="C544" s="12"/>
      <c r="D544" s="13"/>
      <c r="F544" s="14"/>
      <c r="G544" s="14"/>
      <c r="H544" s="14"/>
      <c r="I544" s="14"/>
      <c r="J544" s="14"/>
      <c r="K544" s="12"/>
    </row>
    <row r="545" ht="19.5" customHeight="1">
      <c r="A545" s="12"/>
      <c r="C545" s="12"/>
      <c r="D545" s="13"/>
      <c r="F545" s="14"/>
      <c r="G545" s="14"/>
      <c r="H545" s="14"/>
      <c r="I545" s="14"/>
      <c r="J545" s="14"/>
      <c r="K545" s="12"/>
    </row>
    <row r="546" ht="19.5" customHeight="1">
      <c r="A546" s="12"/>
      <c r="C546" s="12"/>
      <c r="D546" s="13"/>
      <c r="F546" s="14"/>
      <c r="G546" s="14"/>
      <c r="H546" s="14"/>
      <c r="I546" s="14"/>
      <c r="J546" s="14"/>
      <c r="K546" s="12"/>
    </row>
    <row r="547" ht="19.5" customHeight="1">
      <c r="A547" s="12"/>
      <c r="C547" s="12"/>
      <c r="D547" s="13"/>
      <c r="F547" s="14"/>
      <c r="G547" s="14"/>
      <c r="H547" s="14"/>
      <c r="I547" s="14"/>
      <c r="J547" s="14"/>
      <c r="K547" s="12"/>
    </row>
    <row r="548" ht="19.5" customHeight="1">
      <c r="A548" s="12"/>
      <c r="C548" s="12"/>
      <c r="D548" s="13"/>
      <c r="F548" s="14"/>
      <c r="G548" s="14"/>
      <c r="H548" s="14"/>
      <c r="I548" s="14"/>
      <c r="J548" s="14"/>
      <c r="K548" s="12"/>
    </row>
    <row r="549" ht="19.5" customHeight="1">
      <c r="A549" s="12"/>
      <c r="C549" s="12"/>
      <c r="D549" s="13"/>
      <c r="F549" s="14"/>
      <c r="G549" s="14"/>
      <c r="H549" s="14"/>
      <c r="I549" s="14"/>
      <c r="J549" s="14"/>
      <c r="K549" s="12"/>
    </row>
    <row r="550" ht="19.5" customHeight="1">
      <c r="A550" s="12"/>
      <c r="C550" s="12"/>
      <c r="D550" s="13"/>
      <c r="F550" s="14"/>
      <c r="G550" s="14"/>
      <c r="H550" s="14"/>
      <c r="I550" s="14"/>
      <c r="J550" s="14"/>
      <c r="K550" s="12"/>
    </row>
    <row r="551" ht="19.5" customHeight="1">
      <c r="A551" s="12"/>
      <c r="C551" s="12"/>
      <c r="D551" s="13"/>
      <c r="F551" s="14"/>
      <c r="G551" s="14"/>
      <c r="H551" s="14"/>
      <c r="I551" s="14"/>
      <c r="J551" s="14"/>
      <c r="K551" s="12"/>
    </row>
    <row r="552" ht="19.5" customHeight="1">
      <c r="A552" s="12"/>
      <c r="C552" s="12"/>
      <c r="D552" s="13"/>
      <c r="F552" s="14"/>
      <c r="G552" s="14"/>
      <c r="H552" s="14"/>
      <c r="I552" s="14"/>
      <c r="J552" s="14"/>
      <c r="K552" s="12"/>
    </row>
    <row r="553" ht="19.5" customHeight="1">
      <c r="A553" s="12"/>
      <c r="C553" s="12"/>
      <c r="D553" s="13"/>
      <c r="F553" s="14"/>
      <c r="G553" s="14"/>
      <c r="H553" s="14"/>
      <c r="I553" s="14"/>
      <c r="J553" s="14"/>
      <c r="K553" s="12"/>
    </row>
    <row r="554" ht="19.5" customHeight="1">
      <c r="A554" s="12"/>
      <c r="C554" s="12"/>
      <c r="D554" s="13"/>
      <c r="F554" s="14"/>
      <c r="G554" s="14"/>
      <c r="H554" s="14"/>
      <c r="I554" s="14"/>
      <c r="J554" s="14"/>
      <c r="K554" s="12"/>
    </row>
    <row r="555" ht="19.5" customHeight="1">
      <c r="A555" s="12"/>
      <c r="C555" s="12"/>
      <c r="D555" s="13"/>
      <c r="F555" s="14"/>
      <c r="G555" s="14"/>
      <c r="H555" s="14"/>
      <c r="I555" s="14"/>
      <c r="J555" s="14"/>
      <c r="K555" s="12"/>
    </row>
    <row r="556" ht="19.5" customHeight="1">
      <c r="A556" s="12"/>
      <c r="C556" s="12"/>
      <c r="D556" s="13"/>
      <c r="F556" s="14"/>
      <c r="G556" s="14"/>
      <c r="H556" s="14"/>
      <c r="I556" s="14"/>
      <c r="J556" s="14"/>
      <c r="K556" s="12"/>
    </row>
    <row r="557" ht="19.5" customHeight="1">
      <c r="A557" s="12"/>
      <c r="C557" s="12"/>
      <c r="D557" s="13"/>
      <c r="F557" s="14"/>
      <c r="G557" s="14"/>
      <c r="H557" s="14"/>
      <c r="I557" s="14"/>
      <c r="J557" s="14"/>
      <c r="K557" s="12"/>
    </row>
    <row r="558" ht="19.5" customHeight="1">
      <c r="A558" s="12"/>
      <c r="C558" s="12"/>
      <c r="D558" s="13"/>
      <c r="F558" s="14"/>
      <c r="G558" s="14"/>
      <c r="H558" s="14"/>
      <c r="I558" s="14"/>
      <c r="J558" s="14"/>
      <c r="K558" s="12"/>
    </row>
    <row r="559" ht="19.5" customHeight="1">
      <c r="A559" s="12"/>
      <c r="C559" s="12"/>
      <c r="D559" s="13"/>
      <c r="F559" s="14"/>
      <c r="G559" s="14"/>
      <c r="H559" s="14"/>
      <c r="I559" s="14"/>
      <c r="J559" s="14"/>
      <c r="K559" s="12"/>
    </row>
    <row r="560" ht="19.5" customHeight="1">
      <c r="A560" s="12"/>
      <c r="C560" s="12"/>
      <c r="D560" s="13"/>
      <c r="F560" s="14"/>
      <c r="G560" s="14"/>
      <c r="H560" s="14"/>
      <c r="I560" s="14"/>
      <c r="J560" s="14"/>
      <c r="K560" s="12"/>
    </row>
    <row r="561" ht="19.5" customHeight="1">
      <c r="A561" s="12"/>
      <c r="C561" s="12"/>
      <c r="D561" s="13"/>
      <c r="F561" s="14"/>
      <c r="G561" s="14"/>
      <c r="H561" s="14"/>
      <c r="I561" s="14"/>
      <c r="J561" s="14"/>
      <c r="K561" s="12"/>
    </row>
    <row r="562" ht="19.5" customHeight="1">
      <c r="A562" s="12"/>
      <c r="C562" s="12"/>
      <c r="D562" s="13"/>
      <c r="F562" s="14"/>
      <c r="G562" s="14"/>
      <c r="H562" s="14"/>
      <c r="I562" s="14"/>
      <c r="J562" s="14"/>
      <c r="K562" s="12"/>
    </row>
    <row r="563" ht="19.5" customHeight="1">
      <c r="A563" s="12"/>
      <c r="C563" s="12"/>
      <c r="D563" s="13"/>
      <c r="F563" s="14"/>
      <c r="G563" s="14"/>
      <c r="H563" s="14"/>
      <c r="I563" s="14"/>
      <c r="J563" s="14"/>
      <c r="K563" s="12"/>
    </row>
    <row r="564" ht="19.5" customHeight="1">
      <c r="A564" s="12"/>
      <c r="C564" s="12"/>
      <c r="D564" s="13"/>
      <c r="F564" s="14"/>
      <c r="G564" s="14"/>
      <c r="H564" s="14"/>
      <c r="I564" s="14"/>
      <c r="J564" s="14"/>
      <c r="K564" s="12"/>
    </row>
    <row r="565" ht="19.5" customHeight="1">
      <c r="A565" s="12"/>
      <c r="C565" s="12"/>
      <c r="D565" s="13"/>
      <c r="F565" s="14"/>
      <c r="G565" s="14"/>
      <c r="H565" s="14"/>
      <c r="I565" s="14"/>
      <c r="J565" s="14"/>
      <c r="K565" s="12"/>
    </row>
    <row r="566" ht="19.5" customHeight="1">
      <c r="A566" s="12"/>
      <c r="C566" s="12"/>
      <c r="D566" s="13"/>
      <c r="F566" s="14"/>
      <c r="G566" s="14"/>
      <c r="H566" s="14"/>
      <c r="I566" s="14"/>
      <c r="J566" s="14"/>
      <c r="K566" s="12"/>
    </row>
    <row r="567" ht="19.5" customHeight="1">
      <c r="A567" s="12"/>
      <c r="C567" s="12"/>
      <c r="D567" s="13"/>
      <c r="F567" s="14"/>
      <c r="G567" s="14"/>
      <c r="H567" s="14"/>
      <c r="I567" s="14"/>
      <c r="J567" s="14"/>
      <c r="K567" s="12"/>
    </row>
    <row r="568" ht="19.5" customHeight="1">
      <c r="A568" s="12"/>
      <c r="C568" s="12"/>
      <c r="D568" s="13"/>
      <c r="F568" s="14"/>
      <c r="G568" s="14"/>
      <c r="H568" s="14"/>
      <c r="I568" s="14"/>
      <c r="J568" s="14"/>
      <c r="K568" s="12"/>
    </row>
    <row r="569" ht="19.5" customHeight="1">
      <c r="A569" s="12"/>
      <c r="C569" s="12"/>
      <c r="D569" s="13"/>
      <c r="F569" s="14"/>
      <c r="G569" s="14"/>
      <c r="H569" s="14"/>
      <c r="I569" s="14"/>
      <c r="J569" s="14"/>
      <c r="K569" s="12"/>
    </row>
    <row r="570" ht="19.5" customHeight="1">
      <c r="A570" s="12"/>
      <c r="C570" s="12"/>
      <c r="D570" s="13"/>
      <c r="F570" s="14"/>
      <c r="G570" s="14"/>
      <c r="H570" s="14"/>
      <c r="I570" s="14"/>
      <c r="J570" s="14"/>
      <c r="K570" s="12"/>
    </row>
    <row r="571" ht="19.5" customHeight="1">
      <c r="A571" s="12"/>
      <c r="C571" s="12"/>
      <c r="D571" s="13"/>
      <c r="F571" s="14"/>
      <c r="G571" s="14"/>
      <c r="H571" s="14"/>
      <c r="I571" s="14"/>
      <c r="J571" s="14"/>
      <c r="K571" s="12"/>
    </row>
    <row r="572" ht="19.5" customHeight="1">
      <c r="A572" s="12"/>
      <c r="C572" s="12"/>
      <c r="D572" s="13"/>
      <c r="F572" s="14"/>
      <c r="G572" s="14"/>
      <c r="H572" s="14"/>
      <c r="I572" s="14"/>
      <c r="J572" s="14"/>
      <c r="K572" s="12"/>
    </row>
    <row r="573" ht="19.5" customHeight="1">
      <c r="A573" s="12"/>
      <c r="C573" s="12"/>
      <c r="D573" s="13"/>
      <c r="F573" s="14"/>
      <c r="G573" s="14"/>
      <c r="H573" s="14"/>
      <c r="I573" s="14"/>
      <c r="J573" s="14"/>
      <c r="K573" s="12"/>
    </row>
    <row r="574" ht="19.5" customHeight="1">
      <c r="A574" s="12"/>
      <c r="C574" s="12"/>
      <c r="D574" s="13"/>
      <c r="F574" s="14"/>
      <c r="G574" s="14"/>
      <c r="H574" s="14"/>
      <c r="I574" s="14"/>
      <c r="J574" s="14"/>
      <c r="K574" s="12"/>
    </row>
    <row r="575" ht="19.5" customHeight="1">
      <c r="A575" s="12"/>
      <c r="C575" s="12"/>
      <c r="D575" s="13"/>
      <c r="F575" s="14"/>
      <c r="G575" s="14"/>
      <c r="H575" s="14"/>
      <c r="I575" s="14"/>
      <c r="J575" s="14"/>
      <c r="K575" s="12"/>
    </row>
    <row r="576" ht="19.5" customHeight="1">
      <c r="A576" s="12"/>
      <c r="C576" s="12"/>
      <c r="D576" s="13"/>
      <c r="F576" s="14"/>
      <c r="G576" s="14"/>
      <c r="H576" s="14"/>
      <c r="I576" s="14"/>
      <c r="J576" s="14"/>
      <c r="K576" s="12"/>
    </row>
    <row r="577" ht="19.5" customHeight="1">
      <c r="A577" s="12"/>
      <c r="C577" s="12"/>
      <c r="D577" s="13"/>
      <c r="F577" s="14"/>
      <c r="G577" s="14"/>
      <c r="H577" s="14"/>
      <c r="I577" s="14"/>
      <c r="J577" s="14"/>
      <c r="K577" s="12"/>
    </row>
    <row r="578" ht="19.5" customHeight="1">
      <c r="A578" s="12"/>
      <c r="C578" s="12"/>
      <c r="D578" s="13"/>
      <c r="F578" s="14"/>
      <c r="G578" s="14"/>
      <c r="H578" s="14"/>
      <c r="I578" s="14"/>
      <c r="J578" s="14"/>
      <c r="K578" s="12"/>
    </row>
    <row r="579" ht="19.5" customHeight="1">
      <c r="A579" s="12"/>
      <c r="C579" s="12"/>
      <c r="D579" s="13"/>
      <c r="F579" s="14"/>
      <c r="G579" s="14"/>
      <c r="H579" s="14"/>
      <c r="I579" s="14"/>
      <c r="J579" s="14"/>
      <c r="K579" s="12"/>
    </row>
    <row r="580" ht="19.5" customHeight="1">
      <c r="A580" s="12"/>
      <c r="C580" s="12"/>
      <c r="D580" s="13"/>
      <c r="F580" s="14"/>
      <c r="G580" s="14"/>
      <c r="H580" s="14"/>
      <c r="I580" s="14"/>
      <c r="J580" s="14"/>
      <c r="K580" s="12"/>
    </row>
    <row r="581" ht="19.5" customHeight="1">
      <c r="A581" s="12"/>
      <c r="C581" s="12"/>
      <c r="D581" s="13"/>
      <c r="F581" s="14"/>
      <c r="G581" s="14"/>
      <c r="H581" s="14"/>
      <c r="I581" s="14"/>
      <c r="J581" s="14"/>
      <c r="K581" s="12"/>
    </row>
    <row r="582" ht="19.5" customHeight="1">
      <c r="A582" s="12"/>
      <c r="C582" s="12"/>
      <c r="D582" s="13"/>
      <c r="F582" s="14"/>
      <c r="G582" s="14"/>
      <c r="H582" s="14"/>
      <c r="I582" s="14"/>
      <c r="J582" s="14"/>
      <c r="K582" s="12"/>
    </row>
    <row r="583" ht="19.5" customHeight="1">
      <c r="A583" s="12"/>
      <c r="C583" s="12"/>
      <c r="D583" s="13"/>
      <c r="F583" s="14"/>
      <c r="G583" s="14"/>
      <c r="H583" s="14"/>
      <c r="I583" s="14"/>
      <c r="J583" s="14"/>
      <c r="K583" s="12"/>
    </row>
    <row r="584" ht="19.5" customHeight="1">
      <c r="A584" s="12"/>
      <c r="C584" s="12"/>
      <c r="D584" s="13"/>
      <c r="F584" s="14"/>
      <c r="G584" s="14"/>
      <c r="H584" s="14"/>
      <c r="I584" s="14"/>
      <c r="J584" s="14"/>
      <c r="K584" s="12"/>
    </row>
    <row r="585" ht="19.5" customHeight="1">
      <c r="A585" s="12"/>
      <c r="C585" s="12"/>
      <c r="D585" s="13"/>
      <c r="F585" s="14"/>
      <c r="G585" s="14"/>
      <c r="H585" s="14"/>
      <c r="I585" s="14"/>
      <c r="J585" s="14"/>
      <c r="K585" s="12"/>
    </row>
    <row r="586" ht="19.5" customHeight="1">
      <c r="A586" s="12"/>
      <c r="C586" s="12"/>
      <c r="D586" s="13"/>
      <c r="F586" s="14"/>
      <c r="G586" s="14"/>
      <c r="H586" s="14"/>
      <c r="I586" s="14"/>
      <c r="J586" s="14"/>
      <c r="K586" s="12"/>
    </row>
    <row r="587" ht="19.5" customHeight="1">
      <c r="A587" s="12"/>
      <c r="C587" s="12"/>
      <c r="D587" s="13"/>
      <c r="F587" s="14"/>
      <c r="G587" s="14"/>
      <c r="H587" s="14"/>
      <c r="I587" s="14"/>
      <c r="J587" s="14"/>
      <c r="K587" s="12"/>
    </row>
    <row r="588" ht="19.5" customHeight="1">
      <c r="A588" s="12"/>
      <c r="C588" s="12"/>
      <c r="D588" s="13"/>
      <c r="F588" s="14"/>
      <c r="G588" s="14"/>
      <c r="H588" s="14"/>
      <c r="I588" s="14"/>
      <c r="J588" s="14"/>
      <c r="K588" s="12"/>
    </row>
    <row r="589" ht="19.5" customHeight="1">
      <c r="A589" s="12"/>
      <c r="C589" s="12"/>
      <c r="D589" s="13"/>
      <c r="F589" s="14"/>
      <c r="G589" s="14"/>
      <c r="H589" s="14"/>
      <c r="I589" s="14"/>
      <c r="J589" s="14"/>
      <c r="K589" s="12"/>
    </row>
    <row r="590" ht="19.5" customHeight="1">
      <c r="A590" s="12"/>
      <c r="C590" s="12"/>
      <c r="D590" s="13"/>
      <c r="F590" s="14"/>
      <c r="G590" s="14"/>
      <c r="H590" s="14"/>
      <c r="I590" s="14"/>
      <c r="J590" s="14"/>
      <c r="K590" s="12"/>
    </row>
    <row r="591" ht="19.5" customHeight="1">
      <c r="A591" s="12"/>
      <c r="C591" s="12"/>
      <c r="D591" s="13"/>
      <c r="F591" s="14"/>
      <c r="G591" s="14"/>
      <c r="H591" s="14"/>
      <c r="I591" s="14"/>
      <c r="J591" s="14"/>
      <c r="K591" s="12"/>
    </row>
    <row r="592" ht="19.5" customHeight="1">
      <c r="A592" s="12"/>
      <c r="C592" s="12"/>
      <c r="D592" s="13"/>
      <c r="F592" s="14"/>
      <c r="G592" s="14"/>
      <c r="H592" s="14"/>
      <c r="I592" s="14"/>
      <c r="J592" s="14"/>
      <c r="K592" s="12"/>
    </row>
    <row r="593" ht="19.5" customHeight="1">
      <c r="A593" s="12"/>
      <c r="C593" s="12"/>
      <c r="D593" s="13"/>
      <c r="F593" s="14"/>
      <c r="G593" s="14"/>
      <c r="H593" s="14"/>
      <c r="I593" s="14"/>
      <c r="J593" s="14"/>
      <c r="K593" s="12"/>
    </row>
    <row r="594" ht="19.5" customHeight="1">
      <c r="A594" s="12"/>
      <c r="C594" s="12"/>
      <c r="D594" s="13"/>
      <c r="F594" s="14"/>
      <c r="G594" s="14"/>
      <c r="H594" s="14"/>
      <c r="I594" s="14"/>
      <c r="J594" s="14"/>
      <c r="K594" s="12"/>
    </row>
    <row r="595" ht="19.5" customHeight="1">
      <c r="A595" s="12"/>
      <c r="C595" s="12"/>
      <c r="D595" s="13"/>
      <c r="F595" s="14"/>
      <c r="G595" s="14"/>
      <c r="H595" s="14"/>
      <c r="I595" s="14"/>
      <c r="J595" s="14"/>
      <c r="K595" s="12"/>
    </row>
    <row r="596" ht="19.5" customHeight="1">
      <c r="A596" s="12"/>
      <c r="C596" s="12"/>
      <c r="D596" s="13"/>
      <c r="F596" s="14"/>
      <c r="G596" s="14"/>
      <c r="H596" s="14"/>
      <c r="I596" s="14"/>
      <c r="J596" s="14"/>
      <c r="K596" s="12"/>
    </row>
    <row r="597" ht="19.5" customHeight="1">
      <c r="A597" s="12"/>
      <c r="C597" s="12"/>
      <c r="D597" s="13"/>
      <c r="F597" s="14"/>
      <c r="G597" s="14"/>
      <c r="H597" s="14"/>
      <c r="I597" s="14"/>
      <c r="J597" s="14"/>
      <c r="K597" s="12"/>
    </row>
    <row r="598" ht="19.5" customHeight="1">
      <c r="A598" s="12"/>
      <c r="C598" s="12"/>
      <c r="D598" s="13"/>
      <c r="F598" s="14"/>
      <c r="G598" s="14"/>
      <c r="H598" s="14"/>
      <c r="I598" s="14"/>
      <c r="J598" s="14"/>
      <c r="K598" s="12"/>
    </row>
    <row r="599" ht="19.5" customHeight="1">
      <c r="A599" s="12"/>
      <c r="C599" s="12"/>
      <c r="D599" s="13"/>
      <c r="F599" s="14"/>
      <c r="G599" s="14"/>
      <c r="H599" s="14"/>
      <c r="I599" s="14"/>
      <c r="J599" s="14"/>
      <c r="K599" s="12"/>
    </row>
    <row r="600" ht="19.5" customHeight="1">
      <c r="A600" s="12"/>
      <c r="C600" s="12"/>
      <c r="D600" s="13"/>
      <c r="F600" s="14"/>
      <c r="G600" s="14"/>
      <c r="H600" s="14"/>
      <c r="I600" s="14"/>
      <c r="J600" s="14"/>
      <c r="K600" s="12"/>
    </row>
    <row r="601" ht="19.5" customHeight="1">
      <c r="A601" s="12"/>
      <c r="C601" s="12"/>
      <c r="D601" s="13"/>
      <c r="F601" s="14"/>
      <c r="G601" s="14"/>
      <c r="H601" s="14"/>
      <c r="I601" s="14"/>
      <c r="J601" s="14"/>
      <c r="K601" s="12"/>
    </row>
    <row r="602" ht="19.5" customHeight="1">
      <c r="A602" s="12"/>
      <c r="C602" s="12"/>
      <c r="D602" s="13"/>
      <c r="F602" s="14"/>
      <c r="G602" s="14"/>
      <c r="H602" s="14"/>
      <c r="I602" s="14"/>
      <c r="J602" s="14"/>
      <c r="K602" s="12"/>
    </row>
    <row r="603" ht="19.5" customHeight="1">
      <c r="A603" s="12"/>
      <c r="C603" s="12"/>
      <c r="D603" s="13"/>
      <c r="F603" s="14"/>
      <c r="G603" s="14"/>
      <c r="H603" s="14"/>
      <c r="I603" s="14"/>
      <c r="J603" s="14"/>
      <c r="K603" s="12"/>
    </row>
    <row r="604" ht="19.5" customHeight="1">
      <c r="A604" s="12"/>
      <c r="C604" s="12"/>
      <c r="D604" s="13"/>
      <c r="F604" s="14"/>
      <c r="G604" s="14"/>
      <c r="H604" s="14"/>
      <c r="I604" s="14"/>
      <c r="J604" s="14"/>
      <c r="K604" s="12"/>
    </row>
    <row r="605" ht="19.5" customHeight="1">
      <c r="A605" s="12"/>
      <c r="C605" s="12"/>
      <c r="D605" s="13"/>
      <c r="F605" s="14"/>
      <c r="G605" s="14"/>
      <c r="H605" s="14"/>
      <c r="I605" s="14"/>
      <c r="J605" s="14"/>
      <c r="K605" s="12"/>
    </row>
    <row r="606" ht="19.5" customHeight="1">
      <c r="A606" s="12"/>
      <c r="C606" s="12"/>
      <c r="D606" s="13"/>
      <c r="F606" s="14"/>
      <c r="G606" s="14"/>
      <c r="H606" s="14"/>
      <c r="I606" s="14"/>
      <c r="J606" s="14"/>
      <c r="K606" s="12"/>
    </row>
    <row r="607" ht="19.5" customHeight="1">
      <c r="A607" s="12"/>
      <c r="C607" s="12"/>
      <c r="D607" s="13"/>
      <c r="F607" s="14"/>
      <c r="G607" s="14"/>
      <c r="H607" s="14"/>
      <c r="I607" s="14"/>
      <c r="J607" s="14"/>
      <c r="K607" s="12"/>
    </row>
    <row r="608" ht="19.5" customHeight="1">
      <c r="A608" s="12"/>
      <c r="C608" s="12"/>
      <c r="D608" s="13"/>
      <c r="F608" s="14"/>
      <c r="G608" s="14"/>
      <c r="H608" s="14"/>
      <c r="I608" s="14"/>
      <c r="J608" s="14"/>
      <c r="K608" s="12"/>
    </row>
    <row r="609" ht="19.5" customHeight="1">
      <c r="A609" s="12"/>
      <c r="C609" s="12"/>
      <c r="D609" s="13"/>
      <c r="F609" s="14"/>
      <c r="G609" s="14"/>
      <c r="H609" s="14"/>
      <c r="I609" s="14"/>
      <c r="J609" s="14"/>
      <c r="K609" s="12"/>
    </row>
    <row r="610" ht="19.5" customHeight="1">
      <c r="A610" s="12"/>
      <c r="C610" s="12"/>
      <c r="D610" s="13"/>
      <c r="F610" s="14"/>
      <c r="G610" s="14"/>
      <c r="H610" s="14"/>
      <c r="I610" s="14"/>
      <c r="J610" s="14"/>
      <c r="K610" s="12"/>
    </row>
    <row r="611" ht="19.5" customHeight="1">
      <c r="A611" s="12"/>
      <c r="C611" s="12"/>
      <c r="D611" s="13"/>
      <c r="F611" s="14"/>
      <c r="G611" s="14"/>
      <c r="H611" s="14"/>
      <c r="I611" s="14"/>
      <c r="J611" s="14"/>
      <c r="K611" s="12"/>
    </row>
    <row r="612" ht="19.5" customHeight="1">
      <c r="A612" s="12"/>
      <c r="C612" s="12"/>
      <c r="D612" s="13"/>
      <c r="F612" s="14"/>
      <c r="G612" s="14"/>
      <c r="H612" s="14"/>
      <c r="I612" s="14"/>
      <c r="J612" s="14"/>
      <c r="K612" s="12"/>
    </row>
    <row r="613" ht="19.5" customHeight="1">
      <c r="A613" s="12"/>
      <c r="C613" s="12"/>
      <c r="D613" s="13"/>
      <c r="F613" s="14"/>
      <c r="G613" s="14"/>
      <c r="H613" s="14"/>
      <c r="I613" s="14"/>
      <c r="J613" s="14"/>
      <c r="K613" s="12"/>
    </row>
    <row r="614" ht="19.5" customHeight="1">
      <c r="A614" s="12"/>
      <c r="C614" s="12"/>
      <c r="D614" s="13"/>
      <c r="F614" s="14"/>
      <c r="G614" s="14"/>
      <c r="H614" s="14"/>
      <c r="I614" s="14"/>
      <c r="J614" s="14"/>
      <c r="K614" s="12"/>
    </row>
    <row r="615" ht="19.5" customHeight="1">
      <c r="A615" s="12"/>
      <c r="C615" s="12"/>
      <c r="D615" s="13"/>
      <c r="F615" s="14"/>
      <c r="G615" s="14"/>
      <c r="H615" s="14"/>
      <c r="I615" s="14"/>
      <c r="J615" s="14"/>
      <c r="K615" s="12"/>
    </row>
    <row r="616" ht="19.5" customHeight="1">
      <c r="A616" s="12"/>
      <c r="C616" s="12"/>
      <c r="D616" s="13"/>
      <c r="F616" s="14"/>
      <c r="G616" s="14"/>
      <c r="H616" s="14"/>
      <c r="I616" s="14"/>
      <c r="J616" s="14"/>
      <c r="K616" s="12"/>
    </row>
    <row r="617" ht="19.5" customHeight="1">
      <c r="A617" s="12"/>
      <c r="C617" s="12"/>
      <c r="D617" s="13"/>
      <c r="F617" s="14"/>
      <c r="G617" s="14"/>
      <c r="H617" s="14"/>
      <c r="I617" s="14"/>
      <c r="J617" s="14"/>
      <c r="K617" s="12"/>
    </row>
    <row r="618" ht="19.5" customHeight="1">
      <c r="A618" s="12"/>
      <c r="C618" s="12"/>
      <c r="D618" s="13"/>
      <c r="F618" s="14"/>
      <c r="G618" s="14"/>
      <c r="H618" s="14"/>
      <c r="I618" s="14"/>
      <c r="J618" s="14"/>
      <c r="K618" s="12"/>
    </row>
    <row r="619" ht="19.5" customHeight="1">
      <c r="A619" s="12"/>
      <c r="C619" s="12"/>
      <c r="D619" s="13"/>
      <c r="F619" s="14"/>
      <c r="G619" s="14"/>
      <c r="H619" s="14"/>
      <c r="I619" s="14"/>
      <c r="J619" s="14"/>
      <c r="K619" s="12"/>
    </row>
    <row r="620" ht="19.5" customHeight="1">
      <c r="A620" s="12"/>
      <c r="C620" s="12"/>
      <c r="D620" s="13"/>
      <c r="F620" s="14"/>
      <c r="G620" s="14"/>
      <c r="H620" s="14"/>
      <c r="I620" s="14"/>
      <c r="J620" s="14"/>
      <c r="K620" s="12"/>
    </row>
    <row r="621" ht="19.5" customHeight="1">
      <c r="A621" s="12"/>
      <c r="C621" s="12"/>
      <c r="D621" s="13"/>
      <c r="F621" s="14"/>
      <c r="G621" s="14"/>
      <c r="H621" s="14"/>
      <c r="I621" s="14"/>
      <c r="J621" s="14"/>
      <c r="K621" s="12"/>
    </row>
    <row r="622" ht="19.5" customHeight="1">
      <c r="A622" s="12"/>
      <c r="C622" s="12"/>
      <c r="D622" s="13"/>
      <c r="F622" s="14"/>
      <c r="G622" s="14"/>
      <c r="H622" s="14"/>
      <c r="I622" s="14"/>
      <c r="J622" s="14"/>
      <c r="K622" s="12"/>
    </row>
    <row r="623" ht="19.5" customHeight="1">
      <c r="A623" s="12"/>
      <c r="C623" s="12"/>
      <c r="D623" s="13"/>
      <c r="F623" s="14"/>
      <c r="G623" s="14"/>
      <c r="H623" s="14"/>
      <c r="I623" s="14"/>
      <c r="J623" s="14"/>
      <c r="K623" s="12"/>
    </row>
    <row r="624" ht="19.5" customHeight="1">
      <c r="A624" s="12"/>
      <c r="C624" s="12"/>
      <c r="D624" s="13"/>
      <c r="F624" s="14"/>
      <c r="G624" s="14"/>
      <c r="H624" s="14"/>
      <c r="I624" s="14"/>
      <c r="J624" s="14"/>
      <c r="K624" s="12"/>
    </row>
    <row r="625" ht="19.5" customHeight="1">
      <c r="A625" s="12"/>
      <c r="C625" s="12"/>
      <c r="D625" s="13"/>
      <c r="F625" s="14"/>
      <c r="G625" s="14"/>
      <c r="H625" s="14"/>
      <c r="I625" s="14"/>
      <c r="J625" s="14"/>
      <c r="K625" s="12"/>
    </row>
    <row r="626" ht="19.5" customHeight="1">
      <c r="A626" s="12"/>
      <c r="C626" s="12"/>
      <c r="D626" s="13"/>
      <c r="F626" s="14"/>
      <c r="G626" s="14"/>
      <c r="H626" s="14"/>
      <c r="I626" s="14"/>
      <c r="J626" s="14"/>
      <c r="K626" s="12"/>
    </row>
    <row r="627" ht="19.5" customHeight="1">
      <c r="A627" s="12"/>
      <c r="C627" s="12"/>
      <c r="D627" s="13"/>
      <c r="F627" s="14"/>
      <c r="G627" s="14"/>
      <c r="H627" s="14"/>
      <c r="I627" s="14"/>
      <c r="J627" s="14"/>
      <c r="K627" s="12"/>
    </row>
    <row r="628" ht="19.5" customHeight="1">
      <c r="A628" s="12"/>
      <c r="C628" s="12"/>
      <c r="D628" s="13"/>
      <c r="F628" s="14"/>
      <c r="G628" s="14"/>
      <c r="H628" s="14"/>
      <c r="I628" s="14"/>
      <c r="J628" s="14"/>
      <c r="K628" s="12"/>
    </row>
    <row r="629" ht="19.5" customHeight="1">
      <c r="A629" s="12"/>
      <c r="C629" s="12"/>
      <c r="D629" s="13"/>
      <c r="F629" s="14"/>
      <c r="G629" s="14"/>
      <c r="H629" s="14"/>
      <c r="I629" s="14"/>
      <c r="J629" s="14"/>
      <c r="K629" s="12"/>
    </row>
    <row r="630" ht="19.5" customHeight="1">
      <c r="A630" s="12"/>
      <c r="C630" s="12"/>
      <c r="D630" s="13"/>
      <c r="F630" s="14"/>
      <c r="G630" s="14"/>
      <c r="H630" s="14"/>
      <c r="I630" s="14"/>
      <c r="J630" s="14"/>
      <c r="K630" s="12"/>
    </row>
    <row r="631" ht="19.5" customHeight="1">
      <c r="A631" s="12"/>
      <c r="C631" s="12"/>
      <c r="D631" s="13"/>
      <c r="F631" s="14"/>
      <c r="G631" s="14"/>
      <c r="H631" s="14"/>
      <c r="I631" s="14"/>
      <c r="J631" s="14"/>
      <c r="K631" s="12"/>
    </row>
    <row r="632" ht="19.5" customHeight="1">
      <c r="A632" s="12"/>
      <c r="C632" s="12"/>
      <c r="D632" s="13"/>
      <c r="F632" s="14"/>
      <c r="G632" s="14"/>
      <c r="H632" s="14"/>
      <c r="I632" s="14"/>
      <c r="J632" s="14"/>
      <c r="K632" s="12"/>
    </row>
    <row r="633" ht="19.5" customHeight="1">
      <c r="A633" s="12"/>
      <c r="C633" s="12"/>
      <c r="D633" s="13"/>
      <c r="F633" s="14"/>
      <c r="G633" s="14"/>
      <c r="H633" s="14"/>
      <c r="I633" s="14"/>
      <c r="J633" s="14"/>
      <c r="K633" s="12"/>
    </row>
    <row r="634" ht="19.5" customHeight="1">
      <c r="A634" s="12"/>
      <c r="C634" s="12"/>
      <c r="D634" s="13"/>
      <c r="F634" s="14"/>
      <c r="G634" s="14"/>
      <c r="H634" s="14"/>
      <c r="I634" s="14"/>
      <c r="J634" s="14"/>
      <c r="K634" s="12"/>
    </row>
    <row r="635" ht="19.5" customHeight="1">
      <c r="A635" s="12"/>
      <c r="C635" s="12"/>
      <c r="D635" s="13"/>
      <c r="F635" s="14"/>
      <c r="G635" s="14"/>
      <c r="H635" s="14"/>
      <c r="I635" s="14"/>
      <c r="J635" s="14"/>
      <c r="K635" s="12"/>
    </row>
    <row r="636" ht="19.5" customHeight="1">
      <c r="A636" s="12"/>
      <c r="C636" s="12"/>
      <c r="D636" s="13"/>
      <c r="F636" s="14"/>
      <c r="G636" s="14"/>
      <c r="H636" s="14"/>
      <c r="I636" s="14"/>
      <c r="J636" s="14"/>
      <c r="K636" s="12"/>
    </row>
    <row r="637" ht="19.5" customHeight="1">
      <c r="A637" s="12"/>
      <c r="C637" s="12"/>
      <c r="D637" s="13"/>
      <c r="F637" s="14"/>
      <c r="G637" s="14"/>
      <c r="H637" s="14"/>
      <c r="I637" s="14"/>
      <c r="J637" s="14"/>
      <c r="K637" s="12"/>
    </row>
    <row r="638" ht="19.5" customHeight="1">
      <c r="A638" s="12"/>
      <c r="C638" s="12"/>
      <c r="D638" s="13"/>
      <c r="F638" s="14"/>
      <c r="G638" s="14"/>
      <c r="H638" s="14"/>
      <c r="I638" s="14"/>
      <c r="J638" s="14"/>
      <c r="K638" s="12"/>
    </row>
    <row r="639" ht="19.5" customHeight="1">
      <c r="A639" s="12"/>
      <c r="C639" s="12"/>
      <c r="D639" s="13"/>
      <c r="F639" s="14"/>
      <c r="G639" s="14"/>
      <c r="H639" s="14"/>
      <c r="I639" s="14"/>
      <c r="J639" s="14"/>
      <c r="K639" s="12"/>
    </row>
    <row r="640" ht="19.5" customHeight="1">
      <c r="A640" s="12"/>
      <c r="C640" s="12"/>
      <c r="D640" s="13"/>
      <c r="F640" s="14"/>
      <c r="G640" s="14"/>
      <c r="H640" s="14"/>
      <c r="I640" s="14"/>
      <c r="J640" s="14"/>
      <c r="K640" s="12"/>
    </row>
    <row r="641" ht="19.5" customHeight="1">
      <c r="A641" s="12"/>
      <c r="C641" s="12"/>
      <c r="D641" s="13"/>
      <c r="F641" s="14"/>
      <c r="G641" s="14"/>
      <c r="H641" s="14"/>
      <c r="I641" s="14"/>
      <c r="J641" s="14"/>
      <c r="K641" s="12"/>
    </row>
    <row r="642" ht="19.5" customHeight="1">
      <c r="A642" s="12"/>
      <c r="C642" s="12"/>
      <c r="D642" s="13"/>
      <c r="F642" s="14"/>
      <c r="G642" s="14"/>
      <c r="H642" s="14"/>
      <c r="I642" s="14"/>
      <c r="J642" s="14"/>
      <c r="K642" s="12"/>
    </row>
    <row r="643" ht="19.5" customHeight="1">
      <c r="A643" s="12"/>
      <c r="C643" s="12"/>
      <c r="D643" s="13"/>
      <c r="F643" s="14"/>
      <c r="G643" s="14"/>
      <c r="H643" s="14"/>
      <c r="I643" s="14"/>
      <c r="J643" s="14"/>
      <c r="K643" s="12"/>
    </row>
    <row r="644" ht="19.5" customHeight="1">
      <c r="A644" s="12"/>
      <c r="C644" s="12"/>
      <c r="D644" s="13"/>
      <c r="F644" s="14"/>
      <c r="G644" s="14"/>
      <c r="H644" s="14"/>
      <c r="I644" s="14"/>
      <c r="J644" s="14"/>
      <c r="K644" s="12"/>
    </row>
    <row r="645" ht="19.5" customHeight="1">
      <c r="A645" s="12"/>
      <c r="C645" s="12"/>
      <c r="D645" s="13"/>
      <c r="F645" s="14"/>
      <c r="G645" s="14"/>
      <c r="H645" s="14"/>
      <c r="I645" s="14"/>
      <c r="J645" s="14"/>
      <c r="K645" s="12"/>
    </row>
    <row r="646" ht="19.5" customHeight="1">
      <c r="A646" s="12"/>
      <c r="C646" s="12"/>
      <c r="D646" s="13"/>
      <c r="F646" s="14"/>
      <c r="G646" s="14"/>
      <c r="H646" s="14"/>
      <c r="I646" s="14"/>
      <c r="J646" s="14"/>
      <c r="K646" s="12"/>
    </row>
    <row r="647" ht="19.5" customHeight="1">
      <c r="A647" s="12"/>
      <c r="C647" s="12"/>
      <c r="D647" s="13"/>
      <c r="F647" s="14"/>
      <c r="G647" s="14"/>
      <c r="H647" s="14"/>
      <c r="I647" s="14"/>
      <c r="J647" s="14"/>
      <c r="K647" s="12"/>
    </row>
    <row r="648" ht="19.5" customHeight="1">
      <c r="A648" s="12"/>
      <c r="C648" s="12"/>
      <c r="D648" s="13"/>
      <c r="F648" s="14"/>
      <c r="G648" s="14"/>
      <c r="H648" s="14"/>
      <c r="I648" s="14"/>
      <c r="J648" s="14"/>
      <c r="K648" s="12"/>
    </row>
    <row r="649" ht="19.5" customHeight="1">
      <c r="A649" s="12"/>
      <c r="C649" s="12"/>
      <c r="D649" s="13"/>
      <c r="F649" s="14"/>
      <c r="G649" s="14"/>
      <c r="H649" s="14"/>
      <c r="I649" s="14"/>
      <c r="J649" s="14"/>
      <c r="K649" s="12"/>
    </row>
    <row r="650" ht="19.5" customHeight="1">
      <c r="A650" s="12"/>
      <c r="C650" s="12"/>
      <c r="D650" s="13"/>
      <c r="F650" s="14"/>
      <c r="G650" s="14"/>
      <c r="H650" s="14"/>
      <c r="I650" s="14"/>
      <c r="J650" s="14"/>
      <c r="K650" s="12"/>
    </row>
    <row r="651" ht="19.5" customHeight="1">
      <c r="A651" s="12"/>
      <c r="C651" s="12"/>
      <c r="D651" s="13"/>
      <c r="F651" s="14"/>
      <c r="G651" s="14"/>
      <c r="H651" s="14"/>
      <c r="I651" s="14"/>
      <c r="J651" s="14"/>
      <c r="K651" s="12"/>
    </row>
    <row r="652" ht="19.5" customHeight="1">
      <c r="A652" s="12"/>
      <c r="C652" s="12"/>
      <c r="D652" s="13"/>
      <c r="F652" s="14"/>
      <c r="G652" s="14"/>
      <c r="H652" s="14"/>
      <c r="I652" s="14"/>
      <c r="J652" s="14"/>
      <c r="K652" s="12"/>
    </row>
    <row r="653" ht="19.5" customHeight="1">
      <c r="A653" s="12"/>
      <c r="C653" s="12"/>
      <c r="D653" s="13"/>
      <c r="F653" s="14"/>
      <c r="G653" s="14"/>
      <c r="H653" s="14"/>
      <c r="I653" s="14"/>
      <c r="J653" s="14"/>
      <c r="K653" s="12"/>
    </row>
    <row r="654" ht="19.5" customHeight="1">
      <c r="A654" s="12"/>
      <c r="C654" s="12"/>
      <c r="D654" s="13"/>
      <c r="F654" s="14"/>
      <c r="G654" s="14"/>
      <c r="H654" s="14"/>
      <c r="I654" s="14"/>
      <c r="J654" s="14"/>
      <c r="K654" s="12"/>
    </row>
    <row r="655" ht="19.5" customHeight="1">
      <c r="A655" s="12"/>
      <c r="C655" s="12"/>
      <c r="D655" s="13"/>
      <c r="F655" s="14"/>
      <c r="G655" s="14"/>
      <c r="H655" s="14"/>
      <c r="I655" s="14"/>
      <c r="J655" s="14"/>
      <c r="K655" s="12"/>
    </row>
    <row r="656" ht="19.5" customHeight="1">
      <c r="A656" s="12"/>
      <c r="C656" s="12"/>
      <c r="D656" s="13"/>
      <c r="F656" s="14"/>
      <c r="G656" s="14"/>
      <c r="H656" s="14"/>
      <c r="I656" s="14"/>
      <c r="J656" s="14"/>
      <c r="K656" s="12"/>
    </row>
    <row r="657" ht="19.5" customHeight="1">
      <c r="A657" s="12"/>
      <c r="C657" s="12"/>
      <c r="D657" s="13"/>
      <c r="F657" s="14"/>
      <c r="G657" s="14"/>
      <c r="H657" s="14"/>
      <c r="I657" s="14"/>
      <c r="J657" s="14"/>
      <c r="K657" s="12"/>
    </row>
    <row r="658" ht="19.5" customHeight="1">
      <c r="A658" s="12"/>
      <c r="C658" s="12"/>
      <c r="D658" s="13"/>
      <c r="F658" s="14"/>
      <c r="G658" s="14"/>
      <c r="H658" s="14"/>
      <c r="I658" s="14"/>
      <c r="J658" s="14"/>
      <c r="K658" s="12"/>
    </row>
    <row r="659" ht="19.5" customHeight="1">
      <c r="A659" s="12"/>
      <c r="C659" s="12"/>
      <c r="D659" s="13"/>
      <c r="F659" s="14"/>
      <c r="G659" s="14"/>
      <c r="H659" s="14"/>
      <c r="I659" s="14"/>
      <c r="J659" s="14"/>
      <c r="K659" s="12"/>
    </row>
    <row r="660" ht="19.5" customHeight="1">
      <c r="A660" s="12"/>
      <c r="C660" s="12"/>
      <c r="D660" s="13"/>
      <c r="F660" s="14"/>
      <c r="G660" s="14"/>
      <c r="H660" s="14"/>
      <c r="I660" s="14"/>
      <c r="J660" s="14"/>
      <c r="K660" s="12"/>
    </row>
    <row r="661" ht="19.5" customHeight="1">
      <c r="A661" s="12"/>
      <c r="C661" s="12"/>
      <c r="D661" s="13"/>
      <c r="F661" s="14"/>
      <c r="G661" s="14"/>
      <c r="H661" s="14"/>
      <c r="I661" s="14"/>
      <c r="J661" s="14"/>
      <c r="K661" s="12"/>
    </row>
    <row r="662" ht="19.5" customHeight="1">
      <c r="A662" s="12"/>
      <c r="C662" s="12"/>
      <c r="D662" s="13"/>
      <c r="F662" s="14"/>
      <c r="G662" s="14"/>
      <c r="H662" s="14"/>
      <c r="I662" s="14"/>
      <c r="J662" s="14"/>
      <c r="K662" s="12"/>
    </row>
    <row r="663" ht="19.5" customHeight="1">
      <c r="A663" s="12"/>
      <c r="C663" s="12"/>
      <c r="D663" s="13"/>
      <c r="F663" s="14"/>
      <c r="G663" s="14"/>
      <c r="H663" s="14"/>
      <c r="I663" s="14"/>
      <c r="J663" s="14"/>
      <c r="K663" s="12"/>
    </row>
    <row r="664" ht="19.5" customHeight="1">
      <c r="A664" s="12"/>
      <c r="C664" s="12"/>
      <c r="D664" s="13"/>
      <c r="F664" s="14"/>
      <c r="G664" s="14"/>
      <c r="H664" s="14"/>
      <c r="I664" s="14"/>
      <c r="J664" s="14"/>
      <c r="K664" s="12"/>
    </row>
    <row r="665" ht="19.5" customHeight="1">
      <c r="A665" s="12"/>
      <c r="C665" s="12"/>
      <c r="D665" s="13"/>
      <c r="F665" s="14"/>
      <c r="G665" s="14"/>
      <c r="H665" s="14"/>
      <c r="I665" s="14"/>
      <c r="J665" s="14"/>
      <c r="K665" s="12"/>
    </row>
    <row r="666" ht="19.5" customHeight="1">
      <c r="A666" s="12"/>
      <c r="C666" s="12"/>
      <c r="D666" s="13"/>
      <c r="F666" s="14"/>
      <c r="G666" s="14"/>
      <c r="H666" s="14"/>
      <c r="I666" s="14"/>
      <c r="J666" s="14"/>
      <c r="K666" s="12"/>
    </row>
    <row r="667" ht="19.5" customHeight="1">
      <c r="A667" s="12"/>
      <c r="C667" s="12"/>
      <c r="D667" s="13"/>
      <c r="F667" s="14"/>
      <c r="G667" s="14"/>
      <c r="H667" s="14"/>
      <c r="I667" s="14"/>
      <c r="J667" s="14"/>
      <c r="K667" s="12"/>
    </row>
    <row r="668" ht="19.5" customHeight="1">
      <c r="A668" s="12"/>
      <c r="C668" s="12"/>
      <c r="D668" s="13"/>
      <c r="F668" s="14"/>
      <c r="G668" s="14"/>
      <c r="H668" s="14"/>
      <c r="I668" s="14"/>
      <c r="J668" s="14"/>
      <c r="K668" s="12"/>
    </row>
    <row r="669" ht="19.5" customHeight="1">
      <c r="A669" s="12"/>
      <c r="C669" s="12"/>
      <c r="D669" s="13"/>
      <c r="F669" s="14"/>
      <c r="G669" s="14"/>
      <c r="H669" s="14"/>
      <c r="I669" s="14"/>
      <c r="J669" s="14"/>
      <c r="K669" s="12"/>
    </row>
    <row r="670" ht="19.5" customHeight="1">
      <c r="A670" s="12"/>
      <c r="C670" s="12"/>
      <c r="D670" s="13"/>
      <c r="F670" s="14"/>
      <c r="G670" s="14"/>
      <c r="H670" s="14"/>
      <c r="I670" s="14"/>
      <c r="J670" s="14"/>
      <c r="K670" s="12"/>
    </row>
    <row r="671" ht="19.5" customHeight="1">
      <c r="A671" s="12"/>
      <c r="C671" s="12"/>
      <c r="D671" s="13"/>
      <c r="F671" s="14"/>
      <c r="G671" s="14"/>
      <c r="H671" s="14"/>
      <c r="I671" s="14"/>
      <c r="J671" s="14"/>
      <c r="K671" s="12"/>
    </row>
    <row r="672" ht="19.5" customHeight="1">
      <c r="A672" s="12"/>
      <c r="C672" s="12"/>
      <c r="D672" s="13"/>
      <c r="F672" s="14"/>
      <c r="G672" s="14"/>
      <c r="H672" s="14"/>
      <c r="I672" s="14"/>
      <c r="J672" s="14"/>
      <c r="K672" s="12"/>
    </row>
    <row r="673" ht="19.5" customHeight="1">
      <c r="A673" s="12"/>
      <c r="C673" s="12"/>
      <c r="D673" s="13"/>
      <c r="F673" s="14"/>
      <c r="G673" s="14"/>
      <c r="H673" s="14"/>
      <c r="I673" s="14"/>
      <c r="J673" s="14"/>
      <c r="K673" s="12"/>
    </row>
    <row r="674" ht="19.5" customHeight="1">
      <c r="A674" s="12"/>
      <c r="C674" s="12"/>
      <c r="D674" s="13"/>
      <c r="F674" s="14"/>
      <c r="G674" s="14"/>
      <c r="H674" s="14"/>
      <c r="I674" s="14"/>
      <c r="J674" s="14"/>
      <c r="K674" s="12"/>
    </row>
    <row r="675" ht="19.5" customHeight="1">
      <c r="A675" s="12"/>
      <c r="C675" s="12"/>
      <c r="D675" s="13"/>
      <c r="F675" s="14"/>
      <c r="G675" s="14"/>
      <c r="H675" s="14"/>
      <c r="I675" s="14"/>
      <c r="J675" s="14"/>
      <c r="K675" s="12"/>
    </row>
    <row r="676" ht="19.5" customHeight="1">
      <c r="A676" s="12"/>
      <c r="C676" s="12"/>
      <c r="D676" s="13"/>
      <c r="F676" s="14"/>
      <c r="G676" s="14"/>
      <c r="H676" s="14"/>
      <c r="I676" s="14"/>
      <c r="J676" s="14"/>
      <c r="K676" s="12"/>
    </row>
    <row r="677" ht="19.5" customHeight="1">
      <c r="A677" s="12"/>
      <c r="C677" s="12"/>
      <c r="D677" s="13"/>
      <c r="F677" s="14"/>
      <c r="G677" s="14"/>
      <c r="H677" s="14"/>
      <c r="I677" s="14"/>
      <c r="J677" s="14"/>
      <c r="K677" s="12"/>
    </row>
    <row r="678" ht="19.5" customHeight="1">
      <c r="A678" s="12"/>
      <c r="C678" s="12"/>
      <c r="D678" s="13"/>
      <c r="F678" s="14"/>
      <c r="G678" s="14"/>
      <c r="H678" s="14"/>
      <c r="I678" s="14"/>
      <c r="J678" s="14"/>
      <c r="K678" s="12"/>
    </row>
    <row r="679" ht="19.5" customHeight="1">
      <c r="A679" s="12"/>
      <c r="C679" s="12"/>
      <c r="D679" s="13"/>
      <c r="F679" s="14"/>
      <c r="G679" s="14"/>
      <c r="H679" s="14"/>
      <c r="I679" s="14"/>
      <c r="J679" s="14"/>
      <c r="K679" s="12"/>
    </row>
    <row r="680" ht="19.5" customHeight="1">
      <c r="A680" s="12"/>
      <c r="C680" s="12"/>
      <c r="D680" s="13"/>
      <c r="F680" s="14"/>
      <c r="G680" s="14"/>
      <c r="H680" s="14"/>
      <c r="I680" s="14"/>
      <c r="J680" s="14"/>
      <c r="K680" s="12"/>
    </row>
    <row r="681" ht="19.5" customHeight="1">
      <c r="A681" s="12"/>
      <c r="C681" s="12"/>
      <c r="D681" s="13"/>
      <c r="F681" s="14"/>
      <c r="G681" s="14"/>
      <c r="H681" s="14"/>
      <c r="I681" s="14"/>
      <c r="J681" s="14"/>
      <c r="K681" s="12"/>
    </row>
    <row r="682" ht="19.5" customHeight="1">
      <c r="A682" s="12"/>
      <c r="C682" s="12"/>
      <c r="D682" s="13"/>
      <c r="F682" s="14"/>
      <c r="G682" s="14"/>
      <c r="H682" s="14"/>
      <c r="I682" s="14"/>
      <c r="J682" s="14"/>
      <c r="K682" s="12"/>
    </row>
    <row r="683" ht="19.5" customHeight="1">
      <c r="A683" s="12"/>
      <c r="C683" s="12"/>
      <c r="D683" s="13"/>
      <c r="F683" s="14"/>
      <c r="G683" s="14"/>
      <c r="H683" s="14"/>
      <c r="I683" s="14"/>
      <c r="J683" s="14"/>
      <c r="K683" s="12"/>
    </row>
    <row r="684" ht="19.5" customHeight="1">
      <c r="A684" s="12"/>
      <c r="C684" s="12"/>
      <c r="D684" s="13"/>
      <c r="F684" s="14"/>
      <c r="G684" s="14"/>
      <c r="H684" s="14"/>
      <c r="I684" s="14"/>
      <c r="J684" s="14"/>
      <c r="K684" s="12"/>
    </row>
    <row r="685" ht="19.5" customHeight="1">
      <c r="A685" s="12"/>
      <c r="C685" s="12"/>
      <c r="D685" s="13"/>
      <c r="F685" s="14"/>
      <c r="G685" s="14"/>
      <c r="H685" s="14"/>
      <c r="I685" s="14"/>
      <c r="J685" s="14"/>
      <c r="K685" s="12"/>
    </row>
    <row r="686" ht="19.5" customHeight="1">
      <c r="A686" s="12"/>
      <c r="C686" s="12"/>
      <c r="D686" s="13"/>
      <c r="F686" s="14"/>
      <c r="G686" s="14"/>
      <c r="H686" s="14"/>
      <c r="I686" s="14"/>
      <c r="J686" s="14"/>
      <c r="K686" s="12"/>
    </row>
    <row r="687" ht="19.5" customHeight="1">
      <c r="A687" s="12"/>
      <c r="C687" s="12"/>
      <c r="D687" s="13"/>
      <c r="F687" s="14"/>
      <c r="G687" s="14"/>
      <c r="H687" s="14"/>
      <c r="I687" s="14"/>
      <c r="J687" s="14"/>
      <c r="K687" s="12"/>
    </row>
    <row r="688" ht="19.5" customHeight="1">
      <c r="A688" s="12"/>
      <c r="C688" s="12"/>
      <c r="D688" s="13"/>
      <c r="F688" s="14"/>
      <c r="G688" s="14"/>
      <c r="H688" s="14"/>
      <c r="I688" s="14"/>
      <c r="J688" s="14"/>
      <c r="K688" s="12"/>
    </row>
    <row r="689" ht="19.5" customHeight="1">
      <c r="A689" s="12"/>
      <c r="C689" s="12"/>
      <c r="D689" s="13"/>
      <c r="F689" s="14"/>
      <c r="G689" s="14"/>
      <c r="H689" s="14"/>
      <c r="I689" s="14"/>
      <c r="J689" s="14"/>
      <c r="K689" s="12"/>
    </row>
    <row r="690" ht="19.5" customHeight="1">
      <c r="A690" s="12"/>
      <c r="C690" s="12"/>
      <c r="D690" s="13"/>
      <c r="F690" s="14"/>
      <c r="G690" s="14"/>
      <c r="H690" s="14"/>
      <c r="I690" s="14"/>
      <c r="J690" s="14"/>
      <c r="K690" s="12"/>
    </row>
    <row r="691" ht="19.5" customHeight="1">
      <c r="A691" s="12"/>
      <c r="C691" s="12"/>
      <c r="D691" s="13"/>
      <c r="F691" s="14"/>
      <c r="G691" s="14"/>
      <c r="H691" s="14"/>
      <c r="I691" s="14"/>
      <c r="J691" s="14"/>
      <c r="K691" s="12"/>
    </row>
    <row r="692" ht="19.5" customHeight="1">
      <c r="A692" s="12"/>
      <c r="C692" s="12"/>
      <c r="D692" s="13"/>
      <c r="F692" s="14"/>
      <c r="G692" s="14"/>
      <c r="H692" s="14"/>
      <c r="I692" s="14"/>
      <c r="J692" s="14"/>
      <c r="K692" s="12"/>
    </row>
    <row r="693" ht="19.5" customHeight="1">
      <c r="A693" s="12"/>
      <c r="C693" s="12"/>
      <c r="D693" s="13"/>
      <c r="F693" s="14"/>
      <c r="G693" s="14"/>
      <c r="H693" s="14"/>
      <c r="I693" s="14"/>
      <c r="J693" s="14"/>
      <c r="K693" s="12"/>
    </row>
    <row r="694" ht="19.5" customHeight="1">
      <c r="A694" s="12"/>
      <c r="C694" s="12"/>
      <c r="D694" s="13"/>
      <c r="F694" s="14"/>
      <c r="G694" s="14"/>
      <c r="H694" s="14"/>
      <c r="I694" s="14"/>
      <c r="J694" s="14"/>
      <c r="K694" s="12"/>
    </row>
    <row r="695" ht="19.5" customHeight="1">
      <c r="A695" s="12"/>
      <c r="C695" s="12"/>
      <c r="D695" s="13"/>
      <c r="F695" s="14"/>
      <c r="G695" s="14"/>
      <c r="H695" s="14"/>
      <c r="I695" s="14"/>
      <c r="J695" s="14"/>
      <c r="K695" s="12"/>
    </row>
    <row r="696" ht="19.5" customHeight="1">
      <c r="A696" s="12"/>
      <c r="C696" s="12"/>
      <c r="D696" s="13"/>
      <c r="F696" s="14"/>
      <c r="G696" s="14"/>
      <c r="H696" s="14"/>
      <c r="I696" s="14"/>
      <c r="J696" s="14"/>
      <c r="K696" s="12"/>
    </row>
    <row r="697" ht="19.5" customHeight="1">
      <c r="A697" s="12"/>
      <c r="C697" s="12"/>
      <c r="D697" s="13"/>
      <c r="F697" s="14"/>
      <c r="G697" s="14"/>
      <c r="H697" s="14"/>
      <c r="I697" s="14"/>
      <c r="J697" s="14"/>
      <c r="K697" s="12"/>
    </row>
    <row r="698" ht="19.5" customHeight="1">
      <c r="A698" s="12"/>
      <c r="C698" s="12"/>
      <c r="D698" s="13"/>
      <c r="F698" s="14"/>
      <c r="G698" s="14"/>
      <c r="H698" s="14"/>
      <c r="I698" s="14"/>
      <c r="J698" s="14"/>
      <c r="K698" s="12"/>
    </row>
    <row r="699" ht="19.5" customHeight="1">
      <c r="A699" s="12"/>
      <c r="C699" s="12"/>
      <c r="D699" s="13"/>
      <c r="F699" s="14"/>
      <c r="G699" s="14"/>
      <c r="H699" s="14"/>
      <c r="I699" s="14"/>
      <c r="J699" s="14"/>
      <c r="K699" s="12"/>
    </row>
    <row r="700" ht="19.5" customHeight="1">
      <c r="A700" s="12"/>
      <c r="C700" s="12"/>
      <c r="D700" s="13"/>
      <c r="F700" s="14"/>
      <c r="G700" s="14"/>
      <c r="H700" s="14"/>
      <c r="I700" s="14"/>
      <c r="J700" s="14"/>
      <c r="K700" s="12"/>
    </row>
    <row r="701" ht="19.5" customHeight="1">
      <c r="A701" s="12"/>
      <c r="C701" s="12"/>
      <c r="D701" s="13"/>
      <c r="F701" s="14"/>
      <c r="G701" s="14"/>
      <c r="H701" s="14"/>
      <c r="I701" s="14"/>
      <c r="J701" s="14"/>
      <c r="K701" s="12"/>
    </row>
    <row r="702" ht="19.5" customHeight="1">
      <c r="A702" s="12"/>
      <c r="C702" s="12"/>
      <c r="D702" s="13"/>
      <c r="F702" s="14"/>
      <c r="G702" s="14"/>
      <c r="H702" s="14"/>
      <c r="I702" s="14"/>
      <c r="J702" s="14"/>
      <c r="K702" s="12"/>
    </row>
    <row r="703" ht="19.5" customHeight="1">
      <c r="A703" s="12"/>
      <c r="C703" s="12"/>
      <c r="D703" s="13"/>
      <c r="F703" s="14"/>
      <c r="G703" s="14"/>
      <c r="H703" s="14"/>
      <c r="I703" s="14"/>
      <c r="J703" s="14"/>
      <c r="K703" s="12"/>
    </row>
    <row r="704" ht="19.5" customHeight="1">
      <c r="A704" s="12"/>
      <c r="C704" s="12"/>
      <c r="D704" s="13"/>
      <c r="F704" s="14"/>
      <c r="G704" s="14"/>
      <c r="H704" s="14"/>
      <c r="I704" s="14"/>
      <c r="J704" s="14"/>
      <c r="K704" s="12"/>
    </row>
    <row r="705" ht="19.5" customHeight="1">
      <c r="A705" s="12"/>
      <c r="C705" s="12"/>
      <c r="D705" s="13"/>
      <c r="F705" s="14"/>
      <c r="G705" s="14"/>
      <c r="H705" s="14"/>
      <c r="I705" s="14"/>
      <c r="J705" s="14"/>
      <c r="K705" s="12"/>
    </row>
    <row r="706" ht="19.5" customHeight="1">
      <c r="A706" s="12"/>
      <c r="C706" s="12"/>
      <c r="D706" s="13"/>
      <c r="F706" s="14"/>
      <c r="G706" s="14"/>
      <c r="H706" s="14"/>
      <c r="I706" s="14"/>
      <c r="J706" s="14"/>
      <c r="K706" s="12"/>
    </row>
    <row r="707" ht="19.5" customHeight="1">
      <c r="A707" s="12"/>
      <c r="C707" s="12"/>
      <c r="D707" s="13"/>
      <c r="F707" s="14"/>
      <c r="G707" s="14"/>
      <c r="H707" s="14"/>
      <c r="I707" s="14"/>
      <c r="J707" s="14"/>
      <c r="K707" s="12"/>
    </row>
    <row r="708" ht="19.5" customHeight="1">
      <c r="A708" s="12"/>
      <c r="C708" s="12"/>
      <c r="D708" s="13"/>
      <c r="F708" s="14"/>
      <c r="G708" s="14"/>
      <c r="H708" s="14"/>
      <c r="I708" s="14"/>
      <c r="J708" s="14"/>
      <c r="K708" s="12"/>
    </row>
    <row r="709" ht="19.5" customHeight="1">
      <c r="A709" s="12"/>
      <c r="C709" s="12"/>
      <c r="D709" s="13"/>
      <c r="F709" s="14"/>
      <c r="G709" s="14"/>
      <c r="H709" s="14"/>
      <c r="I709" s="14"/>
      <c r="J709" s="14"/>
      <c r="K709" s="12"/>
    </row>
    <row r="710" ht="19.5" customHeight="1">
      <c r="A710" s="12"/>
      <c r="C710" s="12"/>
      <c r="D710" s="13"/>
      <c r="F710" s="14"/>
      <c r="G710" s="14"/>
      <c r="H710" s="14"/>
      <c r="I710" s="14"/>
      <c r="J710" s="14"/>
      <c r="K710" s="12"/>
    </row>
    <row r="711" ht="19.5" customHeight="1">
      <c r="A711" s="12"/>
      <c r="C711" s="12"/>
      <c r="D711" s="13"/>
      <c r="F711" s="14"/>
      <c r="G711" s="14"/>
      <c r="H711" s="14"/>
      <c r="I711" s="14"/>
      <c r="J711" s="14"/>
      <c r="K711" s="12"/>
    </row>
    <row r="712" ht="19.5" customHeight="1">
      <c r="A712" s="12"/>
      <c r="C712" s="12"/>
      <c r="D712" s="13"/>
      <c r="F712" s="14"/>
      <c r="G712" s="14"/>
      <c r="H712" s="14"/>
      <c r="I712" s="14"/>
      <c r="J712" s="14"/>
      <c r="K712" s="12"/>
    </row>
    <row r="713" ht="19.5" customHeight="1">
      <c r="A713" s="12"/>
      <c r="C713" s="12"/>
      <c r="D713" s="13"/>
      <c r="F713" s="14"/>
      <c r="G713" s="14"/>
      <c r="H713" s="14"/>
      <c r="I713" s="14"/>
      <c r="J713" s="14"/>
      <c r="K713" s="12"/>
    </row>
    <row r="714" ht="19.5" customHeight="1">
      <c r="A714" s="12"/>
      <c r="C714" s="12"/>
      <c r="D714" s="13"/>
      <c r="F714" s="14"/>
      <c r="G714" s="14"/>
      <c r="H714" s="14"/>
      <c r="I714" s="14"/>
      <c r="J714" s="14"/>
      <c r="K714" s="12"/>
    </row>
    <row r="715" ht="19.5" customHeight="1">
      <c r="A715" s="12"/>
      <c r="C715" s="12"/>
      <c r="D715" s="13"/>
      <c r="F715" s="14"/>
      <c r="G715" s="14"/>
      <c r="H715" s="14"/>
      <c r="I715" s="14"/>
      <c r="J715" s="14"/>
      <c r="K715" s="12"/>
    </row>
    <row r="716" ht="19.5" customHeight="1">
      <c r="A716" s="12"/>
      <c r="C716" s="12"/>
      <c r="D716" s="13"/>
      <c r="F716" s="14"/>
      <c r="G716" s="14"/>
      <c r="H716" s="14"/>
      <c r="I716" s="14"/>
      <c r="J716" s="14"/>
      <c r="K716" s="12"/>
    </row>
    <row r="717" ht="19.5" customHeight="1">
      <c r="A717" s="12"/>
      <c r="C717" s="12"/>
      <c r="D717" s="13"/>
      <c r="F717" s="14"/>
      <c r="G717" s="14"/>
      <c r="H717" s="14"/>
      <c r="I717" s="14"/>
      <c r="J717" s="14"/>
      <c r="K717" s="12"/>
    </row>
    <row r="718" ht="19.5" customHeight="1">
      <c r="A718" s="12"/>
      <c r="C718" s="12"/>
      <c r="D718" s="13"/>
      <c r="F718" s="14"/>
      <c r="G718" s="14"/>
      <c r="H718" s="14"/>
      <c r="I718" s="14"/>
      <c r="J718" s="14"/>
      <c r="K718" s="12"/>
    </row>
    <row r="719" ht="19.5" customHeight="1">
      <c r="A719" s="12"/>
      <c r="C719" s="12"/>
      <c r="D719" s="13"/>
      <c r="F719" s="14"/>
      <c r="G719" s="14"/>
      <c r="H719" s="14"/>
      <c r="I719" s="14"/>
      <c r="J719" s="14"/>
      <c r="K719" s="12"/>
    </row>
    <row r="720" ht="19.5" customHeight="1">
      <c r="A720" s="12"/>
      <c r="C720" s="12"/>
      <c r="D720" s="13"/>
      <c r="F720" s="14"/>
      <c r="G720" s="14"/>
      <c r="H720" s="14"/>
      <c r="I720" s="14"/>
      <c r="J720" s="14"/>
      <c r="K720" s="12"/>
    </row>
    <row r="721" ht="19.5" customHeight="1">
      <c r="A721" s="12"/>
      <c r="C721" s="12"/>
      <c r="D721" s="13"/>
      <c r="F721" s="14"/>
      <c r="G721" s="14"/>
      <c r="H721" s="14"/>
      <c r="I721" s="14"/>
      <c r="J721" s="14"/>
      <c r="K721" s="12"/>
    </row>
    <row r="722" ht="19.5" customHeight="1">
      <c r="A722" s="12"/>
      <c r="C722" s="12"/>
      <c r="D722" s="13"/>
      <c r="F722" s="14"/>
      <c r="G722" s="14"/>
      <c r="H722" s="14"/>
      <c r="I722" s="14"/>
      <c r="J722" s="14"/>
      <c r="K722" s="12"/>
    </row>
    <row r="723" ht="19.5" customHeight="1">
      <c r="A723" s="12"/>
      <c r="C723" s="12"/>
      <c r="D723" s="13"/>
      <c r="F723" s="14"/>
      <c r="G723" s="14"/>
      <c r="H723" s="14"/>
      <c r="I723" s="14"/>
      <c r="J723" s="14"/>
      <c r="K723" s="12"/>
    </row>
    <row r="724" ht="19.5" customHeight="1">
      <c r="A724" s="12"/>
      <c r="C724" s="12"/>
      <c r="D724" s="13"/>
      <c r="F724" s="14"/>
      <c r="G724" s="14"/>
      <c r="H724" s="14"/>
      <c r="I724" s="14"/>
      <c r="J724" s="14"/>
      <c r="K724" s="12"/>
    </row>
    <row r="725" ht="19.5" customHeight="1">
      <c r="A725" s="12"/>
      <c r="C725" s="12"/>
      <c r="D725" s="13"/>
      <c r="F725" s="14"/>
      <c r="G725" s="14"/>
      <c r="H725" s="14"/>
      <c r="I725" s="14"/>
      <c r="J725" s="14"/>
      <c r="K725" s="12"/>
    </row>
    <row r="726" ht="19.5" customHeight="1">
      <c r="A726" s="12"/>
      <c r="C726" s="12"/>
      <c r="D726" s="13"/>
      <c r="F726" s="14"/>
      <c r="G726" s="14"/>
      <c r="H726" s="14"/>
      <c r="I726" s="14"/>
      <c r="J726" s="14"/>
      <c r="K726" s="12"/>
    </row>
    <row r="727" ht="19.5" customHeight="1">
      <c r="A727" s="12"/>
      <c r="C727" s="12"/>
      <c r="D727" s="13"/>
      <c r="F727" s="14"/>
      <c r="G727" s="14"/>
      <c r="H727" s="14"/>
      <c r="I727" s="14"/>
      <c r="J727" s="14"/>
      <c r="K727" s="12"/>
    </row>
    <row r="728" ht="19.5" customHeight="1">
      <c r="A728" s="12"/>
      <c r="C728" s="12"/>
      <c r="D728" s="13"/>
      <c r="F728" s="14"/>
      <c r="G728" s="14"/>
      <c r="H728" s="14"/>
      <c r="I728" s="14"/>
      <c r="J728" s="14"/>
      <c r="K728" s="12"/>
    </row>
    <row r="729" ht="19.5" customHeight="1">
      <c r="A729" s="12"/>
      <c r="C729" s="12"/>
      <c r="D729" s="13"/>
      <c r="F729" s="14"/>
      <c r="G729" s="14"/>
      <c r="H729" s="14"/>
      <c r="I729" s="14"/>
      <c r="J729" s="14"/>
      <c r="K729" s="12"/>
    </row>
    <row r="730" ht="19.5" customHeight="1">
      <c r="A730" s="12"/>
      <c r="C730" s="12"/>
      <c r="D730" s="13"/>
      <c r="F730" s="14"/>
      <c r="G730" s="14"/>
      <c r="H730" s="14"/>
      <c r="I730" s="14"/>
      <c r="J730" s="14"/>
      <c r="K730" s="12"/>
    </row>
    <row r="731" ht="19.5" customHeight="1">
      <c r="A731" s="12"/>
      <c r="C731" s="12"/>
      <c r="D731" s="13"/>
      <c r="F731" s="14"/>
      <c r="G731" s="14"/>
      <c r="H731" s="14"/>
      <c r="I731" s="14"/>
      <c r="J731" s="14"/>
      <c r="K731" s="12"/>
    </row>
    <row r="732" ht="19.5" customHeight="1">
      <c r="A732" s="12"/>
      <c r="C732" s="12"/>
      <c r="D732" s="13"/>
      <c r="F732" s="14"/>
      <c r="G732" s="14"/>
      <c r="H732" s="14"/>
      <c r="I732" s="14"/>
      <c r="J732" s="14"/>
      <c r="K732" s="12"/>
    </row>
    <row r="733" ht="19.5" customHeight="1">
      <c r="A733" s="12"/>
      <c r="C733" s="12"/>
      <c r="D733" s="13"/>
      <c r="F733" s="14"/>
      <c r="G733" s="14"/>
      <c r="H733" s="14"/>
      <c r="I733" s="14"/>
      <c r="J733" s="14"/>
      <c r="K733" s="12"/>
    </row>
    <row r="734" ht="19.5" customHeight="1">
      <c r="A734" s="12"/>
      <c r="C734" s="12"/>
      <c r="D734" s="13"/>
      <c r="F734" s="14"/>
      <c r="G734" s="14"/>
      <c r="H734" s="14"/>
      <c r="I734" s="14"/>
      <c r="J734" s="14"/>
      <c r="K734" s="12"/>
    </row>
    <row r="735" ht="19.5" customHeight="1">
      <c r="A735" s="12"/>
      <c r="C735" s="12"/>
      <c r="D735" s="13"/>
      <c r="F735" s="14"/>
      <c r="G735" s="14"/>
      <c r="H735" s="14"/>
      <c r="I735" s="14"/>
      <c r="J735" s="14"/>
      <c r="K735" s="12"/>
    </row>
    <row r="736" ht="19.5" customHeight="1">
      <c r="A736" s="12"/>
      <c r="C736" s="12"/>
      <c r="D736" s="13"/>
      <c r="F736" s="14"/>
      <c r="G736" s="14"/>
      <c r="H736" s="14"/>
      <c r="I736" s="14"/>
      <c r="J736" s="14"/>
      <c r="K736" s="12"/>
    </row>
    <row r="737" ht="19.5" customHeight="1">
      <c r="A737" s="12"/>
      <c r="C737" s="12"/>
      <c r="D737" s="13"/>
      <c r="F737" s="14"/>
      <c r="G737" s="14"/>
      <c r="H737" s="14"/>
      <c r="I737" s="14"/>
      <c r="J737" s="14"/>
      <c r="K737" s="12"/>
    </row>
    <row r="738" ht="19.5" customHeight="1">
      <c r="A738" s="12"/>
      <c r="C738" s="12"/>
      <c r="D738" s="13"/>
      <c r="F738" s="14"/>
      <c r="G738" s="14"/>
      <c r="H738" s="14"/>
      <c r="I738" s="14"/>
      <c r="J738" s="14"/>
      <c r="K738" s="12"/>
    </row>
    <row r="739" ht="19.5" customHeight="1">
      <c r="A739" s="12"/>
      <c r="C739" s="12"/>
      <c r="D739" s="13"/>
      <c r="F739" s="14"/>
      <c r="G739" s="14"/>
      <c r="H739" s="14"/>
      <c r="I739" s="14"/>
      <c r="J739" s="14"/>
      <c r="K739" s="12"/>
    </row>
    <row r="740" ht="19.5" customHeight="1">
      <c r="A740" s="12"/>
      <c r="C740" s="12"/>
      <c r="D740" s="13"/>
      <c r="F740" s="14"/>
      <c r="G740" s="14"/>
      <c r="H740" s="14"/>
      <c r="I740" s="14"/>
      <c r="J740" s="14"/>
      <c r="K740" s="12"/>
    </row>
    <row r="741" ht="19.5" customHeight="1">
      <c r="A741" s="12"/>
      <c r="C741" s="12"/>
      <c r="D741" s="13"/>
      <c r="F741" s="14"/>
      <c r="G741" s="14"/>
      <c r="H741" s="14"/>
      <c r="I741" s="14"/>
      <c r="J741" s="14"/>
      <c r="K741" s="12"/>
    </row>
    <row r="742" ht="19.5" customHeight="1">
      <c r="A742" s="12"/>
      <c r="C742" s="12"/>
      <c r="D742" s="13"/>
      <c r="F742" s="14"/>
      <c r="G742" s="14"/>
      <c r="H742" s="14"/>
      <c r="I742" s="14"/>
      <c r="J742" s="14"/>
      <c r="K742" s="12"/>
    </row>
    <row r="743" ht="19.5" customHeight="1">
      <c r="A743" s="12"/>
      <c r="C743" s="12"/>
      <c r="D743" s="13"/>
      <c r="F743" s="14"/>
      <c r="G743" s="14"/>
      <c r="H743" s="14"/>
      <c r="I743" s="14"/>
      <c r="J743" s="14"/>
      <c r="K743" s="12"/>
    </row>
    <row r="744" ht="19.5" customHeight="1">
      <c r="A744" s="12"/>
      <c r="C744" s="12"/>
      <c r="D744" s="13"/>
      <c r="F744" s="14"/>
      <c r="G744" s="14"/>
      <c r="H744" s="14"/>
      <c r="I744" s="14"/>
      <c r="J744" s="14"/>
      <c r="K744" s="12"/>
    </row>
    <row r="745" ht="19.5" customHeight="1">
      <c r="A745" s="12"/>
      <c r="C745" s="12"/>
      <c r="D745" s="13"/>
      <c r="F745" s="14"/>
      <c r="G745" s="14"/>
      <c r="H745" s="14"/>
      <c r="I745" s="14"/>
      <c r="J745" s="14"/>
      <c r="K745" s="12"/>
    </row>
    <row r="746" ht="19.5" customHeight="1">
      <c r="A746" s="12"/>
      <c r="C746" s="12"/>
      <c r="D746" s="13"/>
      <c r="F746" s="14"/>
      <c r="G746" s="14"/>
      <c r="H746" s="14"/>
      <c r="I746" s="14"/>
      <c r="J746" s="14"/>
      <c r="K746" s="12"/>
    </row>
    <row r="747" ht="19.5" customHeight="1">
      <c r="A747" s="12"/>
      <c r="C747" s="12"/>
      <c r="D747" s="13"/>
      <c r="F747" s="14"/>
      <c r="G747" s="14"/>
      <c r="H747" s="14"/>
      <c r="I747" s="14"/>
      <c r="J747" s="14"/>
      <c r="K747" s="12"/>
    </row>
    <row r="748" ht="19.5" customHeight="1">
      <c r="A748" s="12"/>
      <c r="C748" s="12"/>
      <c r="D748" s="13"/>
      <c r="F748" s="14"/>
      <c r="G748" s="14"/>
      <c r="H748" s="14"/>
      <c r="I748" s="14"/>
      <c r="J748" s="14"/>
      <c r="K748" s="12"/>
    </row>
    <row r="749" ht="19.5" customHeight="1">
      <c r="A749" s="12"/>
      <c r="C749" s="12"/>
      <c r="D749" s="13"/>
      <c r="F749" s="14"/>
      <c r="G749" s="14"/>
      <c r="H749" s="14"/>
      <c r="I749" s="14"/>
      <c r="J749" s="14"/>
      <c r="K749" s="12"/>
    </row>
    <row r="750" ht="19.5" customHeight="1">
      <c r="A750" s="12"/>
      <c r="C750" s="12"/>
      <c r="D750" s="13"/>
      <c r="F750" s="14"/>
      <c r="G750" s="14"/>
      <c r="H750" s="14"/>
      <c r="I750" s="14"/>
      <c r="J750" s="14"/>
      <c r="K750" s="12"/>
    </row>
    <row r="751" ht="19.5" customHeight="1">
      <c r="A751" s="12"/>
      <c r="C751" s="12"/>
      <c r="D751" s="13"/>
      <c r="F751" s="14"/>
      <c r="G751" s="14"/>
      <c r="H751" s="14"/>
      <c r="I751" s="14"/>
      <c r="J751" s="14"/>
      <c r="K751" s="12"/>
    </row>
    <row r="752" ht="19.5" customHeight="1">
      <c r="A752" s="12"/>
      <c r="C752" s="12"/>
      <c r="D752" s="13"/>
      <c r="F752" s="14"/>
      <c r="G752" s="14"/>
      <c r="H752" s="14"/>
      <c r="I752" s="14"/>
      <c r="J752" s="14"/>
      <c r="K752" s="12"/>
    </row>
    <row r="753" ht="19.5" customHeight="1">
      <c r="A753" s="12"/>
      <c r="C753" s="12"/>
      <c r="D753" s="13"/>
      <c r="F753" s="14"/>
      <c r="G753" s="14"/>
      <c r="H753" s="14"/>
      <c r="I753" s="14"/>
      <c r="J753" s="14"/>
      <c r="K753" s="12"/>
    </row>
    <row r="754" ht="19.5" customHeight="1">
      <c r="A754" s="12"/>
      <c r="C754" s="12"/>
      <c r="D754" s="13"/>
      <c r="F754" s="14"/>
      <c r="G754" s="14"/>
      <c r="H754" s="14"/>
      <c r="I754" s="14"/>
      <c r="J754" s="14"/>
      <c r="K754" s="12"/>
    </row>
    <row r="755" ht="19.5" customHeight="1">
      <c r="A755" s="12"/>
      <c r="C755" s="12"/>
      <c r="D755" s="13"/>
      <c r="F755" s="14"/>
      <c r="G755" s="14"/>
      <c r="H755" s="14"/>
      <c r="I755" s="14"/>
      <c r="J755" s="14"/>
      <c r="K755" s="12"/>
    </row>
    <row r="756" ht="19.5" customHeight="1">
      <c r="A756" s="12"/>
      <c r="C756" s="12"/>
      <c r="D756" s="13"/>
      <c r="F756" s="14"/>
      <c r="G756" s="14"/>
      <c r="H756" s="14"/>
      <c r="I756" s="14"/>
      <c r="J756" s="14"/>
      <c r="K756" s="12"/>
    </row>
    <row r="757" ht="19.5" customHeight="1">
      <c r="A757" s="12"/>
      <c r="C757" s="12"/>
      <c r="D757" s="13"/>
      <c r="F757" s="14"/>
      <c r="G757" s="14"/>
      <c r="H757" s="14"/>
      <c r="I757" s="14"/>
      <c r="J757" s="14"/>
      <c r="K757" s="12"/>
    </row>
    <row r="758" ht="19.5" customHeight="1">
      <c r="A758" s="12"/>
      <c r="C758" s="12"/>
      <c r="D758" s="13"/>
      <c r="F758" s="14"/>
      <c r="G758" s="14"/>
      <c r="H758" s="14"/>
      <c r="I758" s="14"/>
      <c r="J758" s="14"/>
      <c r="K758" s="12"/>
    </row>
    <row r="759" ht="19.5" customHeight="1">
      <c r="A759" s="12"/>
      <c r="C759" s="12"/>
      <c r="D759" s="13"/>
      <c r="F759" s="14"/>
      <c r="G759" s="14"/>
      <c r="H759" s="14"/>
      <c r="I759" s="14"/>
      <c r="J759" s="14"/>
      <c r="K759" s="12"/>
    </row>
    <row r="760" ht="19.5" customHeight="1">
      <c r="A760" s="12"/>
      <c r="C760" s="12"/>
      <c r="D760" s="13"/>
      <c r="F760" s="14"/>
      <c r="G760" s="14"/>
      <c r="H760" s="14"/>
      <c r="I760" s="14"/>
      <c r="J760" s="14"/>
      <c r="K760" s="12"/>
    </row>
    <row r="761" ht="19.5" customHeight="1">
      <c r="A761" s="12"/>
      <c r="C761" s="12"/>
      <c r="D761" s="13"/>
      <c r="F761" s="14"/>
      <c r="G761" s="14"/>
      <c r="H761" s="14"/>
      <c r="I761" s="14"/>
      <c r="J761" s="14"/>
      <c r="K761" s="12"/>
    </row>
    <row r="762" ht="19.5" customHeight="1">
      <c r="A762" s="12"/>
      <c r="C762" s="12"/>
      <c r="D762" s="13"/>
      <c r="F762" s="14"/>
      <c r="G762" s="14"/>
      <c r="H762" s="14"/>
      <c r="I762" s="14"/>
      <c r="J762" s="14"/>
      <c r="K762" s="12"/>
    </row>
    <row r="763" ht="19.5" customHeight="1">
      <c r="A763" s="12"/>
      <c r="C763" s="12"/>
      <c r="D763" s="13"/>
      <c r="F763" s="14"/>
      <c r="G763" s="14"/>
      <c r="H763" s="14"/>
      <c r="I763" s="14"/>
      <c r="J763" s="14"/>
      <c r="K763" s="12"/>
    </row>
    <row r="764" ht="19.5" customHeight="1">
      <c r="A764" s="12"/>
      <c r="C764" s="12"/>
      <c r="D764" s="13"/>
      <c r="F764" s="14"/>
      <c r="G764" s="14"/>
      <c r="H764" s="14"/>
      <c r="I764" s="14"/>
      <c r="J764" s="14"/>
      <c r="K764" s="12"/>
    </row>
    <row r="765" ht="19.5" customHeight="1">
      <c r="A765" s="12"/>
      <c r="C765" s="12"/>
      <c r="D765" s="13"/>
      <c r="F765" s="14"/>
      <c r="G765" s="14"/>
      <c r="H765" s="14"/>
      <c r="I765" s="14"/>
      <c r="J765" s="14"/>
      <c r="K765" s="12"/>
    </row>
    <row r="766" ht="19.5" customHeight="1">
      <c r="A766" s="12"/>
      <c r="C766" s="12"/>
      <c r="D766" s="13"/>
      <c r="F766" s="14"/>
      <c r="G766" s="14"/>
      <c r="H766" s="14"/>
      <c r="I766" s="14"/>
      <c r="J766" s="14"/>
      <c r="K766" s="12"/>
    </row>
    <row r="767" ht="19.5" customHeight="1">
      <c r="A767" s="12"/>
      <c r="C767" s="12"/>
      <c r="D767" s="13"/>
      <c r="F767" s="14"/>
      <c r="G767" s="14"/>
      <c r="H767" s="14"/>
      <c r="I767" s="14"/>
      <c r="J767" s="14"/>
      <c r="K767" s="12"/>
    </row>
    <row r="768" ht="19.5" customHeight="1">
      <c r="A768" s="12"/>
      <c r="C768" s="12"/>
      <c r="D768" s="13"/>
      <c r="F768" s="14"/>
      <c r="G768" s="14"/>
      <c r="H768" s="14"/>
      <c r="I768" s="14"/>
      <c r="J768" s="14"/>
      <c r="K768" s="12"/>
    </row>
    <row r="769" ht="19.5" customHeight="1">
      <c r="A769" s="12"/>
      <c r="C769" s="12"/>
      <c r="D769" s="13"/>
      <c r="F769" s="14"/>
      <c r="G769" s="14"/>
      <c r="H769" s="14"/>
      <c r="I769" s="14"/>
      <c r="J769" s="14"/>
      <c r="K769" s="12"/>
    </row>
    <row r="770" ht="19.5" customHeight="1">
      <c r="A770" s="12"/>
      <c r="C770" s="12"/>
      <c r="D770" s="13"/>
      <c r="F770" s="14"/>
      <c r="G770" s="14"/>
      <c r="H770" s="14"/>
      <c r="I770" s="14"/>
      <c r="J770" s="14"/>
      <c r="K770" s="12"/>
    </row>
    <row r="771" ht="19.5" customHeight="1">
      <c r="A771" s="12"/>
      <c r="C771" s="12"/>
      <c r="D771" s="13"/>
      <c r="F771" s="14"/>
      <c r="G771" s="14"/>
      <c r="H771" s="14"/>
      <c r="I771" s="14"/>
      <c r="J771" s="14"/>
      <c r="K771" s="12"/>
    </row>
    <row r="772" ht="19.5" customHeight="1">
      <c r="A772" s="12"/>
      <c r="C772" s="12"/>
      <c r="D772" s="13"/>
      <c r="F772" s="14"/>
      <c r="G772" s="14"/>
      <c r="H772" s="14"/>
      <c r="I772" s="14"/>
      <c r="J772" s="14"/>
      <c r="K772" s="12"/>
    </row>
    <row r="773" ht="19.5" customHeight="1">
      <c r="A773" s="12"/>
      <c r="C773" s="12"/>
      <c r="D773" s="13"/>
      <c r="F773" s="14"/>
      <c r="G773" s="14"/>
      <c r="H773" s="14"/>
      <c r="I773" s="14"/>
      <c r="J773" s="14"/>
      <c r="K773" s="12"/>
    </row>
    <row r="774" ht="19.5" customHeight="1">
      <c r="A774" s="12"/>
      <c r="C774" s="12"/>
      <c r="D774" s="13"/>
      <c r="F774" s="14"/>
      <c r="G774" s="14"/>
      <c r="H774" s="14"/>
      <c r="I774" s="14"/>
      <c r="J774" s="14"/>
      <c r="K774" s="12"/>
    </row>
    <row r="775" ht="19.5" customHeight="1">
      <c r="A775" s="12"/>
      <c r="C775" s="12"/>
      <c r="D775" s="13"/>
      <c r="F775" s="14"/>
      <c r="G775" s="14"/>
      <c r="H775" s="14"/>
      <c r="I775" s="14"/>
      <c r="J775" s="14"/>
      <c r="K775" s="12"/>
    </row>
    <row r="776" ht="19.5" customHeight="1">
      <c r="A776" s="12"/>
      <c r="C776" s="12"/>
      <c r="D776" s="13"/>
      <c r="F776" s="14"/>
      <c r="G776" s="14"/>
      <c r="H776" s="14"/>
      <c r="I776" s="14"/>
      <c r="J776" s="14"/>
      <c r="K776" s="12"/>
    </row>
    <row r="777" ht="19.5" customHeight="1">
      <c r="A777" s="12"/>
      <c r="C777" s="12"/>
      <c r="D777" s="13"/>
      <c r="F777" s="14"/>
      <c r="G777" s="14"/>
      <c r="H777" s="14"/>
      <c r="I777" s="14"/>
      <c r="J777" s="14"/>
      <c r="K777" s="12"/>
    </row>
    <row r="778" ht="19.5" customHeight="1">
      <c r="A778" s="12"/>
      <c r="C778" s="12"/>
      <c r="D778" s="13"/>
      <c r="F778" s="14"/>
      <c r="G778" s="14"/>
      <c r="H778" s="14"/>
      <c r="I778" s="14"/>
      <c r="J778" s="14"/>
      <c r="K778" s="12"/>
    </row>
    <row r="779" ht="19.5" customHeight="1">
      <c r="A779" s="12"/>
      <c r="C779" s="12"/>
      <c r="D779" s="13"/>
      <c r="F779" s="14"/>
      <c r="G779" s="14"/>
      <c r="H779" s="14"/>
      <c r="I779" s="14"/>
      <c r="J779" s="14"/>
      <c r="K779" s="12"/>
    </row>
    <row r="780" ht="19.5" customHeight="1">
      <c r="A780" s="12"/>
      <c r="C780" s="12"/>
      <c r="D780" s="13"/>
      <c r="F780" s="14"/>
      <c r="G780" s="14"/>
      <c r="H780" s="14"/>
      <c r="I780" s="14"/>
      <c r="J780" s="14"/>
      <c r="K780" s="12"/>
    </row>
    <row r="781" ht="19.5" customHeight="1">
      <c r="A781" s="12"/>
      <c r="C781" s="12"/>
      <c r="D781" s="13"/>
      <c r="F781" s="14"/>
      <c r="G781" s="14"/>
      <c r="H781" s="14"/>
      <c r="I781" s="14"/>
      <c r="J781" s="14"/>
      <c r="K781" s="12"/>
    </row>
    <row r="782" ht="19.5" customHeight="1">
      <c r="A782" s="12"/>
      <c r="C782" s="12"/>
      <c r="D782" s="13"/>
      <c r="F782" s="14"/>
      <c r="G782" s="14"/>
      <c r="H782" s="14"/>
      <c r="I782" s="14"/>
      <c r="J782" s="14"/>
      <c r="K782" s="12"/>
    </row>
    <row r="783" ht="19.5" customHeight="1">
      <c r="A783" s="12"/>
      <c r="C783" s="12"/>
      <c r="D783" s="13"/>
      <c r="F783" s="14"/>
      <c r="G783" s="14"/>
      <c r="H783" s="14"/>
      <c r="I783" s="14"/>
      <c r="J783" s="14"/>
      <c r="K783" s="12"/>
    </row>
    <row r="784" ht="19.5" customHeight="1">
      <c r="A784" s="12"/>
      <c r="C784" s="12"/>
      <c r="D784" s="13"/>
      <c r="F784" s="14"/>
      <c r="G784" s="14"/>
      <c r="H784" s="14"/>
      <c r="I784" s="14"/>
      <c r="J784" s="14"/>
      <c r="K784" s="12"/>
    </row>
    <row r="785" ht="19.5" customHeight="1">
      <c r="A785" s="12"/>
      <c r="C785" s="12"/>
      <c r="D785" s="13"/>
      <c r="F785" s="14"/>
      <c r="G785" s="14"/>
      <c r="H785" s="14"/>
      <c r="I785" s="14"/>
      <c r="J785" s="14"/>
      <c r="K785" s="12"/>
    </row>
    <row r="786" ht="19.5" customHeight="1">
      <c r="A786" s="12"/>
      <c r="C786" s="12"/>
      <c r="D786" s="13"/>
      <c r="F786" s="14"/>
      <c r="G786" s="14"/>
      <c r="H786" s="14"/>
      <c r="I786" s="14"/>
      <c r="J786" s="14"/>
      <c r="K786" s="12"/>
    </row>
    <row r="787" ht="19.5" customHeight="1">
      <c r="A787" s="12"/>
      <c r="C787" s="12"/>
      <c r="D787" s="13"/>
      <c r="F787" s="14"/>
      <c r="G787" s="14"/>
      <c r="H787" s="14"/>
      <c r="I787" s="14"/>
      <c r="J787" s="14"/>
      <c r="K787" s="12"/>
    </row>
    <row r="788" ht="19.5" customHeight="1">
      <c r="A788" s="12"/>
      <c r="C788" s="12"/>
      <c r="D788" s="13"/>
      <c r="F788" s="14"/>
      <c r="G788" s="14"/>
      <c r="H788" s="14"/>
      <c r="I788" s="14"/>
      <c r="J788" s="14"/>
      <c r="K788" s="12"/>
    </row>
    <row r="789" ht="19.5" customHeight="1">
      <c r="A789" s="12"/>
      <c r="C789" s="12"/>
      <c r="D789" s="13"/>
      <c r="F789" s="14"/>
      <c r="G789" s="14"/>
      <c r="H789" s="14"/>
      <c r="I789" s="14"/>
      <c r="J789" s="14"/>
      <c r="K789" s="12"/>
    </row>
    <row r="790" ht="19.5" customHeight="1">
      <c r="A790" s="12"/>
      <c r="C790" s="12"/>
      <c r="D790" s="13"/>
      <c r="F790" s="14"/>
      <c r="G790" s="14"/>
      <c r="H790" s="14"/>
      <c r="I790" s="14"/>
      <c r="J790" s="14"/>
      <c r="K790" s="12"/>
    </row>
    <row r="791" ht="19.5" customHeight="1">
      <c r="A791" s="12"/>
      <c r="C791" s="12"/>
      <c r="D791" s="13"/>
      <c r="F791" s="14"/>
      <c r="G791" s="14"/>
      <c r="H791" s="14"/>
      <c r="I791" s="14"/>
      <c r="J791" s="14"/>
      <c r="K791" s="12"/>
    </row>
    <row r="792" ht="19.5" customHeight="1">
      <c r="A792" s="12"/>
      <c r="C792" s="12"/>
      <c r="D792" s="13"/>
      <c r="F792" s="14"/>
      <c r="G792" s="14"/>
      <c r="H792" s="14"/>
      <c r="I792" s="14"/>
      <c r="J792" s="14"/>
      <c r="K792" s="12"/>
    </row>
    <row r="793" ht="19.5" customHeight="1">
      <c r="A793" s="12"/>
      <c r="C793" s="12"/>
      <c r="D793" s="13"/>
      <c r="F793" s="14"/>
      <c r="G793" s="14"/>
      <c r="H793" s="14"/>
      <c r="I793" s="14"/>
      <c r="J793" s="14"/>
      <c r="K793" s="12"/>
    </row>
    <row r="794" ht="19.5" customHeight="1">
      <c r="A794" s="12"/>
      <c r="C794" s="12"/>
      <c r="D794" s="13"/>
      <c r="F794" s="14"/>
      <c r="G794" s="14"/>
      <c r="H794" s="14"/>
      <c r="I794" s="14"/>
      <c r="J794" s="14"/>
      <c r="K794" s="12"/>
    </row>
    <row r="795" ht="19.5" customHeight="1">
      <c r="A795" s="12"/>
      <c r="C795" s="12"/>
      <c r="D795" s="13"/>
      <c r="F795" s="14"/>
      <c r="G795" s="14"/>
      <c r="H795" s="14"/>
      <c r="I795" s="14"/>
      <c r="J795" s="14"/>
      <c r="K795" s="12"/>
    </row>
    <row r="796" ht="19.5" customHeight="1">
      <c r="A796" s="12"/>
      <c r="C796" s="12"/>
      <c r="D796" s="13"/>
      <c r="F796" s="14"/>
      <c r="G796" s="14"/>
      <c r="H796" s="14"/>
      <c r="I796" s="14"/>
      <c r="J796" s="14"/>
      <c r="K796" s="12"/>
    </row>
    <row r="797" ht="19.5" customHeight="1">
      <c r="A797" s="12"/>
      <c r="C797" s="12"/>
      <c r="D797" s="13"/>
      <c r="F797" s="14"/>
      <c r="G797" s="14"/>
      <c r="H797" s="14"/>
      <c r="I797" s="14"/>
      <c r="J797" s="14"/>
      <c r="K797" s="12"/>
    </row>
    <row r="798" ht="19.5" customHeight="1">
      <c r="A798" s="12"/>
      <c r="C798" s="12"/>
      <c r="D798" s="13"/>
      <c r="F798" s="14"/>
      <c r="G798" s="14"/>
      <c r="H798" s="14"/>
      <c r="I798" s="14"/>
      <c r="J798" s="14"/>
      <c r="K798" s="12"/>
    </row>
    <row r="799" ht="19.5" customHeight="1">
      <c r="A799" s="12"/>
      <c r="C799" s="12"/>
      <c r="D799" s="13"/>
      <c r="F799" s="14"/>
      <c r="G799" s="14"/>
      <c r="H799" s="14"/>
      <c r="I799" s="14"/>
      <c r="J799" s="14"/>
      <c r="K799" s="12"/>
    </row>
    <row r="800" ht="19.5" customHeight="1">
      <c r="A800" s="12"/>
      <c r="C800" s="12"/>
      <c r="D800" s="13"/>
      <c r="F800" s="14"/>
      <c r="G800" s="14"/>
      <c r="H800" s="14"/>
      <c r="I800" s="14"/>
      <c r="J800" s="14"/>
      <c r="K800" s="12"/>
    </row>
    <row r="801" ht="19.5" customHeight="1">
      <c r="A801" s="12"/>
      <c r="C801" s="12"/>
      <c r="D801" s="13"/>
      <c r="F801" s="14"/>
      <c r="G801" s="14"/>
      <c r="H801" s="14"/>
      <c r="I801" s="14"/>
      <c r="J801" s="14"/>
      <c r="K801" s="12"/>
    </row>
    <row r="802" ht="19.5" customHeight="1">
      <c r="A802" s="12"/>
      <c r="C802" s="12"/>
      <c r="D802" s="13"/>
      <c r="F802" s="14"/>
      <c r="G802" s="14"/>
      <c r="H802" s="14"/>
      <c r="I802" s="14"/>
      <c r="J802" s="14"/>
      <c r="K802" s="12"/>
    </row>
    <row r="803" ht="19.5" customHeight="1">
      <c r="A803" s="12"/>
      <c r="C803" s="12"/>
      <c r="D803" s="13"/>
      <c r="F803" s="14"/>
      <c r="G803" s="14"/>
      <c r="H803" s="14"/>
      <c r="I803" s="14"/>
      <c r="J803" s="14"/>
      <c r="K803" s="12"/>
    </row>
    <row r="804" ht="19.5" customHeight="1">
      <c r="A804" s="12"/>
      <c r="C804" s="12"/>
      <c r="D804" s="13"/>
      <c r="F804" s="14"/>
      <c r="G804" s="14"/>
      <c r="H804" s="14"/>
      <c r="I804" s="14"/>
      <c r="J804" s="14"/>
      <c r="K804" s="12"/>
    </row>
    <row r="805" ht="19.5" customHeight="1">
      <c r="A805" s="12"/>
      <c r="C805" s="12"/>
      <c r="D805" s="13"/>
      <c r="F805" s="14"/>
      <c r="G805" s="14"/>
      <c r="H805" s="14"/>
      <c r="I805" s="14"/>
      <c r="J805" s="14"/>
      <c r="K805" s="12"/>
    </row>
    <row r="806" ht="19.5" customHeight="1">
      <c r="A806" s="12"/>
      <c r="C806" s="12"/>
      <c r="D806" s="13"/>
      <c r="F806" s="14"/>
      <c r="G806" s="14"/>
      <c r="H806" s="14"/>
      <c r="I806" s="14"/>
      <c r="J806" s="14"/>
      <c r="K806" s="12"/>
    </row>
    <row r="807" ht="19.5" customHeight="1">
      <c r="A807" s="12"/>
      <c r="C807" s="12"/>
      <c r="D807" s="13"/>
      <c r="F807" s="14"/>
      <c r="G807" s="14"/>
      <c r="H807" s="14"/>
      <c r="I807" s="14"/>
      <c r="J807" s="14"/>
      <c r="K807" s="12"/>
    </row>
    <row r="808" ht="19.5" customHeight="1">
      <c r="A808" s="12"/>
      <c r="C808" s="12"/>
      <c r="D808" s="13"/>
      <c r="F808" s="14"/>
      <c r="G808" s="14"/>
      <c r="H808" s="14"/>
      <c r="I808" s="14"/>
      <c r="J808" s="14"/>
      <c r="K808" s="12"/>
    </row>
    <row r="809" ht="19.5" customHeight="1">
      <c r="A809" s="12"/>
      <c r="C809" s="12"/>
      <c r="D809" s="13"/>
      <c r="F809" s="14"/>
      <c r="G809" s="14"/>
      <c r="H809" s="14"/>
      <c r="I809" s="14"/>
      <c r="J809" s="14"/>
      <c r="K809" s="12"/>
    </row>
    <row r="810" ht="19.5" customHeight="1">
      <c r="A810" s="12"/>
      <c r="C810" s="12"/>
      <c r="D810" s="13"/>
      <c r="F810" s="14"/>
      <c r="G810" s="14"/>
      <c r="H810" s="14"/>
      <c r="I810" s="14"/>
      <c r="J810" s="14"/>
      <c r="K810" s="12"/>
    </row>
    <row r="811" ht="19.5" customHeight="1">
      <c r="A811" s="12"/>
      <c r="C811" s="12"/>
      <c r="D811" s="13"/>
      <c r="F811" s="14"/>
      <c r="G811" s="14"/>
      <c r="H811" s="14"/>
      <c r="I811" s="14"/>
      <c r="J811" s="14"/>
      <c r="K811" s="12"/>
    </row>
    <row r="812" ht="19.5" customHeight="1">
      <c r="A812" s="12"/>
      <c r="C812" s="12"/>
      <c r="D812" s="13"/>
      <c r="F812" s="14"/>
      <c r="G812" s="14"/>
      <c r="H812" s="14"/>
      <c r="I812" s="14"/>
      <c r="J812" s="14"/>
      <c r="K812" s="12"/>
    </row>
    <row r="813" ht="19.5" customHeight="1">
      <c r="A813" s="12"/>
      <c r="C813" s="12"/>
      <c r="D813" s="13"/>
      <c r="F813" s="14"/>
      <c r="G813" s="14"/>
      <c r="H813" s="14"/>
      <c r="I813" s="14"/>
      <c r="J813" s="14"/>
      <c r="K813" s="12"/>
    </row>
    <row r="814" ht="19.5" customHeight="1">
      <c r="A814" s="12"/>
      <c r="C814" s="12"/>
      <c r="D814" s="13"/>
      <c r="F814" s="14"/>
      <c r="G814" s="14"/>
      <c r="H814" s="14"/>
      <c r="I814" s="14"/>
      <c r="J814" s="14"/>
      <c r="K814" s="12"/>
    </row>
    <row r="815" ht="19.5" customHeight="1">
      <c r="A815" s="12"/>
      <c r="C815" s="12"/>
      <c r="D815" s="13"/>
      <c r="F815" s="14"/>
      <c r="G815" s="14"/>
      <c r="H815" s="14"/>
      <c r="I815" s="14"/>
      <c r="J815" s="14"/>
      <c r="K815" s="12"/>
    </row>
    <row r="816" ht="19.5" customHeight="1">
      <c r="A816" s="12"/>
      <c r="C816" s="12"/>
      <c r="D816" s="13"/>
      <c r="F816" s="14"/>
      <c r="G816" s="14"/>
      <c r="H816" s="14"/>
      <c r="I816" s="14"/>
      <c r="J816" s="14"/>
      <c r="K816" s="12"/>
    </row>
    <row r="817" ht="19.5" customHeight="1">
      <c r="A817" s="12"/>
      <c r="C817" s="12"/>
      <c r="D817" s="13"/>
      <c r="F817" s="14"/>
      <c r="G817" s="14"/>
      <c r="H817" s="14"/>
      <c r="I817" s="14"/>
      <c r="J817" s="14"/>
      <c r="K817" s="12"/>
    </row>
    <row r="818" ht="19.5" customHeight="1">
      <c r="A818" s="12"/>
      <c r="C818" s="12"/>
      <c r="D818" s="13"/>
      <c r="F818" s="14"/>
      <c r="G818" s="14"/>
      <c r="H818" s="14"/>
      <c r="I818" s="14"/>
      <c r="J818" s="14"/>
      <c r="K818" s="12"/>
    </row>
    <row r="819" ht="19.5" customHeight="1">
      <c r="A819" s="12"/>
      <c r="C819" s="12"/>
      <c r="D819" s="13"/>
      <c r="F819" s="14"/>
      <c r="G819" s="14"/>
      <c r="H819" s="14"/>
      <c r="I819" s="14"/>
      <c r="J819" s="14"/>
      <c r="K819" s="12"/>
    </row>
    <row r="820" ht="19.5" customHeight="1">
      <c r="A820" s="12"/>
      <c r="C820" s="12"/>
      <c r="D820" s="13"/>
      <c r="F820" s="14"/>
      <c r="G820" s="14"/>
      <c r="H820" s="14"/>
      <c r="I820" s="14"/>
      <c r="J820" s="14"/>
      <c r="K820" s="12"/>
    </row>
    <row r="821" ht="19.5" customHeight="1">
      <c r="A821" s="12"/>
      <c r="C821" s="12"/>
      <c r="D821" s="13"/>
      <c r="F821" s="14"/>
      <c r="G821" s="14"/>
      <c r="H821" s="14"/>
      <c r="I821" s="14"/>
      <c r="J821" s="14"/>
      <c r="K821" s="12"/>
    </row>
    <row r="822" ht="19.5" customHeight="1">
      <c r="A822" s="12"/>
      <c r="C822" s="12"/>
      <c r="D822" s="13"/>
      <c r="F822" s="14"/>
      <c r="G822" s="14"/>
      <c r="H822" s="14"/>
      <c r="I822" s="14"/>
      <c r="J822" s="14"/>
      <c r="K822" s="12"/>
    </row>
    <row r="823" ht="19.5" customHeight="1">
      <c r="A823" s="12"/>
      <c r="C823" s="12"/>
      <c r="D823" s="13"/>
      <c r="F823" s="14"/>
      <c r="G823" s="14"/>
      <c r="H823" s="14"/>
      <c r="I823" s="14"/>
      <c r="J823" s="14"/>
      <c r="K823" s="12"/>
    </row>
    <row r="824" ht="19.5" customHeight="1">
      <c r="A824" s="12"/>
      <c r="C824" s="12"/>
      <c r="D824" s="13"/>
      <c r="F824" s="14"/>
      <c r="G824" s="14"/>
      <c r="H824" s="14"/>
      <c r="I824" s="14"/>
      <c r="J824" s="14"/>
      <c r="K824" s="12"/>
    </row>
    <row r="825" ht="19.5" customHeight="1">
      <c r="A825" s="12"/>
      <c r="C825" s="12"/>
      <c r="D825" s="13"/>
      <c r="F825" s="14"/>
      <c r="G825" s="14"/>
      <c r="H825" s="14"/>
      <c r="I825" s="14"/>
      <c r="J825" s="14"/>
      <c r="K825" s="12"/>
    </row>
    <row r="826" ht="19.5" customHeight="1">
      <c r="A826" s="12"/>
      <c r="C826" s="12"/>
      <c r="D826" s="13"/>
      <c r="F826" s="14"/>
      <c r="G826" s="14"/>
      <c r="H826" s="14"/>
      <c r="I826" s="14"/>
      <c r="J826" s="14"/>
      <c r="K826" s="12"/>
    </row>
    <row r="827" ht="19.5" customHeight="1">
      <c r="A827" s="12"/>
      <c r="C827" s="12"/>
      <c r="D827" s="13"/>
      <c r="F827" s="14"/>
      <c r="G827" s="14"/>
      <c r="H827" s="14"/>
      <c r="I827" s="14"/>
      <c r="J827" s="14"/>
      <c r="K827" s="12"/>
    </row>
    <row r="828" ht="19.5" customHeight="1">
      <c r="A828" s="12"/>
      <c r="C828" s="12"/>
      <c r="D828" s="13"/>
      <c r="F828" s="14"/>
      <c r="G828" s="14"/>
      <c r="H828" s="14"/>
      <c r="I828" s="14"/>
      <c r="J828" s="14"/>
      <c r="K828" s="12"/>
    </row>
    <row r="829" ht="19.5" customHeight="1">
      <c r="A829" s="12"/>
      <c r="C829" s="12"/>
      <c r="D829" s="13"/>
      <c r="F829" s="14"/>
      <c r="G829" s="14"/>
      <c r="H829" s="14"/>
      <c r="I829" s="14"/>
      <c r="J829" s="14"/>
      <c r="K829" s="12"/>
    </row>
    <row r="830" ht="19.5" customHeight="1">
      <c r="A830" s="12"/>
      <c r="C830" s="12"/>
      <c r="D830" s="13"/>
      <c r="F830" s="14"/>
      <c r="G830" s="14"/>
      <c r="H830" s="14"/>
      <c r="I830" s="14"/>
      <c r="J830" s="14"/>
      <c r="K830" s="12"/>
    </row>
    <row r="831" ht="19.5" customHeight="1">
      <c r="A831" s="12"/>
      <c r="C831" s="12"/>
      <c r="D831" s="13"/>
      <c r="F831" s="14"/>
      <c r="G831" s="14"/>
      <c r="H831" s="14"/>
      <c r="I831" s="14"/>
      <c r="J831" s="14"/>
      <c r="K831" s="12"/>
    </row>
    <row r="832" ht="19.5" customHeight="1">
      <c r="A832" s="12"/>
      <c r="C832" s="12"/>
      <c r="D832" s="13"/>
      <c r="F832" s="14"/>
      <c r="G832" s="14"/>
      <c r="H832" s="14"/>
      <c r="I832" s="14"/>
      <c r="J832" s="14"/>
      <c r="K832" s="12"/>
    </row>
    <row r="833" ht="19.5" customHeight="1">
      <c r="A833" s="12"/>
      <c r="C833" s="12"/>
      <c r="D833" s="13"/>
      <c r="F833" s="14"/>
      <c r="G833" s="14"/>
      <c r="H833" s="14"/>
      <c r="I833" s="14"/>
      <c r="J833" s="14"/>
      <c r="K833" s="12"/>
    </row>
    <row r="834" ht="19.5" customHeight="1">
      <c r="A834" s="12"/>
      <c r="C834" s="12"/>
      <c r="D834" s="13"/>
      <c r="F834" s="14"/>
      <c r="G834" s="14"/>
      <c r="H834" s="14"/>
      <c r="I834" s="14"/>
      <c r="J834" s="14"/>
      <c r="K834" s="12"/>
    </row>
    <row r="835" ht="19.5" customHeight="1">
      <c r="A835" s="12"/>
      <c r="C835" s="12"/>
      <c r="D835" s="13"/>
      <c r="F835" s="14"/>
      <c r="G835" s="14"/>
      <c r="H835" s="14"/>
      <c r="I835" s="14"/>
      <c r="J835" s="14"/>
      <c r="K835" s="12"/>
    </row>
    <row r="836" ht="19.5" customHeight="1">
      <c r="A836" s="12"/>
      <c r="C836" s="12"/>
      <c r="D836" s="13"/>
      <c r="F836" s="14"/>
      <c r="G836" s="14"/>
      <c r="H836" s="14"/>
      <c r="I836" s="14"/>
      <c r="J836" s="14"/>
      <c r="K836" s="12"/>
    </row>
    <row r="837" ht="19.5" customHeight="1">
      <c r="A837" s="12"/>
      <c r="C837" s="12"/>
      <c r="D837" s="13"/>
      <c r="F837" s="14"/>
      <c r="G837" s="14"/>
      <c r="H837" s="14"/>
      <c r="I837" s="14"/>
      <c r="J837" s="14"/>
      <c r="K837" s="12"/>
    </row>
    <row r="838" ht="19.5" customHeight="1">
      <c r="A838" s="12"/>
      <c r="C838" s="12"/>
      <c r="D838" s="13"/>
      <c r="F838" s="14"/>
      <c r="G838" s="14"/>
      <c r="H838" s="14"/>
      <c r="I838" s="14"/>
      <c r="J838" s="14"/>
      <c r="K838" s="12"/>
    </row>
    <row r="839" ht="19.5" customHeight="1">
      <c r="A839" s="12"/>
      <c r="C839" s="12"/>
      <c r="D839" s="13"/>
      <c r="F839" s="14"/>
      <c r="G839" s="14"/>
      <c r="H839" s="14"/>
      <c r="I839" s="14"/>
      <c r="J839" s="14"/>
      <c r="K839" s="12"/>
    </row>
    <row r="840" ht="19.5" customHeight="1">
      <c r="A840" s="12"/>
      <c r="C840" s="12"/>
      <c r="D840" s="13"/>
      <c r="F840" s="14"/>
      <c r="G840" s="14"/>
      <c r="H840" s="14"/>
      <c r="I840" s="14"/>
      <c r="J840" s="14"/>
      <c r="K840" s="12"/>
    </row>
    <row r="841" ht="19.5" customHeight="1">
      <c r="A841" s="12"/>
      <c r="C841" s="12"/>
      <c r="D841" s="13"/>
      <c r="F841" s="14"/>
      <c r="G841" s="14"/>
      <c r="H841" s="14"/>
      <c r="I841" s="14"/>
      <c r="J841" s="14"/>
      <c r="K841" s="12"/>
    </row>
    <row r="842" ht="19.5" customHeight="1">
      <c r="A842" s="12"/>
      <c r="C842" s="12"/>
      <c r="D842" s="13"/>
      <c r="F842" s="14"/>
      <c r="G842" s="14"/>
      <c r="H842" s="14"/>
      <c r="I842" s="14"/>
      <c r="J842" s="14"/>
      <c r="K842" s="12"/>
    </row>
    <row r="843" ht="19.5" customHeight="1">
      <c r="A843" s="12"/>
      <c r="C843" s="12"/>
      <c r="D843" s="13"/>
      <c r="F843" s="14"/>
      <c r="G843" s="14"/>
      <c r="H843" s="14"/>
      <c r="I843" s="14"/>
      <c r="J843" s="14"/>
      <c r="K843" s="12"/>
    </row>
    <row r="844" ht="19.5" customHeight="1">
      <c r="A844" s="12"/>
      <c r="C844" s="12"/>
      <c r="D844" s="13"/>
      <c r="F844" s="14"/>
      <c r="G844" s="14"/>
      <c r="H844" s="14"/>
      <c r="I844" s="14"/>
      <c r="J844" s="14"/>
      <c r="K844" s="12"/>
    </row>
    <row r="845" ht="19.5" customHeight="1">
      <c r="A845" s="12"/>
      <c r="C845" s="12"/>
      <c r="D845" s="13"/>
      <c r="F845" s="14"/>
      <c r="G845" s="14"/>
      <c r="H845" s="14"/>
      <c r="I845" s="14"/>
      <c r="J845" s="14"/>
      <c r="K845" s="12"/>
    </row>
    <row r="846" ht="19.5" customHeight="1">
      <c r="A846" s="12"/>
      <c r="C846" s="12"/>
      <c r="D846" s="13"/>
      <c r="F846" s="14"/>
      <c r="G846" s="14"/>
      <c r="H846" s="14"/>
      <c r="I846" s="14"/>
      <c r="J846" s="14"/>
      <c r="K846" s="12"/>
    </row>
    <row r="847" ht="19.5" customHeight="1">
      <c r="A847" s="12"/>
      <c r="C847" s="12"/>
      <c r="D847" s="13"/>
      <c r="F847" s="14"/>
      <c r="G847" s="14"/>
      <c r="H847" s="14"/>
      <c r="I847" s="14"/>
      <c r="J847" s="14"/>
      <c r="K847" s="12"/>
    </row>
    <row r="848" ht="19.5" customHeight="1">
      <c r="A848" s="12"/>
      <c r="C848" s="12"/>
      <c r="D848" s="13"/>
      <c r="F848" s="14"/>
      <c r="G848" s="14"/>
      <c r="H848" s="14"/>
      <c r="I848" s="14"/>
      <c r="J848" s="14"/>
      <c r="K848" s="12"/>
    </row>
    <row r="849" ht="19.5" customHeight="1">
      <c r="A849" s="12"/>
      <c r="C849" s="12"/>
      <c r="D849" s="13"/>
      <c r="F849" s="14"/>
      <c r="G849" s="14"/>
      <c r="H849" s="14"/>
      <c r="I849" s="14"/>
      <c r="J849" s="14"/>
      <c r="K849" s="12"/>
    </row>
    <row r="850" ht="19.5" customHeight="1">
      <c r="A850" s="12"/>
      <c r="C850" s="12"/>
      <c r="D850" s="13"/>
      <c r="F850" s="14"/>
      <c r="G850" s="14"/>
      <c r="H850" s="14"/>
      <c r="I850" s="14"/>
      <c r="J850" s="14"/>
      <c r="K850" s="12"/>
    </row>
    <row r="851" ht="19.5" customHeight="1">
      <c r="A851" s="12"/>
      <c r="C851" s="12"/>
      <c r="D851" s="13"/>
      <c r="F851" s="14"/>
      <c r="G851" s="14"/>
      <c r="H851" s="14"/>
      <c r="I851" s="14"/>
      <c r="J851" s="14"/>
      <c r="K851" s="12"/>
    </row>
    <row r="852" ht="19.5" customHeight="1">
      <c r="A852" s="12"/>
      <c r="C852" s="12"/>
      <c r="D852" s="13"/>
      <c r="F852" s="14"/>
      <c r="G852" s="14"/>
      <c r="H852" s="14"/>
      <c r="I852" s="14"/>
      <c r="J852" s="14"/>
      <c r="K852" s="12"/>
    </row>
    <row r="853" ht="19.5" customHeight="1">
      <c r="A853" s="12"/>
      <c r="C853" s="12"/>
      <c r="D853" s="13"/>
      <c r="F853" s="14"/>
      <c r="G853" s="14"/>
      <c r="H853" s="14"/>
      <c r="I853" s="14"/>
      <c r="J853" s="14"/>
      <c r="K853" s="12"/>
    </row>
    <row r="854" ht="19.5" customHeight="1">
      <c r="A854" s="12"/>
      <c r="C854" s="12"/>
      <c r="D854" s="13"/>
      <c r="F854" s="14"/>
      <c r="G854" s="14"/>
      <c r="H854" s="14"/>
      <c r="I854" s="14"/>
      <c r="J854" s="14"/>
      <c r="K854" s="12"/>
    </row>
    <row r="855" ht="19.5" customHeight="1">
      <c r="A855" s="12"/>
      <c r="C855" s="12"/>
      <c r="D855" s="13"/>
      <c r="F855" s="14"/>
      <c r="G855" s="14"/>
      <c r="H855" s="14"/>
      <c r="I855" s="14"/>
      <c r="J855" s="14"/>
      <c r="K855" s="12"/>
    </row>
    <row r="856" ht="19.5" customHeight="1">
      <c r="A856" s="12"/>
      <c r="C856" s="12"/>
      <c r="D856" s="13"/>
      <c r="F856" s="14"/>
      <c r="G856" s="14"/>
      <c r="H856" s="14"/>
      <c r="I856" s="14"/>
      <c r="J856" s="14"/>
      <c r="K856" s="12"/>
    </row>
    <row r="857" ht="19.5" customHeight="1">
      <c r="A857" s="12"/>
      <c r="C857" s="12"/>
      <c r="D857" s="13"/>
      <c r="F857" s="14"/>
      <c r="G857" s="14"/>
      <c r="H857" s="14"/>
      <c r="I857" s="14"/>
      <c r="J857" s="14"/>
      <c r="K857" s="12"/>
    </row>
    <row r="858" ht="19.5" customHeight="1">
      <c r="A858" s="12"/>
      <c r="C858" s="12"/>
      <c r="D858" s="13"/>
      <c r="F858" s="14"/>
      <c r="G858" s="14"/>
      <c r="H858" s="14"/>
      <c r="I858" s="14"/>
      <c r="J858" s="14"/>
      <c r="K858" s="12"/>
    </row>
    <row r="859" ht="19.5" customHeight="1">
      <c r="A859" s="12"/>
      <c r="C859" s="12"/>
      <c r="D859" s="13"/>
      <c r="F859" s="14"/>
      <c r="G859" s="14"/>
      <c r="H859" s="14"/>
      <c r="I859" s="14"/>
      <c r="J859" s="14"/>
      <c r="K859" s="12"/>
    </row>
    <row r="860" ht="19.5" customHeight="1">
      <c r="A860" s="12"/>
      <c r="C860" s="12"/>
      <c r="D860" s="13"/>
      <c r="F860" s="14"/>
      <c r="G860" s="14"/>
      <c r="H860" s="14"/>
      <c r="I860" s="14"/>
      <c r="J860" s="14"/>
      <c r="K860" s="12"/>
    </row>
    <row r="861" ht="19.5" customHeight="1">
      <c r="A861" s="12"/>
      <c r="C861" s="12"/>
      <c r="D861" s="13"/>
      <c r="F861" s="14"/>
      <c r="G861" s="14"/>
      <c r="H861" s="14"/>
      <c r="I861" s="14"/>
      <c r="J861" s="14"/>
      <c r="K861" s="12"/>
    </row>
    <row r="862" ht="19.5" customHeight="1">
      <c r="A862" s="12"/>
      <c r="C862" s="12"/>
      <c r="D862" s="13"/>
      <c r="F862" s="14"/>
      <c r="G862" s="14"/>
      <c r="H862" s="14"/>
      <c r="I862" s="14"/>
      <c r="J862" s="14"/>
      <c r="K862" s="12"/>
    </row>
    <row r="863" ht="19.5" customHeight="1">
      <c r="A863" s="12"/>
      <c r="C863" s="12"/>
      <c r="D863" s="13"/>
      <c r="F863" s="14"/>
      <c r="G863" s="14"/>
      <c r="H863" s="14"/>
      <c r="I863" s="14"/>
      <c r="J863" s="14"/>
      <c r="K863" s="12"/>
    </row>
    <row r="864" ht="19.5" customHeight="1">
      <c r="A864" s="12"/>
      <c r="C864" s="12"/>
      <c r="D864" s="13"/>
      <c r="F864" s="14"/>
      <c r="G864" s="14"/>
      <c r="H864" s="14"/>
      <c r="I864" s="14"/>
      <c r="J864" s="14"/>
      <c r="K864" s="12"/>
    </row>
    <row r="865" ht="19.5" customHeight="1">
      <c r="A865" s="12"/>
      <c r="C865" s="12"/>
      <c r="D865" s="13"/>
      <c r="F865" s="14"/>
      <c r="G865" s="14"/>
      <c r="H865" s="14"/>
      <c r="I865" s="14"/>
      <c r="J865" s="14"/>
      <c r="K865" s="12"/>
    </row>
    <row r="866" ht="19.5" customHeight="1">
      <c r="A866" s="12"/>
      <c r="C866" s="12"/>
      <c r="D866" s="13"/>
      <c r="F866" s="14"/>
      <c r="G866" s="14"/>
      <c r="H866" s="14"/>
      <c r="I866" s="14"/>
      <c r="J866" s="14"/>
      <c r="K866" s="12"/>
    </row>
    <row r="867" ht="19.5" customHeight="1">
      <c r="A867" s="12"/>
      <c r="C867" s="12"/>
      <c r="D867" s="13"/>
      <c r="F867" s="14"/>
      <c r="G867" s="14"/>
      <c r="H867" s="14"/>
      <c r="I867" s="14"/>
      <c r="J867" s="14"/>
      <c r="K867" s="12"/>
    </row>
    <row r="868" ht="19.5" customHeight="1">
      <c r="A868" s="12"/>
      <c r="C868" s="12"/>
      <c r="D868" s="13"/>
      <c r="F868" s="14"/>
      <c r="G868" s="14"/>
      <c r="H868" s="14"/>
      <c r="I868" s="14"/>
      <c r="J868" s="14"/>
      <c r="K868" s="12"/>
    </row>
    <row r="869" ht="19.5" customHeight="1">
      <c r="A869" s="12"/>
      <c r="C869" s="12"/>
      <c r="D869" s="13"/>
      <c r="F869" s="14"/>
      <c r="G869" s="14"/>
      <c r="H869" s="14"/>
      <c r="I869" s="14"/>
      <c r="J869" s="14"/>
      <c r="K869" s="12"/>
    </row>
    <row r="870" ht="19.5" customHeight="1">
      <c r="A870" s="12"/>
      <c r="C870" s="12"/>
      <c r="D870" s="13"/>
      <c r="F870" s="14"/>
      <c r="G870" s="14"/>
      <c r="H870" s="14"/>
      <c r="I870" s="14"/>
      <c r="J870" s="14"/>
      <c r="K870" s="12"/>
    </row>
    <row r="871" ht="19.5" customHeight="1">
      <c r="A871" s="12"/>
      <c r="C871" s="12"/>
      <c r="D871" s="13"/>
      <c r="F871" s="14"/>
      <c r="G871" s="14"/>
      <c r="H871" s="14"/>
      <c r="I871" s="14"/>
      <c r="J871" s="14"/>
      <c r="K871" s="12"/>
    </row>
    <row r="872" ht="19.5" customHeight="1">
      <c r="A872" s="12"/>
      <c r="C872" s="12"/>
      <c r="D872" s="13"/>
      <c r="F872" s="14"/>
      <c r="G872" s="14"/>
      <c r="H872" s="14"/>
      <c r="I872" s="14"/>
      <c r="J872" s="14"/>
      <c r="K872" s="12"/>
    </row>
    <row r="873" ht="19.5" customHeight="1">
      <c r="A873" s="12"/>
      <c r="C873" s="12"/>
      <c r="D873" s="13"/>
      <c r="F873" s="14"/>
      <c r="G873" s="14"/>
      <c r="H873" s="14"/>
      <c r="I873" s="14"/>
      <c r="J873" s="14"/>
      <c r="K873" s="12"/>
    </row>
    <row r="874" ht="19.5" customHeight="1">
      <c r="A874" s="12"/>
      <c r="C874" s="12"/>
      <c r="D874" s="13"/>
      <c r="F874" s="14"/>
      <c r="G874" s="14"/>
      <c r="H874" s="14"/>
      <c r="I874" s="14"/>
      <c r="J874" s="14"/>
      <c r="K874" s="12"/>
    </row>
    <row r="875" ht="19.5" customHeight="1">
      <c r="A875" s="12"/>
      <c r="C875" s="12"/>
      <c r="D875" s="13"/>
      <c r="F875" s="14"/>
      <c r="G875" s="14"/>
      <c r="H875" s="14"/>
      <c r="I875" s="14"/>
      <c r="J875" s="14"/>
      <c r="K875" s="12"/>
    </row>
    <row r="876" ht="19.5" customHeight="1">
      <c r="A876" s="12"/>
      <c r="C876" s="12"/>
      <c r="D876" s="13"/>
      <c r="F876" s="14"/>
      <c r="G876" s="14"/>
      <c r="H876" s="14"/>
      <c r="I876" s="14"/>
      <c r="J876" s="14"/>
      <c r="K876" s="12"/>
    </row>
    <row r="877" ht="19.5" customHeight="1">
      <c r="A877" s="12"/>
      <c r="C877" s="12"/>
      <c r="D877" s="13"/>
      <c r="F877" s="14"/>
      <c r="G877" s="14"/>
      <c r="H877" s="14"/>
      <c r="I877" s="14"/>
      <c r="J877" s="14"/>
      <c r="K877" s="12"/>
    </row>
    <row r="878" ht="19.5" customHeight="1">
      <c r="A878" s="12"/>
      <c r="C878" s="12"/>
      <c r="D878" s="13"/>
      <c r="F878" s="14"/>
      <c r="G878" s="14"/>
      <c r="H878" s="14"/>
      <c r="I878" s="14"/>
      <c r="J878" s="14"/>
      <c r="K878" s="12"/>
    </row>
    <row r="879" ht="19.5" customHeight="1">
      <c r="A879" s="12"/>
      <c r="C879" s="12"/>
      <c r="D879" s="13"/>
      <c r="F879" s="14"/>
      <c r="G879" s="14"/>
      <c r="H879" s="14"/>
      <c r="I879" s="14"/>
      <c r="J879" s="14"/>
      <c r="K879" s="12"/>
    </row>
    <row r="880" ht="19.5" customHeight="1">
      <c r="A880" s="12"/>
      <c r="C880" s="12"/>
      <c r="D880" s="13"/>
      <c r="F880" s="14"/>
      <c r="G880" s="14"/>
      <c r="H880" s="14"/>
      <c r="I880" s="14"/>
      <c r="J880" s="14"/>
      <c r="K880" s="12"/>
    </row>
    <row r="881" ht="19.5" customHeight="1">
      <c r="A881" s="12"/>
      <c r="C881" s="12"/>
      <c r="D881" s="13"/>
      <c r="F881" s="14"/>
      <c r="G881" s="14"/>
      <c r="H881" s="14"/>
      <c r="I881" s="14"/>
      <c r="J881" s="14"/>
      <c r="K881" s="12"/>
    </row>
    <row r="882" ht="19.5" customHeight="1">
      <c r="A882" s="12"/>
      <c r="C882" s="12"/>
      <c r="D882" s="13"/>
      <c r="F882" s="14"/>
      <c r="G882" s="14"/>
      <c r="H882" s="14"/>
      <c r="I882" s="14"/>
      <c r="J882" s="14"/>
      <c r="K882" s="12"/>
    </row>
    <row r="883" ht="19.5" customHeight="1">
      <c r="A883" s="12"/>
      <c r="C883" s="12"/>
      <c r="D883" s="13"/>
      <c r="F883" s="14"/>
      <c r="G883" s="14"/>
      <c r="H883" s="14"/>
      <c r="I883" s="14"/>
      <c r="J883" s="14"/>
      <c r="K883" s="12"/>
    </row>
    <row r="884" ht="19.5" customHeight="1">
      <c r="A884" s="12"/>
      <c r="C884" s="12"/>
      <c r="D884" s="13"/>
      <c r="F884" s="14"/>
      <c r="G884" s="14"/>
      <c r="H884" s="14"/>
      <c r="I884" s="14"/>
      <c r="J884" s="14"/>
      <c r="K884" s="12"/>
    </row>
    <row r="885" ht="19.5" customHeight="1">
      <c r="A885" s="12"/>
      <c r="C885" s="12"/>
      <c r="D885" s="13"/>
      <c r="F885" s="14"/>
      <c r="G885" s="14"/>
      <c r="H885" s="14"/>
      <c r="I885" s="14"/>
      <c r="J885" s="14"/>
      <c r="K885" s="12"/>
    </row>
    <row r="886" ht="19.5" customHeight="1">
      <c r="A886" s="12"/>
      <c r="C886" s="12"/>
      <c r="D886" s="13"/>
      <c r="F886" s="14"/>
      <c r="G886" s="14"/>
      <c r="H886" s="14"/>
      <c r="I886" s="14"/>
      <c r="J886" s="14"/>
      <c r="K886" s="12"/>
    </row>
    <row r="887" ht="19.5" customHeight="1">
      <c r="A887" s="12"/>
      <c r="C887" s="12"/>
      <c r="D887" s="13"/>
      <c r="F887" s="14"/>
      <c r="G887" s="14"/>
      <c r="H887" s="14"/>
      <c r="I887" s="14"/>
      <c r="J887" s="14"/>
      <c r="K887" s="12"/>
    </row>
    <row r="888" ht="19.5" customHeight="1">
      <c r="A888" s="12"/>
      <c r="C888" s="12"/>
      <c r="D888" s="13"/>
      <c r="F888" s="14"/>
      <c r="G888" s="14"/>
      <c r="H888" s="14"/>
      <c r="I888" s="14"/>
      <c r="J888" s="14"/>
      <c r="K888" s="12"/>
    </row>
    <row r="889" ht="19.5" customHeight="1">
      <c r="A889" s="12"/>
      <c r="C889" s="12"/>
      <c r="D889" s="13"/>
      <c r="F889" s="14"/>
      <c r="G889" s="14"/>
      <c r="H889" s="14"/>
      <c r="I889" s="14"/>
      <c r="J889" s="14"/>
      <c r="K889" s="12"/>
    </row>
    <row r="890" ht="19.5" customHeight="1">
      <c r="A890" s="12"/>
      <c r="C890" s="12"/>
      <c r="D890" s="13"/>
      <c r="F890" s="14"/>
      <c r="G890" s="14"/>
      <c r="H890" s="14"/>
      <c r="I890" s="14"/>
      <c r="J890" s="14"/>
      <c r="K890" s="12"/>
    </row>
    <row r="891" ht="19.5" customHeight="1">
      <c r="A891" s="12"/>
      <c r="C891" s="12"/>
      <c r="D891" s="13"/>
      <c r="F891" s="14"/>
      <c r="G891" s="14"/>
      <c r="H891" s="14"/>
      <c r="I891" s="14"/>
      <c r="J891" s="14"/>
      <c r="K891" s="12"/>
    </row>
    <row r="892" ht="19.5" customHeight="1">
      <c r="A892" s="12"/>
      <c r="C892" s="12"/>
      <c r="D892" s="13"/>
      <c r="F892" s="14"/>
      <c r="G892" s="14"/>
      <c r="H892" s="14"/>
      <c r="I892" s="14"/>
      <c r="J892" s="14"/>
      <c r="K892" s="12"/>
    </row>
    <row r="893" ht="19.5" customHeight="1">
      <c r="A893" s="12"/>
      <c r="C893" s="12"/>
      <c r="D893" s="13"/>
      <c r="F893" s="14"/>
      <c r="G893" s="14"/>
      <c r="H893" s="14"/>
      <c r="I893" s="14"/>
      <c r="J893" s="14"/>
      <c r="K893" s="12"/>
    </row>
    <row r="894" ht="19.5" customHeight="1">
      <c r="A894" s="12"/>
      <c r="C894" s="12"/>
      <c r="D894" s="13"/>
      <c r="F894" s="14"/>
      <c r="G894" s="14"/>
      <c r="H894" s="14"/>
      <c r="I894" s="14"/>
      <c r="J894" s="14"/>
      <c r="K894" s="12"/>
    </row>
    <row r="895" ht="19.5" customHeight="1">
      <c r="A895" s="12"/>
      <c r="C895" s="12"/>
      <c r="D895" s="13"/>
      <c r="F895" s="14"/>
      <c r="G895" s="14"/>
      <c r="H895" s="14"/>
      <c r="I895" s="14"/>
      <c r="J895" s="14"/>
      <c r="K895" s="12"/>
    </row>
    <row r="896" ht="19.5" customHeight="1">
      <c r="A896" s="12"/>
      <c r="C896" s="12"/>
      <c r="D896" s="13"/>
      <c r="F896" s="14"/>
      <c r="G896" s="14"/>
      <c r="H896" s="14"/>
      <c r="I896" s="14"/>
      <c r="J896" s="14"/>
      <c r="K896" s="12"/>
    </row>
    <row r="897" ht="19.5" customHeight="1">
      <c r="A897" s="12"/>
      <c r="C897" s="12"/>
      <c r="D897" s="13"/>
      <c r="F897" s="14"/>
      <c r="G897" s="14"/>
      <c r="H897" s="14"/>
      <c r="I897" s="14"/>
      <c r="J897" s="14"/>
      <c r="K897" s="12"/>
    </row>
    <row r="898" ht="19.5" customHeight="1">
      <c r="A898" s="12"/>
      <c r="C898" s="12"/>
      <c r="D898" s="13"/>
      <c r="F898" s="14"/>
      <c r="G898" s="14"/>
      <c r="H898" s="14"/>
      <c r="I898" s="14"/>
      <c r="J898" s="14"/>
      <c r="K898" s="12"/>
    </row>
    <row r="899" ht="19.5" customHeight="1">
      <c r="A899" s="12"/>
      <c r="C899" s="12"/>
      <c r="D899" s="13"/>
      <c r="F899" s="14"/>
      <c r="G899" s="14"/>
      <c r="H899" s="14"/>
      <c r="I899" s="14"/>
      <c r="J899" s="14"/>
      <c r="K899" s="12"/>
    </row>
    <row r="900" ht="19.5" customHeight="1">
      <c r="A900" s="12"/>
      <c r="C900" s="12"/>
      <c r="D900" s="13"/>
      <c r="F900" s="14"/>
      <c r="G900" s="14"/>
      <c r="H900" s="14"/>
      <c r="I900" s="14"/>
      <c r="J900" s="14"/>
      <c r="K900" s="12"/>
    </row>
    <row r="901" ht="19.5" customHeight="1">
      <c r="A901" s="12"/>
      <c r="C901" s="12"/>
      <c r="D901" s="13"/>
      <c r="F901" s="14"/>
      <c r="G901" s="14"/>
      <c r="H901" s="14"/>
      <c r="I901" s="14"/>
      <c r="J901" s="14"/>
      <c r="K901" s="12"/>
    </row>
    <row r="902" ht="19.5" customHeight="1">
      <c r="A902" s="12"/>
      <c r="C902" s="12"/>
      <c r="D902" s="13"/>
      <c r="F902" s="14"/>
      <c r="G902" s="14"/>
      <c r="H902" s="14"/>
      <c r="I902" s="14"/>
      <c r="J902" s="14"/>
      <c r="K902" s="12"/>
    </row>
    <row r="903" ht="19.5" customHeight="1">
      <c r="A903" s="12"/>
      <c r="C903" s="12"/>
      <c r="D903" s="13"/>
      <c r="F903" s="14"/>
      <c r="G903" s="14"/>
      <c r="H903" s="14"/>
      <c r="I903" s="14"/>
      <c r="J903" s="14"/>
      <c r="K903" s="12"/>
    </row>
    <row r="904" ht="19.5" customHeight="1">
      <c r="A904" s="12"/>
      <c r="C904" s="12"/>
      <c r="D904" s="13"/>
      <c r="F904" s="14"/>
      <c r="G904" s="14"/>
      <c r="H904" s="14"/>
      <c r="I904" s="14"/>
      <c r="J904" s="14"/>
      <c r="K904" s="12"/>
    </row>
    <row r="905" ht="19.5" customHeight="1">
      <c r="A905" s="12"/>
      <c r="C905" s="12"/>
      <c r="D905" s="13"/>
      <c r="F905" s="14"/>
      <c r="G905" s="14"/>
      <c r="H905" s="14"/>
      <c r="I905" s="14"/>
      <c r="J905" s="14"/>
      <c r="K905" s="12"/>
    </row>
    <row r="906" ht="19.5" customHeight="1">
      <c r="A906" s="12"/>
      <c r="C906" s="12"/>
      <c r="D906" s="13"/>
      <c r="F906" s="14"/>
      <c r="G906" s="14"/>
      <c r="H906" s="14"/>
      <c r="I906" s="14"/>
      <c r="J906" s="14"/>
      <c r="K906" s="12"/>
    </row>
    <row r="907" ht="19.5" customHeight="1">
      <c r="A907" s="12"/>
      <c r="C907" s="12"/>
      <c r="D907" s="13"/>
      <c r="F907" s="14"/>
      <c r="G907" s="14"/>
      <c r="H907" s="14"/>
      <c r="I907" s="14"/>
      <c r="J907" s="14"/>
      <c r="K907" s="12"/>
    </row>
    <row r="908" ht="19.5" customHeight="1">
      <c r="A908" s="12"/>
      <c r="C908" s="12"/>
      <c r="D908" s="13"/>
      <c r="F908" s="14"/>
      <c r="G908" s="14"/>
      <c r="H908" s="14"/>
      <c r="I908" s="14"/>
      <c r="J908" s="14"/>
      <c r="K908" s="12"/>
    </row>
    <row r="909" ht="19.5" customHeight="1">
      <c r="A909" s="12"/>
      <c r="C909" s="12"/>
      <c r="D909" s="13"/>
      <c r="F909" s="14"/>
      <c r="G909" s="14"/>
      <c r="H909" s="14"/>
      <c r="I909" s="14"/>
      <c r="J909" s="14"/>
      <c r="K909" s="12"/>
    </row>
    <row r="910" ht="19.5" customHeight="1">
      <c r="A910" s="12"/>
      <c r="C910" s="12"/>
      <c r="D910" s="13"/>
      <c r="F910" s="14"/>
      <c r="G910" s="14"/>
      <c r="H910" s="14"/>
      <c r="I910" s="14"/>
      <c r="J910" s="14"/>
      <c r="K910" s="12"/>
    </row>
    <row r="911" ht="19.5" customHeight="1">
      <c r="A911" s="12"/>
      <c r="C911" s="12"/>
      <c r="D911" s="13"/>
      <c r="F911" s="14"/>
      <c r="G911" s="14"/>
      <c r="H911" s="14"/>
      <c r="I911" s="14"/>
      <c r="J911" s="14"/>
      <c r="K911" s="12"/>
    </row>
    <row r="912" ht="19.5" customHeight="1">
      <c r="A912" s="12"/>
      <c r="C912" s="12"/>
      <c r="D912" s="13"/>
      <c r="F912" s="14"/>
      <c r="G912" s="14"/>
      <c r="H912" s="14"/>
      <c r="I912" s="14"/>
      <c r="J912" s="14"/>
      <c r="K912" s="12"/>
    </row>
    <row r="913" ht="19.5" customHeight="1">
      <c r="A913" s="12"/>
      <c r="C913" s="12"/>
      <c r="D913" s="13"/>
      <c r="F913" s="14"/>
      <c r="G913" s="14"/>
      <c r="H913" s="14"/>
      <c r="I913" s="14"/>
      <c r="J913" s="14"/>
      <c r="K913" s="12"/>
    </row>
    <row r="914" ht="19.5" customHeight="1">
      <c r="A914" s="12"/>
      <c r="C914" s="12"/>
      <c r="D914" s="13"/>
      <c r="F914" s="14"/>
      <c r="G914" s="14"/>
      <c r="H914" s="14"/>
      <c r="I914" s="14"/>
      <c r="J914" s="14"/>
      <c r="K914" s="12"/>
    </row>
    <row r="915" ht="19.5" customHeight="1">
      <c r="A915" s="12"/>
      <c r="C915" s="12"/>
      <c r="D915" s="13"/>
      <c r="F915" s="14"/>
      <c r="G915" s="14"/>
      <c r="H915" s="14"/>
      <c r="I915" s="14"/>
      <c r="J915" s="14"/>
      <c r="K915" s="12"/>
    </row>
    <row r="916" ht="19.5" customHeight="1">
      <c r="A916" s="12"/>
      <c r="C916" s="12"/>
      <c r="D916" s="13"/>
      <c r="F916" s="14"/>
      <c r="G916" s="14"/>
      <c r="H916" s="14"/>
      <c r="I916" s="14"/>
      <c r="J916" s="14"/>
      <c r="K916" s="12"/>
    </row>
    <row r="917" ht="19.5" customHeight="1">
      <c r="A917" s="12"/>
      <c r="C917" s="12"/>
      <c r="D917" s="13"/>
      <c r="F917" s="14"/>
      <c r="G917" s="14"/>
      <c r="H917" s="14"/>
      <c r="I917" s="14"/>
      <c r="J917" s="14"/>
      <c r="K917" s="12"/>
    </row>
    <row r="918" ht="19.5" customHeight="1">
      <c r="A918" s="12"/>
      <c r="C918" s="12"/>
      <c r="D918" s="13"/>
      <c r="F918" s="14"/>
      <c r="G918" s="14"/>
      <c r="H918" s="14"/>
      <c r="I918" s="14"/>
      <c r="J918" s="14"/>
      <c r="K918" s="12"/>
    </row>
    <row r="919" ht="19.5" customHeight="1">
      <c r="A919" s="12"/>
      <c r="C919" s="12"/>
      <c r="D919" s="13"/>
      <c r="F919" s="14"/>
      <c r="G919" s="14"/>
      <c r="H919" s="14"/>
      <c r="I919" s="14"/>
      <c r="J919" s="14"/>
      <c r="K919" s="12"/>
    </row>
    <row r="920" ht="19.5" customHeight="1">
      <c r="A920" s="12"/>
      <c r="C920" s="12"/>
      <c r="D920" s="13"/>
      <c r="F920" s="14"/>
      <c r="G920" s="14"/>
      <c r="H920" s="14"/>
      <c r="I920" s="14"/>
      <c r="J920" s="14"/>
      <c r="K920" s="12"/>
    </row>
    <row r="921" ht="19.5" customHeight="1">
      <c r="A921" s="12"/>
      <c r="C921" s="12"/>
      <c r="D921" s="13"/>
      <c r="F921" s="14"/>
      <c r="G921" s="14"/>
      <c r="H921" s="14"/>
      <c r="I921" s="14"/>
      <c r="J921" s="14"/>
      <c r="K921" s="12"/>
    </row>
    <row r="922" ht="19.5" customHeight="1">
      <c r="A922" s="12"/>
      <c r="C922" s="12"/>
      <c r="D922" s="13"/>
      <c r="F922" s="14"/>
      <c r="G922" s="14"/>
      <c r="H922" s="14"/>
      <c r="I922" s="14"/>
      <c r="J922" s="14"/>
      <c r="K922" s="12"/>
    </row>
    <row r="923" ht="19.5" customHeight="1">
      <c r="A923" s="12"/>
      <c r="C923" s="12"/>
      <c r="D923" s="13"/>
      <c r="F923" s="14"/>
      <c r="G923" s="14"/>
      <c r="H923" s="14"/>
      <c r="I923" s="14"/>
      <c r="J923" s="14"/>
      <c r="K923" s="12"/>
    </row>
    <row r="924" ht="19.5" customHeight="1">
      <c r="A924" s="12"/>
      <c r="C924" s="12"/>
      <c r="D924" s="13"/>
      <c r="F924" s="14"/>
      <c r="G924" s="14"/>
      <c r="H924" s="14"/>
      <c r="I924" s="14"/>
      <c r="J924" s="14"/>
      <c r="K924" s="12"/>
    </row>
    <row r="925" ht="19.5" customHeight="1">
      <c r="A925" s="12"/>
      <c r="C925" s="12"/>
      <c r="D925" s="13"/>
      <c r="F925" s="14"/>
      <c r="G925" s="14"/>
      <c r="H925" s="14"/>
      <c r="I925" s="14"/>
      <c r="J925" s="14"/>
      <c r="K925" s="12"/>
    </row>
    <row r="926" ht="19.5" customHeight="1">
      <c r="A926" s="12"/>
      <c r="C926" s="12"/>
      <c r="D926" s="13"/>
      <c r="F926" s="14"/>
      <c r="G926" s="14"/>
      <c r="H926" s="14"/>
      <c r="I926" s="14"/>
      <c r="J926" s="14"/>
      <c r="K926" s="12"/>
    </row>
    <row r="927" ht="19.5" customHeight="1">
      <c r="A927" s="12"/>
      <c r="C927" s="12"/>
      <c r="D927" s="13"/>
      <c r="F927" s="14"/>
      <c r="G927" s="14"/>
      <c r="H927" s="14"/>
      <c r="I927" s="14"/>
      <c r="J927" s="14"/>
      <c r="K927" s="12"/>
    </row>
    <row r="928" ht="19.5" customHeight="1">
      <c r="A928" s="12"/>
      <c r="C928" s="12"/>
      <c r="D928" s="13"/>
      <c r="F928" s="14"/>
      <c r="G928" s="14"/>
      <c r="H928" s="14"/>
      <c r="I928" s="14"/>
      <c r="J928" s="14"/>
      <c r="K928" s="12"/>
    </row>
    <row r="929" ht="19.5" customHeight="1">
      <c r="A929" s="12"/>
      <c r="C929" s="12"/>
      <c r="D929" s="13"/>
      <c r="F929" s="14"/>
      <c r="G929" s="14"/>
      <c r="H929" s="14"/>
      <c r="I929" s="14"/>
      <c r="J929" s="14"/>
      <c r="K929" s="12"/>
    </row>
    <row r="930" ht="19.5" customHeight="1">
      <c r="A930" s="12"/>
      <c r="C930" s="12"/>
      <c r="D930" s="13"/>
      <c r="F930" s="14"/>
      <c r="G930" s="14"/>
      <c r="H930" s="14"/>
      <c r="I930" s="14"/>
      <c r="J930" s="14"/>
      <c r="K930" s="12"/>
    </row>
    <row r="931" ht="19.5" customHeight="1">
      <c r="A931" s="12"/>
      <c r="C931" s="12"/>
      <c r="D931" s="13"/>
      <c r="F931" s="14"/>
      <c r="G931" s="14"/>
      <c r="H931" s="14"/>
      <c r="I931" s="14"/>
      <c r="J931" s="14"/>
      <c r="K931" s="12"/>
    </row>
    <row r="932" ht="19.5" customHeight="1">
      <c r="A932" s="12"/>
      <c r="C932" s="12"/>
      <c r="D932" s="13"/>
      <c r="F932" s="14"/>
      <c r="G932" s="14"/>
      <c r="H932" s="14"/>
      <c r="I932" s="14"/>
      <c r="J932" s="14"/>
      <c r="K932" s="12"/>
    </row>
    <row r="933" ht="19.5" customHeight="1">
      <c r="A933" s="12"/>
      <c r="C933" s="12"/>
      <c r="D933" s="13"/>
      <c r="F933" s="14"/>
      <c r="G933" s="14"/>
      <c r="H933" s="14"/>
      <c r="I933" s="14"/>
      <c r="J933" s="14"/>
      <c r="K933" s="12"/>
    </row>
    <row r="934" ht="19.5" customHeight="1">
      <c r="A934" s="12"/>
      <c r="C934" s="12"/>
      <c r="D934" s="13"/>
      <c r="F934" s="14"/>
      <c r="G934" s="14"/>
      <c r="H934" s="14"/>
      <c r="I934" s="14"/>
      <c r="J934" s="14"/>
      <c r="K934" s="12"/>
    </row>
    <row r="935" ht="19.5" customHeight="1">
      <c r="A935" s="12"/>
      <c r="C935" s="12"/>
      <c r="D935" s="13"/>
      <c r="F935" s="14"/>
      <c r="G935" s="14"/>
      <c r="H935" s="14"/>
      <c r="I935" s="14"/>
      <c r="J935" s="14"/>
      <c r="K935" s="12"/>
    </row>
    <row r="936" ht="19.5" customHeight="1">
      <c r="A936" s="12"/>
      <c r="C936" s="12"/>
      <c r="D936" s="13"/>
      <c r="F936" s="14"/>
      <c r="G936" s="14"/>
      <c r="H936" s="14"/>
      <c r="I936" s="14"/>
      <c r="J936" s="14"/>
      <c r="K936" s="12"/>
    </row>
    <row r="937" ht="19.5" customHeight="1">
      <c r="A937" s="12"/>
      <c r="C937" s="12"/>
      <c r="D937" s="13"/>
      <c r="F937" s="14"/>
      <c r="G937" s="14"/>
      <c r="H937" s="14"/>
      <c r="I937" s="14"/>
      <c r="J937" s="14"/>
      <c r="K937" s="12"/>
    </row>
    <row r="938" ht="19.5" customHeight="1">
      <c r="A938" s="12"/>
      <c r="C938" s="12"/>
      <c r="D938" s="13"/>
      <c r="F938" s="14"/>
      <c r="G938" s="14"/>
      <c r="H938" s="14"/>
      <c r="I938" s="14"/>
      <c r="J938" s="14"/>
      <c r="K938" s="12"/>
    </row>
    <row r="939" ht="19.5" customHeight="1">
      <c r="A939" s="12"/>
      <c r="C939" s="12"/>
      <c r="D939" s="13"/>
      <c r="F939" s="14"/>
      <c r="G939" s="14"/>
      <c r="H939" s="14"/>
      <c r="I939" s="14"/>
      <c r="J939" s="14"/>
      <c r="K939" s="12"/>
    </row>
    <row r="940" ht="19.5" customHeight="1">
      <c r="A940" s="12"/>
      <c r="C940" s="12"/>
      <c r="D940" s="13"/>
      <c r="F940" s="14"/>
      <c r="G940" s="14"/>
      <c r="H940" s="14"/>
      <c r="I940" s="14"/>
      <c r="J940" s="14"/>
      <c r="K940" s="12"/>
    </row>
    <row r="941" ht="19.5" customHeight="1">
      <c r="A941" s="12"/>
      <c r="C941" s="12"/>
      <c r="D941" s="13"/>
      <c r="F941" s="14"/>
      <c r="G941" s="14"/>
      <c r="H941" s="14"/>
      <c r="I941" s="14"/>
      <c r="J941" s="14"/>
      <c r="K941" s="12"/>
    </row>
    <row r="942" ht="19.5" customHeight="1">
      <c r="A942" s="12"/>
      <c r="C942" s="12"/>
      <c r="D942" s="13"/>
      <c r="F942" s="14"/>
      <c r="G942" s="14"/>
      <c r="H942" s="14"/>
      <c r="I942" s="14"/>
      <c r="J942" s="14"/>
      <c r="K942" s="12"/>
    </row>
    <row r="943" ht="19.5" customHeight="1">
      <c r="A943" s="12"/>
      <c r="C943" s="12"/>
      <c r="D943" s="13"/>
      <c r="F943" s="14"/>
      <c r="G943" s="14"/>
      <c r="H943" s="14"/>
      <c r="I943" s="14"/>
      <c r="J943" s="14"/>
      <c r="K943" s="12"/>
    </row>
    <row r="944" ht="19.5" customHeight="1">
      <c r="A944" s="12"/>
      <c r="C944" s="12"/>
      <c r="D944" s="13"/>
      <c r="F944" s="14"/>
      <c r="G944" s="14"/>
      <c r="H944" s="14"/>
      <c r="I944" s="14"/>
      <c r="J944" s="14"/>
      <c r="K944" s="12"/>
    </row>
    <row r="945" ht="19.5" customHeight="1">
      <c r="A945" s="12"/>
      <c r="C945" s="12"/>
      <c r="D945" s="13"/>
      <c r="F945" s="14"/>
      <c r="G945" s="14"/>
      <c r="H945" s="14"/>
      <c r="I945" s="14"/>
      <c r="J945" s="14"/>
      <c r="K945" s="12"/>
    </row>
    <row r="946" ht="19.5" customHeight="1">
      <c r="A946" s="12"/>
      <c r="C946" s="12"/>
      <c r="D946" s="13"/>
      <c r="F946" s="14"/>
      <c r="G946" s="14"/>
      <c r="H946" s="14"/>
      <c r="I946" s="14"/>
      <c r="J946" s="14"/>
      <c r="K946" s="12"/>
    </row>
    <row r="947" ht="19.5" customHeight="1">
      <c r="A947" s="12"/>
      <c r="C947" s="12"/>
      <c r="D947" s="13"/>
      <c r="F947" s="14"/>
      <c r="G947" s="14"/>
      <c r="H947" s="14"/>
      <c r="I947" s="14"/>
      <c r="J947" s="14"/>
      <c r="K947" s="12"/>
    </row>
    <row r="948" ht="19.5" customHeight="1">
      <c r="A948" s="12"/>
      <c r="C948" s="12"/>
      <c r="D948" s="13"/>
      <c r="F948" s="14"/>
      <c r="G948" s="14"/>
      <c r="H948" s="14"/>
      <c r="I948" s="14"/>
      <c r="J948" s="14"/>
      <c r="K948" s="12"/>
    </row>
    <row r="949" ht="19.5" customHeight="1">
      <c r="A949" s="12"/>
      <c r="C949" s="12"/>
      <c r="D949" s="13"/>
      <c r="F949" s="14"/>
      <c r="G949" s="14"/>
      <c r="H949" s="14"/>
      <c r="I949" s="14"/>
      <c r="J949" s="14"/>
      <c r="K949" s="12"/>
    </row>
    <row r="950" ht="19.5" customHeight="1">
      <c r="A950" s="12"/>
      <c r="C950" s="12"/>
      <c r="D950" s="13"/>
      <c r="F950" s="14"/>
      <c r="G950" s="14"/>
      <c r="H950" s="14"/>
      <c r="I950" s="14"/>
      <c r="J950" s="14"/>
      <c r="K950" s="12"/>
    </row>
    <row r="951" ht="19.5" customHeight="1">
      <c r="A951" s="12"/>
      <c r="C951" s="12"/>
      <c r="D951" s="13"/>
      <c r="F951" s="14"/>
      <c r="G951" s="14"/>
      <c r="H951" s="14"/>
      <c r="I951" s="14"/>
      <c r="J951" s="14"/>
      <c r="K951" s="12"/>
    </row>
    <row r="952" ht="19.5" customHeight="1">
      <c r="A952" s="12"/>
      <c r="C952" s="12"/>
      <c r="D952" s="13"/>
      <c r="F952" s="14"/>
      <c r="G952" s="14"/>
      <c r="H952" s="14"/>
      <c r="I952" s="14"/>
      <c r="J952" s="14"/>
      <c r="K952" s="12"/>
    </row>
    <row r="953" ht="19.5" customHeight="1">
      <c r="A953" s="12"/>
      <c r="C953" s="12"/>
      <c r="D953" s="13"/>
      <c r="F953" s="14"/>
      <c r="G953" s="14"/>
      <c r="H953" s="14"/>
      <c r="I953" s="14"/>
      <c r="J953" s="14"/>
      <c r="K953" s="12"/>
    </row>
    <row r="954" ht="19.5" customHeight="1">
      <c r="A954" s="12"/>
      <c r="C954" s="12"/>
      <c r="D954" s="13"/>
      <c r="F954" s="14"/>
      <c r="G954" s="14"/>
      <c r="H954" s="14"/>
      <c r="I954" s="14"/>
      <c r="J954" s="14"/>
      <c r="K954" s="12"/>
    </row>
    <row r="955" ht="19.5" customHeight="1">
      <c r="A955" s="12"/>
      <c r="C955" s="12"/>
      <c r="D955" s="13"/>
      <c r="F955" s="14"/>
      <c r="G955" s="14"/>
      <c r="H955" s="14"/>
      <c r="I955" s="14"/>
      <c r="J955" s="14"/>
      <c r="K955" s="12"/>
    </row>
    <row r="956" ht="19.5" customHeight="1">
      <c r="A956" s="12"/>
      <c r="C956" s="12"/>
      <c r="D956" s="13"/>
      <c r="F956" s="14"/>
      <c r="G956" s="14"/>
      <c r="H956" s="14"/>
      <c r="I956" s="14"/>
      <c r="J956" s="14"/>
      <c r="K956" s="12"/>
    </row>
    <row r="957" ht="19.5" customHeight="1">
      <c r="A957" s="12"/>
      <c r="C957" s="12"/>
      <c r="D957" s="13"/>
      <c r="F957" s="14"/>
      <c r="G957" s="14"/>
      <c r="H957" s="14"/>
      <c r="I957" s="14"/>
      <c r="J957" s="14"/>
      <c r="K957" s="12"/>
    </row>
    <row r="958" ht="19.5" customHeight="1">
      <c r="A958" s="12"/>
      <c r="C958" s="12"/>
      <c r="D958" s="13"/>
      <c r="F958" s="14"/>
      <c r="G958" s="14"/>
      <c r="H958" s="14"/>
      <c r="I958" s="14"/>
      <c r="J958" s="14"/>
      <c r="K958" s="12"/>
    </row>
    <row r="959" ht="19.5" customHeight="1">
      <c r="A959" s="12"/>
      <c r="C959" s="12"/>
      <c r="D959" s="13"/>
      <c r="F959" s="14"/>
      <c r="G959" s="14"/>
      <c r="H959" s="14"/>
      <c r="I959" s="14"/>
      <c r="J959" s="14"/>
      <c r="K959" s="12"/>
    </row>
    <row r="960" ht="19.5" customHeight="1">
      <c r="A960" s="12"/>
      <c r="C960" s="12"/>
      <c r="D960" s="13"/>
      <c r="F960" s="14"/>
      <c r="G960" s="14"/>
      <c r="H960" s="14"/>
      <c r="I960" s="14"/>
      <c r="J960" s="14"/>
      <c r="K960" s="12"/>
    </row>
    <row r="961" ht="19.5" customHeight="1">
      <c r="A961" s="12"/>
      <c r="C961" s="12"/>
      <c r="D961" s="13"/>
      <c r="F961" s="14"/>
      <c r="G961" s="14"/>
      <c r="H961" s="14"/>
      <c r="I961" s="14"/>
      <c r="J961" s="14"/>
      <c r="K961" s="12"/>
    </row>
    <row r="962" ht="19.5" customHeight="1">
      <c r="A962" s="12"/>
      <c r="C962" s="12"/>
      <c r="D962" s="13"/>
      <c r="F962" s="14"/>
      <c r="G962" s="14"/>
      <c r="H962" s="14"/>
      <c r="I962" s="14"/>
      <c r="J962" s="14"/>
      <c r="K962" s="12"/>
    </row>
    <row r="963" ht="19.5" customHeight="1">
      <c r="A963" s="12"/>
      <c r="C963" s="12"/>
      <c r="D963" s="13"/>
      <c r="F963" s="14"/>
      <c r="G963" s="14"/>
      <c r="H963" s="14"/>
      <c r="I963" s="14"/>
      <c r="J963" s="14"/>
      <c r="K963" s="12"/>
    </row>
    <row r="964" ht="19.5" customHeight="1">
      <c r="A964" s="12"/>
      <c r="C964" s="12"/>
      <c r="D964" s="13"/>
      <c r="F964" s="14"/>
      <c r="G964" s="14"/>
      <c r="H964" s="14"/>
      <c r="I964" s="14"/>
      <c r="J964" s="14"/>
      <c r="K964" s="12"/>
    </row>
    <row r="965" ht="19.5" customHeight="1">
      <c r="A965" s="12"/>
      <c r="C965" s="12"/>
      <c r="D965" s="13"/>
      <c r="F965" s="14"/>
      <c r="G965" s="14"/>
      <c r="H965" s="14"/>
      <c r="I965" s="14"/>
      <c r="J965" s="14"/>
      <c r="K965" s="12"/>
    </row>
    <row r="966" ht="19.5" customHeight="1">
      <c r="A966" s="12"/>
      <c r="C966" s="12"/>
      <c r="D966" s="13"/>
      <c r="F966" s="14"/>
      <c r="G966" s="14"/>
      <c r="H966" s="14"/>
      <c r="I966" s="14"/>
      <c r="J966" s="14"/>
      <c r="K966" s="12"/>
    </row>
    <row r="967" ht="19.5" customHeight="1">
      <c r="A967" s="12"/>
      <c r="C967" s="12"/>
      <c r="D967" s="13"/>
      <c r="F967" s="14"/>
      <c r="G967" s="14"/>
      <c r="H967" s="14"/>
      <c r="I967" s="14"/>
      <c r="J967" s="14"/>
      <c r="K967" s="12"/>
    </row>
    <row r="968" ht="19.5" customHeight="1">
      <c r="A968" s="12"/>
      <c r="C968" s="12"/>
      <c r="D968" s="13"/>
      <c r="F968" s="14"/>
      <c r="G968" s="14"/>
      <c r="H968" s="14"/>
      <c r="I968" s="14"/>
      <c r="J968" s="14"/>
      <c r="K968" s="12"/>
    </row>
    <row r="969" ht="19.5" customHeight="1">
      <c r="A969" s="12"/>
      <c r="C969" s="12"/>
      <c r="D969" s="13"/>
      <c r="F969" s="14"/>
      <c r="G969" s="14"/>
      <c r="H969" s="14"/>
      <c r="I969" s="14"/>
      <c r="J969" s="14"/>
      <c r="K969" s="12"/>
    </row>
    <row r="970" ht="19.5" customHeight="1">
      <c r="A970" s="12"/>
      <c r="C970" s="12"/>
      <c r="D970" s="13"/>
      <c r="F970" s="14"/>
      <c r="G970" s="14"/>
      <c r="H970" s="14"/>
      <c r="I970" s="14"/>
      <c r="J970" s="14"/>
      <c r="K970" s="12"/>
    </row>
    <row r="971" ht="19.5" customHeight="1">
      <c r="A971" s="12"/>
      <c r="C971" s="12"/>
      <c r="D971" s="13"/>
      <c r="F971" s="14"/>
      <c r="G971" s="14"/>
      <c r="H971" s="14"/>
      <c r="I971" s="14"/>
      <c r="J971" s="14"/>
      <c r="K971" s="12"/>
    </row>
    <row r="972" ht="19.5" customHeight="1">
      <c r="A972" s="12"/>
      <c r="C972" s="12"/>
      <c r="D972" s="13"/>
      <c r="F972" s="14"/>
      <c r="G972" s="14"/>
      <c r="H972" s="14"/>
      <c r="I972" s="14"/>
      <c r="J972" s="14"/>
      <c r="K972" s="12"/>
    </row>
    <row r="973" ht="19.5" customHeight="1">
      <c r="A973" s="12"/>
      <c r="C973" s="12"/>
      <c r="D973" s="13"/>
      <c r="F973" s="14"/>
      <c r="G973" s="14"/>
      <c r="H973" s="14"/>
      <c r="I973" s="14"/>
      <c r="J973" s="14"/>
      <c r="K973" s="12"/>
    </row>
    <row r="974" ht="19.5" customHeight="1">
      <c r="A974" s="12"/>
      <c r="C974" s="12"/>
      <c r="D974" s="13"/>
      <c r="F974" s="14"/>
      <c r="G974" s="14"/>
      <c r="H974" s="14"/>
      <c r="I974" s="14"/>
      <c r="J974" s="14"/>
      <c r="K974" s="12"/>
    </row>
    <row r="975" ht="19.5" customHeight="1">
      <c r="A975" s="12"/>
      <c r="C975" s="12"/>
      <c r="D975" s="13"/>
      <c r="F975" s="14"/>
      <c r="G975" s="14"/>
      <c r="H975" s="14"/>
      <c r="I975" s="14"/>
      <c r="J975" s="14"/>
      <c r="K975" s="12"/>
    </row>
    <row r="976" ht="19.5" customHeight="1">
      <c r="A976" s="12"/>
      <c r="C976" s="12"/>
      <c r="D976" s="13"/>
      <c r="F976" s="14"/>
      <c r="G976" s="14"/>
      <c r="H976" s="14"/>
      <c r="I976" s="14"/>
      <c r="J976" s="14"/>
      <c r="K976" s="12"/>
    </row>
    <row r="977" ht="19.5" customHeight="1">
      <c r="A977" s="12"/>
      <c r="C977" s="12"/>
      <c r="D977" s="13"/>
      <c r="F977" s="14"/>
      <c r="G977" s="14"/>
      <c r="H977" s="14"/>
      <c r="I977" s="14"/>
      <c r="J977" s="14"/>
      <c r="K977" s="12"/>
    </row>
    <row r="978" ht="19.5" customHeight="1">
      <c r="A978" s="12"/>
      <c r="C978" s="12"/>
      <c r="D978" s="13"/>
      <c r="F978" s="14"/>
      <c r="G978" s="14"/>
      <c r="H978" s="14"/>
      <c r="I978" s="14"/>
      <c r="J978" s="14"/>
      <c r="K978" s="12"/>
    </row>
    <row r="979" ht="19.5" customHeight="1">
      <c r="A979" s="12"/>
      <c r="C979" s="12"/>
      <c r="D979" s="13"/>
      <c r="F979" s="14"/>
      <c r="G979" s="14"/>
      <c r="H979" s="14"/>
      <c r="I979" s="14"/>
      <c r="J979" s="14"/>
      <c r="K979" s="12"/>
    </row>
    <row r="980" ht="19.5" customHeight="1">
      <c r="A980" s="12"/>
      <c r="C980" s="12"/>
      <c r="D980" s="13"/>
      <c r="F980" s="14"/>
      <c r="G980" s="14"/>
      <c r="H980" s="14"/>
      <c r="I980" s="14"/>
      <c r="J980" s="14"/>
      <c r="K980" s="12"/>
    </row>
    <row r="981" ht="19.5" customHeight="1">
      <c r="A981" s="12"/>
      <c r="C981" s="12"/>
      <c r="D981" s="13"/>
      <c r="F981" s="14"/>
      <c r="G981" s="14"/>
      <c r="H981" s="14"/>
      <c r="I981" s="14"/>
      <c r="J981" s="14"/>
      <c r="K981" s="12"/>
    </row>
    <row r="982" ht="19.5" customHeight="1">
      <c r="A982" s="12"/>
      <c r="C982" s="12"/>
      <c r="D982" s="13"/>
      <c r="F982" s="14"/>
      <c r="G982" s="14"/>
      <c r="H982" s="14"/>
      <c r="I982" s="14"/>
      <c r="J982" s="14"/>
      <c r="K982" s="12"/>
    </row>
    <row r="983" ht="19.5" customHeight="1">
      <c r="A983" s="12"/>
      <c r="C983" s="12"/>
      <c r="D983" s="13"/>
      <c r="F983" s="14"/>
      <c r="G983" s="14"/>
      <c r="H983" s="14"/>
      <c r="I983" s="14"/>
      <c r="J983" s="14"/>
      <c r="K983" s="12"/>
    </row>
    <row r="984" ht="19.5" customHeight="1">
      <c r="A984" s="12"/>
      <c r="C984" s="12"/>
      <c r="D984" s="13"/>
      <c r="F984" s="14"/>
      <c r="G984" s="14"/>
      <c r="H984" s="14"/>
      <c r="I984" s="14"/>
      <c r="J984" s="14"/>
      <c r="K984" s="12"/>
    </row>
    <row r="985" ht="19.5" customHeight="1">
      <c r="A985" s="12"/>
      <c r="C985" s="12"/>
      <c r="D985" s="13"/>
      <c r="F985" s="14"/>
      <c r="G985" s="14"/>
      <c r="H985" s="14"/>
      <c r="I985" s="14"/>
      <c r="J985" s="14"/>
      <c r="K985" s="12"/>
    </row>
    <row r="986" ht="19.5" customHeight="1">
      <c r="A986" s="12"/>
      <c r="C986" s="12"/>
      <c r="D986" s="13"/>
      <c r="F986" s="14"/>
      <c r="G986" s="14"/>
      <c r="H986" s="14"/>
      <c r="I986" s="14"/>
      <c r="J986" s="14"/>
      <c r="K986" s="12"/>
    </row>
    <row r="987" ht="19.5" customHeight="1">
      <c r="A987" s="12"/>
      <c r="C987" s="12"/>
      <c r="D987" s="13"/>
      <c r="F987" s="14"/>
      <c r="G987" s="14"/>
      <c r="H987" s="14"/>
      <c r="I987" s="14"/>
      <c r="J987" s="14"/>
      <c r="K987" s="12"/>
    </row>
    <row r="988" ht="19.5" customHeight="1">
      <c r="A988" s="12"/>
      <c r="C988" s="12"/>
      <c r="D988" s="13"/>
      <c r="F988" s="14"/>
      <c r="G988" s="14"/>
      <c r="H988" s="14"/>
      <c r="I988" s="14"/>
      <c r="J988" s="14"/>
      <c r="K988" s="12"/>
    </row>
    <row r="989" ht="19.5" customHeight="1">
      <c r="A989" s="12"/>
      <c r="C989" s="12"/>
      <c r="D989" s="13"/>
      <c r="F989" s="14"/>
      <c r="G989" s="14"/>
      <c r="H989" s="14"/>
      <c r="I989" s="14"/>
      <c r="J989" s="14"/>
      <c r="K989" s="12"/>
    </row>
    <row r="990" ht="19.5" customHeight="1">
      <c r="A990" s="12"/>
      <c r="C990" s="12"/>
      <c r="D990" s="13"/>
      <c r="F990" s="14"/>
      <c r="G990" s="14"/>
      <c r="H990" s="14"/>
      <c r="I990" s="14"/>
      <c r="J990" s="14"/>
      <c r="K990" s="12"/>
    </row>
    <row r="991" ht="19.5" customHeight="1">
      <c r="A991" s="12"/>
      <c r="C991" s="12"/>
      <c r="D991" s="13"/>
      <c r="F991" s="14"/>
      <c r="G991" s="14"/>
      <c r="H991" s="14"/>
      <c r="I991" s="14"/>
      <c r="J991" s="14"/>
      <c r="K991" s="12"/>
    </row>
    <row r="992" ht="19.5" customHeight="1">
      <c r="A992" s="12"/>
      <c r="C992" s="12"/>
      <c r="D992" s="13"/>
      <c r="F992" s="14"/>
      <c r="G992" s="14"/>
      <c r="H992" s="14"/>
      <c r="I992" s="14"/>
      <c r="J992" s="14"/>
      <c r="K992" s="12"/>
    </row>
    <row r="993" ht="19.5" customHeight="1">
      <c r="A993" s="12"/>
      <c r="C993" s="12"/>
      <c r="D993" s="13"/>
      <c r="F993" s="14"/>
      <c r="G993" s="14"/>
      <c r="H993" s="14"/>
      <c r="I993" s="14"/>
      <c r="J993" s="14"/>
      <c r="K993" s="12"/>
    </row>
    <row r="994" ht="19.5" customHeight="1">
      <c r="A994" s="12"/>
      <c r="C994" s="12"/>
      <c r="D994" s="13"/>
      <c r="F994" s="14"/>
      <c r="G994" s="14"/>
      <c r="H994" s="14"/>
      <c r="I994" s="14"/>
      <c r="J994" s="14"/>
      <c r="K994" s="12"/>
    </row>
    <row r="995" ht="19.5" customHeight="1">
      <c r="A995" s="12"/>
      <c r="C995" s="12"/>
      <c r="D995" s="13"/>
      <c r="F995" s="14"/>
      <c r="G995" s="14"/>
      <c r="H995" s="14"/>
      <c r="I995" s="14"/>
      <c r="J995" s="14"/>
      <c r="K995" s="12"/>
    </row>
    <row r="996" ht="19.5" customHeight="1">
      <c r="A996" s="12"/>
      <c r="C996" s="12"/>
      <c r="D996" s="13"/>
      <c r="F996" s="14"/>
      <c r="G996" s="14"/>
      <c r="H996" s="14"/>
      <c r="I996" s="14"/>
      <c r="J996" s="14"/>
      <c r="K996" s="12"/>
    </row>
    <row r="997" ht="19.5" customHeight="1">
      <c r="A997" s="12"/>
      <c r="C997" s="12"/>
      <c r="D997" s="13"/>
      <c r="F997" s="14"/>
      <c r="G997" s="14"/>
      <c r="H997" s="14"/>
      <c r="I997" s="14"/>
      <c r="J997" s="14"/>
      <c r="K997" s="12"/>
    </row>
    <row r="998" ht="19.5" customHeight="1">
      <c r="A998" s="12"/>
      <c r="C998" s="12"/>
      <c r="D998" s="13"/>
      <c r="F998" s="14"/>
      <c r="G998" s="14"/>
      <c r="H998" s="14"/>
      <c r="I998" s="14"/>
      <c r="J998" s="14"/>
      <c r="K998" s="12"/>
    </row>
    <row r="999" ht="19.5" customHeight="1">
      <c r="A999" s="12"/>
      <c r="C999" s="12"/>
      <c r="D999" s="13"/>
      <c r="F999" s="14"/>
      <c r="G999" s="14"/>
      <c r="H999" s="14"/>
      <c r="I999" s="14"/>
      <c r="J999" s="14"/>
      <c r="K999" s="12"/>
    </row>
    <row r="1000" ht="19.5" customHeight="1">
      <c r="A1000" s="12"/>
      <c r="C1000" s="12"/>
      <c r="D1000" s="13"/>
      <c r="F1000" s="14"/>
      <c r="G1000" s="14"/>
      <c r="H1000" s="14"/>
      <c r="I1000" s="14"/>
      <c r="J1000" s="14"/>
      <c r="K1000" s="12"/>
    </row>
    <row r="1001" ht="19.5" customHeight="1">
      <c r="A1001" s="12"/>
      <c r="C1001" s="12"/>
      <c r="D1001" s="13"/>
      <c r="F1001" s="14"/>
      <c r="G1001" s="14"/>
      <c r="H1001" s="14"/>
      <c r="I1001" s="14"/>
      <c r="J1001" s="14"/>
      <c r="K1001" s="12"/>
    </row>
    <row r="1002" ht="19.5" customHeight="1">
      <c r="A1002" s="12"/>
      <c r="C1002" s="12"/>
      <c r="D1002" s="13"/>
      <c r="F1002" s="14"/>
      <c r="G1002" s="14"/>
      <c r="H1002" s="14"/>
      <c r="I1002" s="14"/>
      <c r="J1002" s="14"/>
      <c r="K1002" s="12"/>
    </row>
    <row r="1003" ht="19.5" customHeight="1">
      <c r="A1003" s="12"/>
      <c r="C1003" s="12"/>
      <c r="D1003" s="13"/>
      <c r="F1003" s="14"/>
      <c r="G1003" s="14"/>
      <c r="H1003" s="14"/>
      <c r="I1003" s="14"/>
      <c r="J1003" s="14"/>
      <c r="K1003" s="12"/>
    </row>
    <row r="1004" ht="19.5" customHeight="1">
      <c r="A1004" s="12"/>
      <c r="C1004" s="12"/>
      <c r="D1004" s="13"/>
      <c r="F1004" s="14"/>
      <c r="G1004" s="14"/>
      <c r="H1004" s="14"/>
      <c r="I1004" s="14"/>
      <c r="J1004" s="14"/>
      <c r="K1004" s="12"/>
    </row>
    <row r="1005" ht="19.5" customHeight="1">
      <c r="A1005" s="12"/>
      <c r="C1005" s="12"/>
      <c r="D1005" s="13"/>
      <c r="F1005" s="14"/>
      <c r="G1005" s="14"/>
      <c r="H1005" s="14"/>
      <c r="I1005" s="14"/>
      <c r="J1005" s="14"/>
      <c r="K1005" s="12"/>
    </row>
    <row r="1006" ht="19.5" customHeight="1">
      <c r="A1006" s="12"/>
      <c r="C1006" s="12"/>
      <c r="D1006" s="13"/>
      <c r="F1006" s="14"/>
      <c r="G1006" s="14"/>
      <c r="H1006" s="14"/>
      <c r="I1006" s="14"/>
      <c r="J1006" s="14"/>
      <c r="K1006" s="12"/>
    </row>
    <row r="1007" ht="19.5" customHeight="1">
      <c r="A1007" s="12"/>
      <c r="C1007" s="12"/>
      <c r="D1007" s="13"/>
      <c r="F1007" s="14"/>
      <c r="G1007" s="14"/>
      <c r="H1007" s="14"/>
      <c r="I1007" s="14"/>
      <c r="J1007" s="14"/>
      <c r="K1007" s="12"/>
    </row>
    <row r="1008" ht="19.5" customHeight="1">
      <c r="A1008" s="12"/>
      <c r="C1008" s="12"/>
      <c r="D1008" s="13"/>
      <c r="F1008" s="14"/>
      <c r="G1008" s="14"/>
      <c r="H1008" s="14"/>
      <c r="I1008" s="14"/>
      <c r="J1008" s="14"/>
      <c r="K1008" s="12"/>
    </row>
    <row r="1009" ht="19.5" customHeight="1">
      <c r="A1009" s="12"/>
      <c r="C1009" s="12"/>
      <c r="D1009" s="13"/>
      <c r="F1009" s="14"/>
      <c r="G1009" s="14"/>
      <c r="H1009" s="14"/>
      <c r="I1009" s="14"/>
      <c r="J1009" s="14"/>
      <c r="K1009" s="12"/>
    </row>
    <row r="1010" ht="19.5" customHeight="1">
      <c r="A1010" s="12"/>
      <c r="C1010" s="12"/>
      <c r="D1010" s="13"/>
      <c r="F1010" s="14"/>
      <c r="G1010" s="14"/>
      <c r="H1010" s="14"/>
      <c r="I1010" s="14"/>
      <c r="J1010" s="14"/>
      <c r="K1010" s="12"/>
    </row>
    <row r="1011" ht="19.5" customHeight="1">
      <c r="A1011" s="12"/>
      <c r="C1011" s="12"/>
      <c r="D1011" s="13"/>
      <c r="F1011" s="14"/>
      <c r="G1011" s="14"/>
      <c r="H1011" s="14"/>
      <c r="I1011" s="14"/>
      <c r="J1011" s="14"/>
      <c r="K1011" s="12"/>
    </row>
    <row r="1012" ht="19.5" customHeight="1">
      <c r="A1012" s="12"/>
      <c r="C1012" s="12"/>
      <c r="D1012" s="13"/>
      <c r="F1012" s="14"/>
      <c r="G1012" s="14"/>
      <c r="H1012" s="14"/>
      <c r="I1012" s="14"/>
      <c r="J1012" s="14"/>
      <c r="K1012" s="12"/>
    </row>
    <row r="1013" ht="19.5" customHeight="1">
      <c r="A1013" s="12"/>
      <c r="C1013" s="12"/>
      <c r="D1013" s="13"/>
      <c r="F1013" s="14"/>
      <c r="G1013" s="14"/>
      <c r="H1013" s="14"/>
      <c r="I1013" s="14"/>
      <c r="J1013" s="14"/>
      <c r="K1013" s="12"/>
    </row>
    <row r="1014" ht="19.5" customHeight="1">
      <c r="A1014" s="12"/>
      <c r="C1014" s="12"/>
      <c r="D1014" s="13"/>
      <c r="F1014" s="14"/>
      <c r="G1014" s="14"/>
      <c r="H1014" s="14"/>
      <c r="I1014" s="14"/>
      <c r="J1014" s="14"/>
      <c r="K1014" s="12"/>
    </row>
    <row r="1015" ht="19.5" customHeight="1">
      <c r="A1015" s="12"/>
      <c r="C1015" s="12"/>
      <c r="D1015" s="13"/>
      <c r="F1015" s="14"/>
      <c r="G1015" s="14"/>
      <c r="H1015" s="14"/>
      <c r="I1015" s="14"/>
      <c r="J1015" s="14"/>
      <c r="K1015" s="12"/>
    </row>
    <row r="1016" ht="19.5" customHeight="1">
      <c r="A1016" s="12"/>
      <c r="C1016" s="12"/>
      <c r="D1016" s="13"/>
      <c r="F1016" s="14"/>
      <c r="G1016" s="14"/>
      <c r="H1016" s="14"/>
      <c r="I1016" s="14"/>
      <c r="J1016" s="14"/>
      <c r="K1016" s="12"/>
    </row>
    <row r="1017" ht="19.5" customHeight="1">
      <c r="A1017" s="12"/>
      <c r="C1017" s="12"/>
      <c r="D1017" s="13"/>
      <c r="F1017" s="14"/>
      <c r="G1017" s="14"/>
      <c r="H1017" s="14"/>
      <c r="I1017" s="14"/>
      <c r="J1017" s="14"/>
      <c r="K1017" s="12"/>
    </row>
    <row r="1018" ht="19.5" customHeight="1">
      <c r="A1018" s="12"/>
      <c r="C1018" s="12"/>
      <c r="D1018" s="13"/>
      <c r="F1018" s="14"/>
      <c r="G1018" s="14"/>
      <c r="H1018" s="14"/>
      <c r="I1018" s="14"/>
      <c r="J1018" s="14"/>
      <c r="K1018" s="12"/>
    </row>
    <row r="1019" ht="19.5" customHeight="1">
      <c r="A1019" s="12"/>
      <c r="C1019" s="12"/>
      <c r="D1019" s="13"/>
      <c r="F1019" s="14"/>
      <c r="G1019" s="14"/>
      <c r="H1019" s="14"/>
      <c r="I1019" s="14"/>
      <c r="J1019" s="14"/>
      <c r="K1019" s="12"/>
    </row>
    <row r="1020" ht="19.5" customHeight="1">
      <c r="A1020" s="12"/>
      <c r="C1020" s="12"/>
      <c r="D1020" s="13"/>
      <c r="F1020" s="14"/>
      <c r="G1020" s="14"/>
      <c r="H1020" s="14"/>
      <c r="I1020" s="14"/>
      <c r="J1020" s="14"/>
      <c r="K1020" s="12"/>
    </row>
    <row r="1021" ht="19.5" customHeight="1">
      <c r="A1021" s="12"/>
      <c r="C1021" s="12"/>
      <c r="D1021" s="13"/>
      <c r="F1021" s="14"/>
      <c r="G1021" s="14"/>
      <c r="H1021" s="14"/>
      <c r="I1021" s="14"/>
      <c r="J1021" s="14"/>
      <c r="K1021" s="12"/>
    </row>
    <row r="1022" ht="19.5" customHeight="1">
      <c r="A1022" s="12"/>
      <c r="C1022" s="12"/>
      <c r="D1022" s="13"/>
      <c r="F1022" s="14"/>
      <c r="G1022" s="14"/>
      <c r="H1022" s="14"/>
      <c r="I1022" s="14"/>
      <c r="J1022" s="14"/>
      <c r="K1022" s="12"/>
    </row>
    <row r="1023" ht="19.5" customHeight="1">
      <c r="A1023" s="12"/>
      <c r="C1023" s="12"/>
      <c r="D1023" s="13"/>
      <c r="F1023" s="14"/>
      <c r="G1023" s="14"/>
      <c r="H1023" s="14"/>
      <c r="I1023" s="14"/>
      <c r="J1023" s="14"/>
      <c r="K1023" s="12"/>
    </row>
    <row r="1024" ht="19.5" customHeight="1">
      <c r="A1024" s="12"/>
      <c r="C1024" s="12"/>
      <c r="D1024" s="13"/>
      <c r="F1024" s="14"/>
      <c r="G1024" s="14"/>
      <c r="H1024" s="14"/>
      <c r="I1024" s="14"/>
      <c r="J1024" s="14"/>
      <c r="K1024" s="12"/>
    </row>
    <row r="1025" ht="19.5" customHeight="1">
      <c r="A1025" s="12"/>
      <c r="C1025" s="12"/>
      <c r="D1025" s="13"/>
      <c r="F1025" s="14"/>
      <c r="G1025" s="14"/>
      <c r="H1025" s="14"/>
      <c r="I1025" s="14"/>
      <c r="J1025" s="14"/>
      <c r="K1025" s="12"/>
    </row>
    <row r="1026" ht="19.5" customHeight="1">
      <c r="A1026" s="12"/>
      <c r="C1026" s="12"/>
      <c r="D1026" s="13"/>
      <c r="F1026" s="14"/>
      <c r="G1026" s="14"/>
      <c r="H1026" s="14"/>
      <c r="I1026" s="14"/>
      <c r="J1026" s="14"/>
      <c r="K1026" s="12"/>
    </row>
    <row r="1027" ht="19.5" customHeight="1">
      <c r="A1027" s="12"/>
      <c r="C1027" s="12"/>
      <c r="D1027" s="13"/>
      <c r="F1027" s="14"/>
      <c r="G1027" s="14"/>
      <c r="H1027" s="14"/>
      <c r="I1027" s="14"/>
      <c r="J1027" s="14"/>
      <c r="K1027" s="12"/>
    </row>
    <row r="1028" ht="19.5" customHeight="1">
      <c r="A1028" s="12"/>
      <c r="C1028" s="12"/>
      <c r="D1028" s="13"/>
      <c r="F1028" s="14"/>
      <c r="G1028" s="14"/>
      <c r="H1028" s="14"/>
      <c r="I1028" s="14"/>
      <c r="J1028" s="14"/>
      <c r="K1028" s="12"/>
    </row>
    <row r="1029" ht="19.5" customHeight="1">
      <c r="A1029" s="12"/>
      <c r="C1029" s="12"/>
      <c r="D1029" s="13"/>
      <c r="F1029" s="14"/>
      <c r="G1029" s="14"/>
      <c r="H1029" s="14"/>
      <c r="I1029" s="14"/>
      <c r="J1029" s="14"/>
      <c r="K1029" s="12"/>
    </row>
    <row r="1030" ht="19.5" customHeight="1">
      <c r="A1030" s="12"/>
      <c r="C1030" s="12"/>
      <c r="D1030" s="13"/>
      <c r="F1030" s="14"/>
      <c r="G1030" s="14"/>
      <c r="H1030" s="14"/>
      <c r="I1030" s="14"/>
      <c r="J1030" s="14"/>
      <c r="K1030" s="12"/>
    </row>
    <row r="1031" ht="19.5" customHeight="1">
      <c r="A1031" s="12"/>
      <c r="C1031" s="12"/>
      <c r="D1031" s="13"/>
      <c r="F1031" s="14"/>
      <c r="G1031" s="14"/>
      <c r="H1031" s="14"/>
      <c r="I1031" s="14"/>
      <c r="J1031" s="14"/>
      <c r="K1031" s="12"/>
    </row>
    <row r="1032" ht="19.5" customHeight="1">
      <c r="A1032" s="12"/>
      <c r="C1032" s="12"/>
      <c r="D1032" s="13"/>
      <c r="F1032" s="14"/>
      <c r="G1032" s="14"/>
      <c r="H1032" s="14"/>
      <c r="I1032" s="14"/>
      <c r="J1032" s="14"/>
      <c r="K1032" s="12"/>
    </row>
    <row r="1033" ht="19.5" customHeight="1">
      <c r="A1033" s="12"/>
      <c r="C1033" s="12"/>
      <c r="D1033" s="13"/>
      <c r="F1033" s="14"/>
      <c r="G1033" s="14"/>
      <c r="H1033" s="14"/>
      <c r="I1033" s="14"/>
      <c r="J1033" s="14"/>
      <c r="K1033" s="12"/>
    </row>
    <row r="1034" ht="19.5" customHeight="1">
      <c r="A1034" s="12"/>
      <c r="C1034" s="12"/>
      <c r="D1034" s="13"/>
      <c r="F1034" s="14"/>
      <c r="G1034" s="14"/>
      <c r="H1034" s="14"/>
      <c r="I1034" s="14"/>
      <c r="J1034" s="14"/>
      <c r="K1034" s="12"/>
    </row>
    <row r="1035" ht="19.5" customHeight="1">
      <c r="A1035" s="12"/>
      <c r="C1035" s="12"/>
      <c r="D1035" s="13"/>
      <c r="F1035" s="14"/>
      <c r="G1035" s="14"/>
      <c r="H1035" s="14"/>
      <c r="I1035" s="14"/>
      <c r="J1035" s="14"/>
      <c r="K1035" s="12"/>
    </row>
    <row r="1036" ht="19.5" customHeight="1">
      <c r="A1036" s="12"/>
      <c r="C1036" s="12"/>
      <c r="D1036" s="13"/>
      <c r="F1036" s="14"/>
      <c r="G1036" s="14"/>
      <c r="H1036" s="14"/>
      <c r="I1036" s="14"/>
      <c r="J1036" s="14"/>
      <c r="K1036" s="12"/>
    </row>
    <row r="1037" ht="19.5" customHeight="1">
      <c r="A1037" s="12"/>
      <c r="C1037" s="12"/>
      <c r="D1037" s="13"/>
      <c r="F1037" s="14"/>
      <c r="G1037" s="14"/>
      <c r="H1037" s="14"/>
      <c r="I1037" s="14"/>
      <c r="J1037" s="14"/>
      <c r="K1037" s="12"/>
    </row>
    <row r="1038" ht="19.5" customHeight="1">
      <c r="A1038" s="12"/>
      <c r="C1038" s="12"/>
      <c r="D1038" s="13"/>
      <c r="F1038" s="14"/>
      <c r="G1038" s="14"/>
      <c r="H1038" s="14"/>
      <c r="I1038" s="14"/>
      <c r="J1038" s="14"/>
      <c r="K1038" s="12"/>
    </row>
    <row r="1039" ht="19.5" customHeight="1">
      <c r="A1039" s="12"/>
      <c r="C1039" s="12"/>
      <c r="D1039" s="13"/>
      <c r="F1039" s="14"/>
      <c r="G1039" s="14"/>
      <c r="H1039" s="14"/>
      <c r="I1039" s="14"/>
      <c r="J1039" s="14"/>
      <c r="K1039" s="12"/>
    </row>
    <row r="1040" ht="19.5" customHeight="1">
      <c r="A1040" s="12"/>
      <c r="C1040" s="12"/>
      <c r="D1040" s="13"/>
      <c r="F1040" s="14"/>
      <c r="G1040" s="14"/>
      <c r="H1040" s="14"/>
      <c r="I1040" s="14"/>
      <c r="J1040" s="14"/>
      <c r="K1040" s="12"/>
    </row>
  </sheetData>
  <mergeCells count="12">
    <mergeCell ref="E9:G9"/>
    <mergeCell ref="J9:J10"/>
    <mergeCell ref="N11:O11"/>
    <mergeCell ref="K24:K29"/>
    <mergeCell ref="A6:K6"/>
    <mergeCell ref="A7:K7"/>
    <mergeCell ref="A8:K8"/>
    <mergeCell ref="A9:A10"/>
    <mergeCell ref="B9:B10"/>
    <mergeCell ref="C9:C10"/>
    <mergeCell ref="D9:D10"/>
    <mergeCell ref="K9:K10"/>
  </mergeCells>
  <printOptions/>
  <pageMargins bottom="0.787401575" footer="0.0" header="0.0" left="0.511811024" right="0.511811024" top="0.787401575"/>
  <pageSetup paperSize="9" scale="60" orientation="landscape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28.13"/>
    <col customWidth="1" min="3" max="3" width="9.13"/>
    <col customWidth="1" min="4" max="4" width="16.25"/>
    <col customWidth="1" min="5" max="5" width="25.0"/>
    <col customWidth="1" min="6" max="6" width="22.25"/>
    <col customWidth="1" min="7" max="7" width="23.88"/>
    <col customWidth="1" min="8" max="8" width="20.13"/>
    <col customWidth="1" min="9" max="9" width="19.63"/>
    <col customWidth="1" min="10" max="10" width="17.88"/>
    <col customWidth="1" min="11" max="11" width="31.75"/>
    <col customWidth="1" min="12" max="26" width="8.63"/>
  </cols>
  <sheetData>
    <row r="1" ht="19.5" customHeight="1">
      <c r="A1" s="4"/>
      <c r="B1" s="5"/>
      <c r="C1" s="6"/>
      <c r="D1" s="7"/>
      <c r="E1" s="5"/>
      <c r="F1" s="8"/>
      <c r="G1" s="8"/>
      <c r="H1" s="8"/>
      <c r="I1" s="8"/>
      <c r="J1" s="8"/>
      <c r="K1" s="9"/>
    </row>
    <row r="2" ht="19.5" customHeight="1">
      <c r="A2" s="10" t="s">
        <v>83</v>
      </c>
      <c r="B2" s="11" t="s">
        <v>84</v>
      </c>
      <c r="C2" s="12"/>
      <c r="D2" s="13"/>
      <c r="F2" s="14"/>
      <c r="G2" s="14"/>
      <c r="H2" s="14"/>
      <c r="I2" s="14"/>
      <c r="J2" s="17" t="s">
        <v>144</v>
      </c>
      <c r="K2" s="18"/>
    </row>
    <row r="3" ht="19.5" customHeight="1">
      <c r="A3" s="10" t="s">
        <v>86</v>
      </c>
      <c r="B3" s="11" t="s">
        <v>87</v>
      </c>
      <c r="C3" s="12"/>
      <c r="D3" s="13"/>
      <c r="F3" s="14"/>
      <c r="G3" s="14"/>
      <c r="H3" s="14"/>
      <c r="I3" s="14"/>
      <c r="J3" s="14"/>
      <c r="K3" s="18"/>
    </row>
    <row r="4" ht="19.5" customHeight="1">
      <c r="A4" s="19"/>
      <c r="C4" s="12"/>
      <c r="D4" s="13"/>
      <c r="F4" s="14"/>
      <c r="G4" s="14"/>
      <c r="H4" s="14"/>
      <c r="I4" s="14"/>
      <c r="J4" s="14"/>
      <c r="K4" s="18"/>
    </row>
    <row r="5" ht="19.5" customHeight="1">
      <c r="A5" s="19"/>
      <c r="C5" s="12"/>
      <c r="D5" s="13"/>
      <c r="F5" s="14"/>
      <c r="G5" s="14"/>
      <c r="H5" s="14"/>
      <c r="I5" s="14"/>
      <c r="J5" s="14"/>
      <c r="K5" s="18"/>
    </row>
    <row r="6" ht="159.0" customHeight="1">
      <c r="A6" s="20" t="s">
        <v>1183</v>
      </c>
      <c r="K6" s="21"/>
    </row>
    <row r="7" ht="64.5" customHeight="1">
      <c r="A7" s="22" t="s">
        <v>1184</v>
      </c>
      <c r="K7" s="21"/>
    </row>
    <row r="8" ht="42.0" customHeight="1">
      <c r="A8" s="88" t="s">
        <v>90</v>
      </c>
      <c r="B8" s="24"/>
      <c r="C8" s="24"/>
      <c r="D8" s="24"/>
      <c r="E8" s="24"/>
      <c r="F8" s="24"/>
      <c r="G8" s="24"/>
      <c r="H8" s="24"/>
      <c r="I8" s="24"/>
      <c r="J8" s="24"/>
      <c r="K8" s="25"/>
    </row>
    <row r="9" ht="19.5" customHeight="1">
      <c r="A9" s="26" t="s">
        <v>1</v>
      </c>
      <c r="B9" s="26" t="s">
        <v>91</v>
      </c>
      <c r="C9" s="26" t="s">
        <v>92</v>
      </c>
      <c r="D9" s="26" t="s">
        <v>93</v>
      </c>
      <c r="E9" s="27" t="s">
        <v>94</v>
      </c>
      <c r="F9" s="28"/>
      <c r="G9" s="29"/>
      <c r="H9" s="30"/>
      <c r="I9" s="30"/>
      <c r="J9" s="31" t="s">
        <v>95</v>
      </c>
      <c r="K9" s="26" t="s">
        <v>96</v>
      </c>
    </row>
    <row r="10" ht="19.5" customHeight="1">
      <c r="A10" s="32"/>
      <c r="B10" s="32"/>
      <c r="C10" s="32"/>
      <c r="D10" s="32"/>
      <c r="E10" s="33" t="s">
        <v>97</v>
      </c>
      <c r="F10" s="34" t="s">
        <v>121</v>
      </c>
      <c r="G10" s="34" t="s">
        <v>99</v>
      </c>
      <c r="H10" s="35" t="s">
        <v>100</v>
      </c>
      <c r="I10" s="35" t="s">
        <v>101</v>
      </c>
      <c r="J10" s="32"/>
      <c r="K10" s="32"/>
    </row>
    <row r="11" ht="19.5" customHeight="1">
      <c r="A11" s="74" t="s">
        <v>1</v>
      </c>
      <c r="B11" s="74" t="s">
        <v>91</v>
      </c>
      <c r="C11" s="74" t="s">
        <v>92</v>
      </c>
      <c r="D11" s="74" t="s">
        <v>93</v>
      </c>
      <c r="E11" s="50" t="s">
        <v>97</v>
      </c>
      <c r="F11" s="53" t="s">
        <v>121</v>
      </c>
      <c r="G11" s="53" t="s">
        <v>99</v>
      </c>
      <c r="H11" s="75" t="s">
        <v>100</v>
      </c>
      <c r="I11" s="75" t="s">
        <v>101</v>
      </c>
      <c r="J11" s="76" t="s">
        <v>95</v>
      </c>
      <c r="K11" s="74" t="s">
        <v>96</v>
      </c>
    </row>
    <row r="12" ht="19.5" customHeight="1">
      <c r="A12" s="392" t="s">
        <v>1185</v>
      </c>
      <c r="B12" s="256" t="s">
        <v>1186</v>
      </c>
      <c r="C12" s="386"/>
      <c r="D12" s="377"/>
      <c r="E12" s="256"/>
      <c r="F12" s="378"/>
      <c r="G12" s="387"/>
      <c r="H12" s="378"/>
      <c r="I12" s="362"/>
      <c r="J12" s="393">
        <f>H12-I12</f>
        <v>0</v>
      </c>
      <c r="K12" s="386"/>
      <c r="L12" s="382"/>
      <c r="M12" s="382"/>
      <c r="N12" s="382"/>
      <c r="O12" s="382"/>
      <c r="P12" s="382"/>
      <c r="Q12" s="382"/>
      <c r="R12" s="382"/>
      <c r="S12" s="382"/>
      <c r="T12" s="382"/>
      <c r="U12" s="382"/>
      <c r="V12" s="382"/>
      <c r="W12" s="382"/>
      <c r="X12" s="382"/>
      <c r="Y12" s="382"/>
      <c r="Z12" s="382"/>
    </row>
    <row r="13" ht="19.5" customHeight="1">
      <c r="A13" s="381"/>
      <c r="B13" s="258" t="s">
        <v>1187</v>
      </c>
      <c r="C13" s="383" t="s">
        <v>103</v>
      </c>
      <c r="D13" s="377">
        <v>2.0</v>
      </c>
      <c r="E13" s="256">
        <v>1.0</v>
      </c>
      <c r="F13" s="387">
        <f>22+2</f>
        <v>24</v>
      </c>
      <c r="G13" s="387">
        <f>13+2</f>
        <v>15</v>
      </c>
      <c r="H13" s="378">
        <f>D13*(2*(F13+G13))</f>
        <v>156</v>
      </c>
      <c r="I13" s="362"/>
      <c r="J13" s="394">
        <f>H13</f>
        <v>156</v>
      </c>
      <c r="K13" s="381"/>
      <c r="L13" s="382"/>
      <c r="M13" s="382"/>
      <c r="N13" s="382"/>
      <c r="O13" s="382"/>
      <c r="P13" s="382"/>
      <c r="Q13" s="382"/>
      <c r="R13" s="382"/>
      <c r="S13" s="382"/>
      <c r="T13" s="382"/>
      <c r="U13" s="382"/>
      <c r="V13" s="382"/>
      <c r="W13" s="382"/>
      <c r="X13" s="382"/>
      <c r="Y13" s="382"/>
      <c r="Z13" s="382"/>
    </row>
    <row r="14" ht="19.5" customHeight="1">
      <c r="A14" s="395" t="s">
        <v>1</v>
      </c>
      <c r="B14" s="395" t="s">
        <v>91</v>
      </c>
      <c r="C14" s="395" t="s">
        <v>92</v>
      </c>
      <c r="D14" s="395" t="s">
        <v>93</v>
      </c>
      <c r="E14" s="396" t="s">
        <v>97</v>
      </c>
      <c r="F14" s="390" t="s">
        <v>121</v>
      </c>
      <c r="G14" s="390" t="s">
        <v>99</v>
      </c>
      <c r="H14" s="363" t="s">
        <v>100</v>
      </c>
      <c r="I14" s="363" t="s">
        <v>101</v>
      </c>
      <c r="J14" s="397" t="s">
        <v>95</v>
      </c>
      <c r="K14" s="395" t="s">
        <v>96</v>
      </c>
      <c r="L14" s="382"/>
      <c r="M14" s="382"/>
      <c r="N14" s="382"/>
      <c r="O14" s="382"/>
      <c r="P14" s="382"/>
      <c r="Q14" s="382"/>
      <c r="R14" s="382"/>
      <c r="S14" s="382"/>
      <c r="T14" s="382"/>
      <c r="U14" s="382"/>
      <c r="V14" s="382"/>
      <c r="W14" s="382"/>
      <c r="X14" s="382"/>
      <c r="Y14" s="382"/>
      <c r="Z14" s="382"/>
    </row>
    <row r="15" ht="19.5" customHeight="1">
      <c r="A15" s="392" t="s">
        <v>1188</v>
      </c>
      <c r="B15" s="256" t="s">
        <v>147</v>
      </c>
      <c r="C15" s="386"/>
      <c r="D15" s="377"/>
      <c r="E15" s="256"/>
      <c r="F15" s="378"/>
      <c r="G15" s="387"/>
      <c r="H15" s="378"/>
      <c r="I15" s="362"/>
      <c r="J15" s="393">
        <f>H15-I15</f>
        <v>0</v>
      </c>
      <c r="K15" s="386"/>
      <c r="L15" s="382"/>
      <c r="M15" s="382"/>
      <c r="N15" s="382"/>
      <c r="O15" s="382"/>
      <c r="P15" s="382"/>
      <c r="Q15" s="382"/>
      <c r="R15" s="382"/>
      <c r="S15" s="382"/>
      <c r="T15" s="382"/>
      <c r="U15" s="382"/>
      <c r="V15" s="382"/>
      <c r="W15" s="382"/>
      <c r="X15" s="382"/>
      <c r="Y15" s="382"/>
      <c r="Z15" s="382"/>
    </row>
    <row r="16" ht="19.5" customHeight="1">
      <c r="A16" s="381"/>
      <c r="B16" s="258" t="s">
        <v>1187</v>
      </c>
      <c r="C16" s="386" t="s">
        <v>148</v>
      </c>
      <c r="D16" s="377">
        <v>2.0</v>
      </c>
      <c r="E16" s="256">
        <v>0.35</v>
      </c>
      <c r="F16" s="378">
        <f>(12.6+22+22+12.6)</f>
        <v>69.2</v>
      </c>
      <c r="G16" s="387">
        <v>0.4</v>
      </c>
      <c r="H16" s="378">
        <f>G16*F16*E16*D16</f>
        <v>19.376</v>
      </c>
      <c r="I16" s="362"/>
      <c r="J16" s="394">
        <f>H16</f>
        <v>19.376</v>
      </c>
      <c r="K16" s="381"/>
      <c r="L16" s="382"/>
      <c r="M16" s="382"/>
      <c r="N16" s="382"/>
      <c r="O16" s="382"/>
      <c r="P16" s="382"/>
      <c r="Q16" s="382"/>
      <c r="R16" s="382"/>
      <c r="S16" s="382"/>
      <c r="T16" s="382"/>
      <c r="U16" s="382"/>
      <c r="V16" s="382"/>
      <c r="W16" s="382"/>
      <c r="X16" s="382"/>
      <c r="Y16" s="382"/>
      <c r="Z16" s="382"/>
    </row>
    <row r="17" ht="19.5" customHeight="1">
      <c r="A17" s="395" t="s">
        <v>1</v>
      </c>
      <c r="B17" s="395" t="s">
        <v>91</v>
      </c>
      <c r="C17" s="395" t="s">
        <v>92</v>
      </c>
      <c r="D17" s="395" t="s">
        <v>93</v>
      </c>
      <c r="E17" s="396" t="s">
        <v>97</v>
      </c>
      <c r="F17" s="390" t="s">
        <v>121</v>
      </c>
      <c r="G17" s="390" t="s">
        <v>99</v>
      </c>
      <c r="H17" s="363" t="s">
        <v>100</v>
      </c>
      <c r="I17" s="363" t="s">
        <v>101</v>
      </c>
      <c r="J17" s="397" t="s">
        <v>95</v>
      </c>
      <c r="K17" s="395" t="s">
        <v>96</v>
      </c>
      <c r="L17" s="382"/>
      <c r="M17" s="382"/>
      <c r="N17" s="382"/>
      <c r="O17" s="382"/>
      <c r="P17" s="382"/>
      <c r="Q17" s="382"/>
      <c r="R17" s="382"/>
      <c r="S17" s="382"/>
      <c r="T17" s="382"/>
      <c r="U17" s="382"/>
      <c r="V17" s="382"/>
      <c r="W17" s="382"/>
      <c r="X17" s="382"/>
      <c r="Y17" s="382"/>
      <c r="Z17" s="382"/>
    </row>
    <row r="18" ht="19.5" customHeight="1">
      <c r="A18" s="392" t="s">
        <v>1189</v>
      </c>
      <c r="B18" s="258" t="s">
        <v>1190</v>
      </c>
      <c r="C18" s="386" t="s">
        <v>148</v>
      </c>
      <c r="D18" s="377">
        <v>2.0</v>
      </c>
      <c r="E18" s="256">
        <v>0.35</v>
      </c>
      <c r="F18" s="378">
        <f>(12.6+22+22+12.6)</f>
        <v>69.2</v>
      </c>
      <c r="G18" s="387">
        <v>0.4</v>
      </c>
      <c r="H18" s="378">
        <f>G18*F18*E18*D18</f>
        <v>19.376</v>
      </c>
      <c r="I18" s="362">
        <f>F16*0.2*0.35</f>
        <v>4.844</v>
      </c>
      <c r="J18" s="394">
        <f>H18-I18</f>
        <v>14.532</v>
      </c>
      <c r="K18" s="381"/>
      <c r="L18" s="382"/>
      <c r="M18" s="382"/>
      <c r="N18" s="382"/>
      <c r="O18" s="382"/>
      <c r="P18" s="382"/>
      <c r="Q18" s="382"/>
      <c r="R18" s="382"/>
      <c r="S18" s="382"/>
      <c r="T18" s="382"/>
      <c r="U18" s="382"/>
      <c r="V18" s="382"/>
      <c r="W18" s="382"/>
      <c r="X18" s="382"/>
      <c r="Y18" s="382"/>
      <c r="Z18" s="382"/>
    </row>
    <row r="19" ht="19.5" customHeight="1">
      <c r="A19" s="395" t="s">
        <v>1</v>
      </c>
      <c r="B19" s="395" t="s">
        <v>91</v>
      </c>
      <c r="C19" s="395" t="s">
        <v>92</v>
      </c>
      <c r="D19" s="395" t="s">
        <v>93</v>
      </c>
      <c r="E19" s="396" t="s">
        <v>97</v>
      </c>
      <c r="F19" s="390" t="s">
        <v>121</v>
      </c>
      <c r="G19" s="390" t="s">
        <v>99</v>
      </c>
      <c r="H19" s="363" t="s">
        <v>100</v>
      </c>
      <c r="I19" s="363" t="s">
        <v>101</v>
      </c>
      <c r="J19" s="397" t="s">
        <v>95</v>
      </c>
      <c r="K19" s="395" t="s">
        <v>96</v>
      </c>
      <c r="L19" s="382"/>
      <c r="M19" s="382"/>
      <c r="N19" s="382"/>
      <c r="O19" s="382"/>
      <c r="P19" s="382"/>
      <c r="Q19" s="382"/>
      <c r="R19" s="382"/>
      <c r="S19" s="382"/>
      <c r="T19" s="382"/>
      <c r="U19" s="382"/>
      <c r="V19" s="382"/>
      <c r="W19" s="382"/>
      <c r="X19" s="382"/>
      <c r="Y19" s="382"/>
      <c r="Z19" s="382"/>
    </row>
    <row r="20" ht="19.5" customHeight="1">
      <c r="A20" s="392" t="s">
        <v>1191</v>
      </c>
      <c r="B20" s="256" t="s">
        <v>1192</v>
      </c>
      <c r="C20" s="386" t="s">
        <v>148</v>
      </c>
      <c r="D20" s="377">
        <v>2.0</v>
      </c>
      <c r="E20" s="256"/>
      <c r="F20" s="378">
        <f>(12.6+22+22+12.6)</f>
        <v>69.2</v>
      </c>
      <c r="G20" s="387">
        <v>0.4</v>
      </c>
      <c r="H20" s="378">
        <f>D20*F20*G20</f>
        <v>55.36</v>
      </c>
      <c r="I20" s="362"/>
      <c r="J20" s="394">
        <f>H20-I20</f>
        <v>55.36</v>
      </c>
      <c r="K20" s="381"/>
      <c r="L20" s="382"/>
      <c r="M20" s="382"/>
      <c r="N20" s="382"/>
      <c r="O20" s="382"/>
      <c r="P20" s="382"/>
      <c r="Q20" s="382"/>
      <c r="R20" s="382"/>
      <c r="S20" s="382"/>
      <c r="T20" s="382"/>
      <c r="U20" s="382"/>
      <c r="V20" s="382"/>
      <c r="W20" s="382"/>
      <c r="X20" s="382"/>
      <c r="Y20" s="382"/>
      <c r="Z20" s="382"/>
    </row>
    <row r="21" ht="19.5" customHeight="1">
      <c r="A21" s="395" t="s">
        <v>1</v>
      </c>
      <c r="B21" s="395" t="s">
        <v>91</v>
      </c>
      <c r="C21" s="395" t="s">
        <v>92</v>
      </c>
      <c r="D21" s="395" t="s">
        <v>93</v>
      </c>
      <c r="E21" s="396" t="s">
        <v>97</v>
      </c>
      <c r="F21" s="390" t="s">
        <v>121</v>
      </c>
      <c r="G21" s="390" t="s">
        <v>99</v>
      </c>
      <c r="H21" s="363" t="s">
        <v>100</v>
      </c>
      <c r="I21" s="363" t="s">
        <v>101</v>
      </c>
      <c r="J21" s="397" t="s">
        <v>95</v>
      </c>
      <c r="K21" s="395" t="s">
        <v>96</v>
      </c>
      <c r="L21" s="382"/>
      <c r="M21" s="382"/>
      <c r="N21" s="382"/>
      <c r="O21" s="382"/>
      <c r="P21" s="382"/>
      <c r="Q21" s="382"/>
      <c r="R21" s="382"/>
      <c r="S21" s="382"/>
      <c r="T21" s="382"/>
      <c r="U21" s="382"/>
      <c r="V21" s="382"/>
      <c r="W21" s="382"/>
      <c r="X21" s="382"/>
      <c r="Y21" s="382"/>
      <c r="Z21" s="382"/>
    </row>
    <row r="22" ht="19.5" customHeight="1">
      <c r="B22" s="256" t="s">
        <v>1193</v>
      </c>
      <c r="C22" s="386" t="s">
        <v>148</v>
      </c>
      <c r="D22" s="377">
        <v>2.0</v>
      </c>
      <c r="E22" s="256">
        <v>0.4</v>
      </c>
      <c r="F22" s="377">
        <f>F20</f>
        <v>69.2</v>
      </c>
      <c r="G22" s="387">
        <v>1.0</v>
      </c>
      <c r="H22" s="378">
        <f>F22*E22*G22</f>
        <v>27.68</v>
      </c>
      <c r="I22" s="362"/>
      <c r="J22" s="393">
        <f>SUM(H22)</f>
        <v>27.68</v>
      </c>
      <c r="K22" s="386"/>
      <c r="L22" s="382"/>
      <c r="M22" s="382"/>
      <c r="N22" s="382"/>
      <c r="O22" s="382"/>
      <c r="P22" s="382"/>
      <c r="Q22" s="382"/>
      <c r="R22" s="382"/>
      <c r="S22" s="382"/>
      <c r="T22" s="382"/>
      <c r="U22" s="382"/>
      <c r="V22" s="382"/>
      <c r="W22" s="382"/>
      <c r="X22" s="382"/>
      <c r="Y22" s="382"/>
      <c r="Z22" s="382"/>
    </row>
    <row r="23" ht="19.5" customHeight="1">
      <c r="A23" s="395" t="s">
        <v>1</v>
      </c>
      <c r="B23" s="395" t="s">
        <v>91</v>
      </c>
      <c r="C23" s="395" t="s">
        <v>92</v>
      </c>
      <c r="D23" s="395" t="s">
        <v>93</v>
      </c>
      <c r="E23" s="396" t="s">
        <v>97</v>
      </c>
      <c r="F23" s="390" t="s">
        <v>121</v>
      </c>
      <c r="G23" s="390" t="s">
        <v>99</v>
      </c>
      <c r="H23" s="363" t="s">
        <v>100</v>
      </c>
      <c r="I23" s="363" t="s">
        <v>101</v>
      </c>
      <c r="J23" s="397" t="s">
        <v>95</v>
      </c>
      <c r="K23" s="395" t="s">
        <v>96</v>
      </c>
      <c r="L23" s="382"/>
      <c r="M23" s="382"/>
      <c r="N23" s="382"/>
      <c r="O23" s="382"/>
      <c r="P23" s="382"/>
      <c r="Q23" s="382"/>
      <c r="R23" s="382"/>
      <c r="S23" s="382"/>
      <c r="T23" s="382"/>
      <c r="U23" s="382"/>
      <c r="V23" s="382"/>
      <c r="W23" s="382"/>
      <c r="X23" s="382"/>
      <c r="Y23" s="382"/>
      <c r="Z23" s="382"/>
    </row>
    <row r="24" ht="19.5" customHeight="1">
      <c r="A24" s="392" t="s">
        <v>1194</v>
      </c>
      <c r="B24" s="256" t="s">
        <v>1195</v>
      </c>
      <c r="C24" s="386" t="s">
        <v>103</v>
      </c>
      <c r="D24" s="384">
        <v>2.0</v>
      </c>
      <c r="E24" s="256">
        <v>0.2</v>
      </c>
      <c r="F24" s="387">
        <f>F16</f>
        <v>69.2</v>
      </c>
      <c r="G24" s="387">
        <v>2.0</v>
      </c>
      <c r="H24" s="378">
        <f>G24*F24*E24*D24</f>
        <v>55.36</v>
      </c>
      <c r="I24" s="362"/>
      <c r="J24" s="398">
        <f>SUM(H24:H25)</f>
        <v>68.8</v>
      </c>
      <c r="K24" s="386"/>
      <c r="L24" s="382"/>
      <c r="M24" s="382"/>
      <c r="N24" s="382"/>
      <c r="O24" s="382"/>
      <c r="P24" s="382"/>
      <c r="Q24" s="382"/>
      <c r="R24" s="382"/>
      <c r="S24" s="382"/>
      <c r="T24" s="382"/>
      <c r="U24" s="382"/>
      <c r="V24" s="382"/>
      <c r="W24" s="382"/>
      <c r="X24" s="382"/>
      <c r="Y24" s="382"/>
      <c r="Z24" s="382"/>
    </row>
    <row r="25" ht="19.5" customHeight="1">
      <c r="A25" s="381"/>
      <c r="B25" s="258" t="s">
        <v>1196</v>
      </c>
      <c r="C25" s="374" t="s">
        <v>103</v>
      </c>
      <c r="D25" s="375">
        <v>28.0</v>
      </c>
      <c r="E25" s="256">
        <v>0.6</v>
      </c>
      <c r="F25" s="387">
        <v>0.4</v>
      </c>
      <c r="G25" s="387">
        <v>2.0</v>
      </c>
      <c r="H25" s="379">
        <f>D25*E25*F25*G25</f>
        <v>13.44</v>
      </c>
      <c r="I25" s="364"/>
      <c r="J25" s="399"/>
      <c r="K25" s="381"/>
      <c r="L25" s="382"/>
      <c r="M25" s="382"/>
      <c r="N25" s="382"/>
      <c r="O25" s="382"/>
      <c r="P25" s="382"/>
      <c r="Q25" s="382"/>
      <c r="R25" s="382"/>
      <c r="S25" s="382"/>
      <c r="T25" s="382"/>
      <c r="U25" s="382"/>
      <c r="V25" s="382"/>
      <c r="W25" s="382"/>
      <c r="X25" s="382"/>
      <c r="Y25" s="382"/>
      <c r="Z25" s="382"/>
    </row>
    <row r="26" ht="19.5" customHeight="1">
      <c r="A26" s="395" t="s">
        <v>1</v>
      </c>
      <c r="B26" s="395" t="s">
        <v>91</v>
      </c>
      <c r="C26" s="395" t="s">
        <v>92</v>
      </c>
      <c r="D26" s="395" t="s">
        <v>93</v>
      </c>
      <c r="E26" s="400" t="s">
        <v>1197</v>
      </c>
      <c r="F26" s="401" t="s">
        <v>1198</v>
      </c>
      <c r="G26" s="401" t="s">
        <v>156</v>
      </c>
      <c r="H26" s="363" t="s">
        <v>100</v>
      </c>
      <c r="I26" s="363" t="s">
        <v>101</v>
      </c>
      <c r="J26" s="397" t="s">
        <v>95</v>
      </c>
      <c r="K26" s="395" t="s">
        <v>96</v>
      </c>
      <c r="L26" s="382"/>
      <c r="M26" s="382"/>
      <c r="N26" s="382"/>
      <c r="O26" s="382"/>
      <c r="P26" s="382"/>
      <c r="Q26" s="382"/>
      <c r="R26" s="382"/>
      <c r="S26" s="382"/>
      <c r="T26" s="382"/>
      <c r="U26" s="382"/>
      <c r="V26" s="382"/>
      <c r="W26" s="382"/>
      <c r="X26" s="382"/>
      <c r="Y26" s="382"/>
      <c r="Z26" s="382"/>
    </row>
    <row r="27" ht="19.5" customHeight="1">
      <c r="A27" s="392" t="s">
        <v>1199</v>
      </c>
      <c r="B27" s="256" t="s">
        <v>1200</v>
      </c>
      <c r="C27" s="386" t="s">
        <v>158</v>
      </c>
      <c r="D27" s="384"/>
      <c r="E27" s="256"/>
      <c r="F27" s="387"/>
      <c r="G27" s="382"/>
      <c r="H27" s="378"/>
      <c r="I27" s="362"/>
      <c r="J27" s="393">
        <f>H27-I27</f>
        <v>0</v>
      </c>
      <c r="K27" s="386"/>
      <c r="L27" s="382"/>
      <c r="M27" s="382"/>
      <c r="N27" s="382"/>
      <c r="O27" s="382"/>
      <c r="P27" s="382"/>
      <c r="Q27" s="382"/>
      <c r="R27" s="382"/>
      <c r="S27" s="382"/>
      <c r="T27" s="382"/>
      <c r="U27" s="382"/>
      <c r="V27" s="382"/>
      <c r="W27" s="382"/>
      <c r="X27" s="382"/>
      <c r="Y27" s="382"/>
      <c r="Z27" s="382"/>
    </row>
    <row r="28" ht="19.5" customHeight="1">
      <c r="A28" s="381"/>
      <c r="B28" s="258" t="s">
        <v>1201</v>
      </c>
      <c r="C28" s="381"/>
      <c r="D28" s="375">
        <v>2.0</v>
      </c>
      <c r="E28" s="256">
        <f>4*0.14+0.02+0.02</f>
        <v>0.6</v>
      </c>
      <c r="F28" s="387">
        <f>(22+12.8+12.8+22)/0.2</f>
        <v>348</v>
      </c>
      <c r="G28" s="387">
        <v>0.154</v>
      </c>
      <c r="H28" s="378">
        <f t="shared" ref="H28:H29" si="1">D28*E28*F28*G28</f>
        <v>64.3104</v>
      </c>
      <c r="I28" s="364"/>
      <c r="J28" s="402">
        <f>SUM(H28:H29)</f>
        <v>79.8336</v>
      </c>
      <c r="K28" s="381"/>
      <c r="L28" s="382"/>
      <c r="M28" s="382"/>
      <c r="N28" s="382"/>
      <c r="O28" s="382"/>
      <c r="P28" s="382"/>
      <c r="Q28" s="382"/>
      <c r="R28" s="382"/>
      <c r="S28" s="382"/>
      <c r="T28" s="382"/>
      <c r="U28" s="382"/>
      <c r="V28" s="382"/>
      <c r="W28" s="382"/>
      <c r="X28" s="382"/>
      <c r="Y28" s="382"/>
      <c r="Z28" s="382"/>
    </row>
    <row r="29" ht="19.5" customHeight="1">
      <c r="A29" s="381"/>
      <c r="B29" s="258" t="s">
        <v>1202</v>
      </c>
      <c r="C29" s="381"/>
      <c r="D29" s="375">
        <v>2.0</v>
      </c>
      <c r="E29" s="256">
        <v>0.6</v>
      </c>
      <c r="F29" s="387">
        <f>28*3</f>
        <v>84</v>
      </c>
      <c r="G29" s="387">
        <v>0.154</v>
      </c>
      <c r="H29" s="378">
        <f t="shared" si="1"/>
        <v>15.5232</v>
      </c>
      <c r="I29" s="364"/>
      <c r="J29" s="402"/>
      <c r="K29" s="381"/>
      <c r="L29" s="382"/>
      <c r="M29" s="382"/>
      <c r="N29" s="382"/>
      <c r="O29" s="382"/>
      <c r="P29" s="382"/>
      <c r="Q29" s="382"/>
      <c r="R29" s="382"/>
      <c r="S29" s="382"/>
      <c r="T29" s="382"/>
      <c r="U29" s="382"/>
      <c r="V29" s="382"/>
      <c r="W29" s="382"/>
      <c r="X29" s="382"/>
      <c r="Y29" s="382"/>
      <c r="Z29" s="382"/>
    </row>
    <row r="30" ht="19.5" customHeight="1">
      <c r="A30" s="395" t="s">
        <v>1</v>
      </c>
      <c r="B30" s="395" t="s">
        <v>91</v>
      </c>
      <c r="C30" s="395" t="s">
        <v>92</v>
      </c>
      <c r="D30" s="395" t="s">
        <v>93</v>
      </c>
      <c r="E30" s="400" t="s">
        <v>97</v>
      </c>
      <c r="F30" s="390" t="s">
        <v>121</v>
      </c>
      <c r="G30" s="401" t="s">
        <v>156</v>
      </c>
      <c r="H30" s="363" t="s">
        <v>100</v>
      </c>
      <c r="I30" s="363" t="s">
        <v>101</v>
      </c>
      <c r="J30" s="397" t="s">
        <v>95</v>
      </c>
      <c r="K30" s="395" t="s">
        <v>96</v>
      </c>
      <c r="L30" s="382"/>
      <c r="M30" s="382"/>
      <c r="N30" s="382"/>
      <c r="O30" s="382"/>
      <c r="P30" s="382"/>
      <c r="Q30" s="382"/>
      <c r="R30" s="382"/>
      <c r="S30" s="382"/>
      <c r="T30" s="382"/>
      <c r="U30" s="382"/>
      <c r="V30" s="382"/>
      <c r="W30" s="382"/>
      <c r="X30" s="382"/>
      <c r="Y30" s="382"/>
      <c r="Z30" s="382"/>
    </row>
    <row r="31" ht="19.5" customHeight="1">
      <c r="A31" s="392" t="s">
        <v>1203</v>
      </c>
      <c r="B31" s="256" t="s">
        <v>1204</v>
      </c>
      <c r="C31" s="386" t="s">
        <v>158</v>
      </c>
      <c r="D31" s="384"/>
      <c r="E31" s="256"/>
      <c r="F31" s="387"/>
      <c r="G31" s="387"/>
      <c r="H31" s="378"/>
      <c r="I31" s="362"/>
      <c r="J31" s="393">
        <f>H31-I31</f>
        <v>0</v>
      </c>
      <c r="K31" s="386"/>
      <c r="L31" s="382"/>
      <c r="M31" s="382"/>
      <c r="N31" s="382"/>
      <c r="O31" s="382"/>
      <c r="P31" s="382"/>
      <c r="Q31" s="382"/>
      <c r="R31" s="382"/>
      <c r="S31" s="382"/>
      <c r="T31" s="382"/>
      <c r="U31" s="382"/>
      <c r="V31" s="382"/>
      <c r="W31" s="382"/>
      <c r="X31" s="382"/>
      <c r="Y31" s="382"/>
      <c r="Z31" s="382"/>
    </row>
    <row r="32" ht="19.5" customHeight="1">
      <c r="A32" s="381"/>
      <c r="B32" s="258" t="s">
        <v>1201</v>
      </c>
      <c r="C32" s="381"/>
      <c r="D32" s="375">
        <v>2.0</v>
      </c>
      <c r="E32" s="256">
        <v>4.0</v>
      </c>
      <c r="F32" s="387">
        <f>(22+12.8+12.8+22)</f>
        <v>69.6</v>
      </c>
      <c r="G32" s="387">
        <v>0.395</v>
      </c>
      <c r="H32" s="378">
        <f t="shared" ref="H32:H33" si="2">D32*E32*F32*G32</f>
        <v>219.936</v>
      </c>
      <c r="I32" s="364"/>
      <c r="J32" s="402">
        <f>SUM(H32:H33)</f>
        <v>290.72</v>
      </c>
      <c r="K32" s="381"/>
      <c r="L32" s="382"/>
      <c r="M32" s="382"/>
      <c r="N32" s="382"/>
      <c r="O32" s="382"/>
      <c r="P32" s="382"/>
      <c r="Q32" s="382"/>
      <c r="R32" s="382"/>
      <c r="S32" s="382"/>
      <c r="T32" s="382"/>
      <c r="U32" s="382"/>
      <c r="V32" s="382"/>
      <c r="W32" s="382"/>
      <c r="X32" s="382"/>
      <c r="Y32" s="382"/>
      <c r="Z32" s="382"/>
    </row>
    <row r="33" ht="19.5" customHeight="1">
      <c r="A33" s="381"/>
      <c r="B33" s="258" t="s">
        <v>1202</v>
      </c>
      <c r="C33" s="381"/>
      <c r="D33" s="375">
        <v>2.0</v>
      </c>
      <c r="E33" s="256">
        <v>4.0</v>
      </c>
      <c r="F33" s="387">
        <f>28*0.8</f>
        <v>22.4</v>
      </c>
      <c r="G33" s="387">
        <v>0.395</v>
      </c>
      <c r="H33" s="378">
        <f t="shared" si="2"/>
        <v>70.784</v>
      </c>
      <c r="I33" s="364"/>
      <c r="J33" s="402"/>
      <c r="K33" s="381"/>
      <c r="L33" s="382"/>
      <c r="M33" s="382"/>
      <c r="N33" s="382"/>
      <c r="O33" s="382"/>
      <c r="P33" s="382"/>
      <c r="Q33" s="382"/>
      <c r="R33" s="382"/>
      <c r="S33" s="382"/>
      <c r="T33" s="382"/>
      <c r="U33" s="382"/>
      <c r="V33" s="382"/>
      <c r="W33" s="382"/>
      <c r="X33" s="382"/>
      <c r="Y33" s="382"/>
      <c r="Z33" s="382"/>
    </row>
    <row r="34" ht="19.5" customHeight="1">
      <c r="A34" s="395" t="s">
        <v>1</v>
      </c>
      <c r="B34" s="395" t="s">
        <v>91</v>
      </c>
      <c r="C34" s="395" t="s">
        <v>92</v>
      </c>
      <c r="D34" s="395" t="s">
        <v>93</v>
      </c>
      <c r="E34" s="400" t="s">
        <v>97</v>
      </c>
      <c r="F34" s="390" t="s">
        <v>121</v>
      </c>
      <c r="G34" s="401" t="s">
        <v>156</v>
      </c>
      <c r="H34" s="363" t="s">
        <v>100</v>
      </c>
      <c r="I34" s="363" t="s">
        <v>101</v>
      </c>
      <c r="J34" s="397" t="s">
        <v>95</v>
      </c>
      <c r="K34" s="395" t="s">
        <v>96</v>
      </c>
      <c r="L34" s="382"/>
      <c r="M34" s="382"/>
      <c r="N34" s="382"/>
      <c r="O34" s="382"/>
      <c r="P34" s="382"/>
      <c r="Q34" s="382"/>
      <c r="R34" s="382"/>
      <c r="S34" s="382"/>
      <c r="T34" s="382"/>
      <c r="U34" s="382"/>
      <c r="V34" s="382"/>
      <c r="W34" s="382"/>
      <c r="X34" s="382"/>
      <c r="Y34" s="382"/>
      <c r="Z34" s="382"/>
    </row>
    <row r="35" ht="19.5" customHeight="1">
      <c r="A35" s="392" t="s">
        <v>1205</v>
      </c>
      <c r="B35" s="256" t="s">
        <v>759</v>
      </c>
      <c r="C35" s="383" t="s">
        <v>148</v>
      </c>
      <c r="D35" s="384"/>
      <c r="E35" s="256"/>
      <c r="F35" s="387"/>
      <c r="G35" s="387"/>
      <c r="H35" s="378"/>
      <c r="I35" s="362"/>
      <c r="J35" s="393">
        <f>H35-I35</f>
        <v>0</v>
      </c>
      <c r="K35" s="386"/>
      <c r="L35" s="382"/>
      <c r="M35" s="382"/>
      <c r="N35" s="382"/>
      <c r="O35" s="382"/>
      <c r="P35" s="382"/>
      <c r="Q35" s="382"/>
      <c r="R35" s="382"/>
      <c r="S35" s="382"/>
      <c r="T35" s="382"/>
      <c r="U35" s="382"/>
      <c r="V35" s="382"/>
      <c r="W35" s="382"/>
      <c r="X35" s="382"/>
      <c r="Y35" s="382"/>
      <c r="Z35" s="382"/>
    </row>
    <row r="36" ht="19.5" customHeight="1">
      <c r="A36" s="381"/>
      <c r="B36" s="258" t="s">
        <v>1201</v>
      </c>
      <c r="C36" s="381"/>
      <c r="D36" s="375">
        <v>2.0</v>
      </c>
      <c r="E36" s="256">
        <v>0.19</v>
      </c>
      <c r="F36" s="387">
        <f>(22+12.8+12.8+22)</f>
        <v>69.6</v>
      </c>
      <c r="G36" s="387">
        <v>0.19</v>
      </c>
      <c r="H36" s="378">
        <f t="shared" ref="H36:H37" si="3">D36*E36*F36*G36</f>
        <v>5.02512</v>
      </c>
      <c r="I36" s="364"/>
      <c r="J36" s="402">
        <f>SUM(H36:H37)</f>
        <v>5.08288</v>
      </c>
      <c r="K36" s="381"/>
      <c r="L36" s="382"/>
      <c r="M36" s="382"/>
      <c r="N36" s="382"/>
      <c r="O36" s="382"/>
      <c r="P36" s="382"/>
      <c r="Q36" s="382"/>
      <c r="R36" s="382"/>
      <c r="S36" s="382"/>
      <c r="T36" s="382"/>
      <c r="U36" s="382"/>
      <c r="V36" s="382"/>
      <c r="W36" s="382"/>
      <c r="X36" s="382"/>
      <c r="Y36" s="382"/>
      <c r="Z36" s="382"/>
    </row>
    <row r="37" ht="19.5" customHeight="1">
      <c r="A37" s="381"/>
      <c r="B37" s="258" t="s">
        <v>1202</v>
      </c>
      <c r="C37" s="381"/>
      <c r="D37" s="375">
        <v>2.0</v>
      </c>
      <c r="E37" s="256">
        <v>0.19</v>
      </c>
      <c r="F37" s="387">
        <v>0.8</v>
      </c>
      <c r="G37" s="387">
        <v>0.19</v>
      </c>
      <c r="H37" s="378">
        <f t="shared" si="3"/>
        <v>0.05776</v>
      </c>
      <c r="I37" s="364"/>
      <c r="J37" s="402"/>
      <c r="K37" s="381"/>
      <c r="L37" s="382"/>
      <c r="M37" s="382"/>
      <c r="N37" s="382"/>
      <c r="O37" s="382"/>
      <c r="P37" s="382"/>
      <c r="Q37" s="382"/>
      <c r="R37" s="382"/>
      <c r="S37" s="382"/>
      <c r="T37" s="382"/>
      <c r="U37" s="382"/>
      <c r="V37" s="382"/>
      <c r="W37" s="382"/>
      <c r="X37" s="382"/>
      <c r="Y37" s="382"/>
      <c r="Z37" s="382"/>
    </row>
    <row r="38" ht="19.5" customHeight="1">
      <c r="A38" s="74" t="s">
        <v>1</v>
      </c>
      <c r="B38" s="74" t="s">
        <v>91</v>
      </c>
      <c r="C38" s="74" t="s">
        <v>92</v>
      </c>
      <c r="D38" s="74" t="s">
        <v>93</v>
      </c>
      <c r="E38" s="50" t="s">
        <v>97</v>
      </c>
      <c r="F38" s="53" t="s">
        <v>121</v>
      </c>
      <c r="G38" s="53" t="s">
        <v>99</v>
      </c>
      <c r="H38" s="75" t="s">
        <v>100</v>
      </c>
      <c r="I38" s="75" t="s">
        <v>101</v>
      </c>
      <c r="J38" s="76" t="s">
        <v>95</v>
      </c>
      <c r="K38" s="74" t="s">
        <v>96</v>
      </c>
    </row>
    <row r="39" ht="19.5" customHeight="1">
      <c r="A39" s="392" t="s">
        <v>1206</v>
      </c>
      <c r="B39" s="37" t="s">
        <v>1207</v>
      </c>
      <c r="C39" s="46" t="s">
        <v>108</v>
      </c>
      <c r="D39" s="78">
        <v>2.0</v>
      </c>
      <c r="E39" s="49">
        <v>0.3</v>
      </c>
      <c r="F39" s="39">
        <f>22-0.4</f>
        <v>21.6</v>
      </c>
      <c r="G39" s="40">
        <f>13-0.4</f>
        <v>12.6</v>
      </c>
      <c r="H39" s="40">
        <f>G39*F39*E39*D39</f>
        <v>163.296</v>
      </c>
      <c r="I39" s="42"/>
      <c r="J39" s="40"/>
      <c r="K39" s="46"/>
    </row>
    <row r="40" ht="19.5" customHeight="1">
      <c r="A40" s="395" t="s">
        <v>1</v>
      </c>
      <c r="B40" s="395" t="s">
        <v>91</v>
      </c>
      <c r="C40" s="395" t="s">
        <v>92</v>
      </c>
      <c r="D40" s="395" t="s">
        <v>93</v>
      </c>
      <c r="E40" s="396" t="s">
        <v>97</v>
      </c>
      <c r="F40" s="390" t="s">
        <v>121</v>
      </c>
      <c r="G40" s="390" t="s">
        <v>99</v>
      </c>
      <c r="H40" s="363" t="s">
        <v>100</v>
      </c>
      <c r="I40" s="363" t="s">
        <v>101</v>
      </c>
      <c r="J40" s="397" t="s">
        <v>95</v>
      </c>
      <c r="K40" s="395" t="s">
        <v>96</v>
      </c>
      <c r="L40" s="382"/>
      <c r="M40" s="382"/>
      <c r="N40" s="382"/>
      <c r="O40" s="382"/>
      <c r="P40" s="382"/>
      <c r="Q40" s="382"/>
      <c r="R40" s="382"/>
      <c r="S40" s="382"/>
      <c r="T40" s="382"/>
      <c r="U40" s="382"/>
      <c r="V40" s="382"/>
      <c r="W40" s="382"/>
      <c r="X40" s="382"/>
      <c r="Y40" s="382"/>
      <c r="Z40" s="382"/>
    </row>
    <row r="41" ht="19.5" customHeight="1">
      <c r="A41" s="392" t="s">
        <v>1208</v>
      </c>
      <c r="B41" s="256" t="s">
        <v>1193</v>
      </c>
      <c r="C41" s="386" t="s">
        <v>148</v>
      </c>
      <c r="D41" s="377">
        <v>2.0</v>
      </c>
      <c r="E41" s="256">
        <v>0.4</v>
      </c>
      <c r="F41" s="377">
        <f>F39</f>
        <v>21.6</v>
      </c>
      <c r="G41" s="387">
        <v>1.0</v>
      </c>
      <c r="H41" s="378">
        <f>F41*E41*G41</f>
        <v>8.64</v>
      </c>
      <c r="I41" s="362"/>
      <c r="J41" s="393">
        <f>SUM(H41)</f>
        <v>8.64</v>
      </c>
      <c r="K41" s="386"/>
      <c r="L41" s="382"/>
      <c r="M41" s="382"/>
      <c r="N41" s="382"/>
      <c r="O41" s="382"/>
      <c r="P41" s="382"/>
      <c r="Q41" s="382"/>
      <c r="R41" s="382"/>
      <c r="S41" s="382"/>
      <c r="T41" s="382"/>
      <c r="U41" s="382"/>
      <c r="V41" s="382"/>
      <c r="W41" s="382"/>
      <c r="X41" s="382"/>
      <c r="Y41" s="382"/>
      <c r="Z41" s="382"/>
    </row>
    <row r="42" ht="19.5" customHeight="1">
      <c r="A42" s="74" t="s">
        <v>1</v>
      </c>
      <c r="B42" s="74" t="s">
        <v>91</v>
      </c>
      <c r="C42" s="74" t="s">
        <v>92</v>
      </c>
      <c r="D42" s="76" t="s">
        <v>93</v>
      </c>
      <c r="E42" s="50" t="s">
        <v>161</v>
      </c>
      <c r="F42" s="53" t="s">
        <v>121</v>
      </c>
      <c r="G42" s="53" t="s">
        <v>99</v>
      </c>
      <c r="H42" s="75" t="s">
        <v>100</v>
      </c>
      <c r="I42" s="75" t="s">
        <v>101</v>
      </c>
      <c r="J42" s="76" t="s">
        <v>95</v>
      </c>
      <c r="K42" s="74" t="s">
        <v>96</v>
      </c>
    </row>
    <row r="43" ht="19.5" customHeight="1">
      <c r="A43" s="392" t="s">
        <v>1209</v>
      </c>
      <c r="B43" s="256" t="s">
        <v>1210</v>
      </c>
      <c r="C43" s="386" t="s">
        <v>103</v>
      </c>
      <c r="D43" s="377">
        <f>13+22+13+22</f>
        <v>70</v>
      </c>
      <c r="E43" s="376">
        <v>2.0</v>
      </c>
      <c r="F43" s="377"/>
      <c r="G43" s="387">
        <v>0.7</v>
      </c>
      <c r="H43" s="378">
        <f>G43*E43*D43</f>
        <v>98</v>
      </c>
      <c r="I43" s="362"/>
      <c r="J43" s="378"/>
      <c r="K43" s="386"/>
      <c r="L43" s="382"/>
      <c r="M43" s="382"/>
      <c r="N43" s="382"/>
      <c r="O43" s="382"/>
      <c r="P43" s="382"/>
      <c r="Q43" s="382"/>
      <c r="R43" s="382"/>
      <c r="S43" s="382"/>
      <c r="T43" s="382"/>
      <c r="U43" s="382"/>
      <c r="V43" s="382"/>
      <c r="W43" s="382"/>
      <c r="X43" s="382"/>
      <c r="Y43" s="382"/>
      <c r="Z43" s="382"/>
    </row>
    <row r="44" ht="19.5" customHeight="1">
      <c r="A44" s="386"/>
      <c r="B44" s="376"/>
      <c r="C44" s="386"/>
      <c r="D44" s="377"/>
      <c r="E44" s="376"/>
      <c r="F44" s="377"/>
      <c r="G44" s="378"/>
      <c r="H44" s="378"/>
      <c r="I44" s="362"/>
      <c r="J44" s="393">
        <f>SUM(H43:H44)</f>
        <v>98</v>
      </c>
      <c r="K44" s="386"/>
      <c r="L44" s="382"/>
      <c r="M44" s="382"/>
      <c r="N44" s="382"/>
      <c r="O44" s="382"/>
      <c r="P44" s="382"/>
      <c r="Q44" s="382"/>
      <c r="R44" s="382"/>
      <c r="S44" s="382"/>
      <c r="T44" s="382"/>
      <c r="U44" s="382"/>
      <c r="V44" s="382"/>
      <c r="W44" s="382"/>
      <c r="X44" s="382"/>
      <c r="Y44" s="382"/>
      <c r="Z44" s="382"/>
    </row>
    <row r="45" ht="19.5" customHeight="1">
      <c r="A45" s="74" t="s">
        <v>1</v>
      </c>
      <c r="B45" s="74" t="s">
        <v>91</v>
      </c>
      <c r="C45" s="74" t="s">
        <v>92</v>
      </c>
      <c r="D45" s="74" t="s">
        <v>93</v>
      </c>
      <c r="E45" s="50" t="s">
        <v>97</v>
      </c>
      <c r="F45" s="53" t="s">
        <v>121</v>
      </c>
      <c r="G45" s="53" t="s">
        <v>99</v>
      </c>
      <c r="H45" s="75" t="s">
        <v>100</v>
      </c>
      <c r="I45" s="75" t="s">
        <v>101</v>
      </c>
      <c r="J45" s="76" t="s">
        <v>95</v>
      </c>
      <c r="K45" s="74" t="s">
        <v>96</v>
      </c>
    </row>
    <row r="46" ht="19.5" customHeight="1">
      <c r="A46" s="392" t="s">
        <v>1211</v>
      </c>
      <c r="B46" s="37" t="s">
        <v>204</v>
      </c>
      <c r="C46" s="46" t="s">
        <v>103</v>
      </c>
      <c r="D46" s="78">
        <f>13+22+13+22</f>
        <v>70</v>
      </c>
      <c r="E46" s="37">
        <v>2.0</v>
      </c>
      <c r="F46" s="78"/>
      <c r="G46" s="41">
        <v>0.7</v>
      </c>
      <c r="H46" s="40">
        <f>G46*E46*D46</f>
        <v>98</v>
      </c>
      <c r="I46" s="42"/>
      <c r="J46" s="40"/>
      <c r="K46" s="46"/>
    </row>
    <row r="47" ht="19.5" customHeight="1">
      <c r="A47" s="46"/>
      <c r="B47" s="37"/>
      <c r="C47" s="46"/>
      <c r="D47" s="78"/>
      <c r="E47" s="37"/>
      <c r="F47" s="78"/>
      <c r="G47" s="40"/>
      <c r="H47" s="40"/>
      <c r="I47" s="42"/>
      <c r="J47" s="43">
        <f>SUM(H46:H47)</f>
        <v>98</v>
      </c>
      <c r="K47" s="46"/>
    </row>
    <row r="48" ht="19.5" customHeight="1">
      <c r="A48" s="74" t="s">
        <v>1</v>
      </c>
      <c r="B48" s="74" t="s">
        <v>91</v>
      </c>
      <c r="C48" s="74" t="s">
        <v>92</v>
      </c>
      <c r="D48" s="74" t="s">
        <v>93</v>
      </c>
      <c r="E48" s="50" t="s">
        <v>97</v>
      </c>
      <c r="F48" s="53" t="s">
        <v>121</v>
      </c>
      <c r="G48" s="53" t="s">
        <v>99</v>
      </c>
      <c r="H48" s="75" t="s">
        <v>100</v>
      </c>
      <c r="I48" s="75" t="s">
        <v>101</v>
      </c>
      <c r="J48" s="76" t="s">
        <v>95</v>
      </c>
      <c r="K48" s="74" t="s">
        <v>96</v>
      </c>
    </row>
    <row r="49" ht="19.5" customHeight="1">
      <c r="A49" s="392" t="s">
        <v>1212</v>
      </c>
      <c r="B49" s="114" t="s">
        <v>1213</v>
      </c>
      <c r="C49" s="79"/>
      <c r="D49" s="122"/>
      <c r="E49" s="37"/>
      <c r="F49" s="78"/>
      <c r="G49" s="41"/>
      <c r="H49" s="59"/>
      <c r="I49" s="82"/>
      <c r="J49" s="121"/>
      <c r="K49" s="131"/>
    </row>
    <row r="50" ht="19.5" customHeight="1">
      <c r="A50" s="403" t="s">
        <v>1214</v>
      </c>
      <c r="B50" s="114" t="s">
        <v>1215</v>
      </c>
      <c r="C50" s="79"/>
      <c r="D50" s="122"/>
      <c r="E50" s="37"/>
      <c r="F50" s="78"/>
      <c r="G50" s="41"/>
      <c r="H50" s="59"/>
      <c r="I50" s="82"/>
      <c r="J50" s="121"/>
      <c r="K50" s="131"/>
    </row>
    <row r="51" ht="19.5" customHeight="1">
      <c r="A51" s="392"/>
      <c r="B51" s="37"/>
      <c r="C51" s="46" t="s">
        <v>103</v>
      </c>
      <c r="D51" s="78">
        <f>13+22+13+22</f>
        <v>70</v>
      </c>
      <c r="E51" s="49">
        <v>2.0</v>
      </c>
      <c r="F51" s="78"/>
      <c r="G51" s="41">
        <v>0.7</v>
      </c>
      <c r="H51" s="40">
        <f>G51*E51*D51</f>
        <v>98</v>
      </c>
      <c r="I51" s="42"/>
      <c r="J51" s="107"/>
      <c r="K51" s="131"/>
    </row>
    <row r="52" ht="19.5" customHeight="1">
      <c r="A52" s="74" t="s">
        <v>1</v>
      </c>
      <c r="B52" s="74" t="s">
        <v>91</v>
      </c>
      <c r="C52" s="74" t="s">
        <v>92</v>
      </c>
      <c r="D52" s="74" t="s">
        <v>93</v>
      </c>
      <c r="E52" s="50" t="s">
        <v>97</v>
      </c>
      <c r="F52" s="53" t="s">
        <v>121</v>
      </c>
      <c r="G52" s="53" t="s">
        <v>99</v>
      </c>
      <c r="H52" s="75" t="s">
        <v>100</v>
      </c>
      <c r="I52" s="75" t="s">
        <v>101</v>
      </c>
      <c r="J52" s="76" t="s">
        <v>95</v>
      </c>
      <c r="K52" s="74" t="s">
        <v>96</v>
      </c>
    </row>
    <row r="53" ht="19.5" customHeight="1">
      <c r="A53" s="403" t="s">
        <v>1216</v>
      </c>
      <c r="B53" s="49" t="s">
        <v>1217</v>
      </c>
      <c r="C53" s="38" t="s">
        <v>103</v>
      </c>
      <c r="D53" s="78"/>
      <c r="E53" s="37"/>
      <c r="F53" s="78"/>
      <c r="G53" s="40"/>
      <c r="H53" s="40" t="str">
        <f>D53</f>
        <v/>
      </c>
      <c r="I53" s="42"/>
      <c r="J53" s="40"/>
      <c r="K53" s="46"/>
    </row>
    <row r="54" ht="19.5" customHeight="1">
      <c r="A54" s="46"/>
      <c r="B54" s="37"/>
      <c r="C54" s="46"/>
      <c r="D54" s="39">
        <v>2.0</v>
      </c>
      <c r="E54" s="49">
        <v>5.9</v>
      </c>
      <c r="F54" s="39">
        <v>69.2</v>
      </c>
      <c r="G54" s="40"/>
      <c r="H54" s="40"/>
      <c r="I54" s="152">
        <v>4.2</v>
      </c>
      <c r="J54" s="43">
        <f>D54*E54*F54-I54</f>
        <v>812.36</v>
      </c>
      <c r="K54" s="46"/>
    </row>
    <row r="55" ht="19.5" customHeight="1">
      <c r="A55" s="12"/>
      <c r="C55" s="12"/>
      <c r="D55" s="13"/>
      <c r="F55" s="14"/>
      <c r="G55" s="14"/>
      <c r="H55" s="14"/>
      <c r="I55" s="14"/>
      <c r="J55" s="14"/>
      <c r="K55" s="12"/>
    </row>
    <row r="56" ht="19.5" customHeight="1">
      <c r="A56" s="74" t="s">
        <v>1</v>
      </c>
      <c r="B56" s="74" t="s">
        <v>91</v>
      </c>
      <c r="C56" s="74" t="s">
        <v>92</v>
      </c>
      <c r="D56" s="74" t="s">
        <v>93</v>
      </c>
      <c r="E56" s="50" t="s">
        <v>97</v>
      </c>
      <c r="F56" s="53" t="s">
        <v>121</v>
      </c>
      <c r="G56" s="53" t="s">
        <v>99</v>
      </c>
      <c r="H56" s="75" t="s">
        <v>100</v>
      </c>
      <c r="I56" s="75" t="s">
        <v>101</v>
      </c>
      <c r="J56" s="76" t="s">
        <v>95</v>
      </c>
      <c r="K56" s="74" t="s">
        <v>96</v>
      </c>
    </row>
    <row r="57" ht="19.5" customHeight="1">
      <c r="A57" s="403" t="s">
        <v>1218</v>
      </c>
      <c r="B57" s="49" t="s">
        <v>1219</v>
      </c>
      <c r="C57" s="38" t="s">
        <v>103</v>
      </c>
      <c r="D57" s="78"/>
      <c r="E57" s="37"/>
      <c r="F57" s="78"/>
      <c r="G57" s="40"/>
      <c r="H57" s="40" t="str">
        <f>D57</f>
        <v/>
      </c>
      <c r="I57" s="42"/>
      <c r="J57" s="40"/>
      <c r="K57" s="46"/>
    </row>
    <row r="58" ht="19.5" customHeight="1">
      <c r="A58" s="46"/>
      <c r="B58" s="37"/>
      <c r="C58" s="46"/>
      <c r="D58" s="39">
        <v>2.0</v>
      </c>
      <c r="E58" s="49">
        <v>2.1</v>
      </c>
      <c r="F58" s="39">
        <v>2.25</v>
      </c>
      <c r="G58" s="40"/>
      <c r="H58" s="40"/>
      <c r="I58" s="152"/>
      <c r="J58" s="43">
        <f>D58*E58*F58-I58</f>
        <v>9.45</v>
      </c>
      <c r="K58" s="46"/>
    </row>
    <row r="60" ht="19.5" customHeight="1">
      <c r="A60" s="74" t="s">
        <v>1</v>
      </c>
      <c r="B60" s="74" t="s">
        <v>91</v>
      </c>
      <c r="C60" s="74" t="s">
        <v>92</v>
      </c>
      <c r="D60" s="74" t="s">
        <v>93</v>
      </c>
      <c r="E60" s="50" t="s">
        <v>161</v>
      </c>
      <c r="F60" s="53" t="s">
        <v>121</v>
      </c>
      <c r="G60" s="53" t="s">
        <v>99</v>
      </c>
      <c r="H60" s="404" t="s">
        <v>100</v>
      </c>
      <c r="I60" s="404" t="s">
        <v>101</v>
      </c>
      <c r="J60" s="76" t="s">
        <v>95</v>
      </c>
      <c r="K60" s="74" t="s">
        <v>96</v>
      </c>
    </row>
    <row r="61" ht="19.5" customHeight="1">
      <c r="A61" s="392" t="s">
        <v>1206</v>
      </c>
      <c r="B61" s="37" t="s">
        <v>1220</v>
      </c>
      <c r="C61" s="46" t="s">
        <v>106</v>
      </c>
      <c r="D61" s="78">
        <v>4.0</v>
      </c>
      <c r="E61" s="37"/>
      <c r="F61" s="78"/>
      <c r="G61" s="40"/>
      <c r="H61" s="40">
        <f>D61</f>
        <v>4</v>
      </c>
      <c r="I61" s="42"/>
      <c r="J61" s="40"/>
      <c r="K61" s="46"/>
    </row>
    <row r="62" ht="19.5" customHeight="1">
      <c r="A62" s="46"/>
      <c r="B62" s="37"/>
      <c r="C62" s="46"/>
      <c r="D62" s="78"/>
      <c r="E62" s="37"/>
      <c r="F62" s="78"/>
      <c r="G62" s="40"/>
      <c r="H62" s="40"/>
      <c r="I62" s="42"/>
      <c r="J62" s="43">
        <f>SUM(H61:H62)</f>
        <v>4</v>
      </c>
      <c r="K62" s="46"/>
    </row>
    <row r="63" ht="19.5" customHeight="1">
      <c r="A63" s="74" t="s">
        <v>1</v>
      </c>
      <c r="B63" s="74" t="s">
        <v>91</v>
      </c>
      <c r="C63" s="74" t="s">
        <v>92</v>
      </c>
      <c r="D63" s="74" t="s">
        <v>93</v>
      </c>
      <c r="E63" s="50" t="s">
        <v>97</v>
      </c>
      <c r="F63" s="53" t="s">
        <v>121</v>
      </c>
      <c r="G63" s="53" t="s">
        <v>99</v>
      </c>
      <c r="H63" s="75" t="s">
        <v>100</v>
      </c>
      <c r="I63" s="75" t="s">
        <v>101</v>
      </c>
      <c r="J63" s="76" t="s">
        <v>95</v>
      </c>
      <c r="K63" s="74" t="s">
        <v>96</v>
      </c>
    </row>
    <row r="64" ht="19.5" customHeight="1">
      <c r="A64" s="46">
        <v>1.0</v>
      </c>
      <c r="B64" s="37" t="s">
        <v>1221</v>
      </c>
      <c r="C64" s="46" t="s">
        <v>108</v>
      </c>
      <c r="D64" s="78">
        <v>2.0</v>
      </c>
      <c r="E64" s="37"/>
      <c r="F64" s="78"/>
      <c r="G64" s="40"/>
      <c r="H64" s="40">
        <f>D64</f>
        <v>2</v>
      </c>
      <c r="I64" s="42"/>
      <c r="J64" s="40"/>
      <c r="K64" s="46"/>
    </row>
    <row r="65" ht="19.5" customHeight="1">
      <c r="A65" s="46"/>
      <c r="B65" s="37"/>
      <c r="C65" s="46"/>
      <c r="D65" s="78"/>
      <c r="E65" s="37"/>
      <c r="F65" s="78"/>
      <c r="G65" s="40"/>
      <c r="H65" s="40"/>
      <c r="I65" s="42"/>
      <c r="J65" s="43">
        <f>SUM(H64:H65)</f>
        <v>2</v>
      </c>
      <c r="K65" s="46"/>
    </row>
    <row r="66" ht="19.5" customHeight="1">
      <c r="A66" s="74" t="s">
        <v>1</v>
      </c>
      <c r="B66" s="74" t="s">
        <v>91</v>
      </c>
      <c r="C66" s="74" t="s">
        <v>92</v>
      </c>
      <c r="D66" s="74" t="s">
        <v>93</v>
      </c>
      <c r="E66" s="50" t="s">
        <v>97</v>
      </c>
      <c r="F66" s="53" t="s">
        <v>121</v>
      </c>
      <c r="G66" s="53" t="s">
        <v>99</v>
      </c>
      <c r="H66" s="75" t="s">
        <v>100</v>
      </c>
      <c r="I66" s="75" t="s">
        <v>101</v>
      </c>
      <c r="J66" s="76" t="s">
        <v>95</v>
      </c>
      <c r="K66" s="74" t="s">
        <v>96</v>
      </c>
    </row>
    <row r="67" ht="19.5" customHeight="1">
      <c r="A67" s="392" t="s">
        <v>1212</v>
      </c>
      <c r="B67" s="114" t="s">
        <v>1213</v>
      </c>
      <c r="C67" s="79"/>
      <c r="D67" s="122"/>
      <c r="E67" s="37"/>
      <c r="F67" s="78"/>
      <c r="G67" s="41"/>
      <c r="H67" s="59"/>
      <c r="I67" s="82"/>
      <c r="J67" s="121"/>
      <c r="K67" s="131"/>
    </row>
    <row r="68" ht="19.5" customHeight="1">
      <c r="A68" s="403" t="s">
        <v>1214</v>
      </c>
      <c r="B68" s="114" t="s">
        <v>1215</v>
      </c>
      <c r="C68" s="79"/>
      <c r="D68" s="122"/>
      <c r="E68" s="37"/>
      <c r="F68" s="78"/>
      <c r="G68" s="41"/>
      <c r="H68" s="59"/>
      <c r="I68" s="82"/>
      <c r="J68" s="121"/>
      <c r="K68" s="131"/>
    </row>
    <row r="69" ht="19.5" customHeight="1">
      <c r="A69" s="392"/>
      <c r="B69" s="37"/>
      <c r="C69" s="46" t="s">
        <v>103</v>
      </c>
      <c r="D69" s="78">
        <f>13+22+13+22</f>
        <v>70</v>
      </c>
      <c r="E69" s="49">
        <v>2.0</v>
      </c>
      <c r="F69" s="78"/>
      <c r="G69" s="41">
        <v>0.7</v>
      </c>
      <c r="H69" s="40">
        <f>G69*E69*D69</f>
        <v>98</v>
      </c>
      <c r="I69" s="42"/>
      <c r="J69" s="107"/>
      <c r="K69" s="131"/>
    </row>
    <row r="70" ht="19.5" customHeight="1">
      <c r="A70" s="74" t="s">
        <v>1</v>
      </c>
      <c r="B70" s="74" t="s">
        <v>91</v>
      </c>
      <c r="C70" s="74" t="s">
        <v>92</v>
      </c>
      <c r="D70" s="111" t="s">
        <v>93</v>
      </c>
      <c r="E70" s="50" t="s">
        <v>97</v>
      </c>
      <c r="F70" s="53" t="s">
        <v>121</v>
      </c>
      <c r="G70" s="53" t="s">
        <v>99</v>
      </c>
      <c r="H70" s="75" t="s">
        <v>100</v>
      </c>
      <c r="I70" s="75" t="s">
        <v>101</v>
      </c>
      <c r="J70" s="76" t="s">
        <v>95</v>
      </c>
      <c r="K70" s="74" t="s">
        <v>96</v>
      </c>
    </row>
    <row r="71" ht="19.5" customHeight="1">
      <c r="A71" s="403" t="s">
        <v>1222</v>
      </c>
      <c r="B71" s="49" t="s">
        <v>1223</v>
      </c>
      <c r="C71" s="79"/>
      <c r="D71" s="122"/>
      <c r="E71" s="37"/>
      <c r="F71" s="78"/>
      <c r="G71" s="405"/>
      <c r="H71" s="59"/>
      <c r="I71" s="82"/>
      <c r="J71" s="121"/>
      <c r="K71" s="131"/>
    </row>
    <row r="72" ht="19.5" customHeight="1">
      <c r="A72" s="403" t="s">
        <v>1224</v>
      </c>
      <c r="B72" s="49" t="s">
        <v>1225</v>
      </c>
      <c r="C72" s="46" t="s">
        <v>103</v>
      </c>
      <c r="D72" s="78"/>
      <c r="E72" s="37"/>
      <c r="F72" s="78"/>
      <c r="G72" s="405"/>
      <c r="H72" s="40">
        <f>G72*E72*D72</f>
        <v>0</v>
      </c>
      <c r="I72" s="42"/>
      <c r="J72" s="107"/>
      <c r="K72" s="131"/>
    </row>
    <row r="73" ht="19.5" customHeight="1">
      <c r="A73" s="46"/>
      <c r="B73" s="49" t="s">
        <v>1226</v>
      </c>
      <c r="C73" s="38" t="s">
        <v>103</v>
      </c>
      <c r="D73" s="405">
        <v>3.0</v>
      </c>
      <c r="E73" s="49">
        <f>(21.9+12.9)*2</f>
        <v>69.6</v>
      </c>
      <c r="F73" s="78"/>
      <c r="G73" s="405">
        <f>2*0.0254*3.14</f>
        <v>0.159512</v>
      </c>
      <c r="H73" s="40">
        <f t="shared" ref="H73:H75" si="4">D73*E73*G73</f>
        <v>33.3061056</v>
      </c>
      <c r="I73" s="42"/>
      <c r="J73" s="406"/>
      <c r="K73" s="79"/>
    </row>
    <row r="74" ht="19.5" customHeight="1">
      <c r="A74" s="46"/>
      <c r="B74" s="49" t="s">
        <v>1226</v>
      </c>
      <c r="C74" s="38" t="s">
        <v>103</v>
      </c>
      <c r="D74" s="405">
        <v>50.0</v>
      </c>
      <c r="E74" s="49">
        <v>5.9</v>
      </c>
      <c r="F74" s="78"/>
      <c r="G74" s="407">
        <f>(2*0.0254)^3.14</f>
        <v>0.00008637977263</v>
      </c>
      <c r="H74" s="40">
        <f t="shared" si="4"/>
        <v>0.02548203293</v>
      </c>
      <c r="I74" s="42"/>
      <c r="J74" s="406"/>
      <c r="K74" s="79"/>
    </row>
    <row r="75" ht="19.5" customHeight="1">
      <c r="A75" s="46"/>
      <c r="B75" s="49" t="s">
        <v>1219</v>
      </c>
      <c r="C75" s="38" t="s">
        <v>103</v>
      </c>
      <c r="D75" s="405">
        <v>2.0</v>
      </c>
      <c r="E75" s="49">
        <v>5.1</v>
      </c>
      <c r="F75" s="78"/>
      <c r="G75" s="405">
        <v>0.24</v>
      </c>
      <c r="H75" s="40">
        <f t="shared" si="4"/>
        <v>2.448</v>
      </c>
      <c r="I75" s="42"/>
      <c r="J75" s="406">
        <f>SUM(H72:H75)</f>
        <v>35.77958763</v>
      </c>
      <c r="K75" s="46">
        <f>J75*2</f>
        <v>71.55917527</v>
      </c>
    </row>
    <row r="76" ht="19.5" customHeight="1">
      <c r="A76" s="12"/>
      <c r="C76" s="12"/>
      <c r="D76" s="13"/>
      <c r="F76" s="14"/>
      <c r="G76" s="14"/>
      <c r="H76" s="14"/>
      <c r="I76" s="14"/>
      <c r="J76" s="14"/>
      <c r="K76" s="12"/>
    </row>
    <row r="77" ht="19.5" customHeight="1">
      <c r="A77" s="12"/>
      <c r="C77" s="12"/>
      <c r="D77" s="13"/>
      <c r="F77" s="14"/>
      <c r="G77" s="14"/>
      <c r="H77" s="14"/>
      <c r="I77" s="14"/>
      <c r="J77" s="14"/>
      <c r="K77" s="12"/>
    </row>
    <row r="78" ht="19.5" customHeight="1">
      <c r="A78" s="12"/>
      <c r="C78" s="12"/>
      <c r="D78" s="13"/>
      <c r="F78" s="14"/>
      <c r="G78" s="14"/>
      <c r="H78" s="14"/>
      <c r="I78" s="14"/>
      <c r="J78" s="14"/>
      <c r="K78" s="12"/>
    </row>
    <row r="79" ht="19.5" customHeight="1">
      <c r="A79" s="12"/>
      <c r="C79" s="12"/>
      <c r="D79" s="13"/>
      <c r="F79" s="14"/>
      <c r="G79" s="14"/>
      <c r="H79" s="14"/>
      <c r="I79" s="14"/>
      <c r="J79" s="14"/>
      <c r="K79" s="12"/>
    </row>
    <row r="80" ht="19.5" customHeight="1">
      <c r="A80" s="12"/>
      <c r="C80" s="12"/>
      <c r="D80" s="13"/>
      <c r="F80" s="14"/>
      <c r="G80" s="14"/>
      <c r="H80" s="14"/>
      <c r="I80" s="14"/>
      <c r="J80" s="14"/>
      <c r="K80" s="12"/>
    </row>
    <row r="81" ht="19.5" customHeight="1">
      <c r="A81" s="12"/>
      <c r="C81" s="12"/>
      <c r="D81" s="13"/>
      <c r="F81" s="14"/>
      <c r="G81" s="14"/>
      <c r="H81" s="14"/>
      <c r="I81" s="14"/>
      <c r="J81" s="14"/>
      <c r="K81" s="12"/>
    </row>
    <row r="82" ht="19.5" customHeight="1">
      <c r="A82" s="12"/>
      <c r="C82" s="12"/>
      <c r="D82" s="13"/>
      <c r="F82" s="14"/>
      <c r="G82" s="14"/>
      <c r="H82" s="14"/>
      <c r="I82" s="14"/>
      <c r="J82" s="14"/>
      <c r="K82" s="12"/>
    </row>
    <row r="83" ht="19.5" customHeight="1">
      <c r="A83" s="12"/>
      <c r="C83" s="12"/>
      <c r="D83" s="13"/>
      <c r="F83" s="14"/>
      <c r="G83" s="14"/>
      <c r="H83" s="14"/>
      <c r="I83" s="14"/>
      <c r="J83" s="14"/>
      <c r="K83" s="12"/>
    </row>
    <row r="84" ht="19.5" customHeight="1">
      <c r="A84" s="12"/>
      <c r="C84" s="12"/>
      <c r="D84" s="13"/>
      <c r="F84" s="14"/>
      <c r="G84" s="14"/>
      <c r="H84" s="14"/>
      <c r="I84" s="14"/>
      <c r="J84" s="14"/>
      <c r="K84" s="12"/>
    </row>
    <row r="85" ht="19.5" customHeight="1">
      <c r="A85" s="12"/>
      <c r="C85" s="12"/>
      <c r="D85" s="13"/>
      <c r="F85" s="14"/>
      <c r="G85" s="14"/>
      <c r="H85" s="14"/>
      <c r="I85" s="14"/>
      <c r="J85" s="14"/>
      <c r="K85" s="12"/>
    </row>
    <row r="86" ht="19.5" customHeight="1">
      <c r="A86" s="12"/>
      <c r="C86" s="12"/>
      <c r="D86" s="13"/>
      <c r="F86" s="14"/>
      <c r="G86" s="14"/>
      <c r="H86" s="14"/>
      <c r="I86" s="14"/>
      <c r="J86" s="14"/>
      <c r="K86" s="12"/>
    </row>
    <row r="87" ht="19.5" customHeight="1">
      <c r="A87" s="12"/>
      <c r="C87" s="12"/>
      <c r="D87" s="13"/>
      <c r="F87" s="14"/>
      <c r="G87" s="14"/>
      <c r="H87" s="14"/>
      <c r="I87" s="14"/>
      <c r="J87" s="14"/>
      <c r="K87" s="12"/>
    </row>
    <row r="88" ht="19.5" customHeight="1">
      <c r="A88" s="12"/>
      <c r="C88" s="12"/>
      <c r="D88" s="13"/>
      <c r="F88" s="14"/>
      <c r="G88" s="14"/>
      <c r="H88" s="14"/>
      <c r="I88" s="14"/>
      <c r="J88" s="14"/>
      <c r="K88" s="12"/>
    </row>
    <row r="89" ht="19.5" customHeight="1">
      <c r="A89" s="12"/>
      <c r="C89" s="12"/>
      <c r="D89" s="13"/>
      <c r="F89" s="14"/>
      <c r="G89" s="14"/>
      <c r="H89" s="14"/>
      <c r="I89" s="14"/>
      <c r="J89" s="14"/>
      <c r="K89" s="12"/>
    </row>
    <row r="90" ht="19.5" customHeight="1">
      <c r="A90" s="12"/>
      <c r="C90" s="12"/>
      <c r="D90" s="13"/>
      <c r="F90" s="14"/>
      <c r="G90" s="14"/>
      <c r="H90" s="14"/>
      <c r="I90" s="14"/>
      <c r="J90" s="14"/>
      <c r="K90" s="12"/>
    </row>
    <row r="91" ht="19.5" customHeight="1">
      <c r="A91" s="12"/>
      <c r="C91" s="12"/>
      <c r="D91" s="13"/>
      <c r="F91" s="14"/>
      <c r="G91" s="14"/>
      <c r="H91" s="14"/>
      <c r="I91" s="14"/>
      <c r="J91" s="14"/>
      <c r="K91" s="12"/>
    </row>
    <row r="92" ht="19.5" customHeight="1">
      <c r="A92" s="12"/>
      <c r="C92" s="12"/>
      <c r="D92" s="13"/>
      <c r="F92" s="14"/>
      <c r="G92" s="14"/>
      <c r="H92" s="14"/>
      <c r="I92" s="14"/>
      <c r="J92" s="14"/>
      <c r="K92" s="12"/>
    </row>
    <row r="93" ht="19.5" customHeight="1">
      <c r="A93" s="12"/>
      <c r="C93" s="12"/>
      <c r="D93" s="13"/>
      <c r="F93" s="14"/>
      <c r="G93" s="14"/>
      <c r="H93" s="14"/>
      <c r="I93" s="14"/>
      <c r="J93" s="14"/>
      <c r="K93" s="12"/>
    </row>
    <row r="94" ht="19.5" customHeight="1">
      <c r="A94" s="12"/>
      <c r="C94" s="12"/>
      <c r="D94" s="13"/>
      <c r="F94" s="14"/>
      <c r="G94" s="14"/>
      <c r="H94" s="14"/>
      <c r="I94" s="14"/>
      <c r="J94" s="14"/>
      <c r="K94" s="12"/>
    </row>
    <row r="95" ht="19.5" customHeight="1">
      <c r="A95" s="12"/>
      <c r="C95" s="12"/>
      <c r="D95" s="13"/>
      <c r="F95" s="14"/>
      <c r="G95" s="14"/>
      <c r="H95" s="14"/>
      <c r="I95" s="14"/>
      <c r="J95" s="14"/>
      <c r="K95" s="12"/>
    </row>
    <row r="96" ht="19.5" customHeight="1">
      <c r="A96" s="12"/>
      <c r="C96" s="12"/>
      <c r="D96" s="13"/>
      <c r="F96" s="14"/>
      <c r="G96" s="14"/>
      <c r="H96" s="14"/>
      <c r="I96" s="14"/>
      <c r="J96" s="14"/>
      <c r="K96" s="12"/>
    </row>
    <row r="97" ht="19.5" customHeight="1">
      <c r="A97" s="12"/>
      <c r="C97" s="12"/>
      <c r="D97" s="13"/>
      <c r="F97" s="14"/>
      <c r="G97" s="14"/>
      <c r="H97" s="14"/>
      <c r="I97" s="14"/>
      <c r="J97" s="14"/>
      <c r="K97" s="12"/>
    </row>
    <row r="98" ht="19.5" customHeight="1">
      <c r="A98" s="12"/>
      <c r="C98" s="12"/>
      <c r="D98" s="13"/>
      <c r="F98" s="14"/>
      <c r="G98" s="14"/>
      <c r="H98" s="14"/>
      <c r="I98" s="14"/>
      <c r="J98" s="14"/>
      <c r="K98" s="12"/>
    </row>
    <row r="99" ht="19.5" customHeight="1">
      <c r="A99" s="12"/>
      <c r="C99" s="12"/>
      <c r="D99" s="13"/>
      <c r="F99" s="14"/>
      <c r="G99" s="14"/>
      <c r="H99" s="14"/>
      <c r="I99" s="14"/>
      <c r="J99" s="14"/>
      <c r="K99" s="12"/>
    </row>
    <row r="100" ht="19.5" customHeight="1">
      <c r="A100" s="12"/>
      <c r="C100" s="12"/>
      <c r="D100" s="13"/>
      <c r="F100" s="14"/>
      <c r="G100" s="14"/>
      <c r="H100" s="14"/>
      <c r="I100" s="14"/>
      <c r="J100" s="14"/>
      <c r="K100" s="12"/>
    </row>
    <row r="101" ht="19.5" customHeight="1">
      <c r="A101" s="12"/>
      <c r="C101" s="12"/>
      <c r="D101" s="13"/>
      <c r="F101" s="14"/>
      <c r="G101" s="14"/>
      <c r="H101" s="14"/>
      <c r="I101" s="14"/>
      <c r="J101" s="14"/>
      <c r="K101" s="12"/>
    </row>
    <row r="102" ht="19.5" customHeight="1">
      <c r="A102" s="12"/>
      <c r="C102" s="12"/>
      <c r="D102" s="13"/>
      <c r="F102" s="14"/>
      <c r="G102" s="14"/>
      <c r="H102" s="14"/>
      <c r="I102" s="14"/>
      <c r="J102" s="14"/>
      <c r="K102" s="12"/>
    </row>
    <row r="103" ht="19.5" customHeight="1">
      <c r="A103" s="12"/>
      <c r="C103" s="12"/>
      <c r="D103" s="13"/>
      <c r="F103" s="14"/>
      <c r="G103" s="14"/>
      <c r="H103" s="14"/>
      <c r="I103" s="14"/>
      <c r="J103" s="14"/>
      <c r="K103" s="12"/>
    </row>
    <row r="104" ht="19.5" customHeight="1">
      <c r="A104" s="12"/>
      <c r="C104" s="12"/>
      <c r="D104" s="13"/>
      <c r="F104" s="14"/>
      <c r="G104" s="14"/>
      <c r="H104" s="14"/>
      <c r="I104" s="14"/>
      <c r="J104" s="14"/>
      <c r="K104" s="12"/>
    </row>
    <row r="105" ht="19.5" customHeight="1">
      <c r="A105" s="12"/>
      <c r="C105" s="12"/>
      <c r="D105" s="13"/>
      <c r="F105" s="14"/>
      <c r="G105" s="14"/>
      <c r="H105" s="14"/>
      <c r="I105" s="14"/>
      <c r="J105" s="14"/>
      <c r="K105" s="12"/>
    </row>
    <row r="106" ht="19.5" customHeight="1">
      <c r="A106" s="12"/>
      <c r="C106" s="12"/>
      <c r="D106" s="13"/>
      <c r="F106" s="14"/>
      <c r="G106" s="14"/>
      <c r="H106" s="14"/>
      <c r="I106" s="14"/>
      <c r="J106" s="14"/>
      <c r="K106" s="12"/>
    </row>
    <row r="107" ht="19.5" customHeight="1">
      <c r="A107" s="12"/>
      <c r="C107" s="12"/>
      <c r="D107" s="13"/>
      <c r="F107" s="14"/>
      <c r="G107" s="14"/>
      <c r="H107" s="14"/>
      <c r="I107" s="14"/>
      <c r="J107" s="14"/>
      <c r="K107" s="12"/>
    </row>
    <row r="108" ht="19.5" customHeight="1">
      <c r="A108" s="12"/>
      <c r="C108" s="12"/>
      <c r="D108" s="13"/>
      <c r="F108" s="14"/>
      <c r="G108" s="14"/>
      <c r="H108" s="14"/>
      <c r="I108" s="14"/>
      <c r="J108" s="14"/>
      <c r="K108" s="12"/>
    </row>
    <row r="109" ht="19.5" customHeight="1">
      <c r="A109" s="12"/>
      <c r="C109" s="12"/>
      <c r="D109" s="13"/>
      <c r="F109" s="14"/>
      <c r="G109" s="14"/>
      <c r="H109" s="14"/>
      <c r="I109" s="14"/>
      <c r="J109" s="14"/>
      <c r="K109" s="12"/>
    </row>
    <row r="110" ht="19.5" customHeight="1">
      <c r="A110" s="12"/>
      <c r="C110" s="12"/>
      <c r="D110" s="13"/>
      <c r="F110" s="14"/>
      <c r="G110" s="14"/>
      <c r="H110" s="14"/>
      <c r="I110" s="14"/>
      <c r="J110" s="14"/>
      <c r="K110" s="12"/>
    </row>
    <row r="111" ht="19.5" customHeight="1">
      <c r="A111" s="12"/>
      <c r="C111" s="12"/>
      <c r="D111" s="13"/>
      <c r="F111" s="14"/>
      <c r="G111" s="14"/>
      <c r="H111" s="14"/>
      <c r="I111" s="14"/>
      <c r="J111" s="14"/>
      <c r="K111" s="12"/>
    </row>
    <row r="112" ht="19.5" customHeight="1">
      <c r="A112" s="12"/>
      <c r="C112" s="12"/>
      <c r="D112" s="13"/>
      <c r="F112" s="14"/>
      <c r="G112" s="14"/>
      <c r="H112" s="14"/>
      <c r="I112" s="14"/>
      <c r="J112" s="14"/>
      <c r="K112" s="12"/>
    </row>
    <row r="113" ht="19.5" customHeight="1">
      <c r="A113" s="12"/>
      <c r="C113" s="12"/>
      <c r="D113" s="13"/>
      <c r="F113" s="14"/>
      <c r="G113" s="14"/>
      <c r="H113" s="14"/>
      <c r="I113" s="14"/>
      <c r="J113" s="14"/>
      <c r="K113" s="12"/>
    </row>
    <row r="114" ht="19.5" customHeight="1">
      <c r="A114" s="12"/>
      <c r="C114" s="12"/>
      <c r="D114" s="13"/>
      <c r="F114" s="14"/>
      <c r="G114" s="14"/>
      <c r="H114" s="14"/>
      <c r="I114" s="14"/>
      <c r="J114" s="14"/>
      <c r="K114" s="12"/>
    </row>
    <row r="115" ht="19.5" customHeight="1">
      <c r="A115" s="12"/>
      <c r="C115" s="12"/>
      <c r="D115" s="13"/>
      <c r="F115" s="14"/>
      <c r="G115" s="14"/>
      <c r="H115" s="14"/>
      <c r="I115" s="14"/>
      <c r="J115" s="14"/>
      <c r="K115" s="12"/>
    </row>
    <row r="116" ht="19.5" customHeight="1">
      <c r="A116" s="12"/>
      <c r="C116" s="12"/>
      <c r="D116" s="13"/>
      <c r="F116" s="14"/>
      <c r="G116" s="14"/>
      <c r="H116" s="14"/>
      <c r="I116" s="14"/>
      <c r="J116" s="14"/>
      <c r="K116" s="12"/>
    </row>
    <row r="117" ht="19.5" customHeight="1">
      <c r="A117" s="12"/>
      <c r="C117" s="12"/>
      <c r="D117" s="13"/>
      <c r="F117" s="14"/>
      <c r="G117" s="14"/>
      <c r="H117" s="14"/>
      <c r="I117" s="14"/>
      <c r="J117" s="14"/>
      <c r="K117" s="12"/>
    </row>
    <row r="118" ht="19.5" customHeight="1">
      <c r="A118" s="12"/>
      <c r="C118" s="12"/>
      <c r="D118" s="13"/>
      <c r="F118" s="14"/>
      <c r="G118" s="14"/>
      <c r="H118" s="14"/>
      <c r="I118" s="14"/>
      <c r="J118" s="14"/>
      <c r="K118" s="12"/>
    </row>
    <row r="119" ht="19.5" customHeight="1">
      <c r="A119" s="12"/>
      <c r="C119" s="12"/>
      <c r="D119" s="13"/>
      <c r="F119" s="14"/>
      <c r="G119" s="14"/>
      <c r="H119" s="14"/>
      <c r="I119" s="14"/>
      <c r="J119" s="14"/>
      <c r="K119" s="12"/>
    </row>
    <row r="120" ht="19.5" customHeight="1">
      <c r="A120" s="12"/>
      <c r="C120" s="12"/>
      <c r="D120" s="13"/>
      <c r="F120" s="14"/>
      <c r="G120" s="14"/>
      <c r="H120" s="14"/>
      <c r="I120" s="14"/>
      <c r="J120" s="14"/>
      <c r="K120" s="12"/>
    </row>
    <row r="121" ht="19.5" customHeight="1">
      <c r="A121" s="12"/>
      <c r="C121" s="12"/>
      <c r="D121" s="13"/>
      <c r="F121" s="14"/>
      <c r="G121" s="14"/>
      <c r="H121" s="14"/>
      <c r="I121" s="14"/>
      <c r="J121" s="14"/>
      <c r="K121" s="12"/>
    </row>
    <row r="122" ht="19.5" customHeight="1">
      <c r="A122" s="12"/>
      <c r="C122" s="12"/>
      <c r="D122" s="13"/>
      <c r="F122" s="14"/>
      <c r="G122" s="14"/>
      <c r="H122" s="14"/>
      <c r="I122" s="14"/>
      <c r="J122" s="14"/>
      <c r="K122" s="12"/>
    </row>
    <row r="123" ht="19.5" customHeight="1">
      <c r="A123" s="12"/>
      <c r="C123" s="12"/>
      <c r="D123" s="13"/>
      <c r="F123" s="14"/>
      <c r="G123" s="14"/>
      <c r="H123" s="14"/>
      <c r="I123" s="14"/>
      <c r="J123" s="14"/>
      <c r="K123" s="12"/>
    </row>
    <row r="124" ht="19.5" customHeight="1">
      <c r="A124" s="12"/>
      <c r="C124" s="12"/>
      <c r="D124" s="13"/>
      <c r="F124" s="14"/>
      <c r="G124" s="14"/>
      <c r="H124" s="14"/>
      <c r="I124" s="14"/>
      <c r="J124" s="14"/>
      <c r="K124" s="12"/>
    </row>
    <row r="125" ht="19.5" customHeight="1">
      <c r="A125" s="12"/>
      <c r="C125" s="12"/>
      <c r="D125" s="13"/>
      <c r="F125" s="14"/>
      <c r="G125" s="14"/>
      <c r="H125" s="14"/>
      <c r="I125" s="14"/>
      <c r="J125" s="14"/>
      <c r="K125" s="12"/>
    </row>
    <row r="126" ht="19.5" customHeight="1">
      <c r="A126" s="12"/>
      <c r="C126" s="12"/>
      <c r="D126" s="13"/>
      <c r="F126" s="14"/>
      <c r="G126" s="14"/>
      <c r="H126" s="14"/>
      <c r="I126" s="14"/>
      <c r="J126" s="14"/>
      <c r="K126" s="12"/>
    </row>
    <row r="127" ht="19.5" customHeight="1">
      <c r="A127" s="12"/>
      <c r="C127" s="12"/>
      <c r="D127" s="13"/>
      <c r="F127" s="14"/>
      <c r="G127" s="14"/>
      <c r="H127" s="14"/>
      <c r="I127" s="14"/>
      <c r="J127" s="14"/>
      <c r="K127" s="12"/>
    </row>
    <row r="128" ht="19.5" customHeight="1">
      <c r="A128" s="12"/>
      <c r="C128" s="12"/>
      <c r="D128" s="13"/>
      <c r="F128" s="14"/>
      <c r="G128" s="14"/>
      <c r="H128" s="14"/>
      <c r="I128" s="14"/>
      <c r="J128" s="14"/>
      <c r="K128" s="12"/>
    </row>
    <row r="129" ht="19.5" customHeight="1">
      <c r="A129" s="12"/>
      <c r="C129" s="12"/>
      <c r="D129" s="13"/>
      <c r="F129" s="14"/>
      <c r="G129" s="14"/>
      <c r="H129" s="14"/>
      <c r="I129" s="14"/>
      <c r="J129" s="14"/>
      <c r="K129" s="12"/>
    </row>
    <row r="130" ht="19.5" customHeight="1">
      <c r="A130" s="12"/>
      <c r="C130" s="12"/>
      <c r="D130" s="13"/>
      <c r="F130" s="14"/>
      <c r="G130" s="14"/>
      <c r="H130" s="14"/>
      <c r="I130" s="14"/>
      <c r="J130" s="14"/>
      <c r="K130" s="12"/>
    </row>
    <row r="131" ht="19.5" customHeight="1">
      <c r="A131" s="12"/>
      <c r="C131" s="12"/>
      <c r="D131" s="13"/>
      <c r="F131" s="14"/>
      <c r="G131" s="14"/>
      <c r="H131" s="14"/>
      <c r="I131" s="14"/>
      <c r="J131" s="14"/>
      <c r="K131" s="12"/>
    </row>
    <row r="132" ht="19.5" customHeight="1">
      <c r="A132" s="12"/>
      <c r="C132" s="12"/>
      <c r="D132" s="13"/>
      <c r="F132" s="14"/>
      <c r="G132" s="14"/>
      <c r="H132" s="14"/>
      <c r="I132" s="14"/>
      <c r="J132" s="14"/>
      <c r="K132" s="12"/>
    </row>
    <row r="133" ht="19.5" customHeight="1">
      <c r="A133" s="12"/>
      <c r="C133" s="12"/>
      <c r="D133" s="13"/>
      <c r="F133" s="14"/>
      <c r="G133" s="14"/>
      <c r="H133" s="14"/>
      <c r="I133" s="14"/>
      <c r="J133" s="14"/>
      <c r="K133" s="12"/>
    </row>
    <row r="134" ht="19.5" customHeight="1">
      <c r="A134" s="12"/>
      <c r="C134" s="12"/>
      <c r="D134" s="13"/>
      <c r="F134" s="14"/>
      <c r="G134" s="14"/>
      <c r="H134" s="14"/>
      <c r="I134" s="14"/>
      <c r="J134" s="14"/>
      <c r="K134" s="12"/>
    </row>
    <row r="135" ht="19.5" customHeight="1">
      <c r="A135" s="12"/>
      <c r="C135" s="12"/>
      <c r="D135" s="13"/>
      <c r="F135" s="14"/>
      <c r="G135" s="14"/>
      <c r="H135" s="14"/>
      <c r="I135" s="14"/>
      <c r="J135" s="14"/>
      <c r="K135" s="12"/>
    </row>
    <row r="136" ht="19.5" customHeight="1">
      <c r="A136" s="12"/>
      <c r="C136" s="12"/>
      <c r="D136" s="13"/>
      <c r="F136" s="14"/>
      <c r="G136" s="14"/>
      <c r="H136" s="14"/>
      <c r="I136" s="14"/>
      <c r="J136" s="14"/>
      <c r="K136" s="12"/>
    </row>
    <row r="137" ht="19.5" customHeight="1">
      <c r="A137" s="12"/>
      <c r="C137" s="12"/>
      <c r="D137" s="13"/>
      <c r="F137" s="14"/>
      <c r="G137" s="14"/>
      <c r="H137" s="14"/>
      <c r="I137" s="14"/>
      <c r="J137" s="14"/>
      <c r="K137" s="12"/>
    </row>
    <row r="138" ht="19.5" customHeight="1">
      <c r="A138" s="12"/>
      <c r="C138" s="12"/>
      <c r="D138" s="13"/>
      <c r="F138" s="14"/>
      <c r="G138" s="14"/>
      <c r="H138" s="14"/>
      <c r="I138" s="14"/>
      <c r="J138" s="14"/>
      <c r="K138" s="12"/>
    </row>
    <row r="139" ht="19.5" customHeight="1">
      <c r="A139" s="12"/>
      <c r="C139" s="12"/>
      <c r="D139" s="13"/>
      <c r="F139" s="14"/>
      <c r="G139" s="14"/>
      <c r="H139" s="14"/>
      <c r="I139" s="14"/>
      <c r="J139" s="14"/>
      <c r="K139" s="12"/>
    </row>
    <row r="140" ht="19.5" customHeight="1">
      <c r="A140" s="12"/>
      <c r="C140" s="12"/>
      <c r="D140" s="13"/>
      <c r="F140" s="14"/>
      <c r="G140" s="14"/>
      <c r="H140" s="14"/>
      <c r="I140" s="14"/>
      <c r="J140" s="14"/>
      <c r="K140" s="12"/>
    </row>
    <row r="141" ht="19.5" customHeight="1">
      <c r="A141" s="12"/>
      <c r="C141" s="12"/>
      <c r="D141" s="13"/>
      <c r="F141" s="14"/>
      <c r="G141" s="14"/>
      <c r="H141" s="14"/>
      <c r="I141" s="14"/>
      <c r="J141" s="14"/>
      <c r="K141" s="12"/>
    </row>
    <row r="142" ht="19.5" customHeight="1">
      <c r="A142" s="12"/>
      <c r="C142" s="12"/>
      <c r="D142" s="13"/>
      <c r="F142" s="14"/>
      <c r="G142" s="14"/>
      <c r="H142" s="14"/>
      <c r="I142" s="14"/>
      <c r="J142" s="14"/>
      <c r="K142" s="12"/>
    </row>
    <row r="143" ht="19.5" customHeight="1">
      <c r="A143" s="12"/>
      <c r="C143" s="12"/>
      <c r="D143" s="13"/>
      <c r="F143" s="14"/>
      <c r="G143" s="14"/>
      <c r="H143" s="14"/>
      <c r="I143" s="14"/>
      <c r="J143" s="14"/>
      <c r="K143" s="12"/>
    </row>
    <row r="144" ht="19.5" customHeight="1">
      <c r="A144" s="12"/>
      <c r="C144" s="12"/>
      <c r="D144" s="13"/>
      <c r="F144" s="14"/>
      <c r="G144" s="14"/>
      <c r="H144" s="14"/>
      <c r="I144" s="14"/>
      <c r="J144" s="14"/>
      <c r="K144" s="12"/>
    </row>
    <row r="145" ht="19.5" customHeight="1">
      <c r="A145" s="12"/>
      <c r="C145" s="12"/>
      <c r="D145" s="13"/>
      <c r="F145" s="14"/>
      <c r="G145" s="14"/>
      <c r="H145" s="14"/>
      <c r="I145" s="14"/>
      <c r="J145" s="14"/>
      <c r="K145" s="12"/>
    </row>
    <row r="146" ht="19.5" customHeight="1">
      <c r="A146" s="12"/>
      <c r="C146" s="12"/>
      <c r="D146" s="13"/>
      <c r="F146" s="14"/>
      <c r="G146" s="14"/>
      <c r="H146" s="14"/>
      <c r="I146" s="14"/>
      <c r="J146" s="14"/>
      <c r="K146" s="12"/>
    </row>
    <row r="147" ht="19.5" customHeight="1">
      <c r="A147" s="12"/>
      <c r="C147" s="12"/>
      <c r="D147" s="13"/>
      <c r="F147" s="14"/>
      <c r="G147" s="14"/>
      <c r="H147" s="14"/>
      <c r="I147" s="14"/>
      <c r="J147" s="14"/>
      <c r="K147" s="12"/>
    </row>
    <row r="148" ht="19.5" customHeight="1">
      <c r="A148" s="12"/>
      <c r="C148" s="12"/>
      <c r="D148" s="13"/>
      <c r="F148" s="14"/>
      <c r="G148" s="14"/>
      <c r="H148" s="14"/>
      <c r="I148" s="14"/>
      <c r="J148" s="14"/>
      <c r="K148" s="12"/>
    </row>
    <row r="149" ht="19.5" customHeight="1">
      <c r="A149" s="12"/>
      <c r="C149" s="12"/>
      <c r="D149" s="13"/>
      <c r="F149" s="14"/>
      <c r="G149" s="14"/>
      <c r="H149" s="14"/>
      <c r="I149" s="14"/>
      <c r="J149" s="14"/>
      <c r="K149" s="12"/>
    </row>
    <row r="150" ht="19.5" customHeight="1">
      <c r="A150" s="12"/>
      <c r="C150" s="12"/>
      <c r="D150" s="13"/>
      <c r="F150" s="14"/>
      <c r="G150" s="14"/>
      <c r="H150" s="14"/>
      <c r="I150" s="14"/>
      <c r="J150" s="14"/>
      <c r="K150" s="12"/>
    </row>
    <row r="151" ht="19.5" customHeight="1">
      <c r="A151" s="12"/>
      <c r="C151" s="12"/>
      <c r="D151" s="13"/>
      <c r="F151" s="14"/>
      <c r="G151" s="14"/>
      <c r="H151" s="14"/>
      <c r="I151" s="14"/>
      <c r="J151" s="14"/>
      <c r="K151" s="12"/>
    </row>
    <row r="152" ht="19.5" customHeight="1">
      <c r="A152" s="12"/>
      <c r="C152" s="12"/>
      <c r="D152" s="13"/>
      <c r="F152" s="14"/>
      <c r="G152" s="14"/>
      <c r="H152" s="14"/>
      <c r="I152" s="14"/>
      <c r="J152" s="14"/>
      <c r="K152" s="12"/>
    </row>
    <row r="153" ht="19.5" customHeight="1">
      <c r="A153" s="12"/>
      <c r="C153" s="12"/>
      <c r="D153" s="13"/>
      <c r="F153" s="14"/>
      <c r="G153" s="14"/>
      <c r="H153" s="14"/>
      <c r="I153" s="14"/>
      <c r="J153" s="14"/>
      <c r="K153" s="12"/>
    </row>
    <row r="154" ht="19.5" customHeight="1">
      <c r="A154" s="12"/>
      <c r="C154" s="12"/>
      <c r="D154" s="13"/>
      <c r="F154" s="14"/>
      <c r="G154" s="14"/>
      <c r="H154" s="14"/>
      <c r="I154" s="14"/>
      <c r="J154" s="14"/>
      <c r="K154" s="12"/>
    </row>
    <row r="155" ht="19.5" customHeight="1">
      <c r="A155" s="12"/>
      <c r="C155" s="12"/>
      <c r="D155" s="13"/>
      <c r="F155" s="14"/>
      <c r="G155" s="14"/>
      <c r="H155" s="14"/>
      <c r="I155" s="14"/>
      <c r="J155" s="14"/>
      <c r="K155" s="12"/>
    </row>
    <row r="156" ht="19.5" customHeight="1">
      <c r="A156" s="12"/>
      <c r="C156" s="12"/>
      <c r="D156" s="13"/>
      <c r="F156" s="14"/>
      <c r="G156" s="14"/>
      <c r="H156" s="14"/>
      <c r="I156" s="14"/>
      <c r="J156" s="14"/>
      <c r="K156" s="12"/>
    </row>
    <row r="157" ht="19.5" customHeight="1">
      <c r="A157" s="12"/>
      <c r="C157" s="12"/>
      <c r="D157" s="13"/>
      <c r="F157" s="14"/>
      <c r="G157" s="14"/>
      <c r="H157" s="14"/>
      <c r="I157" s="14"/>
      <c r="J157" s="14"/>
      <c r="K157" s="12"/>
    </row>
    <row r="158" ht="19.5" customHeight="1">
      <c r="A158" s="12"/>
      <c r="C158" s="12"/>
      <c r="D158" s="13"/>
      <c r="F158" s="14"/>
      <c r="G158" s="14"/>
      <c r="H158" s="14"/>
      <c r="I158" s="14"/>
      <c r="J158" s="14"/>
      <c r="K158" s="12"/>
    </row>
    <row r="159" ht="19.5" customHeight="1">
      <c r="A159" s="12"/>
      <c r="C159" s="12"/>
      <c r="D159" s="13"/>
      <c r="F159" s="14"/>
      <c r="G159" s="14"/>
      <c r="H159" s="14"/>
      <c r="I159" s="14"/>
      <c r="J159" s="14"/>
      <c r="K159" s="12"/>
    </row>
    <row r="160" ht="19.5" customHeight="1">
      <c r="A160" s="12"/>
      <c r="C160" s="12"/>
      <c r="D160" s="13"/>
      <c r="F160" s="14"/>
      <c r="G160" s="14"/>
      <c r="H160" s="14"/>
      <c r="I160" s="14"/>
      <c r="J160" s="14"/>
      <c r="K160" s="12"/>
    </row>
    <row r="161" ht="19.5" customHeight="1">
      <c r="A161" s="12"/>
      <c r="C161" s="12"/>
      <c r="D161" s="13"/>
      <c r="F161" s="14"/>
      <c r="G161" s="14"/>
      <c r="H161" s="14"/>
      <c r="I161" s="14"/>
      <c r="J161" s="14"/>
      <c r="K161" s="12"/>
    </row>
    <row r="162" ht="19.5" customHeight="1">
      <c r="A162" s="12"/>
      <c r="C162" s="12"/>
      <c r="D162" s="13"/>
      <c r="F162" s="14"/>
      <c r="G162" s="14"/>
      <c r="H162" s="14"/>
      <c r="I162" s="14"/>
      <c r="J162" s="14"/>
      <c r="K162" s="12"/>
    </row>
    <row r="163" ht="19.5" customHeight="1">
      <c r="A163" s="12"/>
      <c r="C163" s="12"/>
      <c r="D163" s="13"/>
      <c r="F163" s="14"/>
      <c r="G163" s="14"/>
      <c r="H163" s="14"/>
      <c r="I163" s="14"/>
      <c r="J163" s="14"/>
      <c r="K163" s="12"/>
    </row>
    <row r="164" ht="19.5" customHeight="1">
      <c r="A164" s="12"/>
      <c r="C164" s="12"/>
      <c r="D164" s="13"/>
      <c r="F164" s="14"/>
      <c r="G164" s="14"/>
      <c r="H164" s="14"/>
      <c r="I164" s="14"/>
      <c r="J164" s="14"/>
      <c r="K164" s="12"/>
    </row>
    <row r="165" ht="19.5" customHeight="1">
      <c r="A165" s="12"/>
      <c r="C165" s="12"/>
      <c r="D165" s="13"/>
      <c r="F165" s="14"/>
      <c r="G165" s="14"/>
      <c r="H165" s="14"/>
      <c r="I165" s="14"/>
      <c r="J165" s="14"/>
      <c r="K165" s="12"/>
    </row>
    <row r="166" ht="19.5" customHeight="1">
      <c r="A166" s="12"/>
      <c r="C166" s="12"/>
      <c r="D166" s="13"/>
      <c r="F166" s="14"/>
      <c r="G166" s="14"/>
      <c r="H166" s="14"/>
      <c r="I166" s="14"/>
      <c r="J166" s="14"/>
      <c r="K166" s="12"/>
    </row>
    <row r="167" ht="19.5" customHeight="1">
      <c r="A167" s="12"/>
      <c r="C167" s="12"/>
      <c r="D167" s="13"/>
      <c r="F167" s="14"/>
      <c r="G167" s="14"/>
      <c r="H167" s="14"/>
      <c r="I167" s="14"/>
      <c r="J167" s="14"/>
      <c r="K167" s="12"/>
    </row>
    <row r="168" ht="19.5" customHeight="1">
      <c r="A168" s="12"/>
      <c r="C168" s="12"/>
      <c r="D168" s="13"/>
      <c r="F168" s="14"/>
      <c r="G168" s="14"/>
      <c r="H168" s="14"/>
      <c r="I168" s="14"/>
      <c r="J168" s="14"/>
      <c r="K168" s="12"/>
    </row>
    <row r="169" ht="19.5" customHeight="1">
      <c r="A169" s="12"/>
      <c r="C169" s="12"/>
      <c r="D169" s="13"/>
      <c r="F169" s="14"/>
      <c r="G169" s="14"/>
      <c r="H169" s="14"/>
      <c r="I169" s="14"/>
      <c r="J169" s="14"/>
      <c r="K169" s="12"/>
    </row>
    <row r="170" ht="19.5" customHeight="1">
      <c r="A170" s="12"/>
      <c r="C170" s="12"/>
      <c r="D170" s="13"/>
      <c r="F170" s="14"/>
      <c r="G170" s="14"/>
      <c r="H170" s="14"/>
      <c r="I170" s="14"/>
      <c r="J170" s="14"/>
      <c r="K170" s="12"/>
    </row>
    <row r="171" ht="19.5" customHeight="1">
      <c r="A171" s="12"/>
      <c r="C171" s="12"/>
      <c r="D171" s="13"/>
      <c r="F171" s="14"/>
      <c r="G171" s="14"/>
      <c r="H171" s="14"/>
      <c r="I171" s="14"/>
      <c r="J171" s="14"/>
      <c r="K171" s="12"/>
    </row>
    <row r="172" ht="19.5" customHeight="1">
      <c r="A172" s="12"/>
      <c r="C172" s="12"/>
      <c r="D172" s="13"/>
      <c r="F172" s="14"/>
      <c r="G172" s="14"/>
      <c r="H172" s="14"/>
      <c r="I172" s="14"/>
      <c r="J172" s="14"/>
      <c r="K172" s="12"/>
    </row>
    <row r="173" ht="19.5" customHeight="1">
      <c r="A173" s="12"/>
      <c r="C173" s="12"/>
      <c r="D173" s="13"/>
      <c r="F173" s="14"/>
      <c r="G173" s="14"/>
      <c r="H173" s="14"/>
      <c r="I173" s="14"/>
      <c r="J173" s="14"/>
      <c r="K173" s="12"/>
    </row>
    <row r="174" ht="19.5" customHeight="1">
      <c r="A174" s="12"/>
      <c r="C174" s="12"/>
      <c r="D174" s="13"/>
      <c r="F174" s="14"/>
      <c r="G174" s="14"/>
      <c r="H174" s="14"/>
      <c r="I174" s="14"/>
      <c r="J174" s="14"/>
      <c r="K174" s="12"/>
    </row>
    <row r="175" ht="19.5" customHeight="1">
      <c r="A175" s="12"/>
      <c r="C175" s="12"/>
      <c r="D175" s="13"/>
      <c r="F175" s="14"/>
      <c r="G175" s="14"/>
      <c r="H175" s="14"/>
      <c r="I175" s="14"/>
      <c r="J175" s="14"/>
      <c r="K175" s="12"/>
    </row>
    <row r="176" ht="19.5" customHeight="1">
      <c r="A176" s="12"/>
      <c r="C176" s="12"/>
      <c r="D176" s="13"/>
      <c r="F176" s="14"/>
      <c r="G176" s="14"/>
      <c r="H176" s="14"/>
      <c r="I176" s="14"/>
      <c r="J176" s="14"/>
      <c r="K176" s="12"/>
    </row>
    <row r="177" ht="19.5" customHeight="1">
      <c r="A177" s="12"/>
      <c r="C177" s="12"/>
      <c r="D177" s="13"/>
      <c r="F177" s="14"/>
      <c r="G177" s="14"/>
      <c r="H177" s="14"/>
      <c r="I177" s="14"/>
      <c r="J177" s="14"/>
      <c r="K177" s="12"/>
    </row>
    <row r="178" ht="19.5" customHeight="1">
      <c r="A178" s="12"/>
      <c r="C178" s="12"/>
      <c r="D178" s="13"/>
      <c r="F178" s="14"/>
      <c r="G178" s="14"/>
      <c r="H178" s="14"/>
      <c r="I178" s="14"/>
      <c r="J178" s="14"/>
      <c r="K178" s="12"/>
    </row>
    <row r="179" ht="19.5" customHeight="1">
      <c r="A179" s="12"/>
      <c r="C179" s="12"/>
      <c r="D179" s="13"/>
      <c r="F179" s="14"/>
      <c r="G179" s="14"/>
      <c r="H179" s="14"/>
      <c r="I179" s="14"/>
      <c r="J179" s="14"/>
      <c r="K179" s="12"/>
    </row>
    <row r="180" ht="19.5" customHeight="1">
      <c r="A180" s="12"/>
      <c r="C180" s="12"/>
      <c r="D180" s="13"/>
      <c r="F180" s="14"/>
      <c r="G180" s="14"/>
      <c r="H180" s="14"/>
      <c r="I180" s="14"/>
      <c r="J180" s="14"/>
      <c r="K180" s="12"/>
    </row>
    <row r="181" ht="19.5" customHeight="1">
      <c r="A181" s="12"/>
      <c r="C181" s="12"/>
      <c r="D181" s="13"/>
      <c r="F181" s="14"/>
      <c r="G181" s="14"/>
      <c r="H181" s="14"/>
      <c r="I181" s="14"/>
      <c r="J181" s="14"/>
      <c r="K181" s="12"/>
    </row>
    <row r="182" ht="19.5" customHeight="1">
      <c r="A182" s="12"/>
      <c r="C182" s="12"/>
      <c r="D182" s="13"/>
      <c r="F182" s="14"/>
      <c r="G182" s="14"/>
      <c r="H182" s="14"/>
      <c r="I182" s="14"/>
      <c r="J182" s="14"/>
      <c r="K182" s="12"/>
    </row>
    <row r="183" ht="19.5" customHeight="1">
      <c r="A183" s="12"/>
      <c r="C183" s="12"/>
      <c r="D183" s="13"/>
      <c r="F183" s="14"/>
      <c r="G183" s="14"/>
      <c r="H183" s="14"/>
      <c r="I183" s="14"/>
      <c r="J183" s="14"/>
      <c r="K183" s="12"/>
    </row>
    <row r="184" ht="19.5" customHeight="1">
      <c r="A184" s="12"/>
      <c r="C184" s="12"/>
      <c r="D184" s="13"/>
      <c r="F184" s="14"/>
      <c r="G184" s="14"/>
      <c r="H184" s="14"/>
      <c r="I184" s="14"/>
      <c r="J184" s="14"/>
      <c r="K184" s="12"/>
    </row>
    <row r="185" ht="19.5" customHeight="1">
      <c r="A185" s="12"/>
      <c r="C185" s="12"/>
      <c r="D185" s="13"/>
      <c r="F185" s="14"/>
      <c r="G185" s="14"/>
      <c r="H185" s="14"/>
      <c r="I185" s="14"/>
      <c r="J185" s="14"/>
      <c r="K185" s="12"/>
    </row>
    <row r="186" ht="19.5" customHeight="1">
      <c r="A186" s="12"/>
      <c r="C186" s="12"/>
      <c r="D186" s="13"/>
      <c r="F186" s="14"/>
      <c r="G186" s="14"/>
      <c r="H186" s="14"/>
      <c r="I186" s="14"/>
      <c r="J186" s="14"/>
      <c r="K186" s="12"/>
    </row>
    <row r="187" ht="19.5" customHeight="1">
      <c r="A187" s="12"/>
      <c r="C187" s="12"/>
      <c r="D187" s="13"/>
      <c r="F187" s="14"/>
      <c r="G187" s="14"/>
      <c r="H187" s="14"/>
      <c r="I187" s="14"/>
      <c r="J187" s="14"/>
      <c r="K187" s="12"/>
    </row>
    <row r="188" ht="19.5" customHeight="1">
      <c r="A188" s="12"/>
      <c r="C188" s="12"/>
      <c r="D188" s="13"/>
      <c r="F188" s="14"/>
      <c r="G188" s="14"/>
      <c r="H188" s="14"/>
      <c r="I188" s="14"/>
      <c r="J188" s="14"/>
      <c r="K188" s="12"/>
    </row>
    <row r="189" ht="19.5" customHeight="1">
      <c r="A189" s="12"/>
      <c r="C189" s="12"/>
      <c r="D189" s="13"/>
      <c r="F189" s="14"/>
      <c r="G189" s="14"/>
      <c r="H189" s="14"/>
      <c r="I189" s="14"/>
      <c r="J189" s="14"/>
      <c r="K189" s="12"/>
    </row>
    <row r="190" ht="19.5" customHeight="1">
      <c r="A190" s="12"/>
      <c r="C190" s="12"/>
      <c r="D190" s="13"/>
      <c r="F190" s="14"/>
      <c r="G190" s="14"/>
      <c r="H190" s="14"/>
      <c r="I190" s="14"/>
      <c r="J190" s="14"/>
      <c r="K190" s="12"/>
    </row>
    <row r="191" ht="19.5" customHeight="1">
      <c r="A191" s="12"/>
      <c r="C191" s="12"/>
      <c r="D191" s="13"/>
      <c r="F191" s="14"/>
      <c r="G191" s="14"/>
      <c r="H191" s="14"/>
      <c r="I191" s="14"/>
      <c r="J191" s="14"/>
      <c r="K191" s="12"/>
    </row>
    <row r="192" ht="19.5" customHeight="1">
      <c r="A192" s="12"/>
      <c r="C192" s="12"/>
      <c r="D192" s="13"/>
      <c r="F192" s="14"/>
      <c r="G192" s="14"/>
      <c r="H192" s="14"/>
      <c r="I192" s="14"/>
      <c r="J192" s="14"/>
      <c r="K192" s="12"/>
    </row>
    <row r="193" ht="19.5" customHeight="1">
      <c r="A193" s="12"/>
      <c r="C193" s="12"/>
      <c r="D193" s="13"/>
      <c r="F193" s="14"/>
      <c r="G193" s="14"/>
      <c r="H193" s="14"/>
      <c r="I193" s="14"/>
      <c r="J193" s="14"/>
      <c r="K193" s="12"/>
    </row>
    <row r="194" ht="19.5" customHeight="1">
      <c r="A194" s="12"/>
      <c r="C194" s="12"/>
      <c r="D194" s="13"/>
      <c r="F194" s="14"/>
      <c r="G194" s="14"/>
      <c r="H194" s="14"/>
      <c r="I194" s="14"/>
      <c r="J194" s="14"/>
      <c r="K194" s="12"/>
    </row>
    <row r="195" ht="19.5" customHeight="1">
      <c r="A195" s="12"/>
      <c r="C195" s="12"/>
      <c r="D195" s="13"/>
      <c r="F195" s="14"/>
      <c r="G195" s="14"/>
      <c r="H195" s="14"/>
      <c r="I195" s="14"/>
      <c r="J195" s="14"/>
      <c r="K195" s="12"/>
    </row>
    <row r="196" ht="19.5" customHeight="1">
      <c r="A196" s="12"/>
      <c r="C196" s="12"/>
      <c r="D196" s="13"/>
      <c r="F196" s="14"/>
      <c r="G196" s="14"/>
      <c r="H196" s="14"/>
      <c r="I196" s="14"/>
      <c r="J196" s="14"/>
      <c r="K196" s="12"/>
    </row>
    <row r="197" ht="19.5" customHeight="1">
      <c r="A197" s="12"/>
      <c r="C197" s="12"/>
      <c r="D197" s="13"/>
      <c r="F197" s="14"/>
      <c r="G197" s="14"/>
      <c r="H197" s="14"/>
      <c r="I197" s="14"/>
      <c r="J197" s="14"/>
      <c r="K197" s="12"/>
    </row>
    <row r="198" ht="19.5" customHeight="1">
      <c r="A198" s="12"/>
      <c r="C198" s="12"/>
      <c r="D198" s="13"/>
      <c r="F198" s="14"/>
      <c r="G198" s="14"/>
      <c r="H198" s="14"/>
      <c r="I198" s="14"/>
      <c r="J198" s="14"/>
      <c r="K198" s="12"/>
    </row>
    <row r="199" ht="19.5" customHeight="1">
      <c r="A199" s="12"/>
      <c r="C199" s="12"/>
      <c r="D199" s="13"/>
      <c r="F199" s="14"/>
      <c r="G199" s="14"/>
      <c r="H199" s="14"/>
      <c r="I199" s="14"/>
      <c r="J199" s="14"/>
      <c r="K199" s="12"/>
    </row>
    <row r="200" ht="19.5" customHeight="1">
      <c r="A200" s="12"/>
      <c r="C200" s="12"/>
      <c r="D200" s="13"/>
      <c r="F200" s="14"/>
      <c r="G200" s="14"/>
      <c r="H200" s="14"/>
      <c r="I200" s="14"/>
      <c r="J200" s="14"/>
      <c r="K200" s="12"/>
    </row>
    <row r="201" ht="19.5" customHeight="1">
      <c r="A201" s="12"/>
      <c r="C201" s="12"/>
      <c r="D201" s="13"/>
      <c r="F201" s="14"/>
      <c r="G201" s="14"/>
      <c r="H201" s="14"/>
      <c r="I201" s="14"/>
      <c r="J201" s="14"/>
      <c r="K201" s="12"/>
    </row>
    <row r="202" ht="19.5" customHeight="1">
      <c r="A202" s="12"/>
      <c r="C202" s="12"/>
      <c r="D202" s="13"/>
      <c r="F202" s="14"/>
      <c r="G202" s="14"/>
      <c r="H202" s="14"/>
      <c r="I202" s="14"/>
      <c r="J202" s="14"/>
      <c r="K202" s="12"/>
    </row>
    <row r="203" ht="19.5" customHeight="1">
      <c r="A203" s="12"/>
      <c r="C203" s="12"/>
      <c r="D203" s="13"/>
      <c r="F203" s="14"/>
      <c r="G203" s="14"/>
      <c r="H203" s="14"/>
      <c r="I203" s="14"/>
      <c r="J203" s="14"/>
      <c r="K203" s="12"/>
    </row>
    <row r="204" ht="19.5" customHeight="1">
      <c r="A204" s="12"/>
      <c r="C204" s="12"/>
      <c r="D204" s="13"/>
      <c r="F204" s="14"/>
      <c r="G204" s="14"/>
      <c r="H204" s="14"/>
      <c r="I204" s="14"/>
      <c r="J204" s="14"/>
      <c r="K204" s="12"/>
    </row>
    <row r="205" ht="19.5" customHeight="1">
      <c r="A205" s="12"/>
      <c r="C205" s="12"/>
      <c r="D205" s="13"/>
      <c r="F205" s="14"/>
      <c r="G205" s="14"/>
      <c r="H205" s="14"/>
      <c r="I205" s="14"/>
      <c r="J205" s="14"/>
      <c r="K205" s="12"/>
    </row>
    <row r="206" ht="19.5" customHeight="1">
      <c r="A206" s="12"/>
      <c r="C206" s="12"/>
      <c r="D206" s="13"/>
      <c r="F206" s="14"/>
      <c r="G206" s="14"/>
      <c r="H206" s="14"/>
      <c r="I206" s="14"/>
      <c r="J206" s="14"/>
      <c r="K206" s="12"/>
    </row>
    <row r="207" ht="19.5" customHeight="1">
      <c r="A207" s="12"/>
      <c r="C207" s="12"/>
      <c r="D207" s="13"/>
      <c r="F207" s="14"/>
      <c r="G207" s="14"/>
      <c r="H207" s="14"/>
      <c r="I207" s="14"/>
      <c r="J207" s="14"/>
      <c r="K207" s="12"/>
    </row>
    <row r="208" ht="19.5" customHeight="1">
      <c r="A208" s="12"/>
      <c r="C208" s="12"/>
      <c r="D208" s="13"/>
      <c r="F208" s="14"/>
      <c r="G208" s="14"/>
      <c r="H208" s="14"/>
      <c r="I208" s="14"/>
      <c r="J208" s="14"/>
      <c r="K208" s="12"/>
    </row>
    <row r="209" ht="19.5" customHeight="1">
      <c r="A209" s="12"/>
      <c r="C209" s="12"/>
      <c r="D209" s="13"/>
      <c r="F209" s="14"/>
      <c r="G209" s="14"/>
      <c r="H209" s="14"/>
      <c r="I209" s="14"/>
      <c r="J209" s="14"/>
      <c r="K209" s="12"/>
    </row>
    <row r="210" ht="19.5" customHeight="1">
      <c r="A210" s="12"/>
      <c r="C210" s="12"/>
      <c r="D210" s="13"/>
      <c r="F210" s="14"/>
      <c r="G210" s="14"/>
      <c r="H210" s="14"/>
      <c r="I210" s="14"/>
      <c r="J210" s="14"/>
      <c r="K210" s="12"/>
    </row>
    <row r="211" ht="19.5" customHeight="1">
      <c r="A211" s="12"/>
      <c r="C211" s="12"/>
      <c r="D211" s="13"/>
      <c r="F211" s="14"/>
      <c r="G211" s="14"/>
      <c r="H211" s="14"/>
      <c r="I211" s="14"/>
      <c r="J211" s="14"/>
      <c r="K211" s="12"/>
    </row>
    <row r="212" ht="19.5" customHeight="1">
      <c r="A212" s="12"/>
      <c r="C212" s="12"/>
      <c r="D212" s="13"/>
      <c r="F212" s="14"/>
      <c r="G212" s="14"/>
      <c r="H212" s="14"/>
      <c r="I212" s="14"/>
      <c r="J212" s="14"/>
      <c r="K212" s="12"/>
    </row>
    <row r="213" ht="19.5" customHeight="1">
      <c r="A213" s="12"/>
      <c r="C213" s="12"/>
      <c r="D213" s="13"/>
      <c r="F213" s="14"/>
      <c r="G213" s="14"/>
      <c r="H213" s="14"/>
      <c r="I213" s="14"/>
      <c r="J213" s="14"/>
      <c r="K213" s="12"/>
    </row>
    <row r="214" ht="19.5" customHeight="1">
      <c r="A214" s="12"/>
      <c r="C214" s="12"/>
      <c r="D214" s="13"/>
      <c r="F214" s="14"/>
      <c r="G214" s="14"/>
      <c r="H214" s="14"/>
      <c r="I214" s="14"/>
      <c r="J214" s="14"/>
      <c r="K214" s="12"/>
    </row>
    <row r="215" ht="19.5" customHeight="1">
      <c r="A215" s="12"/>
      <c r="C215" s="12"/>
      <c r="D215" s="13"/>
      <c r="F215" s="14"/>
      <c r="G215" s="14"/>
      <c r="H215" s="14"/>
      <c r="I215" s="14"/>
      <c r="J215" s="14"/>
      <c r="K215" s="12"/>
    </row>
    <row r="216" ht="19.5" customHeight="1">
      <c r="A216" s="12"/>
      <c r="C216" s="12"/>
      <c r="D216" s="13"/>
      <c r="F216" s="14"/>
      <c r="G216" s="14"/>
      <c r="H216" s="14"/>
      <c r="I216" s="14"/>
      <c r="J216" s="14"/>
      <c r="K216" s="12"/>
    </row>
    <row r="217" ht="19.5" customHeight="1">
      <c r="A217" s="12"/>
      <c r="C217" s="12"/>
      <c r="D217" s="13"/>
      <c r="F217" s="14"/>
      <c r="G217" s="14"/>
      <c r="H217" s="14"/>
      <c r="I217" s="14"/>
      <c r="J217" s="14"/>
      <c r="K217" s="12"/>
    </row>
    <row r="218" ht="19.5" customHeight="1">
      <c r="A218" s="12"/>
      <c r="C218" s="12"/>
      <c r="D218" s="13"/>
      <c r="F218" s="14"/>
      <c r="G218" s="14"/>
      <c r="H218" s="14"/>
      <c r="I218" s="14"/>
      <c r="J218" s="14"/>
      <c r="K218" s="12"/>
    </row>
    <row r="219" ht="19.5" customHeight="1">
      <c r="A219" s="12"/>
      <c r="C219" s="12"/>
      <c r="D219" s="13"/>
      <c r="F219" s="14"/>
      <c r="G219" s="14"/>
      <c r="H219" s="14"/>
      <c r="I219" s="14"/>
      <c r="J219" s="14"/>
      <c r="K219" s="12"/>
    </row>
    <row r="220" ht="19.5" customHeight="1">
      <c r="A220" s="12"/>
      <c r="C220" s="12"/>
      <c r="D220" s="13"/>
      <c r="F220" s="14"/>
      <c r="G220" s="14"/>
      <c r="H220" s="14"/>
      <c r="I220" s="14"/>
      <c r="J220" s="14"/>
      <c r="K220" s="12"/>
    </row>
    <row r="221" ht="19.5" customHeight="1">
      <c r="A221" s="12"/>
      <c r="C221" s="12"/>
      <c r="D221" s="13"/>
      <c r="F221" s="14"/>
      <c r="G221" s="14"/>
      <c r="H221" s="14"/>
      <c r="I221" s="14"/>
      <c r="J221" s="14"/>
      <c r="K221" s="12"/>
    </row>
    <row r="222" ht="19.5" customHeight="1">
      <c r="A222" s="12"/>
      <c r="C222" s="12"/>
      <c r="D222" s="13"/>
      <c r="F222" s="14"/>
      <c r="G222" s="14"/>
      <c r="H222" s="14"/>
      <c r="I222" s="14"/>
      <c r="J222" s="14"/>
      <c r="K222" s="12"/>
    </row>
    <row r="223" ht="19.5" customHeight="1">
      <c r="A223" s="12"/>
      <c r="C223" s="12"/>
      <c r="D223" s="13"/>
      <c r="F223" s="14"/>
      <c r="G223" s="14"/>
      <c r="H223" s="14"/>
      <c r="I223" s="14"/>
      <c r="J223" s="14"/>
      <c r="K223" s="12"/>
    </row>
    <row r="224" ht="19.5" customHeight="1">
      <c r="A224" s="12"/>
      <c r="C224" s="12"/>
      <c r="D224" s="13"/>
      <c r="F224" s="14"/>
      <c r="G224" s="14"/>
      <c r="H224" s="14"/>
      <c r="I224" s="14"/>
      <c r="J224" s="14"/>
      <c r="K224" s="12"/>
    </row>
    <row r="225" ht="19.5" customHeight="1">
      <c r="A225" s="12"/>
      <c r="C225" s="12"/>
      <c r="D225" s="13"/>
      <c r="F225" s="14"/>
      <c r="G225" s="14"/>
      <c r="H225" s="14"/>
      <c r="I225" s="14"/>
      <c r="J225" s="14"/>
      <c r="K225" s="12"/>
    </row>
    <row r="226" ht="19.5" customHeight="1">
      <c r="A226" s="12"/>
      <c r="C226" s="12"/>
      <c r="D226" s="13"/>
      <c r="F226" s="14"/>
      <c r="G226" s="14"/>
      <c r="H226" s="14"/>
      <c r="I226" s="14"/>
      <c r="J226" s="14"/>
      <c r="K226" s="12"/>
    </row>
    <row r="227" ht="19.5" customHeight="1">
      <c r="A227" s="12"/>
      <c r="C227" s="12"/>
      <c r="D227" s="13"/>
      <c r="F227" s="14"/>
      <c r="G227" s="14"/>
      <c r="H227" s="14"/>
      <c r="I227" s="14"/>
      <c r="J227" s="14"/>
      <c r="K227" s="12"/>
    </row>
    <row r="228" ht="19.5" customHeight="1">
      <c r="A228" s="12"/>
      <c r="C228" s="12"/>
      <c r="D228" s="13"/>
      <c r="F228" s="14"/>
      <c r="G228" s="14"/>
      <c r="H228" s="14"/>
      <c r="I228" s="14"/>
      <c r="J228" s="14"/>
      <c r="K228" s="12"/>
    </row>
    <row r="229" ht="19.5" customHeight="1">
      <c r="A229" s="12"/>
      <c r="C229" s="12"/>
      <c r="D229" s="13"/>
      <c r="F229" s="14"/>
      <c r="G229" s="14"/>
      <c r="H229" s="14"/>
      <c r="I229" s="14"/>
      <c r="J229" s="14"/>
      <c r="K229" s="12"/>
    </row>
    <row r="230" ht="19.5" customHeight="1">
      <c r="A230" s="12"/>
      <c r="C230" s="12"/>
      <c r="D230" s="13"/>
      <c r="F230" s="14"/>
      <c r="G230" s="14"/>
      <c r="H230" s="14"/>
      <c r="I230" s="14"/>
      <c r="J230" s="14"/>
      <c r="K230" s="12"/>
    </row>
    <row r="231" ht="19.5" customHeight="1">
      <c r="A231" s="12"/>
      <c r="C231" s="12"/>
      <c r="D231" s="13"/>
      <c r="F231" s="14"/>
      <c r="G231" s="14"/>
      <c r="H231" s="14"/>
      <c r="I231" s="14"/>
      <c r="J231" s="14"/>
      <c r="K231" s="12"/>
    </row>
    <row r="232" ht="19.5" customHeight="1">
      <c r="A232" s="12"/>
      <c r="C232" s="12"/>
      <c r="D232" s="13"/>
      <c r="F232" s="14"/>
      <c r="G232" s="14"/>
      <c r="H232" s="14"/>
      <c r="I232" s="14"/>
      <c r="J232" s="14"/>
      <c r="K232" s="12"/>
    </row>
    <row r="233" ht="19.5" customHeight="1">
      <c r="A233" s="12"/>
      <c r="C233" s="12"/>
      <c r="D233" s="13"/>
      <c r="F233" s="14"/>
      <c r="G233" s="14"/>
      <c r="H233" s="14"/>
      <c r="I233" s="14"/>
      <c r="J233" s="14"/>
      <c r="K233" s="12"/>
    </row>
    <row r="234" ht="19.5" customHeight="1">
      <c r="A234" s="12"/>
      <c r="C234" s="12"/>
      <c r="D234" s="13"/>
      <c r="F234" s="14"/>
      <c r="G234" s="14"/>
      <c r="H234" s="14"/>
      <c r="I234" s="14"/>
      <c r="J234" s="14"/>
      <c r="K234" s="12"/>
    </row>
    <row r="235" ht="19.5" customHeight="1">
      <c r="A235" s="12"/>
      <c r="C235" s="12"/>
      <c r="D235" s="13"/>
      <c r="F235" s="14"/>
      <c r="G235" s="14"/>
      <c r="H235" s="14"/>
      <c r="I235" s="14"/>
      <c r="J235" s="14"/>
      <c r="K235" s="12"/>
    </row>
    <row r="236" ht="19.5" customHeight="1">
      <c r="A236" s="12"/>
      <c r="C236" s="12"/>
      <c r="D236" s="13"/>
      <c r="F236" s="14"/>
      <c r="G236" s="14"/>
      <c r="H236" s="14"/>
      <c r="I236" s="14"/>
      <c r="J236" s="14"/>
      <c r="K236" s="12"/>
    </row>
    <row r="237" ht="19.5" customHeight="1">
      <c r="A237" s="12"/>
      <c r="C237" s="12"/>
      <c r="D237" s="13"/>
      <c r="F237" s="14"/>
      <c r="G237" s="14"/>
      <c r="H237" s="14"/>
      <c r="I237" s="14"/>
      <c r="J237" s="14"/>
      <c r="K237" s="12"/>
    </row>
    <row r="238" ht="19.5" customHeight="1">
      <c r="A238" s="12"/>
      <c r="C238" s="12"/>
      <c r="D238" s="13"/>
      <c r="F238" s="14"/>
      <c r="G238" s="14"/>
      <c r="H238" s="14"/>
      <c r="I238" s="14"/>
      <c r="J238" s="14"/>
      <c r="K238" s="12"/>
    </row>
    <row r="239" ht="19.5" customHeight="1">
      <c r="A239" s="12"/>
      <c r="C239" s="12"/>
      <c r="D239" s="13"/>
      <c r="F239" s="14"/>
      <c r="G239" s="14"/>
      <c r="H239" s="14"/>
      <c r="I239" s="14"/>
      <c r="J239" s="14"/>
      <c r="K239" s="12"/>
    </row>
    <row r="240" ht="19.5" customHeight="1">
      <c r="A240" s="12"/>
      <c r="C240" s="12"/>
      <c r="D240" s="13"/>
      <c r="F240" s="14"/>
      <c r="G240" s="14"/>
      <c r="H240" s="14"/>
      <c r="I240" s="14"/>
      <c r="J240" s="14"/>
      <c r="K240" s="12"/>
    </row>
    <row r="241" ht="19.5" customHeight="1">
      <c r="A241" s="12"/>
      <c r="C241" s="12"/>
      <c r="D241" s="13"/>
      <c r="F241" s="14"/>
      <c r="G241" s="14"/>
      <c r="H241" s="14"/>
      <c r="I241" s="14"/>
      <c r="J241" s="14"/>
      <c r="K241" s="12"/>
    </row>
    <row r="242" ht="19.5" customHeight="1">
      <c r="A242" s="12"/>
      <c r="C242" s="12"/>
      <c r="D242" s="13"/>
      <c r="F242" s="14"/>
      <c r="G242" s="14"/>
      <c r="H242" s="14"/>
      <c r="I242" s="14"/>
      <c r="J242" s="14"/>
      <c r="K242" s="12"/>
    </row>
    <row r="243" ht="19.5" customHeight="1">
      <c r="A243" s="12"/>
      <c r="C243" s="12"/>
      <c r="D243" s="13"/>
      <c r="F243" s="14"/>
      <c r="G243" s="14"/>
      <c r="H243" s="14"/>
      <c r="I243" s="14"/>
      <c r="J243" s="14"/>
      <c r="K243" s="12"/>
    </row>
    <row r="244" ht="19.5" customHeight="1">
      <c r="A244" s="12"/>
      <c r="C244" s="12"/>
      <c r="D244" s="13"/>
      <c r="F244" s="14"/>
      <c r="G244" s="14"/>
      <c r="H244" s="14"/>
      <c r="I244" s="14"/>
      <c r="J244" s="14"/>
      <c r="K244" s="12"/>
    </row>
    <row r="245" ht="19.5" customHeight="1">
      <c r="A245" s="12"/>
      <c r="C245" s="12"/>
      <c r="D245" s="13"/>
      <c r="F245" s="14"/>
      <c r="G245" s="14"/>
      <c r="H245" s="14"/>
      <c r="I245" s="14"/>
      <c r="J245" s="14"/>
      <c r="K245" s="12"/>
    </row>
    <row r="246" ht="19.5" customHeight="1">
      <c r="A246" s="12"/>
      <c r="C246" s="12"/>
      <c r="D246" s="13"/>
      <c r="F246" s="14"/>
      <c r="G246" s="14"/>
      <c r="H246" s="14"/>
      <c r="I246" s="14"/>
      <c r="J246" s="14"/>
      <c r="K246" s="12"/>
    </row>
    <row r="247" ht="19.5" customHeight="1">
      <c r="A247" s="12"/>
      <c r="C247" s="12"/>
      <c r="D247" s="13"/>
      <c r="F247" s="14"/>
      <c r="G247" s="14"/>
      <c r="H247" s="14"/>
      <c r="I247" s="14"/>
      <c r="J247" s="14"/>
      <c r="K247" s="12"/>
    </row>
    <row r="248" ht="19.5" customHeight="1">
      <c r="A248" s="12"/>
      <c r="C248" s="12"/>
      <c r="D248" s="13"/>
      <c r="F248" s="14"/>
      <c r="G248" s="14"/>
      <c r="H248" s="14"/>
      <c r="I248" s="14"/>
      <c r="J248" s="14"/>
      <c r="K248" s="12"/>
    </row>
    <row r="249" ht="19.5" customHeight="1">
      <c r="A249" s="12"/>
      <c r="C249" s="12"/>
      <c r="D249" s="13"/>
      <c r="F249" s="14"/>
      <c r="G249" s="14"/>
      <c r="H249" s="14"/>
      <c r="I249" s="14"/>
      <c r="J249" s="14"/>
      <c r="K249" s="12"/>
    </row>
    <row r="250" ht="19.5" customHeight="1">
      <c r="A250" s="12"/>
      <c r="C250" s="12"/>
      <c r="D250" s="13"/>
      <c r="F250" s="14"/>
      <c r="G250" s="14"/>
      <c r="H250" s="14"/>
      <c r="I250" s="14"/>
      <c r="J250" s="14"/>
      <c r="K250" s="12"/>
    </row>
    <row r="251" ht="19.5" customHeight="1">
      <c r="A251" s="12"/>
      <c r="C251" s="12"/>
      <c r="D251" s="13"/>
      <c r="F251" s="14"/>
      <c r="G251" s="14"/>
      <c r="H251" s="14"/>
      <c r="I251" s="14"/>
      <c r="J251" s="14"/>
      <c r="K251" s="12"/>
    </row>
    <row r="252" ht="19.5" customHeight="1">
      <c r="A252" s="12"/>
      <c r="C252" s="12"/>
      <c r="D252" s="13"/>
      <c r="F252" s="14"/>
      <c r="G252" s="14"/>
      <c r="H252" s="14"/>
      <c r="I252" s="14"/>
      <c r="J252" s="14"/>
      <c r="K252" s="12"/>
    </row>
    <row r="253" ht="19.5" customHeight="1">
      <c r="A253" s="12"/>
      <c r="C253" s="12"/>
      <c r="D253" s="13"/>
      <c r="F253" s="14"/>
      <c r="G253" s="14"/>
      <c r="H253" s="14"/>
      <c r="I253" s="14"/>
      <c r="J253" s="14"/>
      <c r="K253" s="12"/>
    </row>
    <row r="254" ht="19.5" customHeight="1">
      <c r="A254" s="12"/>
      <c r="C254" s="12"/>
      <c r="D254" s="13"/>
      <c r="F254" s="14"/>
      <c r="G254" s="14"/>
      <c r="H254" s="14"/>
      <c r="I254" s="14"/>
      <c r="J254" s="14"/>
      <c r="K254" s="12"/>
    </row>
    <row r="255" ht="19.5" customHeight="1">
      <c r="A255" s="12"/>
      <c r="C255" s="12"/>
      <c r="D255" s="13"/>
      <c r="F255" s="14"/>
      <c r="G255" s="14"/>
      <c r="H255" s="14"/>
      <c r="I255" s="14"/>
      <c r="J255" s="14"/>
      <c r="K255" s="12"/>
    </row>
    <row r="256" ht="19.5" customHeight="1">
      <c r="A256" s="12"/>
      <c r="C256" s="12"/>
      <c r="D256" s="13"/>
      <c r="F256" s="14"/>
      <c r="G256" s="14"/>
      <c r="H256" s="14"/>
      <c r="I256" s="14"/>
      <c r="J256" s="14"/>
      <c r="K256" s="12"/>
    </row>
    <row r="257" ht="19.5" customHeight="1">
      <c r="A257" s="12"/>
      <c r="C257" s="12"/>
      <c r="D257" s="13"/>
      <c r="F257" s="14"/>
      <c r="G257" s="14"/>
      <c r="H257" s="14"/>
      <c r="I257" s="14"/>
      <c r="J257" s="14"/>
      <c r="K257" s="12"/>
    </row>
    <row r="258" ht="19.5" customHeight="1">
      <c r="A258" s="12"/>
      <c r="C258" s="12"/>
      <c r="D258" s="13"/>
      <c r="F258" s="14"/>
      <c r="G258" s="14"/>
      <c r="H258" s="14"/>
      <c r="I258" s="14"/>
      <c r="J258" s="14"/>
      <c r="K258" s="12"/>
    </row>
    <row r="259" ht="19.5" customHeight="1">
      <c r="A259" s="12"/>
      <c r="C259" s="12"/>
      <c r="D259" s="13"/>
      <c r="F259" s="14"/>
      <c r="G259" s="14"/>
      <c r="H259" s="14"/>
      <c r="I259" s="14"/>
      <c r="J259" s="14"/>
      <c r="K259" s="12"/>
    </row>
    <row r="260" ht="19.5" customHeight="1">
      <c r="A260" s="12"/>
      <c r="C260" s="12"/>
      <c r="D260" s="13"/>
      <c r="F260" s="14"/>
      <c r="G260" s="14"/>
      <c r="H260" s="14"/>
      <c r="I260" s="14"/>
      <c r="J260" s="14"/>
      <c r="K260" s="12"/>
    </row>
    <row r="261" ht="19.5" customHeight="1">
      <c r="A261" s="12"/>
      <c r="C261" s="12"/>
      <c r="D261" s="13"/>
      <c r="F261" s="14"/>
      <c r="G261" s="14"/>
      <c r="H261" s="14"/>
      <c r="I261" s="14"/>
      <c r="J261" s="14"/>
      <c r="K261" s="12"/>
    </row>
    <row r="262" ht="19.5" customHeight="1">
      <c r="A262" s="12"/>
      <c r="C262" s="12"/>
      <c r="D262" s="13"/>
      <c r="F262" s="14"/>
      <c r="G262" s="14"/>
      <c r="H262" s="14"/>
      <c r="I262" s="14"/>
      <c r="J262" s="14"/>
      <c r="K262" s="12"/>
    </row>
    <row r="263" ht="19.5" customHeight="1">
      <c r="A263" s="12"/>
      <c r="C263" s="12"/>
      <c r="D263" s="13"/>
      <c r="F263" s="14"/>
      <c r="G263" s="14"/>
      <c r="H263" s="14"/>
      <c r="I263" s="14"/>
      <c r="J263" s="14"/>
      <c r="K263" s="12"/>
    </row>
    <row r="264" ht="19.5" customHeight="1">
      <c r="A264" s="12"/>
      <c r="C264" s="12"/>
      <c r="D264" s="13"/>
      <c r="F264" s="14"/>
      <c r="G264" s="14"/>
      <c r="H264" s="14"/>
      <c r="I264" s="14"/>
      <c r="J264" s="14"/>
      <c r="K264" s="12"/>
    </row>
    <row r="265" ht="19.5" customHeight="1">
      <c r="A265" s="12"/>
      <c r="C265" s="12"/>
      <c r="D265" s="13"/>
      <c r="F265" s="14"/>
      <c r="G265" s="14"/>
      <c r="H265" s="14"/>
      <c r="I265" s="14"/>
      <c r="J265" s="14"/>
      <c r="K265" s="12"/>
    </row>
    <row r="266" ht="19.5" customHeight="1">
      <c r="A266" s="12"/>
      <c r="C266" s="12"/>
      <c r="D266" s="13"/>
      <c r="F266" s="14"/>
      <c r="G266" s="14"/>
      <c r="H266" s="14"/>
      <c r="I266" s="14"/>
      <c r="J266" s="14"/>
      <c r="K266" s="12"/>
    </row>
    <row r="267" ht="19.5" customHeight="1">
      <c r="A267" s="12"/>
      <c r="C267" s="12"/>
      <c r="D267" s="13"/>
      <c r="F267" s="14"/>
      <c r="G267" s="14"/>
      <c r="H267" s="14"/>
      <c r="I267" s="14"/>
      <c r="J267" s="14"/>
      <c r="K267" s="12"/>
    </row>
    <row r="268" ht="19.5" customHeight="1">
      <c r="A268" s="12"/>
      <c r="C268" s="12"/>
      <c r="D268" s="13"/>
      <c r="F268" s="14"/>
      <c r="G268" s="14"/>
      <c r="H268" s="14"/>
      <c r="I268" s="14"/>
      <c r="J268" s="14"/>
      <c r="K268" s="12"/>
    </row>
    <row r="269" ht="19.5" customHeight="1">
      <c r="A269" s="12"/>
      <c r="C269" s="12"/>
      <c r="D269" s="13"/>
      <c r="F269" s="14"/>
      <c r="G269" s="14"/>
      <c r="H269" s="14"/>
      <c r="I269" s="14"/>
      <c r="J269" s="14"/>
      <c r="K269" s="12"/>
    </row>
    <row r="270" ht="19.5" customHeight="1">
      <c r="A270" s="12"/>
      <c r="C270" s="12"/>
      <c r="D270" s="13"/>
      <c r="F270" s="14"/>
      <c r="G270" s="14"/>
      <c r="H270" s="14"/>
      <c r="I270" s="14"/>
      <c r="J270" s="14"/>
      <c r="K270" s="12"/>
    </row>
    <row r="271" ht="19.5" customHeight="1">
      <c r="A271" s="12"/>
      <c r="C271" s="12"/>
      <c r="D271" s="13"/>
      <c r="F271" s="14"/>
      <c r="G271" s="14"/>
      <c r="H271" s="14"/>
      <c r="I271" s="14"/>
      <c r="J271" s="14"/>
      <c r="K271" s="12"/>
    </row>
    <row r="272" ht="19.5" customHeight="1">
      <c r="A272" s="12"/>
      <c r="C272" s="12"/>
      <c r="D272" s="13"/>
      <c r="F272" s="14"/>
      <c r="G272" s="14"/>
      <c r="H272" s="14"/>
      <c r="I272" s="14"/>
      <c r="J272" s="14"/>
      <c r="K272" s="12"/>
    </row>
    <row r="273" ht="19.5" customHeight="1">
      <c r="A273" s="12"/>
      <c r="C273" s="12"/>
      <c r="D273" s="13"/>
      <c r="F273" s="14"/>
      <c r="G273" s="14"/>
      <c r="H273" s="14"/>
      <c r="I273" s="14"/>
      <c r="J273" s="14"/>
      <c r="K273" s="12"/>
    </row>
    <row r="274" ht="19.5" customHeight="1">
      <c r="A274" s="12"/>
      <c r="C274" s="12"/>
      <c r="D274" s="13"/>
      <c r="F274" s="14"/>
      <c r="G274" s="14"/>
      <c r="H274" s="14"/>
      <c r="I274" s="14"/>
      <c r="J274" s="14"/>
      <c r="K274" s="12"/>
    </row>
    <row r="275" ht="19.5" customHeight="1">
      <c r="A275" s="12"/>
      <c r="C275" s="12"/>
      <c r="D275" s="13"/>
      <c r="F275" s="14"/>
      <c r="G275" s="14"/>
      <c r="H275" s="14"/>
      <c r="I275" s="14"/>
      <c r="J275" s="14"/>
      <c r="K275" s="12"/>
    </row>
    <row r="276" ht="19.5" customHeight="1">
      <c r="A276" s="12"/>
      <c r="C276" s="12"/>
      <c r="D276" s="13"/>
      <c r="F276" s="14"/>
      <c r="G276" s="14"/>
      <c r="H276" s="14"/>
      <c r="I276" s="14"/>
      <c r="J276" s="14"/>
      <c r="K276" s="12"/>
    </row>
    <row r="277" ht="19.5" customHeight="1">
      <c r="A277" s="12"/>
      <c r="C277" s="12"/>
      <c r="D277" s="13"/>
      <c r="F277" s="14"/>
      <c r="G277" s="14"/>
      <c r="H277" s="14"/>
      <c r="I277" s="14"/>
      <c r="J277" s="14"/>
      <c r="K277" s="12"/>
    </row>
    <row r="278" ht="19.5" customHeight="1">
      <c r="A278" s="12"/>
      <c r="C278" s="12"/>
      <c r="D278" s="13"/>
      <c r="F278" s="14"/>
      <c r="G278" s="14"/>
      <c r="H278" s="14"/>
      <c r="I278" s="14"/>
      <c r="J278" s="14"/>
      <c r="K278" s="12"/>
    </row>
    <row r="279" ht="19.5" customHeight="1">
      <c r="A279" s="12"/>
      <c r="C279" s="12"/>
      <c r="D279" s="13"/>
      <c r="F279" s="14"/>
      <c r="G279" s="14"/>
      <c r="H279" s="14"/>
      <c r="I279" s="14"/>
      <c r="J279" s="14"/>
      <c r="K279" s="12"/>
    </row>
    <row r="280" ht="19.5" customHeight="1">
      <c r="A280" s="12"/>
      <c r="C280" s="12"/>
      <c r="D280" s="13"/>
      <c r="F280" s="14"/>
      <c r="G280" s="14"/>
      <c r="H280" s="14"/>
      <c r="I280" s="14"/>
      <c r="J280" s="14"/>
      <c r="K280" s="12"/>
    </row>
    <row r="281" ht="19.5" customHeight="1">
      <c r="A281" s="12"/>
      <c r="C281" s="12"/>
      <c r="D281" s="13"/>
      <c r="F281" s="14"/>
      <c r="G281" s="14"/>
      <c r="H281" s="14"/>
      <c r="I281" s="14"/>
      <c r="J281" s="14"/>
      <c r="K281" s="12"/>
    </row>
    <row r="282" ht="19.5" customHeight="1">
      <c r="A282" s="12"/>
      <c r="C282" s="12"/>
      <c r="D282" s="13"/>
      <c r="F282" s="14"/>
      <c r="G282" s="14"/>
      <c r="H282" s="14"/>
      <c r="I282" s="14"/>
      <c r="J282" s="14"/>
      <c r="K282" s="12"/>
    </row>
    <row r="283" ht="19.5" customHeight="1">
      <c r="A283" s="12"/>
      <c r="C283" s="12"/>
      <c r="D283" s="13"/>
      <c r="F283" s="14"/>
      <c r="G283" s="14"/>
      <c r="H283" s="14"/>
      <c r="I283" s="14"/>
      <c r="J283" s="14"/>
      <c r="K283" s="12"/>
    </row>
    <row r="284" ht="19.5" customHeight="1">
      <c r="A284" s="12"/>
      <c r="C284" s="12"/>
      <c r="D284" s="13"/>
      <c r="F284" s="14"/>
      <c r="G284" s="14"/>
      <c r="H284" s="14"/>
      <c r="I284" s="14"/>
      <c r="J284" s="14"/>
      <c r="K284" s="12"/>
    </row>
    <row r="285" ht="19.5" customHeight="1">
      <c r="A285" s="12"/>
      <c r="C285" s="12"/>
      <c r="D285" s="13"/>
      <c r="F285" s="14"/>
      <c r="G285" s="14"/>
      <c r="H285" s="14"/>
      <c r="I285" s="14"/>
      <c r="J285" s="14"/>
      <c r="K285" s="12"/>
    </row>
    <row r="286" ht="19.5" customHeight="1">
      <c r="A286" s="12"/>
      <c r="C286" s="12"/>
      <c r="D286" s="13"/>
      <c r="F286" s="14"/>
      <c r="G286" s="14"/>
      <c r="H286" s="14"/>
      <c r="I286" s="14"/>
      <c r="J286" s="14"/>
      <c r="K286" s="12"/>
    </row>
    <row r="287" ht="19.5" customHeight="1">
      <c r="A287" s="12"/>
      <c r="C287" s="12"/>
      <c r="D287" s="13"/>
      <c r="F287" s="14"/>
      <c r="G287" s="14"/>
      <c r="H287" s="14"/>
      <c r="I287" s="14"/>
      <c r="J287" s="14"/>
      <c r="K287" s="12"/>
    </row>
    <row r="288" ht="19.5" customHeight="1">
      <c r="A288" s="12"/>
      <c r="C288" s="12"/>
      <c r="D288" s="13"/>
      <c r="F288" s="14"/>
      <c r="G288" s="14"/>
      <c r="H288" s="14"/>
      <c r="I288" s="14"/>
      <c r="J288" s="14"/>
      <c r="K288" s="12"/>
    </row>
    <row r="289" ht="19.5" customHeight="1">
      <c r="A289" s="12"/>
      <c r="C289" s="12"/>
      <c r="D289" s="13"/>
      <c r="F289" s="14"/>
      <c r="G289" s="14"/>
      <c r="H289" s="14"/>
      <c r="I289" s="14"/>
      <c r="J289" s="14"/>
      <c r="K289" s="12"/>
    </row>
    <row r="290" ht="19.5" customHeight="1">
      <c r="A290" s="12"/>
      <c r="C290" s="12"/>
      <c r="D290" s="13"/>
      <c r="F290" s="14"/>
      <c r="G290" s="14"/>
      <c r="H290" s="14"/>
      <c r="I290" s="14"/>
      <c r="J290" s="14"/>
      <c r="K290" s="12"/>
    </row>
    <row r="291" ht="19.5" customHeight="1">
      <c r="A291" s="12"/>
      <c r="C291" s="12"/>
      <c r="D291" s="13"/>
      <c r="F291" s="14"/>
      <c r="G291" s="14"/>
      <c r="H291" s="14"/>
      <c r="I291" s="14"/>
      <c r="J291" s="14"/>
      <c r="K291" s="12"/>
    </row>
    <row r="292" ht="19.5" customHeight="1">
      <c r="A292" s="12"/>
      <c r="C292" s="12"/>
      <c r="D292" s="13"/>
      <c r="F292" s="14"/>
      <c r="G292" s="14"/>
      <c r="H292" s="14"/>
      <c r="I292" s="14"/>
      <c r="J292" s="14"/>
      <c r="K292" s="12"/>
    </row>
    <row r="293" ht="19.5" customHeight="1">
      <c r="A293" s="12"/>
      <c r="C293" s="12"/>
      <c r="D293" s="13"/>
      <c r="F293" s="14"/>
      <c r="G293" s="14"/>
      <c r="H293" s="14"/>
      <c r="I293" s="14"/>
      <c r="J293" s="14"/>
      <c r="K293" s="12"/>
    </row>
    <row r="294" ht="19.5" customHeight="1">
      <c r="A294" s="12"/>
      <c r="C294" s="12"/>
      <c r="D294" s="13"/>
      <c r="F294" s="14"/>
      <c r="G294" s="14"/>
      <c r="H294" s="14"/>
      <c r="I294" s="14"/>
      <c r="J294" s="14"/>
      <c r="K294" s="12"/>
    </row>
    <row r="295" ht="19.5" customHeight="1">
      <c r="A295" s="12"/>
      <c r="C295" s="12"/>
      <c r="D295" s="13"/>
      <c r="F295" s="14"/>
      <c r="G295" s="14"/>
      <c r="H295" s="14"/>
      <c r="I295" s="14"/>
      <c r="J295" s="14"/>
      <c r="K295" s="12"/>
    </row>
    <row r="296" ht="19.5" customHeight="1">
      <c r="A296" s="12"/>
      <c r="C296" s="12"/>
      <c r="D296" s="13"/>
      <c r="F296" s="14"/>
      <c r="G296" s="14"/>
      <c r="H296" s="14"/>
      <c r="I296" s="14"/>
      <c r="J296" s="14"/>
      <c r="K296" s="12"/>
    </row>
    <row r="297" ht="19.5" customHeight="1">
      <c r="A297" s="12"/>
      <c r="C297" s="12"/>
      <c r="D297" s="13"/>
      <c r="F297" s="14"/>
      <c r="G297" s="14"/>
      <c r="H297" s="14"/>
      <c r="I297" s="14"/>
      <c r="J297" s="14"/>
      <c r="K297" s="12"/>
    </row>
    <row r="298" ht="19.5" customHeight="1">
      <c r="A298" s="12"/>
      <c r="C298" s="12"/>
      <c r="D298" s="13"/>
      <c r="F298" s="14"/>
      <c r="G298" s="14"/>
      <c r="H298" s="14"/>
      <c r="I298" s="14"/>
      <c r="J298" s="14"/>
      <c r="K298" s="12"/>
    </row>
    <row r="299" ht="19.5" customHeight="1">
      <c r="A299" s="12"/>
      <c r="C299" s="12"/>
      <c r="D299" s="13"/>
      <c r="F299" s="14"/>
      <c r="G299" s="14"/>
      <c r="H299" s="14"/>
      <c r="I299" s="14"/>
      <c r="J299" s="14"/>
      <c r="K299" s="12"/>
    </row>
    <row r="300" ht="19.5" customHeight="1">
      <c r="A300" s="12"/>
      <c r="C300" s="12"/>
      <c r="D300" s="13"/>
      <c r="F300" s="14"/>
      <c r="G300" s="14"/>
      <c r="H300" s="14"/>
      <c r="I300" s="14"/>
      <c r="J300" s="14"/>
      <c r="K300" s="12"/>
    </row>
    <row r="301" ht="19.5" customHeight="1">
      <c r="A301" s="12"/>
      <c r="C301" s="12"/>
      <c r="D301" s="13"/>
      <c r="F301" s="14"/>
      <c r="G301" s="14"/>
      <c r="H301" s="14"/>
      <c r="I301" s="14"/>
      <c r="J301" s="14"/>
      <c r="K301" s="12"/>
    </row>
    <row r="302" ht="19.5" customHeight="1">
      <c r="A302" s="12"/>
      <c r="C302" s="12"/>
      <c r="D302" s="13"/>
      <c r="F302" s="14"/>
      <c r="G302" s="14"/>
      <c r="H302" s="14"/>
      <c r="I302" s="14"/>
      <c r="J302" s="14"/>
      <c r="K302" s="12"/>
    </row>
    <row r="303" ht="19.5" customHeight="1">
      <c r="A303" s="12"/>
      <c r="C303" s="12"/>
      <c r="D303" s="13"/>
      <c r="F303" s="14"/>
      <c r="G303" s="14"/>
      <c r="H303" s="14"/>
      <c r="I303" s="14"/>
      <c r="J303" s="14"/>
      <c r="K303" s="12"/>
    </row>
    <row r="304" ht="19.5" customHeight="1">
      <c r="A304" s="12"/>
      <c r="C304" s="12"/>
      <c r="D304" s="13"/>
      <c r="F304" s="14"/>
      <c r="G304" s="14"/>
      <c r="H304" s="14"/>
      <c r="I304" s="14"/>
      <c r="J304" s="14"/>
      <c r="K304" s="12"/>
    </row>
    <row r="305" ht="19.5" customHeight="1">
      <c r="A305" s="12"/>
      <c r="C305" s="12"/>
      <c r="D305" s="13"/>
      <c r="F305" s="14"/>
      <c r="G305" s="14"/>
      <c r="H305" s="14"/>
      <c r="I305" s="14"/>
      <c r="J305" s="14"/>
      <c r="K305" s="12"/>
    </row>
    <row r="306" ht="19.5" customHeight="1">
      <c r="A306" s="12"/>
      <c r="C306" s="12"/>
      <c r="D306" s="13"/>
      <c r="F306" s="14"/>
      <c r="G306" s="14"/>
      <c r="H306" s="14"/>
      <c r="I306" s="14"/>
      <c r="J306" s="14"/>
      <c r="K306" s="12"/>
    </row>
    <row r="307" ht="19.5" customHeight="1">
      <c r="A307" s="12"/>
      <c r="C307" s="12"/>
      <c r="D307" s="13"/>
      <c r="F307" s="14"/>
      <c r="G307" s="14"/>
      <c r="H307" s="14"/>
      <c r="I307" s="14"/>
      <c r="J307" s="14"/>
      <c r="K307" s="12"/>
    </row>
    <row r="308" ht="19.5" customHeight="1">
      <c r="A308" s="12"/>
      <c r="C308" s="12"/>
      <c r="D308" s="13"/>
      <c r="F308" s="14"/>
      <c r="G308" s="14"/>
      <c r="H308" s="14"/>
      <c r="I308" s="14"/>
      <c r="J308" s="14"/>
      <c r="K308" s="12"/>
    </row>
    <row r="309" ht="19.5" customHeight="1">
      <c r="A309" s="12"/>
      <c r="C309" s="12"/>
      <c r="D309" s="13"/>
      <c r="F309" s="14"/>
      <c r="G309" s="14"/>
      <c r="H309" s="14"/>
      <c r="I309" s="14"/>
      <c r="J309" s="14"/>
      <c r="K309" s="12"/>
    </row>
    <row r="310" ht="19.5" customHeight="1">
      <c r="A310" s="12"/>
      <c r="C310" s="12"/>
      <c r="D310" s="13"/>
      <c r="F310" s="14"/>
      <c r="G310" s="14"/>
      <c r="H310" s="14"/>
      <c r="I310" s="14"/>
      <c r="J310" s="14"/>
      <c r="K310" s="12"/>
    </row>
    <row r="311" ht="19.5" customHeight="1">
      <c r="A311" s="12"/>
      <c r="C311" s="12"/>
      <c r="D311" s="13"/>
      <c r="F311" s="14"/>
      <c r="G311" s="14"/>
      <c r="H311" s="14"/>
      <c r="I311" s="14"/>
      <c r="J311" s="14"/>
      <c r="K311" s="12"/>
    </row>
    <row r="312" ht="19.5" customHeight="1">
      <c r="A312" s="12"/>
      <c r="C312" s="12"/>
      <c r="D312" s="13"/>
      <c r="F312" s="14"/>
      <c r="G312" s="14"/>
      <c r="H312" s="14"/>
      <c r="I312" s="14"/>
      <c r="J312" s="14"/>
      <c r="K312" s="12"/>
    </row>
    <row r="313" ht="19.5" customHeight="1">
      <c r="A313" s="12"/>
      <c r="C313" s="12"/>
      <c r="D313" s="13"/>
      <c r="F313" s="14"/>
      <c r="G313" s="14"/>
      <c r="H313" s="14"/>
      <c r="I313" s="14"/>
      <c r="J313" s="14"/>
      <c r="K313" s="12"/>
    </row>
    <row r="314" ht="19.5" customHeight="1">
      <c r="A314" s="12"/>
      <c r="C314" s="12"/>
      <c r="D314" s="13"/>
      <c r="F314" s="14"/>
      <c r="G314" s="14"/>
      <c r="H314" s="14"/>
      <c r="I314" s="14"/>
      <c r="J314" s="14"/>
      <c r="K314" s="12"/>
    </row>
    <row r="315" ht="19.5" customHeight="1">
      <c r="A315" s="12"/>
      <c r="C315" s="12"/>
      <c r="D315" s="13"/>
      <c r="F315" s="14"/>
      <c r="G315" s="14"/>
      <c r="H315" s="14"/>
      <c r="I315" s="14"/>
      <c r="J315" s="14"/>
      <c r="K315" s="12"/>
    </row>
    <row r="316" ht="19.5" customHeight="1">
      <c r="A316" s="12"/>
      <c r="C316" s="12"/>
      <c r="D316" s="13"/>
      <c r="F316" s="14"/>
      <c r="G316" s="14"/>
      <c r="H316" s="14"/>
      <c r="I316" s="14"/>
      <c r="J316" s="14"/>
      <c r="K316" s="12"/>
    </row>
    <row r="317" ht="19.5" customHeight="1">
      <c r="A317" s="12"/>
      <c r="C317" s="12"/>
      <c r="D317" s="13"/>
      <c r="F317" s="14"/>
      <c r="G317" s="14"/>
      <c r="H317" s="14"/>
      <c r="I317" s="14"/>
      <c r="J317" s="14"/>
      <c r="K317" s="12"/>
    </row>
    <row r="318" ht="19.5" customHeight="1">
      <c r="A318" s="12"/>
      <c r="C318" s="12"/>
      <c r="D318" s="13"/>
      <c r="F318" s="14"/>
      <c r="G318" s="14"/>
      <c r="H318" s="14"/>
      <c r="I318" s="14"/>
      <c r="J318" s="14"/>
      <c r="K318" s="12"/>
    </row>
    <row r="319" ht="19.5" customHeight="1">
      <c r="A319" s="12"/>
      <c r="C319" s="12"/>
      <c r="D319" s="13"/>
      <c r="F319" s="14"/>
      <c r="G319" s="14"/>
      <c r="H319" s="14"/>
      <c r="I319" s="14"/>
      <c r="J319" s="14"/>
      <c r="K319" s="12"/>
    </row>
    <row r="320" ht="19.5" customHeight="1">
      <c r="A320" s="12"/>
      <c r="C320" s="12"/>
      <c r="D320" s="13"/>
      <c r="F320" s="14"/>
      <c r="G320" s="14"/>
      <c r="H320" s="14"/>
      <c r="I320" s="14"/>
      <c r="J320" s="14"/>
      <c r="K320" s="12"/>
    </row>
    <row r="321" ht="19.5" customHeight="1">
      <c r="A321" s="12"/>
      <c r="C321" s="12"/>
      <c r="D321" s="13"/>
      <c r="F321" s="14"/>
      <c r="G321" s="14"/>
      <c r="H321" s="14"/>
      <c r="I321" s="14"/>
      <c r="J321" s="14"/>
      <c r="K321" s="12"/>
    </row>
    <row r="322" ht="19.5" customHeight="1">
      <c r="A322" s="12"/>
      <c r="C322" s="12"/>
      <c r="D322" s="13"/>
      <c r="F322" s="14"/>
      <c r="G322" s="14"/>
      <c r="H322" s="14"/>
      <c r="I322" s="14"/>
      <c r="J322" s="14"/>
      <c r="K322" s="12"/>
    </row>
    <row r="323" ht="19.5" customHeight="1">
      <c r="A323" s="12"/>
      <c r="C323" s="12"/>
      <c r="D323" s="13"/>
      <c r="F323" s="14"/>
      <c r="G323" s="14"/>
      <c r="H323" s="14"/>
      <c r="I323" s="14"/>
      <c r="J323" s="14"/>
      <c r="K323" s="12"/>
    </row>
    <row r="324" ht="19.5" customHeight="1">
      <c r="A324" s="12"/>
      <c r="C324" s="12"/>
      <c r="D324" s="13"/>
      <c r="F324" s="14"/>
      <c r="G324" s="14"/>
      <c r="H324" s="14"/>
      <c r="I324" s="14"/>
      <c r="J324" s="14"/>
      <c r="K324" s="12"/>
    </row>
    <row r="325" ht="19.5" customHeight="1">
      <c r="A325" s="12"/>
      <c r="C325" s="12"/>
      <c r="D325" s="13"/>
      <c r="F325" s="14"/>
      <c r="G325" s="14"/>
      <c r="H325" s="14"/>
      <c r="I325" s="14"/>
      <c r="J325" s="14"/>
      <c r="K325" s="12"/>
    </row>
    <row r="326" ht="19.5" customHeight="1">
      <c r="A326" s="12"/>
      <c r="C326" s="12"/>
      <c r="D326" s="13"/>
      <c r="F326" s="14"/>
      <c r="G326" s="14"/>
      <c r="H326" s="14"/>
      <c r="I326" s="14"/>
      <c r="J326" s="14"/>
      <c r="K326" s="12"/>
    </row>
    <row r="327" ht="19.5" customHeight="1">
      <c r="A327" s="12"/>
      <c r="C327" s="12"/>
      <c r="D327" s="13"/>
      <c r="F327" s="14"/>
      <c r="G327" s="14"/>
      <c r="H327" s="14"/>
      <c r="I327" s="14"/>
      <c r="J327" s="14"/>
      <c r="K327" s="12"/>
    </row>
    <row r="328" ht="19.5" customHeight="1">
      <c r="A328" s="12"/>
      <c r="C328" s="12"/>
      <c r="D328" s="13"/>
      <c r="F328" s="14"/>
      <c r="G328" s="14"/>
      <c r="H328" s="14"/>
      <c r="I328" s="14"/>
      <c r="J328" s="14"/>
      <c r="K328" s="12"/>
    </row>
    <row r="329" ht="19.5" customHeight="1">
      <c r="A329" s="12"/>
      <c r="C329" s="12"/>
      <c r="D329" s="13"/>
      <c r="F329" s="14"/>
      <c r="G329" s="14"/>
      <c r="H329" s="14"/>
      <c r="I329" s="14"/>
      <c r="J329" s="14"/>
      <c r="K329" s="12"/>
    </row>
    <row r="330" ht="19.5" customHeight="1">
      <c r="A330" s="12"/>
      <c r="C330" s="12"/>
      <c r="D330" s="13"/>
      <c r="F330" s="14"/>
      <c r="G330" s="14"/>
      <c r="H330" s="14"/>
      <c r="I330" s="14"/>
      <c r="J330" s="14"/>
      <c r="K330" s="12"/>
    </row>
    <row r="331" ht="19.5" customHeight="1">
      <c r="A331" s="12"/>
      <c r="C331" s="12"/>
      <c r="D331" s="13"/>
      <c r="F331" s="14"/>
      <c r="G331" s="14"/>
      <c r="H331" s="14"/>
      <c r="I331" s="14"/>
      <c r="J331" s="14"/>
      <c r="K331" s="12"/>
    </row>
    <row r="332" ht="19.5" customHeight="1">
      <c r="A332" s="12"/>
      <c r="C332" s="12"/>
      <c r="D332" s="13"/>
      <c r="F332" s="14"/>
      <c r="G332" s="14"/>
      <c r="H332" s="14"/>
      <c r="I332" s="14"/>
      <c r="J332" s="14"/>
      <c r="K332" s="12"/>
    </row>
    <row r="333" ht="19.5" customHeight="1">
      <c r="A333" s="12"/>
      <c r="C333" s="12"/>
      <c r="D333" s="13"/>
      <c r="F333" s="14"/>
      <c r="G333" s="14"/>
      <c r="H333" s="14"/>
      <c r="I333" s="14"/>
      <c r="J333" s="14"/>
      <c r="K333" s="12"/>
    </row>
    <row r="334" ht="19.5" customHeight="1">
      <c r="A334" s="12"/>
      <c r="C334" s="12"/>
      <c r="D334" s="13"/>
      <c r="F334" s="14"/>
      <c r="G334" s="14"/>
      <c r="H334" s="14"/>
      <c r="I334" s="14"/>
      <c r="J334" s="14"/>
      <c r="K334" s="12"/>
    </row>
    <row r="335" ht="19.5" customHeight="1">
      <c r="A335" s="12"/>
      <c r="C335" s="12"/>
      <c r="D335" s="13"/>
      <c r="F335" s="14"/>
      <c r="G335" s="14"/>
      <c r="H335" s="14"/>
      <c r="I335" s="14"/>
      <c r="J335" s="14"/>
      <c r="K335" s="12"/>
    </row>
    <row r="336" ht="19.5" customHeight="1">
      <c r="A336" s="12"/>
      <c r="C336" s="12"/>
      <c r="D336" s="13"/>
      <c r="F336" s="14"/>
      <c r="G336" s="14"/>
      <c r="H336" s="14"/>
      <c r="I336" s="14"/>
      <c r="J336" s="14"/>
      <c r="K336" s="12"/>
    </row>
    <row r="337" ht="19.5" customHeight="1">
      <c r="A337" s="12"/>
      <c r="C337" s="12"/>
      <c r="D337" s="13"/>
      <c r="F337" s="14"/>
      <c r="G337" s="14"/>
      <c r="H337" s="14"/>
      <c r="I337" s="14"/>
      <c r="J337" s="14"/>
      <c r="K337" s="12"/>
    </row>
    <row r="338" ht="19.5" customHeight="1">
      <c r="A338" s="12"/>
      <c r="C338" s="12"/>
      <c r="D338" s="13"/>
      <c r="F338" s="14"/>
      <c r="G338" s="14"/>
      <c r="H338" s="14"/>
      <c r="I338" s="14"/>
      <c r="J338" s="14"/>
      <c r="K338" s="12"/>
    </row>
    <row r="339" ht="19.5" customHeight="1">
      <c r="A339" s="12"/>
      <c r="C339" s="12"/>
      <c r="D339" s="13"/>
      <c r="F339" s="14"/>
      <c r="G339" s="14"/>
      <c r="H339" s="14"/>
      <c r="I339" s="14"/>
      <c r="J339" s="14"/>
      <c r="K339" s="12"/>
    </row>
    <row r="340" ht="19.5" customHeight="1">
      <c r="A340" s="12"/>
      <c r="C340" s="12"/>
      <c r="D340" s="13"/>
      <c r="F340" s="14"/>
      <c r="G340" s="14"/>
      <c r="H340" s="14"/>
      <c r="I340" s="14"/>
      <c r="J340" s="14"/>
      <c r="K340" s="12"/>
    </row>
    <row r="341" ht="19.5" customHeight="1">
      <c r="A341" s="12"/>
      <c r="C341" s="12"/>
      <c r="D341" s="13"/>
      <c r="F341" s="14"/>
      <c r="G341" s="14"/>
      <c r="H341" s="14"/>
      <c r="I341" s="14"/>
      <c r="J341" s="14"/>
      <c r="K341" s="12"/>
    </row>
    <row r="342" ht="19.5" customHeight="1">
      <c r="A342" s="12"/>
      <c r="C342" s="12"/>
      <c r="D342" s="13"/>
      <c r="F342" s="14"/>
      <c r="G342" s="14"/>
      <c r="H342" s="14"/>
      <c r="I342" s="14"/>
      <c r="J342" s="14"/>
      <c r="K342" s="12"/>
    </row>
    <row r="343" ht="19.5" customHeight="1">
      <c r="A343" s="12"/>
      <c r="C343" s="12"/>
      <c r="D343" s="13"/>
      <c r="F343" s="14"/>
      <c r="G343" s="14"/>
      <c r="H343" s="14"/>
      <c r="I343" s="14"/>
      <c r="J343" s="14"/>
      <c r="K343" s="12"/>
    </row>
    <row r="344" ht="19.5" customHeight="1">
      <c r="A344" s="12"/>
      <c r="C344" s="12"/>
      <c r="D344" s="13"/>
      <c r="F344" s="14"/>
      <c r="G344" s="14"/>
      <c r="H344" s="14"/>
      <c r="I344" s="14"/>
      <c r="J344" s="14"/>
      <c r="K344" s="12"/>
    </row>
    <row r="345" ht="19.5" customHeight="1">
      <c r="A345" s="12"/>
      <c r="C345" s="12"/>
      <c r="D345" s="13"/>
      <c r="F345" s="14"/>
      <c r="G345" s="14"/>
      <c r="H345" s="14"/>
      <c r="I345" s="14"/>
      <c r="J345" s="14"/>
      <c r="K345" s="12"/>
    </row>
    <row r="346" ht="19.5" customHeight="1">
      <c r="A346" s="12"/>
      <c r="C346" s="12"/>
      <c r="D346" s="13"/>
      <c r="F346" s="14"/>
      <c r="G346" s="14"/>
      <c r="H346" s="14"/>
      <c r="I346" s="14"/>
      <c r="J346" s="14"/>
      <c r="K346" s="12"/>
    </row>
    <row r="347" ht="19.5" customHeight="1">
      <c r="A347" s="12"/>
      <c r="C347" s="12"/>
      <c r="D347" s="13"/>
      <c r="F347" s="14"/>
      <c r="G347" s="14"/>
      <c r="H347" s="14"/>
      <c r="I347" s="14"/>
      <c r="J347" s="14"/>
      <c r="K347" s="12"/>
    </row>
    <row r="348" ht="19.5" customHeight="1">
      <c r="A348" s="12"/>
      <c r="C348" s="12"/>
      <c r="D348" s="13"/>
      <c r="F348" s="14"/>
      <c r="G348" s="14"/>
      <c r="H348" s="14"/>
      <c r="I348" s="14"/>
      <c r="J348" s="14"/>
      <c r="K348" s="12"/>
    </row>
    <row r="349" ht="19.5" customHeight="1">
      <c r="A349" s="12"/>
      <c r="C349" s="12"/>
      <c r="D349" s="13"/>
      <c r="F349" s="14"/>
      <c r="G349" s="14"/>
      <c r="H349" s="14"/>
      <c r="I349" s="14"/>
      <c r="J349" s="14"/>
      <c r="K349" s="12"/>
    </row>
    <row r="350" ht="19.5" customHeight="1">
      <c r="A350" s="12"/>
      <c r="C350" s="12"/>
      <c r="D350" s="13"/>
      <c r="F350" s="14"/>
      <c r="G350" s="14"/>
      <c r="H350" s="14"/>
      <c r="I350" s="14"/>
      <c r="J350" s="14"/>
      <c r="K350" s="12"/>
    </row>
    <row r="351" ht="19.5" customHeight="1">
      <c r="A351" s="12"/>
      <c r="C351" s="12"/>
      <c r="D351" s="13"/>
      <c r="F351" s="14"/>
      <c r="G351" s="14"/>
      <c r="H351" s="14"/>
      <c r="I351" s="14"/>
      <c r="J351" s="14"/>
      <c r="K351" s="12"/>
    </row>
    <row r="352" ht="19.5" customHeight="1">
      <c r="A352" s="12"/>
      <c r="C352" s="12"/>
      <c r="D352" s="13"/>
      <c r="F352" s="14"/>
      <c r="G352" s="14"/>
      <c r="H352" s="14"/>
      <c r="I352" s="14"/>
      <c r="J352" s="14"/>
      <c r="K352" s="12"/>
    </row>
    <row r="353" ht="19.5" customHeight="1">
      <c r="A353" s="12"/>
      <c r="C353" s="12"/>
      <c r="D353" s="13"/>
      <c r="F353" s="14"/>
      <c r="G353" s="14"/>
      <c r="H353" s="14"/>
      <c r="I353" s="14"/>
      <c r="J353" s="14"/>
      <c r="K353" s="12"/>
    </row>
    <row r="354" ht="19.5" customHeight="1">
      <c r="A354" s="12"/>
      <c r="C354" s="12"/>
      <c r="D354" s="13"/>
      <c r="F354" s="14"/>
      <c r="G354" s="14"/>
      <c r="H354" s="14"/>
      <c r="I354" s="14"/>
      <c r="J354" s="14"/>
      <c r="K354" s="12"/>
    </row>
    <row r="355" ht="19.5" customHeight="1">
      <c r="A355" s="12"/>
      <c r="C355" s="12"/>
      <c r="D355" s="13"/>
      <c r="F355" s="14"/>
      <c r="G355" s="14"/>
      <c r="H355" s="14"/>
      <c r="I355" s="14"/>
      <c r="J355" s="14"/>
      <c r="K355" s="12"/>
    </row>
    <row r="356" ht="19.5" customHeight="1">
      <c r="A356" s="12"/>
      <c r="C356" s="12"/>
      <c r="D356" s="13"/>
      <c r="F356" s="14"/>
      <c r="G356" s="14"/>
      <c r="H356" s="14"/>
      <c r="I356" s="14"/>
      <c r="J356" s="14"/>
      <c r="K356" s="12"/>
    </row>
    <row r="357" ht="19.5" customHeight="1">
      <c r="A357" s="12"/>
      <c r="C357" s="12"/>
      <c r="D357" s="13"/>
      <c r="F357" s="14"/>
      <c r="G357" s="14"/>
      <c r="H357" s="14"/>
      <c r="I357" s="14"/>
      <c r="J357" s="14"/>
      <c r="K357" s="12"/>
    </row>
    <row r="358" ht="19.5" customHeight="1">
      <c r="A358" s="12"/>
      <c r="C358" s="12"/>
      <c r="D358" s="13"/>
      <c r="F358" s="14"/>
      <c r="G358" s="14"/>
      <c r="H358" s="14"/>
      <c r="I358" s="14"/>
      <c r="J358" s="14"/>
      <c r="K358" s="12"/>
    </row>
    <row r="359" ht="19.5" customHeight="1">
      <c r="A359" s="12"/>
      <c r="C359" s="12"/>
      <c r="D359" s="13"/>
      <c r="F359" s="14"/>
      <c r="G359" s="14"/>
      <c r="H359" s="14"/>
      <c r="I359" s="14"/>
      <c r="J359" s="14"/>
      <c r="K359" s="12"/>
    </row>
    <row r="360" ht="19.5" customHeight="1">
      <c r="A360" s="12"/>
      <c r="C360" s="12"/>
      <c r="D360" s="13"/>
      <c r="F360" s="14"/>
      <c r="G360" s="14"/>
      <c r="H360" s="14"/>
      <c r="I360" s="14"/>
      <c r="J360" s="14"/>
      <c r="K360" s="12"/>
    </row>
    <row r="361" ht="19.5" customHeight="1">
      <c r="A361" s="12"/>
      <c r="C361" s="12"/>
      <c r="D361" s="13"/>
      <c r="F361" s="14"/>
      <c r="G361" s="14"/>
      <c r="H361" s="14"/>
      <c r="I361" s="14"/>
      <c r="J361" s="14"/>
      <c r="K361" s="12"/>
    </row>
    <row r="362" ht="19.5" customHeight="1">
      <c r="A362" s="12"/>
      <c r="C362" s="12"/>
      <c r="D362" s="13"/>
      <c r="F362" s="14"/>
      <c r="G362" s="14"/>
      <c r="H362" s="14"/>
      <c r="I362" s="14"/>
      <c r="J362" s="14"/>
      <c r="K362" s="12"/>
    </row>
    <row r="363" ht="19.5" customHeight="1">
      <c r="A363" s="12"/>
      <c r="C363" s="12"/>
      <c r="D363" s="13"/>
      <c r="F363" s="14"/>
      <c r="G363" s="14"/>
      <c r="H363" s="14"/>
      <c r="I363" s="14"/>
      <c r="J363" s="14"/>
      <c r="K363" s="12"/>
    </row>
    <row r="364" ht="19.5" customHeight="1">
      <c r="A364" s="12"/>
      <c r="C364" s="12"/>
      <c r="D364" s="13"/>
      <c r="F364" s="14"/>
      <c r="G364" s="14"/>
      <c r="H364" s="14"/>
      <c r="I364" s="14"/>
      <c r="J364" s="14"/>
      <c r="K364" s="12"/>
    </row>
    <row r="365" ht="19.5" customHeight="1">
      <c r="A365" s="12"/>
      <c r="C365" s="12"/>
      <c r="D365" s="13"/>
      <c r="F365" s="14"/>
      <c r="G365" s="14"/>
      <c r="H365" s="14"/>
      <c r="I365" s="14"/>
      <c r="J365" s="14"/>
      <c r="K365" s="12"/>
    </row>
    <row r="366" ht="19.5" customHeight="1">
      <c r="A366" s="12"/>
      <c r="C366" s="12"/>
      <c r="D366" s="13"/>
      <c r="F366" s="14"/>
      <c r="G366" s="14"/>
      <c r="H366" s="14"/>
      <c r="I366" s="14"/>
      <c r="J366" s="14"/>
      <c r="K366" s="12"/>
    </row>
    <row r="367" ht="19.5" customHeight="1">
      <c r="A367" s="12"/>
      <c r="C367" s="12"/>
      <c r="D367" s="13"/>
      <c r="F367" s="14"/>
      <c r="G367" s="14"/>
      <c r="H367" s="14"/>
      <c r="I367" s="14"/>
      <c r="J367" s="14"/>
      <c r="K367" s="12"/>
    </row>
    <row r="368" ht="19.5" customHeight="1">
      <c r="A368" s="12"/>
      <c r="C368" s="12"/>
      <c r="D368" s="13"/>
      <c r="F368" s="14"/>
      <c r="G368" s="14"/>
      <c r="H368" s="14"/>
      <c r="I368" s="14"/>
      <c r="J368" s="14"/>
      <c r="K368" s="12"/>
    </row>
    <row r="369" ht="19.5" customHeight="1">
      <c r="A369" s="12"/>
      <c r="C369" s="12"/>
      <c r="D369" s="13"/>
      <c r="F369" s="14"/>
      <c r="G369" s="14"/>
      <c r="H369" s="14"/>
      <c r="I369" s="14"/>
      <c r="J369" s="14"/>
      <c r="K369" s="12"/>
    </row>
    <row r="370" ht="19.5" customHeight="1">
      <c r="A370" s="12"/>
      <c r="C370" s="12"/>
      <c r="D370" s="13"/>
      <c r="F370" s="14"/>
      <c r="G370" s="14"/>
      <c r="H370" s="14"/>
      <c r="I370" s="14"/>
      <c r="J370" s="14"/>
      <c r="K370" s="12"/>
    </row>
    <row r="371" ht="19.5" customHeight="1">
      <c r="A371" s="12"/>
      <c r="C371" s="12"/>
      <c r="D371" s="13"/>
      <c r="F371" s="14"/>
      <c r="G371" s="14"/>
      <c r="H371" s="14"/>
      <c r="I371" s="14"/>
      <c r="J371" s="14"/>
      <c r="K371" s="12"/>
    </row>
    <row r="372" ht="19.5" customHeight="1">
      <c r="A372" s="12"/>
      <c r="C372" s="12"/>
      <c r="D372" s="13"/>
      <c r="F372" s="14"/>
      <c r="G372" s="14"/>
      <c r="H372" s="14"/>
      <c r="I372" s="14"/>
      <c r="J372" s="14"/>
      <c r="K372" s="12"/>
    </row>
    <row r="373" ht="19.5" customHeight="1">
      <c r="A373" s="12"/>
      <c r="C373" s="12"/>
      <c r="D373" s="13"/>
      <c r="F373" s="14"/>
      <c r="G373" s="14"/>
      <c r="H373" s="14"/>
      <c r="I373" s="14"/>
      <c r="J373" s="14"/>
      <c r="K373" s="12"/>
    </row>
    <row r="374" ht="19.5" customHeight="1">
      <c r="A374" s="12"/>
      <c r="C374" s="12"/>
      <c r="D374" s="13"/>
      <c r="F374" s="14"/>
      <c r="G374" s="14"/>
      <c r="H374" s="14"/>
      <c r="I374" s="14"/>
      <c r="J374" s="14"/>
      <c r="K374" s="12"/>
    </row>
    <row r="375" ht="19.5" customHeight="1">
      <c r="A375" s="12"/>
      <c r="C375" s="12"/>
      <c r="D375" s="13"/>
      <c r="F375" s="14"/>
      <c r="G375" s="14"/>
      <c r="H375" s="14"/>
      <c r="I375" s="14"/>
      <c r="J375" s="14"/>
      <c r="K375" s="12"/>
    </row>
    <row r="376" ht="19.5" customHeight="1">
      <c r="A376" s="12"/>
      <c r="C376" s="12"/>
      <c r="D376" s="13"/>
      <c r="F376" s="14"/>
      <c r="G376" s="14"/>
      <c r="H376" s="14"/>
      <c r="I376" s="14"/>
      <c r="J376" s="14"/>
      <c r="K376" s="12"/>
    </row>
    <row r="377" ht="19.5" customHeight="1">
      <c r="A377" s="12"/>
      <c r="C377" s="12"/>
      <c r="D377" s="13"/>
      <c r="F377" s="14"/>
      <c r="G377" s="14"/>
      <c r="H377" s="14"/>
      <c r="I377" s="14"/>
      <c r="J377" s="14"/>
      <c r="K377" s="12"/>
    </row>
    <row r="378" ht="19.5" customHeight="1">
      <c r="A378" s="12"/>
      <c r="C378" s="12"/>
      <c r="D378" s="13"/>
      <c r="F378" s="14"/>
      <c r="G378" s="14"/>
      <c r="H378" s="14"/>
      <c r="I378" s="14"/>
      <c r="J378" s="14"/>
      <c r="K378" s="12"/>
    </row>
    <row r="379" ht="19.5" customHeight="1">
      <c r="A379" s="12"/>
      <c r="C379" s="12"/>
      <c r="D379" s="13"/>
      <c r="F379" s="14"/>
      <c r="G379" s="14"/>
      <c r="H379" s="14"/>
      <c r="I379" s="14"/>
      <c r="J379" s="14"/>
      <c r="K379" s="12"/>
    </row>
    <row r="380" ht="19.5" customHeight="1">
      <c r="A380" s="12"/>
      <c r="C380" s="12"/>
      <c r="D380" s="13"/>
      <c r="F380" s="14"/>
      <c r="G380" s="14"/>
      <c r="H380" s="14"/>
      <c r="I380" s="14"/>
      <c r="J380" s="14"/>
      <c r="K380" s="12"/>
    </row>
    <row r="381" ht="19.5" customHeight="1">
      <c r="A381" s="12"/>
      <c r="C381" s="12"/>
      <c r="D381" s="13"/>
      <c r="F381" s="14"/>
      <c r="G381" s="14"/>
      <c r="H381" s="14"/>
      <c r="I381" s="14"/>
      <c r="J381" s="14"/>
      <c r="K381" s="12"/>
    </row>
    <row r="382" ht="19.5" customHeight="1">
      <c r="A382" s="12"/>
      <c r="C382" s="12"/>
      <c r="D382" s="13"/>
      <c r="F382" s="14"/>
      <c r="G382" s="14"/>
      <c r="H382" s="14"/>
      <c r="I382" s="14"/>
      <c r="J382" s="14"/>
      <c r="K382" s="12"/>
    </row>
    <row r="383" ht="19.5" customHeight="1">
      <c r="A383" s="12"/>
      <c r="C383" s="12"/>
      <c r="D383" s="13"/>
      <c r="F383" s="14"/>
      <c r="G383" s="14"/>
      <c r="H383" s="14"/>
      <c r="I383" s="14"/>
      <c r="J383" s="14"/>
      <c r="K383" s="12"/>
    </row>
    <row r="384" ht="19.5" customHeight="1">
      <c r="A384" s="12"/>
      <c r="C384" s="12"/>
      <c r="D384" s="13"/>
      <c r="F384" s="14"/>
      <c r="G384" s="14"/>
      <c r="H384" s="14"/>
      <c r="I384" s="14"/>
      <c r="J384" s="14"/>
      <c r="K384" s="12"/>
    </row>
    <row r="385" ht="19.5" customHeight="1">
      <c r="A385" s="12"/>
      <c r="C385" s="12"/>
      <c r="D385" s="13"/>
      <c r="F385" s="14"/>
      <c r="G385" s="14"/>
      <c r="H385" s="14"/>
      <c r="I385" s="14"/>
      <c r="J385" s="14"/>
      <c r="K385" s="12"/>
    </row>
    <row r="386" ht="19.5" customHeight="1">
      <c r="A386" s="12"/>
      <c r="C386" s="12"/>
      <c r="D386" s="13"/>
      <c r="F386" s="14"/>
      <c r="G386" s="14"/>
      <c r="H386" s="14"/>
      <c r="I386" s="14"/>
      <c r="J386" s="14"/>
      <c r="K386" s="12"/>
    </row>
    <row r="387" ht="19.5" customHeight="1">
      <c r="A387" s="12"/>
      <c r="C387" s="12"/>
      <c r="D387" s="13"/>
      <c r="F387" s="14"/>
      <c r="G387" s="14"/>
      <c r="H387" s="14"/>
      <c r="I387" s="14"/>
      <c r="J387" s="14"/>
      <c r="K387" s="12"/>
    </row>
    <row r="388" ht="19.5" customHeight="1">
      <c r="A388" s="12"/>
      <c r="C388" s="12"/>
      <c r="D388" s="13"/>
      <c r="F388" s="14"/>
      <c r="G388" s="14"/>
      <c r="H388" s="14"/>
      <c r="I388" s="14"/>
      <c r="J388" s="14"/>
      <c r="K388" s="12"/>
    </row>
    <row r="389" ht="19.5" customHeight="1">
      <c r="A389" s="12"/>
      <c r="C389" s="12"/>
      <c r="D389" s="13"/>
      <c r="F389" s="14"/>
      <c r="G389" s="14"/>
      <c r="H389" s="14"/>
      <c r="I389" s="14"/>
      <c r="J389" s="14"/>
      <c r="K389" s="12"/>
    </row>
    <row r="390" ht="19.5" customHeight="1">
      <c r="A390" s="12"/>
      <c r="C390" s="12"/>
      <c r="D390" s="13"/>
      <c r="F390" s="14"/>
      <c r="G390" s="14"/>
      <c r="H390" s="14"/>
      <c r="I390" s="14"/>
      <c r="J390" s="14"/>
      <c r="K390" s="12"/>
    </row>
    <row r="391" ht="19.5" customHeight="1">
      <c r="A391" s="12"/>
      <c r="C391" s="12"/>
      <c r="D391" s="13"/>
      <c r="F391" s="14"/>
      <c r="G391" s="14"/>
      <c r="H391" s="14"/>
      <c r="I391" s="14"/>
      <c r="J391" s="14"/>
      <c r="K391" s="12"/>
    </row>
    <row r="392" ht="19.5" customHeight="1">
      <c r="A392" s="12"/>
      <c r="C392" s="12"/>
      <c r="D392" s="13"/>
      <c r="F392" s="14"/>
      <c r="G392" s="14"/>
      <c r="H392" s="14"/>
      <c r="I392" s="14"/>
      <c r="J392" s="14"/>
      <c r="K392" s="12"/>
    </row>
    <row r="393" ht="19.5" customHeight="1">
      <c r="A393" s="12"/>
      <c r="C393" s="12"/>
      <c r="D393" s="13"/>
      <c r="F393" s="14"/>
      <c r="G393" s="14"/>
      <c r="H393" s="14"/>
      <c r="I393" s="14"/>
      <c r="J393" s="14"/>
      <c r="K393" s="12"/>
    </row>
    <row r="394" ht="19.5" customHeight="1">
      <c r="A394" s="12"/>
      <c r="C394" s="12"/>
      <c r="D394" s="13"/>
      <c r="F394" s="14"/>
      <c r="G394" s="14"/>
      <c r="H394" s="14"/>
      <c r="I394" s="14"/>
      <c r="J394" s="14"/>
      <c r="K394" s="12"/>
    </row>
    <row r="395" ht="19.5" customHeight="1">
      <c r="A395" s="12"/>
      <c r="C395" s="12"/>
      <c r="D395" s="13"/>
      <c r="F395" s="14"/>
      <c r="G395" s="14"/>
      <c r="H395" s="14"/>
      <c r="I395" s="14"/>
      <c r="J395" s="14"/>
      <c r="K395" s="12"/>
    </row>
    <row r="396" ht="19.5" customHeight="1">
      <c r="A396" s="12"/>
      <c r="C396" s="12"/>
      <c r="D396" s="13"/>
      <c r="F396" s="14"/>
      <c r="G396" s="14"/>
      <c r="H396" s="14"/>
      <c r="I396" s="14"/>
      <c r="J396" s="14"/>
      <c r="K396" s="12"/>
    </row>
    <row r="397" ht="19.5" customHeight="1">
      <c r="A397" s="12"/>
      <c r="C397" s="12"/>
      <c r="D397" s="13"/>
      <c r="F397" s="14"/>
      <c r="G397" s="14"/>
      <c r="H397" s="14"/>
      <c r="I397" s="14"/>
      <c r="J397" s="14"/>
      <c r="K397" s="12"/>
    </row>
    <row r="398" ht="19.5" customHeight="1">
      <c r="A398" s="12"/>
      <c r="C398" s="12"/>
      <c r="D398" s="13"/>
      <c r="F398" s="14"/>
      <c r="G398" s="14"/>
      <c r="H398" s="14"/>
      <c r="I398" s="14"/>
      <c r="J398" s="14"/>
      <c r="K398" s="12"/>
    </row>
    <row r="399" ht="19.5" customHeight="1">
      <c r="A399" s="12"/>
      <c r="C399" s="12"/>
      <c r="D399" s="13"/>
      <c r="F399" s="14"/>
      <c r="G399" s="14"/>
      <c r="H399" s="14"/>
      <c r="I399" s="14"/>
      <c r="J399" s="14"/>
      <c r="K399" s="12"/>
    </row>
    <row r="400" ht="19.5" customHeight="1">
      <c r="A400" s="12"/>
      <c r="C400" s="12"/>
      <c r="D400" s="13"/>
      <c r="F400" s="14"/>
      <c r="G400" s="14"/>
      <c r="H400" s="14"/>
      <c r="I400" s="14"/>
      <c r="J400" s="14"/>
      <c r="K400" s="12"/>
    </row>
    <row r="401" ht="19.5" customHeight="1">
      <c r="A401" s="12"/>
      <c r="C401" s="12"/>
      <c r="D401" s="13"/>
      <c r="F401" s="14"/>
      <c r="G401" s="14"/>
      <c r="H401" s="14"/>
      <c r="I401" s="14"/>
      <c r="J401" s="14"/>
      <c r="K401" s="12"/>
    </row>
    <row r="402" ht="19.5" customHeight="1">
      <c r="A402" s="12"/>
      <c r="C402" s="12"/>
      <c r="D402" s="13"/>
      <c r="F402" s="14"/>
      <c r="G402" s="14"/>
      <c r="H402" s="14"/>
      <c r="I402" s="14"/>
      <c r="J402" s="14"/>
      <c r="K402" s="12"/>
    </row>
    <row r="403" ht="19.5" customHeight="1">
      <c r="A403" s="12"/>
      <c r="C403" s="12"/>
      <c r="D403" s="13"/>
      <c r="F403" s="14"/>
      <c r="G403" s="14"/>
      <c r="H403" s="14"/>
      <c r="I403" s="14"/>
      <c r="J403" s="14"/>
      <c r="K403" s="12"/>
    </row>
    <row r="404" ht="19.5" customHeight="1">
      <c r="A404" s="12"/>
      <c r="C404" s="12"/>
      <c r="D404" s="13"/>
      <c r="F404" s="14"/>
      <c r="G404" s="14"/>
      <c r="H404" s="14"/>
      <c r="I404" s="14"/>
      <c r="J404" s="14"/>
      <c r="K404" s="12"/>
    </row>
    <row r="405" ht="19.5" customHeight="1">
      <c r="A405" s="12"/>
      <c r="C405" s="12"/>
      <c r="D405" s="13"/>
      <c r="F405" s="14"/>
      <c r="G405" s="14"/>
      <c r="H405" s="14"/>
      <c r="I405" s="14"/>
      <c r="J405" s="14"/>
      <c r="K405" s="12"/>
    </row>
    <row r="406" ht="19.5" customHeight="1">
      <c r="A406" s="12"/>
      <c r="C406" s="12"/>
      <c r="D406" s="13"/>
      <c r="F406" s="14"/>
      <c r="G406" s="14"/>
      <c r="H406" s="14"/>
      <c r="I406" s="14"/>
      <c r="J406" s="14"/>
      <c r="K406" s="12"/>
    </row>
    <row r="407" ht="19.5" customHeight="1">
      <c r="A407" s="12"/>
      <c r="C407" s="12"/>
      <c r="D407" s="13"/>
      <c r="F407" s="14"/>
      <c r="G407" s="14"/>
      <c r="H407" s="14"/>
      <c r="I407" s="14"/>
      <c r="J407" s="14"/>
      <c r="K407" s="12"/>
    </row>
    <row r="408" ht="19.5" customHeight="1">
      <c r="A408" s="12"/>
      <c r="C408" s="12"/>
      <c r="D408" s="13"/>
      <c r="F408" s="14"/>
      <c r="G408" s="14"/>
      <c r="H408" s="14"/>
      <c r="I408" s="14"/>
      <c r="J408" s="14"/>
      <c r="K408" s="12"/>
    </row>
    <row r="409" ht="19.5" customHeight="1">
      <c r="A409" s="12"/>
      <c r="C409" s="12"/>
      <c r="D409" s="13"/>
      <c r="F409" s="14"/>
      <c r="G409" s="14"/>
      <c r="H409" s="14"/>
      <c r="I409" s="14"/>
      <c r="J409" s="14"/>
      <c r="K409" s="12"/>
    </row>
    <row r="410" ht="19.5" customHeight="1">
      <c r="A410" s="12"/>
      <c r="C410" s="12"/>
      <c r="D410" s="13"/>
      <c r="F410" s="14"/>
      <c r="G410" s="14"/>
      <c r="H410" s="14"/>
      <c r="I410" s="14"/>
      <c r="J410" s="14"/>
      <c r="K410" s="12"/>
    </row>
    <row r="411" ht="19.5" customHeight="1">
      <c r="A411" s="12"/>
      <c r="C411" s="12"/>
      <c r="D411" s="13"/>
      <c r="F411" s="14"/>
      <c r="G411" s="14"/>
      <c r="H411" s="14"/>
      <c r="I411" s="14"/>
      <c r="J411" s="14"/>
      <c r="K411" s="12"/>
    </row>
    <row r="412" ht="19.5" customHeight="1">
      <c r="A412" s="12"/>
      <c r="C412" s="12"/>
      <c r="D412" s="13"/>
      <c r="F412" s="14"/>
      <c r="G412" s="14"/>
      <c r="H412" s="14"/>
      <c r="I412" s="14"/>
      <c r="J412" s="14"/>
      <c r="K412" s="12"/>
    </row>
    <row r="413" ht="19.5" customHeight="1">
      <c r="A413" s="12"/>
      <c r="C413" s="12"/>
      <c r="D413" s="13"/>
      <c r="F413" s="14"/>
      <c r="G413" s="14"/>
      <c r="H413" s="14"/>
      <c r="I413" s="14"/>
      <c r="J413" s="14"/>
      <c r="K413" s="12"/>
    </row>
    <row r="414" ht="19.5" customHeight="1">
      <c r="A414" s="12"/>
      <c r="C414" s="12"/>
      <c r="D414" s="13"/>
      <c r="F414" s="14"/>
      <c r="G414" s="14"/>
      <c r="H414" s="14"/>
      <c r="I414" s="14"/>
      <c r="J414" s="14"/>
      <c r="K414" s="12"/>
    </row>
    <row r="415" ht="19.5" customHeight="1">
      <c r="A415" s="12"/>
      <c r="C415" s="12"/>
      <c r="D415" s="13"/>
      <c r="F415" s="14"/>
      <c r="G415" s="14"/>
      <c r="H415" s="14"/>
      <c r="I415" s="14"/>
      <c r="J415" s="14"/>
      <c r="K415" s="12"/>
    </row>
    <row r="416" ht="19.5" customHeight="1">
      <c r="A416" s="12"/>
      <c r="C416" s="12"/>
      <c r="D416" s="13"/>
      <c r="F416" s="14"/>
      <c r="G416" s="14"/>
      <c r="H416" s="14"/>
      <c r="I416" s="14"/>
      <c r="J416" s="14"/>
      <c r="K416" s="12"/>
    </row>
    <row r="417" ht="19.5" customHeight="1">
      <c r="A417" s="12"/>
      <c r="C417" s="12"/>
      <c r="D417" s="13"/>
      <c r="F417" s="14"/>
      <c r="G417" s="14"/>
      <c r="H417" s="14"/>
      <c r="I417" s="14"/>
      <c r="J417" s="14"/>
      <c r="K417" s="12"/>
    </row>
    <row r="418" ht="19.5" customHeight="1">
      <c r="A418" s="12"/>
      <c r="C418" s="12"/>
      <c r="D418" s="13"/>
      <c r="F418" s="14"/>
      <c r="G418" s="14"/>
      <c r="H418" s="14"/>
      <c r="I418" s="14"/>
      <c r="J418" s="14"/>
      <c r="K418" s="12"/>
    </row>
    <row r="419" ht="19.5" customHeight="1">
      <c r="A419" s="12"/>
      <c r="C419" s="12"/>
      <c r="D419" s="13"/>
      <c r="F419" s="14"/>
      <c r="G419" s="14"/>
      <c r="H419" s="14"/>
      <c r="I419" s="14"/>
      <c r="J419" s="14"/>
      <c r="K419" s="12"/>
    </row>
    <row r="420" ht="19.5" customHeight="1">
      <c r="A420" s="12"/>
      <c r="C420" s="12"/>
      <c r="D420" s="13"/>
      <c r="F420" s="14"/>
      <c r="G420" s="14"/>
      <c r="H420" s="14"/>
      <c r="I420" s="14"/>
      <c r="J420" s="14"/>
      <c r="K420" s="12"/>
    </row>
    <row r="421" ht="19.5" customHeight="1">
      <c r="A421" s="12"/>
      <c r="C421" s="12"/>
      <c r="D421" s="13"/>
      <c r="F421" s="14"/>
      <c r="G421" s="14"/>
      <c r="H421" s="14"/>
      <c r="I421" s="14"/>
      <c r="J421" s="14"/>
      <c r="K421" s="12"/>
    </row>
    <row r="422" ht="19.5" customHeight="1">
      <c r="A422" s="12"/>
      <c r="C422" s="12"/>
      <c r="D422" s="13"/>
      <c r="F422" s="14"/>
      <c r="G422" s="14"/>
      <c r="H422" s="14"/>
      <c r="I422" s="14"/>
      <c r="J422" s="14"/>
      <c r="K422" s="12"/>
    </row>
    <row r="423" ht="19.5" customHeight="1">
      <c r="A423" s="12"/>
      <c r="C423" s="12"/>
      <c r="D423" s="13"/>
      <c r="F423" s="14"/>
      <c r="G423" s="14"/>
      <c r="H423" s="14"/>
      <c r="I423" s="14"/>
      <c r="J423" s="14"/>
      <c r="K423" s="12"/>
    </row>
    <row r="424" ht="19.5" customHeight="1">
      <c r="A424" s="12"/>
      <c r="C424" s="12"/>
      <c r="D424" s="13"/>
      <c r="F424" s="14"/>
      <c r="G424" s="14"/>
      <c r="H424" s="14"/>
      <c r="I424" s="14"/>
      <c r="J424" s="14"/>
      <c r="K424" s="12"/>
    </row>
    <row r="425" ht="19.5" customHeight="1">
      <c r="A425" s="12"/>
      <c r="C425" s="12"/>
      <c r="D425" s="13"/>
      <c r="F425" s="14"/>
      <c r="G425" s="14"/>
      <c r="H425" s="14"/>
      <c r="I425" s="14"/>
      <c r="J425" s="14"/>
      <c r="K425" s="12"/>
    </row>
    <row r="426" ht="19.5" customHeight="1">
      <c r="A426" s="12"/>
      <c r="C426" s="12"/>
      <c r="D426" s="13"/>
      <c r="F426" s="14"/>
      <c r="G426" s="14"/>
      <c r="H426" s="14"/>
      <c r="I426" s="14"/>
      <c r="J426" s="14"/>
      <c r="K426" s="12"/>
    </row>
    <row r="427" ht="19.5" customHeight="1">
      <c r="A427" s="12"/>
      <c r="C427" s="12"/>
      <c r="D427" s="13"/>
      <c r="F427" s="14"/>
      <c r="G427" s="14"/>
      <c r="H427" s="14"/>
      <c r="I427" s="14"/>
      <c r="J427" s="14"/>
      <c r="K427" s="12"/>
    </row>
    <row r="428" ht="19.5" customHeight="1">
      <c r="A428" s="12"/>
      <c r="C428" s="12"/>
      <c r="D428" s="13"/>
      <c r="F428" s="14"/>
      <c r="G428" s="14"/>
      <c r="H428" s="14"/>
      <c r="I428" s="14"/>
      <c r="J428" s="14"/>
      <c r="K428" s="12"/>
    </row>
    <row r="429" ht="19.5" customHeight="1">
      <c r="A429" s="12"/>
      <c r="C429" s="12"/>
      <c r="D429" s="13"/>
      <c r="F429" s="14"/>
      <c r="G429" s="14"/>
      <c r="H429" s="14"/>
      <c r="I429" s="14"/>
      <c r="J429" s="14"/>
      <c r="K429" s="12"/>
    </row>
    <row r="430" ht="19.5" customHeight="1">
      <c r="A430" s="12"/>
      <c r="C430" s="12"/>
      <c r="D430" s="13"/>
      <c r="F430" s="14"/>
      <c r="G430" s="14"/>
      <c r="H430" s="14"/>
      <c r="I430" s="14"/>
      <c r="J430" s="14"/>
      <c r="K430" s="12"/>
    </row>
    <row r="431" ht="19.5" customHeight="1">
      <c r="A431" s="12"/>
      <c r="C431" s="12"/>
      <c r="D431" s="13"/>
      <c r="F431" s="14"/>
      <c r="G431" s="14"/>
      <c r="H431" s="14"/>
      <c r="I431" s="14"/>
      <c r="J431" s="14"/>
      <c r="K431" s="12"/>
    </row>
    <row r="432" ht="19.5" customHeight="1">
      <c r="A432" s="12"/>
      <c r="C432" s="12"/>
      <c r="D432" s="13"/>
      <c r="F432" s="14"/>
      <c r="G432" s="14"/>
      <c r="H432" s="14"/>
      <c r="I432" s="14"/>
      <c r="J432" s="14"/>
      <c r="K432" s="12"/>
    </row>
    <row r="433" ht="19.5" customHeight="1">
      <c r="A433" s="12"/>
      <c r="C433" s="12"/>
      <c r="D433" s="13"/>
      <c r="F433" s="14"/>
      <c r="G433" s="14"/>
      <c r="H433" s="14"/>
      <c r="I433" s="14"/>
      <c r="J433" s="14"/>
      <c r="K433" s="12"/>
    </row>
    <row r="434" ht="19.5" customHeight="1">
      <c r="A434" s="12"/>
      <c r="C434" s="12"/>
      <c r="D434" s="13"/>
      <c r="F434" s="14"/>
      <c r="G434" s="14"/>
      <c r="H434" s="14"/>
      <c r="I434" s="14"/>
      <c r="J434" s="14"/>
      <c r="K434" s="12"/>
    </row>
    <row r="435" ht="19.5" customHeight="1">
      <c r="A435" s="12"/>
      <c r="C435" s="12"/>
      <c r="D435" s="13"/>
      <c r="F435" s="14"/>
      <c r="G435" s="14"/>
      <c r="H435" s="14"/>
      <c r="I435" s="14"/>
      <c r="J435" s="14"/>
      <c r="K435" s="12"/>
    </row>
    <row r="436" ht="19.5" customHeight="1">
      <c r="A436" s="12"/>
      <c r="C436" s="12"/>
      <c r="D436" s="13"/>
      <c r="F436" s="14"/>
      <c r="G436" s="14"/>
      <c r="H436" s="14"/>
      <c r="I436" s="14"/>
      <c r="J436" s="14"/>
      <c r="K436" s="12"/>
    </row>
    <row r="437" ht="19.5" customHeight="1">
      <c r="A437" s="12"/>
      <c r="C437" s="12"/>
      <c r="D437" s="13"/>
      <c r="F437" s="14"/>
      <c r="G437" s="14"/>
      <c r="H437" s="14"/>
      <c r="I437" s="14"/>
      <c r="J437" s="14"/>
      <c r="K437" s="12"/>
    </row>
    <row r="438" ht="19.5" customHeight="1">
      <c r="A438" s="12"/>
      <c r="C438" s="12"/>
      <c r="D438" s="13"/>
      <c r="F438" s="14"/>
      <c r="G438" s="14"/>
      <c r="H438" s="14"/>
      <c r="I438" s="14"/>
      <c r="J438" s="14"/>
      <c r="K438" s="12"/>
    </row>
    <row r="439" ht="19.5" customHeight="1">
      <c r="A439" s="12"/>
      <c r="C439" s="12"/>
      <c r="D439" s="13"/>
      <c r="F439" s="14"/>
      <c r="G439" s="14"/>
      <c r="H439" s="14"/>
      <c r="I439" s="14"/>
      <c r="J439" s="14"/>
      <c r="K439" s="12"/>
    </row>
    <row r="440" ht="19.5" customHeight="1">
      <c r="A440" s="12"/>
      <c r="C440" s="12"/>
      <c r="D440" s="13"/>
      <c r="F440" s="14"/>
      <c r="G440" s="14"/>
      <c r="H440" s="14"/>
      <c r="I440" s="14"/>
      <c r="J440" s="14"/>
      <c r="K440" s="12"/>
    </row>
    <row r="441" ht="19.5" customHeight="1">
      <c r="A441" s="12"/>
      <c r="C441" s="12"/>
      <c r="D441" s="13"/>
      <c r="F441" s="14"/>
      <c r="G441" s="14"/>
      <c r="H441" s="14"/>
      <c r="I441" s="14"/>
      <c r="J441" s="14"/>
      <c r="K441" s="12"/>
    </row>
    <row r="442" ht="19.5" customHeight="1">
      <c r="A442" s="12"/>
      <c r="C442" s="12"/>
      <c r="D442" s="13"/>
      <c r="F442" s="14"/>
      <c r="G442" s="14"/>
      <c r="H442" s="14"/>
      <c r="I442" s="14"/>
      <c r="J442" s="14"/>
      <c r="K442" s="12"/>
    </row>
    <row r="443" ht="19.5" customHeight="1">
      <c r="A443" s="12"/>
      <c r="C443" s="12"/>
      <c r="D443" s="13"/>
      <c r="F443" s="14"/>
      <c r="G443" s="14"/>
      <c r="H443" s="14"/>
      <c r="I443" s="14"/>
      <c r="J443" s="14"/>
      <c r="K443" s="12"/>
    </row>
    <row r="444" ht="19.5" customHeight="1">
      <c r="A444" s="12"/>
      <c r="C444" s="12"/>
      <c r="D444" s="13"/>
      <c r="F444" s="14"/>
      <c r="G444" s="14"/>
      <c r="H444" s="14"/>
      <c r="I444" s="14"/>
      <c r="J444" s="14"/>
      <c r="K444" s="12"/>
    </row>
    <row r="445" ht="19.5" customHeight="1">
      <c r="A445" s="12"/>
      <c r="C445" s="12"/>
      <c r="D445" s="13"/>
      <c r="F445" s="14"/>
      <c r="G445" s="14"/>
      <c r="H445" s="14"/>
      <c r="I445" s="14"/>
      <c r="J445" s="14"/>
      <c r="K445" s="12"/>
    </row>
    <row r="446" ht="19.5" customHeight="1">
      <c r="A446" s="12"/>
      <c r="C446" s="12"/>
      <c r="D446" s="13"/>
      <c r="F446" s="14"/>
      <c r="G446" s="14"/>
      <c r="H446" s="14"/>
      <c r="I446" s="14"/>
      <c r="J446" s="14"/>
      <c r="K446" s="12"/>
    </row>
    <row r="447" ht="19.5" customHeight="1">
      <c r="A447" s="12"/>
      <c r="C447" s="12"/>
      <c r="D447" s="13"/>
      <c r="F447" s="14"/>
      <c r="G447" s="14"/>
      <c r="H447" s="14"/>
      <c r="I447" s="14"/>
      <c r="J447" s="14"/>
      <c r="K447" s="12"/>
    </row>
    <row r="448" ht="19.5" customHeight="1">
      <c r="A448" s="12"/>
      <c r="C448" s="12"/>
      <c r="D448" s="13"/>
      <c r="F448" s="14"/>
      <c r="G448" s="14"/>
      <c r="H448" s="14"/>
      <c r="I448" s="14"/>
      <c r="J448" s="14"/>
      <c r="K448" s="12"/>
    </row>
    <row r="449" ht="19.5" customHeight="1">
      <c r="A449" s="12"/>
      <c r="C449" s="12"/>
      <c r="D449" s="13"/>
      <c r="F449" s="14"/>
      <c r="G449" s="14"/>
      <c r="H449" s="14"/>
      <c r="I449" s="14"/>
      <c r="J449" s="14"/>
      <c r="K449" s="12"/>
    </row>
    <row r="450" ht="19.5" customHeight="1">
      <c r="A450" s="12"/>
      <c r="C450" s="12"/>
      <c r="D450" s="13"/>
      <c r="F450" s="14"/>
      <c r="G450" s="14"/>
      <c r="H450" s="14"/>
      <c r="I450" s="14"/>
      <c r="J450" s="14"/>
      <c r="K450" s="12"/>
    </row>
    <row r="451" ht="19.5" customHeight="1">
      <c r="A451" s="12"/>
      <c r="C451" s="12"/>
      <c r="D451" s="13"/>
      <c r="F451" s="14"/>
      <c r="G451" s="14"/>
      <c r="H451" s="14"/>
      <c r="I451" s="14"/>
      <c r="J451" s="14"/>
      <c r="K451" s="12"/>
    </row>
    <row r="452" ht="19.5" customHeight="1">
      <c r="A452" s="12"/>
      <c r="C452" s="12"/>
      <c r="D452" s="13"/>
      <c r="F452" s="14"/>
      <c r="G452" s="14"/>
      <c r="H452" s="14"/>
      <c r="I452" s="14"/>
      <c r="J452" s="14"/>
      <c r="K452" s="12"/>
    </row>
    <row r="453" ht="19.5" customHeight="1">
      <c r="A453" s="12"/>
      <c r="C453" s="12"/>
      <c r="D453" s="13"/>
      <c r="F453" s="14"/>
      <c r="G453" s="14"/>
      <c r="H453" s="14"/>
      <c r="I453" s="14"/>
      <c r="J453" s="14"/>
      <c r="K453" s="12"/>
    </row>
    <row r="454" ht="19.5" customHeight="1">
      <c r="A454" s="12"/>
      <c r="C454" s="12"/>
      <c r="D454" s="13"/>
      <c r="F454" s="14"/>
      <c r="G454" s="14"/>
      <c r="H454" s="14"/>
      <c r="I454" s="14"/>
      <c r="J454" s="14"/>
      <c r="K454" s="12"/>
    </row>
    <row r="455" ht="19.5" customHeight="1">
      <c r="A455" s="12"/>
      <c r="C455" s="12"/>
      <c r="D455" s="13"/>
      <c r="F455" s="14"/>
      <c r="G455" s="14"/>
      <c r="H455" s="14"/>
      <c r="I455" s="14"/>
      <c r="J455" s="14"/>
      <c r="K455" s="12"/>
    </row>
    <row r="456" ht="19.5" customHeight="1">
      <c r="A456" s="12"/>
      <c r="C456" s="12"/>
      <c r="D456" s="13"/>
      <c r="F456" s="14"/>
      <c r="G456" s="14"/>
      <c r="H456" s="14"/>
      <c r="I456" s="14"/>
      <c r="J456" s="14"/>
      <c r="K456" s="12"/>
    </row>
    <row r="457" ht="19.5" customHeight="1">
      <c r="A457" s="12"/>
      <c r="C457" s="12"/>
      <c r="D457" s="13"/>
      <c r="F457" s="14"/>
      <c r="G457" s="14"/>
      <c r="H457" s="14"/>
      <c r="I457" s="14"/>
      <c r="J457" s="14"/>
      <c r="K457" s="12"/>
    </row>
    <row r="458" ht="19.5" customHeight="1">
      <c r="A458" s="12"/>
      <c r="C458" s="12"/>
      <c r="D458" s="13"/>
      <c r="F458" s="14"/>
      <c r="G458" s="14"/>
      <c r="H458" s="14"/>
      <c r="I458" s="14"/>
      <c r="J458" s="14"/>
      <c r="K458" s="12"/>
    </row>
    <row r="459" ht="19.5" customHeight="1">
      <c r="A459" s="12"/>
      <c r="C459" s="12"/>
      <c r="D459" s="13"/>
      <c r="F459" s="14"/>
      <c r="G459" s="14"/>
      <c r="H459" s="14"/>
      <c r="I459" s="14"/>
      <c r="J459" s="14"/>
      <c r="K459" s="12"/>
    </row>
    <row r="460" ht="19.5" customHeight="1">
      <c r="A460" s="12"/>
      <c r="C460" s="12"/>
      <c r="D460" s="13"/>
      <c r="F460" s="14"/>
      <c r="G460" s="14"/>
      <c r="H460" s="14"/>
      <c r="I460" s="14"/>
      <c r="J460" s="14"/>
      <c r="K460" s="12"/>
    </row>
    <row r="461" ht="19.5" customHeight="1">
      <c r="A461" s="12"/>
      <c r="C461" s="12"/>
      <c r="D461" s="13"/>
      <c r="F461" s="14"/>
      <c r="G461" s="14"/>
      <c r="H461" s="14"/>
      <c r="I461" s="14"/>
      <c r="J461" s="14"/>
      <c r="K461" s="12"/>
    </row>
    <row r="462" ht="19.5" customHeight="1">
      <c r="A462" s="12"/>
      <c r="C462" s="12"/>
      <c r="D462" s="13"/>
      <c r="F462" s="14"/>
      <c r="G462" s="14"/>
      <c r="H462" s="14"/>
      <c r="I462" s="14"/>
      <c r="J462" s="14"/>
      <c r="K462" s="12"/>
    </row>
    <row r="463" ht="19.5" customHeight="1">
      <c r="A463" s="12"/>
      <c r="C463" s="12"/>
      <c r="D463" s="13"/>
      <c r="F463" s="14"/>
      <c r="G463" s="14"/>
      <c r="H463" s="14"/>
      <c r="I463" s="14"/>
      <c r="J463" s="14"/>
      <c r="K463" s="12"/>
    </row>
    <row r="464" ht="19.5" customHeight="1">
      <c r="A464" s="12"/>
      <c r="C464" s="12"/>
      <c r="D464" s="13"/>
      <c r="F464" s="14"/>
      <c r="G464" s="14"/>
      <c r="H464" s="14"/>
      <c r="I464" s="14"/>
      <c r="J464" s="14"/>
      <c r="K464" s="12"/>
    </row>
    <row r="465" ht="19.5" customHeight="1">
      <c r="A465" s="12"/>
      <c r="C465" s="12"/>
      <c r="D465" s="13"/>
      <c r="F465" s="14"/>
      <c r="G465" s="14"/>
      <c r="H465" s="14"/>
      <c r="I465" s="14"/>
      <c r="J465" s="14"/>
      <c r="K465" s="12"/>
    </row>
    <row r="466" ht="19.5" customHeight="1">
      <c r="A466" s="12"/>
      <c r="C466" s="12"/>
      <c r="D466" s="13"/>
      <c r="F466" s="14"/>
      <c r="G466" s="14"/>
      <c r="H466" s="14"/>
      <c r="I466" s="14"/>
      <c r="J466" s="14"/>
      <c r="K466" s="12"/>
    </row>
    <row r="467" ht="19.5" customHeight="1">
      <c r="A467" s="12"/>
      <c r="C467" s="12"/>
      <c r="D467" s="13"/>
      <c r="F467" s="14"/>
      <c r="G467" s="14"/>
      <c r="H467" s="14"/>
      <c r="I467" s="14"/>
      <c r="J467" s="14"/>
      <c r="K467" s="12"/>
    </row>
    <row r="468" ht="19.5" customHeight="1">
      <c r="A468" s="12"/>
      <c r="C468" s="12"/>
      <c r="D468" s="13"/>
      <c r="F468" s="14"/>
      <c r="G468" s="14"/>
      <c r="H468" s="14"/>
      <c r="I468" s="14"/>
      <c r="J468" s="14"/>
      <c r="K468" s="12"/>
    </row>
    <row r="469" ht="19.5" customHeight="1">
      <c r="A469" s="12"/>
      <c r="C469" s="12"/>
      <c r="D469" s="13"/>
      <c r="F469" s="14"/>
      <c r="G469" s="14"/>
      <c r="H469" s="14"/>
      <c r="I469" s="14"/>
      <c r="J469" s="14"/>
      <c r="K469" s="12"/>
    </row>
    <row r="470" ht="19.5" customHeight="1">
      <c r="A470" s="12"/>
      <c r="C470" s="12"/>
      <c r="D470" s="13"/>
      <c r="F470" s="14"/>
      <c r="G470" s="14"/>
      <c r="H470" s="14"/>
      <c r="I470" s="14"/>
      <c r="J470" s="14"/>
      <c r="K470" s="12"/>
    </row>
    <row r="471" ht="19.5" customHeight="1">
      <c r="A471" s="12"/>
      <c r="C471" s="12"/>
      <c r="D471" s="13"/>
      <c r="F471" s="14"/>
      <c r="G471" s="14"/>
      <c r="H471" s="14"/>
      <c r="I471" s="14"/>
      <c r="J471" s="14"/>
      <c r="K471" s="12"/>
    </row>
    <row r="472" ht="19.5" customHeight="1">
      <c r="A472" s="12"/>
      <c r="C472" s="12"/>
      <c r="D472" s="13"/>
      <c r="F472" s="14"/>
      <c r="G472" s="14"/>
      <c r="H472" s="14"/>
      <c r="I472" s="14"/>
      <c r="J472" s="14"/>
      <c r="K472" s="12"/>
    </row>
    <row r="473" ht="19.5" customHeight="1">
      <c r="A473" s="12"/>
      <c r="C473" s="12"/>
      <c r="D473" s="13"/>
      <c r="F473" s="14"/>
      <c r="G473" s="14"/>
      <c r="H473" s="14"/>
      <c r="I473" s="14"/>
      <c r="J473" s="14"/>
      <c r="K473" s="12"/>
    </row>
    <row r="474" ht="19.5" customHeight="1">
      <c r="A474" s="12"/>
      <c r="C474" s="12"/>
      <c r="D474" s="13"/>
      <c r="F474" s="14"/>
      <c r="G474" s="14"/>
      <c r="H474" s="14"/>
      <c r="I474" s="14"/>
      <c r="J474" s="14"/>
      <c r="K474" s="12"/>
    </row>
    <row r="475" ht="19.5" customHeight="1">
      <c r="A475" s="12"/>
      <c r="C475" s="12"/>
      <c r="D475" s="13"/>
      <c r="F475" s="14"/>
      <c r="G475" s="14"/>
      <c r="H475" s="14"/>
      <c r="I475" s="14"/>
      <c r="J475" s="14"/>
      <c r="K475" s="12"/>
    </row>
    <row r="476" ht="19.5" customHeight="1">
      <c r="A476" s="12"/>
      <c r="C476" s="12"/>
      <c r="D476" s="13"/>
      <c r="F476" s="14"/>
      <c r="G476" s="14"/>
      <c r="H476" s="14"/>
      <c r="I476" s="14"/>
      <c r="J476" s="14"/>
      <c r="K476" s="12"/>
    </row>
    <row r="477" ht="19.5" customHeight="1">
      <c r="A477" s="12"/>
      <c r="C477" s="12"/>
      <c r="D477" s="13"/>
      <c r="F477" s="14"/>
      <c r="G477" s="14"/>
      <c r="H477" s="14"/>
      <c r="I477" s="14"/>
      <c r="J477" s="14"/>
      <c r="K477" s="12"/>
    </row>
    <row r="478" ht="19.5" customHeight="1">
      <c r="A478" s="12"/>
      <c r="C478" s="12"/>
      <c r="D478" s="13"/>
      <c r="F478" s="14"/>
      <c r="G478" s="14"/>
      <c r="H478" s="14"/>
      <c r="I478" s="14"/>
      <c r="J478" s="14"/>
      <c r="K478" s="12"/>
    </row>
    <row r="479" ht="19.5" customHeight="1">
      <c r="A479" s="12"/>
      <c r="C479" s="12"/>
      <c r="D479" s="13"/>
      <c r="F479" s="14"/>
      <c r="G479" s="14"/>
      <c r="H479" s="14"/>
      <c r="I479" s="14"/>
      <c r="J479" s="14"/>
      <c r="K479" s="12"/>
    </row>
    <row r="480" ht="19.5" customHeight="1">
      <c r="A480" s="12"/>
      <c r="C480" s="12"/>
      <c r="D480" s="13"/>
      <c r="F480" s="14"/>
      <c r="G480" s="14"/>
      <c r="H480" s="14"/>
      <c r="I480" s="14"/>
      <c r="J480" s="14"/>
      <c r="K480" s="12"/>
    </row>
    <row r="481" ht="19.5" customHeight="1">
      <c r="A481" s="12"/>
      <c r="C481" s="12"/>
      <c r="D481" s="13"/>
      <c r="F481" s="14"/>
      <c r="G481" s="14"/>
      <c r="H481" s="14"/>
      <c r="I481" s="14"/>
      <c r="J481" s="14"/>
      <c r="K481" s="12"/>
    </row>
    <row r="482" ht="19.5" customHeight="1">
      <c r="A482" s="12"/>
      <c r="C482" s="12"/>
      <c r="D482" s="13"/>
      <c r="F482" s="14"/>
      <c r="G482" s="14"/>
      <c r="H482" s="14"/>
      <c r="I482" s="14"/>
      <c r="J482" s="14"/>
      <c r="K482" s="12"/>
    </row>
    <row r="483" ht="19.5" customHeight="1">
      <c r="A483" s="12"/>
      <c r="C483" s="12"/>
      <c r="D483" s="13"/>
      <c r="F483" s="14"/>
      <c r="G483" s="14"/>
      <c r="H483" s="14"/>
      <c r="I483" s="14"/>
      <c r="J483" s="14"/>
      <c r="K483" s="12"/>
    </row>
    <row r="484" ht="19.5" customHeight="1">
      <c r="A484" s="12"/>
      <c r="C484" s="12"/>
      <c r="D484" s="13"/>
      <c r="F484" s="14"/>
      <c r="G484" s="14"/>
      <c r="H484" s="14"/>
      <c r="I484" s="14"/>
      <c r="J484" s="14"/>
      <c r="K484" s="12"/>
    </row>
    <row r="485" ht="19.5" customHeight="1">
      <c r="A485" s="12"/>
      <c r="C485" s="12"/>
      <c r="D485" s="13"/>
      <c r="F485" s="14"/>
      <c r="G485" s="14"/>
      <c r="H485" s="14"/>
      <c r="I485" s="14"/>
      <c r="J485" s="14"/>
      <c r="K485" s="12"/>
    </row>
    <row r="486" ht="19.5" customHeight="1">
      <c r="A486" s="12"/>
      <c r="C486" s="12"/>
      <c r="D486" s="13"/>
      <c r="F486" s="14"/>
      <c r="G486" s="14"/>
      <c r="H486" s="14"/>
      <c r="I486" s="14"/>
      <c r="J486" s="14"/>
      <c r="K486" s="12"/>
    </row>
    <row r="487" ht="19.5" customHeight="1">
      <c r="A487" s="12"/>
      <c r="C487" s="12"/>
      <c r="D487" s="13"/>
      <c r="F487" s="14"/>
      <c r="G487" s="14"/>
      <c r="H487" s="14"/>
      <c r="I487" s="14"/>
      <c r="J487" s="14"/>
      <c r="K487" s="12"/>
    </row>
    <row r="488" ht="19.5" customHeight="1">
      <c r="A488" s="12"/>
      <c r="C488" s="12"/>
      <c r="D488" s="13"/>
      <c r="F488" s="14"/>
      <c r="G488" s="14"/>
      <c r="H488" s="14"/>
      <c r="I488" s="14"/>
      <c r="J488" s="14"/>
      <c r="K488" s="12"/>
    </row>
    <row r="489" ht="19.5" customHeight="1">
      <c r="A489" s="12"/>
      <c r="C489" s="12"/>
      <c r="D489" s="13"/>
      <c r="F489" s="14"/>
      <c r="G489" s="14"/>
      <c r="H489" s="14"/>
      <c r="I489" s="14"/>
      <c r="J489" s="14"/>
      <c r="K489" s="12"/>
    </row>
    <row r="490" ht="19.5" customHeight="1">
      <c r="A490" s="12"/>
      <c r="C490" s="12"/>
      <c r="D490" s="13"/>
      <c r="F490" s="14"/>
      <c r="G490" s="14"/>
      <c r="H490" s="14"/>
      <c r="I490" s="14"/>
      <c r="J490" s="14"/>
      <c r="K490" s="12"/>
    </row>
    <row r="491" ht="19.5" customHeight="1">
      <c r="A491" s="12"/>
      <c r="C491" s="12"/>
      <c r="D491" s="13"/>
      <c r="F491" s="14"/>
      <c r="G491" s="14"/>
      <c r="H491" s="14"/>
      <c r="I491" s="14"/>
      <c r="J491" s="14"/>
      <c r="K491" s="12"/>
    </row>
    <row r="492" ht="19.5" customHeight="1">
      <c r="A492" s="12"/>
      <c r="C492" s="12"/>
      <c r="D492" s="13"/>
      <c r="F492" s="14"/>
      <c r="G492" s="14"/>
      <c r="H492" s="14"/>
      <c r="I492" s="14"/>
      <c r="J492" s="14"/>
      <c r="K492" s="12"/>
    </row>
    <row r="493" ht="19.5" customHeight="1">
      <c r="A493" s="12"/>
      <c r="C493" s="12"/>
      <c r="D493" s="13"/>
      <c r="F493" s="14"/>
      <c r="G493" s="14"/>
      <c r="H493" s="14"/>
      <c r="I493" s="14"/>
      <c r="J493" s="14"/>
      <c r="K493" s="12"/>
    </row>
    <row r="494" ht="19.5" customHeight="1">
      <c r="A494" s="12"/>
      <c r="C494" s="12"/>
      <c r="D494" s="13"/>
      <c r="F494" s="14"/>
      <c r="G494" s="14"/>
      <c r="H494" s="14"/>
      <c r="I494" s="14"/>
      <c r="J494" s="14"/>
      <c r="K494" s="12"/>
    </row>
    <row r="495" ht="19.5" customHeight="1">
      <c r="A495" s="12"/>
      <c r="C495" s="12"/>
      <c r="D495" s="13"/>
      <c r="F495" s="14"/>
      <c r="G495" s="14"/>
      <c r="H495" s="14"/>
      <c r="I495" s="14"/>
      <c r="J495" s="14"/>
      <c r="K495" s="12"/>
    </row>
    <row r="496" ht="19.5" customHeight="1">
      <c r="A496" s="12"/>
      <c r="C496" s="12"/>
      <c r="D496" s="13"/>
      <c r="F496" s="14"/>
      <c r="G496" s="14"/>
      <c r="H496" s="14"/>
      <c r="I496" s="14"/>
      <c r="J496" s="14"/>
      <c r="K496" s="12"/>
    </row>
    <row r="497" ht="19.5" customHeight="1">
      <c r="A497" s="12"/>
      <c r="C497" s="12"/>
      <c r="D497" s="13"/>
      <c r="F497" s="14"/>
      <c r="G497" s="14"/>
      <c r="H497" s="14"/>
      <c r="I497" s="14"/>
      <c r="J497" s="14"/>
      <c r="K497" s="12"/>
    </row>
    <row r="498" ht="19.5" customHeight="1">
      <c r="A498" s="12"/>
      <c r="C498" s="12"/>
      <c r="D498" s="13"/>
      <c r="F498" s="14"/>
      <c r="G498" s="14"/>
      <c r="H498" s="14"/>
      <c r="I498" s="14"/>
      <c r="J498" s="14"/>
      <c r="K498" s="12"/>
    </row>
    <row r="499" ht="19.5" customHeight="1">
      <c r="A499" s="12"/>
      <c r="C499" s="12"/>
      <c r="D499" s="13"/>
      <c r="F499" s="14"/>
      <c r="G499" s="14"/>
      <c r="H499" s="14"/>
      <c r="I499" s="14"/>
      <c r="J499" s="14"/>
      <c r="K499" s="12"/>
    </row>
    <row r="500" ht="19.5" customHeight="1">
      <c r="A500" s="12"/>
      <c r="C500" s="12"/>
      <c r="D500" s="13"/>
      <c r="F500" s="14"/>
      <c r="G500" s="14"/>
      <c r="H500" s="14"/>
      <c r="I500" s="14"/>
      <c r="J500" s="14"/>
      <c r="K500" s="12"/>
    </row>
    <row r="501" ht="19.5" customHeight="1">
      <c r="A501" s="12"/>
      <c r="C501" s="12"/>
      <c r="D501" s="13"/>
      <c r="F501" s="14"/>
      <c r="G501" s="14"/>
      <c r="H501" s="14"/>
      <c r="I501" s="14"/>
      <c r="J501" s="14"/>
      <c r="K501" s="12"/>
    </row>
    <row r="502" ht="19.5" customHeight="1">
      <c r="A502" s="12"/>
      <c r="C502" s="12"/>
      <c r="D502" s="13"/>
      <c r="F502" s="14"/>
      <c r="G502" s="14"/>
      <c r="H502" s="14"/>
      <c r="I502" s="14"/>
      <c r="J502" s="14"/>
      <c r="K502" s="12"/>
    </row>
    <row r="503" ht="19.5" customHeight="1">
      <c r="A503" s="12"/>
      <c r="C503" s="12"/>
      <c r="D503" s="13"/>
      <c r="F503" s="14"/>
      <c r="G503" s="14"/>
      <c r="H503" s="14"/>
      <c r="I503" s="14"/>
      <c r="J503" s="14"/>
      <c r="K503" s="12"/>
    </row>
    <row r="504" ht="19.5" customHeight="1">
      <c r="A504" s="12"/>
      <c r="C504" s="12"/>
      <c r="D504" s="13"/>
      <c r="F504" s="14"/>
      <c r="G504" s="14"/>
      <c r="H504" s="14"/>
      <c r="I504" s="14"/>
      <c r="J504" s="14"/>
      <c r="K504" s="12"/>
    </row>
    <row r="505" ht="19.5" customHeight="1">
      <c r="A505" s="12"/>
      <c r="C505" s="12"/>
      <c r="D505" s="13"/>
      <c r="F505" s="14"/>
      <c r="G505" s="14"/>
      <c r="H505" s="14"/>
      <c r="I505" s="14"/>
      <c r="J505" s="14"/>
      <c r="K505" s="12"/>
    </row>
    <row r="506" ht="19.5" customHeight="1">
      <c r="A506" s="12"/>
      <c r="C506" s="12"/>
      <c r="D506" s="13"/>
      <c r="F506" s="14"/>
      <c r="G506" s="14"/>
      <c r="H506" s="14"/>
      <c r="I506" s="14"/>
      <c r="J506" s="14"/>
      <c r="K506" s="12"/>
    </row>
    <row r="507" ht="19.5" customHeight="1">
      <c r="A507" s="12"/>
      <c r="C507" s="12"/>
      <c r="D507" s="13"/>
      <c r="F507" s="14"/>
      <c r="G507" s="14"/>
      <c r="H507" s="14"/>
      <c r="I507" s="14"/>
      <c r="J507" s="14"/>
      <c r="K507" s="12"/>
    </row>
    <row r="508" ht="19.5" customHeight="1">
      <c r="A508" s="12"/>
      <c r="C508" s="12"/>
      <c r="D508" s="13"/>
      <c r="F508" s="14"/>
      <c r="G508" s="14"/>
      <c r="H508" s="14"/>
      <c r="I508" s="14"/>
      <c r="J508" s="14"/>
      <c r="K508" s="12"/>
    </row>
    <row r="509" ht="19.5" customHeight="1">
      <c r="A509" s="12"/>
      <c r="C509" s="12"/>
      <c r="D509" s="13"/>
      <c r="F509" s="14"/>
      <c r="G509" s="14"/>
      <c r="H509" s="14"/>
      <c r="I509" s="14"/>
      <c r="J509" s="14"/>
      <c r="K509" s="12"/>
    </row>
    <row r="510" ht="19.5" customHeight="1">
      <c r="A510" s="12"/>
      <c r="C510" s="12"/>
      <c r="D510" s="13"/>
      <c r="F510" s="14"/>
      <c r="G510" s="14"/>
      <c r="H510" s="14"/>
      <c r="I510" s="14"/>
      <c r="J510" s="14"/>
      <c r="K510" s="12"/>
    </row>
    <row r="511" ht="19.5" customHeight="1">
      <c r="A511" s="12"/>
      <c r="C511" s="12"/>
      <c r="D511" s="13"/>
      <c r="F511" s="14"/>
      <c r="G511" s="14"/>
      <c r="H511" s="14"/>
      <c r="I511" s="14"/>
      <c r="J511" s="14"/>
      <c r="K511" s="12"/>
    </row>
    <row r="512" ht="19.5" customHeight="1">
      <c r="A512" s="12"/>
      <c r="C512" s="12"/>
      <c r="D512" s="13"/>
      <c r="F512" s="14"/>
      <c r="G512" s="14"/>
      <c r="H512" s="14"/>
      <c r="I512" s="14"/>
      <c r="J512" s="14"/>
      <c r="K512" s="12"/>
    </row>
    <row r="513" ht="19.5" customHeight="1">
      <c r="A513" s="12"/>
      <c r="C513" s="12"/>
      <c r="D513" s="13"/>
      <c r="F513" s="14"/>
      <c r="G513" s="14"/>
      <c r="H513" s="14"/>
      <c r="I513" s="14"/>
      <c r="J513" s="14"/>
      <c r="K513" s="12"/>
    </row>
    <row r="514" ht="19.5" customHeight="1">
      <c r="A514" s="12"/>
      <c r="C514" s="12"/>
      <c r="D514" s="13"/>
      <c r="F514" s="14"/>
      <c r="G514" s="14"/>
      <c r="H514" s="14"/>
      <c r="I514" s="14"/>
      <c r="J514" s="14"/>
      <c r="K514" s="12"/>
    </row>
    <row r="515" ht="19.5" customHeight="1">
      <c r="A515" s="12"/>
      <c r="C515" s="12"/>
      <c r="D515" s="13"/>
      <c r="F515" s="14"/>
      <c r="G515" s="14"/>
      <c r="H515" s="14"/>
      <c r="I515" s="14"/>
      <c r="J515" s="14"/>
      <c r="K515" s="12"/>
    </row>
    <row r="516" ht="19.5" customHeight="1">
      <c r="A516" s="12"/>
      <c r="C516" s="12"/>
      <c r="D516" s="13"/>
      <c r="F516" s="14"/>
      <c r="G516" s="14"/>
      <c r="H516" s="14"/>
      <c r="I516" s="14"/>
      <c r="J516" s="14"/>
      <c r="K516" s="12"/>
    </row>
    <row r="517" ht="19.5" customHeight="1">
      <c r="A517" s="12"/>
      <c r="C517" s="12"/>
      <c r="D517" s="13"/>
      <c r="F517" s="14"/>
      <c r="G517" s="14"/>
      <c r="H517" s="14"/>
      <c r="I517" s="14"/>
      <c r="J517" s="14"/>
      <c r="K517" s="12"/>
    </row>
    <row r="518" ht="19.5" customHeight="1">
      <c r="A518" s="12"/>
      <c r="C518" s="12"/>
      <c r="D518" s="13"/>
      <c r="F518" s="14"/>
      <c r="G518" s="14"/>
      <c r="H518" s="14"/>
      <c r="I518" s="14"/>
      <c r="J518" s="14"/>
      <c r="K518" s="12"/>
    </row>
    <row r="519" ht="19.5" customHeight="1">
      <c r="A519" s="12"/>
      <c r="C519" s="12"/>
      <c r="D519" s="13"/>
      <c r="F519" s="14"/>
      <c r="G519" s="14"/>
      <c r="H519" s="14"/>
      <c r="I519" s="14"/>
      <c r="J519" s="14"/>
      <c r="K519" s="12"/>
    </row>
    <row r="520" ht="19.5" customHeight="1">
      <c r="A520" s="12"/>
      <c r="C520" s="12"/>
      <c r="D520" s="13"/>
      <c r="F520" s="14"/>
      <c r="G520" s="14"/>
      <c r="H520" s="14"/>
      <c r="I520" s="14"/>
      <c r="J520" s="14"/>
      <c r="K520" s="12"/>
    </row>
    <row r="521" ht="19.5" customHeight="1">
      <c r="A521" s="12"/>
      <c r="C521" s="12"/>
      <c r="D521" s="13"/>
      <c r="F521" s="14"/>
      <c r="G521" s="14"/>
      <c r="H521" s="14"/>
      <c r="I521" s="14"/>
      <c r="J521" s="14"/>
      <c r="K521" s="12"/>
    </row>
    <row r="522" ht="19.5" customHeight="1">
      <c r="A522" s="12"/>
      <c r="C522" s="12"/>
      <c r="D522" s="13"/>
      <c r="F522" s="14"/>
      <c r="G522" s="14"/>
      <c r="H522" s="14"/>
      <c r="I522" s="14"/>
      <c r="J522" s="14"/>
      <c r="K522" s="12"/>
    </row>
    <row r="523" ht="19.5" customHeight="1">
      <c r="A523" s="12"/>
      <c r="C523" s="12"/>
      <c r="D523" s="13"/>
      <c r="F523" s="14"/>
      <c r="G523" s="14"/>
      <c r="H523" s="14"/>
      <c r="I523" s="14"/>
      <c r="J523" s="14"/>
      <c r="K523" s="12"/>
    </row>
    <row r="524" ht="19.5" customHeight="1">
      <c r="A524" s="12"/>
      <c r="C524" s="12"/>
      <c r="D524" s="13"/>
      <c r="F524" s="14"/>
      <c r="G524" s="14"/>
      <c r="H524" s="14"/>
      <c r="I524" s="14"/>
      <c r="J524" s="14"/>
      <c r="K524" s="12"/>
    </row>
    <row r="525" ht="19.5" customHeight="1">
      <c r="A525" s="12"/>
      <c r="C525" s="12"/>
      <c r="D525" s="13"/>
      <c r="F525" s="14"/>
      <c r="G525" s="14"/>
      <c r="H525" s="14"/>
      <c r="I525" s="14"/>
      <c r="J525" s="14"/>
      <c r="K525" s="12"/>
    </row>
    <row r="526" ht="19.5" customHeight="1">
      <c r="A526" s="12"/>
      <c r="C526" s="12"/>
      <c r="D526" s="13"/>
      <c r="F526" s="14"/>
      <c r="G526" s="14"/>
      <c r="H526" s="14"/>
      <c r="I526" s="14"/>
      <c r="J526" s="14"/>
      <c r="K526" s="12"/>
    </row>
    <row r="527" ht="19.5" customHeight="1">
      <c r="A527" s="12"/>
      <c r="C527" s="12"/>
      <c r="D527" s="13"/>
      <c r="F527" s="14"/>
      <c r="G527" s="14"/>
      <c r="H527" s="14"/>
      <c r="I527" s="14"/>
      <c r="J527" s="14"/>
      <c r="K527" s="12"/>
    </row>
    <row r="528" ht="19.5" customHeight="1">
      <c r="A528" s="12"/>
      <c r="C528" s="12"/>
      <c r="D528" s="13"/>
      <c r="F528" s="14"/>
      <c r="G528" s="14"/>
      <c r="H528" s="14"/>
      <c r="I528" s="14"/>
      <c r="J528" s="14"/>
      <c r="K528" s="12"/>
    </row>
    <row r="529" ht="19.5" customHeight="1">
      <c r="A529" s="12"/>
      <c r="C529" s="12"/>
      <c r="D529" s="13"/>
      <c r="F529" s="14"/>
      <c r="G529" s="14"/>
      <c r="H529" s="14"/>
      <c r="I529" s="14"/>
      <c r="J529" s="14"/>
      <c r="K529" s="12"/>
    </row>
    <row r="530" ht="19.5" customHeight="1">
      <c r="A530" s="12"/>
      <c r="C530" s="12"/>
      <c r="D530" s="13"/>
      <c r="F530" s="14"/>
      <c r="G530" s="14"/>
      <c r="H530" s="14"/>
      <c r="I530" s="14"/>
      <c r="J530" s="14"/>
      <c r="K530" s="12"/>
    </row>
    <row r="531" ht="19.5" customHeight="1">
      <c r="A531" s="12"/>
      <c r="C531" s="12"/>
      <c r="D531" s="13"/>
      <c r="F531" s="14"/>
      <c r="G531" s="14"/>
      <c r="H531" s="14"/>
      <c r="I531" s="14"/>
      <c r="J531" s="14"/>
      <c r="K531" s="12"/>
    </row>
    <row r="532" ht="19.5" customHeight="1">
      <c r="A532" s="12"/>
      <c r="C532" s="12"/>
      <c r="D532" s="13"/>
      <c r="F532" s="14"/>
      <c r="G532" s="14"/>
      <c r="H532" s="14"/>
      <c r="I532" s="14"/>
      <c r="J532" s="14"/>
      <c r="K532" s="12"/>
    </row>
    <row r="533" ht="19.5" customHeight="1">
      <c r="A533" s="12"/>
      <c r="C533" s="12"/>
      <c r="D533" s="13"/>
      <c r="F533" s="14"/>
      <c r="G533" s="14"/>
      <c r="H533" s="14"/>
      <c r="I533" s="14"/>
      <c r="J533" s="14"/>
      <c r="K533" s="12"/>
    </row>
    <row r="534" ht="19.5" customHeight="1">
      <c r="A534" s="12"/>
      <c r="C534" s="12"/>
      <c r="D534" s="13"/>
      <c r="F534" s="14"/>
      <c r="G534" s="14"/>
      <c r="H534" s="14"/>
      <c r="I534" s="14"/>
      <c r="J534" s="14"/>
      <c r="K534" s="12"/>
    </row>
    <row r="535" ht="19.5" customHeight="1">
      <c r="A535" s="12"/>
      <c r="C535" s="12"/>
      <c r="D535" s="13"/>
      <c r="F535" s="14"/>
      <c r="G535" s="14"/>
      <c r="H535" s="14"/>
      <c r="I535" s="14"/>
      <c r="J535" s="14"/>
      <c r="K535" s="12"/>
    </row>
    <row r="536" ht="19.5" customHeight="1">
      <c r="A536" s="12"/>
      <c r="C536" s="12"/>
      <c r="D536" s="13"/>
      <c r="F536" s="14"/>
      <c r="G536" s="14"/>
      <c r="H536" s="14"/>
      <c r="I536" s="14"/>
      <c r="J536" s="14"/>
      <c r="K536" s="12"/>
    </row>
    <row r="537" ht="19.5" customHeight="1">
      <c r="A537" s="12"/>
      <c r="C537" s="12"/>
      <c r="D537" s="13"/>
      <c r="F537" s="14"/>
      <c r="G537" s="14"/>
      <c r="H537" s="14"/>
      <c r="I537" s="14"/>
      <c r="J537" s="14"/>
      <c r="K537" s="12"/>
    </row>
    <row r="538" ht="19.5" customHeight="1">
      <c r="A538" s="12"/>
      <c r="C538" s="12"/>
      <c r="D538" s="13"/>
      <c r="F538" s="14"/>
      <c r="G538" s="14"/>
      <c r="H538" s="14"/>
      <c r="I538" s="14"/>
      <c r="J538" s="14"/>
      <c r="K538" s="12"/>
    </row>
    <row r="539" ht="19.5" customHeight="1">
      <c r="A539" s="12"/>
      <c r="C539" s="12"/>
      <c r="D539" s="13"/>
      <c r="F539" s="14"/>
      <c r="G539" s="14"/>
      <c r="H539" s="14"/>
      <c r="I539" s="14"/>
      <c r="J539" s="14"/>
      <c r="K539" s="12"/>
    </row>
    <row r="540" ht="19.5" customHeight="1">
      <c r="A540" s="12"/>
      <c r="C540" s="12"/>
      <c r="D540" s="13"/>
      <c r="F540" s="14"/>
      <c r="G540" s="14"/>
      <c r="H540" s="14"/>
      <c r="I540" s="14"/>
      <c r="J540" s="14"/>
      <c r="K540" s="12"/>
    </row>
    <row r="541" ht="19.5" customHeight="1">
      <c r="A541" s="12"/>
      <c r="C541" s="12"/>
      <c r="D541" s="13"/>
      <c r="F541" s="14"/>
      <c r="G541" s="14"/>
      <c r="H541" s="14"/>
      <c r="I541" s="14"/>
      <c r="J541" s="14"/>
      <c r="K541" s="12"/>
    </row>
    <row r="542" ht="19.5" customHeight="1">
      <c r="A542" s="12"/>
      <c r="C542" s="12"/>
      <c r="D542" s="13"/>
      <c r="F542" s="14"/>
      <c r="G542" s="14"/>
      <c r="H542" s="14"/>
      <c r="I542" s="14"/>
      <c r="J542" s="14"/>
      <c r="K542" s="12"/>
    </row>
    <row r="543" ht="19.5" customHeight="1">
      <c r="A543" s="12"/>
      <c r="C543" s="12"/>
      <c r="D543" s="13"/>
      <c r="F543" s="14"/>
      <c r="G543" s="14"/>
      <c r="H543" s="14"/>
      <c r="I543" s="14"/>
      <c r="J543" s="14"/>
      <c r="K543" s="12"/>
    </row>
    <row r="544" ht="19.5" customHeight="1">
      <c r="A544" s="12"/>
      <c r="C544" s="12"/>
      <c r="D544" s="13"/>
      <c r="F544" s="14"/>
      <c r="G544" s="14"/>
      <c r="H544" s="14"/>
      <c r="I544" s="14"/>
      <c r="J544" s="14"/>
      <c r="K544" s="12"/>
    </row>
    <row r="545" ht="19.5" customHeight="1">
      <c r="A545" s="12"/>
      <c r="C545" s="12"/>
      <c r="D545" s="13"/>
      <c r="F545" s="14"/>
      <c r="G545" s="14"/>
      <c r="H545" s="14"/>
      <c r="I545" s="14"/>
      <c r="J545" s="14"/>
      <c r="K545" s="12"/>
    </row>
    <row r="546" ht="19.5" customHeight="1">
      <c r="A546" s="12"/>
      <c r="C546" s="12"/>
      <c r="D546" s="13"/>
      <c r="F546" s="14"/>
      <c r="G546" s="14"/>
      <c r="H546" s="14"/>
      <c r="I546" s="14"/>
      <c r="J546" s="14"/>
      <c r="K546" s="12"/>
    </row>
    <row r="547" ht="19.5" customHeight="1">
      <c r="A547" s="12"/>
      <c r="C547" s="12"/>
      <c r="D547" s="13"/>
      <c r="F547" s="14"/>
      <c r="G547" s="14"/>
      <c r="H547" s="14"/>
      <c r="I547" s="14"/>
      <c r="J547" s="14"/>
      <c r="K547" s="12"/>
    </row>
    <row r="548" ht="19.5" customHeight="1">
      <c r="A548" s="12"/>
      <c r="C548" s="12"/>
      <c r="D548" s="13"/>
      <c r="F548" s="14"/>
      <c r="G548" s="14"/>
      <c r="H548" s="14"/>
      <c r="I548" s="14"/>
      <c r="J548" s="14"/>
      <c r="K548" s="12"/>
    </row>
    <row r="549" ht="19.5" customHeight="1">
      <c r="A549" s="12"/>
      <c r="C549" s="12"/>
      <c r="D549" s="13"/>
      <c r="F549" s="14"/>
      <c r="G549" s="14"/>
      <c r="H549" s="14"/>
      <c r="I549" s="14"/>
      <c r="J549" s="14"/>
      <c r="K549" s="12"/>
    </row>
    <row r="550" ht="19.5" customHeight="1">
      <c r="A550" s="12"/>
      <c r="C550" s="12"/>
      <c r="D550" s="13"/>
      <c r="F550" s="14"/>
      <c r="G550" s="14"/>
      <c r="H550" s="14"/>
      <c r="I550" s="14"/>
      <c r="J550" s="14"/>
      <c r="K550" s="12"/>
    </row>
    <row r="551" ht="19.5" customHeight="1">
      <c r="A551" s="12"/>
      <c r="C551" s="12"/>
      <c r="D551" s="13"/>
      <c r="F551" s="14"/>
      <c r="G551" s="14"/>
      <c r="H551" s="14"/>
      <c r="I551" s="14"/>
      <c r="J551" s="14"/>
      <c r="K551" s="12"/>
    </row>
    <row r="552" ht="19.5" customHeight="1">
      <c r="A552" s="12"/>
      <c r="C552" s="12"/>
      <c r="D552" s="13"/>
      <c r="F552" s="14"/>
      <c r="G552" s="14"/>
      <c r="H552" s="14"/>
      <c r="I552" s="14"/>
      <c r="J552" s="14"/>
      <c r="K552" s="12"/>
    </row>
    <row r="553" ht="19.5" customHeight="1">
      <c r="A553" s="12"/>
      <c r="C553" s="12"/>
      <c r="D553" s="13"/>
      <c r="F553" s="14"/>
      <c r="G553" s="14"/>
      <c r="H553" s="14"/>
      <c r="I553" s="14"/>
      <c r="J553" s="14"/>
      <c r="K553" s="12"/>
    </row>
    <row r="554" ht="19.5" customHeight="1">
      <c r="A554" s="12"/>
      <c r="C554" s="12"/>
      <c r="D554" s="13"/>
      <c r="F554" s="14"/>
      <c r="G554" s="14"/>
      <c r="H554" s="14"/>
      <c r="I554" s="14"/>
      <c r="J554" s="14"/>
      <c r="K554" s="12"/>
    </row>
    <row r="555" ht="19.5" customHeight="1">
      <c r="A555" s="12"/>
      <c r="C555" s="12"/>
      <c r="D555" s="13"/>
      <c r="F555" s="14"/>
      <c r="G555" s="14"/>
      <c r="H555" s="14"/>
      <c r="I555" s="14"/>
      <c r="J555" s="14"/>
      <c r="K555" s="12"/>
    </row>
    <row r="556" ht="19.5" customHeight="1">
      <c r="A556" s="12"/>
      <c r="C556" s="12"/>
      <c r="D556" s="13"/>
      <c r="F556" s="14"/>
      <c r="G556" s="14"/>
      <c r="H556" s="14"/>
      <c r="I556" s="14"/>
      <c r="J556" s="14"/>
      <c r="K556" s="12"/>
    </row>
    <row r="557" ht="19.5" customHeight="1">
      <c r="A557" s="12"/>
      <c r="C557" s="12"/>
      <c r="D557" s="13"/>
      <c r="F557" s="14"/>
      <c r="G557" s="14"/>
      <c r="H557" s="14"/>
      <c r="I557" s="14"/>
      <c r="J557" s="14"/>
      <c r="K557" s="12"/>
    </row>
    <row r="558" ht="19.5" customHeight="1">
      <c r="A558" s="12"/>
      <c r="C558" s="12"/>
      <c r="D558" s="13"/>
      <c r="F558" s="14"/>
      <c r="G558" s="14"/>
      <c r="H558" s="14"/>
      <c r="I558" s="14"/>
      <c r="J558" s="14"/>
      <c r="K558" s="12"/>
    </row>
    <row r="559" ht="19.5" customHeight="1">
      <c r="A559" s="12"/>
      <c r="C559" s="12"/>
      <c r="D559" s="13"/>
      <c r="F559" s="14"/>
      <c r="G559" s="14"/>
      <c r="H559" s="14"/>
      <c r="I559" s="14"/>
      <c r="J559" s="14"/>
      <c r="K559" s="12"/>
    </row>
    <row r="560" ht="19.5" customHeight="1">
      <c r="A560" s="12"/>
      <c r="C560" s="12"/>
      <c r="D560" s="13"/>
      <c r="F560" s="14"/>
      <c r="G560" s="14"/>
      <c r="H560" s="14"/>
      <c r="I560" s="14"/>
      <c r="J560" s="14"/>
      <c r="K560" s="12"/>
    </row>
    <row r="561" ht="19.5" customHeight="1">
      <c r="A561" s="12"/>
      <c r="C561" s="12"/>
      <c r="D561" s="13"/>
      <c r="F561" s="14"/>
      <c r="G561" s="14"/>
      <c r="H561" s="14"/>
      <c r="I561" s="14"/>
      <c r="J561" s="14"/>
      <c r="K561" s="12"/>
    </row>
    <row r="562" ht="19.5" customHeight="1">
      <c r="A562" s="12"/>
      <c r="C562" s="12"/>
      <c r="D562" s="13"/>
      <c r="F562" s="14"/>
      <c r="G562" s="14"/>
      <c r="H562" s="14"/>
      <c r="I562" s="14"/>
      <c r="J562" s="14"/>
      <c r="K562" s="12"/>
    </row>
    <row r="563" ht="19.5" customHeight="1">
      <c r="A563" s="12"/>
      <c r="C563" s="12"/>
      <c r="D563" s="13"/>
      <c r="F563" s="14"/>
      <c r="G563" s="14"/>
      <c r="H563" s="14"/>
      <c r="I563" s="14"/>
      <c r="J563" s="14"/>
      <c r="K563" s="12"/>
    </row>
    <row r="564" ht="19.5" customHeight="1">
      <c r="A564" s="12"/>
      <c r="C564" s="12"/>
      <c r="D564" s="13"/>
      <c r="F564" s="14"/>
      <c r="G564" s="14"/>
      <c r="H564" s="14"/>
      <c r="I564" s="14"/>
      <c r="J564" s="14"/>
      <c r="K564" s="12"/>
    </row>
    <row r="565" ht="19.5" customHeight="1">
      <c r="A565" s="12"/>
      <c r="C565" s="12"/>
      <c r="D565" s="13"/>
      <c r="F565" s="14"/>
      <c r="G565" s="14"/>
      <c r="H565" s="14"/>
      <c r="I565" s="14"/>
      <c r="J565" s="14"/>
      <c r="K565" s="12"/>
    </row>
    <row r="566" ht="19.5" customHeight="1">
      <c r="A566" s="12"/>
      <c r="C566" s="12"/>
      <c r="D566" s="13"/>
      <c r="F566" s="14"/>
      <c r="G566" s="14"/>
      <c r="H566" s="14"/>
      <c r="I566" s="14"/>
      <c r="J566" s="14"/>
      <c r="K566" s="12"/>
    </row>
    <row r="567" ht="19.5" customHeight="1">
      <c r="A567" s="12"/>
      <c r="C567" s="12"/>
      <c r="D567" s="13"/>
      <c r="F567" s="14"/>
      <c r="G567" s="14"/>
      <c r="H567" s="14"/>
      <c r="I567" s="14"/>
      <c r="J567" s="14"/>
      <c r="K567" s="12"/>
    </row>
    <row r="568" ht="19.5" customHeight="1">
      <c r="A568" s="12"/>
      <c r="C568" s="12"/>
      <c r="D568" s="13"/>
      <c r="F568" s="14"/>
      <c r="G568" s="14"/>
      <c r="H568" s="14"/>
      <c r="I568" s="14"/>
      <c r="J568" s="14"/>
      <c r="K568" s="12"/>
    </row>
    <row r="569" ht="19.5" customHeight="1">
      <c r="A569" s="12"/>
      <c r="C569" s="12"/>
      <c r="D569" s="13"/>
      <c r="F569" s="14"/>
      <c r="G569" s="14"/>
      <c r="H569" s="14"/>
      <c r="I569" s="14"/>
      <c r="J569" s="14"/>
      <c r="K569" s="12"/>
    </row>
    <row r="570" ht="19.5" customHeight="1">
      <c r="A570" s="12"/>
      <c r="C570" s="12"/>
      <c r="D570" s="13"/>
      <c r="F570" s="14"/>
      <c r="G570" s="14"/>
      <c r="H570" s="14"/>
      <c r="I570" s="14"/>
      <c r="J570" s="14"/>
      <c r="K570" s="12"/>
    </row>
    <row r="571" ht="19.5" customHeight="1">
      <c r="A571" s="12"/>
      <c r="C571" s="12"/>
      <c r="D571" s="13"/>
      <c r="F571" s="14"/>
      <c r="G571" s="14"/>
      <c r="H571" s="14"/>
      <c r="I571" s="14"/>
      <c r="J571" s="14"/>
      <c r="K571" s="12"/>
    </row>
    <row r="572" ht="19.5" customHeight="1">
      <c r="A572" s="12"/>
      <c r="C572" s="12"/>
      <c r="D572" s="13"/>
      <c r="F572" s="14"/>
      <c r="G572" s="14"/>
      <c r="H572" s="14"/>
      <c r="I572" s="14"/>
      <c r="J572" s="14"/>
      <c r="K572" s="12"/>
    </row>
    <row r="573" ht="19.5" customHeight="1">
      <c r="A573" s="12"/>
      <c r="C573" s="12"/>
      <c r="D573" s="13"/>
      <c r="F573" s="14"/>
      <c r="G573" s="14"/>
      <c r="H573" s="14"/>
      <c r="I573" s="14"/>
      <c r="J573" s="14"/>
      <c r="K573" s="12"/>
    </row>
    <row r="574" ht="19.5" customHeight="1">
      <c r="A574" s="12"/>
      <c r="C574" s="12"/>
      <c r="D574" s="13"/>
      <c r="F574" s="14"/>
      <c r="G574" s="14"/>
      <c r="H574" s="14"/>
      <c r="I574" s="14"/>
      <c r="J574" s="14"/>
      <c r="K574" s="12"/>
    </row>
    <row r="575" ht="19.5" customHeight="1">
      <c r="A575" s="12"/>
      <c r="C575" s="12"/>
      <c r="D575" s="13"/>
      <c r="F575" s="14"/>
      <c r="G575" s="14"/>
      <c r="H575" s="14"/>
      <c r="I575" s="14"/>
      <c r="J575" s="14"/>
      <c r="K575" s="12"/>
    </row>
    <row r="576" ht="19.5" customHeight="1">
      <c r="A576" s="12"/>
      <c r="C576" s="12"/>
      <c r="D576" s="13"/>
      <c r="F576" s="14"/>
      <c r="G576" s="14"/>
      <c r="H576" s="14"/>
      <c r="I576" s="14"/>
      <c r="J576" s="14"/>
      <c r="K576" s="12"/>
    </row>
    <row r="577" ht="19.5" customHeight="1">
      <c r="A577" s="12"/>
      <c r="C577" s="12"/>
      <c r="D577" s="13"/>
      <c r="F577" s="14"/>
      <c r="G577" s="14"/>
      <c r="H577" s="14"/>
      <c r="I577" s="14"/>
      <c r="J577" s="14"/>
      <c r="K577" s="12"/>
    </row>
    <row r="578" ht="19.5" customHeight="1">
      <c r="A578" s="12"/>
      <c r="C578" s="12"/>
      <c r="D578" s="13"/>
      <c r="F578" s="14"/>
      <c r="G578" s="14"/>
      <c r="H578" s="14"/>
      <c r="I578" s="14"/>
      <c r="J578" s="14"/>
      <c r="K578" s="12"/>
    </row>
    <row r="579" ht="19.5" customHeight="1">
      <c r="A579" s="12"/>
      <c r="C579" s="12"/>
      <c r="D579" s="13"/>
      <c r="F579" s="14"/>
      <c r="G579" s="14"/>
      <c r="H579" s="14"/>
      <c r="I579" s="14"/>
      <c r="J579" s="14"/>
      <c r="K579" s="12"/>
    </row>
    <row r="580" ht="19.5" customHeight="1">
      <c r="A580" s="12"/>
      <c r="C580" s="12"/>
      <c r="D580" s="13"/>
      <c r="F580" s="14"/>
      <c r="G580" s="14"/>
      <c r="H580" s="14"/>
      <c r="I580" s="14"/>
      <c r="J580" s="14"/>
      <c r="K580" s="12"/>
    </row>
    <row r="581" ht="19.5" customHeight="1">
      <c r="A581" s="12"/>
      <c r="C581" s="12"/>
      <c r="D581" s="13"/>
      <c r="F581" s="14"/>
      <c r="G581" s="14"/>
      <c r="H581" s="14"/>
      <c r="I581" s="14"/>
      <c r="J581" s="14"/>
      <c r="K581" s="12"/>
    </row>
    <row r="582" ht="19.5" customHeight="1">
      <c r="A582" s="12"/>
      <c r="C582" s="12"/>
      <c r="D582" s="13"/>
      <c r="F582" s="14"/>
      <c r="G582" s="14"/>
      <c r="H582" s="14"/>
      <c r="I582" s="14"/>
      <c r="J582" s="14"/>
      <c r="K582" s="12"/>
    </row>
    <row r="583" ht="19.5" customHeight="1">
      <c r="A583" s="12"/>
      <c r="C583" s="12"/>
      <c r="D583" s="13"/>
      <c r="F583" s="14"/>
      <c r="G583" s="14"/>
      <c r="H583" s="14"/>
      <c r="I583" s="14"/>
      <c r="J583" s="14"/>
      <c r="K583" s="12"/>
    </row>
    <row r="584" ht="19.5" customHeight="1">
      <c r="A584" s="12"/>
      <c r="C584" s="12"/>
      <c r="D584" s="13"/>
      <c r="F584" s="14"/>
      <c r="G584" s="14"/>
      <c r="H584" s="14"/>
      <c r="I584" s="14"/>
      <c r="J584" s="14"/>
      <c r="K584" s="12"/>
    </row>
    <row r="585" ht="19.5" customHeight="1">
      <c r="A585" s="12"/>
      <c r="C585" s="12"/>
      <c r="D585" s="13"/>
      <c r="F585" s="14"/>
      <c r="G585" s="14"/>
      <c r="H585" s="14"/>
      <c r="I585" s="14"/>
      <c r="J585" s="14"/>
      <c r="K585" s="12"/>
    </row>
    <row r="586" ht="19.5" customHeight="1">
      <c r="A586" s="12"/>
      <c r="C586" s="12"/>
      <c r="D586" s="13"/>
      <c r="F586" s="14"/>
      <c r="G586" s="14"/>
      <c r="H586" s="14"/>
      <c r="I586" s="14"/>
      <c r="J586" s="14"/>
      <c r="K586" s="12"/>
    </row>
    <row r="587" ht="19.5" customHeight="1">
      <c r="A587" s="12"/>
      <c r="C587" s="12"/>
      <c r="D587" s="13"/>
      <c r="F587" s="14"/>
      <c r="G587" s="14"/>
      <c r="H587" s="14"/>
      <c r="I587" s="14"/>
      <c r="J587" s="14"/>
      <c r="K587" s="12"/>
    </row>
    <row r="588" ht="19.5" customHeight="1">
      <c r="A588" s="12"/>
      <c r="C588" s="12"/>
      <c r="D588" s="13"/>
      <c r="F588" s="14"/>
      <c r="G588" s="14"/>
      <c r="H588" s="14"/>
      <c r="I588" s="14"/>
      <c r="J588" s="14"/>
      <c r="K588" s="12"/>
    </row>
    <row r="589" ht="19.5" customHeight="1">
      <c r="A589" s="12"/>
      <c r="C589" s="12"/>
      <c r="D589" s="13"/>
      <c r="F589" s="14"/>
      <c r="G589" s="14"/>
      <c r="H589" s="14"/>
      <c r="I589" s="14"/>
      <c r="J589" s="14"/>
      <c r="K589" s="12"/>
    </row>
    <row r="590" ht="19.5" customHeight="1">
      <c r="A590" s="12"/>
      <c r="C590" s="12"/>
      <c r="D590" s="13"/>
      <c r="F590" s="14"/>
      <c r="G590" s="14"/>
      <c r="H590" s="14"/>
      <c r="I590" s="14"/>
      <c r="J590" s="14"/>
      <c r="K590" s="12"/>
    </row>
    <row r="591" ht="19.5" customHeight="1">
      <c r="A591" s="12"/>
      <c r="C591" s="12"/>
      <c r="D591" s="13"/>
      <c r="F591" s="14"/>
      <c r="G591" s="14"/>
      <c r="H591" s="14"/>
      <c r="I591" s="14"/>
      <c r="J591" s="14"/>
      <c r="K591" s="12"/>
    </row>
    <row r="592" ht="19.5" customHeight="1">
      <c r="A592" s="12"/>
      <c r="C592" s="12"/>
      <c r="D592" s="13"/>
      <c r="F592" s="14"/>
      <c r="G592" s="14"/>
      <c r="H592" s="14"/>
      <c r="I592" s="14"/>
      <c r="J592" s="14"/>
      <c r="K592" s="12"/>
    </row>
    <row r="593" ht="19.5" customHeight="1">
      <c r="A593" s="12"/>
      <c r="C593" s="12"/>
      <c r="D593" s="13"/>
      <c r="F593" s="14"/>
      <c r="G593" s="14"/>
      <c r="H593" s="14"/>
      <c r="I593" s="14"/>
      <c r="J593" s="14"/>
      <c r="K593" s="12"/>
    </row>
    <row r="594" ht="19.5" customHeight="1">
      <c r="A594" s="12"/>
      <c r="C594" s="12"/>
      <c r="D594" s="13"/>
      <c r="F594" s="14"/>
      <c r="G594" s="14"/>
      <c r="H594" s="14"/>
      <c r="I594" s="14"/>
      <c r="J594" s="14"/>
      <c r="K594" s="12"/>
    </row>
    <row r="595" ht="19.5" customHeight="1">
      <c r="A595" s="12"/>
      <c r="C595" s="12"/>
      <c r="D595" s="13"/>
      <c r="F595" s="14"/>
      <c r="G595" s="14"/>
      <c r="H595" s="14"/>
      <c r="I595" s="14"/>
      <c r="J595" s="14"/>
      <c r="K595" s="12"/>
    </row>
    <row r="596" ht="19.5" customHeight="1">
      <c r="A596" s="12"/>
      <c r="C596" s="12"/>
      <c r="D596" s="13"/>
      <c r="F596" s="14"/>
      <c r="G596" s="14"/>
      <c r="H596" s="14"/>
      <c r="I596" s="14"/>
      <c r="J596" s="14"/>
      <c r="K596" s="12"/>
    </row>
    <row r="597" ht="19.5" customHeight="1">
      <c r="A597" s="12"/>
      <c r="C597" s="12"/>
      <c r="D597" s="13"/>
      <c r="F597" s="14"/>
      <c r="G597" s="14"/>
      <c r="H597" s="14"/>
      <c r="I597" s="14"/>
      <c r="J597" s="14"/>
      <c r="K597" s="12"/>
    </row>
    <row r="598" ht="19.5" customHeight="1">
      <c r="A598" s="12"/>
      <c r="C598" s="12"/>
      <c r="D598" s="13"/>
      <c r="F598" s="14"/>
      <c r="G598" s="14"/>
      <c r="H598" s="14"/>
      <c r="I598" s="14"/>
      <c r="J598" s="14"/>
      <c r="K598" s="12"/>
    </row>
    <row r="599" ht="19.5" customHeight="1">
      <c r="A599" s="12"/>
      <c r="C599" s="12"/>
      <c r="D599" s="13"/>
      <c r="F599" s="14"/>
      <c r="G599" s="14"/>
      <c r="H599" s="14"/>
      <c r="I599" s="14"/>
      <c r="J599" s="14"/>
      <c r="K599" s="12"/>
    </row>
    <row r="600" ht="19.5" customHeight="1">
      <c r="A600" s="12"/>
      <c r="C600" s="12"/>
      <c r="D600" s="13"/>
      <c r="F600" s="14"/>
      <c r="G600" s="14"/>
      <c r="H600" s="14"/>
      <c r="I600" s="14"/>
      <c r="J600" s="14"/>
      <c r="K600" s="12"/>
    </row>
    <row r="601" ht="19.5" customHeight="1">
      <c r="A601" s="12"/>
      <c r="C601" s="12"/>
      <c r="D601" s="13"/>
      <c r="F601" s="14"/>
      <c r="G601" s="14"/>
      <c r="H601" s="14"/>
      <c r="I601" s="14"/>
      <c r="J601" s="14"/>
      <c r="K601" s="12"/>
    </row>
    <row r="602" ht="19.5" customHeight="1">
      <c r="A602" s="12"/>
      <c r="C602" s="12"/>
      <c r="D602" s="13"/>
      <c r="F602" s="14"/>
      <c r="G602" s="14"/>
      <c r="H602" s="14"/>
      <c r="I602" s="14"/>
      <c r="J602" s="14"/>
      <c r="K602" s="12"/>
    </row>
    <row r="603" ht="19.5" customHeight="1">
      <c r="A603" s="12"/>
      <c r="C603" s="12"/>
      <c r="D603" s="13"/>
      <c r="F603" s="14"/>
      <c r="G603" s="14"/>
      <c r="H603" s="14"/>
      <c r="I603" s="14"/>
      <c r="J603" s="14"/>
      <c r="K603" s="12"/>
    </row>
    <row r="604" ht="19.5" customHeight="1">
      <c r="A604" s="12"/>
      <c r="C604" s="12"/>
      <c r="D604" s="13"/>
      <c r="F604" s="14"/>
      <c r="G604" s="14"/>
      <c r="H604" s="14"/>
      <c r="I604" s="14"/>
      <c r="J604" s="14"/>
      <c r="K604" s="12"/>
    </row>
    <row r="605" ht="19.5" customHeight="1">
      <c r="A605" s="12"/>
      <c r="C605" s="12"/>
      <c r="D605" s="13"/>
      <c r="F605" s="14"/>
      <c r="G605" s="14"/>
      <c r="H605" s="14"/>
      <c r="I605" s="14"/>
      <c r="J605" s="14"/>
      <c r="K605" s="12"/>
    </row>
    <row r="606" ht="19.5" customHeight="1">
      <c r="A606" s="12"/>
      <c r="C606" s="12"/>
      <c r="D606" s="13"/>
      <c r="F606" s="14"/>
      <c r="G606" s="14"/>
      <c r="H606" s="14"/>
      <c r="I606" s="14"/>
      <c r="J606" s="14"/>
      <c r="K606" s="12"/>
    </row>
    <row r="607" ht="19.5" customHeight="1">
      <c r="A607" s="12"/>
      <c r="C607" s="12"/>
      <c r="D607" s="13"/>
      <c r="F607" s="14"/>
      <c r="G607" s="14"/>
      <c r="H607" s="14"/>
      <c r="I607" s="14"/>
      <c r="J607" s="14"/>
      <c r="K607" s="12"/>
    </row>
    <row r="608" ht="19.5" customHeight="1">
      <c r="A608" s="12"/>
      <c r="C608" s="12"/>
      <c r="D608" s="13"/>
      <c r="F608" s="14"/>
      <c r="G608" s="14"/>
      <c r="H608" s="14"/>
      <c r="I608" s="14"/>
      <c r="J608" s="14"/>
      <c r="K608" s="12"/>
    </row>
    <row r="609" ht="19.5" customHeight="1">
      <c r="A609" s="12"/>
      <c r="C609" s="12"/>
      <c r="D609" s="13"/>
      <c r="F609" s="14"/>
      <c r="G609" s="14"/>
      <c r="H609" s="14"/>
      <c r="I609" s="14"/>
      <c r="J609" s="14"/>
      <c r="K609" s="12"/>
    </row>
    <row r="610" ht="19.5" customHeight="1">
      <c r="A610" s="12"/>
      <c r="C610" s="12"/>
      <c r="D610" s="13"/>
      <c r="F610" s="14"/>
      <c r="G610" s="14"/>
      <c r="H610" s="14"/>
      <c r="I610" s="14"/>
      <c r="J610" s="14"/>
      <c r="K610" s="12"/>
    </row>
    <row r="611" ht="19.5" customHeight="1">
      <c r="A611" s="12"/>
      <c r="C611" s="12"/>
      <c r="D611" s="13"/>
      <c r="F611" s="14"/>
      <c r="G611" s="14"/>
      <c r="H611" s="14"/>
      <c r="I611" s="14"/>
      <c r="J611" s="14"/>
      <c r="K611" s="12"/>
    </row>
    <row r="612" ht="19.5" customHeight="1">
      <c r="A612" s="12"/>
      <c r="C612" s="12"/>
      <c r="D612" s="13"/>
      <c r="F612" s="14"/>
      <c r="G612" s="14"/>
      <c r="H612" s="14"/>
      <c r="I612" s="14"/>
      <c r="J612" s="14"/>
      <c r="K612" s="12"/>
    </row>
    <row r="613" ht="19.5" customHeight="1">
      <c r="A613" s="12"/>
      <c r="C613" s="12"/>
      <c r="D613" s="13"/>
      <c r="F613" s="14"/>
      <c r="G613" s="14"/>
      <c r="H613" s="14"/>
      <c r="I613" s="14"/>
      <c r="J613" s="14"/>
      <c r="K613" s="12"/>
    </row>
    <row r="614" ht="19.5" customHeight="1">
      <c r="A614" s="12"/>
      <c r="C614" s="12"/>
      <c r="D614" s="13"/>
      <c r="F614" s="14"/>
      <c r="G614" s="14"/>
      <c r="H614" s="14"/>
      <c r="I614" s="14"/>
      <c r="J614" s="14"/>
      <c r="K614" s="12"/>
    </row>
    <row r="615" ht="19.5" customHeight="1">
      <c r="A615" s="12"/>
      <c r="C615" s="12"/>
      <c r="D615" s="13"/>
      <c r="F615" s="14"/>
      <c r="G615" s="14"/>
      <c r="H615" s="14"/>
      <c r="I615" s="14"/>
      <c r="J615" s="14"/>
      <c r="K615" s="12"/>
    </row>
    <row r="616" ht="19.5" customHeight="1">
      <c r="A616" s="12"/>
      <c r="C616" s="12"/>
      <c r="D616" s="13"/>
      <c r="F616" s="14"/>
      <c r="G616" s="14"/>
      <c r="H616" s="14"/>
      <c r="I616" s="14"/>
      <c r="J616" s="14"/>
      <c r="K616" s="12"/>
    </row>
    <row r="617" ht="19.5" customHeight="1">
      <c r="A617" s="12"/>
      <c r="C617" s="12"/>
      <c r="D617" s="13"/>
      <c r="F617" s="14"/>
      <c r="G617" s="14"/>
      <c r="H617" s="14"/>
      <c r="I617" s="14"/>
      <c r="J617" s="14"/>
      <c r="K617" s="12"/>
    </row>
    <row r="618" ht="19.5" customHeight="1">
      <c r="A618" s="12"/>
      <c r="C618" s="12"/>
      <c r="D618" s="13"/>
      <c r="F618" s="14"/>
      <c r="G618" s="14"/>
      <c r="H618" s="14"/>
      <c r="I618" s="14"/>
      <c r="J618" s="14"/>
      <c r="K618" s="12"/>
    </row>
    <row r="619" ht="19.5" customHeight="1">
      <c r="A619" s="12"/>
      <c r="C619" s="12"/>
      <c r="D619" s="13"/>
      <c r="F619" s="14"/>
      <c r="G619" s="14"/>
      <c r="H619" s="14"/>
      <c r="I619" s="14"/>
      <c r="J619" s="14"/>
      <c r="K619" s="12"/>
    </row>
    <row r="620" ht="19.5" customHeight="1">
      <c r="A620" s="12"/>
      <c r="C620" s="12"/>
      <c r="D620" s="13"/>
      <c r="F620" s="14"/>
      <c r="G620" s="14"/>
      <c r="H620" s="14"/>
      <c r="I620" s="14"/>
      <c r="J620" s="14"/>
      <c r="K620" s="12"/>
    </row>
    <row r="621" ht="19.5" customHeight="1">
      <c r="A621" s="12"/>
      <c r="C621" s="12"/>
      <c r="D621" s="13"/>
      <c r="F621" s="14"/>
      <c r="G621" s="14"/>
      <c r="H621" s="14"/>
      <c r="I621" s="14"/>
      <c r="J621" s="14"/>
      <c r="K621" s="12"/>
    </row>
    <row r="622" ht="19.5" customHeight="1">
      <c r="A622" s="12"/>
      <c r="C622" s="12"/>
      <c r="D622" s="13"/>
      <c r="F622" s="14"/>
      <c r="G622" s="14"/>
      <c r="H622" s="14"/>
      <c r="I622" s="14"/>
      <c r="J622" s="14"/>
      <c r="K622" s="12"/>
    </row>
    <row r="623" ht="19.5" customHeight="1">
      <c r="A623" s="12"/>
      <c r="C623" s="12"/>
      <c r="D623" s="13"/>
      <c r="F623" s="14"/>
      <c r="G623" s="14"/>
      <c r="H623" s="14"/>
      <c r="I623" s="14"/>
      <c r="J623" s="14"/>
      <c r="K623" s="12"/>
    </row>
    <row r="624" ht="19.5" customHeight="1">
      <c r="A624" s="12"/>
      <c r="C624" s="12"/>
      <c r="D624" s="13"/>
      <c r="F624" s="14"/>
      <c r="G624" s="14"/>
      <c r="H624" s="14"/>
      <c r="I624" s="14"/>
      <c r="J624" s="14"/>
      <c r="K624" s="12"/>
    </row>
    <row r="625" ht="19.5" customHeight="1">
      <c r="A625" s="12"/>
      <c r="C625" s="12"/>
      <c r="D625" s="13"/>
      <c r="F625" s="14"/>
      <c r="G625" s="14"/>
      <c r="H625" s="14"/>
      <c r="I625" s="14"/>
      <c r="J625" s="14"/>
      <c r="K625" s="12"/>
    </row>
    <row r="626" ht="19.5" customHeight="1">
      <c r="A626" s="12"/>
      <c r="C626" s="12"/>
      <c r="D626" s="13"/>
      <c r="F626" s="14"/>
      <c r="G626" s="14"/>
      <c r="H626" s="14"/>
      <c r="I626" s="14"/>
      <c r="J626" s="14"/>
      <c r="K626" s="12"/>
    </row>
    <row r="627" ht="19.5" customHeight="1">
      <c r="A627" s="12"/>
      <c r="C627" s="12"/>
      <c r="D627" s="13"/>
      <c r="F627" s="14"/>
      <c r="G627" s="14"/>
      <c r="H627" s="14"/>
      <c r="I627" s="14"/>
      <c r="J627" s="14"/>
      <c r="K627" s="12"/>
    </row>
    <row r="628" ht="19.5" customHeight="1">
      <c r="A628" s="12"/>
      <c r="C628" s="12"/>
      <c r="D628" s="13"/>
      <c r="F628" s="14"/>
      <c r="G628" s="14"/>
      <c r="H628" s="14"/>
      <c r="I628" s="14"/>
      <c r="J628" s="14"/>
      <c r="K628" s="12"/>
    </row>
    <row r="629" ht="19.5" customHeight="1">
      <c r="A629" s="12"/>
      <c r="C629" s="12"/>
      <c r="D629" s="13"/>
      <c r="F629" s="14"/>
      <c r="G629" s="14"/>
      <c r="H629" s="14"/>
      <c r="I629" s="14"/>
      <c r="J629" s="14"/>
      <c r="K629" s="12"/>
    </row>
    <row r="630" ht="19.5" customHeight="1">
      <c r="A630" s="12"/>
      <c r="C630" s="12"/>
      <c r="D630" s="13"/>
      <c r="F630" s="14"/>
      <c r="G630" s="14"/>
      <c r="H630" s="14"/>
      <c r="I630" s="14"/>
      <c r="J630" s="14"/>
      <c r="K630" s="12"/>
    </row>
    <row r="631" ht="19.5" customHeight="1">
      <c r="A631" s="12"/>
      <c r="C631" s="12"/>
      <c r="D631" s="13"/>
      <c r="F631" s="14"/>
      <c r="G631" s="14"/>
      <c r="H631" s="14"/>
      <c r="I631" s="14"/>
      <c r="J631" s="14"/>
      <c r="K631" s="12"/>
    </row>
    <row r="632" ht="19.5" customHeight="1">
      <c r="A632" s="12"/>
      <c r="C632" s="12"/>
      <c r="D632" s="13"/>
      <c r="F632" s="14"/>
      <c r="G632" s="14"/>
      <c r="H632" s="14"/>
      <c r="I632" s="14"/>
      <c r="J632" s="14"/>
      <c r="K632" s="12"/>
    </row>
    <row r="633" ht="19.5" customHeight="1">
      <c r="A633" s="12"/>
      <c r="C633" s="12"/>
      <c r="D633" s="13"/>
      <c r="F633" s="14"/>
      <c r="G633" s="14"/>
      <c r="H633" s="14"/>
      <c r="I633" s="14"/>
      <c r="J633" s="14"/>
      <c r="K633" s="12"/>
    </row>
    <row r="634" ht="19.5" customHeight="1">
      <c r="A634" s="12"/>
      <c r="C634" s="12"/>
      <c r="D634" s="13"/>
      <c r="F634" s="14"/>
      <c r="G634" s="14"/>
      <c r="H634" s="14"/>
      <c r="I634" s="14"/>
      <c r="J634" s="14"/>
      <c r="K634" s="12"/>
    </row>
    <row r="635" ht="19.5" customHeight="1">
      <c r="A635" s="12"/>
      <c r="C635" s="12"/>
      <c r="D635" s="13"/>
      <c r="F635" s="14"/>
      <c r="G635" s="14"/>
      <c r="H635" s="14"/>
      <c r="I635" s="14"/>
      <c r="J635" s="14"/>
      <c r="K635" s="12"/>
    </row>
    <row r="636" ht="19.5" customHeight="1">
      <c r="A636" s="12"/>
      <c r="C636" s="12"/>
      <c r="D636" s="13"/>
      <c r="F636" s="14"/>
      <c r="G636" s="14"/>
      <c r="H636" s="14"/>
      <c r="I636" s="14"/>
      <c r="J636" s="14"/>
      <c r="K636" s="12"/>
    </row>
    <row r="637" ht="19.5" customHeight="1">
      <c r="A637" s="12"/>
      <c r="C637" s="12"/>
      <c r="D637" s="13"/>
      <c r="F637" s="14"/>
      <c r="G637" s="14"/>
      <c r="H637" s="14"/>
      <c r="I637" s="14"/>
      <c r="J637" s="14"/>
      <c r="K637" s="12"/>
    </row>
    <row r="638" ht="19.5" customHeight="1">
      <c r="A638" s="12"/>
      <c r="C638" s="12"/>
      <c r="D638" s="13"/>
      <c r="F638" s="14"/>
      <c r="G638" s="14"/>
      <c r="H638" s="14"/>
      <c r="I638" s="14"/>
      <c r="J638" s="14"/>
      <c r="K638" s="12"/>
    </row>
    <row r="639" ht="19.5" customHeight="1">
      <c r="A639" s="12"/>
      <c r="C639" s="12"/>
      <c r="D639" s="13"/>
      <c r="F639" s="14"/>
      <c r="G639" s="14"/>
      <c r="H639" s="14"/>
      <c r="I639" s="14"/>
      <c r="J639" s="14"/>
      <c r="K639" s="12"/>
    </row>
    <row r="640" ht="19.5" customHeight="1">
      <c r="A640" s="12"/>
      <c r="C640" s="12"/>
      <c r="D640" s="13"/>
      <c r="F640" s="14"/>
      <c r="G640" s="14"/>
      <c r="H640" s="14"/>
      <c r="I640" s="14"/>
      <c r="J640" s="14"/>
      <c r="K640" s="12"/>
    </row>
    <row r="641" ht="19.5" customHeight="1">
      <c r="A641" s="12"/>
      <c r="C641" s="12"/>
      <c r="D641" s="13"/>
      <c r="F641" s="14"/>
      <c r="G641" s="14"/>
      <c r="H641" s="14"/>
      <c r="I641" s="14"/>
      <c r="J641" s="14"/>
      <c r="K641" s="12"/>
    </row>
    <row r="642" ht="19.5" customHeight="1">
      <c r="A642" s="12"/>
      <c r="C642" s="12"/>
      <c r="D642" s="13"/>
      <c r="F642" s="14"/>
      <c r="G642" s="14"/>
      <c r="H642" s="14"/>
      <c r="I642" s="14"/>
      <c r="J642" s="14"/>
      <c r="K642" s="12"/>
    </row>
    <row r="643" ht="19.5" customHeight="1">
      <c r="A643" s="12"/>
      <c r="C643" s="12"/>
      <c r="D643" s="13"/>
      <c r="F643" s="14"/>
      <c r="G643" s="14"/>
      <c r="H643" s="14"/>
      <c r="I643" s="14"/>
      <c r="J643" s="14"/>
      <c r="K643" s="12"/>
    </row>
    <row r="644" ht="19.5" customHeight="1">
      <c r="A644" s="12"/>
      <c r="C644" s="12"/>
      <c r="D644" s="13"/>
      <c r="F644" s="14"/>
      <c r="G644" s="14"/>
      <c r="H644" s="14"/>
      <c r="I644" s="14"/>
      <c r="J644" s="14"/>
      <c r="K644" s="12"/>
    </row>
    <row r="645" ht="19.5" customHeight="1">
      <c r="A645" s="12"/>
      <c r="C645" s="12"/>
      <c r="D645" s="13"/>
      <c r="F645" s="14"/>
      <c r="G645" s="14"/>
      <c r="H645" s="14"/>
      <c r="I645" s="14"/>
      <c r="J645" s="14"/>
      <c r="K645" s="12"/>
    </row>
    <row r="646" ht="19.5" customHeight="1">
      <c r="A646" s="12"/>
      <c r="C646" s="12"/>
      <c r="D646" s="13"/>
      <c r="F646" s="14"/>
      <c r="G646" s="14"/>
      <c r="H646" s="14"/>
      <c r="I646" s="14"/>
      <c r="J646" s="14"/>
      <c r="K646" s="12"/>
    </row>
    <row r="647" ht="19.5" customHeight="1">
      <c r="A647" s="12"/>
      <c r="C647" s="12"/>
      <c r="D647" s="13"/>
      <c r="F647" s="14"/>
      <c r="G647" s="14"/>
      <c r="H647" s="14"/>
      <c r="I647" s="14"/>
      <c r="J647" s="14"/>
      <c r="K647" s="12"/>
    </row>
    <row r="648" ht="19.5" customHeight="1">
      <c r="A648" s="12"/>
      <c r="C648" s="12"/>
      <c r="D648" s="13"/>
      <c r="F648" s="14"/>
      <c r="G648" s="14"/>
      <c r="H648" s="14"/>
      <c r="I648" s="14"/>
      <c r="J648" s="14"/>
      <c r="K648" s="12"/>
    </row>
    <row r="649" ht="19.5" customHeight="1">
      <c r="A649" s="12"/>
      <c r="C649" s="12"/>
      <c r="D649" s="13"/>
      <c r="F649" s="14"/>
      <c r="G649" s="14"/>
      <c r="H649" s="14"/>
      <c r="I649" s="14"/>
      <c r="J649" s="14"/>
      <c r="K649" s="12"/>
    </row>
    <row r="650" ht="19.5" customHeight="1">
      <c r="A650" s="12"/>
      <c r="C650" s="12"/>
      <c r="D650" s="13"/>
      <c r="F650" s="14"/>
      <c r="G650" s="14"/>
      <c r="H650" s="14"/>
      <c r="I650" s="14"/>
      <c r="J650" s="14"/>
      <c r="K650" s="12"/>
    </row>
    <row r="651" ht="19.5" customHeight="1">
      <c r="A651" s="12"/>
      <c r="C651" s="12"/>
      <c r="D651" s="13"/>
      <c r="F651" s="14"/>
      <c r="G651" s="14"/>
      <c r="H651" s="14"/>
      <c r="I651" s="14"/>
      <c r="J651" s="14"/>
      <c r="K651" s="12"/>
    </row>
    <row r="652" ht="19.5" customHeight="1">
      <c r="A652" s="12"/>
      <c r="C652" s="12"/>
      <c r="D652" s="13"/>
      <c r="F652" s="14"/>
      <c r="G652" s="14"/>
      <c r="H652" s="14"/>
      <c r="I652" s="14"/>
      <c r="J652" s="14"/>
      <c r="K652" s="12"/>
    </row>
    <row r="653" ht="19.5" customHeight="1">
      <c r="A653" s="12"/>
      <c r="C653" s="12"/>
      <c r="D653" s="13"/>
      <c r="F653" s="14"/>
      <c r="G653" s="14"/>
      <c r="H653" s="14"/>
      <c r="I653" s="14"/>
      <c r="J653" s="14"/>
      <c r="K653" s="12"/>
    </row>
    <row r="654" ht="19.5" customHeight="1">
      <c r="A654" s="12"/>
      <c r="C654" s="12"/>
      <c r="D654" s="13"/>
      <c r="F654" s="14"/>
      <c r="G654" s="14"/>
      <c r="H654" s="14"/>
      <c r="I654" s="14"/>
      <c r="J654" s="14"/>
      <c r="K654" s="12"/>
    </row>
    <row r="655" ht="19.5" customHeight="1">
      <c r="A655" s="12"/>
      <c r="C655" s="12"/>
      <c r="D655" s="13"/>
      <c r="F655" s="14"/>
      <c r="G655" s="14"/>
      <c r="H655" s="14"/>
      <c r="I655" s="14"/>
      <c r="J655" s="14"/>
      <c r="K655" s="12"/>
    </row>
    <row r="656" ht="19.5" customHeight="1">
      <c r="A656" s="12"/>
      <c r="C656" s="12"/>
      <c r="D656" s="13"/>
      <c r="F656" s="14"/>
      <c r="G656" s="14"/>
      <c r="H656" s="14"/>
      <c r="I656" s="14"/>
      <c r="J656" s="14"/>
      <c r="K656" s="12"/>
    </row>
    <row r="657" ht="19.5" customHeight="1">
      <c r="A657" s="12"/>
      <c r="C657" s="12"/>
      <c r="D657" s="13"/>
      <c r="F657" s="14"/>
      <c r="G657" s="14"/>
      <c r="H657" s="14"/>
      <c r="I657" s="14"/>
      <c r="J657" s="14"/>
      <c r="K657" s="12"/>
    </row>
    <row r="658" ht="19.5" customHeight="1">
      <c r="A658" s="12"/>
      <c r="C658" s="12"/>
      <c r="D658" s="13"/>
      <c r="F658" s="14"/>
      <c r="G658" s="14"/>
      <c r="H658" s="14"/>
      <c r="I658" s="14"/>
      <c r="J658" s="14"/>
      <c r="K658" s="12"/>
    </row>
    <row r="659" ht="19.5" customHeight="1">
      <c r="A659" s="12"/>
      <c r="C659" s="12"/>
      <c r="D659" s="13"/>
      <c r="F659" s="14"/>
      <c r="G659" s="14"/>
      <c r="H659" s="14"/>
      <c r="I659" s="14"/>
      <c r="J659" s="14"/>
      <c r="K659" s="12"/>
    </row>
    <row r="660" ht="19.5" customHeight="1">
      <c r="A660" s="12"/>
      <c r="C660" s="12"/>
      <c r="D660" s="13"/>
      <c r="F660" s="14"/>
      <c r="G660" s="14"/>
      <c r="H660" s="14"/>
      <c r="I660" s="14"/>
      <c r="J660" s="14"/>
      <c r="K660" s="12"/>
    </row>
    <row r="661" ht="19.5" customHeight="1">
      <c r="A661" s="12"/>
      <c r="C661" s="12"/>
      <c r="D661" s="13"/>
      <c r="F661" s="14"/>
      <c r="G661" s="14"/>
      <c r="H661" s="14"/>
      <c r="I661" s="14"/>
      <c r="J661" s="14"/>
      <c r="K661" s="12"/>
    </row>
    <row r="662" ht="19.5" customHeight="1">
      <c r="A662" s="12"/>
      <c r="C662" s="12"/>
      <c r="D662" s="13"/>
      <c r="F662" s="14"/>
      <c r="G662" s="14"/>
      <c r="H662" s="14"/>
      <c r="I662" s="14"/>
      <c r="J662" s="14"/>
      <c r="K662" s="12"/>
    </row>
    <row r="663" ht="19.5" customHeight="1">
      <c r="A663" s="12"/>
      <c r="C663" s="12"/>
      <c r="D663" s="13"/>
      <c r="F663" s="14"/>
      <c r="G663" s="14"/>
      <c r="H663" s="14"/>
      <c r="I663" s="14"/>
      <c r="J663" s="14"/>
      <c r="K663" s="12"/>
    </row>
    <row r="664" ht="19.5" customHeight="1">
      <c r="A664" s="12"/>
      <c r="C664" s="12"/>
      <c r="D664" s="13"/>
      <c r="F664" s="14"/>
      <c r="G664" s="14"/>
      <c r="H664" s="14"/>
      <c r="I664" s="14"/>
      <c r="J664" s="14"/>
      <c r="K664" s="12"/>
    </row>
    <row r="665" ht="19.5" customHeight="1">
      <c r="A665" s="12"/>
      <c r="C665" s="12"/>
      <c r="D665" s="13"/>
      <c r="F665" s="14"/>
      <c r="G665" s="14"/>
      <c r="H665" s="14"/>
      <c r="I665" s="14"/>
      <c r="J665" s="14"/>
      <c r="K665" s="12"/>
    </row>
    <row r="666" ht="19.5" customHeight="1">
      <c r="A666" s="12"/>
      <c r="C666" s="12"/>
      <c r="D666" s="13"/>
      <c r="F666" s="14"/>
      <c r="G666" s="14"/>
      <c r="H666" s="14"/>
      <c r="I666" s="14"/>
      <c r="J666" s="14"/>
      <c r="K666" s="12"/>
    </row>
    <row r="667" ht="19.5" customHeight="1">
      <c r="A667" s="12"/>
      <c r="C667" s="12"/>
      <c r="D667" s="13"/>
      <c r="F667" s="14"/>
      <c r="G667" s="14"/>
      <c r="H667" s="14"/>
      <c r="I667" s="14"/>
      <c r="J667" s="14"/>
      <c r="K667" s="12"/>
    </row>
    <row r="668" ht="19.5" customHeight="1">
      <c r="A668" s="12"/>
      <c r="C668" s="12"/>
      <c r="D668" s="13"/>
      <c r="F668" s="14"/>
      <c r="G668" s="14"/>
      <c r="H668" s="14"/>
      <c r="I668" s="14"/>
      <c r="J668" s="14"/>
      <c r="K668" s="12"/>
    </row>
    <row r="669" ht="19.5" customHeight="1">
      <c r="A669" s="12"/>
      <c r="C669" s="12"/>
      <c r="D669" s="13"/>
      <c r="F669" s="14"/>
      <c r="G669" s="14"/>
      <c r="H669" s="14"/>
      <c r="I669" s="14"/>
      <c r="J669" s="14"/>
      <c r="K669" s="12"/>
    </row>
    <row r="670" ht="19.5" customHeight="1">
      <c r="A670" s="12"/>
      <c r="C670" s="12"/>
      <c r="D670" s="13"/>
      <c r="F670" s="14"/>
      <c r="G670" s="14"/>
      <c r="H670" s="14"/>
      <c r="I670" s="14"/>
      <c r="J670" s="14"/>
      <c r="K670" s="12"/>
    </row>
    <row r="671" ht="19.5" customHeight="1">
      <c r="A671" s="12"/>
      <c r="C671" s="12"/>
      <c r="D671" s="13"/>
      <c r="F671" s="14"/>
      <c r="G671" s="14"/>
      <c r="H671" s="14"/>
      <c r="I671" s="14"/>
      <c r="J671" s="14"/>
      <c r="K671" s="12"/>
    </row>
    <row r="672" ht="19.5" customHeight="1">
      <c r="A672" s="12"/>
      <c r="C672" s="12"/>
      <c r="D672" s="13"/>
      <c r="F672" s="14"/>
      <c r="G672" s="14"/>
      <c r="H672" s="14"/>
      <c r="I672" s="14"/>
      <c r="J672" s="14"/>
      <c r="K672" s="12"/>
    </row>
    <row r="673" ht="19.5" customHeight="1">
      <c r="A673" s="12"/>
      <c r="C673" s="12"/>
      <c r="D673" s="13"/>
      <c r="F673" s="14"/>
      <c r="G673" s="14"/>
      <c r="H673" s="14"/>
      <c r="I673" s="14"/>
      <c r="J673" s="14"/>
      <c r="K673" s="12"/>
    </row>
    <row r="674" ht="19.5" customHeight="1">
      <c r="A674" s="12"/>
      <c r="C674" s="12"/>
      <c r="D674" s="13"/>
      <c r="F674" s="14"/>
      <c r="G674" s="14"/>
      <c r="H674" s="14"/>
      <c r="I674" s="14"/>
      <c r="J674" s="14"/>
      <c r="K674" s="12"/>
    </row>
    <row r="675" ht="19.5" customHeight="1">
      <c r="A675" s="12"/>
      <c r="C675" s="12"/>
      <c r="D675" s="13"/>
      <c r="F675" s="14"/>
      <c r="G675" s="14"/>
      <c r="H675" s="14"/>
      <c r="I675" s="14"/>
      <c r="J675" s="14"/>
      <c r="K675" s="12"/>
    </row>
    <row r="676" ht="19.5" customHeight="1">
      <c r="A676" s="12"/>
      <c r="C676" s="12"/>
      <c r="D676" s="13"/>
      <c r="F676" s="14"/>
      <c r="G676" s="14"/>
      <c r="H676" s="14"/>
      <c r="I676" s="14"/>
      <c r="J676" s="14"/>
      <c r="K676" s="12"/>
    </row>
    <row r="677" ht="19.5" customHeight="1">
      <c r="A677" s="12"/>
      <c r="C677" s="12"/>
      <c r="D677" s="13"/>
      <c r="F677" s="14"/>
      <c r="G677" s="14"/>
      <c r="H677" s="14"/>
      <c r="I677" s="14"/>
      <c r="J677" s="14"/>
      <c r="K677" s="12"/>
    </row>
    <row r="678" ht="19.5" customHeight="1">
      <c r="A678" s="12"/>
      <c r="C678" s="12"/>
      <c r="D678" s="13"/>
      <c r="F678" s="14"/>
      <c r="G678" s="14"/>
      <c r="H678" s="14"/>
      <c r="I678" s="14"/>
      <c r="J678" s="14"/>
      <c r="K678" s="12"/>
    </row>
    <row r="679" ht="19.5" customHeight="1">
      <c r="A679" s="12"/>
      <c r="C679" s="12"/>
      <c r="D679" s="13"/>
      <c r="F679" s="14"/>
      <c r="G679" s="14"/>
      <c r="H679" s="14"/>
      <c r="I679" s="14"/>
      <c r="J679" s="14"/>
      <c r="K679" s="12"/>
    </row>
    <row r="680" ht="19.5" customHeight="1">
      <c r="A680" s="12"/>
      <c r="C680" s="12"/>
      <c r="D680" s="13"/>
      <c r="F680" s="14"/>
      <c r="G680" s="14"/>
      <c r="H680" s="14"/>
      <c r="I680" s="14"/>
      <c r="J680" s="14"/>
      <c r="K680" s="12"/>
    </row>
    <row r="681" ht="19.5" customHeight="1">
      <c r="A681" s="12"/>
      <c r="C681" s="12"/>
      <c r="D681" s="13"/>
      <c r="F681" s="14"/>
      <c r="G681" s="14"/>
      <c r="H681" s="14"/>
      <c r="I681" s="14"/>
      <c r="J681" s="14"/>
      <c r="K681" s="12"/>
    </row>
    <row r="682" ht="19.5" customHeight="1">
      <c r="A682" s="12"/>
      <c r="C682" s="12"/>
      <c r="D682" s="13"/>
      <c r="F682" s="14"/>
      <c r="G682" s="14"/>
      <c r="H682" s="14"/>
      <c r="I682" s="14"/>
      <c r="J682" s="14"/>
      <c r="K682" s="12"/>
    </row>
    <row r="683" ht="19.5" customHeight="1">
      <c r="A683" s="12"/>
      <c r="C683" s="12"/>
      <c r="D683" s="13"/>
      <c r="F683" s="14"/>
      <c r="G683" s="14"/>
      <c r="H683" s="14"/>
      <c r="I683" s="14"/>
      <c r="J683" s="14"/>
      <c r="K683" s="12"/>
    </row>
    <row r="684" ht="19.5" customHeight="1">
      <c r="A684" s="12"/>
      <c r="C684" s="12"/>
      <c r="D684" s="13"/>
      <c r="F684" s="14"/>
      <c r="G684" s="14"/>
      <c r="H684" s="14"/>
      <c r="I684" s="14"/>
      <c r="J684" s="14"/>
      <c r="K684" s="12"/>
    </row>
    <row r="685" ht="19.5" customHeight="1">
      <c r="A685" s="12"/>
      <c r="C685" s="12"/>
      <c r="D685" s="13"/>
      <c r="F685" s="14"/>
      <c r="G685" s="14"/>
      <c r="H685" s="14"/>
      <c r="I685" s="14"/>
      <c r="J685" s="14"/>
      <c r="K685" s="12"/>
    </row>
    <row r="686" ht="19.5" customHeight="1">
      <c r="A686" s="12"/>
      <c r="C686" s="12"/>
      <c r="D686" s="13"/>
      <c r="F686" s="14"/>
      <c r="G686" s="14"/>
      <c r="H686" s="14"/>
      <c r="I686" s="14"/>
      <c r="J686" s="14"/>
      <c r="K686" s="12"/>
    </row>
    <row r="687" ht="19.5" customHeight="1">
      <c r="A687" s="12"/>
      <c r="C687" s="12"/>
      <c r="D687" s="13"/>
      <c r="F687" s="14"/>
      <c r="G687" s="14"/>
      <c r="H687" s="14"/>
      <c r="I687" s="14"/>
      <c r="J687" s="14"/>
      <c r="K687" s="12"/>
    </row>
    <row r="688" ht="19.5" customHeight="1">
      <c r="A688" s="12"/>
      <c r="C688" s="12"/>
      <c r="D688" s="13"/>
      <c r="F688" s="14"/>
      <c r="G688" s="14"/>
      <c r="H688" s="14"/>
      <c r="I688" s="14"/>
      <c r="J688" s="14"/>
      <c r="K688" s="12"/>
    </row>
    <row r="689" ht="19.5" customHeight="1">
      <c r="A689" s="12"/>
      <c r="C689" s="12"/>
      <c r="D689" s="13"/>
      <c r="F689" s="14"/>
      <c r="G689" s="14"/>
      <c r="H689" s="14"/>
      <c r="I689" s="14"/>
      <c r="J689" s="14"/>
      <c r="K689" s="12"/>
    </row>
    <row r="690" ht="19.5" customHeight="1">
      <c r="A690" s="12"/>
      <c r="C690" s="12"/>
      <c r="D690" s="13"/>
      <c r="F690" s="14"/>
      <c r="G690" s="14"/>
      <c r="H690" s="14"/>
      <c r="I690" s="14"/>
      <c r="J690" s="14"/>
      <c r="K690" s="12"/>
    </row>
    <row r="691" ht="19.5" customHeight="1">
      <c r="A691" s="12"/>
      <c r="C691" s="12"/>
      <c r="D691" s="13"/>
      <c r="F691" s="14"/>
      <c r="G691" s="14"/>
      <c r="H691" s="14"/>
      <c r="I691" s="14"/>
      <c r="J691" s="14"/>
      <c r="K691" s="12"/>
    </row>
    <row r="692" ht="19.5" customHeight="1">
      <c r="A692" s="12"/>
      <c r="C692" s="12"/>
      <c r="D692" s="13"/>
      <c r="F692" s="14"/>
      <c r="G692" s="14"/>
      <c r="H692" s="14"/>
      <c r="I692" s="14"/>
      <c r="J692" s="14"/>
      <c r="K692" s="12"/>
    </row>
    <row r="693" ht="19.5" customHeight="1">
      <c r="A693" s="12"/>
      <c r="C693" s="12"/>
      <c r="D693" s="13"/>
      <c r="F693" s="14"/>
      <c r="G693" s="14"/>
      <c r="H693" s="14"/>
      <c r="I693" s="14"/>
      <c r="J693" s="14"/>
      <c r="K693" s="12"/>
    </row>
    <row r="694" ht="19.5" customHeight="1">
      <c r="A694" s="12"/>
      <c r="C694" s="12"/>
      <c r="D694" s="13"/>
      <c r="F694" s="14"/>
      <c r="G694" s="14"/>
      <c r="H694" s="14"/>
      <c r="I694" s="14"/>
      <c r="J694" s="14"/>
      <c r="K694" s="12"/>
    </row>
    <row r="695" ht="19.5" customHeight="1">
      <c r="A695" s="12"/>
      <c r="C695" s="12"/>
      <c r="D695" s="13"/>
      <c r="F695" s="14"/>
      <c r="G695" s="14"/>
      <c r="H695" s="14"/>
      <c r="I695" s="14"/>
      <c r="J695" s="14"/>
      <c r="K695" s="12"/>
    </row>
    <row r="696" ht="19.5" customHeight="1">
      <c r="A696" s="12"/>
      <c r="C696" s="12"/>
      <c r="D696" s="13"/>
      <c r="F696" s="14"/>
      <c r="G696" s="14"/>
      <c r="H696" s="14"/>
      <c r="I696" s="14"/>
      <c r="J696" s="14"/>
      <c r="K696" s="12"/>
    </row>
    <row r="697" ht="19.5" customHeight="1">
      <c r="A697" s="12"/>
      <c r="C697" s="12"/>
      <c r="D697" s="13"/>
      <c r="F697" s="14"/>
      <c r="G697" s="14"/>
      <c r="H697" s="14"/>
      <c r="I697" s="14"/>
      <c r="J697" s="14"/>
      <c r="K697" s="12"/>
    </row>
    <row r="698" ht="19.5" customHeight="1">
      <c r="A698" s="12"/>
      <c r="C698" s="12"/>
      <c r="D698" s="13"/>
      <c r="F698" s="14"/>
      <c r="G698" s="14"/>
      <c r="H698" s="14"/>
      <c r="I698" s="14"/>
      <c r="J698" s="14"/>
      <c r="K698" s="12"/>
    </row>
    <row r="699" ht="19.5" customHeight="1">
      <c r="A699" s="12"/>
      <c r="C699" s="12"/>
      <c r="D699" s="13"/>
      <c r="F699" s="14"/>
      <c r="G699" s="14"/>
      <c r="H699" s="14"/>
      <c r="I699" s="14"/>
      <c r="J699" s="14"/>
      <c r="K699" s="12"/>
    </row>
    <row r="700" ht="19.5" customHeight="1">
      <c r="A700" s="12"/>
      <c r="C700" s="12"/>
      <c r="D700" s="13"/>
      <c r="F700" s="14"/>
      <c r="G700" s="14"/>
      <c r="H700" s="14"/>
      <c r="I700" s="14"/>
      <c r="J700" s="14"/>
      <c r="K700" s="12"/>
    </row>
    <row r="701" ht="19.5" customHeight="1">
      <c r="A701" s="12"/>
      <c r="C701" s="12"/>
      <c r="D701" s="13"/>
      <c r="F701" s="14"/>
      <c r="G701" s="14"/>
      <c r="H701" s="14"/>
      <c r="I701" s="14"/>
      <c r="J701" s="14"/>
      <c r="K701" s="12"/>
    </row>
    <row r="702" ht="19.5" customHeight="1">
      <c r="A702" s="12"/>
      <c r="C702" s="12"/>
      <c r="D702" s="13"/>
      <c r="F702" s="14"/>
      <c r="G702" s="14"/>
      <c r="H702" s="14"/>
      <c r="I702" s="14"/>
      <c r="J702" s="14"/>
      <c r="K702" s="12"/>
    </row>
    <row r="703" ht="19.5" customHeight="1">
      <c r="A703" s="12"/>
      <c r="C703" s="12"/>
      <c r="D703" s="13"/>
      <c r="F703" s="14"/>
      <c r="G703" s="14"/>
      <c r="H703" s="14"/>
      <c r="I703" s="14"/>
      <c r="J703" s="14"/>
      <c r="K703" s="12"/>
    </row>
    <row r="704" ht="19.5" customHeight="1">
      <c r="A704" s="12"/>
      <c r="C704" s="12"/>
      <c r="D704" s="13"/>
      <c r="F704" s="14"/>
      <c r="G704" s="14"/>
      <c r="H704" s="14"/>
      <c r="I704" s="14"/>
      <c r="J704" s="14"/>
      <c r="K704" s="12"/>
    </row>
    <row r="705" ht="19.5" customHeight="1">
      <c r="A705" s="12"/>
      <c r="C705" s="12"/>
      <c r="D705" s="13"/>
      <c r="F705" s="14"/>
      <c r="G705" s="14"/>
      <c r="H705" s="14"/>
      <c r="I705" s="14"/>
      <c r="J705" s="14"/>
      <c r="K705" s="12"/>
    </row>
    <row r="706" ht="19.5" customHeight="1">
      <c r="A706" s="12"/>
      <c r="C706" s="12"/>
      <c r="D706" s="13"/>
      <c r="F706" s="14"/>
      <c r="G706" s="14"/>
      <c r="H706" s="14"/>
      <c r="I706" s="14"/>
      <c r="J706" s="14"/>
      <c r="K706" s="12"/>
    </row>
    <row r="707" ht="19.5" customHeight="1">
      <c r="A707" s="12"/>
      <c r="C707" s="12"/>
      <c r="D707" s="13"/>
      <c r="F707" s="14"/>
      <c r="G707" s="14"/>
      <c r="H707" s="14"/>
      <c r="I707" s="14"/>
      <c r="J707" s="14"/>
      <c r="K707" s="12"/>
    </row>
    <row r="708" ht="19.5" customHeight="1">
      <c r="A708" s="12"/>
      <c r="C708" s="12"/>
      <c r="D708" s="13"/>
      <c r="F708" s="14"/>
      <c r="G708" s="14"/>
      <c r="H708" s="14"/>
      <c r="I708" s="14"/>
      <c r="J708" s="14"/>
      <c r="K708" s="12"/>
    </row>
    <row r="709" ht="19.5" customHeight="1">
      <c r="A709" s="12"/>
      <c r="C709" s="12"/>
      <c r="D709" s="13"/>
      <c r="F709" s="14"/>
      <c r="G709" s="14"/>
      <c r="H709" s="14"/>
      <c r="I709" s="14"/>
      <c r="J709" s="14"/>
      <c r="K709" s="12"/>
    </row>
    <row r="710" ht="19.5" customHeight="1">
      <c r="A710" s="12"/>
      <c r="C710" s="12"/>
      <c r="D710" s="13"/>
      <c r="F710" s="14"/>
      <c r="G710" s="14"/>
      <c r="H710" s="14"/>
      <c r="I710" s="14"/>
      <c r="J710" s="14"/>
      <c r="K710" s="12"/>
    </row>
    <row r="711" ht="19.5" customHeight="1">
      <c r="A711" s="12"/>
      <c r="C711" s="12"/>
      <c r="D711" s="13"/>
      <c r="F711" s="14"/>
      <c r="G711" s="14"/>
      <c r="H711" s="14"/>
      <c r="I711" s="14"/>
      <c r="J711" s="14"/>
      <c r="K711" s="12"/>
    </row>
    <row r="712" ht="19.5" customHeight="1">
      <c r="A712" s="12"/>
      <c r="C712" s="12"/>
      <c r="D712" s="13"/>
      <c r="F712" s="14"/>
      <c r="G712" s="14"/>
      <c r="H712" s="14"/>
      <c r="I712" s="14"/>
      <c r="J712" s="14"/>
      <c r="K712" s="12"/>
    </row>
    <row r="713" ht="19.5" customHeight="1">
      <c r="A713" s="12"/>
      <c r="C713" s="12"/>
      <c r="D713" s="13"/>
      <c r="F713" s="14"/>
      <c r="G713" s="14"/>
      <c r="H713" s="14"/>
      <c r="I713" s="14"/>
      <c r="J713" s="14"/>
      <c r="K713" s="12"/>
    </row>
    <row r="714" ht="19.5" customHeight="1">
      <c r="A714" s="12"/>
      <c r="C714" s="12"/>
      <c r="D714" s="13"/>
      <c r="F714" s="14"/>
      <c r="G714" s="14"/>
      <c r="H714" s="14"/>
      <c r="I714" s="14"/>
      <c r="J714" s="14"/>
      <c r="K714" s="12"/>
    </row>
    <row r="715" ht="19.5" customHeight="1">
      <c r="A715" s="12"/>
      <c r="C715" s="12"/>
      <c r="D715" s="13"/>
      <c r="F715" s="14"/>
      <c r="G715" s="14"/>
      <c r="H715" s="14"/>
      <c r="I715" s="14"/>
      <c r="J715" s="14"/>
      <c r="K715" s="12"/>
    </row>
    <row r="716" ht="19.5" customHeight="1">
      <c r="A716" s="12"/>
      <c r="C716" s="12"/>
      <c r="D716" s="13"/>
      <c r="F716" s="14"/>
      <c r="G716" s="14"/>
      <c r="H716" s="14"/>
      <c r="I716" s="14"/>
      <c r="J716" s="14"/>
      <c r="K716" s="12"/>
    </row>
    <row r="717" ht="19.5" customHeight="1">
      <c r="A717" s="12"/>
      <c r="C717" s="12"/>
      <c r="D717" s="13"/>
      <c r="F717" s="14"/>
      <c r="G717" s="14"/>
      <c r="H717" s="14"/>
      <c r="I717" s="14"/>
      <c r="J717" s="14"/>
      <c r="K717" s="12"/>
    </row>
    <row r="718" ht="19.5" customHeight="1">
      <c r="A718" s="12"/>
      <c r="C718" s="12"/>
      <c r="D718" s="13"/>
      <c r="F718" s="14"/>
      <c r="G718" s="14"/>
      <c r="H718" s="14"/>
      <c r="I718" s="14"/>
      <c r="J718" s="14"/>
      <c r="K718" s="12"/>
    </row>
    <row r="719" ht="19.5" customHeight="1">
      <c r="A719" s="12"/>
      <c r="C719" s="12"/>
      <c r="D719" s="13"/>
      <c r="F719" s="14"/>
      <c r="G719" s="14"/>
      <c r="H719" s="14"/>
      <c r="I719" s="14"/>
      <c r="J719" s="14"/>
      <c r="K719" s="12"/>
    </row>
    <row r="720" ht="19.5" customHeight="1">
      <c r="A720" s="12"/>
      <c r="C720" s="12"/>
      <c r="D720" s="13"/>
      <c r="F720" s="14"/>
      <c r="G720" s="14"/>
      <c r="H720" s="14"/>
      <c r="I720" s="14"/>
      <c r="J720" s="14"/>
      <c r="K720" s="12"/>
    </row>
    <row r="721" ht="19.5" customHeight="1">
      <c r="A721" s="12"/>
      <c r="C721" s="12"/>
      <c r="D721" s="13"/>
      <c r="F721" s="14"/>
      <c r="G721" s="14"/>
      <c r="H721" s="14"/>
      <c r="I721" s="14"/>
      <c r="J721" s="14"/>
      <c r="K721" s="12"/>
    </row>
    <row r="722" ht="19.5" customHeight="1">
      <c r="A722" s="12"/>
      <c r="C722" s="12"/>
      <c r="D722" s="13"/>
      <c r="F722" s="14"/>
      <c r="G722" s="14"/>
      <c r="H722" s="14"/>
      <c r="I722" s="14"/>
      <c r="J722" s="14"/>
      <c r="K722" s="12"/>
    </row>
    <row r="723" ht="19.5" customHeight="1">
      <c r="A723" s="12"/>
      <c r="C723" s="12"/>
      <c r="D723" s="13"/>
      <c r="F723" s="14"/>
      <c r="G723" s="14"/>
      <c r="H723" s="14"/>
      <c r="I723" s="14"/>
      <c r="J723" s="14"/>
      <c r="K723" s="12"/>
    </row>
    <row r="724" ht="19.5" customHeight="1">
      <c r="A724" s="12"/>
      <c r="C724" s="12"/>
      <c r="D724" s="13"/>
      <c r="F724" s="14"/>
      <c r="G724" s="14"/>
      <c r="H724" s="14"/>
      <c r="I724" s="14"/>
      <c r="J724" s="14"/>
      <c r="K724" s="12"/>
    </row>
    <row r="725" ht="19.5" customHeight="1">
      <c r="A725" s="12"/>
      <c r="C725" s="12"/>
      <c r="D725" s="13"/>
      <c r="F725" s="14"/>
      <c r="G725" s="14"/>
      <c r="H725" s="14"/>
      <c r="I725" s="14"/>
      <c r="J725" s="14"/>
      <c r="K725" s="12"/>
    </row>
    <row r="726" ht="19.5" customHeight="1">
      <c r="A726" s="12"/>
      <c r="C726" s="12"/>
      <c r="D726" s="13"/>
      <c r="F726" s="14"/>
      <c r="G726" s="14"/>
      <c r="H726" s="14"/>
      <c r="I726" s="14"/>
      <c r="J726" s="14"/>
      <c r="K726" s="12"/>
    </row>
    <row r="727" ht="19.5" customHeight="1">
      <c r="A727" s="12"/>
      <c r="C727" s="12"/>
      <c r="D727" s="13"/>
      <c r="F727" s="14"/>
      <c r="G727" s="14"/>
      <c r="H727" s="14"/>
      <c r="I727" s="14"/>
      <c r="J727" s="14"/>
      <c r="K727" s="12"/>
    </row>
    <row r="728" ht="19.5" customHeight="1">
      <c r="A728" s="12"/>
      <c r="C728" s="12"/>
      <c r="D728" s="13"/>
      <c r="F728" s="14"/>
      <c r="G728" s="14"/>
      <c r="H728" s="14"/>
      <c r="I728" s="14"/>
      <c r="J728" s="14"/>
      <c r="K728" s="12"/>
    </row>
    <row r="729" ht="19.5" customHeight="1">
      <c r="A729" s="12"/>
      <c r="C729" s="12"/>
      <c r="D729" s="13"/>
      <c r="F729" s="14"/>
      <c r="G729" s="14"/>
      <c r="H729" s="14"/>
      <c r="I729" s="14"/>
      <c r="J729" s="14"/>
      <c r="K729" s="12"/>
    </row>
    <row r="730" ht="19.5" customHeight="1">
      <c r="A730" s="12"/>
      <c r="C730" s="12"/>
      <c r="D730" s="13"/>
      <c r="F730" s="14"/>
      <c r="G730" s="14"/>
      <c r="H730" s="14"/>
      <c r="I730" s="14"/>
      <c r="J730" s="14"/>
      <c r="K730" s="12"/>
    </row>
    <row r="731" ht="19.5" customHeight="1">
      <c r="A731" s="12"/>
      <c r="C731" s="12"/>
      <c r="D731" s="13"/>
      <c r="F731" s="14"/>
      <c r="G731" s="14"/>
      <c r="H731" s="14"/>
      <c r="I731" s="14"/>
      <c r="J731" s="14"/>
      <c r="K731" s="12"/>
    </row>
    <row r="732" ht="19.5" customHeight="1">
      <c r="A732" s="12"/>
      <c r="C732" s="12"/>
      <c r="D732" s="13"/>
      <c r="F732" s="14"/>
      <c r="G732" s="14"/>
      <c r="H732" s="14"/>
      <c r="I732" s="14"/>
      <c r="J732" s="14"/>
      <c r="K732" s="12"/>
    </row>
    <row r="733" ht="19.5" customHeight="1">
      <c r="A733" s="12"/>
      <c r="C733" s="12"/>
      <c r="D733" s="13"/>
      <c r="F733" s="14"/>
      <c r="G733" s="14"/>
      <c r="H733" s="14"/>
      <c r="I733" s="14"/>
      <c r="J733" s="14"/>
      <c r="K733" s="12"/>
    </row>
    <row r="734" ht="19.5" customHeight="1">
      <c r="A734" s="12"/>
      <c r="C734" s="12"/>
      <c r="D734" s="13"/>
      <c r="F734" s="14"/>
      <c r="G734" s="14"/>
      <c r="H734" s="14"/>
      <c r="I734" s="14"/>
      <c r="J734" s="14"/>
      <c r="K734" s="12"/>
    </row>
    <row r="735" ht="19.5" customHeight="1">
      <c r="A735" s="12"/>
      <c r="C735" s="12"/>
      <c r="D735" s="13"/>
      <c r="F735" s="14"/>
      <c r="G735" s="14"/>
      <c r="H735" s="14"/>
      <c r="I735" s="14"/>
      <c r="J735" s="14"/>
      <c r="K735" s="12"/>
    </row>
    <row r="736" ht="19.5" customHeight="1">
      <c r="A736" s="12"/>
      <c r="C736" s="12"/>
      <c r="D736" s="13"/>
      <c r="F736" s="14"/>
      <c r="G736" s="14"/>
      <c r="H736" s="14"/>
      <c r="I736" s="14"/>
      <c r="J736" s="14"/>
      <c r="K736" s="12"/>
    </row>
    <row r="737" ht="19.5" customHeight="1">
      <c r="A737" s="12"/>
      <c r="C737" s="12"/>
      <c r="D737" s="13"/>
      <c r="F737" s="14"/>
      <c r="G737" s="14"/>
      <c r="H737" s="14"/>
      <c r="I737" s="14"/>
      <c r="J737" s="14"/>
      <c r="K737" s="12"/>
    </row>
    <row r="738" ht="19.5" customHeight="1">
      <c r="A738" s="12"/>
      <c r="C738" s="12"/>
      <c r="D738" s="13"/>
      <c r="F738" s="14"/>
      <c r="G738" s="14"/>
      <c r="H738" s="14"/>
      <c r="I738" s="14"/>
      <c r="J738" s="14"/>
      <c r="K738" s="12"/>
    </row>
    <row r="739" ht="19.5" customHeight="1">
      <c r="A739" s="12"/>
      <c r="C739" s="12"/>
      <c r="D739" s="13"/>
      <c r="F739" s="14"/>
      <c r="G739" s="14"/>
      <c r="H739" s="14"/>
      <c r="I739" s="14"/>
      <c r="J739" s="14"/>
      <c r="K739" s="12"/>
    </row>
    <row r="740" ht="19.5" customHeight="1">
      <c r="A740" s="12"/>
      <c r="C740" s="12"/>
      <c r="D740" s="13"/>
      <c r="F740" s="14"/>
      <c r="G740" s="14"/>
      <c r="H740" s="14"/>
      <c r="I740" s="14"/>
      <c r="J740" s="14"/>
      <c r="K740" s="12"/>
    </row>
    <row r="741" ht="19.5" customHeight="1">
      <c r="A741" s="12"/>
      <c r="C741" s="12"/>
      <c r="D741" s="13"/>
      <c r="F741" s="14"/>
      <c r="G741" s="14"/>
      <c r="H741" s="14"/>
      <c r="I741" s="14"/>
      <c r="J741" s="14"/>
      <c r="K741" s="12"/>
    </row>
    <row r="742" ht="19.5" customHeight="1">
      <c r="A742" s="12"/>
      <c r="C742" s="12"/>
      <c r="D742" s="13"/>
      <c r="F742" s="14"/>
      <c r="G742" s="14"/>
      <c r="H742" s="14"/>
      <c r="I742" s="14"/>
      <c r="J742" s="14"/>
      <c r="K742" s="12"/>
    </row>
    <row r="743" ht="19.5" customHeight="1">
      <c r="A743" s="12"/>
      <c r="C743" s="12"/>
      <c r="D743" s="13"/>
      <c r="F743" s="14"/>
      <c r="G743" s="14"/>
      <c r="H743" s="14"/>
      <c r="I743" s="14"/>
      <c r="J743" s="14"/>
      <c r="K743" s="12"/>
    </row>
    <row r="744" ht="19.5" customHeight="1">
      <c r="A744" s="12"/>
      <c r="C744" s="12"/>
      <c r="D744" s="13"/>
      <c r="F744" s="14"/>
      <c r="G744" s="14"/>
      <c r="H744" s="14"/>
      <c r="I744" s="14"/>
      <c r="J744" s="14"/>
      <c r="K744" s="12"/>
    </row>
    <row r="745" ht="19.5" customHeight="1">
      <c r="A745" s="12"/>
      <c r="C745" s="12"/>
      <c r="D745" s="13"/>
      <c r="F745" s="14"/>
      <c r="G745" s="14"/>
      <c r="H745" s="14"/>
      <c r="I745" s="14"/>
      <c r="J745" s="14"/>
      <c r="K745" s="12"/>
    </row>
    <row r="746" ht="19.5" customHeight="1">
      <c r="A746" s="12"/>
      <c r="C746" s="12"/>
      <c r="D746" s="13"/>
      <c r="F746" s="14"/>
      <c r="G746" s="14"/>
      <c r="H746" s="14"/>
      <c r="I746" s="14"/>
      <c r="J746" s="14"/>
      <c r="K746" s="12"/>
    </row>
    <row r="747" ht="19.5" customHeight="1">
      <c r="A747" s="12"/>
      <c r="C747" s="12"/>
      <c r="D747" s="13"/>
      <c r="F747" s="14"/>
      <c r="G747" s="14"/>
      <c r="H747" s="14"/>
      <c r="I747" s="14"/>
      <c r="J747" s="14"/>
      <c r="K747" s="12"/>
    </row>
    <row r="748" ht="19.5" customHeight="1">
      <c r="A748" s="12"/>
      <c r="C748" s="12"/>
      <c r="D748" s="13"/>
      <c r="F748" s="14"/>
      <c r="G748" s="14"/>
      <c r="H748" s="14"/>
      <c r="I748" s="14"/>
      <c r="J748" s="14"/>
      <c r="K748" s="12"/>
    </row>
    <row r="749" ht="19.5" customHeight="1">
      <c r="A749" s="12"/>
      <c r="C749" s="12"/>
      <c r="D749" s="13"/>
      <c r="F749" s="14"/>
      <c r="G749" s="14"/>
      <c r="H749" s="14"/>
      <c r="I749" s="14"/>
      <c r="J749" s="14"/>
      <c r="K749" s="12"/>
    </row>
    <row r="750" ht="19.5" customHeight="1">
      <c r="A750" s="12"/>
      <c r="C750" s="12"/>
      <c r="D750" s="13"/>
      <c r="F750" s="14"/>
      <c r="G750" s="14"/>
      <c r="H750" s="14"/>
      <c r="I750" s="14"/>
      <c r="J750" s="14"/>
      <c r="K750" s="12"/>
    </row>
    <row r="751" ht="19.5" customHeight="1">
      <c r="A751" s="12"/>
      <c r="C751" s="12"/>
      <c r="D751" s="13"/>
      <c r="F751" s="14"/>
      <c r="G751" s="14"/>
      <c r="H751" s="14"/>
      <c r="I751" s="14"/>
      <c r="J751" s="14"/>
      <c r="K751" s="12"/>
    </row>
    <row r="752" ht="19.5" customHeight="1">
      <c r="A752" s="12"/>
      <c r="C752" s="12"/>
      <c r="D752" s="13"/>
      <c r="F752" s="14"/>
      <c r="G752" s="14"/>
      <c r="H752" s="14"/>
      <c r="I752" s="14"/>
      <c r="J752" s="14"/>
      <c r="K752" s="12"/>
    </row>
    <row r="753" ht="19.5" customHeight="1">
      <c r="A753" s="12"/>
      <c r="C753" s="12"/>
      <c r="D753" s="13"/>
      <c r="F753" s="14"/>
      <c r="G753" s="14"/>
      <c r="H753" s="14"/>
      <c r="I753" s="14"/>
      <c r="J753" s="14"/>
      <c r="K753" s="12"/>
    </row>
    <row r="754" ht="19.5" customHeight="1">
      <c r="A754" s="12"/>
      <c r="C754" s="12"/>
      <c r="D754" s="13"/>
      <c r="F754" s="14"/>
      <c r="G754" s="14"/>
      <c r="H754" s="14"/>
      <c r="I754" s="14"/>
      <c r="J754" s="14"/>
      <c r="K754" s="12"/>
    </row>
    <row r="755" ht="19.5" customHeight="1">
      <c r="A755" s="12"/>
      <c r="C755" s="12"/>
      <c r="D755" s="13"/>
      <c r="F755" s="14"/>
      <c r="G755" s="14"/>
      <c r="H755" s="14"/>
      <c r="I755" s="14"/>
      <c r="J755" s="14"/>
      <c r="K755" s="12"/>
    </row>
    <row r="756" ht="19.5" customHeight="1">
      <c r="A756" s="12"/>
      <c r="C756" s="12"/>
      <c r="D756" s="13"/>
      <c r="F756" s="14"/>
      <c r="G756" s="14"/>
      <c r="H756" s="14"/>
      <c r="I756" s="14"/>
      <c r="J756" s="14"/>
      <c r="K756" s="12"/>
    </row>
    <row r="757" ht="19.5" customHeight="1">
      <c r="A757" s="12"/>
      <c r="C757" s="12"/>
      <c r="D757" s="13"/>
      <c r="F757" s="14"/>
      <c r="G757" s="14"/>
      <c r="H757" s="14"/>
      <c r="I757" s="14"/>
      <c r="J757" s="14"/>
      <c r="K757" s="12"/>
    </row>
    <row r="758" ht="19.5" customHeight="1">
      <c r="A758" s="12"/>
      <c r="C758" s="12"/>
      <c r="D758" s="13"/>
      <c r="F758" s="14"/>
      <c r="G758" s="14"/>
      <c r="H758" s="14"/>
      <c r="I758" s="14"/>
      <c r="J758" s="14"/>
      <c r="K758" s="12"/>
    </row>
    <row r="759" ht="19.5" customHeight="1">
      <c r="A759" s="12"/>
      <c r="C759" s="12"/>
      <c r="D759" s="13"/>
      <c r="F759" s="14"/>
      <c r="G759" s="14"/>
      <c r="H759" s="14"/>
      <c r="I759" s="14"/>
      <c r="J759" s="14"/>
      <c r="K759" s="12"/>
    </row>
    <row r="760" ht="19.5" customHeight="1">
      <c r="A760" s="12"/>
      <c r="C760" s="12"/>
      <c r="D760" s="13"/>
      <c r="F760" s="14"/>
      <c r="G760" s="14"/>
      <c r="H760" s="14"/>
      <c r="I760" s="14"/>
      <c r="J760" s="14"/>
      <c r="K760" s="12"/>
    </row>
    <row r="761" ht="19.5" customHeight="1">
      <c r="A761" s="12"/>
      <c r="C761" s="12"/>
      <c r="D761" s="13"/>
      <c r="F761" s="14"/>
      <c r="G761" s="14"/>
      <c r="H761" s="14"/>
      <c r="I761" s="14"/>
      <c r="J761" s="14"/>
      <c r="K761" s="12"/>
    </row>
    <row r="762" ht="19.5" customHeight="1">
      <c r="A762" s="12"/>
      <c r="C762" s="12"/>
      <c r="D762" s="13"/>
      <c r="F762" s="14"/>
      <c r="G762" s="14"/>
      <c r="H762" s="14"/>
      <c r="I762" s="14"/>
      <c r="J762" s="14"/>
      <c r="K762" s="12"/>
    </row>
    <row r="763" ht="19.5" customHeight="1">
      <c r="A763" s="12"/>
      <c r="C763" s="12"/>
      <c r="D763" s="13"/>
      <c r="F763" s="14"/>
      <c r="G763" s="14"/>
      <c r="H763" s="14"/>
      <c r="I763" s="14"/>
      <c r="J763" s="14"/>
      <c r="K763" s="12"/>
    </row>
    <row r="764" ht="19.5" customHeight="1">
      <c r="A764" s="12"/>
      <c r="C764" s="12"/>
      <c r="D764" s="13"/>
      <c r="F764" s="14"/>
      <c r="G764" s="14"/>
      <c r="H764" s="14"/>
      <c r="I764" s="14"/>
      <c r="J764" s="14"/>
      <c r="K764" s="12"/>
    </row>
    <row r="765" ht="19.5" customHeight="1">
      <c r="A765" s="12"/>
      <c r="C765" s="12"/>
      <c r="D765" s="13"/>
      <c r="F765" s="14"/>
      <c r="G765" s="14"/>
      <c r="H765" s="14"/>
      <c r="I765" s="14"/>
      <c r="J765" s="14"/>
      <c r="K765" s="12"/>
    </row>
    <row r="766" ht="19.5" customHeight="1">
      <c r="A766" s="12"/>
      <c r="C766" s="12"/>
      <c r="D766" s="13"/>
      <c r="F766" s="14"/>
      <c r="G766" s="14"/>
      <c r="H766" s="14"/>
      <c r="I766" s="14"/>
      <c r="J766" s="14"/>
      <c r="K766" s="12"/>
    </row>
    <row r="767" ht="19.5" customHeight="1">
      <c r="A767" s="12"/>
      <c r="C767" s="12"/>
      <c r="D767" s="13"/>
      <c r="F767" s="14"/>
      <c r="G767" s="14"/>
      <c r="H767" s="14"/>
      <c r="I767" s="14"/>
      <c r="J767" s="14"/>
      <c r="K767" s="12"/>
    </row>
    <row r="768" ht="19.5" customHeight="1">
      <c r="A768" s="12"/>
      <c r="C768" s="12"/>
      <c r="D768" s="13"/>
      <c r="F768" s="14"/>
      <c r="G768" s="14"/>
      <c r="H768" s="14"/>
      <c r="I768" s="14"/>
      <c r="J768" s="14"/>
      <c r="K768" s="12"/>
    </row>
    <row r="769" ht="19.5" customHeight="1">
      <c r="A769" s="12"/>
      <c r="C769" s="12"/>
      <c r="D769" s="13"/>
      <c r="F769" s="14"/>
      <c r="G769" s="14"/>
      <c r="H769" s="14"/>
      <c r="I769" s="14"/>
      <c r="J769" s="14"/>
      <c r="K769" s="12"/>
    </row>
    <row r="770" ht="19.5" customHeight="1">
      <c r="A770" s="12"/>
      <c r="C770" s="12"/>
      <c r="D770" s="13"/>
      <c r="F770" s="14"/>
      <c r="G770" s="14"/>
      <c r="H770" s="14"/>
      <c r="I770" s="14"/>
      <c r="J770" s="14"/>
      <c r="K770" s="12"/>
    </row>
    <row r="771" ht="19.5" customHeight="1">
      <c r="A771" s="12"/>
      <c r="C771" s="12"/>
      <c r="D771" s="13"/>
      <c r="F771" s="14"/>
      <c r="G771" s="14"/>
      <c r="H771" s="14"/>
      <c r="I771" s="14"/>
      <c r="J771" s="14"/>
      <c r="K771" s="12"/>
    </row>
    <row r="772" ht="19.5" customHeight="1">
      <c r="A772" s="12"/>
      <c r="C772" s="12"/>
      <c r="D772" s="13"/>
      <c r="F772" s="14"/>
      <c r="G772" s="14"/>
      <c r="H772" s="14"/>
      <c r="I772" s="14"/>
      <c r="J772" s="14"/>
      <c r="K772" s="12"/>
    </row>
    <row r="773" ht="19.5" customHeight="1">
      <c r="A773" s="12"/>
      <c r="C773" s="12"/>
      <c r="D773" s="13"/>
      <c r="F773" s="14"/>
      <c r="G773" s="14"/>
      <c r="H773" s="14"/>
      <c r="I773" s="14"/>
      <c r="J773" s="14"/>
      <c r="K773" s="12"/>
    </row>
    <row r="774" ht="19.5" customHeight="1">
      <c r="A774" s="12"/>
      <c r="C774" s="12"/>
      <c r="D774" s="13"/>
      <c r="F774" s="14"/>
      <c r="G774" s="14"/>
      <c r="H774" s="14"/>
      <c r="I774" s="14"/>
      <c r="J774" s="14"/>
      <c r="K774" s="12"/>
    </row>
    <row r="775" ht="19.5" customHeight="1">
      <c r="A775" s="12"/>
      <c r="C775" s="12"/>
      <c r="D775" s="13"/>
      <c r="F775" s="14"/>
      <c r="G775" s="14"/>
      <c r="H775" s="14"/>
      <c r="I775" s="14"/>
      <c r="J775" s="14"/>
      <c r="K775" s="12"/>
    </row>
    <row r="776" ht="19.5" customHeight="1">
      <c r="A776" s="12"/>
      <c r="C776" s="12"/>
      <c r="D776" s="13"/>
      <c r="F776" s="14"/>
      <c r="G776" s="14"/>
      <c r="H776" s="14"/>
      <c r="I776" s="14"/>
      <c r="J776" s="14"/>
      <c r="K776" s="12"/>
    </row>
    <row r="777" ht="19.5" customHeight="1">
      <c r="A777" s="12"/>
      <c r="C777" s="12"/>
      <c r="D777" s="13"/>
      <c r="F777" s="14"/>
      <c r="G777" s="14"/>
      <c r="H777" s="14"/>
      <c r="I777" s="14"/>
      <c r="J777" s="14"/>
      <c r="K777" s="12"/>
    </row>
    <row r="778" ht="19.5" customHeight="1">
      <c r="A778" s="12"/>
      <c r="C778" s="12"/>
      <c r="D778" s="13"/>
      <c r="F778" s="14"/>
      <c r="G778" s="14"/>
      <c r="H778" s="14"/>
      <c r="I778" s="14"/>
      <c r="J778" s="14"/>
      <c r="K778" s="12"/>
    </row>
    <row r="779" ht="19.5" customHeight="1">
      <c r="A779" s="12"/>
      <c r="C779" s="12"/>
      <c r="D779" s="13"/>
      <c r="F779" s="14"/>
      <c r="G779" s="14"/>
      <c r="H779" s="14"/>
      <c r="I779" s="14"/>
      <c r="J779" s="14"/>
      <c r="K779" s="12"/>
    </row>
    <row r="780" ht="19.5" customHeight="1">
      <c r="A780" s="12"/>
      <c r="C780" s="12"/>
      <c r="D780" s="13"/>
      <c r="F780" s="14"/>
      <c r="G780" s="14"/>
      <c r="H780" s="14"/>
      <c r="I780" s="14"/>
      <c r="J780" s="14"/>
      <c r="K780" s="12"/>
    </row>
    <row r="781" ht="19.5" customHeight="1">
      <c r="A781" s="12"/>
      <c r="C781" s="12"/>
      <c r="D781" s="13"/>
      <c r="F781" s="14"/>
      <c r="G781" s="14"/>
      <c r="H781" s="14"/>
      <c r="I781" s="14"/>
      <c r="J781" s="14"/>
      <c r="K781" s="12"/>
    </row>
    <row r="782" ht="19.5" customHeight="1">
      <c r="A782" s="12"/>
      <c r="C782" s="12"/>
      <c r="D782" s="13"/>
      <c r="F782" s="14"/>
      <c r="G782" s="14"/>
      <c r="H782" s="14"/>
      <c r="I782" s="14"/>
      <c r="J782" s="14"/>
      <c r="K782" s="12"/>
    </row>
    <row r="783" ht="19.5" customHeight="1">
      <c r="A783" s="12"/>
      <c r="C783" s="12"/>
      <c r="D783" s="13"/>
      <c r="F783" s="14"/>
      <c r="G783" s="14"/>
      <c r="H783" s="14"/>
      <c r="I783" s="14"/>
      <c r="J783" s="14"/>
      <c r="K783" s="12"/>
    </row>
    <row r="784" ht="19.5" customHeight="1">
      <c r="A784" s="12"/>
      <c r="C784" s="12"/>
      <c r="D784" s="13"/>
      <c r="F784" s="14"/>
      <c r="G784" s="14"/>
      <c r="H784" s="14"/>
      <c r="I784" s="14"/>
      <c r="J784" s="14"/>
      <c r="K784" s="12"/>
    </row>
    <row r="785" ht="19.5" customHeight="1">
      <c r="A785" s="12"/>
      <c r="C785" s="12"/>
      <c r="D785" s="13"/>
      <c r="F785" s="14"/>
      <c r="G785" s="14"/>
      <c r="H785" s="14"/>
      <c r="I785" s="14"/>
      <c r="J785" s="14"/>
      <c r="K785" s="12"/>
    </row>
    <row r="786" ht="19.5" customHeight="1">
      <c r="A786" s="12"/>
      <c r="C786" s="12"/>
      <c r="D786" s="13"/>
      <c r="F786" s="14"/>
      <c r="G786" s="14"/>
      <c r="H786" s="14"/>
      <c r="I786" s="14"/>
      <c r="J786" s="14"/>
      <c r="K786" s="12"/>
    </row>
    <row r="787" ht="19.5" customHeight="1">
      <c r="A787" s="12"/>
      <c r="C787" s="12"/>
      <c r="D787" s="13"/>
      <c r="F787" s="14"/>
      <c r="G787" s="14"/>
      <c r="H787" s="14"/>
      <c r="I787" s="14"/>
      <c r="J787" s="14"/>
      <c r="K787" s="12"/>
    </row>
    <row r="788" ht="19.5" customHeight="1">
      <c r="A788" s="12"/>
      <c r="C788" s="12"/>
      <c r="D788" s="13"/>
      <c r="F788" s="14"/>
      <c r="G788" s="14"/>
      <c r="H788" s="14"/>
      <c r="I788" s="14"/>
      <c r="J788" s="14"/>
      <c r="K788" s="12"/>
    </row>
    <row r="789" ht="19.5" customHeight="1">
      <c r="A789" s="12"/>
      <c r="C789" s="12"/>
      <c r="D789" s="13"/>
      <c r="F789" s="14"/>
      <c r="G789" s="14"/>
      <c r="H789" s="14"/>
      <c r="I789" s="14"/>
      <c r="J789" s="14"/>
      <c r="K789" s="12"/>
    </row>
    <row r="790" ht="19.5" customHeight="1">
      <c r="A790" s="12"/>
      <c r="C790" s="12"/>
      <c r="D790" s="13"/>
      <c r="F790" s="14"/>
      <c r="G790" s="14"/>
      <c r="H790" s="14"/>
      <c r="I790" s="14"/>
      <c r="J790" s="14"/>
      <c r="K790" s="12"/>
    </row>
    <row r="791" ht="19.5" customHeight="1">
      <c r="A791" s="12"/>
      <c r="C791" s="12"/>
      <c r="D791" s="13"/>
      <c r="F791" s="14"/>
      <c r="G791" s="14"/>
      <c r="H791" s="14"/>
      <c r="I791" s="14"/>
      <c r="J791" s="14"/>
      <c r="K791" s="12"/>
    </row>
    <row r="792" ht="19.5" customHeight="1">
      <c r="A792" s="12"/>
      <c r="C792" s="12"/>
      <c r="D792" s="13"/>
      <c r="F792" s="14"/>
      <c r="G792" s="14"/>
      <c r="H792" s="14"/>
      <c r="I792" s="14"/>
      <c r="J792" s="14"/>
      <c r="K792" s="12"/>
    </row>
    <row r="793" ht="19.5" customHeight="1">
      <c r="A793" s="12"/>
      <c r="C793" s="12"/>
      <c r="D793" s="13"/>
      <c r="F793" s="14"/>
      <c r="G793" s="14"/>
      <c r="H793" s="14"/>
      <c r="I793" s="14"/>
      <c r="J793" s="14"/>
      <c r="K793" s="12"/>
    </row>
    <row r="794" ht="19.5" customHeight="1">
      <c r="A794" s="12"/>
      <c r="C794" s="12"/>
      <c r="D794" s="13"/>
      <c r="F794" s="14"/>
      <c r="G794" s="14"/>
      <c r="H794" s="14"/>
      <c r="I794" s="14"/>
      <c r="J794" s="14"/>
      <c r="K794" s="12"/>
    </row>
    <row r="795" ht="19.5" customHeight="1">
      <c r="A795" s="12"/>
      <c r="C795" s="12"/>
      <c r="D795" s="13"/>
      <c r="F795" s="14"/>
      <c r="G795" s="14"/>
      <c r="H795" s="14"/>
      <c r="I795" s="14"/>
      <c r="J795" s="14"/>
      <c r="K795" s="12"/>
    </row>
    <row r="796" ht="19.5" customHeight="1">
      <c r="A796" s="12"/>
      <c r="C796" s="12"/>
      <c r="D796" s="13"/>
      <c r="F796" s="14"/>
      <c r="G796" s="14"/>
      <c r="H796" s="14"/>
      <c r="I796" s="14"/>
      <c r="J796" s="14"/>
      <c r="K796" s="12"/>
    </row>
    <row r="797" ht="19.5" customHeight="1">
      <c r="A797" s="12"/>
      <c r="C797" s="12"/>
      <c r="D797" s="13"/>
      <c r="F797" s="14"/>
      <c r="G797" s="14"/>
      <c r="H797" s="14"/>
      <c r="I797" s="14"/>
      <c r="J797" s="14"/>
      <c r="K797" s="12"/>
    </row>
    <row r="798" ht="19.5" customHeight="1">
      <c r="A798" s="12"/>
      <c r="C798" s="12"/>
      <c r="D798" s="13"/>
      <c r="F798" s="14"/>
      <c r="G798" s="14"/>
      <c r="H798" s="14"/>
      <c r="I798" s="14"/>
      <c r="J798" s="14"/>
      <c r="K798" s="12"/>
    </row>
    <row r="799" ht="19.5" customHeight="1">
      <c r="A799" s="12"/>
      <c r="C799" s="12"/>
      <c r="D799" s="13"/>
      <c r="F799" s="14"/>
      <c r="G799" s="14"/>
      <c r="H799" s="14"/>
      <c r="I799" s="14"/>
      <c r="J799" s="14"/>
      <c r="K799" s="12"/>
    </row>
    <row r="800" ht="19.5" customHeight="1">
      <c r="A800" s="12"/>
      <c r="C800" s="12"/>
      <c r="D800" s="13"/>
      <c r="F800" s="14"/>
      <c r="G800" s="14"/>
      <c r="H800" s="14"/>
      <c r="I800" s="14"/>
      <c r="J800" s="14"/>
      <c r="K800" s="12"/>
    </row>
    <row r="801" ht="19.5" customHeight="1">
      <c r="A801" s="12"/>
      <c r="C801" s="12"/>
      <c r="D801" s="13"/>
      <c r="F801" s="14"/>
      <c r="G801" s="14"/>
      <c r="H801" s="14"/>
      <c r="I801" s="14"/>
      <c r="J801" s="14"/>
      <c r="K801" s="12"/>
    </row>
    <row r="802" ht="19.5" customHeight="1">
      <c r="A802" s="12"/>
      <c r="C802" s="12"/>
      <c r="D802" s="13"/>
      <c r="F802" s="14"/>
      <c r="G802" s="14"/>
      <c r="H802" s="14"/>
      <c r="I802" s="14"/>
      <c r="J802" s="14"/>
      <c r="K802" s="12"/>
    </row>
    <row r="803" ht="19.5" customHeight="1">
      <c r="A803" s="12"/>
      <c r="C803" s="12"/>
      <c r="D803" s="13"/>
      <c r="F803" s="14"/>
      <c r="G803" s="14"/>
      <c r="H803" s="14"/>
      <c r="I803" s="14"/>
      <c r="J803" s="14"/>
      <c r="K803" s="12"/>
    </row>
    <row r="804" ht="19.5" customHeight="1">
      <c r="A804" s="12"/>
      <c r="C804" s="12"/>
      <c r="D804" s="13"/>
      <c r="F804" s="14"/>
      <c r="G804" s="14"/>
      <c r="H804" s="14"/>
      <c r="I804" s="14"/>
      <c r="J804" s="14"/>
      <c r="K804" s="12"/>
    </row>
    <row r="805" ht="19.5" customHeight="1">
      <c r="A805" s="12"/>
      <c r="C805" s="12"/>
      <c r="D805" s="13"/>
      <c r="F805" s="14"/>
      <c r="G805" s="14"/>
      <c r="H805" s="14"/>
      <c r="I805" s="14"/>
      <c r="J805" s="14"/>
      <c r="K805" s="12"/>
    </row>
    <row r="806" ht="19.5" customHeight="1">
      <c r="A806" s="12"/>
      <c r="C806" s="12"/>
      <c r="D806" s="13"/>
      <c r="F806" s="14"/>
      <c r="G806" s="14"/>
      <c r="H806" s="14"/>
      <c r="I806" s="14"/>
      <c r="J806" s="14"/>
      <c r="K806" s="12"/>
    </row>
    <row r="807" ht="19.5" customHeight="1">
      <c r="A807" s="12"/>
      <c r="C807" s="12"/>
      <c r="D807" s="13"/>
      <c r="F807" s="14"/>
      <c r="G807" s="14"/>
      <c r="H807" s="14"/>
      <c r="I807" s="14"/>
      <c r="J807" s="14"/>
      <c r="K807" s="12"/>
    </row>
    <row r="808" ht="19.5" customHeight="1">
      <c r="A808" s="12"/>
      <c r="C808" s="12"/>
      <c r="D808" s="13"/>
      <c r="F808" s="14"/>
      <c r="G808" s="14"/>
      <c r="H808" s="14"/>
      <c r="I808" s="14"/>
      <c r="J808" s="14"/>
      <c r="K808" s="12"/>
    </row>
    <row r="809" ht="19.5" customHeight="1">
      <c r="A809" s="12"/>
      <c r="C809" s="12"/>
      <c r="D809" s="13"/>
      <c r="F809" s="14"/>
      <c r="G809" s="14"/>
      <c r="H809" s="14"/>
      <c r="I809" s="14"/>
      <c r="J809" s="14"/>
      <c r="K809" s="12"/>
    </row>
    <row r="810" ht="19.5" customHeight="1">
      <c r="A810" s="12"/>
      <c r="C810" s="12"/>
      <c r="D810" s="13"/>
      <c r="F810" s="14"/>
      <c r="G810" s="14"/>
      <c r="H810" s="14"/>
      <c r="I810" s="14"/>
      <c r="J810" s="14"/>
      <c r="K810" s="12"/>
    </row>
    <row r="811" ht="19.5" customHeight="1">
      <c r="A811" s="12"/>
      <c r="C811" s="12"/>
      <c r="D811" s="13"/>
      <c r="F811" s="14"/>
      <c r="G811" s="14"/>
      <c r="H811" s="14"/>
      <c r="I811" s="14"/>
      <c r="J811" s="14"/>
      <c r="K811" s="12"/>
    </row>
    <row r="812" ht="19.5" customHeight="1">
      <c r="A812" s="12"/>
      <c r="C812" s="12"/>
      <c r="D812" s="13"/>
      <c r="F812" s="14"/>
      <c r="G812" s="14"/>
      <c r="H812" s="14"/>
      <c r="I812" s="14"/>
      <c r="J812" s="14"/>
      <c r="K812" s="12"/>
    </row>
    <row r="813" ht="19.5" customHeight="1">
      <c r="A813" s="12"/>
      <c r="C813" s="12"/>
      <c r="D813" s="13"/>
      <c r="F813" s="14"/>
      <c r="G813" s="14"/>
      <c r="H813" s="14"/>
      <c r="I813" s="14"/>
      <c r="J813" s="14"/>
      <c r="K813" s="12"/>
    </row>
    <row r="814" ht="19.5" customHeight="1">
      <c r="A814" s="12"/>
      <c r="C814" s="12"/>
      <c r="D814" s="13"/>
      <c r="F814" s="14"/>
      <c r="G814" s="14"/>
      <c r="H814" s="14"/>
      <c r="I814" s="14"/>
      <c r="J814" s="14"/>
      <c r="K814" s="12"/>
    </row>
    <row r="815" ht="19.5" customHeight="1">
      <c r="A815" s="12"/>
      <c r="C815" s="12"/>
      <c r="D815" s="13"/>
      <c r="F815" s="14"/>
      <c r="G815" s="14"/>
      <c r="H815" s="14"/>
      <c r="I815" s="14"/>
      <c r="J815" s="14"/>
      <c r="K815" s="12"/>
    </row>
    <row r="816" ht="19.5" customHeight="1">
      <c r="A816" s="12"/>
      <c r="C816" s="12"/>
      <c r="D816" s="13"/>
      <c r="F816" s="14"/>
      <c r="G816" s="14"/>
      <c r="H816" s="14"/>
      <c r="I816" s="14"/>
      <c r="J816" s="14"/>
      <c r="K816" s="12"/>
    </row>
    <row r="817" ht="19.5" customHeight="1">
      <c r="A817" s="12"/>
      <c r="C817" s="12"/>
      <c r="D817" s="13"/>
      <c r="F817" s="14"/>
      <c r="G817" s="14"/>
      <c r="H817" s="14"/>
      <c r="I817" s="14"/>
      <c r="J817" s="14"/>
      <c r="K817" s="12"/>
    </row>
    <row r="818" ht="19.5" customHeight="1">
      <c r="A818" s="12"/>
      <c r="C818" s="12"/>
      <c r="D818" s="13"/>
      <c r="F818" s="14"/>
      <c r="G818" s="14"/>
      <c r="H818" s="14"/>
      <c r="I818" s="14"/>
      <c r="J818" s="14"/>
      <c r="K818" s="12"/>
    </row>
    <row r="819" ht="19.5" customHeight="1">
      <c r="A819" s="12"/>
      <c r="C819" s="12"/>
      <c r="D819" s="13"/>
      <c r="F819" s="14"/>
      <c r="G819" s="14"/>
      <c r="H819" s="14"/>
      <c r="I819" s="14"/>
      <c r="J819" s="14"/>
      <c r="K819" s="12"/>
    </row>
    <row r="820" ht="19.5" customHeight="1">
      <c r="A820" s="12"/>
      <c r="C820" s="12"/>
      <c r="D820" s="13"/>
      <c r="F820" s="14"/>
      <c r="G820" s="14"/>
      <c r="H820" s="14"/>
      <c r="I820" s="14"/>
      <c r="J820" s="14"/>
      <c r="K820" s="12"/>
    </row>
    <row r="821" ht="19.5" customHeight="1">
      <c r="A821" s="12"/>
      <c r="C821" s="12"/>
      <c r="D821" s="13"/>
      <c r="F821" s="14"/>
      <c r="G821" s="14"/>
      <c r="H821" s="14"/>
      <c r="I821" s="14"/>
      <c r="J821" s="14"/>
      <c r="K821" s="12"/>
    </row>
    <row r="822" ht="19.5" customHeight="1">
      <c r="A822" s="12"/>
      <c r="C822" s="12"/>
      <c r="D822" s="13"/>
      <c r="F822" s="14"/>
      <c r="G822" s="14"/>
      <c r="H822" s="14"/>
      <c r="I822" s="14"/>
      <c r="J822" s="14"/>
      <c r="K822" s="12"/>
    </row>
    <row r="823" ht="19.5" customHeight="1">
      <c r="A823" s="12"/>
      <c r="C823" s="12"/>
      <c r="D823" s="13"/>
      <c r="F823" s="14"/>
      <c r="G823" s="14"/>
      <c r="H823" s="14"/>
      <c r="I823" s="14"/>
      <c r="J823" s="14"/>
      <c r="K823" s="12"/>
    </row>
    <row r="824" ht="19.5" customHeight="1">
      <c r="A824" s="12"/>
      <c r="C824" s="12"/>
      <c r="D824" s="13"/>
      <c r="F824" s="14"/>
      <c r="G824" s="14"/>
      <c r="H824" s="14"/>
      <c r="I824" s="14"/>
      <c r="J824" s="14"/>
      <c r="K824" s="12"/>
    </row>
    <row r="825" ht="19.5" customHeight="1">
      <c r="A825" s="12"/>
      <c r="C825" s="12"/>
      <c r="D825" s="13"/>
      <c r="F825" s="14"/>
      <c r="G825" s="14"/>
      <c r="H825" s="14"/>
      <c r="I825" s="14"/>
      <c r="J825" s="14"/>
      <c r="K825" s="12"/>
    </row>
    <row r="826" ht="19.5" customHeight="1">
      <c r="A826" s="12"/>
      <c r="C826" s="12"/>
      <c r="D826" s="13"/>
      <c r="F826" s="14"/>
      <c r="G826" s="14"/>
      <c r="H826" s="14"/>
      <c r="I826" s="14"/>
      <c r="J826" s="14"/>
      <c r="K826" s="12"/>
    </row>
    <row r="827" ht="19.5" customHeight="1">
      <c r="A827" s="12"/>
      <c r="C827" s="12"/>
      <c r="D827" s="13"/>
      <c r="F827" s="14"/>
      <c r="G827" s="14"/>
      <c r="H827" s="14"/>
      <c r="I827" s="14"/>
      <c r="J827" s="14"/>
      <c r="K827" s="12"/>
    </row>
    <row r="828" ht="19.5" customHeight="1">
      <c r="A828" s="12"/>
      <c r="C828" s="12"/>
      <c r="D828" s="13"/>
      <c r="F828" s="14"/>
      <c r="G828" s="14"/>
      <c r="H828" s="14"/>
      <c r="I828" s="14"/>
      <c r="J828" s="14"/>
      <c r="K828" s="12"/>
    </row>
    <row r="829" ht="19.5" customHeight="1">
      <c r="A829" s="12"/>
      <c r="C829" s="12"/>
      <c r="D829" s="13"/>
      <c r="F829" s="14"/>
      <c r="G829" s="14"/>
      <c r="H829" s="14"/>
      <c r="I829" s="14"/>
      <c r="J829" s="14"/>
      <c r="K829" s="12"/>
    </row>
    <row r="830" ht="19.5" customHeight="1">
      <c r="A830" s="12"/>
      <c r="C830" s="12"/>
      <c r="D830" s="13"/>
      <c r="F830" s="14"/>
      <c r="G830" s="14"/>
      <c r="H830" s="14"/>
      <c r="I830" s="14"/>
      <c r="J830" s="14"/>
      <c r="K830" s="12"/>
    </row>
    <row r="831" ht="19.5" customHeight="1">
      <c r="A831" s="12"/>
      <c r="C831" s="12"/>
      <c r="D831" s="13"/>
      <c r="F831" s="14"/>
      <c r="G831" s="14"/>
      <c r="H831" s="14"/>
      <c r="I831" s="14"/>
      <c r="J831" s="14"/>
      <c r="K831" s="12"/>
    </row>
    <row r="832" ht="19.5" customHeight="1">
      <c r="A832" s="12"/>
      <c r="C832" s="12"/>
      <c r="D832" s="13"/>
      <c r="F832" s="14"/>
      <c r="G832" s="14"/>
      <c r="H832" s="14"/>
      <c r="I832" s="14"/>
      <c r="J832" s="14"/>
      <c r="K832" s="12"/>
    </row>
    <row r="833" ht="19.5" customHeight="1">
      <c r="A833" s="12"/>
      <c r="C833" s="12"/>
      <c r="D833" s="13"/>
      <c r="F833" s="14"/>
      <c r="G833" s="14"/>
      <c r="H833" s="14"/>
      <c r="I833" s="14"/>
      <c r="J833" s="14"/>
      <c r="K833" s="12"/>
    </row>
    <row r="834" ht="19.5" customHeight="1">
      <c r="A834" s="12"/>
      <c r="C834" s="12"/>
      <c r="D834" s="13"/>
      <c r="F834" s="14"/>
      <c r="G834" s="14"/>
      <c r="H834" s="14"/>
      <c r="I834" s="14"/>
      <c r="J834" s="14"/>
      <c r="K834" s="12"/>
    </row>
    <row r="835" ht="19.5" customHeight="1">
      <c r="A835" s="12"/>
      <c r="C835" s="12"/>
      <c r="D835" s="13"/>
      <c r="F835" s="14"/>
      <c r="G835" s="14"/>
      <c r="H835" s="14"/>
      <c r="I835" s="14"/>
      <c r="J835" s="14"/>
      <c r="K835" s="12"/>
    </row>
    <row r="836" ht="19.5" customHeight="1">
      <c r="A836" s="12"/>
      <c r="C836" s="12"/>
      <c r="D836" s="13"/>
      <c r="F836" s="14"/>
      <c r="G836" s="14"/>
      <c r="H836" s="14"/>
      <c r="I836" s="14"/>
      <c r="J836" s="14"/>
      <c r="K836" s="12"/>
    </row>
    <row r="837" ht="19.5" customHeight="1">
      <c r="A837" s="12"/>
      <c r="C837" s="12"/>
      <c r="D837" s="13"/>
      <c r="F837" s="14"/>
      <c r="G837" s="14"/>
      <c r="H837" s="14"/>
      <c r="I837" s="14"/>
      <c r="J837" s="14"/>
      <c r="K837" s="12"/>
    </row>
    <row r="838" ht="19.5" customHeight="1">
      <c r="A838" s="12"/>
      <c r="C838" s="12"/>
      <c r="D838" s="13"/>
      <c r="F838" s="14"/>
      <c r="G838" s="14"/>
      <c r="H838" s="14"/>
      <c r="I838" s="14"/>
      <c r="J838" s="14"/>
      <c r="K838" s="12"/>
    </row>
    <row r="839" ht="19.5" customHeight="1">
      <c r="A839" s="12"/>
      <c r="C839" s="12"/>
      <c r="D839" s="13"/>
      <c r="F839" s="14"/>
      <c r="G839" s="14"/>
      <c r="H839" s="14"/>
      <c r="I839" s="14"/>
      <c r="J839" s="14"/>
      <c r="K839" s="12"/>
    </row>
    <row r="840" ht="19.5" customHeight="1">
      <c r="A840" s="12"/>
      <c r="C840" s="12"/>
      <c r="D840" s="13"/>
      <c r="F840" s="14"/>
      <c r="G840" s="14"/>
      <c r="H840" s="14"/>
      <c r="I840" s="14"/>
      <c r="J840" s="14"/>
      <c r="K840" s="12"/>
    </row>
    <row r="841" ht="19.5" customHeight="1">
      <c r="A841" s="12"/>
      <c r="C841" s="12"/>
      <c r="D841" s="13"/>
      <c r="F841" s="14"/>
      <c r="G841" s="14"/>
      <c r="H841" s="14"/>
      <c r="I841" s="14"/>
      <c r="J841" s="14"/>
      <c r="K841" s="12"/>
    </row>
    <row r="842" ht="19.5" customHeight="1">
      <c r="A842" s="12"/>
      <c r="C842" s="12"/>
      <c r="D842" s="13"/>
      <c r="F842" s="14"/>
      <c r="G842" s="14"/>
      <c r="H842" s="14"/>
      <c r="I842" s="14"/>
      <c r="J842" s="14"/>
      <c r="K842" s="12"/>
    </row>
    <row r="843" ht="19.5" customHeight="1">
      <c r="A843" s="12"/>
      <c r="C843" s="12"/>
      <c r="D843" s="13"/>
      <c r="F843" s="14"/>
      <c r="G843" s="14"/>
      <c r="H843" s="14"/>
      <c r="I843" s="14"/>
      <c r="J843" s="14"/>
      <c r="K843" s="12"/>
    </row>
    <row r="844" ht="19.5" customHeight="1">
      <c r="A844" s="12"/>
      <c r="C844" s="12"/>
      <c r="D844" s="13"/>
      <c r="F844" s="14"/>
      <c r="G844" s="14"/>
      <c r="H844" s="14"/>
      <c r="I844" s="14"/>
      <c r="J844" s="14"/>
      <c r="K844" s="12"/>
    </row>
    <row r="845" ht="19.5" customHeight="1">
      <c r="A845" s="12"/>
      <c r="C845" s="12"/>
      <c r="D845" s="13"/>
      <c r="F845" s="14"/>
      <c r="G845" s="14"/>
      <c r="H845" s="14"/>
      <c r="I845" s="14"/>
      <c r="J845" s="14"/>
      <c r="K845" s="12"/>
    </row>
    <row r="846" ht="19.5" customHeight="1">
      <c r="A846" s="12"/>
      <c r="C846" s="12"/>
      <c r="D846" s="13"/>
      <c r="F846" s="14"/>
      <c r="G846" s="14"/>
      <c r="H846" s="14"/>
      <c r="I846" s="14"/>
      <c r="J846" s="14"/>
      <c r="K846" s="12"/>
    </row>
    <row r="847" ht="19.5" customHeight="1">
      <c r="A847" s="12"/>
      <c r="C847" s="12"/>
      <c r="D847" s="13"/>
      <c r="F847" s="14"/>
      <c r="G847" s="14"/>
      <c r="H847" s="14"/>
      <c r="I847" s="14"/>
      <c r="J847" s="14"/>
      <c r="K847" s="12"/>
    </row>
    <row r="848" ht="19.5" customHeight="1">
      <c r="A848" s="12"/>
      <c r="C848" s="12"/>
      <c r="D848" s="13"/>
      <c r="F848" s="14"/>
      <c r="G848" s="14"/>
      <c r="H848" s="14"/>
      <c r="I848" s="14"/>
      <c r="J848" s="14"/>
      <c r="K848" s="12"/>
    </row>
    <row r="849" ht="19.5" customHeight="1">
      <c r="A849" s="12"/>
      <c r="C849" s="12"/>
      <c r="D849" s="13"/>
      <c r="F849" s="14"/>
      <c r="G849" s="14"/>
      <c r="H849" s="14"/>
      <c r="I849" s="14"/>
      <c r="J849" s="14"/>
      <c r="K849" s="12"/>
    </row>
    <row r="850" ht="19.5" customHeight="1">
      <c r="A850" s="12"/>
      <c r="C850" s="12"/>
      <c r="D850" s="13"/>
      <c r="F850" s="14"/>
      <c r="G850" s="14"/>
      <c r="H850" s="14"/>
      <c r="I850" s="14"/>
      <c r="J850" s="14"/>
      <c r="K850" s="12"/>
    </row>
    <row r="851" ht="19.5" customHeight="1">
      <c r="A851" s="12"/>
      <c r="C851" s="12"/>
      <c r="D851" s="13"/>
      <c r="F851" s="14"/>
      <c r="G851" s="14"/>
      <c r="H851" s="14"/>
      <c r="I851" s="14"/>
      <c r="J851" s="14"/>
      <c r="K851" s="12"/>
    </row>
    <row r="852" ht="19.5" customHeight="1">
      <c r="A852" s="12"/>
      <c r="C852" s="12"/>
      <c r="D852" s="13"/>
      <c r="F852" s="14"/>
      <c r="G852" s="14"/>
      <c r="H852" s="14"/>
      <c r="I852" s="14"/>
      <c r="J852" s="14"/>
      <c r="K852" s="12"/>
    </row>
    <row r="853" ht="19.5" customHeight="1">
      <c r="A853" s="12"/>
      <c r="C853" s="12"/>
      <c r="D853" s="13"/>
      <c r="F853" s="14"/>
      <c r="G853" s="14"/>
      <c r="H853" s="14"/>
      <c r="I853" s="14"/>
      <c r="J853" s="14"/>
      <c r="K853" s="12"/>
    </row>
    <row r="854" ht="19.5" customHeight="1">
      <c r="A854" s="12"/>
      <c r="C854" s="12"/>
      <c r="D854" s="13"/>
      <c r="F854" s="14"/>
      <c r="G854" s="14"/>
      <c r="H854" s="14"/>
      <c r="I854" s="14"/>
      <c r="J854" s="14"/>
      <c r="K854" s="12"/>
    </row>
    <row r="855" ht="19.5" customHeight="1">
      <c r="A855" s="12"/>
      <c r="C855" s="12"/>
      <c r="D855" s="13"/>
      <c r="F855" s="14"/>
      <c r="G855" s="14"/>
      <c r="H855" s="14"/>
      <c r="I855" s="14"/>
      <c r="J855" s="14"/>
      <c r="K855" s="12"/>
    </row>
    <row r="856" ht="19.5" customHeight="1">
      <c r="A856" s="12"/>
      <c r="C856" s="12"/>
      <c r="D856" s="13"/>
      <c r="F856" s="14"/>
      <c r="G856" s="14"/>
      <c r="H856" s="14"/>
      <c r="I856" s="14"/>
      <c r="J856" s="14"/>
      <c r="K856" s="12"/>
    </row>
    <row r="857" ht="19.5" customHeight="1">
      <c r="A857" s="12"/>
      <c r="C857" s="12"/>
      <c r="D857" s="13"/>
      <c r="F857" s="14"/>
      <c r="G857" s="14"/>
      <c r="H857" s="14"/>
      <c r="I857" s="14"/>
      <c r="J857" s="14"/>
      <c r="K857" s="12"/>
    </row>
    <row r="858" ht="19.5" customHeight="1">
      <c r="A858" s="12"/>
      <c r="C858" s="12"/>
      <c r="D858" s="13"/>
      <c r="F858" s="14"/>
      <c r="G858" s="14"/>
      <c r="H858" s="14"/>
      <c r="I858" s="14"/>
      <c r="J858" s="14"/>
      <c r="K858" s="12"/>
    </row>
    <row r="859" ht="19.5" customHeight="1">
      <c r="A859" s="12"/>
      <c r="C859" s="12"/>
      <c r="D859" s="13"/>
      <c r="F859" s="14"/>
      <c r="G859" s="14"/>
      <c r="H859" s="14"/>
      <c r="I859" s="14"/>
      <c r="J859" s="14"/>
      <c r="K859" s="12"/>
    </row>
    <row r="860" ht="19.5" customHeight="1">
      <c r="A860" s="12"/>
      <c r="C860" s="12"/>
      <c r="D860" s="13"/>
      <c r="F860" s="14"/>
      <c r="G860" s="14"/>
      <c r="H860" s="14"/>
      <c r="I860" s="14"/>
      <c r="J860" s="14"/>
      <c r="K860" s="12"/>
    </row>
    <row r="861" ht="19.5" customHeight="1">
      <c r="A861" s="12"/>
      <c r="C861" s="12"/>
      <c r="D861" s="13"/>
      <c r="F861" s="14"/>
      <c r="G861" s="14"/>
      <c r="H861" s="14"/>
      <c r="I861" s="14"/>
      <c r="J861" s="14"/>
      <c r="K861" s="12"/>
    </row>
    <row r="862" ht="19.5" customHeight="1">
      <c r="A862" s="12"/>
      <c r="C862" s="12"/>
      <c r="D862" s="13"/>
      <c r="F862" s="14"/>
      <c r="G862" s="14"/>
      <c r="H862" s="14"/>
      <c r="I862" s="14"/>
      <c r="J862" s="14"/>
      <c r="K862" s="12"/>
    </row>
    <row r="863" ht="19.5" customHeight="1">
      <c r="A863" s="12"/>
      <c r="C863" s="12"/>
      <c r="D863" s="13"/>
      <c r="F863" s="14"/>
      <c r="G863" s="14"/>
      <c r="H863" s="14"/>
      <c r="I863" s="14"/>
      <c r="J863" s="14"/>
      <c r="K863" s="12"/>
    </row>
    <row r="864" ht="19.5" customHeight="1">
      <c r="A864" s="12"/>
      <c r="C864" s="12"/>
      <c r="D864" s="13"/>
      <c r="F864" s="14"/>
      <c r="G864" s="14"/>
      <c r="H864" s="14"/>
      <c r="I864" s="14"/>
      <c r="J864" s="14"/>
      <c r="K864" s="12"/>
    </row>
    <row r="865" ht="19.5" customHeight="1">
      <c r="A865" s="12"/>
      <c r="C865" s="12"/>
      <c r="D865" s="13"/>
      <c r="F865" s="14"/>
      <c r="G865" s="14"/>
      <c r="H865" s="14"/>
      <c r="I865" s="14"/>
      <c r="J865" s="14"/>
      <c r="K865" s="12"/>
    </row>
    <row r="866" ht="19.5" customHeight="1">
      <c r="A866" s="12"/>
      <c r="C866" s="12"/>
      <c r="D866" s="13"/>
      <c r="F866" s="14"/>
      <c r="G866" s="14"/>
      <c r="H866" s="14"/>
      <c r="I866" s="14"/>
      <c r="J866" s="14"/>
      <c r="K866" s="12"/>
    </row>
    <row r="867" ht="19.5" customHeight="1">
      <c r="A867" s="12"/>
      <c r="C867" s="12"/>
      <c r="D867" s="13"/>
      <c r="F867" s="14"/>
      <c r="G867" s="14"/>
      <c r="H867" s="14"/>
      <c r="I867" s="14"/>
      <c r="J867" s="14"/>
      <c r="K867" s="12"/>
    </row>
    <row r="868" ht="19.5" customHeight="1">
      <c r="A868" s="12"/>
      <c r="C868" s="12"/>
      <c r="D868" s="13"/>
      <c r="F868" s="14"/>
      <c r="G868" s="14"/>
      <c r="H868" s="14"/>
      <c r="I868" s="14"/>
      <c r="J868" s="14"/>
      <c r="K868" s="12"/>
    </row>
    <row r="869" ht="19.5" customHeight="1">
      <c r="A869" s="12"/>
      <c r="C869" s="12"/>
      <c r="D869" s="13"/>
      <c r="F869" s="14"/>
      <c r="G869" s="14"/>
      <c r="H869" s="14"/>
      <c r="I869" s="14"/>
      <c r="J869" s="14"/>
      <c r="K869" s="12"/>
    </row>
    <row r="870" ht="19.5" customHeight="1">
      <c r="A870" s="12"/>
      <c r="C870" s="12"/>
      <c r="D870" s="13"/>
      <c r="F870" s="14"/>
      <c r="G870" s="14"/>
      <c r="H870" s="14"/>
      <c r="I870" s="14"/>
      <c r="J870" s="14"/>
      <c r="K870" s="12"/>
    </row>
    <row r="871" ht="19.5" customHeight="1">
      <c r="A871" s="12"/>
      <c r="C871" s="12"/>
      <c r="D871" s="13"/>
      <c r="F871" s="14"/>
      <c r="G871" s="14"/>
      <c r="H871" s="14"/>
      <c r="I871" s="14"/>
      <c r="J871" s="14"/>
      <c r="K871" s="12"/>
    </row>
    <row r="872" ht="19.5" customHeight="1">
      <c r="A872" s="12"/>
      <c r="C872" s="12"/>
      <c r="D872" s="13"/>
      <c r="F872" s="14"/>
      <c r="G872" s="14"/>
      <c r="H872" s="14"/>
      <c r="I872" s="14"/>
      <c r="J872" s="14"/>
      <c r="K872" s="12"/>
    </row>
    <row r="873" ht="19.5" customHeight="1">
      <c r="A873" s="12"/>
      <c r="C873" s="12"/>
      <c r="D873" s="13"/>
      <c r="F873" s="14"/>
      <c r="G873" s="14"/>
      <c r="H873" s="14"/>
      <c r="I873" s="14"/>
      <c r="J873" s="14"/>
      <c r="K873" s="12"/>
    </row>
    <row r="874" ht="19.5" customHeight="1">
      <c r="A874" s="12"/>
      <c r="C874" s="12"/>
      <c r="D874" s="13"/>
      <c r="F874" s="14"/>
      <c r="G874" s="14"/>
      <c r="H874" s="14"/>
      <c r="I874" s="14"/>
      <c r="J874" s="14"/>
      <c r="K874" s="12"/>
    </row>
    <row r="875" ht="19.5" customHeight="1">
      <c r="A875" s="12"/>
      <c r="C875" s="12"/>
      <c r="D875" s="13"/>
      <c r="F875" s="14"/>
      <c r="G875" s="14"/>
      <c r="H875" s="14"/>
      <c r="I875" s="14"/>
      <c r="J875" s="14"/>
      <c r="K875" s="12"/>
    </row>
    <row r="876" ht="19.5" customHeight="1">
      <c r="A876" s="12"/>
      <c r="C876" s="12"/>
      <c r="D876" s="13"/>
      <c r="F876" s="14"/>
      <c r="G876" s="14"/>
      <c r="H876" s="14"/>
      <c r="I876" s="14"/>
      <c r="J876" s="14"/>
      <c r="K876" s="12"/>
    </row>
    <row r="877" ht="19.5" customHeight="1">
      <c r="A877" s="12"/>
      <c r="C877" s="12"/>
      <c r="D877" s="13"/>
      <c r="F877" s="14"/>
      <c r="G877" s="14"/>
      <c r="H877" s="14"/>
      <c r="I877" s="14"/>
      <c r="J877" s="14"/>
      <c r="K877" s="12"/>
    </row>
    <row r="878" ht="19.5" customHeight="1">
      <c r="A878" s="12"/>
      <c r="C878" s="12"/>
      <c r="D878" s="13"/>
      <c r="F878" s="14"/>
      <c r="G878" s="14"/>
      <c r="H878" s="14"/>
      <c r="I878" s="14"/>
      <c r="J878" s="14"/>
      <c r="K878" s="12"/>
    </row>
    <row r="879" ht="19.5" customHeight="1">
      <c r="A879" s="12"/>
      <c r="C879" s="12"/>
      <c r="D879" s="13"/>
      <c r="F879" s="14"/>
      <c r="G879" s="14"/>
      <c r="H879" s="14"/>
      <c r="I879" s="14"/>
      <c r="J879" s="14"/>
      <c r="K879" s="12"/>
    </row>
    <row r="880" ht="19.5" customHeight="1">
      <c r="A880" s="12"/>
      <c r="C880" s="12"/>
      <c r="D880" s="13"/>
      <c r="F880" s="14"/>
      <c r="G880" s="14"/>
      <c r="H880" s="14"/>
      <c r="I880" s="14"/>
      <c r="J880" s="14"/>
      <c r="K880" s="12"/>
    </row>
    <row r="881" ht="19.5" customHeight="1">
      <c r="A881" s="12"/>
      <c r="C881" s="12"/>
      <c r="D881" s="13"/>
      <c r="F881" s="14"/>
      <c r="G881" s="14"/>
      <c r="H881" s="14"/>
      <c r="I881" s="14"/>
      <c r="J881" s="14"/>
      <c r="K881" s="12"/>
    </row>
    <row r="882" ht="19.5" customHeight="1">
      <c r="A882" s="12"/>
      <c r="C882" s="12"/>
      <c r="D882" s="13"/>
      <c r="F882" s="14"/>
      <c r="G882" s="14"/>
      <c r="H882" s="14"/>
      <c r="I882" s="14"/>
      <c r="J882" s="14"/>
      <c r="K882" s="12"/>
    </row>
    <row r="883" ht="19.5" customHeight="1">
      <c r="A883" s="12"/>
      <c r="C883" s="12"/>
      <c r="D883" s="13"/>
      <c r="F883" s="14"/>
      <c r="G883" s="14"/>
      <c r="H883" s="14"/>
      <c r="I883" s="14"/>
      <c r="J883" s="14"/>
      <c r="K883" s="12"/>
    </row>
    <row r="884" ht="19.5" customHeight="1">
      <c r="A884" s="12"/>
      <c r="C884" s="12"/>
      <c r="D884" s="13"/>
      <c r="F884" s="14"/>
      <c r="G884" s="14"/>
      <c r="H884" s="14"/>
      <c r="I884" s="14"/>
      <c r="J884" s="14"/>
      <c r="K884" s="12"/>
    </row>
    <row r="885" ht="19.5" customHeight="1">
      <c r="A885" s="12"/>
      <c r="C885" s="12"/>
      <c r="D885" s="13"/>
      <c r="F885" s="14"/>
      <c r="G885" s="14"/>
      <c r="H885" s="14"/>
      <c r="I885" s="14"/>
      <c r="J885" s="14"/>
      <c r="K885" s="12"/>
    </row>
    <row r="886" ht="19.5" customHeight="1">
      <c r="A886" s="12"/>
      <c r="C886" s="12"/>
      <c r="D886" s="13"/>
      <c r="F886" s="14"/>
      <c r="G886" s="14"/>
      <c r="H886" s="14"/>
      <c r="I886" s="14"/>
      <c r="J886" s="14"/>
      <c r="K886" s="12"/>
    </row>
    <row r="887" ht="19.5" customHeight="1">
      <c r="A887" s="12"/>
      <c r="C887" s="12"/>
      <c r="D887" s="13"/>
      <c r="F887" s="14"/>
      <c r="G887" s="14"/>
      <c r="H887" s="14"/>
      <c r="I887" s="14"/>
      <c r="J887" s="14"/>
      <c r="K887" s="12"/>
    </row>
    <row r="888" ht="19.5" customHeight="1">
      <c r="A888" s="12"/>
      <c r="C888" s="12"/>
      <c r="D888" s="13"/>
      <c r="F888" s="14"/>
      <c r="G888" s="14"/>
      <c r="H888" s="14"/>
      <c r="I888" s="14"/>
      <c r="J888" s="14"/>
      <c r="K888" s="12"/>
    </row>
    <row r="889" ht="19.5" customHeight="1">
      <c r="A889" s="12"/>
      <c r="C889" s="12"/>
      <c r="D889" s="13"/>
      <c r="F889" s="14"/>
      <c r="G889" s="14"/>
      <c r="H889" s="14"/>
      <c r="I889" s="14"/>
      <c r="J889" s="14"/>
      <c r="K889" s="12"/>
    </row>
    <row r="890" ht="19.5" customHeight="1">
      <c r="A890" s="12"/>
      <c r="C890" s="12"/>
      <c r="D890" s="13"/>
      <c r="F890" s="14"/>
      <c r="G890" s="14"/>
      <c r="H890" s="14"/>
      <c r="I890" s="14"/>
      <c r="J890" s="14"/>
      <c r="K890" s="12"/>
    </row>
    <row r="891" ht="19.5" customHeight="1">
      <c r="A891" s="12"/>
      <c r="C891" s="12"/>
      <c r="D891" s="13"/>
      <c r="F891" s="14"/>
      <c r="G891" s="14"/>
      <c r="H891" s="14"/>
      <c r="I891" s="14"/>
      <c r="J891" s="14"/>
      <c r="K891" s="12"/>
    </row>
    <row r="892" ht="19.5" customHeight="1">
      <c r="A892" s="12"/>
      <c r="C892" s="12"/>
      <c r="D892" s="13"/>
      <c r="F892" s="14"/>
      <c r="G892" s="14"/>
      <c r="H892" s="14"/>
      <c r="I892" s="14"/>
      <c r="J892" s="14"/>
      <c r="K892" s="12"/>
    </row>
    <row r="893" ht="19.5" customHeight="1">
      <c r="A893" s="12"/>
      <c r="C893" s="12"/>
      <c r="D893" s="13"/>
      <c r="F893" s="14"/>
      <c r="G893" s="14"/>
      <c r="H893" s="14"/>
      <c r="I893" s="14"/>
      <c r="J893" s="14"/>
      <c r="K893" s="12"/>
    </row>
    <row r="894" ht="19.5" customHeight="1">
      <c r="A894" s="12"/>
      <c r="C894" s="12"/>
      <c r="D894" s="13"/>
      <c r="F894" s="14"/>
      <c r="G894" s="14"/>
      <c r="H894" s="14"/>
      <c r="I894" s="14"/>
      <c r="J894" s="14"/>
      <c r="K894" s="12"/>
    </row>
    <row r="895" ht="19.5" customHeight="1">
      <c r="A895" s="12"/>
      <c r="C895" s="12"/>
      <c r="D895" s="13"/>
      <c r="F895" s="14"/>
      <c r="G895" s="14"/>
      <c r="H895" s="14"/>
      <c r="I895" s="14"/>
      <c r="J895" s="14"/>
      <c r="K895" s="12"/>
    </row>
    <row r="896" ht="19.5" customHeight="1">
      <c r="A896" s="12"/>
      <c r="C896" s="12"/>
      <c r="D896" s="13"/>
      <c r="F896" s="14"/>
      <c r="G896" s="14"/>
      <c r="H896" s="14"/>
      <c r="I896" s="14"/>
      <c r="J896" s="14"/>
      <c r="K896" s="12"/>
    </row>
    <row r="897" ht="19.5" customHeight="1">
      <c r="A897" s="12"/>
      <c r="C897" s="12"/>
      <c r="D897" s="13"/>
      <c r="F897" s="14"/>
      <c r="G897" s="14"/>
      <c r="H897" s="14"/>
      <c r="I897" s="14"/>
      <c r="J897" s="14"/>
      <c r="K897" s="12"/>
    </row>
    <row r="898" ht="19.5" customHeight="1">
      <c r="A898" s="12"/>
      <c r="C898" s="12"/>
      <c r="D898" s="13"/>
      <c r="F898" s="14"/>
      <c r="G898" s="14"/>
      <c r="H898" s="14"/>
      <c r="I898" s="14"/>
      <c r="J898" s="14"/>
      <c r="K898" s="12"/>
    </row>
    <row r="899" ht="19.5" customHeight="1">
      <c r="A899" s="12"/>
      <c r="C899" s="12"/>
      <c r="D899" s="13"/>
      <c r="F899" s="14"/>
      <c r="G899" s="14"/>
      <c r="H899" s="14"/>
      <c r="I899" s="14"/>
      <c r="J899" s="14"/>
      <c r="K899" s="12"/>
    </row>
    <row r="900" ht="19.5" customHeight="1">
      <c r="A900" s="12"/>
      <c r="C900" s="12"/>
      <c r="D900" s="13"/>
      <c r="F900" s="14"/>
      <c r="G900" s="14"/>
      <c r="H900" s="14"/>
      <c r="I900" s="14"/>
      <c r="J900" s="14"/>
      <c r="K900" s="12"/>
    </row>
    <row r="901" ht="19.5" customHeight="1">
      <c r="A901" s="12"/>
      <c r="C901" s="12"/>
      <c r="D901" s="13"/>
      <c r="F901" s="14"/>
      <c r="G901" s="14"/>
      <c r="H901" s="14"/>
      <c r="I901" s="14"/>
      <c r="J901" s="14"/>
      <c r="K901" s="12"/>
    </row>
    <row r="902" ht="19.5" customHeight="1">
      <c r="A902" s="12"/>
      <c r="C902" s="12"/>
      <c r="D902" s="13"/>
      <c r="F902" s="14"/>
      <c r="G902" s="14"/>
      <c r="H902" s="14"/>
      <c r="I902" s="14"/>
      <c r="J902" s="14"/>
      <c r="K902" s="12"/>
    </row>
    <row r="903" ht="19.5" customHeight="1">
      <c r="A903" s="12"/>
      <c r="C903" s="12"/>
      <c r="D903" s="13"/>
      <c r="F903" s="14"/>
      <c r="G903" s="14"/>
      <c r="H903" s="14"/>
      <c r="I903" s="14"/>
      <c r="J903" s="14"/>
      <c r="K903" s="12"/>
    </row>
    <row r="904" ht="19.5" customHeight="1">
      <c r="A904" s="12"/>
      <c r="C904" s="12"/>
      <c r="D904" s="13"/>
      <c r="F904" s="14"/>
      <c r="G904" s="14"/>
      <c r="H904" s="14"/>
      <c r="I904" s="14"/>
      <c r="J904" s="14"/>
      <c r="K904" s="12"/>
    </row>
    <row r="905" ht="19.5" customHeight="1">
      <c r="A905" s="12"/>
      <c r="C905" s="12"/>
      <c r="D905" s="13"/>
      <c r="F905" s="14"/>
      <c r="G905" s="14"/>
      <c r="H905" s="14"/>
      <c r="I905" s="14"/>
      <c r="J905" s="14"/>
      <c r="K905" s="12"/>
    </row>
    <row r="906" ht="19.5" customHeight="1">
      <c r="A906" s="12"/>
      <c r="C906" s="12"/>
      <c r="D906" s="13"/>
      <c r="F906" s="14"/>
      <c r="G906" s="14"/>
      <c r="H906" s="14"/>
      <c r="I906" s="14"/>
      <c r="J906" s="14"/>
      <c r="K906" s="12"/>
    </row>
    <row r="907" ht="19.5" customHeight="1">
      <c r="A907" s="12"/>
      <c r="C907" s="12"/>
      <c r="D907" s="13"/>
      <c r="F907" s="14"/>
      <c r="G907" s="14"/>
      <c r="H907" s="14"/>
      <c r="I907" s="14"/>
      <c r="J907" s="14"/>
      <c r="K907" s="12"/>
    </row>
    <row r="908" ht="19.5" customHeight="1">
      <c r="A908" s="12"/>
      <c r="C908" s="12"/>
      <c r="D908" s="13"/>
      <c r="F908" s="14"/>
      <c r="G908" s="14"/>
      <c r="H908" s="14"/>
      <c r="I908" s="14"/>
      <c r="J908" s="14"/>
      <c r="K908" s="12"/>
    </row>
    <row r="909" ht="19.5" customHeight="1">
      <c r="A909" s="12"/>
      <c r="C909" s="12"/>
      <c r="D909" s="13"/>
      <c r="F909" s="14"/>
      <c r="G909" s="14"/>
      <c r="H909" s="14"/>
      <c r="I909" s="14"/>
      <c r="J909" s="14"/>
      <c r="K909" s="12"/>
    </row>
    <row r="910" ht="19.5" customHeight="1">
      <c r="A910" s="12"/>
      <c r="C910" s="12"/>
      <c r="D910" s="13"/>
      <c r="F910" s="14"/>
      <c r="G910" s="14"/>
      <c r="H910" s="14"/>
      <c r="I910" s="14"/>
      <c r="J910" s="14"/>
      <c r="K910" s="12"/>
    </row>
    <row r="911" ht="19.5" customHeight="1">
      <c r="A911" s="12"/>
      <c r="C911" s="12"/>
      <c r="D911" s="13"/>
      <c r="F911" s="14"/>
      <c r="G911" s="14"/>
      <c r="H911" s="14"/>
      <c r="I911" s="14"/>
      <c r="J911" s="14"/>
      <c r="K911" s="12"/>
    </row>
    <row r="912" ht="19.5" customHeight="1">
      <c r="A912" s="12"/>
      <c r="C912" s="12"/>
      <c r="D912" s="13"/>
      <c r="F912" s="14"/>
      <c r="G912" s="14"/>
      <c r="H912" s="14"/>
      <c r="I912" s="14"/>
      <c r="J912" s="14"/>
      <c r="K912" s="12"/>
    </row>
    <row r="913" ht="19.5" customHeight="1">
      <c r="A913" s="12"/>
      <c r="C913" s="12"/>
      <c r="D913" s="13"/>
      <c r="F913" s="14"/>
      <c r="G913" s="14"/>
      <c r="H913" s="14"/>
      <c r="I913" s="14"/>
      <c r="J913" s="14"/>
      <c r="K913" s="12"/>
    </row>
    <row r="914" ht="19.5" customHeight="1">
      <c r="A914" s="12"/>
      <c r="C914" s="12"/>
      <c r="D914" s="13"/>
      <c r="F914" s="14"/>
      <c r="G914" s="14"/>
      <c r="H914" s="14"/>
      <c r="I914" s="14"/>
      <c r="J914" s="14"/>
      <c r="K914" s="12"/>
    </row>
    <row r="915" ht="19.5" customHeight="1">
      <c r="A915" s="12"/>
      <c r="C915" s="12"/>
      <c r="D915" s="13"/>
      <c r="F915" s="14"/>
      <c r="G915" s="14"/>
      <c r="H915" s="14"/>
      <c r="I915" s="14"/>
      <c r="J915" s="14"/>
      <c r="K915" s="12"/>
    </row>
    <row r="916" ht="19.5" customHeight="1">
      <c r="A916" s="12"/>
      <c r="C916" s="12"/>
      <c r="D916" s="13"/>
      <c r="F916" s="14"/>
      <c r="G916" s="14"/>
      <c r="H916" s="14"/>
      <c r="I916" s="14"/>
      <c r="J916" s="14"/>
      <c r="K916" s="12"/>
    </row>
    <row r="917" ht="19.5" customHeight="1">
      <c r="A917" s="12"/>
      <c r="C917" s="12"/>
      <c r="D917" s="13"/>
      <c r="F917" s="14"/>
      <c r="G917" s="14"/>
      <c r="H917" s="14"/>
      <c r="I917" s="14"/>
      <c r="J917" s="14"/>
      <c r="K917" s="12"/>
    </row>
    <row r="918" ht="19.5" customHeight="1">
      <c r="A918" s="12"/>
      <c r="C918" s="12"/>
      <c r="D918" s="13"/>
      <c r="F918" s="14"/>
      <c r="G918" s="14"/>
      <c r="H918" s="14"/>
      <c r="I918" s="14"/>
      <c r="J918" s="14"/>
      <c r="K918" s="12"/>
    </row>
    <row r="919" ht="19.5" customHeight="1">
      <c r="A919" s="12"/>
      <c r="C919" s="12"/>
      <c r="D919" s="13"/>
      <c r="F919" s="14"/>
      <c r="G919" s="14"/>
      <c r="H919" s="14"/>
      <c r="I919" s="14"/>
      <c r="J919" s="14"/>
      <c r="K919" s="12"/>
    </row>
    <row r="920" ht="19.5" customHeight="1">
      <c r="A920" s="12"/>
      <c r="C920" s="12"/>
      <c r="D920" s="13"/>
      <c r="F920" s="14"/>
      <c r="G920" s="14"/>
      <c r="H920" s="14"/>
      <c r="I920" s="14"/>
      <c r="J920" s="14"/>
      <c r="K920" s="12"/>
    </row>
    <row r="921" ht="19.5" customHeight="1">
      <c r="A921" s="12"/>
      <c r="C921" s="12"/>
      <c r="D921" s="13"/>
      <c r="F921" s="14"/>
      <c r="G921" s="14"/>
      <c r="H921" s="14"/>
      <c r="I921" s="14"/>
      <c r="J921" s="14"/>
      <c r="K921" s="12"/>
    </row>
    <row r="922" ht="19.5" customHeight="1">
      <c r="A922" s="12"/>
      <c r="C922" s="12"/>
      <c r="D922" s="13"/>
      <c r="F922" s="14"/>
      <c r="G922" s="14"/>
      <c r="H922" s="14"/>
      <c r="I922" s="14"/>
      <c r="J922" s="14"/>
      <c r="K922" s="12"/>
    </row>
    <row r="923" ht="19.5" customHeight="1">
      <c r="A923" s="12"/>
      <c r="C923" s="12"/>
      <c r="D923" s="13"/>
      <c r="F923" s="14"/>
      <c r="G923" s="14"/>
      <c r="H923" s="14"/>
      <c r="I923" s="14"/>
      <c r="J923" s="14"/>
      <c r="K923" s="12"/>
    </row>
    <row r="924" ht="19.5" customHeight="1">
      <c r="A924" s="12"/>
      <c r="C924" s="12"/>
      <c r="D924" s="13"/>
      <c r="F924" s="14"/>
      <c r="G924" s="14"/>
      <c r="H924" s="14"/>
      <c r="I924" s="14"/>
      <c r="J924" s="14"/>
      <c r="K924" s="12"/>
    </row>
    <row r="925" ht="19.5" customHeight="1">
      <c r="A925" s="12"/>
      <c r="C925" s="12"/>
      <c r="D925" s="13"/>
      <c r="F925" s="14"/>
      <c r="G925" s="14"/>
      <c r="H925" s="14"/>
      <c r="I925" s="14"/>
      <c r="J925" s="14"/>
      <c r="K925" s="12"/>
    </row>
    <row r="926" ht="19.5" customHeight="1">
      <c r="A926" s="12"/>
      <c r="C926" s="12"/>
      <c r="D926" s="13"/>
      <c r="F926" s="14"/>
      <c r="G926" s="14"/>
      <c r="H926" s="14"/>
      <c r="I926" s="14"/>
      <c r="J926" s="14"/>
      <c r="K926" s="12"/>
    </row>
    <row r="927" ht="19.5" customHeight="1">
      <c r="A927" s="12"/>
      <c r="C927" s="12"/>
      <c r="D927" s="13"/>
      <c r="F927" s="14"/>
      <c r="G927" s="14"/>
      <c r="H927" s="14"/>
      <c r="I927" s="14"/>
      <c r="J927" s="14"/>
      <c r="K927" s="12"/>
    </row>
    <row r="928" ht="19.5" customHeight="1">
      <c r="A928" s="12"/>
      <c r="C928" s="12"/>
      <c r="D928" s="13"/>
      <c r="F928" s="14"/>
      <c r="G928" s="14"/>
      <c r="H928" s="14"/>
      <c r="I928" s="14"/>
      <c r="J928" s="14"/>
      <c r="K928" s="12"/>
    </row>
    <row r="929" ht="19.5" customHeight="1">
      <c r="A929" s="12"/>
      <c r="C929" s="12"/>
      <c r="D929" s="13"/>
      <c r="F929" s="14"/>
      <c r="G929" s="14"/>
      <c r="H929" s="14"/>
      <c r="I929" s="14"/>
      <c r="J929" s="14"/>
      <c r="K929" s="12"/>
    </row>
    <row r="930" ht="19.5" customHeight="1">
      <c r="A930" s="12"/>
      <c r="C930" s="12"/>
      <c r="D930" s="13"/>
      <c r="F930" s="14"/>
      <c r="G930" s="14"/>
      <c r="H930" s="14"/>
      <c r="I930" s="14"/>
      <c r="J930" s="14"/>
      <c r="K930" s="12"/>
    </row>
    <row r="931" ht="19.5" customHeight="1">
      <c r="A931" s="12"/>
      <c r="C931" s="12"/>
      <c r="D931" s="13"/>
      <c r="F931" s="14"/>
      <c r="G931" s="14"/>
      <c r="H931" s="14"/>
      <c r="I931" s="14"/>
      <c r="J931" s="14"/>
      <c r="K931" s="12"/>
    </row>
    <row r="932" ht="19.5" customHeight="1">
      <c r="A932" s="12"/>
      <c r="C932" s="12"/>
      <c r="D932" s="13"/>
      <c r="F932" s="14"/>
      <c r="G932" s="14"/>
      <c r="H932" s="14"/>
      <c r="I932" s="14"/>
      <c r="J932" s="14"/>
      <c r="K932" s="12"/>
    </row>
    <row r="933" ht="19.5" customHeight="1">
      <c r="A933" s="12"/>
      <c r="C933" s="12"/>
      <c r="D933" s="13"/>
      <c r="F933" s="14"/>
      <c r="G933" s="14"/>
      <c r="H933" s="14"/>
      <c r="I933" s="14"/>
      <c r="J933" s="14"/>
      <c r="K933" s="12"/>
    </row>
    <row r="934" ht="19.5" customHeight="1">
      <c r="A934" s="12"/>
      <c r="C934" s="12"/>
      <c r="D934" s="13"/>
      <c r="F934" s="14"/>
      <c r="G934" s="14"/>
      <c r="H934" s="14"/>
      <c r="I934" s="14"/>
      <c r="J934" s="14"/>
      <c r="K934" s="12"/>
    </row>
    <row r="935" ht="19.5" customHeight="1">
      <c r="A935" s="12"/>
      <c r="C935" s="12"/>
      <c r="D935" s="13"/>
      <c r="F935" s="14"/>
      <c r="G935" s="14"/>
      <c r="H935" s="14"/>
      <c r="I935" s="14"/>
      <c r="J935" s="14"/>
      <c r="K935" s="12"/>
    </row>
    <row r="936" ht="19.5" customHeight="1">
      <c r="A936" s="12"/>
      <c r="C936" s="12"/>
      <c r="D936" s="13"/>
      <c r="F936" s="14"/>
      <c r="G936" s="14"/>
      <c r="H936" s="14"/>
      <c r="I936" s="14"/>
      <c r="J936" s="14"/>
      <c r="K936" s="12"/>
    </row>
    <row r="937" ht="19.5" customHeight="1">
      <c r="A937" s="12"/>
      <c r="C937" s="12"/>
      <c r="D937" s="13"/>
      <c r="F937" s="14"/>
      <c r="G937" s="14"/>
      <c r="H937" s="14"/>
      <c r="I937" s="14"/>
      <c r="J937" s="14"/>
      <c r="K937" s="12"/>
    </row>
    <row r="938" ht="19.5" customHeight="1">
      <c r="A938" s="12"/>
      <c r="C938" s="12"/>
      <c r="D938" s="13"/>
      <c r="F938" s="14"/>
      <c r="G938" s="14"/>
      <c r="H938" s="14"/>
      <c r="I938" s="14"/>
      <c r="J938" s="14"/>
      <c r="K938" s="12"/>
    </row>
    <row r="939" ht="19.5" customHeight="1">
      <c r="A939" s="12"/>
      <c r="C939" s="12"/>
      <c r="D939" s="13"/>
      <c r="F939" s="14"/>
      <c r="G939" s="14"/>
      <c r="H939" s="14"/>
      <c r="I939" s="14"/>
      <c r="J939" s="14"/>
      <c r="K939" s="12"/>
    </row>
    <row r="940" ht="19.5" customHeight="1">
      <c r="A940" s="12"/>
      <c r="C940" s="12"/>
      <c r="D940" s="13"/>
      <c r="F940" s="14"/>
      <c r="G940" s="14"/>
      <c r="H940" s="14"/>
      <c r="I940" s="14"/>
      <c r="J940" s="14"/>
      <c r="K940" s="12"/>
    </row>
    <row r="941" ht="19.5" customHeight="1">
      <c r="A941" s="12"/>
      <c r="C941" s="12"/>
      <c r="D941" s="13"/>
      <c r="F941" s="14"/>
      <c r="G941" s="14"/>
      <c r="H941" s="14"/>
      <c r="I941" s="14"/>
      <c r="J941" s="14"/>
      <c r="K941" s="12"/>
    </row>
    <row r="942" ht="19.5" customHeight="1">
      <c r="A942" s="12"/>
      <c r="C942" s="12"/>
      <c r="D942" s="13"/>
      <c r="F942" s="14"/>
      <c r="G942" s="14"/>
      <c r="H942" s="14"/>
      <c r="I942" s="14"/>
      <c r="J942" s="14"/>
      <c r="K942" s="12"/>
    </row>
    <row r="943" ht="19.5" customHeight="1">
      <c r="A943" s="12"/>
      <c r="C943" s="12"/>
      <c r="D943" s="13"/>
      <c r="F943" s="14"/>
      <c r="G943" s="14"/>
      <c r="H943" s="14"/>
      <c r="I943" s="14"/>
      <c r="J943" s="14"/>
      <c r="K943" s="12"/>
    </row>
    <row r="944" ht="19.5" customHeight="1">
      <c r="A944" s="12"/>
      <c r="C944" s="12"/>
      <c r="D944" s="13"/>
      <c r="F944" s="14"/>
      <c r="G944" s="14"/>
      <c r="H944" s="14"/>
      <c r="I944" s="14"/>
      <c r="J944" s="14"/>
      <c r="K944" s="12"/>
    </row>
    <row r="945" ht="19.5" customHeight="1">
      <c r="A945" s="12"/>
      <c r="C945" s="12"/>
      <c r="D945" s="13"/>
      <c r="F945" s="14"/>
      <c r="G945" s="14"/>
      <c r="H945" s="14"/>
      <c r="I945" s="14"/>
      <c r="J945" s="14"/>
      <c r="K945" s="12"/>
    </row>
    <row r="946" ht="19.5" customHeight="1">
      <c r="A946" s="12"/>
      <c r="C946" s="12"/>
      <c r="D946" s="13"/>
      <c r="F946" s="14"/>
      <c r="G946" s="14"/>
      <c r="H946" s="14"/>
      <c r="I946" s="14"/>
      <c r="J946" s="14"/>
      <c r="K946" s="12"/>
    </row>
    <row r="947" ht="19.5" customHeight="1">
      <c r="A947" s="12"/>
      <c r="C947" s="12"/>
      <c r="D947" s="13"/>
      <c r="F947" s="14"/>
      <c r="G947" s="14"/>
      <c r="H947" s="14"/>
      <c r="I947" s="14"/>
      <c r="J947" s="14"/>
      <c r="K947" s="12"/>
    </row>
    <row r="948" ht="19.5" customHeight="1">
      <c r="A948" s="12"/>
      <c r="C948" s="12"/>
      <c r="D948" s="13"/>
      <c r="F948" s="14"/>
      <c r="G948" s="14"/>
      <c r="H948" s="14"/>
      <c r="I948" s="14"/>
      <c r="J948" s="14"/>
      <c r="K948" s="12"/>
    </row>
    <row r="949" ht="19.5" customHeight="1">
      <c r="A949" s="12"/>
      <c r="C949" s="12"/>
      <c r="D949" s="13"/>
      <c r="F949" s="14"/>
      <c r="G949" s="14"/>
      <c r="H949" s="14"/>
      <c r="I949" s="14"/>
      <c r="J949" s="14"/>
      <c r="K949" s="12"/>
    </row>
    <row r="950" ht="19.5" customHeight="1">
      <c r="A950" s="12"/>
      <c r="C950" s="12"/>
      <c r="D950" s="13"/>
      <c r="F950" s="14"/>
      <c r="G950" s="14"/>
      <c r="H950" s="14"/>
      <c r="I950" s="14"/>
      <c r="J950" s="14"/>
      <c r="K950" s="12"/>
    </row>
    <row r="951" ht="19.5" customHeight="1">
      <c r="A951" s="12"/>
      <c r="C951" s="12"/>
      <c r="D951" s="13"/>
      <c r="F951" s="14"/>
      <c r="G951" s="14"/>
      <c r="H951" s="14"/>
      <c r="I951" s="14"/>
      <c r="J951" s="14"/>
      <c r="K951" s="12"/>
    </row>
    <row r="952" ht="19.5" customHeight="1">
      <c r="A952" s="12"/>
      <c r="C952" s="12"/>
      <c r="D952" s="13"/>
      <c r="F952" s="14"/>
      <c r="G952" s="14"/>
      <c r="H952" s="14"/>
      <c r="I952" s="14"/>
      <c r="J952" s="14"/>
      <c r="K952" s="12"/>
    </row>
    <row r="953" ht="19.5" customHeight="1">
      <c r="A953" s="12"/>
      <c r="C953" s="12"/>
      <c r="D953" s="13"/>
      <c r="F953" s="14"/>
      <c r="G953" s="14"/>
      <c r="H953" s="14"/>
      <c r="I953" s="14"/>
      <c r="J953" s="14"/>
      <c r="K953" s="12"/>
    </row>
    <row r="954" ht="19.5" customHeight="1">
      <c r="A954" s="12"/>
      <c r="C954" s="12"/>
      <c r="D954" s="13"/>
      <c r="F954" s="14"/>
      <c r="G954" s="14"/>
      <c r="H954" s="14"/>
      <c r="I954" s="14"/>
      <c r="J954" s="14"/>
      <c r="K954" s="12"/>
    </row>
    <row r="955" ht="19.5" customHeight="1">
      <c r="A955" s="12"/>
      <c r="C955" s="12"/>
      <c r="D955" s="13"/>
      <c r="F955" s="14"/>
      <c r="G955" s="14"/>
      <c r="H955" s="14"/>
      <c r="I955" s="14"/>
      <c r="J955" s="14"/>
      <c r="K955" s="12"/>
    </row>
    <row r="956" ht="19.5" customHeight="1">
      <c r="A956" s="12"/>
      <c r="C956" s="12"/>
      <c r="D956" s="13"/>
      <c r="F956" s="14"/>
      <c r="G956" s="14"/>
      <c r="H956" s="14"/>
      <c r="I956" s="14"/>
      <c r="J956" s="14"/>
      <c r="K956" s="12"/>
    </row>
    <row r="957" ht="19.5" customHeight="1">
      <c r="A957" s="12"/>
      <c r="C957" s="12"/>
      <c r="D957" s="13"/>
      <c r="F957" s="14"/>
      <c r="G957" s="14"/>
      <c r="H957" s="14"/>
      <c r="I957" s="14"/>
      <c r="J957" s="14"/>
      <c r="K957" s="12"/>
    </row>
    <row r="958" ht="19.5" customHeight="1">
      <c r="A958" s="12"/>
      <c r="C958" s="12"/>
      <c r="D958" s="13"/>
      <c r="F958" s="14"/>
      <c r="G958" s="14"/>
      <c r="H958" s="14"/>
      <c r="I958" s="14"/>
      <c r="J958" s="14"/>
      <c r="K958" s="12"/>
    </row>
    <row r="959" ht="19.5" customHeight="1">
      <c r="A959" s="12"/>
      <c r="C959" s="12"/>
      <c r="D959" s="13"/>
      <c r="F959" s="14"/>
      <c r="G959" s="14"/>
      <c r="H959" s="14"/>
      <c r="I959" s="14"/>
      <c r="J959" s="14"/>
      <c r="K959" s="12"/>
    </row>
    <row r="960" ht="19.5" customHeight="1">
      <c r="A960" s="12"/>
      <c r="C960" s="12"/>
      <c r="D960" s="13"/>
      <c r="F960" s="14"/>
      <c r="G960" s="14"/>
      <c r="H960" s="14"/>
      <c r="I960" s="14"/>
      <c r="J960" s="14"/>
      <c r="K960" s="12"/>
    </row>
    <row r="961" ht="19.5" customHeight="1">
      <c r="A961" s="12"/>
      <c r="C961" s="12"/>
      <c r="D961" s="13"/>
      <c r="F961" s="14"/>
      <c r="G961" s="14"/>
      <c r="H961" s="14"/>
      <c r="I961" s="14"/>
      <c r="J961" s="14"/>
      <c r="K961" s="12"/>
    </row>
    <row r="962" ht="19.5" customHeight="1">
      <c r="A962" s="12"/>
      <c r="C962" s="12"/>
      <c r="D962" s="13"/>
      <c r="F962" s="14"/>
      <c r="G962" s="14"/>
      <c r="H962" s="14"/>
      <c r="I962" s="14"/>
      <c r="J962" s="14"/>
      <c r="K962" s="12"/>
    </row>
    <row r="963" ht="19.5" customHeight="1">
      <c r="A963" s="12"/>
      <c r="C963" s="12"/>
      <c r="D963" s="13"/>
      <c r="F963" s="14"/>
      <c r="G963" s="14"/>
      <c r="H963" s="14"/>
      <c r="I963" s="14"/>
      <c r="J963" s="14"/>
      <c r="K963" s="12"/>
    </row>
    <row r="964" ht="19.5" customHeight="1">
      <c r="A964" s="12"/>
      <c r="C964" s="12"/>
      <c r="D964" s="13"/>
      <c r="F964" s="14"/>
      <c r="G964" s="14"/>
      <c r="H964" s="14"/>
      <c r="I964" s="14"/>
      <c r="J964" s="14"/>
      <c r="K964" s="12"/>
    </row>
    <row r="965" ht="19.5" customHeight="1">
      <c r="A965" s="12"/>
      <c r="C965" s="12"/>
      <c r="D965" s="13"/>
      <c r="F965" s="14"/>
      <c r="G965" s="14"/>
      <c r="H965" s="14"/>
      <c r="I965" s="14"/>
      <c r="J965" s="14"/>
      <c r="K965" s="12"/>
    </row>
    <row r="966" ht="19.5" customHeight="1">
      <c r="A966" s="12"/>
      <c r="C966" s="12"/>
      <c r="D966" s="13"/>
      <c r="F966" s="14"/>
      <c r="G966" s="14"/>
      <c r="H966" s="14"/>
      <c r="I966" s="14"/>
      <c r="J966" s="14"/>
      <c r="K966" s="12"/>
    </row>
    <row r="967" ht="19.5" customHeight="1">
      <c r="A967" s="12"/>
      <c r="C967" s="12"/>
      <c r="D967" s="13"/>
      <c r="F967" s="14"/>
      <c r="G967" s="14"/>
      <c r="H967" s="14"/>
      <c r="I967" s="14"/>
      <c r="J967" s="14"/>
      <c r="K967" s="12"/>
    </row>
    <row r="968" ht="19.5" customHeight="1">
      <c r="A968" s="12"/>
      <c r="C968" s="12"/>
      <c r="D968" s="13"/>
      <c r="F968" s="14"/>
      <c r="G968" s="14"/>
      <c r="H968" s="14"/>
      <c r="I968" s="14"/>
      <c r="J968" s="14"/>
      <c r="K968" s="12"/>
    </row>
    <row r="969" ht="19.5" customHeight="1">
      <c r="A969" s="12"/>
      <c r="C969" s="12"/>
      <c r="D969" s="13"/>
      <c r="F969" s="14"/>
      <c r="G969" s="14"/>
      <c r="H969" s="14"/>
      <c r="I969" s="14"/>
      <c r="J969" s="14"/>
      <c r="K969" s="12"/>
    </row>
    <row r="970" ht="19.5" customHeight="1">
      <c r="A970" s="12"/>
      <c r="C970" s="12"/>
      <c r="D970" s="13"/>
      <c r="F970" s="14"/>
      <c r="G970" s="14"/>
      <c r="H970" s="14"/>
      <c r="I970" s="14"/>
      <c r="J970" s="14"/>
      <c r="K970" s="12"/>
    </row>
    <row r="971" ht="19.5" customHeight="1">
      <c r="A971" s="12"/>
      <c r="C971" s="12"/>
      <c r="D971" s="13"/>
      <c r="F971" s="14"/>
      <c r="G971" s="14"/>
      <c r="H971" s="14"/>
      <c r="I971" s="14"/>
      <c r="J971" s="14"/>
      <c r="K971" s="12"/>
    </row>
    <row r="972" ht="19.5" customHeight="1">
      <c r="A972" s="12"/>
      <c r="C972" s="12"/>
      <c r="D972" s="13"/>
      <c r="F972" s="14"/>
      <c r="G972" s="14"/>
      <c r="H972" s="14"/>
      <c r="I972" s="14"/>
      <c r="J972" s="14"/>
      <c r="K972" s="12"/>
    </row>
    <row r="973" ht="19.5" customHeight="1">
      <c r="A973" s="12"/>
      <c r="C973" s="12"/>
      <c r="D973" s="13"/>
      <c r="F973" s="14"/>
      <c r="G973" s="14"/>
      <c r="H973" s="14"/>
      <c r="I973" s="14"/>
      <c r="J973" s="14"/>
      <c r="K973" s="12"/>
    </row>
    <row r="974" ht="19.5" customHeight="1">
      <c r="A974" s="12"/>
      <c r="C974" s="12"/>
      <c r="D974" s="13"/>
      <c r="F974" s="14"/>
      <c r="G974" s="14"/>
      <c r="H974" s="14"/>
      <c r="I974" s="14"/>
      <c r="J974" s="14"/>
      <c r="K974" s="12"/>
    </row>
    <row r="975" ht="19.5" customHeight="1">
      <c r="A975" s="12"/>
      <c r="C975" s="12"/>
      <c r="D975" s="13"/>
      <c r="F975" s="14"/>
      <c r="G975" s="14"/>
      <c r="H975" s="14"/>
      <c r="I975" s="14"/>
      <c r="J975" s="14"/>
      <c r="K975" s="12"/>
    </row>
    <row r="976" ht="19.5" customHeight="1">
      <c r="A976" s="12"/>
      <c r="C976" s="12"/>
      <c r="D976" s="13"/>
      <c r="F976" s="14"/>
      <c r="G976" s="14"/>
      <c r="H976" s="14"/>
      <c r="I976" s="14"/>
      <c r="J976" s="14"/>
      <c r="K976" s="12"/>
    </row>
    <row r="977" ht="19.5" customHeight="1">
      <c r="A977" s="12"/>
      <c r="C977" s="12"/>
      <c r="D977" s="13"/>
      <c r="F977" s="14"/>
      <c r="G977" s="14"/>
      <c r="H977" s="14"/>
      <c r="I977" s="14"/>
      <c r="J977" s="14"/>
      <c r="K977" s="12"/>
    </row>
    <row r="978" ht="19.5" customHeight="1">
      <c r="A978" s="12"/>
      <c r="C978" s="12"/>
      <c r="D978" s="13"/>
      <c r="F978" s="14"/>
      <c r="G978" s="14"/>
      <c r="H978" s="14"/>
      <c r="I978" s="14"/>
      <c r="J978" s="14"/>
      <c r="K978" s="12"/>
    </row>
    <row r="979" ht="19.5" customHeight="1">
      <c r="A979" s="12"/>
      <c r="C979" s="12"/>
      <c r="D979" s="13"/>
      <c r="F979" s="14"/>
      <c r="G979" s="14"/>
      <c r="H979" s="14"/>
      <c r="I979" s="14"/>
      <c r="J979" s="14"/>
      <c r="K979" s="12"/>
    </row>
    <row r="980" ht="19.5" customHeight="1">
      <c r="A980" s="12"/>
      <c r="C980" s="12"/>
      <c r="D980" s="13"/>
      <c r="F980" s="14"/>
      <c r="G980" s="14"/>
      <c r="H980" s="14"/>
      <c r="I980" s="14"/>
      <c r="J980" s="14"/>
      <c r="K980" s="12"/>
    </row>
    <row r="981" ht="19.5" customHeight="1">
      <c r="A981" s="12"/>
      <c r="C981" s="12"/>
      <c r="D981" s="13"/>
      <c r="F981" s="14"/>
      <c r="G981" s="14"/>
      <c r="H981" s="14"/>
      <c r="I981" s="14"/>
      <c r="J981" s="14"/>
      <c r="K981" s="12"/>
    </row>
    <row r="982" ht="19.5" customHeight="1">
      <c r="A982" s="12"/>
      <c r="C982" s="12"/>
      <c r="D982" s="13"/>
      <c r="F982" s="14"/>
      <c r="G982" s="14"/>
      <c r="H982" s="14"/>
      <c r="I982" s="14"/>
      <c r="J982" s="14"/>
      <c r="K982" s="12"/>
    </row>
    <row r="983" ht="19.5" customHeight="1">
      <c r="A983" s="12"/>
      <c r="C983" s="12"/>
      <c r="D983" s="13"/>
      <c r="F983" s="14"/>
      <c r="G983" s="14"/>
      <c r="H983" s="14"/>
      <c r="I983" s="14"/>
      <c r="J983" s="14"/>
      <c r="K983" s="12"/>
    </row>
    <row r="984" ht="19.5" customHeight="1">
      <c r="A984" s="12"/>
      <c r="C984" s="12"/>
      <c r="D984" s="13"/>
      <c r="F984" s="14"/>
      <c r="G984" s="14"/>
      <c r="H984" s="14"/>
      <c r="I984" s="14"/>
      <c r="J984" s="14"/>
      <c r="K984" s="12"/>
    </row>
    <row r="985" ht="19.5" customHeight="1">
      <c r="A985" s="12"/>
      <c r="C985" s="12"/>
      <c r="D985" s="13"/>
      <c r="F985" s="14"/>
      <c r="G985" s="14"/>
      <c r="H985" s="14"/>
      <c r="I985" s="14"/>
      <c r="J985" s="14"/>
      <c r="K985" s="12"/>
    </row>
    <row r="986" ht="19.5" customHeight="1">
      <c r="A986" s="12"/>
      <c r="C986" s="12"/>
      <c r="D986" s="13"/>
      <c r="F986" s="14"/>
      <c r="G986" s="14"/>
      <c r="H986" s="14"/>
      <c r="I986" s="14"/>
      <c r="J986" s="14"/>
      <c r="K986" s="12"/>
    </row>
    <row r="987" ht="19.5" customHeight="1">
      <c r="A987" s="12"/>
      <c r="C987" s="12"/>
      <c r="D987" s="13"/>
      <c r="F987" s="14"/>
      <c r="G987" s="14"/>
      <c r="H987" s="14"/>
      <c r="I987" s="14"/>
      <c r="J987" s="14"/>
      <c r="K987" s="12"/>
    </row>
    <row r="988" ht="19.5" customHeight="1">
      <c r="A988" s="12"/>
      <c r="C988" s="12"/>
      <c r="D988" s="13"/>
      <c r="F988" s="14"/>
      <c r="G988" s="14"/>
      <c r="H988" s="14"/>
      <c r="I988" s="14"/>
      <c r="J988" s="14"/>
      <c r="K988" s="12"/>
    </row>
    <row r="989" ht="19.5" customHeight="1">
      <c r="A989" s="12"/>
      <c r="C989" s="12"/>
      <c r="D989" s="13"/>
      <c r="F989" s="14"/>
      <c r="G989" s="14"/>
      <c r="H989" s="14"/>
      <c r="I989" s="14"/>
      <c r="J989" s="14"/>
      <c r="K989" s="12"/>
    </row>
    <row r="990" ht="19.5" customHeight="1">
      <c r="A990" s="12"/>
      <c r="C990" s="12"/>
      <c r="D990" s="13"/>
      <c r="F990" s="14"/>
      <c r="G990" s="14"/>
      <c r="H990" s="14"/>
      <c r="I990" s="14"/>
      <c r="J990" s="14"/>
      <c r="K990" s="12"/>
    </row>
    <row r="991" ht="19.5" customHeight="1">
      <c r="A991" s="12"/>
      <c r="C991" s="12"/>
      <c r="D991" s="13"/>
      <c r="F991" s="14"/>
      <c r="G991" s="14"/>
      <c r="H991" s="14"/>
      <c r="I991" s="14"/>
      <c r="J991" s="14"/>
      <c r="K991" s="12"/>
    </row>
    <row r="992" ht="19.5" customHeight="1">
      <c r="A992" s="12"/>
      <c r="C992" s="12"/>
      <c r="D992" s="13"/>
      <c r="F992" s="14"/>
      <c r="G992" s="14"/>
      <c r="H992" s="14"/>
      <c r="I992" s="14"/>
      <c r="J992" s="14"/>
      <c r="K992" s="12"/>
    </row>
    <row r="993" ht="19.5" customHeight="1">
      <c r="A993" s="12"/>
      <c r="C993" s="12"/>
      <c r="D993" s="13"/>
      <c r="F993" s="14"/>
      <c r="G993" s="14"/>
      <c r="H993" s="14"/>
      <c r="I993" s="14"/>
      <c r="J993" s="14"/>
      <c r="K993" s="12"/>
    </row>
    <row r="994" ht="19.5" customHeight="1">
      <c r="A994" s="12"/>
      <c r="C994" s="12"/>
      <c r="D994" s="13"/>
      <c r="F994" s="14"/>
      <c r="G994" s="14"/>
      <c r="H994" s="14"/>
      <c r="I994" s="14"/>
      <c r="J994" s="14"/>
      <c r="K994" s="12"/>
    </row>
    <row r="995" ht="19.5" customHeight="1">
      <c r="A995" s="12"/>
      <c r="C995" s="12"/>
      <c r="D995" s="13"/>
      <c r="F995" s="14"/>
      <c r="G995" s="14"/>
      <c r="H995" s="14"/>
      <c r="I995" s="14"/>
      <c r="J995" s="14"/>
      <c r="K995" s="12"/>
    </row>
    <row r="996" ht="19.5" customHeight="1">
      <c r="A996" s="12"/>
      <c r="C996" s="12"/>
      <c r="D996" s="13"/>
      <c r="F996" s="14"/>
      <c r="G996" s="14"/>
      <c r="H996" s="14"/>
      <c r="I996" s="14"/>
      <c r="J996" s="14"/>
      <c r="K996" s="12"/>
    </row>
    <row r="997" ht="19.5" customHeight="1">
      <c r="A997" s="12"/>
      <c r="C997" s="12"/>
      <c r="D997" s="13"/>
      <c r="F997" s="14"/>
      <c r="G997" s="14"/>
      <c r="H997" s="14"/>
      <c r="I997" s="14"/>
      <c r="J997" s="14"/>
      <c r="K997" s="12"/>
    </row>
    <row r="998" ht="19.5" customHeight="1">
      <c r="A998" s="12"/>
      <c r="C998" s="12"/>
      <c r="D998" s="13"/>
      <c r="F998" s="14"/>
      <c r="G998" s="14"/>
      <c r="H998" s="14"/>
      <c r="I998" s="14"/>
      <c r="J998" s="14"/>
      <c r="K998" s="12"/>
    </row>
    <row r="999" ht="19.5" customHeight="1">
      <c r="A999" s="12"/>
      <c r="C999" s="12"/>
      <c r="D999" s="13"/>
      <c r="F999" s="14"/>
      <c r="G999" s="14"/>
      <c r="H999" s="14"/>
      <c r="I999" s="14"/>
      <c r="J999" s="14"/>
      <c r="K999" s="12"/>
    </row>
    <row r="1000" ht="19.5" customHeight="1">
      <c r="A1000" s="12"/>
      <c r="C1000" s="12"/>
      <c r="D1000" s="13"/>
      <c r="F1000" s="14"/>
      <c r="G1000" s="14"/>
      <c r="H1000" s="14"/>
      <c r="I1000" s="14"/>
      <c r="J1000" s="14"/>
      <c r="K1000" s="12"/>
    </row>
    <row r="1001" ht="19.5" customHeight="1">
      <c r="A1001" s="12"/>
      <c r="C1001" s="12"/>
      <c r="D1001" s="13"/>
      <c r="F1001" s="14"/>
      <c r="G1001" s="14"/>
      <c r="H1001" s="14"/>
      <c r="I1001" s="14"/>
      <c r="J1001" s="14"/>
      <c r="K1001" s="12"/>
    </row>
    <row r="1002" ht="19.5" customHeight="1">
      <c r="A1002" s="12"/>
      <c r="C1002" s="12"/>
      <c r="D1002" s="13"/>
      <c r="F1002" s="14"/>
      <c r="G1002" s="14"/>
      <c r="H1002" s="14"/>
      <c r="I1002" s="14"/>
      <c r="J1002" s="14"/>
      <c r="K1002" s="12"/>
    </row>
    <row r="1003" ht="19.5" customHeight="1">
      <c r="A1003" s="12"/>
      <c r="C1003" s="12"/>
      <c r="D1003" s="13"/>
      <c r="F1003" s="14"/>
      <c r="G1003" s="14"/>
      <c r="H1003" s="14"/>
      <c r="I1003" s="14"/>
      <c r="J1003" s="14"/>
      <c r="K1003" s="12"/>
    </row>
    <row r="1004" ht="19.5" customHeight="1">
      <c r="A1004" s="12"/>
      <c r="C1004" s="12"/>
      <c r="D1004" s="13"/>
      <c r="F1004" s="14"/>
      <c r="G1004" s="14"/>
      <c r="H1004" s="14"/>
      <c r="I1004" s="14"/>
      <c r="J1004" s="14"/>
      <c r="K1004" s="12"/>
    </row>
    <row r="1005" ht="19.5" customHeight="1">
      <c r="A1005" s="12"/>
      <c r="C1005" s="12"/>
      <c r="D1005" s="13"/>
      <c r="F1005" s="14"/>
      <c r="G1005" s="14"/>
      <c r="H1005" s="14"/>
      <c r="I1005" s="14"/>
      <c r="J1005" s="14"/>
      <c r="K1005" s="12"/>
    </row>
  </sheetData>
  <mergeCells count="10">
    <mergeCell ref="E9:G9"/>
    <mergeCell ref="J9:J10"/>
    <mergeCell ref="A6:K6"/>
    <mergeCell ref="A7:K7"/>
    <mergeCell ref="A8:K8"/>
    <mergeCell ref="A9:A10"/>
    <mergeCell ref="B9:B10"/>
    <mergeCell ref="C9:C10"/>
    <mergeCell ref="D9:D10"/>
    <mergeCell ref="K9:K10"/>
  </mergeCells>
  <printOptions/>
  <pageMargins bottom="0.787401575" footer="0.0" header="0.0" left="0.511811024" right="0.511811024" top="0.787401575"/>
  <pageSetup paperSize="9" scale="60" orientation="landscape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/>
  </sheetPr>
  <sheetViews>
    <sheetView workbookViewId="0"/>
  </sheetViews>
  <sheetFormatPr customHeight="1" defaultColWidth="12.63" defaultRowHeight="15.0"/>
  <cols>
    <col customWidth="1" min="1" max="1" width="15.13"/>
    <col customWidth="1" min="2" max="2" width="45.13"/>
    <col customWidth="1" min="3" max="3" width="9.13"/>
    <col customWidth="1" min="4" max="4" width="16.25"/>
    <col customWidth="1" min="5" max="5" width="19.13"/>
    <col customWidth="1" min="6" max="6" width="17.75"/>
    <col customWidth="1" min="7" max="7" width="17.25"/>
    <col customWidth="1" min="8" max="8" width="20.13"/>
    <col customWidth="1" min="9" max="9" width="14.88"/>
    <col customWidth="1" min="10" max="10" width="14.63"/>
    <col customWidth="1" min="11" max="11" width="39.75"/>
    <col customWidth="1" min="12" max="26" width="8.63"/>
  </cols>
  <sheetData>
    <row r="1" ht="19.5" customHeight="1">
      <c r="A1" s="353" t="s">
        <v>1227</v>
      </c>
      <c r="B1" s="5"/>
      <c r="C1" s="6"/>
      <c r="D1" s="86"/>
      <c r="E1" s="5"/>
      <c r="F1" s="8"/>
      <c r="G1" s="8"/>
      <c r="H1" s="8"/>
      <c r="I1" s="8"/>
      <c r="J1" s="8"/>
      <c r="K1" s="9"/>
    </row>
    <row r="2" ht="19.5" customHeight="1">
      <c r="A2" s="355" t="s">
        <v>1058</v>
      </c>
      <c r="B2" s="11" t="s">
        <v>84</v>
      </c>
      <c r="C2" s="12"/>
      <c r="D2" s="87"/>
      <c r="F2" s="14"/>
      <c r="G2" s="14"/>
      <c r="H2" s="14"/>
      <c r="I2" s="14"/>
      <c r="J2" s="17" t="s">
        <v>144</v>
      </c>
      <c r="K2" s="18"/>
    </row>
    <row r="3" ht="19.5" customHeight="1">
      <c r="A3" s="10" t="s">
        <v>86</v>
      </c>
      <c r="B3" s="11" t="s">
        <v>87</v>
      </c>
      <c r="C3" s="12"/>
      <c r="D3" s="87"/>
      <c r="F3" s="14"/>
      <c r="G3" s="14"/>
      <c r="H3" s="14"/>
      <c r="I3" s="14"/>
      <c r="J3" s="14"/>
      <c r="K3" s="18"/>
    </row>
    <row r="4" ht="19.5" customHeight="1">
      <c r="A4" s="19"/>
      <c r="C4" s="12"/>
      <c r="D4" s="87"/>
      <c r="F4" s="14"/>
      <c r="G4" s="14"/>
      <c r="H4" s="14"/>
      <c r="I4" s="14"/>
      <c r="J4" s="14"/>
      <c r="K4" s="18"/>
    </row>
    <row r="5" ht="19.5" customHeight="1">
      <c r="A5" s="19"/>
      <c r="C5" s="12"/>
      <c r="D5" s="87"/>
      <c r="F5" s="14"/>
      <c r="G5" s="14"/>
      <c r="H5" s="14"/>
      <c r="I5" s="14"/>
      <c r="J5" s="14"/>
      <c r="K5" s="18"/>
    </row>
    <row r="6" ht="200.25" customHeight="1">
      <c r="A6" s="20" t="s">
        <v>1228</v>
      </c>
      <c r="K6" s="21"/>
    </row>
    <row r="7" ht="64.5" customHeight="1">
      <c r="A7" s="22" t="s">
        <v>1229</v>
      </c>
      <c r="K7" s="21"/>
    </row>
    <row r="8" ht="19.5" customHeight="1">
      <c r="A8" s="23" t="s">
        <v>90</v>
      </c>
      <c r="B8" s="24"/>
      <c r="C8" s="24"/>
      <c r="D8" s="24"/>
      <c r="E8" s="24"/>
      <c r="F8" s="24"/>
      <c r="G8" s="24"/>
      <c r="H8" s="24"/>
      <c r="I8" s="24"/>
      <c r="J8" s="24"/>
      <c r="K8" s="25"/>
    </row>
    <row r="9" ht="19.5" customHeight="1">
      <c r="A9" s="26" t="s">
        <v>1</v>
      </c>
      <c r="B9" s="26" t="s">
        <v>91</v>
      </c>
      <c r="C9" s="26" t="s">
        <v>92</v>
      </c>
      <c r="D9" s="31" t="s">
        <v>93</v>
      </c>
      <c r="E9" s="27" t="s">
        <v>94</v>
      </c>
      <c r="F9" s="28"/>
      <c r="G9" s="29"/>
      <c r="H9" s="30"/>
      <c r="I9" s="30"/>
      <c r="J9" s="31" t="s">
        <v>95</v>
      </c>
      <c r="K9" s="26" t="s">
        <v>96</v>
      </c>
    </row>
    <row r="10" ht="19.5" customHeight="1">
      <c r="A10" s="32"/>
      <c r="B10" s="32"/>
      <c r="C10" s="32"/>
      <c r="D10" s="32"/>
      <c r="E10" s="33" t="s">
        <v>97</v>
      </c>
      <c r="F10" s="34" t="s">
        <v>121</v>
      </c>
      <c r="G10" s="34" t="s">
        <v>99</v>
      </c>
      <c r="H10" s="35" t="s">
        <v>100</v>
      </c>
      <c r="I10" s="35" t="s">
        <v>101</v>
      </c>
      <c r="J10" s="32"/>
      <c r="K10" s="32"/>
    </row>
    <row r="11" ht="19.5" customHeight="1">
      <c r="A11" s="141">
        <v>36901.0</v>
      </c>
      <c r="B11" s="49" t="s">
        <v>674</v>
      </c>
      <c r="C11" s="46" t="s">
        <v>148</v>
      </c>
      <c r="D11" s="78">
        <v>2.0</v>
      </c>
      <c r="E11" s="49">
        <v>0.45</v>
      </c>
      <c r="F11" s="40">
        <v>5.5</v>
      </c>
      <c r="G11" s="41">
        <v>0.4</v>
      </c>
      <c r="H11" s="40">
        <f t="shared" ref="H11:H15" si="1">G11*F11*E11*D11</f>
        <v>1.98</v>
      </c>
      <c r="I11" s="42"/>
      <c r="J11" s="43">
        <f>SUM(H11:H15)</f>
        <v>22.7</v>
      </c>
      <c r="K11" s="46"/>
    </row>
    <row r="12" ht="19.5" customHeight="1">
      <c r="A12" s="141">
        <v>36901.0</v>
      </c>
      <c r="B12" s="49" t="s">
        <v>674</v>
      </c>
      <c r="C12" s="46" t="s">
        <v>148</v>
      </c>
      <c r="D12" s="39">
        <v>4.0</v>
      </c>
      <c r="E12" s="49">
        <v>0.45</v>
      </c>
      <c r="F12" s="40">
        <v>2.5</v>
      </c>
      <c r="G12" s="41">
        <v>0.4</v>
      </c>
      <c r="H12" s="40">
        <f t="shared" si="1"/>
        <v>1.8</v>
      </c>
      <c r="I12" s="199"/>
      <c r="J12" s="200"/>
      <c r="K12" s="201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85"/>
      <c r="Z12" s="185"/>
    </row>
    <row r="13" ht="19.5" customHeight="1">
      <c r="A13" s="141">
        <v>36901.0</v>
      </c>
      <c r="B13" s="49" t="s">
        <v>674</v>
      </c>
      <c r="C13" s="46" t="s">
        <v>148</v>
      </c>
      <c r="D13" s="39">
        <v>1.0</v>
      </c>
      <c r="E13" s="49">
        <v>0.45</v>
      </c>
      <c r="F13" s="41">
        <v>6.0</v>
      </c>
      <c r="G13" s="41">
        <v>0.4</v>
      </c>
      <c r="H13" s="40">
        <f t="shared" si="1"/>
        <v>1.08</v>
      </c>
      <c r="I13" s="199"/>
      <c r="J13" s="200"/>
      <c r="K13" s="201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Y13" s="185"/>
      <c r="Z13" s="185"/>
    </row>
    <row r="14" ht="19.5" customHeight="1">
      <c r="A14" s="141">
        <v>36901.0</v>
      </c>
      <c r="B14" s="49" t="s">
        <v>713</v>
      </c>
      <c r="C14" s="46" t="s">
        <v>148</v>
      </c>
      <c r="D14" s="39">
        <v>7.0</v>
      </c>
      <c r="E14" s="49">
        <v>1.5</v>
      </c>
      <c r="F14" s="39">
        <v>1.2</v>
      </c>
      <c r="G14" s="41">
        <v>1.2</v>
      </c>
      <c r="H14" s="40">
        <f t="shared" si="1"/>
        <v>15.12</v>
      </c>
      <c r="I14" s="199"/>
      <c r="J14" s="200"/>
      <c r="K14" s="201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</row>
    <row r="15" ht="19.5" customHeight="1">
      <c r="A15" s="141">
        <v>36901.0</v>
      </c>
      <c r="B15" s="114" t="s">
        <v>1230</v>
      </c>
      <c r="C15" s="46" t="s">
        <v>148</v>
      </c>
      <c r="D15" s="115">
        <v>1.0</v>
      </c>
      <c r="E15" s="49">
        <v>0.2</v>
      </c>
      <c r="F15" s="39">
        <f>D172+D173+D174</f>
        <v>68</v>
      </c>
      <c r="G15" s="41">
        <v>0.2</v>
      </c>
      <c r="H15" s="40">
        <f t="shared" si="1"/>
        <v>2.72</v>
      </c>
      <c r="I15" s="199"/>
      <c r="J15" s="200"/>
      <c r="K15" s="201"/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5"/>
    </row>
    <row r="16" ht="19.5" customHeight="1">
      <c r="A16" s="74" t="s">
        <v>1</v>
      </c>
      <c r="B16" s="74" t="s">
        <v>91</v>
      </c>
      <c r="C16" s="74" t="s">
        <v>92</v>
      </c>
      <c r="D16" s="76" t="s">
        <v>93</v>
      </c>
      <c r="E16" s="50" t="s">
        <v>97</v>
      </c>
      <c r="F16" s="53" t="s">
        <v>121</v>
      </c>
      <c r="G16" s="53" t="s">
        <v>99</v>
      </c>
      <c r="H16" s="75" t="s">
        <v>100</v>
      </c>
      <c r="I16" s="75" t="s">
        <v>101</v>
      </c>
      <c r="J16" s="76" t="s">
        <v>95</v>
      </c>
      <c r="K16" s="74" t="s">
        <v>96</v>
      </c>
    </row>
    <row r="17" ht="19.5" customHeight="1">
      <c r="A17" s="141">
        <v>38727.0</v>
      </c>
      <c r="B17" s="37" t="s">
        <v>1231</v>
      </c>
      <c r="C17" s="38" t="s">
        <v>108</v>
      </c>
      <c r="D17" s="39">
        <v>2.0</v>
      </c>
      <c r="E17" s="37"/>
      <c r="F17" s="40">
        <v>7.5</v>
      </c>
      <c r="G17" s="40"/>
      <c r="H17" s="40">
        <f t="shared" ref="H17:H18" si="2">D17*F17</f>
        <v>15</v>
      </c>
      <c r="I17" s="42"/>
      <c r="J17" s="40"/>
      <c r="K17" s="46"/>
    </row>
    <row r="18" ht="19.5" customHeight="1">
      <c r="A18" s="408">
        <v>38727.0</v>
      </c>
      <c r="B18" s="37" t="s">
        <v>1231</v>
      </c>
      <c r="C18" s="38" t="s">
        <v>108</v>
      </c>
      <c r="D18" s="39">
        <v>2.0</v>
      </c>
      <c r="E18" s="37"/>
      <c r="F18" s="41">
        <v>12.3</v>
      </c>
      <c r="G18" s="40"/>
      <c r="H18" s="40">
        <f t="shared" si="2"/>
        <v>24.6</v>
      </c>
      <c r="I18" s="42"/>
      <c r="J18" s="43">
        <f>SUM(H17:H18)</f>
        <v>39.6</v>
      </c>
      <c r="K18" s="79"/>
    </row>
    <row r="19" ht="19.5" customHeight="1">
      <c r="A19" s="74" t="s">
        <v>1</v>
      </c>
      <c r="B19" s="74" t="s">
        <v>91</v>
      </c>
      <c r="C19" s="74" t="s">
        <v>92</v>
      </c>
      <c r="D19" s="76" t="s">
        <v>93</v>
      </c>
      <c r="E19" s="50" t="s">
        <v>97</v>
      </c>
      <c r="F19" s="53" t="s">
        <v>121</v>
      </c>
      <c r="G19" s="53" t="s">
        <v>99</v>
      </c>
      <c r="H19" s="75" t="s">
        <v>100</v>
      </c>
      <c r="I19" s="252" t="s">
        <v>1232</v>
      </c>
      <c r="J19" s="76" t="s">
        <v>95</v>
      </c>
      <c r="K19" s="74" t="s">
        <v>96</v>
      </c>
    </row>
    <row r="20" ht="19.5" customHeight="1">
      <c r="A20" s="141">
        <v>36991.0</v>
      </c>
      <c r="B20" s="49" t="s">
        <v>1233</v>
      </c>
      <c r="C20" s="46" t="s">
        <v>148</v>
      </c>
      <c r="D20" s="39">
        <v>7.0</v>
      </c>
      <c r="E20" s="49">
        <v>4.5</v>
      </c>
      <c r="F20" s="40">
        <f t="shared" ref="F20:F21" si="3">0.2</f>
        <v>0.2</v>
      </c>
      <c r="G20" s="40">
        <v>0.2</v>
      </c>
      <c r="H20" s="40">
        <f>G20*F20*E20*D20</f>
        <v>1.26</v>
      </c>
      <c r="I20" s="42"/>
      <c r="J20" s="43">
        <f t="shared" ref="J20:J21" si="4">H20-I20</f>
        <v>1.26</v>
      </c>
      <c r="K20" s="38" t="s">
        <v>1234</v>
      </c>
    </row>
    <row r="21" ht="19.5" customHeight="1">
      <c r="A21" s="141">
        <v>38452.0</v>
      </c>
      <c r="B21" s="37" t="s">
        <v>978</v>
      </c>
      <c r="C21" s="297" t="s">
        <v>103</v>
      </c>
      <c r="D21" s="39">
        <v>7.0</v>
      </c>
      <c r="E21" s="49">
        <v>4.5</v>
      </c>
      <c r="F21" s="40">
        <f t="shared" si="3"/>
        <v>0.2</v>
      </c>
      <c r="G21" s="40">
        <v>0.2</v>
      </c>
      <c r="H21" s="40">
        <f>D21*((F21+G21)*2)*E21</f>
        <v>25.2</v>
      </c>
      <c r="I21" s="199"/>
      <c r="J21" s="43">
        <f t="shared" si="4"/>
        <v>25.2</v>
      </c>
      <c r="K21" s="201"/>
      <c r="L21" s="185"/>
      <c r="M21" s="185"/>
      <c r="N21" s="185"/>
      <c r="O21" s="185"/>
      <c r="P21" s="185"/>
      <c r="Q21" s="185"/>
      <c r="R21" s="185"/>
      <c r="S21" s="185"/>
      <c r="T21" s="185"/>
      <c r="U21" s="185"/>
      <c r="V21" s="185"/>
      <c r="W21" s="185"/>
      <c r="X21" s="185"/>
      <c r="Y21" s="185"/>
      <c r="Z21" s="185"/>
    </row>
    <row r="22" ht="19.5" customHeight="1">
      <c r="A22" s="141">
        <v>38817.0</v>
      </c>
      <c r="B22" s="114" t="s">
        <v>1235</v>
      </c>
      <c r="C22" s="297" t="s">
        <v>158</v>
      </c>
      <c r="D22" s="115">
        <f>7*4</f>
        <v>28</v>
      </c>
      <c r="E22" s="49">
        <f>4.7</f>
        <v>4.7</v>
      </c>
      <c r="F22" s="40"/>
      <c r="G22" s="40"/>
      <c r="H22" s="59"/>
      <c r="I22" s="409">
        <v>0.617</v>
      </c>
      <c r="J22" s="143">
        <f>D22*E22*I22</f>
        <v>81.1972</v>
      </c>
      <c r="K22" s="201"/>
      <c r="L22" s="185"/>
      <c r="M22" s="185"/>
      <c r="N22" s="185"/>
      <c r="O22" s="185"/>
      <c r="P22" s="185"/>
      <c r="Q22" s="185"/>
      <c r="R22" s="185"/>
      <c r="S22" s="185"/>
      <c r="T22" s="185"/>
      <c r="U22" s="185"/>
      <c r="V22" s="185"/>
      <c r="W22" s="185"/>
      <c r="X22" s="185"/>
      <c r="Y22" s="185"/>
      <c r="Z22" s="185"/>
    </row>
    <row r="23" ht="19.5" customHeight="1">
      <c r="A23" s="141">
        <v>39182.0</v>
      </c>
      <c r="B23" s="114" t="s">
        <v>1236</v>
      </c>
      <c r="C23" s="297" t="s">
        <v>158</v>
      </c>
      <c r="D23" s="115">
        <f>7*24</f>
        <v>168</v>
      </c>
      <c r="F23" s="40">
        <f>(0.14*4)+0.1</f>
        <v>0.66</v>
      </c>
      <c r="G23" s="40"/>
      <c r="H23" s="59"/>
      <c r="I23" s="409">
        <v>0.154</v>
      </c>
      <c r="J23" s="143">
        <f>D23*F23*I23</f>
        <v>17.07552</v>
      </c>
      <c r="K23" s="201"/>
      <c r="L23" s="185"/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5"/>
    </row>
    <row r="24" ht="19.5" customHeight="1">
      <c r="A24" s="74" t="s">
        <v>1</v>
      </c>
      <c r="B24" s="74" t="s">
        <v>91</v>
      </c>
      <c r="C24" s="74" t="s">
        <v>92</v>
      </c>
      <c r="D24" s="76" t="s">
        <v>93</v>
      </c>
      <c r="E24" s="50" t="s">
        <v>97</v>
      </c>
      <c r="F24" s="53" t="s">
        <v>121</v>
      </c>
      <c r="G24" s="53" t="s">
        <v>99</v>
      </c>
      <c r="H24" s="75" t="s">
        <v>100</v>
      </c>
      <c r="I24" s="252" t="s">
        <v>1237</v>
      </c>
      <c r="J24" s="76" t="s">
        <v>95</v>
      </c>
      <c r="K24" s="74" t="s">
        <v>96</v>
      </c>
    </row>
    <row r="25" ht="19.5" customHeight="1">
      <c r="A25" s="141">
        <v>36932.0</v>
      </c>
      <c r="B25" s="49" t="s">
        <v>1238</v>
      </c>
      <c r="C25" s="46" t="s">
        <v>148</v>
      </c>
      <c r="D25" s="78">
        <v>2.0</v>
      </c>
      <c r="E25" s="49">
        <v>0.4</v>
      </c>
      <c r="F25" s="40">
        <v>5.5</v>
      </c>
      <c r="G25" s="41">
        <v>0.2</v>
      </c>
      <c r="H25" s="40">
        <f t="shared" ref="H25:H27" si="5">D25*E25*F25*G25</f>
        <v>0.88</v>
      </c>
      <c r="I25" s="42"/>
      <c r="J25" s="40"/>
      <c r="K25" s="38" t="s">
        <v>1239</v>
      </c>
    </row>
    <row r="26" ht="19.5" customHeight="1">
      <c r="A26" s="141">
        <v>36932.0</v>
      </c>
      <c r="B26" s="49" t="s">
        <v>1238</v>
      </c>
      <c r="C26" s="46" t="s">
        <v>148</v>
      </c>
      <c r="D26" s="39">
        <v>4.0</v>
      </c>
      <c r="E26" s="49">
        <v>0.4</v>
      </c>
      <c r="F26" s="40">
        <v>2.5</v>
      </c>
      <c r="G26" s="41">
        <v>0.2</v>
      </c>
      <c r="H26" s="40">
        <f t="shared" si="5"/>
        <v>0.8</v>
      </c>
      <c r="I26" s="42"/>
      <c r="J26" s="168"/>
      <c r="K26" s="46"/>
      <c r="L26" s="14"/>
    </row>
    <row r="27" ht="19.5" customHeight="1">
      <c r="A27" s="141">
        <v>36932.0</v>
      </c>
      <c r="B27" s="49" t="s">
        <v>1238</v>
      </c>
      <c r="C27" s="46" t="s">
        <v>148</v>
      </c>
      <c r="D27" s="39">
        <v>1.0</v>
      </c>
      <c r="E27" s="49">
        <v>0.4</v>
      </c>
      <c r="F27" s="41">
        <v>6.0</v>
      </c>
      <c r="G27" s="41">
        <v>0.2</v>
      </c>
      <c r="H27" s="40">
        <f t="shared" si="5"/>
        <v>0.48</v>
      </c>
      <c r="I27" s="42"/>
      <c r="J27" s="43">
        <f>SUM(H25:H27)</f>
        <v>2.16</v>
      </c>
      <c r="K27" s="46"/>
      <c r="L27" s="14"/>
    </row>
    <row r="28" ht="19.5" customHeight="1">
      <c r="A28" s="141">
        <v>37297.0</v>
      </c>
      <c r="B28" s="195" t="s">
        <v>677</v>
      </c>
      <c r="C28" s="38" t="s">
        <v>103</v>
      </c>
      <c r="D28" s="78">
        <v>2.0</v>
      </c>
      <c r="E28" s="49">
        <v>0.4</v>
      </c>
      <c r="F28" s="40">
        <v>5.5</v>
      </c>
      <c r="G28" s="41">
        <v>0.2</v>
      </c>
      <c r="H28" s="40">
        <f t="shared" ref="H28:H30" si="6">D28*E28*F28*2</f>
        <v>8.8</v>
      </c>
      <c r="I28" s="199"/>
      <c r="J28" s="168"/>
      <c r="K28" s="201"/>
      <c r="L28" s="185"/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185"/>
      <c r="Z28" s="185"/>
    </row>
    <row r="29" ht="19.5" customHeight="1">
      <c r="A29" s="141">
        <v>37297.0</v>
      </c>
      <c r="B29" s="195" t="s">
        <v>677</v>
      </c>
      <c r="C29" s="38" t="s">
        <v>103</v>
      </c>
      <c r="D29" s="39">
        <v>4.0</v>
      </c>
      <c r="E29" s="49">
        <v>0.4</v>
      </c>
      <c r="F29" s="40">
        <v>2.5</v>
      </c>
      <c r="G29" s="41">
        <v>0.2</v>
      </c>
      <c r="H29" s="40">
        <f t="shared" si="6"/>
        <v>8</v>
      </c>
      <c r="I29" s="199"/>
      <c r="J29" s="168"/>
      <c r="K29" s="201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5"/>
    </row>
    <row r="30" ht="19.5" customHeight="1">
      <c r="A30" s="141">
        <v>37297.0</v>
      </c>
      <c r="B30" s="195" t="s">
        <v>677</v>
      </c>
      <c r="C30" s="38" t="s">
        <v>103</v>
      </c>
      <c r="D30" s="39">
        <v>1.0</v>
      </c>
      <c r="E30" s="49">
        <v>0.4</v>
      </c>
      <c r="F30" s="41">
        <v>6.0</v>
      </c>
      <c r="G30" s="41">
        <v>0.2</v>
      </c>
      <c r="H30" s="40">
        <f t="shared" si="6"/>
        <v>4.8</v>
      </c>
      <c r="I30" s="199"/>
      <c r="J30" s="43">
        <f>SUM(H28:H30)</f>
        <v>21.6</v>
      </c>
      <c r="K30" s="201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5"/>
      <c r="W30" s="185"/>
      <c r="X30" s="185"/>
      <c r="Y30" s="185"/>
      <c r="Z30" s="185"/>
    </row>
    <row r="31" ht="19.5" customHeight="1">
      <c r="A31" s="141">
        <v>37662.0</v>
      </c>
      <c r="B31" s="114" t="s">
        <v>1240</v>
      </c>
      <c r="C31" s="38" t="s">
        <v>158</v>
      </c>
      <c r="D31" s="39">
        <v>4.0</v>
      </c>
      <c r="E31" s="49">
        <f>F25*D25+F26*D26+F27*D27</f>
        <v>27</v>
      </c>
      <c r="F31" s="81">
        <v>0.963</v>
      </c>
      <c r="G31" s="41"/>
      <c r="H31" s="40"/>
      <c r="I31" s="199"/>
      <c r="J31" s="43">
        <f t="shared" ref="J31:J32" si="7">D31*E31*F31</f>
        <v>104.004</v>
      </c>
      <c r="K31" s="201"/>
      <c r="L31" s="185"/>
      <c r="M31" s="185"/>
      <c r="N31" s="185"/>
      <c r="O31" s="185"/>
      <c r="P31" s="185"/>
      <c r="Q31" s="185"/>
      <c r="R31" s="185"/>
      <c r="S31" s="185"/>
      <c r="T31" s="185"/>
      <c r="U31" s="185"/>
      <c r="V31" s="185"/>
      <c r="W31" s="185"/>
      <c r="X31" s="185"/>
      <c r="Y31" s="185"/>
      <c r="Z31" s="185"/>
    </row>
    <row r="32" ht="19.5" customHeight="1">
      <c r="A32" s="141">
        <v>38027.0</v>
      </c>
      <c r="B32" s="114" t="s">
        <v>1241</v>
      </c>
      <c r="C32" s="38" t="s">
        <v>158</v>
      </c>
      <c r="D32" s="39">
        <v>70.0</v>
      </c>
      <c r="E32" s="49">
        <v>1.06</v>
      </c>
      <c r="F32" s="81">
        <v>0.154</v>
      </c>
      <c r="G32" s="41"/>
      <c r="H32" s="40"/>
      <c r="I32" s="199"/>
      <c r="J32" s="43">
        <f t="shared" si="7"/>
        <v>11.4268</v>
      </c>
      <c r="K32" s="201"/>
      <c r="L32" s="185"/>
      <c r="M32" s="185"/>
      <c r="N32" s="185"/>
      <c r="O32" s="185"/>
      <c r="P32" s="185"/>
      <c r="Q32" s="185"/>
      <c r="R32" s="185"/>
      <c r="S32" s="185"/>
      <c r="T32" s="185"/>
      <c r="U32" s="185"/>
      <c r="V32" s="185"/>
      <c r="W32" s="185"/>
      <c r="X32" s="185"/>
      <c r="Y32" s="185"/>
      <c r="Z32" s="185"/>
    </row>
    <row r="33" ht="19.5" customHeight="1">
      <c r="A33" s="141">
        <v>37266.0</v>
      </c>
      <c r="B33" s="195" t="s">
        <v>1242</v>
      </c>
      <c r="C33" s="46" t="s">
        <v>148</v>
      </c>
      <c r="D33" s="78">
        <v>2.0</v>
      </c>
      <c r="E33" s="49">
        <v>0.05</v>
      </c>
      <c r="F33" s="40">
        <v>5.5</v>
      </c>
      <c r="G33" s="41">
        <v>0.4</v>
      </c>
      <c r="H33" s="40">
        <f t="shared" ref="H33:H36" si="8">G33*F33*E33*D33</f>
        <v>0.22</v>
      </c>
      <c r="I33" s="206">
        <f t="shared" ref="I33:I36" si="9">D33*F33*G33</f>
        <v>4.4</v>
      </c>
      <c r="J33" s="168"/>
      <c r="K33" s="201"/>
      <c r="L33" s="185"/>
      <c r="M33" s="185"/>
      <c r="N33" s="185"/>
      <c r="O33" s="185"/>
      <c r="P33" s="185"/>
      <c r="Q33" s="185"/>
      <c r="R33" s="185"/>
      <c r="S33" s="185"/>
      <c r="T33" s="185"/>
      <c r="U33" s="185"/>
      <c r="V33" s="185"/>
      <c r="W33" s="185"/>
      <c r="X33" s="185"/>
      <c r="Y33" s="185"/>
      <c r="Z33" s="185"/>
    </row>
    <row r="34" ht="19.5" customHeight="1">
      <c r="A34" s="141">
        <v>37266.0</v>
      </c>
      <c r="B34" s="195" t="s">
        <v>1242</v>
      </c>
      <c r="C34" s="46" t="s">
        <v>148</v>
      </c>
      <c r="D34" s="39">
        <v>4.0</v>
      </c>
      <c r="E34" s="49">
        <v>0.05</v>
      </c>
      <c r="F34" s="40">
        <v>2.5</v>
      </c>
      <c r="G34" s="41">
        <v>0.4</v>
      </c>
      <c r="H34" s="40">
        <f t="shared" si="8"/>
        <v>0.2</v>
      </c>
      <c r="I34" s="206">
        <f t="shared" si="9"/>
        <v>4</v>
      </c>
      <c r="J34" s="200"/>
      <c r="K34" s="201"/>
      <c r="L34" s="185"/>
      <c r="M34" s="185"/>
      <c r="N34" s="185"/>
      <c r="O34" s="185"/>
      <c r="P34" s="185"/>
      <c r="Q34" s="185"/>
      <c r="R34" s="185"/>
      <c r="S34" s="185"/>
      <c r="T34" s="185"/>
      <c r="U34" s="185"/>
      <c r="V34" s="185"/>
      <c r="W34" s="185"/>
      <c r="X34" s="185"/>
      <c r="Y34" s="185"/>
      <c r="Z34" s="185"/>
    </row>
    <row r="35" ht="19.5" customHeight="1">
      <c r="A35" s="141">
        <v>37266.0</v>
      </c>
      <c r="B35" s="195" t="s">
        <v>1242</v>
      </c>
      <c r="C35" s="46" t="s">
        <v>148</v>
      </c>
      <c r="D35" s="39">
        <v>1.0</v>
      </c>
      <c r="E35" s="49">
        <v>0.05</v>
      </c>
      <c r="F35" s="41">
        <v>6.0</v>
      </c>
      <c r="G35" s="41">
        <v>0.4</v>
      </c>
      <c r="H35" s="40">
        <f t="shared" si="8"/>
        <v>0.12</v>
      </c>
      <c r="I35" s="206">
        <f t="shared" si="9"/>
        <v>2.4</v>
      </c>
      <c r="J35" s="200"/>
      <c r="K35" s="201"/>
      <c r="L35" s="185"/>
      <c r="M35" s="185"/>
      <c r="N35" s="185"/>
      <c r="O35" s="185"/>
      <c r="P35" s="185"/>
      <c r="Q35" s="185"/>
      <c r="R35" s="185"/>
      <c r="S35" s="185"/>
      <c r="T35" s="185"/>
      <c r="U35" s="185"/>
      <c r="V35" s="185"/>
      <c r="W35" s="185"/>
      <c r="X35" s="185"/>
      <c r="Y35" s="185"/>
      <c r="Z35" s="185"/>
    </row>
    <row r="36" ht="19.5" customHeight="1">
      <c r="A36" s="141">
        <v>37266.0</v>
      </c>
      <c r="B36" s="195" t="s">
        <v>1243</v>
      </c>
      <c r="C36" s="46" t="s">
        <v>148</v>
      </c>
      <c r="D36" s="39">
        <v>7.0</v>
      </c>
      <c r="E36" s="49">
        <v>0.05</v>
      </c>
      <c r="F36" s="41">
        <v>1.0</v>
      </c>
      <c r="G36" s="41">
        <v>1.0</v>
      </c>
      <c r="H36" s="40">
        <f t="shared" si="8"/>
        <v>0.35</v>
      </c>
      <c r="I36" s="206">
        <f t="shared" si="9"/>
        <v>7</v>
      </c>
      <c r="J36" s="43">
        <f>SUM(H33:H36)</f>
        <v>0.89</v>
      </c>
      <c r="K36" s="201"/>
      <c r="L36" s="185"/>
      <c r="M36" s="185"/>
      <c r="N36" s="185"/>
      <c r="O36" s="185"/>
      <c r="P36" s="185"/>
      <c r="Q36" s="185"/>
      <c r="R36" s="185"/>
      <c r="S36" s="185"/>
      <c r="T36" s="185"/>
      <c r="U36" s="185"/>
      <c r="V36" s="185"/>
      <c r="W36" s="185"/>
      <c r="X36" s="185"/>
      <c r="Y36" s="185"/>
      <c r="Z36" s="185"/>
    </row>
    <row r="37" ht="19.5" customHeight="1">
      <c r="A37" s="144">
        <v>38362.0</v>
      </c>
      <c r="B37" s="195" t="s">
        <v>149</v>
      </c>
      <c r="C37" s="79"/>
      <c r="D37" s="115"/>
      <c r="E37" s="49"/>
      <c r="F37" s="41"/>
      <c r="G37" s="41"/>
      <c r="H37" s="59"/>
      <c r="I37" s="206"/>
      <c r="J37" s="43">
        <f>SUM(I33:I36)</f>
        <v>17.8</v>
      </c>
      <c r="K37" s="201"/>
      <c r="L37" s="185"/>
      <c r="M37" s="185"/>
      <c r="N37" s="185"/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5"/>
      <c r="Z37" s="185"/>
    </row>
    <row r="38" ht="19.5" customHeight="1">
      <c r="A38" s="74" t="s">
        <v>1</v>
      </c>
      <c r="B38" s="74" t="s">
        <v>91</v>
      </c>
      <c r="C38" s="74" t="s">
        <v>92</v>
      </c>
      <c r="D38" s="76" t="s">
        <v>93</v>
      </c>
      <c r="E38" s="50" t="s">
        <v>97</v>
      </c>
      <c r="F38" s="53" t="s">
        <v>121</v>
      </c>
      <c r="G38" s="53" t="s">
        <v>99</v>
      </c>
      <c r="H38" s="75" t="s">
        <v>100</v>
      </c>
      <c r="I38" s="75" t="s">
        <v>101</v>
      </c>
      <c r="J38" s="76" t="s">
        <v>95</v>
      </c>
      <c r="K38" s="74" t="s">
        <v>96</v>
      </c>
    </row>
    <row r="39" ht="19.5" customHeight="1">
      <c r="A39" s="141">
        <v>39823.0</v>
      </c>
      <c r="B39" s="37" t="s">
        <v>339</v>
      </c>
      <c r="C39" s="46" t="s">
        <v>148</v>
      </c>
      <c r="D39" s="78"/>
      <c r="E39" s="37"/>
      <c r="F39" s="78"/>
      <c r="G39" s="40"/>
      <c r="H39" s="40" t="str">
        <f>D39</f>
        <v/>
      </c>
      <c r="I39" s="42"/>
      <c r="J39" s="43">
        <f>J11-J27-J36-J80</f>
        <v>18.306</v>
      </c>
      <c r="K39" s="46"/>
    </row>
    <row r="40" ht="19.5" customHeight="1">
      <c r="A40" s="141">
        <v>39457.0</v>
      </c>
      <c r="B40" s="37" t="s">
        <v>340</v>
      </c>
      <c r="C40" s="46" t="s">
        <v>148</v>
      </c>
      <c r="D40" s="78">
        <v>1.0</v>
      </c>
      <c r="E40" s="37">
        <v>0.4</v>
      </c>
      <c r="F40" s="78">
        <v>5.5</v>
      </c>
      <c r="G40" s="40">
        <v>2.5</v>
      </c>
      <c r="H40" s="40">
        <f>G40*F40*E40</f>
        <v>5.5</v>
      </c>
      <c r="I40" s="42"/>
      <c r="J40" s="43">
        <f>H40</f>
        <v>5.5</v>
      </c>
      <c r="K40" s="46"/>
    </row>
    <row r="41" ht="19.5" customHeight="1">
      <c r="A41" s="74" t="s">
        <v>1</v>
      </c>
      <c r="B41" s="74" t="s">
        <v>91</v>
      </c>
      <c r="C41" s="74" t="s">
        <v>92</v>
      </c>
      <c r="D41" s="76" t="s">
        <v>93</v>
      </c>
      <c r="E41" s="50" t="s">
        <v>97</v>
      </c>
      <c r="F41" s="53" t="s">
        <v>121</v>
      </c>
      <c r="G41" s="53" t="s">
        <v>99</v>
      </c>
      <c r="H41" s="75" t="s">
        <v>100</v>
      </c>
      <c r="I41" s="252" t="s">
        <v>1237</v>
      </c>
      <c r="J41" s="285" t="s">
        <v>95</v>
      </c>
      <c r="K41" s="74" t="s">
        <v>96</v>
      </c>
    </row>
    <row r="42" ht="19.5" customHeight="1">
      <c r="A42" s="141">
        <v>37082.0</v>
      </c>
      <c r="B42" s="49" t="s">
        <v>1244</v>
      </c>
      <c r="C42" s="46" t="s">
        <v>148</v>
      </c>
      <c r="D42" s="78">
        <v>1.0</v>
      </c>
      <c r="E42" s="37">
        <v>0.05</v>
      </c>
      <c r="F42" s="39">
        <v>2.0</v>
      </c>
      <c r="G42" s="40">
        <v>2.2</v>
      </c>
      <c r="H42" s="40">
        <f t="shared" ref="H42:H44" si="10">G42*F42*E42*D42</f>
        <v>0.22</v>
      </c>
      <c r="I42" s="42">
        <f t="shared" ref="I42:I44" si="11">F42*G42</f>
        <v>4.4</v>
      </c>
      <c r="J42" s="143">
        <f>SUM(H42:H44)</f>
        <v>0.539</v>
      </c>
      <c r="K42" s="46"/>
    </row>
    <row r="43" ht="19.5" customHeight="1">
      <c r="A43" s="141">
        <v>37082.0</v>
      </c>
      <c r="B43" s="49" t="s">
        <v>1245</v>
      </c>
      <c r="C43" s="46" t="s">
        <v>148</v>
      </c>
      <c r="D43" s="39">
        <v>1.0</v>
      </c>
      <c r="E43" s="37">
        <v>0.05</v>
      </c>
      <c r="F43" s="39">
        <v>1.2</v>
      </c>
      <c r="G43" s="41">
        <v>2.2</v>
      </c>
      <c r="H43" s="40">
        <f t="shared" si="10"/>
        <v>0.132</v>
      </c>
      <c r="I43" s="42">
        <f t="shared" si="11"/>
        <v>2.64</v>
      </c>
      <c r="J43" s="147"/>
      <c r="K43" s="46"/>
    </row>
    <row r="44" ht="19.5" customHeight="1">
      <c r="A44" s="141">
        <v>37082.0</v>
      </c>
      <c r="B44" s="49" t="s">
        <v>1246</v>
      </c>
      <c r="C44" s="46" t="s">
        <v>148</v>
      </c>
      <c r="D44" s="39">
        <v>1.0</v>
      </c>
      <c r="E44" s="37">
        <v>0.05</v>
      </c>
      <c r="F44" s="39">
        <v>1.7</v>
      </c>
      <c r="G44" s="41">
        <v>2.2</v>
      </c>
      <c r="H44" s="40">
        <f t="shared" si="10"/>
        <v>0.187</v>
      </c>
      <c r="I44" s="42">
        <f t="shared" si="11"/>
        <v>3.74</v>
      </c>
      <c r="J44" s="147"/>
      <c r="K44" s="46"/>
    </row>
    <row r="45" ht="19.5" customHeight="1">
      <c r="A45" s="154" t="s">
        <v>1247</v>
      </c>
      <c r="B45" s="49" t="s">
        <v>1248</v>
      </c>
      <c r="C45" s="46"/>
      <c r="D45" s="78"/>
      <c r="E45" s="37"/>
      <c r="F45" s="39"/>
      <c r="G45" s="40"/>
      <c r="H45" s="40"/>
      <c r="I45" s="42"/>
      <c r="J45" s="134">
        <v>11.7</v>
      </c>
      <c r="K45" s="46"/>
    </row>
    <row r="46" ht="19.5" customHeight="1">
      <c r="A46" s="141">
        <v>37812.0</v>
      </c>
      <c r="B46" s="49" t="s">
        <v>1249</v>
      </c>
      <c r="C46" s="46" t="s">
        <v>103</v>
      </c>
      <c r="D46" s="78">
        <v>1.0</v>
      </c>
      <c r="E46" s="37"/>
      <c r="F46" s="39">
        <v>2.0</v>
      </c>
      <c r="G46" s="40">
        <v>2.2</v>
      </c>
      <c r="H46" s="40">
        <f t="shared" ref="H46:H48" si="12">D46*F46*G46</f>
        <v>4.4</v>
      </c>
      <c r="I46" s="42"/>
      <c r="J46" s="143">
        <f>SUM(H46:H48)</f>
        <v>10.78</v>
      </c>
      <c r="K46" s="46"/>
    </row>
    <row r="47" ht="19.5" customHeight="1">
      <c r="A47" s="141">
        <v>37812.0</v>
      </c>
      <c r="B47" s="49" t="s">
        <v>1250</v>
      </c>
      <c r="C47" s="46" t="s">
        <v>103</v>
      </c>
      <c r="D47" s="39">
        <v>1.0</v>
      </c>
      <c r="E47" s="37"/>
      <c r="F47" s="39">
        <v>1.2</v>
      </c>
      <c r="G47" s="41">
        <v>2.2</v>
      </c>
      <c r="H47" s="40">
        <f t="shared" si="12"/>
        <v>2.64</v>
      </c>
      <c r="I47" s="42"/>
      <c r="J47" s="147"/>
      <c r="K47" s="46"/>
    </row>
    <row r="48" ht="19.5" customHeight="1">
      <c r="A48" s="141">
        <v>37812.0</v>
      </c>
      <c r="B48" s="49" t="s">
        <v>1251</v>
      </c>
      <c r="C48" s="46" t="s">
        <v>103</v>
      </c>
      <c r="D48" s="39">
        <v>1.0</v>
      </c>
      <c r="E48" s="37"/>
      <c r="F48" s="39">
        <v>1.7</v>
      </c>
      <c r="G48" s="41">
        <v>2.2</v>
      </c>
      <c r="H48" s="40">
        <f t="shared" si="12"/>
        <v>3.74</v>
      </c>
      <c r="I48" s="42"/>
      <c r="J48" s="32"/>
      <c r="K48" s="46"/>
    </row>
    <row r="49" ht="19.5" customHeight="1">
      <c r="A49" s="141">
        <v>38543.0</v>
      </c>
      <c r="B49" s="49" t="s">
        <v>2</v>
      </c>
      <c r="C49" s="38" t="s">
        <v>108</v>
      </c>
      <c r="D49" s="39">
        <v>3.0</v>
      </c>
      <c r="E49" s="37"/>
      <c r="F49" s="39">
        <v>0.9</v>
      </c>
      <c r="G49" s="40"/>
      <c r="H49" s="40">
        <f>D49*F49</f>
        <v>2.7</v>
      </c>
      <c r="I49" s="42"/>
      <c r="J49" s="43">
        <f t="shared" ref="J49:J50" si="13">H49</f>
        <v>2.7</v>
      </c>
      <c r="K49" s="46"/>
    </row>
    <row r="50" ht="19.5" customHeight="1">
      <c r="A50" s="144">
        <v>39273.0</v>
      </c>
      <c r="B50" s="114" t="s">
        <v>1252</v>
      </c>
      <c r="C50" s="38" t="s">
        <v>108</v>
      </c>
      <c r="D50" s="115"/>
      <c r="E50" s="37"/>
      <c r="F50" s="39">
        <f>(F46+G46)*2+(F48+G48)*2</f>
        <v>16.2</v>
      </c>
      <c r="G50" s="40"/>
      <c r="H50" s="59">
        <f>F50</f>
        <v>16.2</v>
      </c>
      <c r="I50" s="82"/>
      <c r="J50" s="143">
        <f t="shared" si="13"/>
        <v>16.2</v>
      </c>
      <c r="K50" s="79"/>
    </row>
    <row r="51" ht="19.5" customHeight="1">
      <c r="A51" s="74" t="s">
        <v>1</v>
      </c>
      <c r="B51" s="74" t="s">
        <v>91</v>
      </c>
      <c r="C51" s="74" t="s">
        <v>92</v>
      </c>
      <c r="D51" s="76" t="s">
        <v>93</v>
      </c>
      <c r="E51" s="50" t="s">
        <v>97</v>
      </c>
      <c r="F51" s="53" t="s">
        <v>121</v>
      </c>
      <c r="G51" s="53" t="s">
        <v>99</v>
      </c>
      <c r="H51" s="75" t="s">
        <v>100</v>
      </c>
      <c r="I51" s="75" t="s">
        <v>101</v>
      </c>
      <c r="J51" s="76" t="s">
        <v>95</v>
      </c>
      <c r="K51" s="74" t="s">
        <v>96</v>
      </c>
    </row>
    <row r="52" ht="19.5" customHeight="1">
      <c r="A52" s="218">
        <v>36960.0</v>
      </c>
      <c r="B52" s="49" t="s">
        <v>1028</v>
      </c>
      <c r="C52" s="46" t="s">
        <v>148</v>
      </c>
      <c r="D52" s="78">
        <v>2.0</v>
      </c>
      <c r="E52" s="37">
        <v>0.4</v>
      </c>
      <c r="F52" s="78">
        <v>5.5</v>
      </c>
      <c r="G52" s="40">
        <v>0.14</v>
      </c>
      <c r="H52" s="40">
        <f t="shared" ref="H52:H53" si="14">G52*F52*E52*D52</f>
        <v>0.616</v>
      </c>
      <c r="I52" s="42"/>
      <c r="J52" s="40"/>
      <c r="K52" s="46"/>
    </row>
    <row r="53" ht="19.5" customHeight="1">
      <c r="A53" s="218">
        <v>36960.0</v>
      </c>
      <c r="B53" s="49" t="s">
        <v>1028</v>
      </c>
      <c r="C53" s="46" t="s">
        <v>148</v>
      </c>
      <c r="D53" s="78">
        <v>2.0</v>
      </c>
      <c r="E53" s="37">
        <v>0.4</v>
      </c>
      <c r="F53" s="78">
        <v>2.2</v>
      </c>
      <c r="G53" s="40">
        <v>0.14</v>
      </c>
      <c r="H53" s="40">
        <f t="shared" si="14"/>
        <v>0.2464</v>
      </c>
      <c r="I53" s="42"/>
      <c r="J53" s="43">
        <f>SUM(H52:H53)</f>
        <v>0.8624</v>
      </c>
      <c r="K53" s="46"/>
    </row>
    <row r="54" ht="19.5" customHeight="1">
      <c r="A54" s="74" t="s">
        <v>1</v>
      </c>
      <c r="B54" s="74" t="s">
        <v>91</v>
      </c>
      <c r="C54" s="74" t="s">
        <v>92</v>
      </c>
      <c r="D54" s="76" t="s">
        <v>93</v>
      </c>
      <c r="E54" s="50" t="s">
        <v>97</v>
      </c>
      <c r="F54" s="53" t="s">
        <v>121</v>
      </c>
      <c r="G54" s="53" t="s">
        <v>99</v>
      </c>
      <c r="H54" s="75" t="s">
        <v>100</v>
      </c>
      <c r="I54" s="75" t="s">
        <v>101</v>
      </c>
      <c r="J54" s="76" t="s">
        <v>95</v>
      </c>
      <c r="K54" s="74" t="s">
        <v>96</v>
      </c>
    </row>
    <row r="55" ht="19.5" customHeight="1">
      <c r="A55" s="141">
        <v>36991.0</v>
      </c>
      <c r="B55" s="49" t="s">
        <v>1253</v>
      </c>
      <c r="C55" s="46" t="s">
        <v>148</v>
      </c>
      <c r="D55" s="78">
        <v>2.0</v>
      </c>
      <c r="E55" s="49">
        <v>0.4</v>
      </c>
      <c r="F55" s="40">
        <v>5.5</v>
      </c>
      <c r="G55" s="41">
        <v>0.2</v>
      </c>
      <c r="H55" s="40">
        <f t="shared" ref="H55:H59" si="15">D55*E55*F55*G55</f>
        <v>0.88</v>
      </c>
      <c r="I55" s="42"/>
      <c r="J55" s="40"/>
      <c r="K55" s="38" t="s">
        <v>1234</v>
      </c>
    </row>
    <row r="56" ht="19.5" customHeight="1">
      <c r="A56" s="141">
        <v>36991.0</v>
      </c>
      <c r="B56" s="49" t="s">
        <v>1253</v>
      </c>
      <c r="C56" s="46" t="s">
        <v>148</v>
      </c>
      <c r="D56" s="39">
        <v>4.0</v>
      </c>
      <c r="E56" s="49">
        <v>0.4</v>
      </c>
      <c r="F56" s="40">
        <v>2.5</v>
      </c>
      <c r="G56" s="41">
        <v>0.2</v>
      </c>
      <c r="H56" s="40">
        <f t="shared" si="15"/>
        <v>0.8</v>
      </c>
      <c r="I56" s="42"/>
      <c r="J56" s="168"/>
      <c r="K56" s="46"/>
      <c r="L56" s="14"/>
    </row>
    <row r="57" ht="19.5" customHeight="1">
      <c r="A57" s="141">
        <v>36991.0</v>
      </c>
      <c r="B57" s="49" t="s">
        <v>1253</v>
      </c>
      <c r="C57" s="46" t="s">
        <v>148</v>
      </c>
      <c r="D57" s="39">
        <v>1.0</v>
      </c>
      <c r="E57" s="49">
        <v>0.4</v>
      </c>
      <c r="F57" s="41">
        <v>13.0</v>
      </c>
      <c r="G57" s="41">
        <v>0.2</v>
      </c>
      <c r="H57" s="40">
        <f t="shared" si="15"/>
        <v>1.04</v>
      </c>
      <c r="I57" s="199"/>
      <c r="J57" s="168"/>
      <c r="K57" s="201"/>
      <c r="L57" s="185"/>
      <c r="M57" s="185"/>
      <c r="N57" s="185"/>
      <c r="O57" s="185"/>
      <c r="P57" s="185"/>
      <c r="Q57" s="185"/>
      <c r="R57" s="185"/>
      <c r="S57" s="185"/>
      <c r="T57" s="185"/>
      <c r="U57" s="185"/>
      <c r="V57" s="185"/>
      <c r="W57" s="185"/>
      <c r="X57" s="185"/>
      <c r="Y57" s="185"/>
      <c r="Z57" s="185"/>
    </row>
    <row r="58" ht="19.5" customHeight="1">
      <c r="A58" s="141">
        <v>36991.0</v>
      </c>
      <c r="B58" s="49" t="s">
        <v>1253</v>
      </c>
      <c r="C58" s="46" t="s">
        <v>148</v>
      </c>
      <c r="D58" s="39">
        <v>1.0</v>
      </c>
      <c r="E58" s="49">
        <v>0.4</v>
      </c>
      <c r="F58" s="41">
        <v>6.0</v>
      </c>
      <c r="G58" s="41">
        <v>0.2</v>
      </c>
      <c r="H58" s="40">
        <f t="shared" si="15"/>
        <v>0.48</v>
      </c>
      <c r="I58" s="199"/>
      <c r="J58" s="168"/>
      <c r="K58" s="201"/>
      <c r="L58" s="185"/>
      <c r="M58" s="185"/>
      <c r="N58" s="185"/>
      <c r="O58" s="185"/>
      <c r="P58" s="185"/>
      <c r="Q58" s="185"/>
      <c r="R58" s="185"/>
      <c r="S58" s="185"/>
      <c r="T58" s="185"/>
      <c r="U58" s="185"/>
      <c r="V58" s="185"/>
      <c r="W58" s="185"/>
      <c r="X58" s="185"/>
      <c r="Y58" s="185"/>
      <c r="Z58" s="185"/>
    </row>
    <row r="59" ht="19.5" customHeight="1">
      <c r="A59" s="141">
        <v>36991.0</v>
      </c>
      <c r="B59" s="49" t="s">
        <v>1253</v>
      </c>
      <c r="C59" s="46" t="s">
        <v>148</v>
      </c>
      <c r="D59" s="39">
        <v>3.0</v>
      </c>
      <c r="E59" s="49">
        <v>0.4</v>
      </c>
      <c r="F59" s="41">
        <v>1.0</v>
      </c>
      <c r="G59" s="41">
        <v>0.2</v>
      </c>
      <c r="H59" s="40">
        <f t="shared" si="15"/>
        <v>0.24</v>
      </c>
      <c r="I59" s="199"/>
      <c r="J59" s="43">
        <f>SUM(H55:H59)</f>
        <v>3.44</v>
      </c>
      <c r="K59" s="201"/>
      <c r="L59" s="185"/>
      <c r="M59" s="185"/>
      <c r="N59" s="185"/>
      <c r="O59" s="185"/>
      <c r="P59" s="185"/>
      <c r="Q59" s="185"/>
      <c r="R59" s="185"/>
      <c r="S59" s="185"/>
      <c r="T59" s="185"/>
      <c r="U59" s="185"/>
      <c r="V59" s="185"/>
      <c r="W59" s="185"/>
      <c r="X59" s="185"/>
      <c r="Y59" s="185"/>
      <c r="Z59" s="185"/>
    </row>
    <row r="60" ht="19.5" customHeight="1">
      <c r="A60" s="141">
        <v>37356.0</v>
      </c>
      <c r="B60" s="37" t="s">
        <v>568</v>
      </c>
      <c r="C60" s="46" t="s">
        <v>103</v>
      </c>
      <c r="D60" s="78">
        <v>2.0</v>
      </c>
      <c r="E60" s="49">
        <v>0.4</v>
      </c>
      <c r="F60" s="40">
        <v>5.5</v>
      </c>
      <c r="G60" s="41">
        <v>0.2</v>
      </c>
      <c r="H60" s="206">
        <f t="shared" ref="H60:H64" si="16">D60*(E60*2+G60)*F60</f>
        <v>11</v>
      </c>
      <c r="I60" s="199"/>
      <c r="J60" s="168"/>
      <c r="K60" s="201"/>
      <c r="L60" s="185"/>
      <c r="M60" s="185"/>
      <c r="N60" s="185"/>
      <c r="O60" s="185"/>
      <c r="P60" s="185"/>
      <c r="Q60" s="185"/>
      <c r="R60" s="185"/>
      <c r="S60" s="185"/>
      <c r="T60" s="185"/>
      <c r="U60" s="185"/>
      <c r="V60" s="185"/>
      <c r="W60" s="185"/>
      <c r="X60" s="185"/>
      <c r="Y60" s="185"/>
      <c r="Z60" s="185"/>
    </row>
    <row r="61" ht="19.5" customHeight="1">
      <c r="A61" s="141">
        <v>37356.0</v>
      </c>
      <c r="B61" s="37" t="s">
        <v>568</v>
      </c>
      <c r="C61" s="46" t="s">
        <v>103</v>
      </c>
      <c r="D61" s="39">
        <v>4.0</v>
      </c>
      <c r="E61" s="49">
        <v>0.4</v>
      </c>
      <c r="F61" s="40">
        <v>2.5</v>
      </c>
      <c r="G61" s="41">
        <v>0.2</v>
      </c>
      <c r="H61" s="206">
        <f t="shared" si="16"/>
        <v>10</v>
      </c>
      <c r="I61" s="199"/>
      <c r="J61" s="168"/>
      <c r="K61" s="201"/>
      <c r="L61" s="185"/>
      <c r="M61" s="185"/>
      <c r="N61" s="185"/>
      <c r="O61" s="185"/>
      <c r="P61" s="185"/>
      <c r="Q61" s="185"/>
      <c r="R61" s="185"/>
      <c r="S61" s="185"/>
      <c r="T61" s="185"/>
      <c r="U61" s="185"/>
      <c r="V61" s="185"/>
      <c r="W61" s="185"/>
      <c r="X61" s="185"/>
      <c r="Y61" s="185"/>
      <c r="Z61" s="185"/>
    </row>
    <row r="62" ht="19.5" customHeight="1">
      <c r="A62" s="141">
        <v>37356.0</v>
      </c>
      <c r="B62" s="37" t="s">
        <v>568</v>
      </c>
      <c r="C62" s="46" t="s">
        <v>103</v>
      </c>
      <c r="D62" s="39">
        <v>1.0</v>
      </c>
      <c r="E62" s="49">
        <v>0.4</v>
      </c>
      <c r="F62" s="41">
        <v>13.0</v>
      </c>
      <c r="G62" s="41">
        <v>0.2</v>
      </c>
      <c r="H62" s="206">
        <f t="shared" si="16"/>
        <v>13</v>
      </c>
      <c r="I62" s="199"/>
      <c r="J62" s="257"/>
      <c r="K62" s="201"/>
      <c r="L62" s="185"/>
      <c r="M62" s="185"/>
      <c r="N62" s="185"/>
      <c r="O62" s="185"/>
      <c r="P62" s="185"/>
      <c r="Q62" s="185"/>
      <c r="R62" s="185"/>
      <c r="S62" s="185"/>
      <c r="T62" s="185"/>
      <c r="U62" s="185"/>
      <c r="V62" s="185"/>
      <c r="W62" s="185"/>
      <c r="X62" s="185"/>
      <c r="Y62" s="185"/>
      <c r="Z62" s="185"/>
    </row>
    <row r="63" ht="19.5" customHeight="1">
      <c r="A63" s="141">
        <v>37356.0</v>
      </c>
      <c r="B63" s="37" t="s">
        <v>568</v>
      </c>
      <c r="C63" s="46" t="s">
        <v>103</v>
      </c>
      <c r="D63" s="39">
        <v>1.0</v>
      </c>
      <c r="E63" s="49">
        <v>0.4</v>
      </c>
      <c r="F63" s="41">
        <v>6.0</v>
      </c>
      <c r="G63" s="41">
        <v>0.2</v>
      </c>
      <c r="H63" s="206">
        <f t="shared" si="16"/>
        <v>6</v>
      </c>
      <c r="I63" s="199"/>
      <c r="J63" s="257"/>
      <c r="K63" s="201"/>
      <c r="L63" s="185"/>
      <c r="M63" s="185"/>
      <c r="N63" s="185"/>
      <c r="O63" s="185"/>
      <c r="P63" s="185"/>
      <c r="Q63" s="185"/>
      <c r="R63" s="185"/>
      <c r="S63" s="185"/>
      <c r="T63" s="185"/>
      <c r="U63" s="185"/>
      <c r="V63" s="185"/>
      <c r="W63" s="185"/>
      <c r="X63" s="185"/>
      <c r="Y63" s="185"/>
      <c r="Z63" s="185"/>
    </row>
    <row r="64" ht="19.5" customHeight="1">
      <c r="A64" s="141">
        <v>37356.0</v>
      </c>
      <c r="B64" s="37" t="s">
        <v>568</v>
      </c>
      <c r="C64" s="46" t="s">
        <v>103</v>
      </c>
      <c r="D64" s="39">
        <v>3.0</v>
      </c>
      <c r="E64" s="49">
        <v>0.4</v>
      </c>
      <c r="F64" s="41">
        <v>1.0</v>
      </c>
      <c r="G64" s="41">
        <v>0.2</v>
      </c>
      <c r="H64" s="206">
        <f t="shared" si="16"/>
        <v>3</v>
      </c>
      <c r="I64" s="199"/>
      <c r="J64" s="143">
        <f>SUM(H60:H64)</f>
        <v>43</v>
      </c>
      <c r="K64" s="201"/>
      <c r="L64" s="185"/>
      <c r="M64" s="185"/>
      <c r="N64" s="185"/>
      <c r="O64" s="185"/>
      <c r="P64" s="185"/>
      <c r="Q64" s="185"/>
      <c r="R64" s="185"/>
      <c r="S64" s="185"/>
      <c r="T64" s="185"/>
      <c r="U64" s="185"/>
      <c r="V64" s="185"/>
      <c r="W64" s="185"/>
      <c r="X64" s="185"/>
      <c r="Y64" s="185"/>
      <c r="Z64" s="185"/>
    </row>
    <row r="65" ht="19.5" customHeight="1">
      <c r="A65" s="144">
        <v>37721.0</v>
      </c>
      <c r="B65" s="114" t="s">
        <v>1254</v>
      </c>
      <c r="C65" s="83" t="s">
        <v>158</v>
      </c>
      <c r="D65" s="115">
        <v>4.0</v>
      </c>
      <c r="E65" s="49">
        <f>F55*D55+F56*D56+F57*D57+F58*D58+F59*D59</f>
        <v>43</v>
      </c>
      <c r="F65" s="41"/>
      <c r="G65" s="41"/>
      <c r="H65" s="206"/>
      <c r="I65" s="410">
        <v>0.963</v>
      </c>
      <c r="J65" s="143">
        <f t="shared" ref="J65:J66" si="17">D65*E65*I65</f>
        <v>165.636</v>
      </c>
      <c r="K65" s="201"/>
      <c r="L65" s="185"/>
      <c r="M65" s="185"/>
      <c r="N65" s="185"/>
      <c r="O65" s="185"/>
      <c r="P65" s="185"/>
      <c r="Q65" s="185"/>
      <c r="R65" s="185"/>
      <c r="S65" s="185"/>
      <c r="T65" s="185"/>
      <c r="U65" s="185"/>
      <c r="V65" s="185"/>
      <c r="W65" s="185"/>
      <c r="X65" s="185"/>
      <c r="Y65" s="185"/>
      <c r="Z65" s="185"/>
    </row>
    <row r="66" ht="19.5" customHeight="1">
      <c r="A66" s="144">
        <v>37721.0</v>
      </c>
      <c r="B66" s="114" t="s">
        <v>1241</v>
      </c>
      <c r="C66" s="83" t="s">
        <v>158</v>
      </c>
      <c r="D66" s="115">
        <v>140.0</v>
      </c>
      <c r="E66" s="49">
        <v>1.06</v>
      </c>
      <c r="F66" s="41"/>
      <c r="G66" s="41"/>
      <c r="H66" s="206"/>
      <c r="I66" s="410">
        <v>0.154</v>
      </c>
      <c r="J66" s="143">
        <f t="shared" si="17"/>
        <v>22.8536</v>
      </c>
      <c r="K66" s="201"/>
      <c r="L66" s="185"/>
      <c r="M66" s="185"/>
      <c r="N66" s="185"/>
      <c r="O66" s="185"/>
      <c r="P66" s="185"/>
      <c r="Q66" s="185"/>
      <c r="R66" s="185"/>
      <c r="S66" s="185"/>
      <c r="T66" s="185"/>
      <c r="U66" s="185"/>
      <c r="V66" s="185"/>
      <c r="W66" s="185"/>
      <c r="X66" s="185"/>
      <c r="Y66" s="185"/>
      <c r="Z66" s="185"/>
    </row>
    <row r="67" ht="19.5" customHeight="1">
      <c r="A67" s="74" t="s">
        <v>1</v>
      </c>
      <c r="B67" s="74" t="s">
        <v>91</v>
      </c>
      <c r="C67" s="74" t="s">
        <v>92</v>
      </c>
      <c r="D67" s="76" t="s">
        <v>93</v>
      </c>
      <c r="E67" s="50" t="s">
        <v>97</v>
      </c>
      <c r="F67" s="53" t="s">
        <v>121</v>
      </c>
      <c r="G67" s="53" t="s">
        <v>99</v>
      </c>
      <c r="H67" s="75" t="s">
        <v>100</v>
      </c>
      <c r="I67" s="75" t="s">
        <v>101</v>
      </c>
      <c r="J67" s="76" t="s">
        <v>95</v>
      </c>
      <c r="K67" s="74" t="s">
        <v>96</v>
      </c>
    </row>
    <row r="68" ht="19.5" customHeight="1">
      <c r="A68" s="141">
        <v>38087.0</v>
      </c>
      <c r="B68" s="37" t="s">
        <v>176</v>
      </c>
      <c r="C68" s="46" t="s">
        <v>103</v>
      </c>
      <c r="D68" s="78">
        <v>1.0</v>
      </c>
      <c r="E68" s="37"/>
      <c r="F68" s="41">
        <v>5.9</v>
      </c>
      <c r="G68" s="41">
        <v>4.5</v>
      </c>
      <c r="H68" s="40">
        <f t="shared" ref="H68:H69" si="18">G68*F68</f>
        <v>26.55</v>
      </c>
      <c r="I68" s="42"/>
      <c r="J68" s="168"/>
      <c r="K68" s="46"/>
    </row>
    <row r="69" ht="19.5" customHeight="1">
      <c r="A69" s="141">
        <v>38087.0</v>
      </c>
      <c r="B69" s="114" t="s">
        <v>1255</v>
      </c>
      <c r="C69" s="46" t="s">
        <v>103</v>
      </c>
      <c r="D69" s="115">
        <v>1.0</v>
      </c>
      <c r="E69" s="37"/>
      <c r="F69" s="41">
        <v>8.15</v>
      </c>
      <c r="G69" s="41">
        <v>1.0</v>
      </c>
      <c r="H69" s="40">
        <f t="shared" si="18"/>
        <v>8.15</v>
      </c>
      <c r="I69" s="82"/>
      <c r="J69" s="143">
        <f>SUM(H68:H69)</f>
        <v>34.7</v>
      </c>
      <c r="K69" s="79"/>
    </row>
    <row r="70" ht="19.5" customHeight="1">
      <c r="A70" s="144">
        <v>39548.0</v>
      </c>
      <c r="B70" s="114" t="s">
        <v>1256</v>
      </c>
      <c r="C70" s="46" t="s">
        <v>103</v>
      </c>
      <c r="D70" s="115"/>
      <c r="E70" s="37"/>
      <c r="F70" s="41"/>
      <c r="G70" s="41"/>
      <c r="H70" s="59"/>
      <c r="I70" s="82"/>
      <c r="J70" s="143">
        <f>J69</f>
        <v>34.7</v>
      </c>
      <c r="K70" s="79"/>
    </row>
    <row r="71" ht="19.5" customHeight="1">
      <c r="A71" s="74" t="s">
        <v>1</v>
      </c>
      <c r="B71" s="74" t="s">
        <v>91</v>
      </c>
      <c r="C71" s="74" t="s">
        <v>92</v>
      </c>
      <c r="D71" s="76" t="s">
        <v>93</v>
      </c>
      <c r="E71" s="50" t="s">
        <v>97</v>
      </c>
      <c r="F71" s="53" t="s">
        <v>121</v>
      </c>
      <c r="G71" s="53" t="s">
        <v>99</v>
      </c>
      <c r="H71" s="75" t="s">
        <v>100</v>
      </c>
      <c r="I71" s="75" t="s">
        <v>101</v>
      </c>
      <c r="J71" s="285" t="s">
        <v>95</v>
      </c>
      <c r="K71" s="74" t="s">
        <v>96</v>
      </c>
    </row>
    <row r="72" ht="19.5" customHeight="1">
      <c r="A72" s="367">
        <v>37325.0</v>
      </c>
      <c r="B72" s="49" t="s">
        <v>1257</v>
      </c>
      <c r="C72" s="38" t="s">
        <v>103</v>
      </c>
      <c r="D72" s="39">
        <v>1.0</v>
      </c>
      <c r="E72" s="49">
        <v>3.8</v>
      </c>
      <c r="F72" s="39">
        <v>4.5</v>
      </c>
      <c r="G72" s="40"/>
      <c r="H72" s="40">
        <f t="shared" ref="H72:H76" si="19">D72*E72*F72</f>
        <v>17.1</v>
      </c>
      <c r="I72" s="42">
        <f>H138</f>
        <v>0.325</v>
      </c>
      <c r="J72" s="143">
        <f t="shared" ref="J72:J76" si="20">H72-I72</f>
        <v>16.775</v>
      </c>
      <c r="K72" s="46"/>
    </row>
    <row r="73" ht="19.5" customHeight="1">
      <c r="A73" s="367">
        <v>37325.0</v>
      </c>
      <c r="B73" s="49" t="s">
        <v>1257</v>
      </c>
      <c r="C73" s="38" t="s">
        <v>103</v>
      </c>
      <c r="D73" s="39">
        <v>2.0</v>
      </c>
      <c r="E73" s="49">
        <v>3.8</v>
      </c>
      <c r="F73" s="39">
        <v>5.2</v>
      </c>
      <c r="G73" s="40"/>
      <c r="H73" s="40">
        <f t="shared" si="19"/>
        <v>39.52</v>
      </c>
      <c r="I73" s="42">
        <f>H134+H136</f>
        <v>5.948</v>
      </c>
      <c r="J73" s="143">
        <f t="shared" si="20"/>
        <v>33.572</v>
      </c>
      <c r="K73" s="46"/>
    </row>
    <row r="74" ht="19.5" customHeight="1">
      <c r="A74" s="367">
        <v>37325.0</v>
      </c>
      <c r="B74" s="49" t="s">
        <v>1257</v>
      </c>
      <c r="C74" s="38" t="s">
        <v>103</v>
      </c>
      <c r="D74" s="39">
        <v>1.0</v>
      </c>
      <c r="E74" s="49">
        <v>3.8</v>
      </c>
      <c r="F74" s="39">
        <v>2.2</v>
      </c>
      <c r="G74" s="40"/>
      <c r="H74" s="40">
        <f t="shared" si="19"/>
        <v>8.36</v>
      </c>
      <c r="I74" s="42"/>
      <c r="J74" s="143">
        <f t="shared" si="20"/>
        <v>8.36</v>
      </c>
      <c r="K74" s="46"/>
    </row>
    <row r="75" ht="19.5" customHeight="1">
      <c r="A75" s="367">
        <v>37325.0</v>
      </c>
      <c r="B75" s="49" t="s">
        <v>1257</v>
      </c>
      <c r="C75" s="38" t="s">
        <v>103</v>
      </c>
      <c r="D75" s="39">
        <v>1.0</v>
      </c>
      <c r="E75" s="49">
        <v>3.8</v>
      </c>
      <c r="F75" s="39">
        <f>1.11*2+3.93</f>
        <v>6.15</v>
      </c>
      <c r="G75" s="40"/>
      <c r="H75" s="40">
        <f t="shared" si="19"/>
        <v>23.37</v>
      </c>
      <c r="I75" s="42"/>
      <c r="J75" s="143">
        <f t="shared" si="20"/>
        <v>23.37</v>
      </c>
      <c r="K75" s="46"/>
    </row>
    <row r="76" ht="19.5" customHeight="1">
      <c r="A76" s="367">
        <v>37325.0</v>
      </c>
      <c r="B76" s="49" t="s">
        <v>1258</v>
      </c>
      <c r="C76" s="38" t="s">
        <v>103</v>
      </c>
      <c r="D76" s="39">
        <v>2.0</v>
      </c>
      <c r="E76" s="49">
        <v>3.2</v>
      </c>
      <c r="F76" s="39">
        <v>2.2</v>
      </c>
      <c r="G76" s="40"/>
      <c r="H76" s="40">
        <f t="shared" si="19"/>
        <v>14.08</v>
      </c>
      <c r="I76" s="42">
        <f>E134*G134</f>
        <v>1.764</v>
      </c>
      <c r="J76" s="143">
        <f t="shared" si="20"/>
        <v>12.316</v>
      </c>
      <c r="K76" s="46"/>
    </row>
    <row r="77" ht="19.5" customHeight="1">
      <c r="A77" s="367">
        <v>38056.0</v>
      </c>
      <c r="B77" s="49" t="s">
        <v>72</v>
      </c>
      <c r="C77" s="38"/>
      <c r="D77" s="39"/>
      <c r="E77" s="49"/>
      <c r="F77" s="39">
        <f>D72*F72+D73*F73+D74*F74+D75*F75+D76*F76</f>
        <v>27.65</v>
      </c>
      <c r="G77" s="40"/>
      <c r="H77" s="40"/>
      <c r="I77" s="42"/>
      <c r="J77" s="143">
        <f>F77</f>
        <v>27.65</v>
      </c>
      <c r="K77" s="46"/>
    </row>
    <row r="78" ht="19.5" customHeight="1">
      <c r="A78" s="367">
        <v>37690.0</v>
      </c>
      <c r="B78" s="49" t="s">
        <v>1259</v>
      </c>
      <c r="C78" s="38" t="s">
        <v>103</v>
      </c>
      <c r="D78" s="78">
        <v>2.0</v>
      </c>
      <c r="E78" s="49">
        <v>1.05</v>
      </c>
      <c r="F78" s="39">
        <v>0.9</v>
      </c>
      <c r="G78" s="40"/>
      <c r="H78" s="40">
        <f>D78*E78*F78</f>
        <v>1.89</v>
      </c>
      <c r="I78" s="42"/>
      <c r="J78" s="143">
        <f>H78-I78</f>
        <v>1.89</v>
      </c>
      <c r="K78" s="46"/>
    </row>
    <row r="79" ht="19.5" customHeight="1">
      <c r="A79" s="74" t="s">
        <v>1</v>
      </c>
      <c r="B79" s="74" t="s">
        <v>91</v>
      </c>
      <c r="C79" s="74" t="s">
        <v>92</v>
      </c>
      <c r="D79" s="76" t="s">
        <v>93</v>
      </c>
      <c r="E79" s="50" t="s">
        <v>97</v>
      </c>
      <c r="F79" s="53" t="s">
        <v>121</v>
      </c>
      <c r="G79" s="53" t="s">
        <v>99</v>
      </c>
      <c r="H79" s="75" t="s">
        <v>100</v>
      </c>
      <c r="I79" s="252" t="s">
        <v>1232</v>
      </c>
      <c r="J79" s="76" t="s">
        <v>95</v>
      </c>
      <c r="K79" s="74" t="s">
        <v>96</v>
      </c>
    </row>
    <row r="80" ht="19.5" customHeight="1">
      <c r="A80" s="141">
        <v>39092.0</v>
      </c>
      <c r="B80" s="37" t="s">
        <v>337</v>
      </c>
      <c r="C80" s="46" t="s">
        <v>148</v>
      </c>
      <c r="D80" s="39">
        <v>7.0</v>
      </c>
      <c r="E80" s="49">
        <v>0.3</v>
      </c>
      <c r="F80" s="41">
        <v>0.8</v>
      </c>
      <c r="G80" s="41">
        <v>0.8</v>
      </c>
      <c r="H80" s="40">
        <f>G80*F80*E80*D80</f>
        <v>1.344</v>
      </c>
      <c r="I80" s="42"/>
      <c r="J80" s="143">
        <f t="shared" ref="J80:J81" si="21">H80</f>
        <v>1.344</v>
      </c>
      <c r="K80" s="46"/>
    </row>
    <row r="81" ht="19.5" customHeight="1">
      <c r="A81" s="141">
        <v>37996.0</v>
      </c>
      <c r="B81" s="49" t="s">
        <v>716</v>
      </c>
      <c r="C81" s="38" t="s">
        <v>103</v>
      </c>
      <c r="D81" s="39">
        <v>7.0</v>
      </c>
      <c r="E81" s="49">
        <v>0.2</v>
      </c>
      <c r="F81" s="41">
        <v>0.8</v>
      </c>
      <c r="G81" s="41">
        <v>0.8</v>
      </c>
      <c r="H81" s="214">
        <f>D81*((F81+G81)*2)*E81</f>
        <v>4.48</v>
      </c>
      <c r="I81" s="199"/>
      <c r="J81" s="143">
        <f t="shared" si="21"/>
        <v>4.48</v>
      </c>
      <c r="K81" s="201"/>
      <c r="L81" s="185"/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  <c r="X81" s="185"/>
      <c r="Y81" s="185"/>
      <c r="Z81" s="185"/>
    </row>
    <row r="82" ht="19.5" customHeight="1">
      <c r="A82" s="141">
        <v>37631.0</v>
      </c>
      <c r="B82" s="49" t="s">
        <v>1260</v>
      </c>
      <c r="C82" s="38" t="s">
        <v>158</v>
      </c>
      <c r="D82" s="39">
        <f>7*12</f>
        <v>84</v>
      </c>
      <c r="E82" s="37"/>
      <c r="F82" s="40">
        <f>0.92</f>
        <v>0.92</v>
      </c>
      <c r="G82" s="40"/>
      <c r="H82" s="214"/>
      <c r="I82" s="410">
        <v>0.395</v>
      </c>
      <c r="J82" s="143">
        <f>D82*F82*I82</f>
        <v>30.5256</v>
      </c>
      <c r="K82" s="201"/>
      <c r="L82" s="185"/>
      <c r="M82" s="185"/>
      <c r="N82" s="185"/>
      <c r="O82" s="185"/>
      <c r="P82" s="185"/>
      <c r="Q82" s="185"/>
      <c r="R82" s="185"/>
      <c r="S82" s="185"/>
      <c r="T82" s="185"/>
      <c r="U82" s="185"/>
      <c r="V82" s="185"/>
      <c r="W82" s="185"/>
      <c r="X82" s="185"/>
      <c r="Y82" s="185"/>
      <c r="Z82" s="185"/>
    </row>
    <row r="83" ht="19.5" customHeight="1">
      <c r="A83" s="74" t="s">
        <v>1</v>
      </c>
      <c r="B83" s="74" t="s">
        <v>91</v>
      </c>
      <c r="C83" s="74" t="s">
        <v>92</v>
      </c>
      <c r="D83" s="76" t="s">
        <v>93</v>
      </c>
      <c r="E83" s="50" t="s">
        <v>97</v>
      </c>
      <c r="F83" s="53" t="s">
        <v>121</v>
      </c>
      <c r="G83" s="53" t="s">
        <v>99</v>
      </c>
      <c r="H83" s="75" t="s">
        <v>100</v>
      </c>
      <c r="I83" s="75" t="s">
        <v>101</v>
      </c>
      <c r="J83" s="285" t="s">
        <v>95</v>
      </c>
      <c r="K83" s="74" t="s">
        <v>96</v>
      </c>
    </row>
    <row r="84" ht="19.5" customHeight="1">
      <c r="A84" s="141">
        <v>38148.0</v>
      </c>
      <c r="B84" s="49" t="s">
        <v>1261</v>
      </c>
      <c r="C84" s="46" t="s">
        <v>108</v>
      </c>
      <c r="D84" s="39">
        <v>1.0</v>
      </c>
      <c r="E84" s="37"/>
      <c r="F84" s="41">
        <v>5.9</v>
      </c>
      <c r="G84" s="41">
        <v>4.5</v>
      </c>
      <c r="H84" s="40">
        <f t="shared" ref="H84:H87" si="22">D84*F84</f>
        <v>5.9</v>
      </c>
      <c r="I84" s="42"/>
      <c r="J84" s="143"/>
      <c r="K84" s="46"/>
    </row>
    <row r="85" ht="19.5" customHeight="1">
      <c r="A85" s="141">
        <v>38148.0</v>
      </c>
      <c r="B85" s="49" t="s">
        <v>1261</v>
      </c>
      <c r="C85" s="46" t="s">
        <v>108</v>
      </c>
      <c r="D85" s="39">
        <v>1.0</v>
      </c>
      <c r="E85" s="37"/>
      <c r="F85" s="41">
        <v>6.0</v>
      </c>
      <c r="G85" s="41"/>
      <c r="H85" s="40">
        <f t="shared" si="22"/>
        <v>6</v>
      </c>
      <c r="I85" s="42"/>
      <c r="J85" s="147"/>
      <c r="K85" s="46"/>
    </row>
    <row r="86" ht="19.5" customHeight="1">
      <c r="A86" s="141">
        <v>38148.0</v>
      </c>
      <c r="B86" s="49" t="s">
        <v>1261</v>
      </c>
      <c r="C86" s="46" t="s">
        <v>108</v>
      </c>
      <c r="D86" s="39">
        <v>1.0</v>
      </c>
      <c r="E86" s="37"/>
      <c r="F86" s="41">
        <v>13.0</v>
      </c>
      <c r="G86" s="41"/>
      <c r="H86" s="40">
        <f t="shared" si="22"/>
        <v>13</v>
      </c>
      <c r="I86" s="42"/>
      <c r="J86" s="32"/>
      <c r="K86" s="46"/>
    </row>
    <row r="87" ht="19.5" customHeight="1">
      <c r="A87" s="141">
        <v>38148.0</v>
      </c>
      <c r="B87" s="49" t="s">
        <v>1262</v>
      </c>
      <c r="C87" s="46" t="s">
        <v>108</v>
      </c>
      <c r="D87" s="39">
        <v>2.0</v>
      </c>
      <c r="E87" s="37"/>
      <c r="F87" s="41">
        <v>5.9</v>
      </c>
      <c r="G87" s="40"/>
      <c r="H87" s="40">
        <f t="shared" si="22"/>
        <v>11.8</v>
      </c>
      <c r="I87" s="42"/>
      <c r="J87" s="411">
        <f>SUM(H84:H87)</f>
        <v>36.7</v>
      </c>
      <c r="K87" s="46"/>
    </row>
    <row r="88" ht="19.5" customHeight="1">
      <c r="A88" s="74" t="s">
        <v>1</v>
      </c>
      <c r="B88" s="74" t="s">
        <v>91</v>
      </c>
      <c r="C88" s="74" t="s">
        <v>92</v>
      </c>
      <c r="D88" s="76" t="s">
        <v>93</v>
      </c>
      <c r="E88" s="50" t="s">
        <v>97</v>
      </c>
      <c r="F88" s="53" t="s">
        <v>121</v>
      </c>
      <c r="G88" s="53" t="s">
        <v>99</v>
      </c>
      <c r="H88" s="75" t="s">
        <v>100</v>
      </c>
      <c r="I88" s="75" t="s">
        <v>101</v>
      </c>
      <c r="J88" s="76">
        <f>SUM(J84:J87)</f>
        <v>36.7</v>
      </c>
      <c r="K88" s="74" t="s">
        <v>96</v>
      </c>
    </row>
    <row r="89" ht="19.5" customHeight="1">
      <c r="A89" s="141">
        <v>37052.0</v>
      </c>
      <c r="B89" s="49" t="s">
        <v>1263</v>
      </c>
      <c r="C89" s="38" t="s">
        <v>158</v>
      </c>
      <c r="D89" s="39">
        <f>'39 ESTRUTURAL ADM, LAB E BIBLIO'!Y15</f>
        <v>259.118</v>
      </c>
      <c r="E89" s="37"/>
      <c r="F89" s="41"/>
      <c r="G89" s="41"/>
      <c r="H89" s="40"/>
      <c r="I89" s="42"/>
      <c r="J89" s="43">
        <f>H89-I89</f>
        <v>0</v>
      </c>
      <c r="K89" s="46"/>
    </row>
    <row r="90" ht="19.5" customHeight="1">
      <c r="A90" s="154" t="s">
        <v>1264</v>
      </c>
      <c r="B90" s="114" t="s">
        <v>791</v>
      </c>
      <c r="C90" s="46" t="s">
        <v>103</v>
      </c>
      <c r="D90" s="115">
        <f>'39 ESTRUTURAL ADM, LAB E BIBLIO'!AA15</f>
        <v>22.72964912</v>
      </c>
      <c r="E90" s="37"/>
      <c r="F90" s="41"/>
      <c r="G90" s="41"/>
      <c r="H90" s="59"/>
      <c r="I90" s="82"/>
      <c r="J90" s="143"/>
      <c r="K90" s="79"/>
    </row>
    <row r="91" ht="19.5" customHeight="1">
      <c r="A91" s="74" t="s">
        <v>1</v>
      </c>
      <c r="B91" s="74" t="s">
        <v>91</v>
      </c>
      <c r="C91" s="74" t="s">
        <v>92</v>
      </c>
      <c r="D91" s="76" t="s">
        <v>93</v>
      </c>
      <c r="E91" s="50" t="s">
        <v>97</v>
      </c>
      <c r="F91" s="53" t="s">
        <v>121</v>
      </c>
      <c r="G91" s="53" t="s">
        <v>99</v>
      </c>
      <c r="H91" s="75" t="s">
        <v>100</v>
      </c>
      <c r="I91" s="75" t="s">
        <v>101</v>
      </c>
      <c r="J91" s="76" t="s">
        <v>95</v>
      </c>
      <c r="K91" s="74" t="s">
        <v>96</v>
      </c>
    </row>
    <row r="92" ht="19.5" customHeight="1">
      <c r="A92" s="141">
        <v>37417.0</v>
      </c>
      <c r="B92" s="37" t="s">
        <v>1265</v>
      </c>
      <c r="C92" s="46" t="s">
        <v>103</v>
      </c>
      <c r="D92" s="39">
        <v>1.0</v>
      </c>
      <c r="E92" s="37"/>
      <c r="F92" s="41">
        <v>4.2</v>
      </c>
      <c r="G92" s="41">
        <v>5.6</v>
      </c>
      <c r="H92" s="40">
        <f>D92*F92*G92</f>
        <v>23.52</v>
      </c>
      <c r="I92" s="42"/>
      <c r="J92" s="43">
        <f>H92-I92</f>
        <v>23.52</v>
      </c>
      <c r="K92" s="46"/>
    </row>
    <row r="93" ht="19.5" customHeight="1">
      <c r="A93" s="144">
        <v>38519.0</v>
      </c>
      <c r="B93" s="114" t="s">
        <v>583</v>
      </c>
      <c r="C93" s="83" t="s">
        <v>108</v>
      </c>
      <c r="D93" s="115">
        <v>1.0</v>
      </c>
      <c r="E93" s="37"/>
      <c r="F93" s="41">
        <f>F92</f>
        <v>4.2</v>
      </c>
      <c r="G93" s="41"/>
      <c r="H93" s="59"/>
      <c r="I93" s="82"/>
      <c r="J93" s="143">
        <f>D93*F93</f>
        <v>4.2</v>
      </c>
      <c r="K93" s="79"/>
    </row>
    <row r="94" ht="19.5" customHeight="1">
      <c r="A94" s="74" t="s">
        <v>1</v>
      </c>
      <c r="B94" s="74" t="s">
        <v>91</v>
      </c>
      <c r="C94" s="74" t="s">
        <v>92</v>
      </c>
      <c r="D94" s="76" t="s">
        <v>93</v>
      </c>
      <c r="E94" s="50" t="s">
        <v>97</v>
      </c>
      <c r="F94" s="53" t="s">
        <v>121</v>
      </c>
      <c r="G94" s="53" t="s">
        <v>99</v>
      </c>
      <c r="H94" s="75" t="s">
        <v>100</v>
      </c>
      <c r="I94" s="75" t="s">
        <v>101</v>
      </c>
      <c r="J94" s="76" t="s">
        <v>95</v>
      </c>
      <c r="K94" s="74" t="s">
        <v>96</v>
      </c>
    </row>
    <row r="95" ht="19.5" customHeight="1">
      <c r="A95" s="141">
        <v>37782.0</v>
      </c>
      <c r="B95" s="49" t="s">
        <v>584</v>
      </c>
      <c r="C95" s="38" t="s">
        <v>108</v>
      </c>
      <c r="D95" s="39">
        <v>2.0</v>
      </c>
      <c r="E95" s="37"/>
      <c r="F95" s="41">
        <v>4.3</v>
      </c>
      <c r="G95" s="40"/>
      <c r="H95" s="40">
        <f>D95*F95</f>
        <v>8.6</v>
      </c>
      <c r="I95" s="42"/>
      <c r="J95" s="43">
        <f>H95-I95</f>
        <v>8.6</v>
      </c>
      <c r="K95" s="46"/>
    </row>
    <row r="96" ht="19.5" customHeight="1">
      <c r="A96" s="74" t="s">
        <v>1</v>
      </c>
      <c r="B96" s="74" t="s">
        <v>91</v>
      </c>
      <c r="C96" s="74" t="s">
        <v>92</v>
      </c>
      <c r="D96" s="76" t="s">
        <v>93</v>
      </c>
      <c r="E96" s="50" t="s">
        <v>97</v>
      </c>
      <c r="F96" s="53" t="s">
        <v>121</v>
      </c>
      <c r="G96" s="53" t="s">
        <v>99</v>
      </c>
      <c r="H96" s="75" t="s">
        <v>100</v>
      </c>
      <c r="I96" s="75" t="s">
        <v>101</v>
      </c>
      <c r="J96" s="76" t="s">
        <v>95</v>
      </c>
      <c r="K96" s="74" t="s">
        <v>96</v>
      </c>
    </row>
    <row r="97" ht="19.5" customHeight="1">
      <c r="A97" s="154" t="s">
        <v>1266</v>
      </c>
      <c r="B97" s="49" t="s">
        <v>1267</v>
      </c>
      <c r="C97" s="46" t="s">
        <v>103</v>
      </c>
      <c r="D97" s="39">
        <v>1.0</v>
      </c>
      <c r="E97" s="37"/>
      <c r="F97" s="41">
        <f>J98</f>
        <v>9.678</v>
      </c>
      <c r="G97" s="41">
        <v>1.0</v>
      </c>
      <c r="H97" s="40">
        <f t="shared" ref="H97:H98" si="23">D97*F97*G97</f>
        <v>9.678</v>
      </c>
      <c r="I97" s="42"/>
      <c r="J97" s="43">
        <f>H97-I97</f>
        <v>9.678</v>
      </c>
      <c r="K97" s="46"/>
    </row>
    <row r="98" ht="19.5" customHeight="1">
      <c r="A98" s="154" t="s">
        <v>1268</v>
      </c>
      <c r="B98" s="49" t="s">
        <v>1269</v>
      </c>
      <c r="C98" s="46" t="s">
        <v>103</v>
      </c>
      <c r="D98" s="39">
        <v>1.0</v>
      </c>
      <c r="E98" s="49"/>
      <c r="F98" s="41">
        <v>6.63</v>
      </c>
      <c r="G98" s="41">
        <v>1.0</v>
      </c>
      <c r="H98" s="40">
        <f t="shared" si="23"/>
        <v>6.63</v>
      </c>
      <c r="I98" s="42"/>
      <c r="J98" s="143">
        <f>SUM(H98:H100)</f>
        <v>9.678</v>
      </c>
      <c r="K98" s="79"/>
    </row>
    <row r="99" ht="19.5" customHeight="1">
      <c r="A99" s="154" t="s">
        <v>1270</v>
      </c>
      <c r="B99" s="49" t="s">
        <v>1271</v>
      </c>
      <c r="C99" s="46" t="s">
        <v>103</v>
      </c>
      <c r="D99" s="39">
        <v>1.0</v>
      </c>
      <c r="E99" s="49">
        <v>0.2</v>
      </c>
      <c r="F99" s="41">
        <f>1.11*2+4.05</f>
        <v>6.27</v>
      </c>
      <c r="G99" s="40"/>
      <c r="H99" s="40">
        <f t="shared" ref="H99:H101" si="24">D99*E99*F99</f>
        <v>1.254</v>
      </c>
      <c r="I99" s="42"/>
      <c r="J99" s="147"/>
      <c r="K99" s="79"/>
    </row>
    <row r="100" ht="19.5" customHeight="1">
      <c r="A100" s="154" t="s">
        <v>1270</v>
      </c>
      <c r="B100" s="49" t="s">
        <v>1271</v>
      </c>
      <c r="C100" s="46" t="s">
        <v>103</v>
      </c>
      <c r="D100" s="39">
        <v>1.0</v>
      </c>
      <c r="E100" s="49">
        <v>0.2</v>
      </c>
      <c r="F100" s="41">
        <f>1.11*2+6.75</f>
        <v>8.97</v>
      </c>
      <c r="G100" s="40"/>
      <c r="H100" s="40">
        <f t="shared" si="24"/>
        <v>1.794</v>
      </c>
      <c r="I100" s="42"/>
      <c r="J100" s="32"/>
      <c r="K100" s="79"/>
    </row>
    <row r="101" ht="19.5" customHeight="1">
      <c r="A101" s="154" t="s">
        <v>1272</v>
      </c>
      <c r="B101" s="49" t="s">
        <v>1273</v>
      </c>
      <c r="C101" s="46" t="s">
        <v>103</v>
      </c>
      <c r="D101" s="39">
        <v>1.0</v>
      </c>
      <c r="E101" s="49">
        <v>2.1</v>
      </c>
      <c r="F101" s="41">
        <v>6.8</v>
      </c>
      <c r="G101" s="40"/>
      <c r="H101" s="40">
        <f t="shared" si="24"/>
        <v>14.28</v>
      </c>
      <c r="I101" s="42"/>
      <c r="J101" s="143">
        <f>SUM(H101:H102)</f>
        <v>16.92</v>
      </c>
      <c r="K101" s="79"/>
    </row>
    <row r="102" ht="19.5" customHeight="1">
      <c r="A102" s="154" t="s">
        <v>1272</v>
      </c>
      <c r="B102" s="49" t="s">
        <v>1273</v>
      </c>
      <c r="C102" s="46" t="s">
        <v>103</v>
      </c>
      <c r="D102" s="39">
        <v>1.0</v>
      </c>
      <c r="E102" s="37"/>
      <c r="F102" s="41">
        <v>2.2</v>
      </c>
      <c r="G102" s="41">
        <v>1.2</v>
      </c>
      <c r="H102" s="40">
        <f>D102*F102*G102</f>
        <v>2.64</v>
      </c>
      <c r="I102" s="42"/>
      <c r="J102" s="32"/>
      <c r="K102" s="79"/>
    </row>
    <row r="103" ht="19.5" customHeight="1">
      <c r="A103" s="154" t="s">
        <v>1274</v>
      </c>
      <c r="B103" s="49" t="s">
        <v>1018</v>
      </c>
      <c r="C103" s="46" t="s">
        <v>103</v>
      </c>
      <c r="D103" s="78">
        <v>2.0</v>
      </c>
      <c r="E103" s="49">
        <v>0.4</v>
      </c>
      <c r="F103" s="40">
        <v>5.5</v>
      </c>
      <c r="G103" s="41">
        <v>0.2</v>
      </c>
      <c r="H103" s="40">
        <f t="shared" ref="H103:H105" si="25">D103*(E103*2+G103)*F103</f>
        <v>11</v>
      </c>
      <c r="I103" s="42"/>
      <c r="J103" s="43">
        <f>SUM(H103:H106)</f>
        <v>35.4</v>
      </c>
      <c r="K103" s="79"/>
    </row>
    <row r="104" ht="19.5" customHeight="1">
      <c r="A104" s="154" t="s">
        <v>1274</v>
      </c>
      <c r="B104" s="49" t="s">
        <v>1018</v>
      </c>
      <c r="C104" s="46" t="s">
        <v>103</v>
      </c>
      <c r="D104" s="39">
        <v>4.0</v>
      </c>
      <c r="E104" s="49">
        <v>0.4</v>
      </c>
      <c r="F104" s="40">
        <v>2.5</v>
      </c>
      <c r="G104" s="41">
        <v>0.2</v>
      </c>
      <c r="H104" s="40">
        <f t="shared" si="25"/>
        <v>10</v>
      </c>
      <c r="I104" s="199"/>
      <c r="J104" s="200"/>
      <c r="K104" s="201"/>
      <c r="L104" s="185"/>
      <c r="M104" s="185"/>
      <c r="N104" s="185"/>
      <c r="O104" s="185"/>
      <c r="P104" s="185"/>
      <c r="Q104" s="185"/>
      <c r="R104" s="185"/>
      <c r="S104" s="185"/>
      <c r="T104" s="185"/>
      <c r="U104" s="185"/>
      <c r="V104" s="185"/>
      <c r="W104" s="185"/>
      <c r="X104" s="185"/>
      <c r="Y104" s="185"/>
      <c r="Z104" s="185"/>
    </row>
    <row r="105" ht="19.5" customHeight="1">
      <c r="A105" s="154" t="s">
        <v>1274</v>
      </c>
      <c r="B105" s="49" t="s">
        <v>1018</v>
      </c>
      <c r="C105" s="46" t="s">
        <v>103</v>
      </c>
      <c r="D105" s="39">
        <v>1.0</v>
      </c>
      <c r="E105" s="49">
        <v>0.4</v>
      </c>
      <c r="F105" s="41">
        <v>6.0</v>
      </c>
      <c r="G105" s="41">
        <v>0.2</v>
      </c>
      <c r="H105" s="40">
        <f t="shared" si="25"/>
        <v>6</v>
      </c>
      <c r="I105" s="199"/>
      <c r="J105" s="200"/>
      <c r="K105" s="201"/>
      <c r="L105" s="185"/>
      <c r="M105" s="185"/>
      <c r="N105" s="185"/>
      <c r="O105" s="185"/>
      <c r="P105" s="185"/>
      <c r="Q105" s="185"/>
      <c r="R105" s="185"/>
      <c r="S105" s="185"/>
      <c r="T105" s="185"/>
      <c r="U105" s="185"/>
      <c r="V105" s="185"/>
      <c r="W105" s="185"/>
      <c r="X105" s="185"/>
      <c r="Y105" s="185"/>
      <c r="Z105" s="185"/>
    </row>
    <row r="106" ht="19.5" customHeight="1">
      <c r="A106" s="154" t="s">
        <v>1274</v>
      </c>
      <c r="B106" s="49" t="s">
        <v>1275</v>
      </c>
      <c r="C106" s="46" t="s">
        <v>103</v>
      </c>
      <c r="D106" s="249">
        <v>7.0</v>
      </c>
      <c r="E106" s="49">
        <v>1.5</v>
      </c>
      <c r="F106" s="207">
        <v>0.2</v>
      </c>
      <c r="G106" s="207">
        <v>0.2</v>
      </c>
      <c r="H106" s="206">
        <f>D106*((F106+G106)*2)*E106</f>
        <v>8.4</v>
      </c>
      <c r="I106" s="199"/>
      <c r="J106" s="200"/>
      <c r="K106" s="201"/>
      <c r="L106" s="185"/>
      <c r="M106" s="185"/>
      <c r="N106" s="185"/>
      <c r="O106" s="185"/>
      <c r="P106" s="185"/>
      <c r="Q106" s="185"/>
      <c r="R106" s="185"/>
      <c r="S106" s="185"/>
      <c r="T106" s="185"/>
      <c r="U106" s="185"/>
      <c r="V106" s="185"/>
      <c r="W106" s="185"/>
      <c r="X106" s="185"/>
      <c r="Y106" s="185"/>
      <c r="Z106" s="185"/>
    </row>
    <row r="107" ht="19.5" customHeight="1">
      <c r="A107" s="74" t="s">
        <v>1</v>
      </c>
      <c r="B107" s="74" t="s">
        <v>91</v>
      </c>
      <c r="C107" s="74" t="s">
        <v>92</v>
      </c>
      <c r="D107" s="76" t="s">
        <v>93</v>
      </c>
      <c r="E107" s="50"/>
      <c r="F107" s="53"/>
      <c r="G107" s="53"/>
      <c r="H107" s="75" t="s">
        <v>100</v>
      </c>
      <c r="I107" s="75" t="s">
        <v>101</v>
      </c>
      <c r="J107" s="76" t="s">
        <v>95</v>
      </c>
      <c r="K107" s="74" t="s">
        <v>96</v>
      </c>
    </row>
    <row r="108" ht="19.5" customHeight="1">
      <c r="A108" s="141">
        <v>37113.0</v>
      </c>
      <c r="B108" s="37" t="s">
        <v>1276</v>
      </c>
      <c r="C108" s="46" t="s">
        <v>103</v>
      </c>
      <c r="D108" s="39">
        <v>1.0</v>
      </c>
      <c r="E108" s="37"/>
      <c r="F108" s="40"/>
      <c r="G108" s="40"/>
      <c r="H108" s="40">
        <f>J46</f>
        <v>10.78</v>
      </c>
      <c r="I108" s="42"/>
      <c r="J108" s="43">
        <f>H108-I108</f>
        <v>10.78</v>
      </c>
      <c r="K108" s="46"/>
    </row>
    <row r="109" ht="19.5" customHeight="1">
      <c r="A109" s="74" t="s">
        <v>1</v>
      </c>
      <c r="B109" s="74" t="s">
        <v>91</v>
      </c>
      <c r="C109" s="74" t="s">
        <v>92</v>
      </c>
      <c r="D109" s="76" t="s">
        <v>93</v>
      </c>
      <c r="E109" s="50" t="s">
        <v>97</v>
      </c>
      <c r="F109" s="53" t="s">
        <v>121</v>
      </c>
      <c r="G109" s="53" t="s">
        <v>99</v>
      </c>
      <c r="H109" s="75" t="s">
        <v>100</v>
      </c>
      <c r="I109" s="75" t="s">
        <v>101</v>
      </c>
      <c r="J109" s="76" t="s">
        <v>95</v>
      </c>
      <c r="K109" s="74" t="s">
        <v>96</v>
      </c>
    </row>
    <row r="110" ht="19.5" customHeight="1">
      <c r="A110" s="367">
        <v>37386.0</v>
      </c>
      <c r="B110" s="49" t="s">
        <v>1277</v>
      </c>
      <c r="C110" s="46" t="s">
        <v>103</v>
      </c>
      <c r="D110" s="39">
        <v>1.0</v>
      </c>
      <c r="E110" s="49">
        <v>3.05</v>
      </c>
      <c r="F110" s="39">
        <v>6.8</v>
      </c>
      <c r="G110" s="40"/>
      <c r="H110" s="40">
        <f t="shared" ref="H110:H112" si="26">D110*E110*F110</f>
        <v>20.74</v>
      </c>
      <c r="I110" s="42">
        <f>E134*G134</f>
        <v>1.764</v>
      </c>
      <c r="J110" s="142">
        <f t="shared" ref="J110:J112" si="27">H110-I110</f>
        <v>18.976</v>
      </c>
      <c r="K110" s="46"/>
    </row>
    <row r="111" ht="19.5" customHeight="1">
      <c r="A111" s="367">
        <v>37386.0</v>
      </c>
      <c r="B111" s="49" t="s">
        <v>1278</v>
      </c>
      <c r="C111" s="46" t="s">
        <v>103</v>
      </c>
      <c r="D111" s="39">
        <v>1.0</v>
      </c>
      <c r="E111" s="49">
        <v>3.05</v>
      </c>
      <c r="F111" s="39">
        <v>7.8</v>
      </c>
      <c r="G111" s="40"/>
      <c r="H111" s="40">
        <f t="shared" si="26"/>
        <v>23.79</v>
      </c>
      <c r="I111" s="42">
        <f>2*E134*G134+H138</f>
        <v>3.853</v>
      </c>
      <c r="J111" s="142">
        <f t="shared" si="27"/>
        <v>19.937</v>
      </c>
      <c r="K111" s="46"/>
    </row>
    <row r="112" ht="19.5" customHeight="1">
      <c r="A112" s="367">
        <v>37386.0</v>
      </c>
      <c r="B112" s="49" t="s">
        <v>812</v>
      </c>
      <c r="C112" s="46" t="s">
        <v>103</v>
      </c>
      <c r="D112" s="39">
        <v>1.0</v>
      </c>
      <c r="E112" s="49">
        <v>3.05</v>
      </c>
      <c r="F112" s="39">
        <v>8.4</v>
      </c>
      <c r="G112" s="40"/>
      <c r="H112" s="40">
        <f t="shared" si="26"/>
        <v>25.62</v>
      </c>
      <c r="I112" s="42">
        <f>E134*G134+H78</f>
        <v>3.654</v>
      </c>
      <c r="J112" s="142">
        <f t="shared" si="27"/>
        <v>21.966</v>
      </c>
      <c r="K112" s="46"/>
    </row>
    <row r="113" ht="19.5" customHeight="1">
      <c r="A113" s="367"/>
      <c r="B113" s="49"/>
      <c r="C113" s="46"/>
      <c r="D113" s="39"/>
      <c r="E113" s="49"/>
      <c r="F113" s="39"/>
      <c r="G113" s="40"/>
      <c r="H113" s="40"/>
      <c r="I113" s="42"/>
      <c r="J113" s="43">
        <f>SUM(J110:J112)</f>
        <v>60.879</v>
      </c>
      <c r="K113" s="46"/>
    </row>
    <row r="114" ht="19.5" customHeight="1">
      <c r="A114" s="367">
        <v>37021.0</v>
      </c>
      <c r="B114" s="49" t="s">
        <v>1279</v>
      </c>
      <c r="C114" s="46" t="s">
        <v>103</v>
      </c>
      <c r="D114" s="39">
        <v>1.0</v>
      </c>
      <c r="E114" s="49">
        <v>3.8</v>
      </c>
      <c r="F114" s="39">
        <v>20.0</v>
      </c>
      <c r="G114" s="40"/>
      <c r="H114" s="40">
        <f t="shared" ref="H114:H115" si="28">D114*E114*F114</f>
        <v>76</v>
      </c>
      <c r="I114" s="42">
        <f>2*E134*G134+H78+H136+H138</f>
        <v>8.163</v>
      </c>
      <c r="J114" s="142">
        <f t="shared" ref="J114:J115" si="29">H114-I114</f>
        <v>67.837</v>
      </c>
      <c r="K114" s="46"/>
    </row>
    <row r="115" ht="19.5" customHeight="1">
      <c r="A115" s="367">
        <v>37021.0</v>
      </c>
      <c r="B115" s="49" t="s">
        <v>1279</v>
      </c>
      <c r="C115" s="46" t="s">
        <v>103</v>
      </c>
      <c r="D115" s="78">
        <v>2.0</v>
      </c>
      <c r="E115" s="49">
        <v>3.8</v>
      </c>
      <c r="F115" s="78">
        <f>1.11*2+3.93</f>
        <v>6.15</v>
      </c>
      <c r="G115" s="40"/>
      <c r="H115" s="40">
        <f t="shared" si="28"/>
        <v>46.74</v>
      </c>
      <c r="I115" s="42"/>
      <c r="J115" s="142">
        <f t="shared" si="29"/>
        <v>46.74</v>
      </c>
      <c r="K115" s="46"/>
    </row>
    <row r="116" ht="19.5" customHeight="1">
      <c r="A116" s="373"/>
      <c r="B116" s="114"/>
      <c r="C116" s="79"/>
      <c r="D116" s="122"/>
      <c r="E116" s="49"/>
      <c r="F116" s="78"/>
      <c r="G116" s="40"/>
      <c r="H116" s="59"/>
      <c r="I116" s="82"/>
      <c r="J116" s="143">
        <f>SUM(J114:J115)</f>
        <v>114.577</v>
      </c>
      <c r="K116" s="79"/>
    </row>
    <row r="117" ht="19.5" customHeight="1">
      <c r="A117" s="395" t="s">
        <v>1</v>
      </c>
      <c r="B117" s="74" t="s">
        <v>91</v>
      </c>
      <c r="C117" s="74" t="s">
        <v>92</v>
      </c>
      <c r="D117" s="76" t="s">
        <v>93</v>
      </c>
      <c r="E117" s="50" t="s">
        <v>97</v>
      </c>
      <c r="F117" s="53" t="s">
        <v>121</v>
      </c>
      <c r="G117" s="53" t="s">
        <v>99</v>
      </c>
      <c r="H117" s="75" t="s">
        <v>100</v>
      </c>
      <c r="I117" s="75" t="s">
        <v>101</v>
      </c>
      <c r="J117" s="76" t="s">
        <v>95</v>
      </c>
      <c r="K117" s="74" t="s">
        <v>96</v>
      </c>
    </row>
    <row r="118" ht="19.5" customHeight="1">
      <c r="A118" s="367">
        <v>37756.0</v>
      </c>
      <c r="B118" s="49" t="s">
        <v>1280</v>
      </c>
      <c r="C118" s="46" t="s">
        <v>103</v>
      </c>
      <c r="D118" s="39">
        <v>1.0</v>
      </c>
      <c r="E118" s="49">
        <v>3.05</v>
      </c>
      <c r="F118" s="39">
        <v>6.8</v>
      </c>
      <c r="G118" s="40"/>
      <c r="H118" s="40">
        <f t="shared" ref="H118:H120" si="30">D118*E118*F118</f>
        <v>20.74</v>
      </c>
      <c r="I118" s="42">
        <f t="shared" ref="I118:I120" si="31">I110</f>
        <v>1.764</v>
      </c>
      <c r="J118" s="142">
        <f t="shared" ref="J118:J120" si="32">H118-I118</f>
        <v>18.976</v>
      </c>
      <c r="K118" s="46"/>
    </row>
    <row r="119" ht="19.5" customHeight="1">
      <c r="A119" s="367">
        <v>37756.0</v>
      </c>
      <c r="B119" s="49" t="s">
        <v>1281</v>
      </c>
      <c r="C119" s="46" t="s">
        <v>103</v>
      </c>
      <c r="D119" s="39">
        <v>1.0</v>
      </c>
      <c r="E119" s="49">
        <v>3.05</v>
      </c>
      <c r="F119" s="39">
        <v>7.8</v>
      </c>
      <c r="G119" s="40"/>
      <c r="H119" s="40">
        <f t="shared" si="30"/>
        <v>23.79</v>
      </c>
      <c r="I119" s="42">
        <f t="shared" si="31"/>
        <v>3.853</v>
      </c>
      <c r="J119" s="142">
        <f t="shared" si="32"/>
        <v>19.937</v>
      </c>
      <c r="K119" s="46"/>
    </row>
    <row r="120" ht="19.5" customHeight="1">
      <c r="A120" s="367">
        <v>37756.0</v>
      </c>
      <c r="B120" s="49" t="s">
        <v>823</v>
      </c>
      <c r="C120" s="46" t="s">
        <v>103</v>
      </c>
      <c r="D120" s="39">
        <v>1.0</v>
      </c>
      <c r="E120" s="49">
        <v>3.05</v>
      </c>
      <c r="F120" s="39">
        <v>8.4</v>
      </c>
      <c r="G120" s="40"/>
      <c r="H120" s="40">
        <f t="shared" si="30"/>
        <v>25.62</v>
      </c>
      <c r="I120" s="42">
        <f t="shared" si="31"/>
        <v>3.654</v>
      </c>
      <c r="J120" s="142">
        <f t="shared" si="32"/>
        <v>21.966</v>
      </c>
      <c r="K120" s="46"/>
    </row>
    <row r="121" ht="19.5" customHeight="1">
      <c r="A121" s="291"/>
      <c r="B121" s="49"/>
      <c r="C121" s="46"/>
      <c r="D121" s="39"/>
      <c r="E121" s="49"/>
      <c r="F121" s="39"/>
      <c r="G121" s="40"/>
      <c r="H121" s="40"/>
      <c r="I121" s="42"/>
      <c r="J121" s="43">
        <f>SUM(J118:J120)</f>
        <v>60.879</v>
      </c>
      <c r="K121" s="46"/>
    </row>
    <row r="122" ht="19.5" customHeight="1">
      <c r="A122" s="291" t="s">
        <v>1282</v>
      </c>
      <c r="B122" s="49" t="s">
        <v>1283</v>
      </c>
      <c r="C122" s="46" t="s">
        <v>103</v>
      </c>
      <c r="D122" s="39">
        <v>1.0</v>
      </c>
      <c r="E122" s="49">
        <v>3.8</v>
      </c>
      <c r="F122" s="39">
        <v>20.0</v>
      </c>
      <c r="G122" s="40"/>
      <c r="H122" s="40">
        <f t="shared" ref="H122:H123" si="33">D122*E122*F122</f>
        <v>76</v>
      </c>
      <c r="I122" s="42">
        <f>I114</f>
        <v>8.163</v>
      </c>
      <c r="J122" s="142">
        <f t="shared" ref="J122:J123" si="34">H122-I122</f>
        <v>67.837</v>
      </c>
      <c r="K122" s="46"/>
    </row>
    <row r="123" ht="19.5" customHeight="1">
      <c r="A123" s="367">
        <v>38122.0</v>
      </c>
      <c r="B123" s="49" t="s">
        <v>1283</v>
      </c>
      <c r="C123" s="46" t="s">
        <v>103</v>
      </c>
      <c r="D123" s="78">
        <v>2.0</v>
      </c>
      <c r="E123" s="49">
        <v>3.8</v>
      </c>
      <c r="F123" s="78">
        <f>1.11*2+3.93</f>
        <v>6.15</v>
      </c>
      <c r="G123" s="40"/>
      <c r="H123" s="40">
        <f t="shared" si="33"/>
        <v>46.74</v>
      </c>
      <c r="I123" s="42"/>
      <c r="J123" s="142">
        <f t="shared" si="34"/>
        <v>46.74</v>
      </c>
      <c r="K123" s="46"/>
    </row>
    <row r="124" ht="19.5" customHeight="1">
      <c r="A124" s="373"/>
      <c r="B124" s="114"/>
      <c r="C124" s="46"/>
      <c r="D124" s="115"/>
      <c r="E124" s="49"/>
      <c r="F124" s="39"/>
      <c r="G124" s="40"/>
      <c r="H124" s="40"/>
      <c r="I124" s="286"/>
      <c r="J124" s="43">
        <f>SUM(J122:J123)</f>
        <v>114.577</v>
      </c>
      <c r="K124" s="79"/>
    </row>
    <row r="125" ht="19.5" customHeight="1">
      <c r="A125" s="373">
        <v>38482.0</v>
      </c>
      <c r="B125" s="114" t="s">
        <v>1284</v>
      </c>
      <c r="C125" s="46" t="s">
        <v>103</v>
      </c>
      <c r="D125" s="115">
        <v>1.0</v>
      </c>
      <c r="E125" s="49">
        <v>3.05</v>
      </c>
      <c r="F125" s="39">
        <v>6.8</v>
      </c>
      <c r="G125" s="40"/>
      <c r="H125" s="40">
        <f>D125*E125*F125</f>
        <v>20.74</v>
      </c>
      <c r="I125" s="286"/>
      <c r="J125" s="142">
        <f t="shared" ref="J125:J127" si="35">H125-I125</f>
        <v>20.74</v>
      </c>
      <c r="K125" s="79"/>
    </row>
    <row r="126" ht="19.5" customHeight="1">
      <c r="A126" s="373">
        <v>38482.0</v>
      </c>
      <c r="B126" s="114" t="s">
        <v>1285</v>
      </c>
      <c r="C126" s="46" t="s">
        <v>103</v>
      </c>
      <c r="D126" s="115">
        <v>1.0</v>
      </c>
      <c r="E126" s="49">
        <v>2.6</v>
      </c>
      <c r="F126" s="39">
        <v>7.8</v>
      </c>
      <c r="G126" s="40"/>
      <c r="H126" s="59">
        <v>23.79</v>
      </c>
      <c r="I126" s="412"/>
      <c r="J126" s="142">
        <f t="shared" si="35"/>
        <v>23.79</v>
      </c>
      <c r="K126" s="79"/>
    </row>
    <row r="127" ht="19.5" customHeight="1">
      <c r="A127" s="373">
        <v>38482.0</v>
      </c>
      <c r="B127" s="114" t="s">
        <v>1286</v>
      </c>
      <c r="C127" s="46" t="s">
        <v>103</v>
      </c>
      <c r="D127" s="115">
        <v>1.0</v>
      </c>
      <c r="E127" s="49">
        <v>2.6</v>
      </c>
      <c r="F127" s="39">
        <v>8.4</v>
      </c>
      <c r="G127" s="40"/>
      <c r="H127" s="59">
        <v>25.62</v>
      </c>
      <c r="I127" s="412"/>
      <c r="J127" s="142">
        <f t="shared" si="35"/>
        <v>25.62</v>
      </c>
      <c r="K127" s="79"/>
    </row>
    <row r="128" ht="19.5" customHeight="1">
      <c r="A128" s="373"/>
      <c r="B128" s="114"/>
      <c r="C128" s="79"/>
      <c r="D128" s="115"/>
      <c r="E128" s="49"/>
      <c r="F128" s="39"/>
      <c r="G128" s="40"/>
      <c r="H128" s="59"/>
      <c r="I128" s="412"/>
      <c r="J128" s="143">
        <f>SUM(J125:J127)</f>
        <v>70.15</v>
      </c>
      <c r="K128" s="79"/>
    </row>
    <row r="129" ht="19.5" customHeight="1">
      <c r="A129" s="74" t="s">
        <v>1</v>
      </c>
      <c r="B129" s="74" t="s">
        <v>91</v>
      </c>
      <c r="C129" s="74" t="s">
        <v>92</v>
      </c>
      <c r="D129" s="76" t="s">
        <v>93</v>
      </c>
      <c r="E129" s="50" t="s">
        <v>97</v>
      </c>
      <c r="F129" s="53" t="s">
        <v>121</v>
      </c>
      <c r="G129" s="53" t="s">
        <v>99</v>
      </c>
      <c r="H129" s="75" t="s">
        <v>100</v>
      </c>
      <c r="I129" s="75" t="s">
        <v>101</v>
      </c>
      <c r="J129" s="76" t="s">
        <v>95</v>
      </c>
      <c r="K129" s="74" t="s">
        <v>96</v>
      </c>
    </row>
    <row r="130" ht="19.5" customHeight="1">
      <c r="A130" s="154" t="s">
        <v>1287</v>
      </c>
      <c r="B130" s="37" t="s">
        <v>1288</v>
      </c>
      <c r="C130" s="46" t="s">
        <v>103</v>
      </c>
      <c r="D130" s="78"/>
      <c r="E130" s="37"/>
      <c r="F130" s="78"/>
      <c r="G130" s="40"/>
      <c r="H130" s="40">
        <f>H108</f>
        <v>10.78</v>
      </c>
      <c r="I130" s="42"/>
      <c r="J130" s="43">
        <f>H130</f>
        <v>10.78</v>
      </c>
      <c r="K130" s="131"/>
    </row>
    <row r="131" ht="19.5" customHeight="1">
      <c r="A131" s="154" t="s">
        <v>1289</v>
      </c>
      <c r="B131" s="49" t="s">
        <v>1290</v>
      </c>
      <c r="C131" s="46" t="s">
        <v>103</v>
      </c>
      <c r="D131" s="115">
        <v>1.0</v>
      </c>
      <c r="E131" s="49">
        <v>1.0</v>
      </c>
      <c r="F131" s="39">
        <v>7.8</v>
      </c>
      <c r="G131" s="40"/>
      <c r="H131" s="59">
        <f t="shared" ref="H131:H132" si="36">D131*E131*F131</f>
        <v>7.8</v>
      </c>
      <c r="I131" s="42"/>
      <c r="J131" s="43"/>
      <c r="K131" s="46"/>
    </row>
    <row r="132" ht="19.5" customHeight="1">
      <c r="A132" s="154" t="s">
        <v>1289</v>
      </c>
      <c r="B132" s="49" t="s">
        <v>832</v>
      </c>
      <c r="C132" s="46" t="s">
        <v>103</v>
      </c>
      <c r="D132" s="115">
        <v>1.0</v>
      </c>
      <c r="E132" s="49">
        <v>1.0</v>
      </c>
      <c r="F132" s="39">
        <v>8.4</v>
      </c>
      <c r="G132" s="40"/>
      <c r="H132" s="59">
        <f t="shared" si="36"/>
        <v>8.4</v>
      </c>
      <c r="I132" s="93"/>
      <c r="J132" s="43">
        <f>SUM(H131:H132)</f>
        <v>16.2</v>
      </c>
      <c r="K132" s="79"/>
    </row>
    <row r="133" ht="19.5" customHeight="1">
      <c r="A133" s="74" t="s">
        <v>1</v>
      </c>
      <c r="B133" s="74" t="s">
        <v>91</v>
      </c>
      <c r="C133" s="74" t="s">
        <v>92</v>
      </c>
      <c r="D133" s="76" t="s">
        <v>93</v>
      </c>
      <c r="E133" s="50" t="s">
        <v>97</v>
      </c>
      <c r="F133" s="52" t="s">
        <v>632</v>
      </c>
      <c r="G133" s="53" t="s">
        <v>99</v>
      </c>
      <c r="H133" s="75" t="s">
        <v>100</v>
      </c>
      <c r="I133" s="75" t="s">
        <v>101</v>
      </c>
      <c r="J133" s="76" t="s">
        <v>95</v>
      </c>
      <c r="K133" s="74" t="s">
        <v>96</v>
      </c>
    </row>
    <row r="134" ht="19.5" customHeight="1">
      <c r="A134" s="413">
        <v>37509.0</v>
      </c>
      <c r="B134" s="49" t="s">
        <v>843</v>
      </c>
      <c r="C134" s="46" t="s">
        <v>103</v>
      </c>
      <c r="D134" s="39">
        <v>2.0</v>
      </c>
      <c r="E134" s="37">
        <v>2.1</v>
      </c>
      <c r="F134" s="78"/>
      <c r="G134" s="41">
        <v>0.84</v>
      </c>
      <c r="H134" s="40">
        <f t="shared" ref="H134:H138" si="37">D134*E134*G134</f>
        <v>3.528</v>
      </c>
      <c r="I134" s="42"/>
      <c r="J134" s="43">
        <f>SUM(H134:H135)</f>
        <v>4.998</v>
      </c>
      <c r="K134" s="46"/>
    </row>
    <row r="135" ht="19.5" customHeight="1">
      <c r="A135" s="413">
        <v>37509.0</v>
      </c>
      <c r="B135" s="49" t="s">
        <v>844</v>
      </c>
      <c r="C135" s="46" t="s">
        <v>103</v>
      </c>
      <c r="D135" s="39">
        <v>1.0</v>
      </c>
      <c r="E135" s="37">
        <v>2.1</v>
      </c>
      <c r="F135" s="78"/>
      <c r="G135" s="41">
        <v>0.7</v>
      </c>
      <c r="H135" s="40">
        <f t="shared" si="37"/>
        <v>1.47</v>
      </c>
      <c r="I135" s="42"/>
      <c r="J135" s="168"/>
      <c r="K135" s="46"/>
    </row>
    <row r="136" ht="19.5" customHeight="1">
      <c r="A136" s="141">
        <v>37144.0</v>
      </c>
      <c r="B136" s="49" t="s">
        <v>1291</v>
      </c>
      <c r="C136" s="46" t="s">
        <v>103</v>
      </c>
      <c r="D136" s="39">
        <v>1.0</v>
      </c>
      <c r="E136" s="49">
        <v>1.1</v>
      </c>
      <c r="F136" s="78">
        <f t="shared" ref="F136:F138" si="38">(G136+E136)*2</f>
        <v>6.6</v>
      </c>
      <c r="G136" s="41">
        <v>2.2</v>
      </c>
      <c r="H136" s="40">
        <f t="shared" si="37"/>
        <v>2.42</v>
      </c>
      <c r="I136" s="42"/>
      <c r="J136" s="168"/>
      <c r="K136" s="46"/>
    </row>
    <row r="137" ht="19.5" customHeight="1">
      <c r="A137" s="141">
        <v>37144.0</v>
      </c>
      <c r="B137" s="49" t="s">
        <v>1292</v>
      </c>
      <c r="C137" s="46" t="s">
        <v>103</v>
      </c>
      <c r="D137" s="39">
        <v>2.0</v>
      </c>
      <c r="E137" s="49">
        <v>0.6</v>
      </c>
      <c r="F137" s="78">
        <f t="shared" si="38"/>
        <v>3.2</v>
      </c>
      <c r="G137" s="41">
        <v>1.0</v>
      </c>
      <c r="H137" s="40">
        <f t="shared" si="37"/>
        <v>1.2</v>
      </c>
      <c r="I137" s="42"/>
      <c r="J137" s="168"/>
      <c r="K137" s="46"/>
    </row>
    <row r="138" ht="19.5" customHeight="1">
      <c r="A138" s="141">
        <v>37144.0</v>
      </c>
      <c r="B138" s="49" t="s">
        <v>1293</v>
      </c>
      <c r="C138" s="46" t="s">
        <v>103</v>
      </c>
      <c r="D138" s="78">
        <v>1.0</v>
      </c>
      <c r="E138" s="49">
        <v>0.65</v>
      </c>
      <c r="F138" s="78">
        <f t="shared" si="38"/>
        <v>2.3</v>
      </c>
      <c r="G138" s="41">
        <v>0.5</v>
      </c>
      <c r="H138" s="40">
        <f t="shared" si="37"/>
        <v>0.325</v>
      </c>
      <c r="I138" s="42"/>
      <c r="J138" s="43">
        <f>SUM(H136:H138)</f>
        <v>3.945</v>
      </c>
      <c r="K138" s="46"/>
    </row>
    <row r="139" ht="19.5" customHeight="1">
      <c r="A139" s="141">
        <v>38240.0</v>
      </c>
      <c r="B139" s="114" t="s">
        <v>636</v>
      </c>
      <c r="C139" s="38" t="s">
        <v>108</v>
      </c>
      <c r="D139" s="115"/>
      <c r="E139" s="49"/>
      <c r="F139" s="78">
        <f>D136*F136+D137*F137+D138*F138</f>
        <v>15.3</v>
      </c>
      <c r="G139" s="41"/>
      <c r="H139" s="59"/>
      <c r="I139" s="82"/>
      <c r="J139" s="43">
        <f>F139</f>
        <v>15.3</v>
      </c>
      <c r="K139" s="79"/>
    </row>
    <row r="140" ht="19.5" customHeight="1">
      <c r="A140" s="141">
        <v>37874.0</v>
      </c>
      <c r="B140" s="414" t="s">
        <v>1294</v>
      </c>
      <c r="C140" s="46" t="s">
        <v>103</v>
      </c>
      <c r="D140" s="115">
        <v>2.0</v>
      </c>
      <c r="E140" s="49">
        <v>2.1</v>
      </c>
      <c r="F140" s="78"/>
      <c r="G140" s="41">
        <v>4.1</v>
      </c>
      <c r="H140" s="59">
        <f t="shared" ref="H140:H141" si="39">D140*E140*G140</f>
        <v>17.22</v>
      </c>
      <c r="I140" s="82"/>
      <c r="J140" s="168"/>
      <c r="K140" s="79"/>
    </row>
    <row r="141" ht="19.5" customHeight="1">
      <c r="A141" s="141">
        <v>37874.0</v>
      </c>
      <c r="B141" s="414" t="s">
        <v>1295</v>
      </c>
      <c r="C141" s="46" t="s">
        <v>103</v>
      </c>
      <c r="D141" s="115">
        <v>1.0</v>
      </c>
      <c r="E141" s="49">
        <v>2.1</v>
      </c>
      <c r="F141" s="78"/>
      <c r="G141" s="41">
        <v>1.1</v>
      </c>
      <c r="H141" s="59">
        <f t="shared" si="39"/>
        <v>2.31</v>
      </c>
      <c r="I141" s="82"/>
      <c r="J141" s="43">
        <f>SUM(H140:H141)</f>
        <v>19.53</v>
      </c>
      <c r="K141" s="79"/>
    </row>
    <row r="142" ht="19.5" customHeight="1">
      <c r="A142" s="144">
        <v>38421.0</v>
      </c>
      <c r="B142" s="114" t="s">
        <v>227</v>
      </c>
      <c r="C142" s="79"/>
      <c r="D142" s="39">
        <v>2.0</v>
      </c>
      <c r="E142" s="49"/>
      <c r="F142" s="78"/>
      <c r="G142" s="41">
        <f>0.8+0.84</f>
        <v>1.64</v>
      </c>
      <c r="H142" s="59">
        <f t="shared" ref="H142:H146" si="40">D142*G142</f>
        <v>3.28</v>
      </c>
      <c r="I142" s="82"/>
      <c r="J142" s="257"/>
      <c r="K142" s="79"/>
    </row>
    <row r="143" ht="19.5" customHeight="1">
      <c r="A143" s="144">
        <v>38421.0</v>
      </c>
      <c r="B143" s="114" t="s">
        <v>852</v>
      </c>
      <c r="C143" s="79"/>
      <c r="D143" s="39">
        <v>1.0</v>
      </c>
      <c r="E143" s="49"/>
      <c r="F143" s="78"/>
      <c r="G143" s="41">
        <f>0.8+0.7</f>
        <v>1.5</v>
      </c>
      <c r="H143" s="59">
        <f t="shared" si="40"/>
        <v>1.5</v>
      </c>
      <c r="I143" s="82"/>
      <c r="J143" s="257"/>
      <c r="K143" s="79"/>
    </row>
    <row r="144" ht="19.5" customHeight="1">
      <c r="A144" s="144">
        <v>38421.0</v>
      </c>
      <c r="B144" s="114" t="s">
        <v>231</v>
      </c>
      <c r="C144" s="79"/>
      <c r="D144" s="39">
        <v>1.0</v>
      </c>
      <c r="E144" s="49"/>
      <c r="F144" s="78"/>
      <c r="G144" s="41">
        <f>0.8+2.2</f>
        <v>3</v>
      </c>
      <c r="H144" s="59">
        <f t="shared" si="40"/>
        <v>3</v>
      </c>
      <c r="I144" s="82"/>
      <c r="J144" s="257"/>
      <c r="K144" s="79"/>
    </row>
    <row r="145" ht="19.5" customHeight="1">
      <c r="A145" s="144">
        <v>38421.0</v>
      </c>
      <c r="B145" s="114" t="s">
        <v>232</v>
      </c>
      <c r="C145" s="79"/>
      <c r="D145" s="39">
        <v>2.0</v>
      </c>
      <c r="E145" s="49"/>
      <c r="F145" s="78"/>
      <c r="G145" s="41">
        <f>0.8+1</f>
        <v>1.8</v>
      </c>
      <c r="H145" s="59">
        <f t="shared" si="40"/>
        <v>3.6</v>
      </c>
      <c r="I145" s="82"/>
      <c r="J145" s="257"/>
      <c r="K145" s="79"/>
    </row>
    <row r="146" ht="19.5" customHeight="1">
      <c r="A146" s="144">
        <v>38421.0</v>
      </c>
      <c r="B146" s="114" t="s">
        <v>233</v>
      </c>
      <c r="C146" s="79"/>
      <c r="D146" s="78">
        <v>1.0</v>
      </c>
      <c r="E146" s="49"/>
      <c r="F146" s="78"/>
      <c r="G146" s="41">
        <f>0.8+0.5</f>
        <v>1.3</v>
      </c>
      <c r="H146" s="59">
        <f t="shared" si="40"/>
        <v>1.3</v>
      </c>
      <c r="I146" s="82"/>
      <c r="J146" s="143">
        <f>SUM(H142:H146)</f>
        <v>12.68</v>
      </c>
      <c r="K146" s="79"/>
    </row>
    <row r="147" ht="19.5" customHeight="1">
      <c r="A147" s="144">
        <v>38786.0</v>
      </c>
      <c r="B147" s="114" t="s">
        <v>1296</v>
      </c>
      <c r="C147" s="79"/>
      <c r="D147" s="115"/>
      <c r="E147" s="49"/>
      <c r="F147" s="78"/>
      <c r="G147" s="41"/>
      <c r="H147" s="59"/>
      <c r="I147" s="82"/>
      <c r="J147" s="143">
        <f>SUM(H144:H146)</f>
        <v>7.9</v>
      </c>
      <c r="K147" s="79"/>
    </row>
    <row r="148" ht="19.5" customHeight="1">
      <c r="A148" s="74" t="s">
        <v>1</v>
      </c>
      <c r="B148" s="74" t="s">
        <v>91</v>
      </c>
      <c r="C148" s="74" t="s">
        <v>92</v>
      </c>
      <c r="D148" s="76" t="s">
        <v>93</v>
      </c>
      <c r="E148" s="50" t="s">
        <v>97</v>
      </c>
      <c r="F148" s="53" t="s">
        <v>121</v>
      </c>
      <c r="G148" s="53" t="s">
        <v>99</v>
      </c>
      <c r="H148" s="75" t="s">
        <v>100</v>
      </c>
      <c r="I148" s="75" t="s">
        <v>101</v>
      </c>
      <c r="J148" s="76" t="s">
        <v>95</v>
      </c>
      <c r="K148" s="74" t="s">
        <v>96</v>
      </c>
    </row>
    <row r="149" ht="19.5" customHeight="1">
      <c r="A149" s="141">
        <v>38178.0</v>
      </c>
      <c r="B149" s="37" t="s">
        <v>162</v>
      </c>
      <c r="C149" s="46" t="s">
        <v>103</v>
      </c>
      <c r="D149" s="39">
        <v>1.0</v>
      </c>
      <c r="E149" s="37"/>
      <c r="F149" s="39">
        <v>32.5</v>
      </c>
      <c r="G149" s="40">
        <v>1.0</v>
      </c>
      <c r="H149" s="40">
        <f>D149*F149*G149</f>
        <v>32.5</v>
      </c>
      <c r="I149" s="42"/>
      <c r="J149" s="40"/>
      <c r="K149" s="46"/>
    </row>
    <row r="150" ht="19.5" customHeight="1">
      <c r="A150" s="74" t="s">
        <v>1</v>
      </c>
      <c r="B150" s="74" t="s">
        <v>91</v>
      </c>
      <c r="C150" s="74" t="s">
        <v>92</v>
      </c>
      <c r="D150" s="76" t="s">
        <v>93</v>
      </c>
      <c r="E150" s="50" t="s">
        <v>97</v>
      </c>
      <c r="F150" s="53" t="s">
        <v>121</v>
      </c>
      <c r="G150" s="53" t="s">
        <v>99</v>
      </c>
      <c r="H150" s="75" t="s">
        <v>100</v>
      </c>
      <c r="I150" s="75" t="s">
        <v>101</v>
      </c>
      <c r="J150" s="76" t="s">
        <v>95</v>
      </c>
      <c r="K150" s="74" t="s">
        <v>96</v>
      </c>
    </row>
    <row r="151" ht="19.5" customHeight="1">
      <c r="A151" s="154" t="s">
        <v>1297</v>
      </c>
      <c r="B151" s="37" t="s">
        <v>853</v>
      </c>
      <c r="C151" s="46" t="s">
        <v>106</v>
      </c>
      <c r="D151" s="78">
        <v>1.0</v>
      </c>
      <c r="E151" s="37">
        <v>1.0</v>
      </c>
      <c r="F151" s="78"/>
      <c r="G151" s="40">
        <v>1.0</v>
      </c>
      <c r="H151" s="40">
        <f>G151*E151*D151</f>
        <v>1</v>
      </c>
      <c r="I151" s="42"/>
      <c r="J151" s="40"/>
      <c r="K151" s="46"/>
    </row>
    <row r="152" ht="19.5" customHeight="1">
      <c r="A152" s="46"/>
      <c r="B152" s="37"/>
      <c r="C152" s="46"/>
      <c r="D152" s="78"/>
      <c r="E152" s="37"/>
      <c r="F152" s="78"/>
      <c r="G152" s="40"/>
      <c r="H152" s="40"/>
      <c r="I152" s="42"/>
      <c r="J152" s="43">
        <f>SUM(H151:H152)</f>
        <v>1</v>
      </c>
      <c r="K152" s="46"/>
    </row>
    <row r="153" ht="19.5" customHeight="1">
      <c r="A153" s="74" t="s">
        <v>1</v>
      </c>
      <c r="B153" s="74" t="s">
        <v>91</v>
      </c>
      <c r="C153" s="74" t="s">
        <v>92</v>
      </c>
      <c r="D153" s="76" t="s">
        <v>93</v>
      </c>
      <c r="E153" s="50" t="s">
        <v>97</v>
      </c>
      <c r="F153" s="53" t="s">
        <v>121</v>
      </c>
      <c r="G153" s="53" t="s">
        <v>99</v>
      </c>
      <c r="H153" s="75" t="s">
        <v>100</v>
      </c>
      <c r="I153" s="75" t="s">
        <v>101</v>
      </c>
      <c r="J153" s="76" t="s">
        <v>95</v>
      </c>
      <c r="K153" s="74" t="s">
        <v>96</v>
      </c>
    </row>
    <row r="154" ht="19.5" customHeight="1">
      <c r="A154" s="154" t="s">
        <v>1298</v>
      </c>
      <c r="B154" s="49" t="s">
        <v>1299</v>
      </c>
      <c r="C154" s="38" t="s">
        <v>103</v>
      </c>
      <c r="D154" s="78">
        <v>1.0</v>
      </c>
      <c r="E154" s="37"/>
      <c r="F154" s="39">
        <v>0.7</v>
      </c>
      <c r="G154" s="41">
        <v>0.53</v>
      </c>
      <c r="H154" s="40">
        <f t="shared" ref="H154:H156" si="41">D154*F154*G154</f>
        <v>0.371</v>
      </c>
      <c r="I154" s="42"/>
      <c r="J154" s="109">
        <f>SUM(H154:H156)</f>
        <v>2.337</v>
      </c>
      <c r="K154" s="46"/>
    </row>
    <row r="155" ht="19.5" customHeight="1">
      <c r="A155" s="154" t="s">
        <v>1298</v>
      </c>
      <c r="B155" s="49" t="s">
        <v>1300</v>
      </c>
      <c r="C155" s="38" t="s">
        <v>103</v>
      </c>
      <c r="D155" s="115">
        <v>1.0</v>
      </c>
      <c r="E155" s="37"/>
      <c r="F155" s="39">
        <v>2.2</v>
      </c>
      <c r="G155" s="41">
        <v>0.53</v>
      </c>
      <c r="H155" s="40">
        <f t="shared" si="41"/>
        <v>1.166</v>
      </c>
      <c r="I155" s="82"/>
      <c r="J155" s="147"/>
      <c r="K155" s="79"/>
    </row>
    <row r="156" ht="19.5" customHeight="1">
      <c r="A156" s="154" t="s">
        <v>1298</v>
      </c>
      <c r="B156" s="114" t="s">
        <v>640</v>
      </c>
      <c r="C156" s="38" t="s">
        <v>103</v>
      </c>
      <c r="D156" s="115">
        <v>1.0</v>
      </c>
      <c r="E156" s="37"/>
      <c r="F156" s="39">
        <f>2.75+1.25</f>
        <v>4</v>
      </c>
      <c r="G156" s="41">
        <v>0.2</v>
      </c>
      <c r="H156" s="40">
        <f t="shared" si="41"/>
        <v>0.8</v>
      </c>
      <c r="I156" s="82"/>
      <c r="J156" s="32"/>
      <c r="K156" s="79"/>
    </row>
    <row r="157" ht="19.5" customHeight="1">
      <c r="A157" s="74" t="s">
        <v>1</v>
      </c>
      <c r="B157" s="74" t="s">
        <v>91</v>
      </c>
      <c r="C157" s="74" t="s">
        <v>92</v>
      </c>
      <c r="D157" s="76" t="s">
        <v>93</v>
      </c>
      <c r="E157" s="50" t="s">
        <v>161</v>
      </c>
      <c r="F157" s="53" t="s">
        <v>121</v>
      </c>
      <c r="G157" s="53" t="s">
        <v>99</v>
      </c>
      <c r="H157" s="75" t="s">
        <v>100</v>
      </c>
      <c r="I157" s="75" t="s">
        <v>101</v>
      </c>
      <c r="J157" s="76" t="s">
        <v>95</v>
      </c>
      <c r="K157" s="74" t="s">
        <v>96</v>
      </c>
    </row>
    <row r="158" ht="19.5" customHeight="1">
      <c r="A158" s="126">
        <v>1.0</v>
      </c>
      <c r="B158" s="37" t="s">
        <v>245</v>
      </c>
      <c r="C158" s="46" t="s">
        <v>106</v>
      </c>
      <c r="D158" s="78">
        <v>3.0</v>
      </c>
      <c r="E158" s="37"/>
      <c r="F158" s="78"/>
      <c r="G158" s="40"/>
      <c r="H158" s="40">
        <f t="shared" ref="H158:H169" si="42">D158</f>
        <v>3</v>
      </c>
      <c r="I158" s="42"/>
      <c r="J158" s="64">
        <f t="shared" ref="J158:J169" si="43">H158</f>
        <v>3</v>
      </c>
      <c r="K158" s="46"/>
    </row>
    <row r="159" ht="19.5" customHeight="1">
      <c r="A159" s="126">
        <f t="shared" ref="A159:A167" si="44">A158+1</f>
        <v>2</v>
      </c>
      <c r="B159" s="37" t="s">
        <v>246</v>
      </c>
      <c r="C159" s="46" t="s">
        <v>106</v>
      </c>
      <c r="D159" s="78">
        <v>16.0</v>
      </c>
      <c r="E159" s="37"/>
      <c r="F159" s="78"/>
      <c r="G159" s="40"/>
      <c r="H159" s="40">
        <f t="shared" si="42"/>
        <v>16</v>
      </c>
      <c r="I159" s="42"/>
      <c r="J159" s="64">
        <f t="shared" si="43"/>
        <v>16</v>
      </c>
      <c r="K159" s="46"/>
    </row>
    <row r="160" ht="19.5" customHeight="1">
      <c r="A160" s="126">
        <f t="shared" si="44"/>
        <v>3</v>
      </c>
      <c r="B160" s="37" t="s">
        <v>250</v>
      </c>
      <c r="C160" s="46" t="s">
        <v>106</v>
      </c>
      <c r="D160" s="123">
        <v>11.0</v>
      </c>
      <c r="E160" s="37"/>
      <c r="F160" s="40"/>
      <c r="G160" s="40"/>
      <c r="H160" s="40">
        <f t="shared" si="42"/>
        <v>11</v>
      </c>
      <c r="I160" s="40"/>
      <c r="J160" s="64">
        <f t="shared" si="43"/>
        <v>11</v>
      </c>
      <c r="K160" s="46"/>
    </row>
    <row r="161" ht="19.5" customHeight="1">
      <c r="A161" s="126">
        <f t="shared" si="44"/>
        <v>4</v>
      </c>
      <c r="B161" s="37" t="s">
        <v>641</v>
      </c>
      <c r="C161" s="46" t="s">
        <v>108</v>
      </c>
      <c r="D161" s="123">
        <v>60.0</v>
      </c>
      <c r="E161" s="37"/>
      <c r="F161" s="40"/>
      <c r="G161" s="40"/>
      <c r="H161" s="40">
        <f t="shared" si="42"/>
        <v>60</v>
      </c>
      <c r="I161" s="40"/>
      <c r="J161" s="64">
        <f t="shared" si="43"/>
        <v>60</v>
      </c>
      <c r="K161" s="46"/>
    </row>
    <row r="162" ht="19.5" customHeight="1">
      <c r="A162" s="126">
        <f t="shared" si="44"/>
        <v>5</v>
      </c>
      <c r="B162" s="37" t="s">
        <v>254</v>
      </c>
      <c r="C162" s="46" t="s">
        <v>108</v>
      </c>
      <c r="D162" s="123">
        <v>80.0</v>
      </c>
      <c r="E162" s="37"/>
      <c r="F162" s="40"/>
      <c r="G162" s="40"/>
      <c r="H162" s="40">
        <f t="shared" si="42"/>
        <v>80</v>
      </c>
      <c r="I162" s="40"/>
      <c r="J162" s="64">
        <f t="shared" si="43"/>
        <v>80</v>
      </c>
      <c r="K162" s="46"/>
    </row>
    <row r="163" ht="19.5" customHeight="1">
      <c r="A163" s="126">
        <f t="shared" si="44"/>
        <v>6</v>
      </c>
      <c r="B163" s="37" t="s">
        <v>255</v>
      </c>
      <c r="C163" s="46" t="s">
        <v>108</v>
      </c>
      <c r="D163" s="123">
        <v>8.0</v>
      </c>
      <c r="E163" s="37"/>
      <c r="F163" s="40"/>
      <c r="G163" s="40"/>
      <c r="H163" s="40">
        <f t="shared" si="42"/>
        <v>8</v>
      </c>
      <c r="I163" s="40"/>
      <c r="J163" s="64">
        <f t="shared" si="43"/>
        <v>8</v>
      </c>
      <c r="K163" s="46"/>
    </row>
    <row r="164" ht="19.5" customHeight="1">
      <c r="A164" s="126">
        <f t="shared" si="44"/>
        <v>7</v>
      </c>
      <c r="B164" s="37" t="s">
        <v>256</v>
      </c>
      <c r="C164" s="46" t="s">
        <v>108</v>
      </c>
      <c r="D164" s="123">
        <v>20.0</v>
      </c>
      <c r="E164" s="37"/>
      <c r="F164" s="40"/>
      <c r="G164" s="40"/>
      <c r="H164" s="40">
        <f t="shared" si="42"/>
        <v>20</v>
      </c>
      <c r="I164" s="40"/>
      <c r="J164" s="64">
        <f t="shared" si="43"/>
        <v>20</v>
      </c>
      <c r="K164" s="46"/>
    </row>
    <row r="165" ht="19.5" customHeight="1">
      <c r="A165" s="126">
        <f t="shared" si="44"/>
        <v>8</v>
      </c>
      <c r="B165" s="37" t="s">
        <v>1301</v>
      </c>
      <c r="C165" s="46" t="s">
        <v>106</v>
      </c>
      <c r="D165" s="123">
        <v>1.0</v>
      </c>
      <c r="E165" s="37"/>
      <c r="F165" s="40"/>
      <c r="G165" s="40"/>
      <c r="H165" s="40">
        <f t="shared" si="42"/>
        <v>1</v>
      </c>
      <c r="I165" s="40"/>
      <c r="J165" s="64">
        <f t="shared" si="43"/>
        <v>1</v>
      </c>
      <c r="K165" s="46"/>
    </row>
    <row r="166" ht="19.5" customHeight="1">
      <c r="A166" s="126">
        <f t="shared" si="44"/>
        <v>9</v>
      </c>
      <c r="B166" s="37" t="s">
        <v>258</v>
      </c>
      <c r="C166" s="46" t="s">
        <v>106</v>
      </c>
      <c r="D166" s="123">
        <v>4.0</v>
      </c>
      <c r="E166" s="37"/>
      <c r="F166" s="40"/>
      <c r="G166" s="40"/>
      <c r="H166" s="40">
        <f t="shared" si="42"/>
        <v>4</v>
      </c>
      <c r="I166" s="40"/>
      <c r="J166" s="64">
        <f t="shared" si="43"/>
        <v>4</v>
      </c>
      <c r="K166" s="46"/>
    </row>
    <row r="167" ht="19.5" customHeight="1">
      <c r="A167" s="126">
        <f t="shared" si="44"/>
        <v>10</v>
      </c>
      <c r="B167" s="37" t="s">
        <v>1302</v>
      </c>
      <c r="C167" s="46" t="s">
        <v>1303</v>
      </c>
      <c r="D167" s="123">
        <v>7.0</v>
      </c>
      <c r="E167" s="37"/>
      <c r="F167" s="40"/>
      <c r="G167" s="40"/>
      <c r="H167" s="40">
        <f t="shared" si="42"/>
        <v>7</v>
      </c>
      <c r="I167" s="40"/>
      <c r="J167" s="64">
        <f t="shared" si="43"/>
        <v>7</v>
      </c>
      <c r="K167" s="46"/>
    </row>
    <row r="168" ht="19.5" customHeight="1">
      <c r="A168" s="154" t="s">
        <v>1304</v>
      </c>
      <c r="B168" s="37" t="s">
        <v>1305</v>
      </c>
      <c r="C168" s="46" t="s">
        <v>106</v>
      </c>
      <c r="D168" s="123">
        <v>2.0</v>
      </c>
      <c r="E168" s="37"/>
      <c r="F168" s="40"/>
      <c r="G168" s="40"/>
      <c r="H168" s="40">
        <f t="shared" si="42"/>
        <v>2</v>
      </c>
      <c r="I168" s="40"/>
      <c r="J168" s="64">
        <f t="shared" si="43"/>
        <v>2</v>
      </c>
      <c r="K168" s="46"/>
    </row>
    <row r="169" ht="19.5" customHeight="1">
      <c r="A169" s="145">
        <v>0.0</v>
      </c>
      <c r="B169" s="37" t="s">
        <v>261</v>
      </c>
      <c r="C169" s="46" t="s">
        <v>106</v>
      </c>
      <c r="D169" s="123">
        <v>2.0</v>
      </c>
      <c r="E169" s="37"/>
      <c r="F169" s="40"/>
      <c r="G169" s="40"/>
      <c r="H169" s="40">
        <f t="shared" si="42"/>
        <v>2</v>
      </c>
      <c r="I169" s="40"/>
      <c r="J169" s="64">
        <f t="shared" si="43"/>
        <v>2</v>
      </c>
      <c r="K169" s="46"/>
    </row>
    <row r="170" ht="19.5" customHeight="1">
      <c r="A170" s="415"/>
      <c r="C170" s="12"/>
      <c r="D170" s="87"/>
      <c r="F170" s="14"/>
      <c r="G170" s="14"/>
      <c r="H170" s="14"/>
      <c r="I170" s="14"/>
      <c r="J170" s="14"/>
      <c r="K170" s="12"/>
    </row>
    <row r="171" ht="19.5" customHeight="1">
      <c r="A171" s="74" t="s">
        <v>1</v>
      </c>
      <c r="B171" s="74" t="s">
        <v>91</v>
      </c>
      <c r="C171" s="74" t="s">
        <v>92</v>
      </c>
      <c r="D171" s="76" t="s">
        <v>93</v>
      </c>
      <c r="E171" s="50" t="s">
        <v>161</v>
      </c>
      <c r="F171" s="53" t="s">
        <v>121</v>
      </c>
      <c r="G171" s="53" t="s">
        <v>99</v>
      </c>
      <c r="H171" s="53" t="s">
        <v>100</v>
      </c>
      <c r="I171" s="53" t="s">
        <v>101</v>
      </c>
      <c r="J171" s="76" t="s">
        <v>95</v>
      </c>
      <c r="K171" s="74" t="s">
        <v>96</v>
      </c>
    </row>
    <row r="172" ht="19.5" customHeight="1">
      <c r="A172" s="126">
        <v>1.0</v>
      </c>
      <c r="B172" s="37" t="s">
        <v>262</v>
      </c>
      <c r="C172" s="46" t="s">
        <v>108</v>
      </c>
      <c r="D172" s="78">
        <v>50.0</v>
      </c>
      <c r="E172" s="37"/>
      <c r="F172" s="78"/>
      <c r="G172" s="40"/>
      <c r="H172" s="40">
        <f>D172</f>
        <v>50</v>
      </c>
      <c r="I172" s="42"/>
      <c r="J172" s="64">
        <f>H172</f>
        <v>50</v>
      </c>
      <c r="K172" s="46"/>
    </row>
    <row r="173" ht="19.5" customHeight="1">
      <c r="A173" s="126">
        <f t="shared" ref="A173:A190" si="45">A172+1</f>
        <v>2</v>
      </c>
      <c r="B173" s="37" t="s">
        <v>263</v>
      </c>
      <c r="C173" s="46" t="s">
        <v>108</v>
      </c>
      <c r="D173" s="123">
        <v>12.0</v>
      </c>
      <c r="E173" s="37"/>
      <c r="F173" s="40"/>
      <c r="G173" s="40"/>
      <c r="H173" s="40"/>
      <c r="I173" s="40"/>
      <c r="J173" s="40"/>
      <c r="K173" s="46"/>
    </row>
    <row r="174" ht="19.5" customHeight="1">
      <c r="A174" s="126">
        <f t="shared" si="45"/>
        <v>3</v>
      </c>
      <c r="B174" s="37" t="s">
        <v>264</v>
      </c>
      <c r="C174" s="46" t="s">
        <v>108</v>
      </c>
      <c r="D174" s="123">
        <v>6.0</v>
      </c>
      <c r="E174" s="37"/>
      <c r="F174" s="40"/>
      <c r="G174" s="40"/>
      <c r="H174" s="40"/>
      <c r="I174" s="40"/>
      <c r="J174" s="40"/>
      <c r="K174" s="46"/>
    </row>
    <row r="175" ht="19.5" customHeight="1">
      <c r="A175" s="126">
        <f t="shared" si="45"/>
        <v>4</v>
      </c>
      <c r="B175" s="37" t="s">
        <v>265</v>
      </c>
      <c r="C175" s="46" t="s">
        <v>106</v>
      </c>
      <c r="D175" s="123">
        <v>2.0</v>
      </c>
      <c r="E175" s="37"/>
      <c r="F175" s="40"/>
      <c r="G175" s="40"/>
      <c r="H175" s="40"/>
      <c r="I175" s="40"/>
      <c r="J175" s="40"/>
      <c r="K175" s="46"/>
    </row>
    <row r="176" ht="19.5" customHeight="1">
      <c r="A176" s="126">
        <f t="shared" si="45"/>
        <v>5</v>
      </c>
      <c r="B176" s="37" t="s">
        <v>266</v>
      </c>
      <c r="C176" s="46" t="s">
        <v>106</v>
      </c>
      <c r="D176" s="123">
        <v>2.0</v>
      </c>
      <c r="E176" s="37"/>
      <c r="F176" s="40"/>
      <c r="G176" s="40"/>
      <c r="H176" s="40"/>
      <c r="I176" s="40"/>
      <c r="J176" s="40"/>
      <c r="K176" s="46"/>
    </row>
    <row r="177" ht="19.5" customHeight="1">
      <c r="A177" s="126">
        <f t="shared" si="45"/>
        <v>6</v>
      </c>
      <c r="B177" s="37" t="s">
        <v>267</v>
      </c>
      <c r="C177" s="46" t="s">
        <v>106</v>
      </c>
      <c r="D177" s="123">
        <v>2.0</v>
      </c>
      <c r="E177" s="37"/>
      <c r="F177" s="40"/>
      <c r="G177" s="40"/>
      <c r="H177" s="40"/>
      <c r="I177" s="40"/>
      <c r="J177" s="40"/>
      <c r="K177" s="46"/>
    </row>
    <row r="178" ht="19.5" customHeight="1">
      <c r="A178" s="126">
        <f t="shared" si="45"/>
        <v>7</v>
      </c>
      <c r="B178" s="37" t="s">
        <v>268</v>
      </c>
      <c r="C178" s="46" t="s">
        <v>106</v>
      </c>
      <c r="D178" s="123">
        <v>1.0</v>
      </c>
      <c r="E178" s="37"/>
      <c r="F178" s="40"/>
      <c r="G178" s="40"/>
      <c r="H178" s="40"/>
      <c r="I178" s="40"/>
      <c r="J178" s="40"/>
      <c r="K178" s="46"/>
    </row>
    <row r="179" ht="19.5" customHeight="1">
      <c r="A179" s="126">
        <f t="shared" si="45"/>
        <v>8</v>
      </c>
      <c r="B179" s="37" t="s">
        <v>269</v>
      </c>
      <c r="C179" s="46" t="s">
        <v>106</v>
      </c>
      <c r="D179" s="123">
        <v>4.0</v>
      </c>
      <c r="E179" s="37"/>
      <c r="F179" s="40"/>
      <c r="G179" s="40"/>
      <c r="H179" s="40"/>
      <c r="I179" s="40"/>
      <c r="J179" s="40"/>
      <c r="K179" s="46"/>
    </row>
    <row r="180" ht="19.5" customHeight="1">
      <c r="A180" s="126">
        <f t="shared" si="45"/>
        <v>9</v>
      </c>
      <c r="B180" s="37" t="s">
        <v>270</v>
      </c>
      <c r="C180" s="46" t="s">
        <v>106</v>
      </c>
      <c r="D180" s="123">
        <v>1.0</v>
      </c>
      <c r="E180" s="37"/>
      <c r="F180" s="40"/>
      <c r="G180" s="40"/>
      <c r="H180" s="40"/>
      <c r="I180" s="40"/>
      <c r="J180" s="40"/>
      <c r="K180" s="46"/>
    </row>
    <row r="181" ht="19.5" customHeight="1">
      <c r="A181" s="126">
        <f t="shared" si="45"/>
        <v>10</v>
      </c>
      <c r="B181" s="37" t="s">
        <v>271</v>
      </c>
      <c r="C181" s="46" t="s">
        <v>106</v>
      </c>
      <c r="D181" s="123">
        <v>1.0</v>
      </c>
      <c r="E181" s="37"/>
      <c r="F181" s="40"/>
      <c r="G181" s="40"/>
      <c r="H181" s="40"/>
      <c r="I181" s="40"/>
      <c r="J181" s="40"/>
      <c r="K181" s="46"/>
    </row>
    <row r="182" ht="19.5" customHeight="1">
      <c r="A182" s="126">
        <f t="shared" si="45"/>
        <v>11</v>
      </c>
      <c r="B182" s="37" t="s">
        <v>272</v>
      </c>
      <c r="C182" s="46" t="s">
        <v>106</v>
      </c>
      <c r="D182" s="123">
        <v>1.0</v>
      </c>
      <c r="E182" s="37"/>
      <c r="F182" s="40"/>
      <c r="G182" s="40"/>
      <c r="H182" s="40"/>
      <c r="I182" s="40"/>
      <c r="J182" s="40"/>
      <c r="K182" s="46"/>
    </row>
    <row r="183" ht="19.5" customHeight="1">
      <c r="A183" s="126">
        <f t="shared" si="45"/>
        <v>12</v>
      </c>
      <c r="B183" s="37" t="s">
        <v>273</v>
      </c>
      <c r="C183" s="46" t="s">
        <v>106</v>
      </c>
      <c r="D183" s="123">
        <v>0.0</v>
      </c>
      <c r="E183" s="37"/>
      <c r="F183" s="40"/>
      <c r="G183" s="40"/>
      <c r="H183" s="40"/>
      <c r="I183" s="40"/>
      <c r="J183" s="40"/>
      <c r="K183" s="46"/>
    </row>
    <row r="184" ht="19.5" customHeight="1">
      <c r="A184" s="126">
        <f t="shared" si="45"/>
        <v>13</v>
      </c>
      <c r="B184" s="37" t="s">
        <v>274</v>
      </c>
      <c r="C184" s="46" t="s">
        <v>106</v>
      </c>
      <c r="D184" s="123">
        <v>1.0</v>
      </c>
      <c r="E184" s="37"/>
      <c r="F184" s="40"/>
      <c r="G184" s="40"/>
      <c r="H184" s="40"/>
      <c r="I184" s="40"/>
      <c r="J184" s="40"/>
      <c r="K184" s="46"/>
    </row>
    <row r="185" ht="19.5" customHeight="1">
      <c r="A185" s="126">
        <f t="shared" si="45"/>
        <v>14</v>
      </c>
      <c r="B185" s="37" t="s">
        <v>275</v>
      </c>
      <c r="C185" s="46" t="s">
        <v>106</v>
      </c>
      <c r="D185" s="123">
        <v>0.0</v>
      </c>
      <c r="E185" s="37"/>
      <c r="F185" s="40"/>
      <c r="G185" s="40"/>
      <c r="H185" s="40"/>
      <c r="I185" s="40"/>
      <c r="J185" s="40"/>
      <c r="K185" s="46"/>
    </row>
    <row r="186" ht="19.5" customHeight="1">
      <c r="A186" s="126">
        <f t="shared" si="45"/>
        <v>15</v>
      </c>
      <c r="B186" s="37" t="s">
        <v>276</v>
      </c>
      <c r="C186" s="46" t="s">
        <v>106</v>
      </c>
      <c r="D186" s="123"/>
      <c r="E186" s="37"/>
      <c r="F186" s="40"/>
      <c r="G186" s="40"/>
      <c r="H186" s="40"/>
      <c r="I186" s="40"/>
      <c r="J186" s="40"/>
      <c r="K186" s="46"/>
    </row>
    <row r="187" ht="19.5" customHeight="1">
      <c r="A187" s="126">
        <f t="shared" si="45"/>
        <v>16</v>
      </c>
      <c r="B187" s="37" t="s">
        <v>277</v>
      </c>
      <c r="C187" s="46" t="s">
        <v>106</v>
      </c>
      <c r="D187" s="123">
        <v>1.0</v>
      </c>
      <c r="E187" s="37"/>
      <c r="F187" s="40"/>
      <c r="G187" s="40"/>
      <c r="H187" s="40"/>
      <c r="I187" s="40"/>
      <c r="J187" s="40"/>
      <c r="K187" s="46"/>
    </row>
    <row r="188" ht="19.5" customHeight="1">
      <c r="A188" s="126">
        <f t="shared" si="45"/>
        <v>17</v>
      </c>
      <c r="B188" s="37" t="s">
        <v>278</v>
      </c>
      <c r="C188" s="46" t="s">
        <v>106</v>
      </c>
      <c r="D188" s="123">
        <v>1.0</v>
      </c>
      <c r="E188" s="37"/>
      <c r="F188" s="40"/>
      <c r="G188" s="40"/>
      <c r="H188" s="40"/>
      <c r="I188" s="40"/>
      <c r="J188" s="40"/>
      <c r="K188" s="46"/>
    </row>
    <row r="189" ht="19.5" customHeight="1">
      <c r="A189" s="126">
        <f t="shared" si="45"/>
        <v>18</v>
      </c>
      <c r="B189" s="37" t="s">
        <v>279</v>
      </c>
      <c r="C189" s="46" t="s">
        <v>106</v>
      </c>
      <c r="D189" s="123">
        <v>2.0</v>
      </c>
      <c r="E189" s="37"/>
      <c r="F189" s="40"/>
      <c r="G189" s="40"/>
      <c r="H189" s="40"/>
      <c r="I189" s="40"/>
      <c r="J189" s="40"/>
      <c r="K189" s="46"/>
    </row>
    <row r="190" ht="19.5" customHeight="1">
      <c r="A190" s="126">
        <f t="shared" si="45"/>
        <v>19</v>
      </c>
      <c r="B190" s="37" t="s">
        <v>280</v>
      </c>
      <c r="C190" s="46" t="s">
        <v>106</v>
      </c>
      <c r="D190" s="123">
        <v>1.0</v>
      </c>
      <c r="E190" s="37"/>
      <c r="F190" s="40"/>
      <c r="G190" s="40"/>
      <c r="H190" s="40"/>
      <c r="I190" s="40"/>
      <c r="J190" s="40"/>
      <c r="K190" s="46"/>
    </row>
    <row r="191" ht="19.5" customHeight="1">
      <c r="A191" s="154" t="s">
        <v>1306</v>
      </c>
      <c r="B191" s="37" t="s">
        <v>281</v>
      </c>
      <c r="C191" s="46" t="s">
        <v>106</v>
      </c>
      <c r="D191" s="123">
        <v>1.0</v>
      </c>
      <c r="E191" s="37"/>
      <c r="F191" s="40"/>
      <c r="G191" s="40"/>
      <c r="H191" s="40"/>
      <c r="I191" s="40"/>
      <c r="J191" s="40"/>
      <c r="K191" s="46"/>
    </row>
    <row r="192" ht="19.5" customHeight="1">
      <c r="A192" s="154" t="s">
        <v>1307</v>
      </c>
      <c r="B192" s="37" t="s">
        <v>378</v>
      </c>
      <c r="C192" s="46" t="s">
        <v>106</v>
      </c>
      <c r="D192" s="123">
        <v>1.0</v>
      </c>
      <c r="E192" s="37"/>
      <c r="F192" s="40"/>
      <c r="G192" s="40"/>
      <c r="H192" s="40"/>
      <c r="I192" s="40"/>
      <c r="J192" s="40"/>
      <c r="K192" s="46"/>
    </row>
    <row r="193" ht="19.5" customHeight="1">
      <c r="A193" s="74" t="s">
        <v>1</v>
      </c>
      <c r="B193" s="74" t="s">
        <v>91</v>
      </c>
      <c r="C193" s="74" t="s">
        <v>92</v>
      </c>
      <c r="D193" s="76" t="s">
        <v>93</v>
      </c>
      <c r="E193" s="50" t="s">
        <v>161</v>
      </c>
      <c r="F193" s="53" t="s">
        <v>121</v>
      </c>
      <c r="G193" s="53" t="s">
        <v>99</v>
      </c>
      <c r="H193" s="53" t="s">
        <v>100</v>
      </c>
      <c r="I193" s="53" t="s">
        <v>101</v>
      </c>
      <c r="J193" s="76" t="s">
        <v>95</v>
      </c>
      <c r="K193" s="74" t="s">
        <v>96</v>
      </c>
    </row>
    <row r="194" ht="19.5" customHeight="1">
      <c r="A194" s="126">
        <v>1.0</v>
      </c>
      <c r="B194" s="37" t="s">
        <v>287</v>
      </c>
      <c r="C194" s="46" t="s">
        <v>108</v>
      </c>
      <c r="D194" s="78">
        <v>0.0</v>
      </c>
      <c r="E194" s="37"/>
      <c r="F194" s="78"/>
      <c r="G194" s="40"/>
      <c r="H194" s="40">
        <f>D194</f>
        <v>0</v>
      </c>
      <c r="I194" s="42"/>
      <c r="J194" s="77">
        <f>H194</f>
        <v>0</v>
      </c>
      <c r="K194" s="46"/>
    </row>
    <row r="195" ht="19.5" customHeight="1">
      <c r="A195" s="126">
        <f t="shared" ref="A195:A229" si="46">A194+1</f>
        <v>2</v>
      </c>
      <c r="B195" s="37" t="s">
        <v>288</v>
      </c>
      <c r="C195" s="46" t="s">
        <v>108</v>
      </c>
      <c r="D195" s="78">
        <v>0.0</v>
      </c>
      <c r="E195" s="37"/>
      <c r="F195" s="78"/>
      <c r="G195" s="40"/>
      <c r="H195" s="40"/>
      <c r="I195" s="42"/>
      <c r="J195" s="77"/>
      <c r="K195" s="46"/>
    </row>
    <row r="196" ht="19.5" customHeight="1">
      <c r="A196" s="126">
        <f t="shared" si="46"/>
        <v>3</v>
      </c>
      <c r="B196" s="37" t="s">
        <v>289</v>
      </c>
      <c r="C196" s="46" t="s">
        <v>108</v>
      </c>
      <c r="D196" s="78">
        <v>0.0</v>
      </c>
      <c r="E196" s="37"/>
      <c r="F196" s="78"/>
      <c r="G196" s="40"/>
      <c r="H196" s="40"/>
      <c r="I196" s="42"/>
      <c r="J196" s="77"/>
      <c r="K196" s="46"/>
    </row>
    <row r="197" ht="19.5" customHeight="1">
      <c r="A197" s="126">
        <f t="shared" si="46"/>
        <v>4</v>
      </c>
      <c r="B197" s="37" t="s">
        <v>263</v>
      </c>
      <c r="C197" s="46" t="s">
        <v>108</v>
      </c>
      <c r="D197" s="78">
        <v>0.0</v>
      </c>
      <c r="E197" s="37"/>
      <c r="F197" s="78"/>
      <c r="G197" s="40"/>
      <c r="H197" s="40"/>
      <c r="I197" s="42"/>
      <c r="J197" s="77"/>
      <c r="K197" s="46"/>
    </row>
    <row r="198" ht="19.5" customHeight="1">
      <c r="A198" s="126">
        <f t="shared" si="46"/>
        <v>5</v>
      </c>
      <c r="B198" s="37" t="s">
        <v>264</v>
      </c>
      <c r="C198" s="46" t="s">
        <v>108</v>
      </c>
      <c r="D198" s="123">
        <v>50.0</v>
      </c>
      <c r="E198" s="37"/>
      <c r="F198" s="40"/>
      <c r="G198" s="40"/>
      <c r="H198" s="40"/>
      <c r="I198" s="40"/>
      <c r="J198" s="42"/>
      <c r="K198" s="46"/>
    </row>
    <row r="199" ht="19.5" customHeight="1">
      <c r="A199" s="126">
        <f t="shared" si="46"/>
        <v>6</v>
      </c>
      <c r="B199" s="37" t="s">
        <v>290</v>
      </c>
      <c r="C199" s="46" t="s">
        <v>108</v>
      </c>
      <c r="D199" s="123">
        <v>6.0</v>
      </c>
      <c r="E199" s="37"/>
      <c r="F199" s="40"/>
      <c r="G199" s="40"/>
      <c r="H199" s="40"/>
      <c r="I199" s="40"/>
      <c r="J199" s="40"/>
      <c r="K199" s="46"/>
    </row>
    <row r="200" ht="19.5" customHeight="1">
      <c r="A200" s="126">
        <f t="shared" si="46"/>
        <v>7</v>
      </c>
      <c r="B200" s="37" t="s">
        <v>291</v>
      </c>
      <c r="C200" s="46" t="s">
        <v>108</v>
      </c>
      <c r="D200" s="123">
        <v>12.0</v>
      </c>
      <c r="E200" s="37"/>
      <c r="F200" s="40"/>
      <c r="G200" s="40"/>
      <c r="H200" s="40"/>
      <c r="I200" s="40"/>
      <c r="J200" s="40"/>
      <c r="K200" s="46"/>
    </row>
    <row r="201" ht="19.5" customHeight="1">
      <c r="A201" s="126">
        <f t="shared" si="46"/>
        <v>8</v>
      </c>
      <c r="B201" s="37" t="s">
        <v>292</v>
      </c>
      <c r="C201" s="46" t="s">
        <v>106</v>
      </c>
      <c r="D201" s="123">
        <v>0.0</v>
      </c>
      <c r="E201" s="37"/>
      <c r="F201" s="40"/>
      <c r="G201" s="40"/>
      <c r="H201" s="40"/>
      <c r="I201" s="40"/>
      <c r="J201" s="40"/>
      <c r="K201" s="46"/>
    </row>
    <row r="202" ht="19.5" customHeight="1">
      <c r="A202" s="126">
        <f t="shared" si="46"/>
        <v>9</v>
      </c>
      <c r="B202" s="37" t="s">
        <v>293</v>
      </c>
      <c r="C202" s="46" t="s">
        <v>106</v>
      </c>
      <c r="D202" s="123">
        <v>0.0</v>
      </c>
      <c r="E202" s="37"/>
      <c r="F202" s="40"/>
      <c r="G202" s="40"/>
      <c r="H202" s="40"/>
      <c r="I202" s="40"/>
      <c r="J202" s="40"/>
      <c r="K202" s="46"/>
    </row>
    <row r="203" ht="19.5" customHeight="1">
      <c r="A203" s="126">
        <f t="shared" si="46"/>
        <v>10</v>
      </c>
      <c r="B203" s="37" t="s">
        <v>294</v>
      </c>
      <c r="C203" s="46" t="s">
        <v>106</v>
      </c>
      <c r="D203" s="123">
        <v>0.0</v>
      </c>
      <c r="E203" s="37"/>
      <c r="F203" s="40"/>
      <c r="G203" s="40"/>
      <c r="H203" s="40"/>
      <c r="I203" s="40"/>
      <c r="J203" s="40"/>
      <c r="K203" s="46"/>
    </row>
    <row r="204" ht="19.5" customHeight="1">
      <c r="A204" s="126">
        <f t="shared" si="46"/>
        <v>11</v>
      </c>
      <c r="B204" s="37" t="s">
        <v>295</v>
      </c>
      <c r="C204" s="46" t="s">
        <v>106</v>
      </c>
      <c r="D204" s="123">
        <v>0.0</v>
      </c>
      <c r="E204" s="37"/>
      <c r="F204" s="40"/>
      <c r="G204" s="40"/>
      <c r="H204" s="40"/>
      <c r="I204" s="40"/>
      <c r="J204" s="40"/>
      <c r="K204" s="46"/>
    </row>
    <row r="205" ht="19.5" customHeight="1">
      <c r="A205" s="126">
        <f t="shared" si="46"/>
        <v>12</v>
      </c>
      <c r="B205" s="37" t="s">
        <v>270</v>
      </c>
      <c r="C205" s="46" t="s">
        <v>106</v>
      </c>
      <c r="D205" s="123">
        <v>2.0</v>
      </c>
      <c r="E205" s="37"/>
      <c r="F205" s="40"/>
      <c r="G205" s="40"/>
      <c r="H205" s="40"/>
      <c r="I205" s="40"/>
      <c r="J205" s="40"/>
      <c r="K205" s="46"/>
    </row>
    <row r="206" ht="19.5" customHeight="1">
      <c r="A206" s="126">
        <f t="shared" si="46"/>
        <v>13</v>
      </c>
      <c r="B206" s="37" t="s">
        <v>296</v>
      </c>
      <c r="C206" s="46" t="s">
        <v>106</v>
      </c>
      <c r="D206" s="123">
        <v>2.0</v>
      </c>
      <c r="E206" s="37"/>
      <c r="F206" s="40"/>
      <c r="G206" s="40"/>
      <c r="H206" s="40"/>
      <c r="I206" s="40"/>
      <c r="J206" s="40"/>
      <c r="K206" s="46"/>
    </row>
    <row r="207" ht="19.5" customHeight="1">
      <c r="A207" s="126">
        <f t="shared" si="46"/>
        <v>14</v>
      </c>
      <c r="B207" s="37" t="s">
        <v>297</v>
      </c>
      <c r="C207" s="46" t="s">
        <v>106</v>
      </c>
      <c r="D207" s="123">
        <v>4.0</v>
      </c>
      <c r="E207" s="37"/>
      <c r="F207" s="40"/>
      <c r="G207" s="40"/>
      <c r="H207" s="40"/>
      <c r="I207" s="40"/>
      <c r="J207" s="40"/>
      <c r="K207" s="46"/>
    </row>
    <row r="208" ht="19.5" customHeight="1">
      <c r="A208" s="126">
        <f t="shared" si="46"/>
        <v>15</v>
      </c>
      <c r="B208" s="37" t="s">
        <v>298</v>
      </c>
      <c r="C208" s="46" t="s">
        <v>106</v>
      </c>
      <c r="D208" s="123">
        <v>0.0</v>
      </c>
      <c r="E208" s="37"/>
      <c r="F208" s="40"/>
      <c r="G208" s="40"/>
      <c r="H208" s="40"/>
      <c r="I208" s="40"/>
      <c r="J208" s="40"/>
      <c r="K208" s="46"/>
    </row>
    <row r="209" ht="19.5" customHeight="1">
      <c r="A209" s="126">
        <f t="shared" si="46"/>
        <v>16</v>
      </c>
      <c r="B209" s="37" t="s">
        <v>299</v>
      </c>
      <c r="C209" s="46" t="s">
        <v>106</v>
      </c>
      <c r="D209" s="123">
        <v>0.0</v>
      </c>
      <c r="E209" s="37"/>
      <c r="F209" s="40"/>
      <c r="G209" s="40"/>
      <c r="H209" s="40"/>
      <c r="I209" s="40"/>
      <c r="J209" s="40"/>
      <c r="K209" s="46"/>
    </row>
    <row r="210" ht="19.5" customHeight="1">
      <c r="A210" s="126">
        <f t="shared" si="46"/>
        <v>17</v>
      </c>
      <c r="B210" s="37" t="s">
        <v>300</v>
      </c>
      <c r="C210" s="46" t="s">
        <v>106</v>
      </c>
      <c r="D210" s="123">
        <v>0.0</v>
      </c>
      <c r="E210" s="37"/>
      <c r="F210" s="40"/>
      <c r="G210" s="40"/>
      <c r="H210" s="40"/>
      <c r="I210" s="40"/>
      <c r="J210" s="40"/>
      <c r="K210" s="46"/>
    </row>
    <row r="211" ht="19.5" customHeight="1">
      <c r="A211" s="126">
        <f t="shared" si="46"/>
        <v>18</v>
      </c>
      <c r="B211" s="37" t="s">
        <v>301</v>
      </c>
      <c r="C211" s="46" t="s">
        <v>106</v>
      </c>
      <c r="D211" s="123">
        <v>0.0</v>
      </c>
      <c r="E211" s="37"/>
      <c r="F211" s="40"/>
      <c r="G211" s="40"/>
      <c r="H211" s="40"/>
      <c r="I211" s="40"/>
      <c r="J211" s="40"/>
      <c r="K211" s="46"/>
    </row>
    <row r="212" ht="19.5" customHeight="1">
      <c r="A212" s="126">
        <f t="shared" si="46"/>
        <v>19</v>
      </c>
      <c r="B212" s="37" t="s">
        <v>302</v>
      </c>
      <c r="C212" s="46" t="s">
        <v>106</v>
      </c>
      <c r="D212" s="123">
        <v>0.0</v>
      </c>
      <c r="E212" s="37"/>
      <c r="F212" s="40"/>
      <c r="G212" s="40"/>
      <c r="H212" s="40"/>
      <c r="I212" s="40"/>
      <c r="J212" s="40"/>
      <c r="K212" s="46"/>
    </row>
    <row r="213" ht="19.5" customHeight="1">
      <c r="A213" s="126">
        <f t="shared" si="46"/>
        <v>20</v>
      </c>
      <c r="B213" s="37" t="s">
        <v>303</v>
      </c>
      <c r="C213" s="46" t="s">
        <v>106</v>
      </c>
      <c r="D213" s="123">
        <v>1.0</v>
      </c>
      <c r="E213" s="37"/>
      <c r="F213" s="40"/>
      <c r="G213" s="40"/>
      <c r="H213" s="40"/>
      <c r="I213" s="40"/>
      <c r="J213" s="40"/>
      <c r="K213" s="46"/>
    </row>
    <row r="214" ht="19.5" customHeight="1">
      <c r="A214" s="126">
        <f t="shared" si="46"/>
        <v>21</v>
      </c>
      <c r="B214" s="37" t="s">
        <v>304</v>
      </c>
      <c r="C214" s="46" t="s">
        <v>106</v>
      </c>
      <c r="D214" s="123">
        <v>4.0</v>
      </c>
      <c r="E214" s="37"/>
      <c r="F214" s="40"/>
      <c r="G214" s="40"/>
      <c r="H214" s="40"/>
      <c r="I214" s="40"/>
      <c r="J214" s="40"/>
      <c r="K214" s="46"/>
    </row>
    <row r="215" ht="19.5" customHeight="1">
      <c r="A215" s="126">
        <f t="shared" si="46"/>
        <v>22</v>
      </c>
      <c r="B215" s="37" t="s">
        <v>305</v>
      </c>
      <c r="C215" s="46" t="s">
        <v>106</v>
      </c>
      <c r="D215" s="123">
        <v>0.0</v>
      </c>
      <c r="E215" s="37"/>
      <c r="F215" s="40"/>
      <c r="G215" s="40"/>
      <c r="H215" s="40"/>
      <c r="I215" s="40"/>
      <c r="J215" s="40"/>
      <c r="K215" s="46"/>
    </row>
    <row r="216" ht="19.5" customHeight="1">
      <c r="A216" s="126">
        <f t="shared" si="46"/>
        <v>23</v>
      </c>
      <c r="B216" s="37" t="s">
        <v>306</v>
      </c>
      <c r="C216" s="46" t="s">
        <v>106</v>
      </c>
      <c r="D216" s="123">
        <v>0.0</v>
      </c>
      <c r="E216" s="37"/>
      <c r="F216" s="40"/>
      <c r="G216" s="40"/>
      <c r="H216" s="40"/>
      <c r="I216" s="40"/>
      <c r="J216" s="40"/>
      <c r="K216" s="46"/>
    </row>
    <row r="217" ht="19.5" customHeight="1">
      <c r="A217" s="126">
        <f t="shared" si="46"/>
        <v>24</v>
      </c>
      <c r="B217" s="37" t="s">
        <v>307</v>
      </c>
      <c r="C217" s="46" t="s">
        <v>106</v>
      </c>
      <c r="D217" s="123">
        <v>0.0</v>
      </c>
      <c r="E217" s="37"/>
      <c r="F217" s="40"/>
      <c r="G217" s="40"/>
      <c r="H217" s="40"/>
      <c r="I217" s="40"/>
      <c r="J217" s="40"/>
      <c r="K217" s="46"/>
    </row>
    <row r="218" ht="19.5" customHeight="1">
      <c r="A218" s="126">
        <f t="shared" si="46"/>
        <v>25</v>
      </c>
      <c r="B218" s="37" t="s">
        <v>308</v>
      </c>
      <c r="C218" s="46" t="s">
        <v>106</v>
      </c>
      <c r="D218" s="123">
        <v>0.0</v>
      </c>
      <c r="E218" s="37"/>
      <c r="F218" s="40"/>
      <c r="G218" s="40"/>
      <c r="H218" s="40"/>
      <c r="I218" s="40"/>
      <c r="J218" s="40"/>
      <c r="K218" s="46"/>
    </row>
    <row r="219" ht="19.5" customHeight="1">
      <c r="A219" s="126">
        <f t="shared" si="46"/>
        <v>26</v>
      </c>
      <c r="B219" s="37" t="s">
        <v>309</v>
      </c>
      <c r="C219" s="46" t="s">
        <v>106</v>
      </c>
      <c r="D219" s="123">
        <v>4.0</v>
      </c>
      <c r="E219" s="37"/>
      <c r="F219" s="40"/>
      <c r="G219" s="40"/>
      <c r="H219" s="40"/>
      <c r="I219" s="40"/>
      <c r="J219" s="40"/>
      <c r="K219" s="46"/>
    </row>
    <row r="220" ht="19.5" customHeight="1">
      <c r="A220" s="126">
        <f t="shared" si="46"/>
        <v>27</v>
      </c>
      <c r="B220" s="37" t="s">
        <v>310</v>
      </c>
      <c r="C220" s="46" t="s">
        <v>106</v>
      </c>
      <c r="D220" s="123">
        <v>2.0</v>
      </c>
      <c r="E220" s="37"/>
      <c r="F220" s="40"/>
      <c r="G220" s="40"/>
      <c r="H220" s="40"/>
      <c r="I220" s="40"/>
      <c r="J220" s="40"/>
      <c r="K220" s="46"/>
    </row>
    <row r="221" ht="19.5" customHeight="1">
      <c r="A221" s="126">
        <f t="shared" si="46"/>
        <v>28</v>
      </c>
      <c r="B221" s="37" t="s">
        <v>311</v>
      </c>
      <c r="C221" s="46" t="s">
        <v>106</v>
      </c>
      <c r="D221" s="123">
        <v>4.0</v>
      </c>
      <c r="E221" s="37"/>
      <c r="F221" s="40"/>
      <c r="G221" s="40"/>
      <c r="H221" s="40"/>
      <c r="I221" s="40"/>
      <c r="J221" s="40"/>
      <c r="K221" s="46"/>
    </row>
    <row r="222" ht="19.5" customHeight="1">
      <c r="A222" s="126">
        <f t="shared" si="46"/>
        <v>29</v>
      </c>
      <c r="B222" s="37" t="s">
        <v>312</v>
      </c>
      <c r="C222" s="46" t="s">
        <v>106</v>
      </c>
      <c r="D222" s="123">
        <v>3.0</v>
      </c>
      <c r="E222" s="37"/>
      <c r="F222" s="40"/>
      <c r="G222" s="40"/>
      <c r="H222" s="40"/>
      <c r="I222" s="40"/>
      <c r="J222" s="40"/>
      <c r="K222" s="46"/>
    </row>
    <row r="223" ht="19.5" customHeight="1">
      <c r="A223" s="126">
        <f t="shared" si="46"/>
        <v>30</v>
      </c>
      <c r="B223" s="37" t="s">
        <v>313</v>
      </c>
      <c r="C223" s="46" t="s">
        <v>106</v>
      </c>
      <c r="D223" s="123">
        <v>1.0</v>
      </c>
      <c r="E223" s="37"/>
      <c r="F223" s="40"/>
      <c r="G223" s="40"/>
      <c r="H223" s="40"/>
      <c r="I223" s="40"/>
      <c r="J223" s="40"/>
      <c r="K223" s="46"/>
    </row>
    <row r="224" ht="19.5" customHeight="1">
      <c r="A224" s="126">
        <f t="shared" si="46"/>
        <v>31</v>
      </c>
      <c r="B224" s="37" t="s">
        <v>314</v>
      </c>
      <c r="C224" s="46" t="s">
        <v>106</v>
      </c>
      <c r="D224" s="123">
        <v>1.0</v>
      </c>
      <c r="E224" s="37"/>
      <c r="F224" s="40"/>
      <c r="G224" s="40"/>
      <c r="H224" s="40"/>
      <c r="I224" s="40"/>
      <c r="J224" s="40"/>
      <c r="K224" s="46"/>
    </row>
    <row r="225" ht="19.5" customHeight="1">
      <c r="A225" s="126">
        <f t="shared" si="46"/>
        <v>32</v>
      </c>
      <c r="B225" s="37" t="s">
        <v>315</v>
      </c>
      <c r="C225" s="46" t="s">
        <v>106</v>
      </c>
      <c r="D225" s="123">
        <v>1.0</v>
      </c>
      <c r="E225" s="37"/>
      <c r="F225" s="40"/>
      <c r="G225" s="40"/>
      <c r="H225" s="40"/>
      <c r="I225" s="40"/>
      <c r="J225" s="40"/>
      <c r="K225" s="46"/>
    </row>
    <row r="226" ht="19.5" customHeight="1">
      <c r="A226" s="126">
        <f t="shared" si="46"/>
        <v>33</v>
      </c>
      <c r="B226" s="37" t="s">
        <v>316</v>
      </c>
      <c r="C226" s="46" t="s">
        <v>106</v>
      </c>
      <c r="D226" s="123">
        <v>1.0</v>
      </c>
      <c r="E226" s="37"/>
      <c r="F226" s="40"/>
      <c r="G226" s="40"/>
      <c r="H226" s="40"/>
      <c r="I226" s="40"/>
      <c r="J226" s="40"/>
      <c r="K226" s="46"/>
    </row>
    <row r="227" ht="19.5" customHeight="1">
      <c r="A227" s="126">
        <f t="shared" si="46"/>
        <v>34</v>
      </c>
      <c r="B227" s="37" t="s">
        <v>317</v>
      </c>
      <c r="C227" s="46" t="s">
        <v>106</v>
      </c>
      <c r="D227" s="123">
        <v>1.0</v>
      </c>
      <c r="E227" s="37"/>
      <c r="F227" s="40"/>
      <c r="G227" s="40"/>
      <c r="H227" s="40"/>
      <c r="I227" s="40"/>
      <c r="J227" s="40"/>
      <c r="K227" s="46"/>
    </row>
    <row r="228" ht="19.5" customHeight="1">
      <c r="A228" s="126">
        <f t="shared" si="46"/>
        <v>35</v>
      </c>
      <c r="B228" s="37" t="s">
        <v>318</v>
      </c>
      <c r="C228" s="46" t="s">
        <v>106</v>
      </c>
      <c r="D228" s="123">
        <v>1.0</v>
      </c>
      <c r="E228" s="37"/>
      <c r="F228" s="40"/>
      <c r="G228" s="40"/>
      <c r="H228" s="40"/>
      <c r="I228" s="40"/>
      <c r="J228" s="40"/>
      <c r="K228" s="46"/>
    </row>
    <row r="229" ht="19.5" customHeight="1">
      <c r="A229" s="126">
        <f t="shared" si="46"/>
        <v>36</v>
      </c>
      <c r="B229" s="37" t="s">
        <v>319</v>
      </c>
      <c r="C229" s="46" t="s">
        <v>106</v>
      </c>
      <c r="D229" s="123">
        <v>2.0</v>
      </c>
      <c r="E229" s="37"/>
      <c r="F229" s="40"/>
      <c r="G229" s="40"/>
      <c r="H229" s="40"/>
      <c r="I229" s="40"/>
      <c r="J229" s="40"/>
      <c r="K229" s="46"/>
    </row>
    <row r="230" ht="19.5" customHeight="1">
      <c r="A230" s="154" t="s">
        <v>1308</v>
      </c>
      <c r="B230" s="37" t="s">
        <v>320</v>
      </c>
      <c r="C230" s="46" t="s">
        <v>106</v>
      </c>
      <c r="D230" s="123">
        <v>1.0</v>
      </c>
      <c r="E230" s="37"/>
      <c r="F230" s="40"/>
      <c r="G230" s="40"/>
      <c r="H230" s="40"/>
      <c r="I230" s="40"/>
      <c r="J230" s="40"/>
      <c r="K230" s="46"/>
    </row>
    <row r="231" ht="19.5" customHeight="1">
      <c r="A231" s="154" t="s">
        <v>1309</v>
      </c>
      <c r="B231" s="37" t="s">
        <v>321</v>
      </c>
      <c r="C231" s="46" t="s">
        <v>106</v>
      </c>
      <c r="D231" s="123">
        <v>1.0</v>
      </c>
      <c r="E231" s="37"/>
      <c r="F231" s="40"/>
      <c r="G231" s="40"/>
      <c r="H231" s="40"/>
      <c r="I231" s="40"/>
      <c r="J231" s="40"/>
      <c r="K231" s="46"/>
    </row>
    <row r="232" ht="19.5" customHeight="1">
      <c r="A232" s="154" t="s">
        <v>1310</v>
      </c>
      <c r="B232" s="37" t="s">
        <v>322</v>
      </c>
      <c r="C232" s="46" t="s">
        <v>106</v>
      </c>
      <c r="D232" s="123">
        <v>1.0</v>
      </c>
      <c r="E232" s="37"/>
      <c r="F232" s="40"/>
      <c r="G232" s="40"/>
      <c r="H232" s="40"/>
      <c r="I232" s="40"/>
      <c r="J232" s="40"/>
      <c r="K232" s="46"/>
    </row>
    <row r="233" ht="19.5" customHeight="1">
      <c r="A233" s="46"/>
      <c r="B233" s="37"/>
      <c r="C233" s="46"/>
      <c r="D233" s="123"/>
      <c r="E233" s="37"/>
      <c r="F233" s="40"/>
      <c r="G233" s="40"/>
      <c r="H233" s="40"/>
      <c r="I233" s="40"/>
      <c r="J233" s="40"/>
      <c r="K233" s="46"/>
    </row>
    <row r="234" ht="19.5" customHeight="1">
      <c r="A234" s="74" t="s">
        <v>1</v>
      </c>
      <c r="B234" s="74" t="s">
        <v>91</v>
      </c>
      <c r="C234" s="74" t="s">
        <v>92</v>
      </c>
      <c r="D234" s="76" t="s">
        <v>93</v>
      </c>
      <c r="E234" s="51" t="s">
        <v>97</v>
      </c>
      <c r="F234" s="53" t="s">
        <v>121</v>
      </c>
      <c r="G234" s="53" t="s">
        <v>99</v>
      </c>
      <c r="H234" s="53" t="s">
        <v>100</v>
      </c>
      <c r="I234" s="53" t="s">
        <v>101</v>
      </c>
      <c r="J234" s="76" t="s">
        <v>95</v>
      </c>
      <c r="K234" s="74" t="s">
        <v>96</v>
      </c>
    </row>
    <row r="235" ht="19.5" customHeight="1">
      <c r="A235" s="154" t="s">
        <v>1311</v>
      </c>
      <c r="B235" s="37" t="s">
        <v>326</v>
      </c>
      <c r="C235" s="38" t="s">
        <v>106</v>
      </c>
      <c r="D235" s="78">
        <v>1.0</v>
      </c>
      <c r="E235" s="37"/>
      <c r="F235" s="78"/>
      <c r="G235" s="40"/>
      <c r="H235" s="40">
        <f t="shared" ref="H235:H238" si="47">D235</f>
        <v>1</v>
      </c>
      <c r="I235" s="42"/>
      <c r="J235" s="43">
        <f t="shared" ref="J235:J239" si="48">H235</f>
        <v>1</v>
      </c>
      <c r="K235" s="46"/>
    </row>
    <row r="236" ht="19.5" customHeight="1">
      <c r="A236" s="154" t="s">
        <v>1312</v>
      </c>
      <c r="B236" s="49" t="s">
        <v>880</v>
      </c>
      <c r="C236" s="38" t="s">
        <v>106</v>
      </c>
      <c r="D236" s="78">
        <v>1.0</v>
      </c>
      <c r="E236" s="37"/>
      <c r="F236" s="40"/>
      <c r="G236" s="40"/>
      <c r="H236" s="40">
        <f t="shared" si="47"/>
        <v>1</v>
      </c>
      <c r="I236" s="40"/>
      <c r="J236" s="43">
        <f t="shared" si="48"/>
        <v>1</v>
      </c>
      <c r="K236" s="46"/>
    </row>
    <row r="237" ht="19.5" customHeight="1">
      <c r="A237" s="154" t="s">
        <v>1313</v>
      </c>
      <c r="B237" s="37" t="s">
        <v>327</v>
      </c>
      <c r="C237" s="38" t="s">
        <v>106</v>
      </c>
      <c r="D237" s="125">
        <v>1.0</v>
      </c>
      <c r="E237" s="37"/>
      <c r="F237" s="40"/>
      <c r="G237" s="40"/>
      <c r="H237" s="40">
        <f t="shared" si="47"/>
        <v>1</v>
      </c>
      <c r="I237" s="40"/>
      <c r="J237" s="43">
        <f t="shared" si="48"/>
        <v>1</v>
      </c>
      <c r="K237" s="46"/>
    </row>
    <row r="238" ht="19.5" customHeight="1">
      <c r="A238" s="154" t="s">
        <v>1314</v>
      </c>
      <c r="B238" s="37" t="s">
        <v>379</v>
      </c>
      <c r="C238" s="38" t="s">
        <v>106</v>
      </c>
      <c r="D238" s="123">
        <v>1.0</v>
      </c>
      <c r="E238" s="37"/>
      <c r="F238" s="40"/>
      <c r="G238" s="40"/>
      <c r="H238" s="40">
        <f t="shared" si="47"/>
        <v>1</v>
      </c>
      <c r="I238" s="40"/>
      <c r="J238" s="43">
        <f t="shared" si="48"/>
        <v>1</v>
      </c>
      <c r="K238" s="46"/>
    </row>
    <row r="239" ht="19.5" customHeight="1">
      <c r="A239" s="154" t="s">
        <v>1315</v>
      </c>
      <c r="B239" s="37" t="s">
        <v>330</v>
      </c>
      <c r="C239" s="46" t="s">
        <v>103</v>
      </c>
      <c r="D239" s="123">
        <v>1.0</v>
      </c>
      <c r="E239" s="49">
        <v>0.9</v>
      </c>
      <c r="F239" s="41">
        <v>0.6</v>
      </c>
      <c r="G239" s="40"/>
      <c r="H239" s="40">
        <f>D239*E239*F239</f>
        <v>0.54</v>
      </c>
      <c r="I239" s="40"/>
      <c r="J239" s="43">
        <f t="shared" si="48"/>
        <v>0.54</v>
      </c>
      <c r="K239" s="46"/>
    </row>
    <row r="240" ht="19.5" customHeight="1">
      <c r="A240" s="74" t="s">
        <v>1</v>
      </c>
      <c r="B240" s="74" t="s">
        <v>91</v>
      </c>
      <c r="C240" s="74" t="s">
        <v>92</v>
      </c>
      <c r="D240" s="76" t="s">
        <v>93</v>
      </c>
      <c r="E240" s="51" t="s">
        <v>97</v>
      </c>
      <c r="F240" s="53" t="s">
        <v>121</v>
      </c>
      <c r="G240" s="53" t="s">
        <v>99</v>
      </c>
      <c r="H240" s="53" t="s">
        <v>100</v>
      </c>
      <c r="I240" s="53" t="s">
        <v>101</v>
      </c>
      <c r="J240" s="76" t="s">
        <v>95</v>
      </c>
      <c r="K240" s="74" t="s">
        <v>96</v>
      </c>
    </row>
    <row r="241" ht="19.5" customHeight="1">
      <c r="A241" s="154" t="s">
        <v>1316</v>
      </c>
      <c r="B241" s="49" t="s">
        <v>1317</v>
      </c>
      <c r="C241" s="46" t="s">
        <v>103</v>
      </c>
      <c r="D241" s="123">
        <v>1.0</v>
      </c>
      <c r="E241" s="49">
        <v>0.75</v>
      </c>
      <c r="F241" s="41">
        <v>5.9</v>
      </c>
      <c r="G241" s="41">
        <v>4.5</v>
      </c>
      <c r="H241" s="40">
        <f>((F241+G241)*2)*E241</f>
        <v>15.6</v>
      </c>
      <c r="I241" s="40"/>
      <c r="J241" s="43">
        <f>H241</f>
        <v>15.6</v>
      </c>
      <c r="K241" s="46"/>
    </row>
    <row r="242" ht="19.5" customHeight="1">
      <c r="A242" s="12"/>
      <c r="C242" s="12"/>
      <c r="D242" s="87"/>
      <c r="F242" s="14"/>
      <c r="G242" s="14"/>
      <c r="H242" s="14"/>
      <c r="I242" s="14"/>
      <c r="J242" s="14"/>
      <c r="K242" s="12"/>
    </row>
    <row r="243" ht="19.5" customHeight="1">
      <c r="A243" s="12"/>
      <c r="C243" s="12"/>
      <c r="D243" s="87"/>
      <c r="F243" s="14"/>
      <c r="G243" s="14"/>
      <c r="H243" s="14"/>
      <c r="I243" s="14"/>
      <c r="J243" s="14"/>
      <c r="K243" s="12"/>
    </row>
    <row r="244" ht="19.5" customHeight="1">
      <c r="A244" s="12"/>
      <c r="C244" s="12"/>
      <c r="D244" s="87"/>
      <c r="F244" s="14"/>
      <c r="G244" s="14"/>
      <c r="H244" s="14"/>
      <c r="I244" s="14"/>
      <c r="J244" s="14"/>
      <c r="K244" s="12"/>
    </row>
    <row r="245" ht="19.5" customHeight="1">
      <c r="A245" s="12"/>
      <c r="C245" s="12"/>
      <c r="D245" s="87"/>
      <c r="F245" s="14"/>
      <c r="G245" s="14"/>
      <c r="H245" s="14"/>
      <c r="I245" s="14"/>
      <c r="J245" s="14"/>
      <c r="K245" s="12"/>
    </row>
    <row r="246" ht="19.5" customHeight="1">
      <c r="A246" s="12"/>
      <c r="C246" s="12"/>
      <c r="D246" s="87"/>
      <c r="F246" s="14"/>
      <c r="G246" s="14"/>
      <c r="H246" s="14"/>
      <c r="I246" s="14"/>
      <c r="J246" s="14"/>
      <c r="K246" s="12"/>
    </row>
    <row r="247" ht="19.5" customHeight="1">
      <c r="A247" s="12"/>
      <c r="C247" s="12"/>
      <c r="D247" s="87"/>
      <c r="F247" s="14"/>
      <c r="G247" s="14"/>
      <c r="H247" s="14"/>
      <c r="I247" s="14"/>
      <c r="J247" s="14"/>
      <c r="K247" s="12"/>
    </row>
    <row r="248" ht="19.5" customHeight="1">
      <c r="A248" s="12"/>
      <c r="C248" s="12"/>
      <c r="D248" s="87"/>
      <c r="F248" s="14"/>
      <c r="G248" s="14"/>
      <c r="H248" s="14"/>
      <c r="I248" s="14"/>
      <c r="J248" s="14"/>
      <c r="K248" s="12"/>
    </row>
    <row r="249" ht="19.5" customHeight="1">
      <c r="A249" s="12"/>
      <c r="C249" s="12"/>
      <c r="D249" s="87"/>
      <c r="F249" s="14"/>
      <c r="G249" s="14"/>
      <c r="H249" s="14"/>
      <c r="I249" s="14"/>
      <c r="J249" s="14"/>
      <c r="K249" s="12"/>
    </row>
    <row r="250" ht="19.5" customHeight="1">
      <c r="A250" s="12"/>
      <c r="C250" s="12"/>
      <c r="D250" s="87"/>
      <c r="F250" s="14"/>
      <c r="G250" s="14"/>
      <c r="H250" s="14"/>
      <c r="I250" s="14"/>
      <c r="J250" s="14"/>
      <c r="K250" s="12"/>
    </row>
    <row r="251" ht="19.5" customHeight="1">
      <c r="A251" s="12"/>
      <c r="C251" s="12"/>
      <c r="D251" s="87"/>
      <c r="F251" s="14"/>
      <c r="G251" s="14"/>
      <c r="H251" s="14"/>
      <c r="I251" s="14"/>
      <c r="J251" s="14"/>
      <c r="K251" s="12"/>
    </row>
    <row r="252" ht="19.5" customHeight="1">
      <c r="A252" s="12"/>
      <c r="C252" s="12"/>
      <c r="D252" s="87"/>
      <c r="F252" s="14"/>
      <c r="G252" s="14"/>
      <c r="H252" s="14"/>
      <c r="I252" s="14"/>
      <c r="J252" s="14"/>
      <c r="K252" s="12"/>
    </row>
    <row r="253" ht="19.5" customHeight="1">
      <c r="A253" s="12"/>
      <c r="C253" s="12"/>
      <c r="D253" s="87"/>
      <c r="F253" s="14"/>
      <c r="G253" s="14"/>
      <c r="H253" s="14"/>
      <c r="I253" s="14"/>
      <c r="J253" s="14"/>
      <c r="K253" s="12"/>
    </row>
    <row r="254" ht="19.5" customHeight="1">
      <c r="A254" s="12"/>
      <c r="C254" s="12"/>
      <c r="D254" s="87"/>
      <c r="F254" s="14"/>
      <c r="G254" s="14"/>
      <c r="H254" s="14"/>
      <c r="I254" s="14"/>
      <c r="J254" s="14"/>
      <c r="K254" s="12"/>
    </row>
    <row r="255" ht="19.5" customHeight="1">
      <c r="A255" s="12"/>
      <c r="C255" s="12"/>
      <c r="D255" s="87"/>
      <c r="F255" s="14"/>
      <c r="G255" s="14"/>
      <c r="H255" s="14"/>
      <c r="I255" s="14"/>
      <c r="J255" s="14"/>
      <c r="K255" s="12"/>
    </row>
    <row r="256" ht="19.5" customHeight="1">
      <c r="A256" s="12"/>
      <c r="C256" s="12"/>
      <c r="D256" s="87"/>
      <c r="F256" s="14"/>
      <c r="G256" s="14"/>
      <c r="H256" s="14"/>
      <c r="I256" s="14"/>
      <c r="J256" s="14"/>
      <c r="K256" s="12"/>
    </row>
    <row r="257" ht="19.5" customHeight="1">
      <c r="A257" s="12"/>
      <c r="C257" s="12"/>
      <c r="D257" s="87"/>
      <c r="F257" s="14"/>
      <c r="G257" s="14"/>
      <c r="H257" s="14"/>
      <c r="I257" s="14"/>
      <c r="J257" s="14"/>
      <c r="K257" s="12"/>
    </row>
    <row r="258" ht="19.5" customHeight="1">
      <c r="A258" s="12"/>
      <c r="C258" s="12"/>
      <c r="D258" s="87"/>
      <c r="F258" s="14"/>
      <c r="G258" s="14"/>
      <c r="H258" s="14"/>
      <c r="I258" s="14"/>
      <c r="J258" s="14"/>
      <c r="K258" s="12"/>
    </row>
    <row r="259" ht="19.5" customHeight="1">
      <c r="A259" s="12"/>
      <c r="C259" s="12"/>
      <c r="D259" s="87"/>
      <c r="F259" s="14"/>
      <c r="G259" s="14"/>
      <c r="H259" s="14"/>
      <c r="I259" s="14"/>
      <c r="J259" s="14"/>
      <c r="K259" s="12"/>
    </row>
    <row r="260" ht="19.5" customHeight="1">
      <c r="A260" s="12"/>
      <c r="C260" s="12"/>
      <c r="D260" s="87"/>
      <c r="F260" s="14"/>
      <c r="G260" s="14"/>
      <c r="H260" s="14"/>
      <c r="I260" s="14"/>
      <c r="J260" s="14"/>
      <c r="K260" s="12"/>
    </row>
    <row r="261" ht="19.5" customHeight="1">
      <c r="A261" s="12"/>
      <c r="C261" s="12"/>
      <c r="D261" s="87"/>
      <c r="F261" s="14"/>
      <c r="G261" s="14"/>
      <c r="H261" s="14"/>
      <c r="I261" s="14"/>
      <c r="J261" s="14"/>
      <c r="K261" s="12"/>
    </row>
    <row r="262" ht="19.5" customHeight="1">
      <c r="A262" s="12"/>
      <c r="C262" s="12"/>
      <c r="D262" s="87"/>
      <c r="F262" s="14"/>
      <c r="G262" s="14"/>
      <c r="H262" s="14"/>
      <c r="I262" s="14"/>
      <c r="J262" s="14"/>
      <c r="K262" s="12"/>
    </row>
    <row r="263" ht="19.5" customHeight="1">
      <c r="A263" s="12"/>
      <c r="C263" s="12"/>
      <c r="D263" s="87"/>
      <c r="F263" s="14"/>
      <c r="G263" s="14"/>
      <c r="H263" s="14"/>
      <c r="I263" s="14"/>
      <c r="J263" s="14"/>
      <c r="K263" s="12"/>
    </row>
    <row r="264" ht="19.5" customHeight="1">
      <c r="A264" s="12"/>
      <c r="C264" s="12"/>
      <c r="D264" s="87"/>
      <c r="F264" s="14"/>
      <c r="G264" s="14"/>
      <c r="H264" s="14"/>
      <c r="I264" s="14"/>
      <c r="J264" s="14"/>
      <c r="K264" s="12"/>
    </row>
    <row r="265" ht="19.5" customHeight="1">
      <c r="A265" s="12"/>
      <c r="C265" s="12"/>
      <c r="D265" s="87"/>
      <c r="F265" s="14"/>
      <c r="G265" s="14"/>
      <c r="H265" s="14"/>
      <c r="I265" s="14"/>
      <c r="J265" s="14"/>
      <c r="K265" s="12"/>
    </row>
    <row r="266" ht="19.5" customHeight="1">
      <c r="A266" s="12"/>
      <c r="C266" s="12"/>
      <c r="D266" s="87"/>
      <c r="F266" s="14"/>
      <c r="G266" s="14"/>
      <c r="H266" s="14"/>
      <c r="I266" s="14"/>
      <c r="J266" s="14"/>
      <c r="K266" s="12"/>
    </row>
    <row r="267" ht="19.5" customHeight="1">
      <c r="A267" s="12"/>
      <c r="C267" s="12"/>
      <c r="D267" s="87"/>
      <c r="F267" s="14"/>
      <c r="G267" s="14"/>
      <c r="H267" s="14"/>
      <c r="I267" s="14"/>
      <c r="J267" s="14"/>
      <c r="K267" s="12"/>
    </row>
    <row r="268" ht="19.5" customHeight="1">
      <c r="A268" s="12"/>
      <c r="C268" s="12"/>
      <c r="D268" s="87"/>
      <c r="F268" s="14"/>
      <c r="G268" s="14"/>
      <c r="H268" s="14"/>
      <c r="I268" s="14"/>
      <c r="J268" s="14"/>
      <c r="K268" s="12"/>
    </row>
    <row r="269" ht="19.5" customHeight="1">
      <c r="A269" s="12"/>
      <c r="C269" s="12"/>
      <c r="D269" s="87"/>
      <c r="F269" s="14"/>
      <c r="G269" s="14"/>
      <c r="H269" s="14"/>
      <c r="I269" s="14"/>
      <c r="J269" s="14"/>
      <c r="K269" s="12"/>
    </row>
    <row r="270" ht="19.5" customHeight="1">
      <c r="A270" s="12"/>
      <c r="C270" s="12"/>
      <c r="D270" s="87"/>
      <c r="F270" s="14"/>
      <c r="G270" s="14"/>
      <c r="H270" s="14"/>
      <c r="I270" s="14"/>
      <c r="J270" s="14"/>
      <c r="K270" s="12"/>
    </row>
    <row r="271" ht="19.5" customHeight="1">
      <c r="A271" s="12"/>
      <c r="C271" s="12"/>
      <c r="D271" s="87"/>
      <c r="F271" s="14"/>
      <c r="G271" s="14"/>
      <c r="H271" s="14"/>
      <c r="I271" s="14"/>
      <c r="J271" s="14"/>
      <c r="K271" s="12"/>
    </row>
    <row r="272" ht="19.5" customHeight="1">
      <c r="A272" s="12"/>
      <c r="C272" s="12"/>
      <c r="D272" s="87"/>
      <c r="F272" s="14"/>
      <c r="G272" s="14"/>
      <c r="H272" s="14"/>
      <c r="I272" s="14"/>
      <c r="J272" s="14"/>
      <c r="K272" s="12"/>
    </row>
    <row r="273" ht="19.5" customHeight="1">
      <c r="A273" s="12"/>
      <c r="C273" s="12"/>
      <c r="D273" s="87"/>
      <c r="F273" s="14"/>
      <c r="G273" s="14"/>
      <c r="H273" s="14"/>
      <c r="I273" s="14"/>
      <c r="J273" s="14"/>
      <c r="K273" s="12"/>
    </row>
    <row r="274" ht="19.5" customHeight="1">
      <c r="A274" s="12"/>
      <c r="C274" s="12"/>
      <c r="D274" s="87"/>
      <c r="F274" s="14"/>
      <c r="G274" s="14"/>
      <c r="H274" s="14"/>
      <c r="I274" s="14"/>
      <c r="J274" s="14"/>
      <c r="K274" s="12"/>
    </row>
    <row r="275" ht="19.5" customHeight="1">
      <c r="A275" s="12"/>
      <c r="C275" s="12"/>
      <c r="D275" s="87"/>
      <c r="F275" s="14"/>
      <c r="G275" s="14"/>
      <c r="H275" s="14"/>
      <c r="I275" s="14"/>
      <c r="J275" s="14"/>
      <c r="K275" s="12"/>
    </row>
    <row r="276" ht="19.5" customHeight="1">
      <c r="A276" s="12"/>
      <c r="C276" s="12"/>
      <c r="D276" s="87"/>
      <c r="F276" s="14"/>
      <c r="G276" s="14"/>
      <c r="H276" s="14"/>
      <c r="I276" s="14"/>
      <c r="J276" s="14"/>
      <c r="K276" s="12"/>
    </row>
    <row r="277" ht="19.5" customHeight="1">
      <c r="A277" s="12"/>
      <c r="C277" s="12"/>
      <c r="D277" s="87"/>
      <c r="F277" s="14"/>
      <c r="G277" s="14"/>
      <c r="H277" s="14"/>
      <c r="I277" s="14"/>
      <c r="J277" s="14"/>
      <c r="K277" s="12"/>
    </row>
    <row r="278" ht="19.5" customHeight="1">
      <c r="A278" s="12"/>
      <c r="C278" s="12"/>
      <c r="D278" s="87"/>
      <c r="F278" s="14"/>
      <c r="G278" s="14"/>
      <c r="H278" s="14"/>
      <c r="I278" s="14"/>
      <c r="J278" s="14"/>
      <c r="K278" s="12"/>
    </row>
    <row r="279" ht="19.5" customHeight="1">
      <c r="A279" s="12"/>
      <c r="C279" s="12"/>
      <c r="D279" s="87"/>
      <c r="F279" s="14"/>
      <c r="G279" s="14"/>
      <c r="H279" s="14"/>
      <c r="I279" s="14"/>
      <c r="J279" s="14"/>
      <c r="K279" s="12"/>
    </row>
    <row r="280" ht="19.5" customHeight="1">
      <c r="A280" s="12"/>
      <c r="C280" s="12"/>
      <c r="D280" s="87"/>
      <c r="F280" s="14"/>
      <c r="G280" s="14"/>
      <c r="H280" s="14"/>
      <c r="I280" s="14"/>
      <c r="J280" s="14"/>
      <c r="K280" s="12"/>
    </row>
    <row r="281" ht="19.5" customHeight="1">
      <c r="A281" s="12"/>
      <c r="C281" s="12"/>
      <c r="D281" s="87"/>
      <c r="F281" s="14"/>
      <c r="G281" s="14"/>
      <c r="H281" s="14"/>
      <c r="I281" s="14"/>
      <c r="J281" s="14"/>
      <c r="K281" s="12"/>
    </row>
    <row r="282" ht="19.5" customHeight="1">
      <c r="A282" s="12"/>
      <c r="C282" s="12"/>
      <c r="D282" s="87"/>
      <c r="F282" s="14"/>
      <c r="G282" s="14"/>
      <c r="H282" s="14"/>
      <c r="I282" s="14"/>
      <c r="J282" s="14"/>
      <c r="K282" s="12"/>
    </row>
    <row r="283" ht="19.5" customHeight="1">
      <c r="A283" s="12"/>
      <c r="C283" s="12"/>
      <c r="D283" s="87"/>
      <c r="F283" s="14"/>
      <c r="G283" s="14"/>
      <c r="H283" s="14"/>
      <c r="I283" s="14"/>
      <c r="J283" s="14"/>
      <c r="K283" s="12"/>
    </row>
    <row r="284" ht="19.5" customHeight="1">
      <c r="A284" s="12"/>
      <c r="C284" s="12"/>
      <c r="D284" s="87"/>
      <c r="F284" s="14"/>
      <c r="G284" s="14"/>
      <c r="H284" s="14"/>
      <c r="I284" s="14"/>
      <c r="J284" s="14"/>
      <c r="K284" s="12"/>
    </row>
    <row r="285" ht="19.5" customHeight="1">
      <c r="A285" s="12"/>
      <c r="C285" s="12"/>
      <c r="D285" s="87"/>
      <c r="F285" s="14"/>
      <c r="G285" s="14"/>
      <c r="H285" s="14"/>
      <c r="I285" s="14"/>
      <c r="J285" s="14"/>
      <c r="K285" s="12"/>
    </row>
    <row r="286" ht="19.5" customHeight="1">
      <c r="A286" s="12"/>
      <c r="C286" s="12"/>
      <c r="D286" s="87"/>
      <c r="F286" s="14"/>
      <c r="G286" s="14"/>
      <c r="H286" s="14"/>
      <c r="I286" s="14"/>
      <c r="J286" s="14"/>
      <c r="K286" s="12"/>
    </row>
    <row r="287" ht="19.5" customHeight="1">
      <c r="A287" s="12"/>
      <c r="C287" s="12"/>
      <c r="D287" s="87"/>
      <c r="F287" s="14"/>
      <c r="G287" s="14"/>
      <c r="H287" s="14"/>
      <c r="I287" s="14"/>
      <c r="J287" s="14"/>
      <c r="K287" s="12"/>
    </row>
    <row r="288" ht="19.5" customHeight="1">
      <c r="A288" s="12"/>
      <c r="C288" s="12"/>
      <c r="D288" s="87"/>
      <c r="F288" s="14"/>
      <c r="G288" s="14"/>
      <c r="H288" s="14"/>
      <c r="I288" s="14"/>
      <c r="J288" s="14"/>
      <c r="K288" s="12"/>
    </row>
    <row r="289" ht="19.5" customHeight="1">
      <c r="A289" s="12"/>
      <c r="C289" s="12"/>
      <c r="D289" s="87"/>
      <c r="F289" s="14"/>
      <c r="G289" s="14"/>
      <c r="H289" s="14"/>
      <c r="I289" s="14"/>
      <c r="J289" s="14"/>
      <c r="K289" s="12"/>
    </row>
    <row r="290" ht="19.5" customHeight="1">
      <c r="A290" s="12"/>
      <c r="C290" s="12"/>
      <c r="D290" s="87"/>
      <c r="F290" s="14"/>
      <c r="G290" s="14"/>
      <c r="H290" s="14"/>
      <c r="I290" s="14"/>
      <c r="J290" s="14"/>
      <c r="K290" s="12"/>
    </row>
    <row r="291" ht="19.5" customHeight="1">
      <c r="A291" s="12"/>
      <c r="C291" s="12"/>
      <c r="D291" s="87"/>
      <c r="F291" s="14"/>
      <c r="G291" s="14"/>
      <c r="H291" s="14"/>
      <c r="I291" s="14"/>
      <c r="J291" s="14"/>
      <c r="K291" s="12"/>
    </row>
    <row r="292" ht="19.5" customHeight="1">
      <c r="A292" s="12"/>
      <c r="C292" s="12"/>
      <c r="D292" s="87"/>
      <c r="F292" s="14"/>
      <c r="G292" s="14"/>
      <c r="H292" s="14"/>
      <c r="I292" s="14"/>
      <c r="J292" s="14"/>
      <c r="K292" s="12"/>
    </row>
    <row r="293" ht="19.5" customHeight="1">
      <c r="A293" s="12"/>
      <c r="C293" s="12"/>
      <c r="D293" s="87"/>
      <c r="F293" s="14"/>
      <c r="G293" s="14"/>
      <c r="H293" s="14"/>
      <c r="I293" s="14"/>
      <c r="J293" s="14"/>
      <c r="K293" s="12"/>
    </row>
    <row r="294" ht="19.5" customHeight="1">
      <c r="A294" s="12"/>
      <c r="C294" s="12"/>
      <c r="D294" s="87"/>
      <c r="F294" s="14"/>
      <c r="G294" s="14"/>
      <c r="H294" s="14"/>
      <c r="I294" s="14"/>
      <c r="J294" s="14"/>
      <c r="K294" s="12"/>
    </row>
    <row r="295" ht="19.5" customHeight="1">
      <c r="A295" s="12"/>
      <c r="C295" s="12"/>
      <c r="D295" s="87"/>
      <c r="F295" s="14"/>
      <c r="G295" s="14"/>
      <c r="H295" s="14"/>
      <c r="I295" s="14"/>
      <c r="J295" s="14"/>
      <c r="K295" s="12"/>
    </row>
    <row r="296" ht="19.5" customHeight="1">
      <c r="A296" s="12"/>
      <c r="C296" s="12"/>
      <c r="D296" s="87"/>
      <c r="F296" s="14"/>
      <c r="G296" s="14"/>
      <c r="H296" s="14"/>
      <c r="I296" s="14"/>
      <c r="J296" s="14"/>
      <c r="K296" s="12"/>
    </row>
    <row r="297" ht="19.5" customHeight="1">
      <c r="A297" s="12"/>
      <c r="C297" s="12"/>
      <c r="D297" s="87"/>
      <c r="F297" s="14"/>
      <c r="G297" s="14"/>
      <c r="H297" s="14"/>
      <c r="I297" s="14"/>
      <c r="J297" s="14"/>
      <c r="K297" s="12"/>
    </row>
    <row r="298" ht="19.5" customHeight="1">
      <c r="A298" s="12"/>
      <c r="C298" s="12"/>
      <c r="D298" s="87"/>
      <c r="F298" s="14"/>
      <c r="G298" s="14"/>
      <c r="H298" s="14"/>
      <c r="I298" s="14"/>
      <c r="J298" s="14"/>
      <c r="K298" s="12"/>
    </row>
    <row r="299" ht="19.5" customHeight="1">
      <c r="A299" s="12"/>
      <c r="C299" s="12"/>
      <c r="D299" s="87"/>
      <c r="F299" s="14"/>
      <c r="G299" s="14"/>
      <c r="H299" s="14"/>
      <c r="I299" s="14"/>
      <c r="J299" s="14"/>
      <c r="K299" s="12"/>
    </row>
    <row r="300" ht="19.5" customHeight="1">
      <c r="A300" s="12"/>
      <c r="C300" s="12"/>
      <c r="D300" s="87"/>
      <c r="F300" s="14"/>
      <c r="G300" s="14"/>
      <c r="H300" s="14"/>
      <c r="I300" s="14"/>
      <c r="J300" s="14"/>
      <c r="K300" s="12"/>
    </row>
    <row r="301" ht="19.5" customHeight="1">
      <c r="A301" s="12"/>
      <c r="C301" s="12"/>
      <c r="D301" s="87"/>
      <c r="F301" s="14"/>
      <c r="G301" s="14"/>
      <c r="H301" s="14"/>
      <c r="I301" s="14"/>
      <c r="J301" s="14"/>
      <c r="K301" s="12"/>
    </row>
    <row r="302" ht="19.5" customHeight="1">
      <c r="A302" s="12"/>
      <c r="C302" s="12"/>
      <c r="D302" s="87"/>
      <c r="F302" s="14"/>
      <c r="G302" s="14"/>
      <c r="H302" s="14"/>
      <c r="I302" s="14"/>
      <c r="J302" s="14"/>
      <c r="K302" s="12"/>
    </row>
    <row r="303" ht="19.5" customHeight="1">
      <c r="A303" s="12"/>
      <c r="C303" s="12"/>
      <c r="D303" s="87"/>
      <c r="F303" s="14"/>
      <c r="G303" s="14"/>
      <c r="H303" s="14"/>
      <c r="I303" s="14"/>
      <c r="J303" s="14"/>
      <c r="K303" s="12"/>
    </row>
    <row r="304" ht="19.5" customHeight="1">
      <c r="A304" s="12"/>
      <c r="C304" s="12"/>
      <c r="D304" s="87"/>
      <c r="F304" s="14"/>
      <c r="G304" s="14"/>
      <c r="H304" s="14"/>
      <c r="I304" s="14"/>
      <c r="J304" s="14"/>
      <c r="K304" s="12"/>
    </row>
    <row r="305" ht="19.5" customHeight="1">
      <c r="A305" s="12"/>
      <c r="C305" s="12"/>
      <c r="D305" s="87"/>
      <c r="F305" s="14"/>
      <c r="G305" s="14"/>
      <c r="H305" s="14"/>
      <c r="I305" s="14"/>
      <c r="J305" s="14"/>
      <c r="K305" s="12"/>
    </row>
    <row r="306" ht="19.5" customHeight="1">
      <c r="A306" s="12"/>
      <c r="C306" s="12"/>
      <c r="D306" s="87"/>
      <c r="F306" s="14"/>
      <c r="G306" s="14"/>
      <c r="H306" s="14"/>
      <c r="I306" s="14"/>
      <c r="J306" s="14"/>
      <c r="K306" s="12"/>
    </row>
    <row r="307" ht="19.5" customHeight="1">
      <c r="A307" s="12"/>
      <c r="C307" s="12"/>
      <c r="D307" s="87"/>
      <c r="F307" s="14"/>
      <c r="G307" s="14"/>
      <c r="H307" s="14"/>
      <c r="I307" s="14"/>
      <c r="J307" s="14"/>
      <c r="K307" s="12"/>
    </row>
    <row r="308" ht="19.5" customHeight="1">
      <c r="A308" s="12"/>
      <c r="C308" s="12"/>
      <c r="D308" s="87"/>
      <c r="F308" s="14"/>
      <c r="G308" s="14"/>
      <c r="H308" s="14"/>
      <c r="I308" s="14"/>
      <c r="J308" s="14"/>
      <c r="K308" s="12"/>
    </row>
    <row r="309" ht="19.5" customHeight="1">
      <c r="A309" s="12"/>
      <c r="C309" s="12"/>
      <c r="D309" s="87"/>
      <c r="F309" s="14"/>
      <c r="G309" s="14"/>
      <c r="H309" s="14"/>
      <c r="I309" s="14"/>
      <c r="J309" s="14"/>
      <c r="K309" s="12"/>
    </row>
    <row r="310" ht="19.5" customHeight="1">
      <c r="A310" s="12"/>
      <c r="C310" s="12"/>
      <c r="D310" s="87"/>
      <c r="F310" s="14"/>
      <c r="G310" s="14"/>
      <c r="H310" s="14"/>
      <c r="I310" s="14"/>
      <c r="J310" s="14"/>
      <c r="K310" s="12"/>
    </row>
    <row r="311" ht="19.5" customHeight="1">
      <c r="A311" s="12"/>
      <c r="C311" s="12"/>
      <c r="D311" s="87"/>
      <c r="F311" s="14"/>
      <c r="G311" s="14"/>
      <c r="H311" s="14"/>
      <c r="I311" s="14"/>
      <c r="J311" s="14"/>
      <c r="K311" s="12"/>
    </row>
    <row r="312" ht="19.5" customHeight="1">
      <c r="A312" s="12"/>
      <c r="C312" s="12"/>
      <c r="D312" s="87"/>
      <c r="F312" s="14"/>
      <c r="G312" s="14"/>
      <c r="H312" s="14"/>
      <c r="I312" s="14"/>
      <c r="J312" s="14"/>
      <c r="K312" s="12"/>
    </row>
    <row r="313" ht="19.5" customHeight="1">
      <c r="A313" s="12"/>
      <c r="C313" s="12"/>
      <c r="D313" s="87"/>
      <c r="F313" s="14"/>
      <c r="G313" s="14"/>
      <c r="H313" s="14"/>
      <c r="I313" s="14"/>
      <c r="J313" s="14"/>
      <c r="K313" s="12"/>
    </row>
    <row r="314" ht="19.5" customHeight="1">
      <c r="A314" s="12"/>
      <c r="C314" s="12"/>
      <c r="D314" s="87"/>
      <c r="F314" s="14"/>
      <c r="G314" s="14"/>
      <c r="H314" s="14"/>
      <c r="I314" s="14"/>
      <c r="J314" s="14"/>
      <c r="K314" s="12"/>
    </row>
    <row r="315" ht="19.5" customHeight="1">
      <c r="A315" s="12"/>
      <c r="C315" s="12"/>
      <c r="D315" s="87"/>
      <c r="F315" s="14"/>
      <c r="G315" s="14"/>
      <c r="H315" s="14"/>
      <c r="I315" s="14"/>
      <c r="J315" s="14"/>
      <c r="K315" s="12"/>
    </row>
    <row r="316" ht="19.5" customHeight="1">
      <c r="A316" s="12"/>
      <c r="C316" s="12"/>
      <c r="D316" s="87"/>
      <c r="F316" s="14"/>
      <c r="G316" s="14"/>
      <c r="H316" s="14"/>
      <c r="I316" s="14"/>
      <c r="J316" s="14"/>
      <c r="K316" s="12"/>
    </row>
    <row r="317" ht="19.5" customHeight="1">
      <c r="A317" s="12"/>
      <c r="C317" s="12"/>
      <c r="D317" s="87"/>
      <c r="F317" s="14"/>
      <c r="G317" s="14"/>
      <c r="H317" s="14"/>
      <c r="I317" s="14"/>
      <c r="J317" s="14"/>
      <c r="K317" s="12"/>
    </row>
    <row r="318" ht="19.5" customHeight="1">
      <c r="A318" s="12"/>
      <c r="C318" s="12"/>
      <c r="D318" s="87"/>
      <c r="F318" s="14"/>
      <c r="G318" s="14"/>
      <c r="H318" s="14"/>
      <c r="I318" s="14"/>
      <c r="J318" s="14"/>
      <c r="K318" s="12"/>
    </row>
    <row r="319" ht="19.5" customHeight="1">
      <c r="A319" s="12"/>
      <c r="C319" s="12"/>
      <c r="D319" s="87"/>
      <c r="F319" s="14"/>
      <c r="G319" s="14"/>
      <c r="H319" s="14"/>
      <c r="I319" s="14"/>
      <c r="J319" s="14"/>
      <c r="K319" s="12"/>
    </row>
    <row r="320" ht="19.5" customHeight="1">
      <c r="A320" s="12"/>
      <c r="C320" s="12"/>
      <c r="D320" s="87"/>
      <c r="F320" s="14"/>
      <c r="G320" s="14"/>
      <c r="H320" s="14"/>
      <c r="I320" s="14"/>
      <c r="J320" s="14"/>
      <c r="K320" s="12"/>
    </row>
    <row r="321" ht="19.5" customHeight="1">
      <c r="A321" s="12"/>
      <c r="C321" s="12"/>
      <c r="D321" s="87"/>
      <c r="F321" s="14"/>
      <c r="G321" s="14"/>
      <c r="H321" s="14"/>
      <c r="I321" s="14"/>
      <c r="J321" s="14"/>
      <c r="K321" s="12"/>
    </row>
    <row r="322" ht="19.5" customHeight="1">
      <c r="A322" s="12"/>
      <c r="C322" s="12"/>
      <c r="D322" s="87"/>
      <c r="F322" s="14"/>
      <c r="G322" s="14"/>
      <c r="H322" s="14"/>
      <c r="I322" s="14"/>
      <c r="J322" s="14"/>
      <c r="K322" s="12"/>
    </row>
    <row r="323" ht="19.5" customHeight="1">
      <c r="A323" s="12"/>
      <c r="C323" s="12"/>
      <c r="D323" s="87"/>
      <c r="F323" s="14"/>
      <c r="G323" s="14"/>
      <c r="H323" s="14"/>
      <c r="I323" s="14"/>
      <c r="J323" s="14"/>
      <c r="K323" s="12"/>
    </row>
    <row r="324" ht="19.5" customHeight="1">
      <c r="A324" s="12"/>
      <c r="C324" s="12"/>
      <c r="D324" s="87"/>
      <c r="F324" s="14"/>
      <c r="G324" s="14"/>
      <c r="H324" s="14"/>
      <c r="I324" s="14"/>
      <c r="J324" s="14"/>
      <c r="K324" s="12"/>
    </row>
    <row r="325" ht="19.5" customHeight="1">
      <c r="A325" s="12"/>
      <c r="C325" s="12"/>
      <c r="D325" s="87"/>
      <c r="F325" s="14"/>
      <c r="G325" s="14"/>
      <c r="H325" s="14"/>
      <c r="I325" s="14"/>
      <c r="J325" s="14"/>
      <c r="K325" s="12"/>
    </row>
    <row r="326" ht="19.5" customHeight="1">
      <c r="A326" s="12"/>
      <c r="C326" s="12"/>
      <c r="D326" s="87"/>
      <c r="F326" s="14"/>
      <c r="G326" s="14"/>
      <c r="H326" s="14"/>
      <c r="I326" s="14"/>
      <c r="J326" s="14"/>
      <c r="K326" s="12"/>
    </row>
    <row r="327" ht="19.5" customHeight="1">
      <c r="A327" s="12"/>
      <c r="C327" s="12"/>
      <c r="D327" s="87"/>
      <c r="F327" s="14"/>
      <c r="G327" s="14"/>
      <c r="H327" s="14"/>
      <c r="I327" s="14"/>
      <c r="J327" s="14"/>
      <c r="K327" s="12"/>
    </row>
    <row r="328" ht="19.5" customHeight="1">
      <c r="A328" s="12"/>
      <c r="C328" s="12"/>
      <c r="D328" s="87"/>
      <c r="F328" s="14"/>
      <c r="G328" s="14"/>
      <c r="H328" s="14"/>
      <c r="I328" s="14"/>
      <c r="J328" s="14"/>
      <c r="K328" s="12"/>
    </row>
    <row r="329" ht="19.5" customHeight="1">
      <c r="A329" s="12"/>
      <c r="C329" s="12"/>
      <c r="D329" s="87"/>
      <c r="F329" s="14"/>
      <c r="G329" s="14"/>
      <c r="H329" s="14"/>
      <c r="I329" s="14"/>
      <c r="J329" s="14"/>
      <c r="K329" s="12"/>
    </row>
    <row r="330" ht="19.5" customHeight="1">
      <c r="A330" s="12"/>
      <c r="C330" s="12"/>
      <c r="D330" s="87"/>
      <c r="F330" s="14"/>
      <c r="G330" s="14"/>
      <c r="H330" s="14"/>
      <c r="I330" s="14"/>
      <c r="J330" s="14"/>
      <c r="K330" s="12"/>
    </row>
    <row r="331" ht="19.5" customHeight="1">
      <c r="A331" s="12"/>
      <c r="C331" s="12"/>
      <c r="D331" s="87"/>
      <c r="F331" s="14"/>
      <c r="G331" s="14"/>
      <c r="H331" s="14"/>
      <c r="I331" s="14"/>
      <c r="J331" s="14"/>
      <c r="K331" s="12"/>
    </row>
    <row r="332" ht="19.5" customHeight="1">
      <c r="A332" s="12"/>
      <c r="C332" s="12"/>
      <c r="D332" s="87"/>
      <c r="F332" s="14"/>
      <c r="G332" s="14"/>
      <c r="H332" s="14"/>
      <c r="I332" s="14"/>
      <c r="J332" s="14"/>
      <c r="K332" s="12"/>
    </row>
    <row r="333" ht="19.5" customHeight="1">
      <c r="A333" s="12"/>
      <c r="C333" s="12"/>
      <c r="D333" s="87"/>
      <c r="F333" s="14"/>
      <c r="G333" s="14"/>
      <c r="H333" s="14"/>
      <c r="I333" s="14"/>
      <c r="J333" s="14"/>
      <c r="K333" s="12"/>
    </row>
    <row r="334" ht="19.5" customHeight="1">
      <c r="A334" s="12"/>
      <c r="C334" s="12"/>
      <c r="D334" s="87"/>
      <c r="F334" s="14"/>
      <c r="G334" s="14"/>
      <c r="H334" s="14"/>
      <c r="I334" s="14"/>
      <c r="J334" s="14"/>
      <c r="K334" s="12"/>
    </row>
    <row r="335" ht="19.5" customHeight="1">
      <c r="A335" s="12"/>
      <c r="C335" s="12"/>
      <c r="D335" s="87"/>
      <c r="F335" s="14"/>
      <c r="G335" s="14"/>
      <c r="H335" s="14"/>
      <c r="I335" s="14"/>
      <c r="J335" s="14"/>
      <c r="K335" s="12"/>
    </row>
    <row r="336" ht="19.5" customHeight="1">
      <c r="A336" s="12"/>
      <c r="C336" s="12"/>
      <c r="D336" s="87"/>
      <c r="F336" s="14"/>
      <c r="G336" s="14"/>
      <c r="H336" s="14"/>
      <c r="I336" s="14"/>
      <c r="J336" s="14"/>
      <c r="K336" s="12"/>
    </row>
    <row r="337" ht="19.5" customHeight="1">
      <c r="A337" s="12"/>
      <c r="C337" s="12"/>
      <c r="D337" s="87"/>
      <c r="F337" s="14"/>
      <c r="G337" s="14"/>
      <c r="H337" s="14"/>
      <c r="I337" s="14"/>
      <c r="J337" s="14"/>
      <c r="K337" s="12"/>
    </row>
    <row r="338" ht="19.5" customHeight="1">
      <c r="A338" s="12"/>
      <c r="C338" s="12"/>
      <c r="D338" s="87"/>
      <c r="F338" s="14"/>
      <c r="G338" s="14"/>
      <c r="H338" s="14"/>
      <c r="I338" s="14"/>
      <c r="J338" s="14"/>
      <c r="K338" s="12"/>
    </row>
    <row r="339" ht="19.5" customHeight="1">
      <c r="A339" s="12"/>
      <c r="C339" s="12"/>
      <c r="D339" s="87"/>
      <c r="F339" s="14"/>
      <c r="G339" s="14"/>
      <c r="H339" s="14"/>
      <c r="I339" s="14"/>
      <c r="J339" s="14"/>
      <c r="K339" s="12"/>
    </row>
    <row r="340" ht="19.5" customHeight="1">
      <c r="A340" s="12"/>
      <c r="C340" s="12"/>
      <c r="D340" s="87"/>
      <c r="F340" s="14"/>
      <c r="G340" s="14"/>
      <c r="H340" s="14"/>
      <c r="I340" s="14"/>
      <c r="J340" s="14"/>
      <c r="K340" s="12"/>
    </row>
    <row r="341" ht="19.5" customHeight="1">
      <c r="A341" s="12"/>
      <c r="C341" s="12"/>
      <c r="D341" s="87"/>
      <c r="F341" s="14"/>
      <c r="G341" s="14"/>
      <c r="H341" s="14"/>
      <c r="I341" s="14"/>
      <c r="J341" s="14"/>
      <c r="K341" s="12"/>
    </row>
    <row r="342" ht="19.5" customHeight="1">
      <c r="A342" s="12"/>
      <c r="C342" s="12"/>
      <c r="D342" s="87"/>
      <c r="F342" s="14"/>
      <c r="G342" s="14"/>
      <c r="H342" s="14"/>
      <c r="I342" s="14"/>
      <c r="J342" s="14"/>
      <c r="K342" s="12"/>
    </row>
    <row r="343" ht="19.5" customHeight="1">
      <c r="A343" s="12"/>
      <c r="C343" s="12"/>
      <c r="D343" s="87"/>
      <c r="F343" s="14"/>
      <c r="G343" s="14"/>
      <c r="H343" s="14"/>
      <c r="I343" s="14"/>
      <c r="J343" s="14"/>
      <c r="K343" s="12"/>
    </row>
    <row r="344" ht="19.5" customHeight="1">
      <c r="A344" s="12"/>
      <c r="C344" s="12"/>
      <c r="D344" s="87"/>
      <c r="F344" s="14"/>
      <c r="G344" s="14"/>
      <c r="H344" s="14"/>
      <c r="I344" s="14"/>
      <c r="J344" s="14"/>
      <c r="K344" s="12"/>
    </row>
    <row r="345" ht="19.5" customHeight="1">
      <c r="A345" s="12"/>
      <c r="C345" s="12"/>
      <c r="D345" s="87"/>
      <c r="F345" s="14"/>
      <c r="G345" s="14"/>
      <c r="H345" s="14"/>
      <c r="I345" s="14"/>
      <c r="J345" s="14"/>
      <c r="K345" s="12"/>
    </row>
    <row r="346" ht="19.5" customHeight="1">
      <c r="A346" s="12"/>
      <c r="C346" s="12"/>
      <c r="D346" s="87"/>
      <c r="F346" s="14"/>
      <c r="G346" s="14"/>
      <c r="H346" s="14"/>
      <c r="I346" s="14"/>
      <c r="J346" s="14"/>
      <c r="K346" s="12"/>
    </row>
    <row r="347" ht="19.5" customHeight="1">
      <c r="A347" s="12"/>
      <c r="C347" s="12"/>
      <c r="D347" s="87"/>
      <c r="F347" s="14"/>
      <c r="G347" s="14"/>
      <c r="H347" s="14"/>
      <c r="I347" s="14"/>
      <c r="J347" s="14"/>
      <c r="K347" s="12"/>
    </row>
    <row r="348" ht="19.5" customHeight="1">
      <c r="A348" s="12"/>
      <c r="C348" s="12"/>
      <c r="D348" s="87"/>
      <c r="F348" s="14"/>
      <c r="G348" s="14"/>
      <c r="H348" s="14"/>
      <c r="I348" s="14"/>
      <c r="J348" s="14"/>
      <c r="K348" s="12"/>
    </row>
    <row r="349" ht="19.5" customHeight="1">
      <c r="A349" s="12"/>
      <c r="C349" s="12"/>
      <c r="D349" s="87"/>
      <c r="F349" s="14"/>
      <c r="G349" s="14"/>
      <c r="H349" s="14"/>
      <c r="I349" s="14"/>
      <c r="J349" s="14"/>
      <c r="K349" s="12"/>
    </row>
    <row r="350" ht="19.5" customHeight="1">
      <c r="A350" s="12"/>
      <c r="C350" s="12"/>
      <c r="D350" s="87"/>
      <c r="F350" s="14"/>
      <c r="G350" s="14"/>
      <c r="H350" s="14"/>
      <c r="I350" s="14"/>
      <c r="J350" s="14"/>
      <c r="K350" s="12"/>
    </row>
    <row r="351" ht="19.5" customHeight="1">
      <c r="A351" s="12"/>
      <c r="C351" s="12"/>
      <c r="D351" s="87"/>
      <c r="F351" s="14"/>
      <c r="G351" s="14"/>
      <c r="H351" s="14"/>
      <c r="I351" s="14"/>
      <c r="J351" s="14"/>
      <c r="K351" s="12"/>
    </row>
    <row r="352" ht="19.5" customHeight="1">
      <c r="A352" s="12"/>
      <c r="C352" s="12"/>
      <c r="D352" s="87"/>
      <c r="F352" s="14"/>
      <c r="G352" s="14"/>
      <c r="H352" s="14"/>
      <c r="I352" s="14"/>
      <c r="J352" s="14"/>
      <c r="K352" s="12"/>
    </row>
    <row r="353" ht="19.5" customHeight="1">
      <c r="A353" s="12"/>
      <c r="C353" s="12"/>
      <c r="D353" s="87"/>
      <c r="F353" s="14"/>
      <c r="G353" s="14"/>
      <c r="H353" s="14"/>
      <c r="I353" s="14"/>
      <c r="J353" s="14"/>
      <c r="K353" s="12"/>
    </row>
    <row r="354" ht="19.5" customHeight="1">
      <c r="A354" s="12"/>
      <c r="C354" s="12"/>
      <c r="D354" s="87"/>
      <c r="F354" s="14"/>
      <c r="G354" s="14"/>
      <c r="H354" s="14"/>
      <c r="I354" s="14"/>
      <c r="J354" s="14"/>
      <c r="K354" s="12"/>
    </row>
    <row r="355" ht="19.5" customHeight="1">
      <c r="A355" s="12"/>
      <c r="C355" s="12"/>
      <c r="D355" s="87"/>
      <c r="F355" s="14"/>
      <c r="G355" s="14"/>
      <c r="H355" s="14"/>
      <c r="I355" s="14"/>
      <c r="J355" s="14"/>
      <c r="K355" s="12"/>
    </row>
    <row r="356" ht="19.5" customHeight="1">
      <c r="A356" s="12"/>
      <c r="C356" s="12"/>
      <c r="D356" s="87"/>
      <c r="F356" s="14"/>
      <c r="G356" s="14"/>
      <c r="H356" s="14"/>
      <c r="I356" s="14"/>
      <c r="J356" s="14"/>
      <c r="K356" s="12"/>
    </row>
    <row r="357" ht="19.5" customHeight="1">
      <c r="A357" s="12"/>
      <c r="C357" s="12"/>
      <c r="D357" s="87"/>
      <c r="F357" s="14"/>
      <c r="G357" s="14"/>
      <c r="H357" s="14"/>
      <c r="I357" s="14"/>
      <c r="J357" s="14"/>
      <c r="K357" s="12"/>
    </row>
    <row r="358" ht="19.5" customHeight="1">
      <c r="A358" s="12"/>
      <c r="C358" s="12"/>
      <c r="D358" s="87"/>
      <c r="F358" s="14"/>
      <c r="G358" s="14"/>
      <c r="H358" s="14"/>
      <c r="I358" s="14"/>
      <c r="J358" s="14"/>
      <c r="K358" s="12"/>
    </row>
    <row r="359" ht="19.5" customHeight="1">
      <c r="A359" s="12"/>
      <c r="C359" s="12"/>
      <c r="D359" s="87"/>
      <c r="F359" s="14"/>
      <c r="G359" s="14"/>
      <c r="H359" s="14"/>
      <c r="I359" s="14"/>
      <c r="J359" s="14"/>
      <c r="K359" s="12"/>
    </row>
    <row r="360" ht="19.5" customHeight="1">
      <c r="A360" s="12"/>
      <c r="C360" s="12"/>
      <c r="D360" s="87"/>
      <c r="F360" s="14"/>
      <c r="G360" s="14"/>
      <c r="H360" s="14"/>
      <c r="I360" s="14"/>
      <c r="J360" s="14"/>
      <c r="K360" s="12"/>
    </row>
    <row r="361" ht="19.5" customHeight="1">
      <c r="A361" s="12"/>
      <c r="C361" s="12"/>
      <c r="D361" s="87"/>
      <c r="F361" s="14"/>
      <c r="G361" s="14"/>
      <c r="H361" s="14"/>
      <c r="I361" s="14"/>
      <c r="J361" s="14"/>
      <c r="K361" s="12"/>
    </row>
    <row r="362" ht="19.5" customHeight="1">
      <c r="A362" s="12"/>
      <c r="C362" s="12"/>
      <c r="D362" s="87"/>
      <c r="F362" s="14"/>
      <c r="G362" s="14"/>
      <c r="H362" s="14"/>
      <c r="I362" s="14"/>
      <c r="J362" s="14"/>
      <c r="K362" s="12"/>
    </row>
    <row r="363" ht="19.5" customHeight="1">
      <c r="A363" s="12"/>
      <c r="C363" s="12"/>
      <c r="D363" s="87"/>
      <c r="F363" s="14"/>
      <c r="G363" s="14"/>
      <c r="H363" s="14"/>
      <c r="I363" s="14"/>
      <c r="J363" s="14"/>
      <c r="K363" s="12"/>
    </row>
    <row r="364" ht="19.5" customHeight="1">
      <c r="A364" s="12"/>
      <c r="C364" s="12"/>
      <c r="D364" s="87"/>
      <c r="F364" s="14"/>
      <c r="G364" s="14"/>
      <c r="H364" s="14"/>
      <c r="I364" s="14"/>
      <c r="J364" s="14"/>
      <c r="K364" s="12"/>
    </row>
    <row r="365" ht="19.5" customHeight="1">
      <c r="A365" s="12"/>
      <c r="C365" s="12"/>
      <c r="D365" s="87"/>
      <c r="F365" s="14"/>
      <c r="G365" s="14"/>
      <c r="H365" s="14"/>
      <c r="I365" s="14"/>
      <c r="J365" s="14"/>
      <c r="K365" s="12"/>
    </row>
    <row r="366" ht="19.5" customHeight="1">
      <c r="A366" s="12"/>
      <c r="C366" s="12"/>
      <c r="D366" s="87"/>
      <c r="F366" s="14"/>
      <c r="G366" s="14"/>
      <c r="H366" s="14"/>
      <c r="I366" s="14"/>
      <c r="J366" s="14"/>
      <c r="K366" s="12"/>
    </row>
    <row r="367" ht="19.5" customHeight="1">
      <c r="A367" s="12"/>
      <c r="C367" s="12"/>
      <c r="D367" s="87"/>
      <c r="F367" s="14"/>
      <c r="G367" s="14"/>
      <c r="H367" s="14"/>
      <c r="I367" s="14"/>
      <c r="J367" s="14"/>
      <c r="K367" s="12"/>
    </row>
    <row r="368" ht="19.5" customHeight="1">
      <c r="A368" s="12"/>
      <c r="C368" s="12"/>
      <c r="D368" s="87"/>
      <c r="F368" s="14"/>
      <c r="G368" s="14"/>
      <c r="H368" s="14"/>
      <c r="I368" s="14"/>
      <c r="J368" s="14"/>
      <c r="K368" s="12"/>
    </row>
    <row r="369" ht="19.5" customHeight="1">
      <c r="A369" s="12"/>
      <c r="C369" s="12"/>
      <c r="D369" s="87"/>
      <c r="F369" s="14"/>
      <c r="G369" s="14"/>
      <c r="H369" s="14"/>
      <c r="I369" s="14"/>
      <c r="J369" s="14"/>
      <c r="K369" s="12"/>
    </row>
    <row r="370" ht="19.5" customHeight="1">
      <c r="A370" s="12"/>
      <c r="C370" s="12"/>
      <c r="D370" s="87"/>
      <c r="F370" s="14"/>
      <c r="G370" s="14"/>
      <c r="H370" s="14"/>
      <c r="I370" s="14"/>
      <c r="J370" s="14"/>
      <c r="K370" s="12"/>
    </row>
    <row r="371" ht="19.5" customHeight="1">
      <c r="A371" s="12"/>
      <c r="C371" s="12"/>
      <c r="D371" s="87"/>
      <c r="F371" s="14"/>
      <c r="G371" s="14"/>
      <c r="H371" s="14"/>
      <c r="I371" s="14"/>
      <c r="J371" s="14"/>
      <c r="K371" s="12"/>
    </row>
    <row r="372" ht="19.5" customHeight="1">
      <c r="A372" s="12"/>
      <c r="C372" s="12"/>
      <c r="D372" s="87"/>
      <c r="F372" s="14"/>
      <c r="G372" s="14"/>
      <c r="H372" s="14"/>
      <c r="I372" s="14"/>
      <c r="J372" s="14"/>
      <c r="K372" s="12"/>
    </row>
    <row r="373" ht="19.5" customHeight="1">
      <c r="A373" s="12"/>
      <c r="C373" s="12"/>
      <c r="D373" s="87"/>
      <c r="F373" s="14"/>
      <c r="G373" s="14"/>
      <c r="H373" s="14"/>
      <c r="I373" s="14"/>
      <c r="J373" s="14"/>
      <c r="K373" s="12"/>
    </row>
    <row r="374" ht="19.5" customHeight="1">
      <c r="A374" s="12"/>
      <c r="C374" s="12"/>
      <c r="D374" s="87"/>
      <c r="F374" s="14"/>
      <c r="G374" s="14"/>
      <c r="H374" s="14"/>
      <c r="I374" s="14"/>
      <c r="J374" s="14"/>
      <c r="K374" s="12"/>
    </row>
    <row r="375" ht="19.5" customHeight="1">
      <c r="A375" s="12"/>
      <c r="C375" s="12"/>
      <c r="D375" s="87"/>
      <c r="F375" s="14"/>
      <c r="G375" s="14"/>
      <c r="H375" s="14"/>
      <c r="I375" s="14"/>
      <c r="J375" s="14"/>
      <c r="K375" s="12"/>
    </row>
    <row r="376" ht="19.5" customHeight="1">
      <c r="A376" s="12"/>
      <c r="C376" s="12"/>
      <c r="D376" s="87"/>
      <c r="F376" s="14"/>
      <c r="G376" s="14"/>
      <c r="H376" s="14"/>
      <c r="I376" s="14"/>
      <c r="J376" s="14"/>
      <c r="K376" s="12"/>
    </row>
    <row r="377" ht="19.5" customHeight="1">
      <c r="A377" s="12"/>
      <c r="C377" s="12"/>
      <c r="D377" s="87"/>
      <c r="F377" s="14"/>
      <c r="G377" s="14"/>
      <c r="H377" s="14"/>
      <c r="I377" s="14"/>
      <c r="J377" s="14"/>
      <c r="K377" s="12"/>
    </row>
    <row r="378" ht="19.5" customHeight="1">
      <c r="A378" s="12"/>
      <c r="C378" s="12"/>
      <c r="D378" s="87"/>
      <c r="F378" s="14"/>
      <c r="G378" s="14"/>
      <c r="H378" s="14"/>
      <c r="I378" s="14"/>
      <c r="J378" s="14"/>
      <c r="K378" s="12"/>
    </row>
    <row r="379" ht="19.5" customHeight="1">
      <c r="A379" s="12"/>
      <c r="C379" s="12"/>
      <c r="D379" s="87"/>
      <c r="F379" s="14"/>
      <c r="G379" s="14"/>
      <c r="H379" s="14"/>
      <c r="I379" s="14"/>
      <c r="J379" s="14"/>
      <c r="K379" s="12"/>
    </row>
    <row r="380" ht="19.5" customHeight="1">
      <c r="A380" s="12"/>
      <c r="C380" s="12"/>
      <c r="D380" s="87"/>
      <c r="F380" s="14"/>
      <c r="G380" s="14"/>
      <c r="H380" s="14"/>
      <c r="I380" s="14"/>
      <c r="J380" s="14"/>
      <c r="K380" s="12"/>
    </row>
    <row r="381" ht="19.5" customHeight="1">
      <c r="A381" s="12"/>
      <c r="C381" s="12"/>
      <c r="D381" s="87"/>
      <c r="F381" s="14"/>
      <c r="G381" s="14"/>
      <c r="H381" s="14"/>
      <c r="I381" s="14"/>
      <c r="J381" s="14"/>
      <c r="K381" s="12"/>
    </row>
    <row r="382" ht="19.5" customHeight="1">
      <c r="A382" s="12"/>
      <c r="C382" s="12"/>
      <c r="D382" s="87"/>
      <c r="F382" s="14"/>
      <c r="G382" s="14"/>
      <c r="H382" s="14"/>
      <c r="I382" s="14"/>
      <c r="J382" s="14"/>
      <c r="K382" s="12"/>
    </row>
    <row r="383" ht="19.5" customHeight="1">
      <c r="A383" s="12"/>
      <c r="C383" s="12"/>
      <c r="D383" s="87"/>
      <c r="F383" s="14"/>
      <c r="G383" s="14"/>
      <c r="H383" s="14"/>
      <c r="I383" s="14"/>
      <c r="J383" s="14"/>
      <c r="K383" s="12"/>
    </row>
    <row r="384" ht="19.5" customHeight="1">
      <c r="A384" s="12"/>
      <c r="C384" s="12"/>
      <c r="D384" s="87"/>
      <c r="F384" s="14"/>
      <c r="G384" s="14"/>
      <c r="H384" s="14"/>
      <c r="I384" s="14"/>
      <c r="J384" s="14"/>
      <c r="K384" s="12"/>
    </row>
    <row r="385" ht="19.5" customHeight="1">
      <c r="A385" s="12"/>
      <c r="C385" s="12"/>
      <c r="D385" s="87"/>
      <c r="F385" s="14"/>
      <c r="G385" s="14"/>
      <c r="H385" s="14"/>
      <c r="I385" s="14"/>
      <c r="J385" s="14"/>
      <c r="K385" s="12"/>
    </row>
    <row r="386" ht="19.5" customHeight="1">
      <c r="A386" s="12"/>
      <c r="C386" s="12"/>
      <c r="D386" s="87"/>
      <c r="F386" s="14"/>
      <c r="G386" s="14"/>
      <c r="H386" s="14"/>
      <c r="I386" s="14"/>
      <c r="J386" s="14"/>
      <c r="K386" s="12"/>
    </row>
    <row r="387" ht="19.5" customHeight="1">
      <c r="A387" s="12"/>
      <c r="C387" s="12"/>
      <c r="D387" s="87"/>
      <c r="F387" s="14"/>
      <c r="G387" s="14"/>
      <c r="H387" s="14"/>
      <c r="I387" s="14"/>
      <c r="J387" s="14"/>
      <c r="K387" s="12"/>
    </row>
    <row r="388" ht="19.5" customHeight="1">
      <c r="A388" s="12"/>
      <c r="C388" s="12"/>
      <c r="D388" s="87"/>
      <c r="F388" s="14"/>
      <c r="G388" s="14"/>
      <c r="H388" s="14"/>
      <c r="I388" s="14"/>
      <c r="J388" s="14"/>
      <c r="K388" s="12"/>
    </row>
    <row r="389" ht="19.5" customHeight="1">
      <c r="A389" s="12"/>
      <c r="C389" s="12"/>
      <c r="D389" s="87"/>
      <c r="F389" s="14"/>
      <c r="G389" s="14"/>
      <c r="H389" s="14"/>
      <c r="I389" s="14"/>
      <c r="J389" s="14"/>
      <c r="K389" s="12"/>
    </row>
    <row r="390" ht="19.5" customHeight="1">
      <c r="A390" s="12"/>
      <c r="C390" s="12"/>
      <c r="D390" s="87"/>
      <c r="F390" s="14"/>
      <c r="G390" s="14"/>
      <c r="H390" s="14"/>
      <c r="I390" s="14"/>
      <c r="J390" s="14"/>
      <c r="K390" s="12"/>
    </row>
    <row r="391" ht="19.5" customHeight="1">
      <c r="A391" s="12"/>
      <c r="C391" s="12"/>
      <c r="D391" s="87"/>
      <c r="F391" s="14"/>
      <c r="G391" s="14"/>
      <c r="H391" s="14"/>
      <c r="I391" s="14"/>
      <c r="J391" s="14"/>
      <c r="K391" s="12"/>
    </row>
    <row r="392" ht="19.5" customHeight="1">
      <c r="A392" s="12"/>
      <c r="C392" s="12"/>
      <c r="D392" s="87"/>
      <c r="F392" s="14"/>
      <c r="G392" s="14"/>
      <c r="H392" s="14"/>
      <c r="I392" s="14"/>
      <c r="J392" s="14"/>
      <c r="K392" s="12"/>
    </row>
    <row r="393" ht="19.5" customHeight="1">
      <c r="A393" s="12"/>
      <c r="C393" s="12"/>
      <c r="D393" s="87"/>
      <c r="F393" s="14"/>
      <c r="G393" s="14"/>
      <c r="H393" s="14"/>
      <c r="I393" s="14"/>
      <c r="J393" s="14"/>
      <c r="K393" s="12"/>
    </row>
    <row r="394" ht="19.5" customHeight="1">
      <c r="A394" s="12"/>
      <c r="C394" s="12"/>
      <c r="D394" s="87"/>
      <c r="F394" s="14"/>
      <c r="G394" s="14"/>
      <c r="H394" s="14"/>
      <c r="I394" s="14"/>
      <c r="J394" s="14"/>
      <c r="K394" s="12"/>
    </row>
    <row r="395" ht="19.5" customHeight="1">
      <c r="A395" s="12"/>
      <c r="C395" s="12"/>
      <c r="D395" s="87"/>
      <c r="F395" s="14"/>
      <c r="G395" s="14"/>
      <c r="H395" s="14"/>
      <c r="I395" s="14"/>
      <c r="J395" s="14"/>
      <c r="K395" s="12"/>
    </row>
    <row r="396" ht="19.5" customHeight="1">
      <c r="A396" s="12"/>
      <c r="C396" s="12"/>
      <c r="D396" s="87"/>
      <c r="F396" s="14"/>
      <c r="G396" s="14"/>
      <c r="H396" s="14"/>
      <c r="I396" s="14"/>
      <c r="J396" s="14"/>
      <c r="K396" s="12"/>
    </row>
    <row r="397" ht="19.5" customHeight="1">
      <c r="A397" s="12"/>
      <c r="C397" s="12"/>
      <c r="D397" s="87"/>
      <c r="F397" s="14"/>
      <c r="G397" s="14"/>
      <c r="H397" s="14"/>
      <c r="I397" s="14"/>
      <c r="J397" s="14"/>
      <c r="K397" s="12"/>
    </row>
    <row r="398" ht="19.5" customHeight="1">
      <c r="A398" s="12"/>
      <c r="C398" s="12"/>
      <c r="D398" s="87"/>
      <c r="F398" s="14"/>
      <c r="G398" s="14"/>
      <c r="H398" s="14"/>
      <c r="I398" s="14"/>
      <c r="J398" s="14"/>
      <c r="K398" s="12"/>
    </row>
    <row r="399" ht="19.5" customHeight="1">
      <c r="A399" s="12"/>
      <c r="C399" s="12"/>
      <c r="D399" s="87"/>
      <c r="F399" s="14"/>
      <c r="G399" s="14"/>
      <c r="H399" s="14"/>
      <c r="I399" s="14"/>
      <c r="J399" s="14"/>
      <c r="K399" s="12"/>
    </row>
    <row r="400" ht="19.5" customHeight="1">
      <c r="A400" s="12"/>
      <c r="C400" s="12"/>
      <c r="D400" s="87"/>
      <c r="F400" s="14"/>
      <c r="G400" s="14"/>
      <c r="H400" s="14"/>
      <c r="I400" s="14"/>
      <c r="J400" s="14"/>
      <c r="K400" s="12"/>
    </row>
    <row r="401" ht="19.5" customHeight="1">
      <c r="A401" s="12"/>
      <c r="C401" s="12"/>
      <c r="D401" s="87"/>
      <c r="F401" s="14"/>
      <c r="G401" s="14"/>
      <c r="H401" s="14"/>
      <c r="I401" s="14"/>
      <c r="J401" s="14"/>
      <c r="K401" s="12"/>
    </row>
    <row r="402" ht="19.5" customHeight="1">
      <c r="A402" s="12"/>
      <c r="C402" s="12"/>
      <c r="D402" s="87"/>
      <c r="F402" s="14"/>
      <c r="G402" s="14"/>
      <c r="H402" s="14"/>
      <c r="I402" s="14"/>
      <c r="J402" s="14"/>
      <c r="K402" s="12"/>
    </row>
    <row r="403" ht="19.5" customHeight="1">
      <c r="A403" s="12"/>
      <c r="C403" s="12"/>
      <c r="D403" s="87"/>
      <c r="F403" s="14"/>
      <c r="G403" s="14"/>
      <c r="H403" s="14"/>
      <c r="I403" s="14"/>
      <c r="J403" s="14"/>
      <c r="K403" s="12"/>
    </row>
    <row r="404" ht="19.5" customHeight="1">
      <c r="A404" s="12"/>
      <c r="C404" s="12"/>
      <c r="D404" s="87"/>
      <c r="F404" s="14"/>
      <c r="G404" s="14"/>
      <c r="H404" s="14"/>
      <c r="I404" s="14"/>
      <c r="J404" s="14"/>
      <c r="K404" s="12"/>
    </row>
    <row r="405" ht="19.5" customHeight="1">
      <c r="A405" s="12"/>
      <c r="C405" s="12"/>
      <c r="D405" s="87"/>
      <c r="F405" s="14"/>
      <c r="G405" s="14"/>
      <c r="H405" s="14"/>
      <c r="I405" s="14"/>
      <c r="J405" s="14"/>
      <c r="K405" s="12"/>
    </row>
    <row r="406" ht="19.5" customHeight="1">
      <c r="A406" s="12"/>
      <c r="C406" s="12"/>
      <c r="D406" s="87"/>
      <c r="F406" s="14"/>
      <c r="G406" s="14"/>
      <c r="H406" s="14"/>
      <c r="I406" s="14"/>
      <c r="J406" s="14"/>
      <c r="K406" s="12"/>
    </row>
    <row r="407" ht="19.5" customHeight="1">
      <c r="A407" s="12"/>
      <c r="C407" s="12"/>
      <c r="D407" s="87"/>
      <c r="F407" s="14"/>
      <c r="G407" s="14"/>
      <c r="H407" s="14"/>
      <c r="I407" s="14"/>
      <c r="J407" s="14"/>
      <c r="K407" s="12"/>
    </row>
    <row r="408" ht="19.5" customHeight="1">
      <c r="A408" s="12"/>
      <c r="C408" s="12"/>
      <c r="D408" s="87"/>
      <c r="F408" s="14"/>
      <c r="G408" s="14"/>
      <c r="H408" s="14"/>
      <c r="I408" s="14"/>
      <c r="J408" s="14"/>
      <c r="K408" s="12"/>
    </row>
    <row r="409" ht="19.5" customHeight="1">
      <c r="A409" s="12"/>
      <c r="C409" s="12"/>
      <c r="D409" s="87"/>
      <c r="F409" s="14"/>
      <c r="G409" s="14"/>
      <c r="H409" s="14"/>
      <c r="I409" s="14"/>
      <c r="J409" s="14"/>
      <c r="K409" s="12"/>
    </row>
    <row r="410" ht="19.5" customHeight="1">
      <c r="A410" s="12"/>
      <c r="C410" s="12"/>
      <c r="D410" s="87"/>
      <c r="F410" s="14"/>
      <c r="G410" s="14"/>
      <c r="H410" s="14"/>
      <c r="I410" s="14"/>
      <c r="J410" s="14"/>
      <c r="K410" s="12"/>
    </row>
    <row r="411" ht="19.5" customHeight="1">
      <c r="A411" s="12"/>
      <c r="C411" s="12"/>
      <c r="D411" s="87"/>
      <c r="F411" s="14"/>
      <c r="G411" s="14"/>
      <c r="H411" s="14"/>
      <c r="I411" s="14"/>
      <c r="J411" s="14"/>
      <c r="K411" s="12"/>
    </row>
    <row r="412" ht="19.5" customHeight="1">
      <c r="A412" s="12"/>
      <c r="C412" s="12"/>
      <c r="D412" s="87"/>
      <c r="F412" s="14"/>
      <c r="G412" s="14"/>
      <c r="H412" s="14"/>
      <c r="I412" s="14"/>
      <c r="J412" s="14"/>
      <c r="K412" s="12"/>
    </row>
    <row r="413" ht="19.5" customHeight="1">
      <c r="A413" s="12"/>
      <c r="C413" s="12"/>
      <c r="D413" s="87"/>
      <c r="F413" s="14"/>
      <c r="G413" s="14"/>
      <c r="H413" s="14"/>
      <c r="I413" s="14"/>
      <c r="J413" s="14"/>
      <c r="K413" s="12"/>
    </row>
    <row r="414" ht="19.5" customHeight="1">
      <c r="A414" s="12"/>
      <c r="C414" s="12"/>
      <c r="D414" s="87"/>
      <c r="F414" s="14"/>
      <c r="G414" s="14"/>
      <c r="H414" s="14"/>
      <c r="I414" s="14"/>
      <c r="J414" s="14"/>
      <c r="K414" s="12"/>
    </row>
    <row r="415" ht="19.5" customHeight="1">
      <c r="A415" s="12"/>
      <c r="C415" s="12"/>
      <c r="D415" s="87"/>
      <c r="F415" s="14"/>
      <c r="G415" s="14"/>
      <c r="H415" s="14"/>
      <c r="I415" s="14"/>
      <c r="J415" s="14"/>
      <c r="K415" s="12"/>
    </row>
    <row r="416" ht="19.5" customHeight="1">
      <c r="A416" s="12"/>
      <c r="C416" s="12"/>
      <c r="D416" s="87"/>
      <c r="F416" s="14"/>
      <c r="G416" s="14"/>
      <c r="H416" s="14"/>
      <c r="I416" s="14"/>
      <c r="J416" s="14"/>
      <c r="K416" s="12"/>
    </row>
    <row r="417" ht="19.5" customHeight="1">
      <c r="A417" s="12"/>
      <c r="C417" s="12"/>
      <c r="D417" s="87"/>
      <c r="F417" s="14"/>
      <c r="G417" s="14"/>
      <c r="H417" s="14"/>
      <c r="I417" s="14"/>
      <c r="J417" s="14"/>
      <c r="K417" s="12"/>
    </row>
    <row r="418" ht="19.5" customHeight="1">
      <c r="A418" s="12"/>
      <c r="C418" s="12"/>
      <c r="D418" s="87"/>
      <c r="F418" s="14"/>
      <c r="G418" s="14"/>
      <c r="H418" s="14"/>
      <c r="I418" s="14"/>
      <c r="J418" s="14"/>
      <c r="K418" s="12"/>
    </row>
    <row r="419" ht="19.5" customHeight="1">
      <c r="A419" s="12"/>
      <c r="C419" s="12"/>
      <c r="D419" s="87"/>
      <c r="F419" s="14"/>
      <c r="G419" s="14"/>
      <c r="H419" s="14"/>
      <c r="I419" s="14"/>
      <c r="J419" s="14"/>
      <c r="K419" s="12"/>
    </row>
    <row r="420" ht="19.5" customHeight="1">
      <c r="A420" s="12"/>
      <c r="C420" s="12"/>
      <c r="D420" s="87"/>
      <c r="F420" s="14"/>
      <c r="G420" s="14"/>
      <c r="H420" s="14"/>
      <c r="I420" s="14"/>
      <c r="J420" s="14"/>
      <c r="K420" s="12"/>
    </row>
    <row r="421" ht="19.5" customHeight="1">
      <c r="A421" s="12"/>
      <c r="C421" s="12"/>
      <c r="D421" s="87"/>
      <c r="F421" s="14"/>
      <c r="G421" s="14"/>
      <c r="H421" s="14"/>
      <c r="I421" s="14"/>
      <c r="J421" s="14"/>
      <c r="K421" s="12"/>
    </row>
    <row r="422" ht="19.5" customHeight="1">
      <c r="A422" s="12"/>
      <c r="C422" s="12"/>
      <c r="D422" s="87"/>
      <c r="F422" s="14"/>
      <c r="G422" s="14"/>
      <c r="H422" s="14"/>
      <c r="I422" s="14"/>
      <c r="J422" s="14"/>
      <c r="K422" s="12"/>
    </row>
    <row r="423" ht="19.5" customHeight="1">
      <c r="A423" s="12"/>
      <c r="C423" s="12"/>
      <c r="D423" s="87"/>
      <c r="F423" s="14"/>
      <c r="G423" s="14"/>
      <c r="H423" s="14"/>
      <c r="I423" s="14"/>
      <c r="J423" s="14"/>
      <c r="K423" s="12"/>
    </row>
    <row r="424" ht="19.5" customHeight="1">
      <c r="A424" s="12"/>
      <c r="C424" s="12"/>
      <c r="D424" s="87"/>
      <c r="F424" s="14"/>
      <c r="G424" s="14"/>
      <c r="H424" s="14"/>
      <c r="I424" s="14"/>
      <c r="J424" s="14"/>
      <c r="K424" s="12"/>
    </row>
    <row r="425" ht="19.5" customHeight="1">
      <c r="A425" s="12"/>
      <c r="C425" s="12"/>
      <c r="D425" s="87"/>
      <c r="F425" s="14"/>
      <c r="G425" s="14"/>
      <c r="H425" s="14"/>
      <c r="I425" s="14"/>
      <c r="J425" s="14"/>
      <c r="K425" s="12"/>
    </row>
    <row r="426" ht="19.5" customHeight="1">
      <c r="A426" s="12"/>
      <c r="C426" s="12"/>
      <c r="D426" s="87"/>
      <c r="F426" s="14"/>
      <c r="G426" s="14"/>
      <c r="H426" s="14"/>
      <c r="I426" s="14"/>
      <c r="J426" s="14"/>
      <c r="K426" s="12"/>
    </row>
    <row r="427" ht="19.5" customHeight="1">
      <c r="A427" s="12"/>
      <c r="C427" s="12"/>
      <c r="D427" s="87"/>
      <c r="F427" s="14"/>
      <c r="G427" s="14"/>
      <c r="H427" s="14"/>
      <c r="I427" s="14"/>
      <c r="J427" s="14"/>
      <c r="K427" s="12"/>
    </row>
    <row r="428" ht="19.5" customHeight="1">
      <c r="A428" s="12"/>
      <c r="C428" s="12"/>
      <c r="D428" s="87"/>
      <c r="F428" s="14"/>
      <c r="G428" s="14"/>
      <c r="H428" s="14"/>
      <c r="I428" s="14"/>
      <c r="J428" s="14"/>
      <c r="K428" s="12"/>
    </row>
    <row r="429" ht="19.5" customHeight="1">
      <c r="A429" s="12"/>
      <c r="C429" s="12"/>
      <c r="D429" s="87"/>
      <c r="F429" s="14"/>
      <c r="G429" s="14"/>
      <c r="H429" s="14"/>
      <c r="I429" s="14"/>
      <c r="J429" s="14"/>
      <c r="K429" s="12"/>
    </row>
    <row r="430" ht="19.5" customHeight="1">
      <c r="A430" s="12"/>
      <c r="C430" s="12"/>
      <c r="D430" s="87"/>
      <c r="F430" s="14"/>
      <c r="G430" s="14"/>
      <c r="H430" s="14"/>
      <c r="I430" s="14"/>
      <c r="J430" s="14"/>
      <c r="K430" s="12"/>
    </row>
    <row r="431" ht="19.5" customHeight="1">
      <c r="A431" s="12"/>
      <c r="C431" s="12"/>
      <c r="D431" s="87"/>
      <c r="F431" s="14"/>
      <c r="G431" s="14"/>
      <c r="H431" s="14"/>
      <c r="I431" s="14"/>
      <c r="J431" s="14"/>
      <c r="K431" s="12"/>
    </row>
    <row r="432" ht="19.5" customHeight="1">
      <c r="A432" s="12"/>
      <c r="C432" s="12"/>
      <c r="D432" s="87"/>
      <c r="F432" s="14"/>
      <c r="G432" s="14"/>
      <c r="H432" s="14"/>
      <c r="I432" s="14"/>
      <c r="J432" s="14"/>
      <c r="K432" s="12"/>
    </row>
    <row r="433" ht="19.5" customHeight="1">
      <c r="A433" s="12"/>
      <c r="C433" s="12"/>
      <c r="D433" s="87"/>
      <c r="F433" s="14"/>
      <c r="G433" s="14"/>
      <c r="H433" s="14"/>
      <c r="I433" s="14"/>
      <c r="J433" s="14"/>
      <c r="K433" s="12"/>
    </row>
    <row r="434" ht="19.5" customHeight="1">
      <c r="A434" s="12"/>
      <c r="C434" s="12"/>
      <c r="D434" s="87"/>
      <c r="F434" s="14"/>
      <c r="G434" s="14"/>
      <c r="H434" s="14"/>
      <c r="I434" s="14"/>
      <c r="J434" s="14"/>
      <c r="K434" s="12"/>
    </row>
    <row r="435" ht="19.5" customHeight="1">
      <c r="A435" s="12"/>
      <c r="C435" s="12"/>
      <c r="D435" s="87"/>
      <c r="F435" s="14"/>
      <c r="G435" s="14"/>
      <c r="H435" s="14"/>
      <c r="I435" s="14"/>
      <c r="J435" s="14"/>
      <c r="K435" s="12"/>
    </row>
    <row r="436" ht="19.5" customHeight="1">
      <c r="A436" s="12"/>
      <c r="C436" s="12"/>
      <c r="D436" s="87"/>
      <c r="F436" s="14"/>
      <c r="G436" s="14"/>
      <c r="H436" s="14"/>
      <c r="I436" s="14"/>
      <c r="J436" s="14"/>
      <c r="K436" s="12"/>
    </row>
    <row r="437" ht="19.5" customHeight="1">
      <c r="A437" s="12"/>
      <c r="C437" s="12"/>
      <c r="D437" s="87"/>
      <c r="F437" s="14"/>
      <c r="G437" s="14"/>
      <c r="H437" s="14"/>
      <c r="I437" s="14"/>
      <c r="J437" s="14"/>
      <c r="K437" s="12"/>
    </row>
    <row r="438" ht="19.5" customHeight="1">
      <c r="A438" s="12"/>
      <c r="C438" s="12"/>
      <c r="D438" s="87"/>
      <c r="F438" s="14"/>
      <c r="G438" s="14"/>
      <c r="H438" s="14"/>
      <c r="I438" s="14"/>
      <c r="J438" s="14"/>
      <c r="K438" s="12"/>
    </row>
    <row r="439" ht="19.5" customHeight="1">
      <c r="A439" s="12"/>
      <c r="C439" s="12"/>
      <c r="D439" s="87"/>
      <c r="F439" s="14"/>
      <c r="G439" s="14"/>
      <c r="H439" s="14"/>
      <c r="I439" s="14"/>
      <c r="J439" s="14"/>
      <c r="K439" s="12"/>
    </row>
    <row r="440" ht="19.5" customHeight="1">
      <c r="A440" s="12"/>
      <c r="C440" s="12"/>
      <c r="D440" s="87"/>
      <c r="F440" s="14"/>
      <c r="G440" s="14"/>
      <c r="H440" s="14"/>
      <c r="I440" s="14"/>
      <c r="J440" s="14"/>
      <c r="K440" s="12"/>
    </row>
    <row r="441" ht="19.5" customHeight="1">
      <c r="A441" s="12"/>
      <c r="C441" s="12"/>
      <c r="D441" s="87"/>
      <c r="F441" s="14"/>
      <c r="G441" s="14"/>
      <c r="H441" s="14"/>
      <c r="I441" s="14"/>
      <c r="J441" s="14"/>
      <c r="K441" s="12"/>
    </row>
    <row r="442" ht="19.5" customHeight="1">
      <c r="A442" s="12"/>
      <c r="C442" s="12"/>
      <c r="D442" s="87"/>
      <c r="F442" s="14"/>
      <c r="G442" s="14"/>
      <c r="H442" s="14"/>
      <c r="I442" s="14"/>
      <c r="J442" s="14"/>
      <c r="K442" s="12"/>
    </row>
    <row r="443" ht="19.5" customHeight="1">
      <c r="A443" s="12"/>
      <c r="C443" s="12"/>
      <c r="D443" s="87"/>
      <c r="F443" s="14"/>
      <c r="G443" s="14"/>
      <c r="H443" s="14"/>
      <c r="I443" s="14"/>
      <c r="J443" s="14"/>
      <c r="K443" s="12"/>
    </row>
    <row r="444" ht="19.5" customHeight="1">
      <c r="A444" s="12"/>
      <c r="C444" s="12"/>
      <c r="D444" s="87"/>
      <c r="F444" s="14"/>
      <c r="G444" s="14"/>
      <c r="H444" s="14"/>
      <c r="I444" s="14"/>
      <c r="J444" s="14"/>
      <c r="K444" s="12"/>
    </row>
    <row r="445" ht="19.5" customHeight="1">
      <c r="A445" s="12"/>
      <c r="C445" s="12"/>
      <c r="D445" s="87"/>
      <c r="F445" s="14"/>
      <c r="G445" s="14"/>
      <c r="H445" s="14"/>
      <c r="I445" s="14"/>
      <c r="J445" s="14"/>
      <c r="K445" s="12"/>
    </row>
    <row r="446" ht="19.5" customHeight="1">
      <c r="A446" s="12"/>
      <c r="C446" s="12"/>
      <c r="D446" s="87"/>
      <c r="F446" s="14"/>
      <c r="G446" s="14"/>
      <c r="H446" s="14"/>
      <c r="I446" s="14"/>
      <c r="J446" s="14"/>
      <c r="K446" s="12"/>
    </row>
    <row r="447" ht="19.5" customHeight="1">
      <c r="A447" s="12"/>
      <c r="C447" s="12"/>
      <c r="D447" s="87"/>
      <c r="F447" s="14"/>
      <c r="G447" s="14"/>
      <c r="H447" s="14"/>
      <c r="I447" s="14"/>
      <c r="J447" s="14"/>
      <c r="K447" s="12"/>
    </row>
    <row r="448" ht="19.5" customHeight="1">
      <c r="A448" s="12"/>
      <c r="C448" s="12"/>
      <c r="D448" s="87"/>
      <c r="F448" s="14"/>
      <c r="G448" s="14"/>
      <c r="H448" s="14"/>
      <c r="I448" s="14"/>
      <c r="J448" s="14"/>
      <c r="K448" s="12"/>
    </row>
    <row r="449" ht="19.5" customHeight="1">
      <c r="A449" s="12"/>
      <c r="C449" s="12"/>
      <c r="D449" s="87"/>
      <c r="F449" s="14"/>
      <c r="G449" s="14"/>
      <c r="H449" s="14"/>
      <c r="I449" s="14"/>
      <c r="J449" s="14"/>
      <c r="K449" s="12"/>
    </row>
    <row r="450" ht="19.5" customHeight="1">
      <c r="A450" s="12"/>
      <c r="C450" s="12"/>
      <c r="D450" s="87"/>
      <c r="F450" s="14"/>
      <c r="G450" s="14"/>
      <c r="H450" s="14"/>
      <c r="I450" s="14"/>
      <c r="J450" s="14"/>
      <c r="K450" s="12"/>
    </row>
    <row r="451" ht="19.5" customHeight="1">
      <c r="A451" s="12"/>
      <c r="C451" s="12"/>
      <c r="D451" s="87"/>
      <c r="F451" s="14"/>
      <c r="G451" s="14"/>
      <c r="H451" s="14"/>
      <c r="I451" s="14"/>
      <c r="J451" s="14"/>
      <c r="K451" s="12"/>
    </row>
    <row r="452" ht="19.5" customHeight="1">
      <c r="A452" s="12"/>
      <c r="C452" s="12"/>
      <c r="D452" s="87"/>
      <c r="F452" s="14"/>
      <c r="G452" s="14"/>
      <c r="H452" s="14"/>
      <c r="I452" s="14"/>
      <c r="J452" s="14"/>
      <c r="K452" s="12"/>
    </row>
    <row r="453" ht="19.5" customHeight="1">
      <c r="A453" s="12"/>
      <c r="C453" s="12"/>
      <c r="D453" s="87"/>
      <c r="F453" s="14"/>
      <c r="G453" s="14"/>
      <c r="H453" s="14"/>
      <c r="I453" s="14"/>
      <c r="J453" s="14"/>
      <c r="K453" s="12"/>
    </row>
    <row r="454" ht="19.5" customHeight="1">
      <c r="A454" s="12"/>
      <c r="C454" s="12"/>
      <c r="D454" s="87"/>
      <c r="F454" s="14"/>
      <c r="G454" s="14"/>
      <c r="H454" s="14"/>
      <c r="I454" s="14"/>
      <c r="J454" s="14"/>
      <c r="K454" s="12"/>
    </row>
    <row r="455" ht="19.5" customHeight="1">
      <c r="A455" s="12"/>
      <c r="C455" s="12"/>
      <c r="D455" s="87"/>
      <c r="F455" s="14"/>
      <c r="G455" s="14"/>
      <c r="H455" s="14"/>
      <c r="I455" s="14"/>
      <c r="J455" s="14"/>
      <c r="K455" s="12"/>
    </row>
    <row r="456" ht="19.5" customHeight="1">
      <c r="A456" s="12"/>
      <c r="C456" s="12"/>
      <c r="D456" s="87"/>
      <c r="F456" s="14"/>
      <c r="G456" s="14"/>
      <c r="H456" s="14"/>
      <c r="I456" s="14"/>
      <c r="J456" s="14"/>
      <c r="K456" s="12"/>
    </row>
    <row r="457" ht="19.5" customHeight="1">
      <c r="A457" s="12"/>
      <c r="C457" s="12"/>
      <c r="D457" s="87"/>
      <c r="F457" s="14"/>
      <c r="G457" s="14"/>
      <c r="H457" s="14"/>
      <c r="I457" s="14"/>
      <c r="J457" s="14"/>
      <c r="K457" s="12"/>
    </row>
    <row r="458" ht="19.5" customHeight="1">
      <c r="A458" s="12"/>
      <c r="C458" s="12"/>
      <c r="D458" s="87"/>
      <c r="F458" s="14"/>
      <c r="G458" s="14"/>
      <c r="H458" s="14"/>
      <c r="I458" s="14"/>
      <c r="J458" s="14"/>
      <c r="K458" s="12"/>
    </row>
    <row r="459" ht="19.5" customHeight="1">
      <c r="A459" s="12"/>
      <c r="C459" s="12"/>
      <c r="D459" s="87"/>
      <c r="F459" s="14"/>
      <c r="G459" s="14"/>
      <c r="H459" s="14"/>
      <c r="I459" s="14"/>
      <c r="J459" s="14"/>
      <c r="K459" s="12"/>
    </row>
    <row r="460" ht="19.5" customHeight="1">
      <c r="A460" s="12"/>
      <c r="C460" s="12"/>
      <c r="D460" s="87"/>
      <c r="F460" s="14"/>
      <c r="G460" s="14"/>
      <c r="H460" s="14"/>
      <c r="I460" s="14"/>
      <c r="J460" s="14"/>
      <c r="K460" s="12"/>
    </row>
    <row r="461" ht="19.5" customHeight="1">
      <c r="A461" s="12"/>
      <c r="C461" s="12"/>
      <c r="D461" s="87"/>
      <c r="F461" s="14"/>
      <c r="G461" s="14"/>
      <c r="H461" s="14"/>
      <c r="I461" s="14"/>
      <c r="J461" s="14"/>
      <c r="K461" s="12"/>
    </row>
    <row r="462" ht="19.5" customHeight="1">
      <c r="A462" s="12"/>
      <c r="C462" s="12"/>
      <c r="D462" s="87"/>
      <c r="F462" s="14"/>
      <c r="G462" s="14"/>
      <c r="H462" s="14"/>
      <c r="I462" s="14"/>
      <c r="J462" s="14"/>
      <c r="K462" s="12"/>
    </row>
    <row r="463" ht="19.5" customHeight="1">
      <c r="A463" s="12"/>
      <c r="C463" s="12"/>
      <c r="D463" s="87"/>
      <c r="F463" s="14"/>
      <c r="G463" s="14"/>
      <c r="H463" s="14"/>
      <c r="I463" s="14"/>
      <c r="J463" s="14"/>
      <c r="K463" s="12"/>
    </row>
    <row r="464" ht="19.5" customHeight="1">
      <c r="A464" s="12"/>
      <c r="C464" s="12"/>
      <c r="D464" s="87"/>
      <c r="F464" s="14"/>
      <c r="G464" s="14"/>
      <c r="H464" s="14"/>
      <c r="I464" s="14"/>
      <c r="J464" s="14"/>
      <c r="K464" s="12"/>
    </row>
    <row r="465" ht="19.5" customHeight="1">
      <c r="A465" s="12"/>
      <c r="C465" s="12"/>
      <c r="D465" s="87"/>
      <c r="F465" s="14"/>
      <c r="G465" s="14"/>
      <c r="H465" s="14"/>
      <c r="I465" s="14"/>
      <c r="J465" s="14"/>
      <c r="K465" s="12"/>
    </row>
    <row r="466" ht="19.5" customHeight="1">
      <c r="A466" s="12"/>
      <c r="C466" s="12"/>
      <c r="D466" s="87"/>
      <c r="F466" s="14"/>
      <c r="G466" s="14"/>
      <c r="H466" s="14"/>
      <c r="I466" s="14"/>
      <c r="J466" s="14"/>
      <c r="K466" s="12"/>
    </row>
    <row r="467" ht="19.5" customHeight="1">
      <c r="A467" s="12"/>
      <c r="C467" s="12"/>
      <c r="D467" s="87"/>
      <c r="F467" s="14"/>
      <c r="G467" s="14"/>
      <c r="H467" s="14"/>
      <c r="I467" s="14"/>
      <c r="J467" s="14"/>
      <c r="K467" s="12"/>
    </row>
    <row r="468" ht="19.5" customHeight="1">
      <c r="A468" s="12"/>
      <c r="C468" s="12"/>
      <c r="D468" s="87"/>
      <c r="F468" s="14"/>
      <c r="G468" s="14"/>
      <c r="H468" s="14"/>
      <c r="I468" s="14"/>
      <c r="J468" s="14"/>
      <c r="K468" s="12"/>
    </row>
    <row r="469" ht="19.5" customHeight="1">
      <c r="A469" s="12"/>
      <c r="C469" s="12"/>
      <c r="D469" s="87"/>
      <c r="F469" s="14"/>
      <c r="G469" s="14"/>
      <c r="H469" s="14"/>
      <c r="I469" s="14"/>
      <c r="J469" s="14"/>
      <c r="K469" s="12"/>
    </row>
    <row r="470" ht="19.5" customHeight="1">
      <c r="A470" s="12"/>
      <c r="C470" s="12"/>
      <c r="D470" s="87"/>
      <c r="F470" s="14"/>
      <c r="G470" s="14"/>
      <c r="H470" s="14"/>
      <c r="I470" s="14"/>
      <c r="J470" s="14"/>
      <c r="K470" s="12"/>
    </row>
    <row r="471" ht="19.5" customHeight="1">
      <c r="A471" s="12"/>
      <c r="C471" s="12"/>
      <c r="D471" s="87"/>
      <c r="F471" s="14"/>
      <c r="G471" s="14"/>
      <c r="H471" s="14"/>
      <c r="I471" s="14"/>
      <c r="J471" s="14"/>
      <c r="K471" s="12"/>
    </row>
    <row r="472" ht="19.5" customHeight="1">
      <c r="A472" s="12"/>
      <c r="C472" s="12"/>
      <c r="D472" s="87"/>
      <c r="F472" s="14"/>
      <c r="G472" s="14"/>
      <c r="H472" s="14"/>
      <c r="I472" s="14"/>
      <c r="J472" s="14"/>
      <c r="K472" s="12"/>
    </row>
    <row r="473" ht="19.5" customHeight="1">
      <c r="A473" s="12"/>
      <c r="C473" s="12"/>
      <c r="D473" s="87"/>
      <c r="F473" s="14"/>
      <c r="G473" s="14"/>
      <c r="H473" s="14"/>
      <c r="I473" s="14"/>
      <c r="J473" s="14"/>
      <c r="K473" s="12"/>
    </row>
    <row r="474" ht="19.5" customHeight="1">
      <c r="A474" s="12"/>
      <c r="C474" s="12"/>
      <c r="D474" s="87"/>
      <c r="F474" s="14"/>
      <c r="G474" s="14"/>
      <c r="H474" s="14"/>
      <c r="I474" s="14"/>
      <c r="J474" s="14"/>
      <c r="K474" s="12"/>
    </row>
    <row r="475" ht="19.5" customHeight="1">
      <c r="A475" s="12"/>
      <c r="C475" s="12"/>
      <c r="D475" s="87"/>
      <c r="F475" s="14"/>
      <c r="G475" s="14"/>
      <c r="H475" s="14"/>
      <c r="I475" s="14"/>
      <c r="J475" s="14"/>
      <c r="K475" s="12"/>
    </row>
    <row r="476" ht="19.5" customHeight="1">
      <c r="A476" s="12"/>
      <c r="C476" s="12"/>
      <c r="D476" s="87"/>
      <c r="F476" s="14"/>
      <c r="G476" s="14"/>
      <c r="H476" s="14"/>
      <c r="I476" s="14"/>
      <c r="J476" s="14"/>
      <c r="K476" s="12"/>
    </row>
    <row r="477" ht="19.5" customHeight="1">
      <c r="A477" s="12"/>
      <c r="C477" s="12"/>
      <c r="D477" s="87"/>
      <c r="F477" s="14"/>
      <c r="G477" s="14"/>
      <c r="H477" s="14"/>
      <c r="I477" s="14"/>
      <c r="J477" s="14"/>
      <c r="K477" s="12"/>
    </row>
    <row r="478" ht="19.5" customHeight="1">
      <c r="A478" s="12"/>
      <c r="C478" s="12"/>
      <c r="D478" s="87"/>
      <c r="F478" s="14"/>
      <c r="G478" s="14"/>
      <c r="H478" s="14"/>
      <c r="I478" s="14"/>
      <c r="J478" s="14"/>
      <c r="K478" s="12"/>
    </row>
    <row r="479" ht="19.5" customHeight="1">
      <c r="A479" s="12"/>
      <c r="C479" s="12"/>
      <c r="D479" s="87"/>
      <c r="F479" s="14"/>
      <c r="G479" s="14"/>
      <c r="H479" s="14"/>
      <c r="I479" s="14"/>
      <c r="J479" s="14"/>
      <c r="K479" s="12"/>
    </row>
    <row r="480" ht="19.5" customHeight="1">
      <c r="A480" s="12"/>
      <c r="C480" s="12"/>
      <c r="D480" s="87"/>
      <c r="F480" s="14"/>
      <c r="G480" s="14"/>
      <c r="H480" s="14"/>
      <c r="I480" s="14"/>
      <c r="J480" s="14"/>
      <c r="K480" s="12"/>
    </row>
    <row r="481" ht="19.5" customHeight="1">
      <c r="A481" s="12"/>
      <c r="C481" s="12"/>
      <c r="D481" s="87"/>
      <c r="F481" s="14"/>
      <c r="G481" s="14"/>
      <c r="H481" s="14"/>
      <c r="I481" s="14"/>
      <c r="J481" s="14"/>
      <c r="K481" s="12"/>
    </row>
    <row r="482" ht="19.5" customHeight="1">
      <c r="A482" s="12"/>
      <c r="C482" s="12"/>
      <c r="D482" s="87"/>
      <c r="F482" s="14"/>
      <c r="G482" s="14"/>
      <c r="H482" s="14"/>
      <c r="I482" s="14"/>
      <c r="J482" s="14"/>
      <c r="K482" s="12"/>
    </row>
    <row r="483" ht="19.5" customHeight="1">
      <c r="A483" s="12"/>
      <c r="C483" s="12"/>
      <c r="D483" s="87"/>
      <c r="F483" s="14"/>
      <c r="G483" s="14"/>
      <c r="H483" s="14"/>
      <c r="I483" s="14"/>
      <c r="J483" s="14"/>
      <c r="K483" s="12"/>
    </row>
    <row r="484" ht="19.5" customHeight="1">
      <c r="A484" s="12"/>
      <c r="C484" s="12"/>
      <c r="D484" s="87"/>
      <c r="F484" s="14"/>
      <c r="G484" s="14"/>
      <c r="H484" s="14"/>
      <c r="I484" s="14"/>
      <c r="J484" s="14"/>
      <c r="K484" s="12"/>
    </row>
    <row r="485" ht="19.5" customHeight="1">
      <c r="A485" s="12"/>
      <c r="C485" s="12"/>
      <c r="D485" s="87"/>
      <c r="F485" s="14"/>
      <c r="G485" s="14"/>
      <c r="H485" s="14"/>
      <c r="I485" s="14"/>
      <c r="J485" s="14"/>
      <c r="K485" s="12"/>
    </row>
    <row r="486" ht="19.5" customHeight="1">
      <c r="A486" s="12"/>
      <c r="C486" s="12"/>
      <c r="D486" s="87"/>
      <c r="F486" s="14"/>
      <c r="G486" s="14"/>
      <c r="H486" s="14"/>
      <c r="I486" s="14"/>
      <c r="J486" s="14"/>
      <c r="K486" s="12"/>
    </row>
    <row r="487" ht="19.5" customHeight="1">
      <c r="A487" s="12"/>
      <c r="C487" s="12"/>
      <c r="D487" s="87"/>
      <c r="F487" s="14"/>
      <c r="G487" s="14"/>
      <c r="H487" s="14"/>
      <c r="I487" s="14"/>
      <c r="J487" s="14"/>
      <c r="K487" s="12"/>
    </row>
    <row r="488" ht="19.5" customHeight="1">
      <c r="A488" s="12"/>
      <c r="C488" s="12"/>
      <c r="D488" s="87"/>
      <c r="F488" s="14"/>
      <c r="G488" s="14"/>
      <c r="H488" s="14"/>
      <c r="I488" s="14"/>
      <c r="J488" s="14"/>
      <c r="K488" s="12"/>
    </row>
    <row r="489" ht="19.5" customHeight="1">
      <c r="A489" s="12"/>
      <c r="C489" s="12"/>
      <c r="D489" s="87"/>
      <c r="F489" s="14"/>
      <c r="G489" s="14"/>
      <c r="H489" s="14"/>
      <c r="I489" s="14"/>
      <c r="J489" s="14"/>
      <c r="K489" s="12"/>
    </row>
    <row r="490" ht="19.5" customHeight="1">
      <c r="A490" s="12"/>
      <c r="C490" s="12"/>
      <c r="D490" s="87"/>
      <c r="F490" s="14"/>
      <c r="G490" s="14"/>
      <c r="H490" s="14"/>
      <c r="I490" s="14"/>
      <c r="J490" s="14"/>
      <c r="K490" s="12"/>
    </row>
    <row r="491" ht="19.5" customHeight="1">
      <c r="A491" s="12"/>
      <c r="C491" s="12"/>
      <c r="D491" s="87"/>
      <c r="F491" s="14"/>
      <c r="G491" s="14"/>
      <c r="H491" s="14"/>
      <c r="I491" s="14"/>
      <c r="J491" s="14"/>
      <c r="K491" s="12"/>
    </row>
    <row r="492" ht="19.5" customHeight="1">
      <c r="A492" s="12"/>
      <c r="C492" s="12"/>
      <c r="D492" s="87"/>
      <c r="F492" s="14"/>
      <c r="G492" s="14"/>
      <c r="H492" s="14"/>
      <c r="I492" s="14"/>
      <c r="J492" s="14"/>
      <c r="K492" s="12"/>
    </row>
    <row r="493" ht="19.5" customHeight="1">
      <c r="A493" s="12"/>
      <c r="C493" s="12"/>
      <c r="D493" s="87"/>
      <c r="F493" s="14"/>
      <c r="G493" s="14"/>
      <c r="H493" s="14"/>
      <c r="I493" s="14"/>
      <c r="J493" s="14"/>
      <c r="K493" s="12"/>
    </row>
    <row r="494" ht="19.5" customHeight="1">
      <c r="A494" s="12"/>
      <c r="C494" s="12"/>
      <c r="D494" s="87"/>
      <c r="F494" s="14"/>
      <c r="G494" s="14"/>
      <c r="H494" s="14"/>
      <c r="I494" s="14"/>
      <c r="J494" s="14"/>
      <c r="K494" s="12"/>
    </row>
    <row r="495" ht="19.5" customHeight="1">
      <c r="A495" s="12"/>
      <c r="C495" s="12"/>
      <c r="D495" s="87"/>
      <c r="F495" s="14"/>
      <c r="G495" s="14"/>
      <c r="H495" s="14"/>
      <c r="I495" s="14"/>
      <c r="J495" s="14"/>
      <c r="K495" s="12"/>
    </row>
    <row r="496" ht="19.5" customHeight="1">
      <c r="A496" s="12"/>
      <c r="C496" s="12"/>
      <c r="D496" s="87"/>
      <c r="F496" s="14"/>
      <c r="G496" s="14"/>
      <c r="H496" s="14"/>
      <c r="I496" s="14"/>
      <c r="J496" s="14"/>
      <c r="K496" s="12"/>
    </row>
    <row r="497" ht="19.5" customHeight="1">
      <c r="A497" s="12"/>
      <c r="C497" s="12"/>
      <c r="D497" s="87"/>
      <c r="F497" s="14"/>
      <c r="G497" s="14"/>
      <c r="H497" s="14"/>
      <c r="I497" s="14"/>
      <c r="J497" s="14"/>
      <c r="K497" s="12"/>
    </row>
    <row r="498" ht="19.5" customHeight="1">
      <c r="A498" s="12"/>
      <c r="C498" s="12"/>
      <c r="D498" s="87"/>
      <c r="F498" s="14"/>
      <c r="G498" s="14"/>
      <c r="H498" s="14"/>
      <c r="I498" s="14"/>
      <c r="J498" s="14"/>
      <c r="K498" s="12"/>
    </row>
    <row r="499" ht="19.5" customHeight="1">
      <c r="A499" s="12"/>
      <c r="C499" s="12"/>
      <c r="D499" s="87"/>
      <c r="F499" s="14"/>
      <c r="G499" s="14"/>
      <c r="H499" s="14"/>
      <c r="I499" s="14"/>
      <c r="J499" s="14"/>
      <c r="K499" s="12"/>
    </row>
    <row r="500" ht="19.5" customHeight="1">
      <c r="A500" s="12"/>
      <c r="C500" s="12"/>
      <c r="D500" s="87"/>
      <c r="F500" s="14"/>
      <c r="G500" s="14"/>
      <c r="H500" s="14"/>
      <c r="I500" s="14"/>
      <c r="J500" s="14"/>
      <c r="K500" s="12"/>
    </row>
    <row r="501" ht="19.5" customHeight="1">
      <c r="A501" s="12"/>
      <c r="C501" s="12"/>
      <c r="D501" s="87"/>
      <c r="F501" s="14"/>
      <c r="G501" s="14"/>
      <c r="H501" s="14"/>
      <c r="I501" s="14"/>
      <c r="J501" s="14"/>
      <c r="K501" s="12"/>
    </row>
    <row r="502" ht="19.5" customHeight="1">
      <c r="A502" s="12"/>
      <c r="C502" s="12"/>
      <c r="D502" s="87"/>
      <c r="F502" s="14"/>
      <c r="G502" s="14"/>
      <c r="H502" s="14"/>
      <c r="I502" s="14"/>
      <c r="J502" s="14"/>
      <c r="K502" s="12"/>
    </row>
    <row r="503" ht="19.5" customHeight="1">
      <c r="A503" s="12"/>
      <c r="C503" s="12"/>
      <c r="D503" s="87"/>
      <c r="F503" s="14"/>
      <c r="G503" s="14"/>
      <c r="H503" s="14"/>
      <c r="I503" s="14"/>
      <c r="J503" s="14"/>
      <c r="K503" s="12"/>
    </row>
    <row r="504" ht="19.5" customHeight="1">
      <c r="A504" s="12"/>
      <c r="C504" s="12"/>
      <c r="D504" s="87"/>
      <c r="F504" s="14"/>
      <c r="G504" s="14"/>
      <c r="H504" s="14"/>
      <c r="I504" s="14"/>
      <c r="J504" s="14"/>
      <c r="K504" s="12"/>
    </row>
    <row r="505" ht="19.5" customHeight="1">
      <c r="A505" s="12"/>
      <c r="C505" s="12"/>
      <c r="D505" s="87"/>
      <c r="F505" s="14"/>
      <c r="G505" s="14"/>
      <c r="H505" s="14"/>
      <c r="I505" s="14"/>
      <c r="J505" s="14"/>
      <c r="K505" s="12"/>
    </row>
    <row r="506" ht="19.5" customHeight="1">
      <c r="A506" s="12"/>
      <c r="C506" s="12"/>
      <c r="D506" s="87"/>
      <c r="F506" s="14"/>
      <c r="G506" s="14"/>
      <c r="H506" s="14"/>
      <c r="I506" s="14"/>
      <c r="J506" s="14"/>
      <c r="K506" s="12"/>
    </row>
    <row r="507" ht="19.5" customHeight="1">
      <c r="A507" s="12"/>
      <c r="C507" s="12"/>
      <c r="D507" s="87"/>
      <c r="F507" s="14"/>
      <c r="G507" s="14"/>
      <c r="H507" s="14"/>
      <c r="I507" s="14"/>
      <c r="J507" s="14"/>
      <c r="K507" s="12"/>
    </row>
    <row r="508" ht="19.5" customHeight="1">
      <c r="A508" s="12"/>
      <c r="C508" s="12"/>
      <c r="D508" s="87"/>
      <c r="F508" s="14"/>
      <c r="G508" s="14"/>
      <c r="H508" s="14"/>
      <c r="I508" s="14"/>
      <c r="J508" s="14"/>
      <c r="K508" s="12"/>
    </row>
    <row r="509" ht="19.5" customHeight="1">
      <c r="A509" s="12"/>
      <c r="C509" s="12"/>
      <c r="D509" s="87"/>
      <c r="F509" s="14"/>
      <c r="G509" s="14"/>
      <c r="H509" s="14"/>
      <c r="I509" s="14"/>
      <c r="J509" s="14"/>
      <c r="K509" s="12"/>
    </row>
    <row r="510" ht="19.5" customHeight="1">
      <c r="A510" s="12"/>
      <c r="C510" s="12"/>
      <c r="D510" s="87"/>
      <c r="F510" s="14"/>
      <c r="G510" s="14"/>
      <c r="H510" s="14"/>
      <c r="I510" s="14"/>
      <c r="J510" s="14"/>
      <c r="K510" s="12"/>
    </row>
    <row r="511" ht="19.5" customHeight="1">
      <c r="A511" s="12"/>
      <c r="C511" s="12"/>
      <c r="D511" s="87"/>
      <c r="F511" s="14"/>
      <c r="G511" s="14"/>
      <c r="H511" s="14"/>
      <c r="I511" s="14"/>
      <c r="J511" s="14"/>
      <c r="K511" s="12"/>
    </row>
    <row r="512" ht="19.5" customHeight="1">
      <c r="A512" s="12"/>
      <c r="C512" s="12"/>
      <c r="D512" s="87"/>
      <c r="F512" s="14"/>
      <c r="G512" s="14"/>
      <c r="H512" s="14"/>
      <c r="I512" s="14"/>
      <c r="J512" s="14"/>
      <c r="K512" s="12"/>
    </row>
    <row r="513" ht="19.5" customHeight="1">
      <c r="A513" s="12"/>
      <c r="C513" s="12"/>
      <c r="D513" s="87"/>
      <c r="F513" s="14"/>
      <c r="G513" s="14"/>
      <c r="H513" s="14"/>
      <c r="I513" s="14"/>
      <c r="J513" s="14"/>
      <c r="K513" s="12"/>
    </row>
    <row r="514" ht="19.5" customHeight="1">
      <c r="A514" s="12"/>
      <c r="C514" s="12"/>
      <c r="D514" s="87"/>
      <c r="F514" s="14"/>
      <c r="G514" s="14"/>
      <c r="H514" s="14"/>
      <c r="I514" s="14"/>
      <c r="J514" s="14"/>
      <c r="K514" s="12"/>
    </row>
    <row r="515" ht="19.5" customHeight="1">
      <c r="A515" s="12"/>
      <c r="C515" s="12"/>
      <c r="D515" s="87"/>
      <c r="F515" s="14"/>
      <c r="G515" s="14"/>
      <c r="H515" s="14"/>
      <c r="I515" s="14"/>
      <c r="J515" s="14"/>
      <c r="K515" s="12"/>
    </row>
    <row r="516" ht="19.5" customHeight="1">
      <c r="A516" s="12"/>
      <c r="C516" s="12"/>
      <c r="D516" s="87"/>
      <c r="F516" s="14"/>
      <c r="G516" s="14"/>
      <c r="H516" s="14"/>
      <c r="I516" s="14"/>
      <c r="J516" s="14"/>
      <c r="K516" s="12"/>
    </row>
    <row r="517" ht="19.5" customHeight="1">
      <c r="A517" s="12"/>
      <c r="C517" s="12"/>
      <c r="D517" s="87"/>
      <c r="F517" s="14"/>
      <c r="G517" s="14"/>
      <c r="H517" s="14"/>
      <c r="I517" s="14"/>
      <c r="J517" s="14"/>
      <c r="K517" s="12"/>
    </row>
    <row r="518" ht="19.5" customHeight="1">
      <c r="A518" s="12"/>
      <c r="C518" s="12"/>
      <c r="D518" s="87"/>
      <c r="F518" s="14"/>
      <c r="G518" s="14"/>
      <c r="H518" s="14"/>
      <c r="I518" s="14"/>
      <c r="J518" s="14"/>
      <c r="K518" s="12"/>
    </row>
    <row r="519" ht="19.5" customHeight="1">
      <c r="A519" s="12"/>
      <c r="C519" s="12"/>
      <c r="D519" s="87"/>
      <c r="F519" s="14"/>
      <c r="G519" s="14"/>
      <c r="H519" s="14"/>
      <c r="I519" s="14"/>
      <c r="J519" s="14"/>
      <c r="K519" s="12"/>
    </row>
    <row r="520" ht="19.5" customHeight="1">
      <c r="A520" s="12"/>
      <c r="C520" s="12"/>
      <c r="D520" s="87"/>
      <c r="F520" s="14"/>
      <c r="G520" s="14"/>
      <c r="H520" s="14"/>
      <c r="I520" s="14"/>
      <c r="J520" s="14"/>
      <c r="K520" s="12"/>
    </row>
    <row r="521" ht="19.5" customHeight="1">
      <c r="A521" s="12"/>
      <c r="C521" s="12"/>
      <c r="D521" s="87"/>
      <c r="F521" s="14"/>
      <c r="G521" s="14"/>
      <c r="H521" s="14"/>
      <c r="I521" s="14"/>
      <c r="J521" s="14"/>
      <c r="K521" s="12"/>
    </row>
    <row r="522" ht="19.5" customHeight="1">
      <c r="A522" s="12"/>
      <c r="C522" s="12"/>
      <c r="D522" s="87"/>
      <c r="F522" s="14"/>
      <c r="G522" s="14"/>
      <c r="H522" s="14"/>
      <c r="I522" s="14"/>
      <c r="J522" s="14"/>
      <c r="K522" s="12"/>
    </row>
    <row r="523" ht="19.5" customHeight="1">
      <c r="A523" s="12"/>
      <c r="C523" s="12"/>
      <c r="D523" s="87"/>
      <c r="F523" s="14"/>
      <c r="G523" s="14"/>
      <c r="H523" s="14"/>
      <c r="I523" s="14"/>
      <c r="J523" s="14"/>
      <c r="K523" s="12"/>
    </row>
    <row r="524" ht="19.5" customHeight="1">
      <c r="A524" s="12"/>
      <c r="C524" s="12"/>
      <c r="D524" s="87"/>
      <c r="F524" s="14"/>
      <c r="G524" s="14"/>
      <c r="H524" s="14"/>
      <c r="I524" s="14"/>
      <c r="J524" s="14"/>
      <c r="K524" s="12"/>
    </row>
    <row r="525" ht="19.5" customHeight="1">
      <c r="A525" s="12"/>
      <c r="C525" s="12"/>
      <c r="D525" s="87"/>
      <c r="F525" s="14"/>
      <c r="G525" s="14"/>
      <c r="H525" s="14"/>
      <c r="I525" s="14"/>
      <c r="J525" s="14"/>
      <c r="K525" s="12"/>
    </row>
    <row r="526" ht="19.5" customHeight="1">
      <c r="A526" s="12"/>
      <c r="C526" s="12"/>
      <c r="D526" s="87"/>
      <c r="F526" s="14"/>
      <c r="G526" s="14"/>
      <c r="H526" s="14"/>
      <c r="I526" s="14"/>
      <c r="J526" s="14"/>
      <c r="K526" s="12"/>
    </row>
    <row r="527" ht="19.5" customHeight="1">
      <c r="A527" s="12"/>
      <c r="C527" s="12"/>
      <c r="D527" s="87"/>
      <c r="F527" s="14"/>
      <c r="G527" s="14"/>
      <c r="H527" s="14"/>
      <c r="I527" s="14"/>
      <c r="J527" s="14"/>
      <c r="K527" s="12"/>
    </row>
    <row r="528" ht="19.5" customHeight="1">
      <c r="A528" s="12"/>
      <c r="C528" s="12"/>
      <c r="D528" s="87"/>
      <c r="F528" s="14"/>
      <c r="G528" s="14"/>
      <c r="H528" s="14"/>
      <c r="I528" s="14"/>
      <c r="J528" s="14"/>
      <c r="K528" s="12"/>
    </row>
    <row r="529" ht="19.5" customHeight="1">
      <c r="A529" s="12"/>
      <c r="C529" s="12"/>
      <c r="D529" s="87"/>
      <c r="F529" s="14"/>
      <c r="G529" s="14"/>
      <c r="H529" s="14"/>
      <c r="I529" s="14"/>
      <c r="J529" s="14"/>
      <c r="K529" s="12"/>
    </row>
    <row r="530" ht="19.5" customHeight="1">
      <c r="A530" s="12"/>
      <c r="C530" s="12"/>
      <c r="D530" s="87"/>
      <c r="F530" s="14"/>
      <c r="G530" s="14"/>
      <c r="H530" s="14"/>
      <c r="I530" s="14"/>
      <c r="J530" s="14"/>
      <c r="K530" s="12"/>
    </row>
    <row r="531" ht="19.5" customHeight="1">
      <c r="A531" s="12"/>
      <c r="C531" s="12"/>
      <c r="D531" s="87"/>
      <c r="F531" s="14"/>
      <c r="G531" s="14"/>
      <c r="H531" s="14"/>
      <c r="I531" s="14"/>
      <c r="J531" s="14"/>
      <c r="K531" s="12"/>
    </row>
    <row r="532" ht="19.5" customHeight="1">
      <c r="A532" s="12"/>
      <c r="C532" s="12"/>
      <c r="D532" s="87"/>
      <c r="F532" s="14"/>
      <c r="G532" s="14"/>
      <c r="H532" s="14"/>
      <c r="I532" s="14"/>
      <c r="J532" s="14"/>
      <c r="K532" s="12"/>
    </row>
    <row r="533" ht="19.5" customHeight="1">
      <c r="A533" s="12"/>
      <c r="C533" s="12"/>
      <c r="D533" s="87"/>
      <c r="F533" s="14"/>
      <c r="G533" s="14"/>
      <c r="H533" s="14"/>
      <c r="I533" s="14"/>
      <c r="J533" s="14"/>
      <c r="K533" s="12"/>
    </row>
    <row r="534" ht="19.5" customHeight="1">
      <c r="A534" s="12"/>
      <c r="C534" s="12"/>
      <c r="D534" s="87"/>
      <c r="F534" s="14"/>
      <c r="G534" s="14"/>
      <c r="H534" s="14"/>
      <c r="I534" s="14"/>
      <c r="J534" s="14"/>
      <c r="K534" s="12"/>
    </row>
    <row r="535" ht="19.5" customHeight="1">
      <c r="A535" s="12"/>
      <c r="C535" s="12"/>
      <c r="D535" s="87"/>
      <c r="F535" s="14"/>
      <c r="G535" s="14"/>
      <c r="H535" s="14"/>
      <c r="I535" s="14"/>
      <c r="J535" s="14"/>
      <c r="K535" s="12"/>
    </row>
    <row r="536" ht="19.5" customHeight="1">
      <c r="A536" s="12"/>
      <c r="C536" s="12"/>
      <c r="D536" s="87"/>
      <c r="F536" s="14"/>
      <c r="G536" s="14"/>
      <c r="H536" s="14"/>
      <c r="I536" s="14"/>
      <c r="J536" s="14"/>
      <c r="K536" s="12"/>
    </row>
    <row r="537" ht="19.5" customHeight="1">
      <c r="A537" s="12"/>
      <c r="C537" s="12"/>
      <c r="D537" s="87"/>
      <c r="F537" s="14"/>
      <c r="G537" s="14"/>
      <c r="H537" s="14"/>
      <c r="I537" s="14"/>
      <c r="J537" s="14"/>
      <c r="K537" s="12"/>
    </row>
    <row r="538" ht="19.5" customHeight="1">
      <c r="A538" s="12"/>
      <c r="C538" s="12"/>
      <c r="D538" s="87"/>
      <c r="F538" s="14"/>
      <c r="G538" s="14"/>
      <c r="H538" s="14"/>
      <c r="I538" s="14"/>
      <c r="J538" s="14"/>
      <c r="K538" s="12"/>
    </row>
    <row r="539" ht="19.5" customHeight="1">
      <c r="A539" s="12"/>
      <c r="C539" s="12"/>
      <c r="D539" s="87"/>
      <c r="F539" s="14"/>
      <c r="G539" s="14"/>
      <c r="H539" s="14"/>
      <c r="I539" s="14"/>
      <c r="J539" s="14"/>
      <c r="K539" s="12"/>
    </row>
    <row r="540" ht="19.5" customHeight="1">
      <c r="A540" s="12"/>
      <c r="C540" s="12"/>
      <c r="D540" s="87"/>
      <c r="F540" s="14"/>
      <c r="G540" s="14"/>
      <c r="H540" s="14"/>
      <c r="I540" s="14"/>
      <c r="J540" s="14"/>
      <c r="K540" s="12"/>
    </row>
    <row r="541" ht="19.5" customHeight="1">
      <c r="A541" s="12"/>
      <c r="C541" s="12"/>
      <c r="D541" s="87"/>
      <c r="F541" s="14"/>
      <c r="G541" s="14"/>
      <c r="H541" s="14"/>
      <c r="I541" s="14"/>
      <c r="J541" s="14"/>
      <c r="K541" s="12"/>
    </row>
    <row r="542" ht="19.5" customHeight="1">
      <c r="A542" s="12"/>
      <c r="C542" s="12"/>
      <c r="D542" s="87"/>
      <c r="F542" s="14"/>
      <c r="G542" s="14"/>
      <c r="H542" s="14"/>
      <c r="I542" s="14"/>
      <c r="J542" s="14"/>
      <c r="K542" s="12"/>
    </row>
    <row r="543" ht="19.5" customHeight="1">
      <c r="A543" s="12"/>
      <c r="C543" s="12"/>
      <c r="D543" s="87"/>
      <c r="F543" s="14"/>
      <c r="G543" s="14"/>
      <c r="H543" s="14"/>
      <c r="I543" s="14"/>
      <c r="J543" s="14"/>
      <c r="K543" s="12"/>
    </row>
    <row r="544" ht="19.5" customHeight="1">
      <c r="A544" s="12"/>
      <c r="C544" s="12"/>
      <c r="D544" s="87"/>
      <c r="F544" s="14"/>
      <c r="G544" s="14"/>
      <c r="H544" s="14"/>
      <c r="I544" s="14"/>
      <c r="J544" s="14"/>
      <c r="K544" s="12"/>
    </row>
    <row r="545" ht="19.5" customHeight="1">
      <c r="A545" s="12"/>
      <c r="C545" s="12"/>
      <c r="D545" s="87"/>
      <c r="F545" s="14"/>
      <c r="G545" s="14"/>
      <c r="H545" s="14"/>
      <c r="I545" s="14"/>
      <c r="J545" s="14"/>
      <c r="K545" s="12"/>
    </row>
    <row r="546" ht="19.5" customHeight="1">
      <c r="A546" s="12"/>
      <c r="C546" s="12"/>
      <c r="D546" s="87"/>
      <c r="F546" s="14"/>
      <c r="G546" s="14"/>
      <c r="H546" s="14"/>
      <c r="I546" s="14"/>
      <c r="J546" s="14"/>
      <c r="K546" s="12"/>
    </row>
    <row r="547" ht="19.5" customHeight="1">
      <c r="A547" s="12"/>
      <c r="C547" s="12"/>
      <c r="D547" s="87"/>
      <c r="F547" s="14"/>
      <c r="G547" s="14"/>
      <c r="H547" s="14"/>
      <c r="I547" s="14"/>
      <c r="J547" s="14"/>
      <c r="K547" s="12"/>
    </row>
    <row r="548" ht="19.5" customHeight="1">
      <c r="A548" s="12"/>
      <c r="C548" s="12"/>
      <c r="D548" s="87"/>
      <c r="F548" s="14"/>
      <c r="G548" s="14"/>
      <c r="H548" s="14"/>
      <c r="I548" s="14"/>
      <c r="J548" s="14"/>
      <c r="K548" s="12"/>
    </row>
    <row r="549" ht="19.5" customHeight="1">
      <c r="A549" s="12"/>
      <c r="C549" s="12"/>
      <c r="D549" s="87"/>
      <c r="F549" s="14"/>
      <c r="G549" s="14"/>
      <c r="H549" s="14"/>
      <c r="I549" s="14"/>
      <c r="J549" s="14"/>
      <c r="K549" s="12"/>
    </row>
    <row r="550" ht="19.5" customHeight="1">
      <c r="A550" s="12"/>
      <c r="C550" s="12"/>
      <c r="D550" s="87"/>
      <c r="F550" s="14"/>
      <c r="G550" s="14"/>
      <c r="H550" s="14"/>
      <c r="I550" s="14"/>
      <c r="J550" s="14"/>
      <c r="K550" s="12"/>
    </row>
    <row r="551" ht="19.5" customHeight="1">
      <c r="A551" s="12"/>
      <c r="C551" s="12"/>
      <c r="D551" s="87"/>
      <c r="F551" s="14"/>
      <c r="G551" s="14"/>
      <c r="H551" s="14"/>
      <c r="I551" s="14"/>
      <c r="J551" s="14"/>
      <c r="K551" s="12"/>
    </row>
    <row r="552" ht="19.5" customHeight="1">
      <c r="A552" s="12"/>
      <c r="C552" s="12"/>
      <c r="D552" s="87"/>
      <c r="F552" s="14"/>
      <c r="G552" s="14"/>
      <c r="H552" s="14"/>
      <c r="I552" s="14"/>
      <c r="J552" s="14"/>
      <c r="K552" s="12"/>
    </row>
    <row r="553" ht="19.5" customHeight="1">
      <c r="A553" s="12"/>
      <c r="C553" s="12"/>
      <c r="D553" s="87"/>
      <c r="F553" s="14"/>
      <c r="G553" s="14"/>
      <c r="H553" s="14"/>
      <c r="I553" s="14"/>
      <c r="J553" s="14"/>
      <c r="K553" s="12"/>
    </row>
    <row r="554" ht="19.5" customHeight="1">
      <c r="A554" s="12"/>
      <c r="C554" s="12"/>
      <c r="D554" s="87"/>
      <c r="F554" s="14"/>
      <c r="G554" s="14"/>
      <c r="H554" s="14"/>
      <c r="I554" s="14"/>
      <c r="J554" s="14"/>
      <c r="K554" s="12"/>
    </row>
    <row r="555" ht="19.5" customHeight="1">
      <c r="A555" s="12"/>
      <c r="C555" s="12"/>
      <c r="D555" s="87"/>
      <c r="F555" s="14"/>
      <c r="G555" s="14"/>
      <c r="H555" s="14"/>
      <c r="I555" s="14"/>
      <c r="J555" s="14"/>
      <c r="K555" s="12"/>
    </row>
    <row r="556" ht="19.5" customHeight="1">
      <c r="A556" s="12"/>
      <c r="C556" s="12"/>
      <c r="D556" s="87"/>
      <c r="F556" s="14"/>
      <c r="G556" s="14"/>
      <c r="H556" s="14"/>
      <c r="I556" s="14"/>
      <c r="J556" s="14"/>
      <c r="K556" s="12"/>
    </row>
    <row r="557" ht="19.5" customHeight="1">
      <c r="A557" s="12"/>
      <c r="C557" s="12"/>
      <c r="D557" s="87"/>
      <c r="F557" s="14"/>
      <c r="G557" s="14"/>
      <c r="H557" s="14"/>
      <c r="I557" s="14"/>
      <c r="J557" s="14"/>
      <c r="K557" s="12"/>
    </row>
    <row r="558" ht="19.5" customHeight="1">
      <c r="A558" s="12"/>
      <c r="C558" s="12"/>
      <c r="D558" s="87"/>
      <c r="F558" s="14"/>
      <c r="G558" s="14"/>
      <c r="H558" s="14"/>
      <c r="I558" s="14"/>
      <c r="J558" s="14"/>
      <c r="K558" s="12"/>
    </row>
    <row r="559" ht="19.5" customHeight="1">
      <c r="A559" s="12"/>
      <c r="C559" s="12"/>
      <c r="D559" s="87"/>
      <c r="F559" s="14"/>
      <c r="G559" s="14"/>
      <c r="H559" s="14"/>
      <c r="I559" s="14"/>
      <c r="J559" s="14"/>
      <c r="K559" s="12"/>
    </row>
    <row r="560" ht="19.5" customHeight="1">
      <c r="A560" s="12"/>
      <c r="C560" s="12"/>
      <c r="D560" s="87"/>
      <c r="F560" s="14"/>
      <c r="G560" s="14"/>
      <c r="H560" s="14"/>
      <c r="I560" s="14"/>
      <c r="J560" s="14"/>
      <c r="K560" s="12"/>
    </row>
    <row r="561" ht="19.5" customHeight="1">
      <c r="A561" s="12"/>
      <c r="C561" s="12"/>
      <c r="D561" s="87"/>
      <c r="F561" s="14"/>
      <c r="G561" s="14"/>
      <c r="H561" s="14"/>
      <c r="I561" s="14"/>
      <c r="J561" s="14"/>
      <c r="K561" s="12"/>
    </row>
    <row r="562" ht="19.5" customHeight="1">
      <c r="A562" s="12"/>
      <c r="C562" s="12"/>
      <c r="D562" s="87"/>
      <c r="F562" s="14"/>
      <c r="G562" s="14"/>
      <c r="H562" s="14"/>
      <c r="I562" s="14"/>
      <c r="J562" s="14"/>
      <c r="K562" s="12"/>
    </row>
    <row r="563" ht="19.5" customHeight="1">
      <c r="A563" s="12"/>
      <c r="C563" s="12"/>
      <c r="D563" s="87"/>
      <c r="F563" s="14"/>
      <c r="G563" s="14"/>
      <c r="H563" s="14"/>
      <c r="I563" s="14"/>
      <c r="J563" s="14"/>
      <c r="K563" s="12"/>
    </row>
    <row r="564" ht="19.5" customHeight="1">
      <c r="A564" s="12"/>
      <c r="C564" s="12"/>
      <c r="D564" s="87"/>
      <c r="F564" s="14"/>
      <c r="G564" s="14"/>
      <c r="H564" s="14"/>
      <c r="I564" s="14"/>
      <c r="J564" s="14"/>
      <c r="K564" s="12"/>
    </row>
    <row r="565" ht="19.5" customHeight="1">
      <c r="A565" s="12"/>
      <c r="C565" s="12"/>
      <c r="D565" s="87"/>
      <c r="F565" s="14"/>
      <c r="G565" s="14"/>
      <c r="H565" s="14"/>
      <c r="I565" s="14"/>
      <c r="J565" s="14"/>
      <c r="K565" s="12"/>
    </row>
    <row r="566" ht="19.5" customHeight="1">
      <c r="A566" s="12"/>
      <c r="C566" s="12"/>
      <c r="D566" s="87"/>
      <c r="F566" s="14"/>
      <c r="G566" s="14"/>
      <c r="H566" s="14"/>
      <c r="I566" s="14"/>
      <c r="J566" s="14"/>
      <c r="K566" s="12"/>
    </row>
    <row r="567" ht="19.5" customHeight="1">
      <c r="A567" s="12"/>
      <c r="C567" s="12"/>
      <c r="D567" s="87"/>
      <c r="F567" s="14"/>
      <c r="G567" s="14"/>
      <c r="H567" s="14"/>
      <c r="I567" s="14"/>
      <c r="J567" s="14"/>
      <c r="K567" s="12"/>
    </row>
    <row r="568" ht="19.5" customHeight="1">
      <c r="A568" s="12"/>
      <c r="C568" s="12"/>
      <c r="D568" s="87"/>
      <c r="F568" s="14"/>
      <c r="G568" s="14"/>
      <c r="H568" s="14"/>
      <c r="I568" s="14"/>
      <c r="J568" s="14"/>
      <c r="K568" s="12"/>
    </row>
    <row r="569" ht="19.5" customHeight="1">
      <c r="A569" s="12"/>
      <c r="C569" s="12"/>
      <c r="D569" s="87"/>
      <c r="F569" s="14"/>
      <c r="G569" s="14"/>
      <c r="H569" s="14"/>
      <c r="I569" s="14"/>
      <c r="J569" s="14"/>
      <c r="K569" s="12"/>
    </row>
    <row r="570" ht="19.5" customHeight="1">
      <c r="A570" s="12"/>
      <c r="C570" s="12"/>
      <c r="D570" s="87"/>
      <c r="F570" s="14"/>
      <c r="G570" s="14"/>
      <c r="H570" s="14"/>
      <c r="I570" s="14"/>
      <c r="J570" s="14"/>
      <c r="K570" s="12"/>
    </row>
    <row r="571" ht="19.5" customHeight="1">
      <c r="A571" s="12"/>
      <c r="C571" s="12"/>
      <c r="D571" s="87"/>
      <c r="F571" s="14"/>
      <c r="G571" s="14"/>
      <c r="H571" s="14"/>
      <c r="I571" s="14"/>
      <c r="J571" s="14"/>
      <c r="K571" s="12"/>
    </row>
    <row r="572" ht="19.5" customHeight="1">
      <c r="A572" s="12"/>
      <c r="C572" s="12"/>
      <c r="D572" s="87"/>
      <c r="F572" s="14"/>
      <c r="G572" s="14"/>
      <c r="H572" s="14"/>
      <c r="I572" s="14"/>
      <c r="J572" s="14"/>
      <c r="K572" s="12"/>
    </row>
    <row r="573" ht="19.5" customHeight="1">
      <c r="A573" s="12"/>
      <c r="C573" s="12"/>
      <c r="D573" s="87"/>
      <c r="F573" s="14"/>
      <c r="G573" s="14"/>
      <c r="H573" s="14"/>
      <c r="I573" s="14"/>
      <c r="J573" s="14"/>
      <c r="K573" s="12"/>
    </row>
    <row r="574" ht="19.5" customHeight="1">
      <c r="A574" s="12"/>
      <c r="C574" s="12"/>
      <c r="D574" s="87"/>
      <c r="F574" s="14"/>
      <c r="G574" s="14"/>
      <c r="H574" s="14"/>
      <c r="I574" s="14"/>
      <c r="J574" s="14"/>
      <c r="K574" s="12"/>
    </row>
    <row r="575" ht="19.5" customHeight="1">
      <c r="A575" s="12"/>
      <c r="C575" s="12"/>
      <c r="D575" s="87"/>
      <c r="F575" s="14"/>
      <c r="G575" s="14"/>
      <c r="H575" s="14"/>
      <c r="I575" s="14"/>
      <c r="J575" s="14"/>
      <c r="K575" s="12"/>
    </row>
    <row r="576" ht="19.5" customHeight="1">
      <c r="A576" s="12"/>
      <c r="C576" s="12"/>
      <c r="D576" s="87"/>
      <c r="F576" s="14"/>
      <c r="G576" s="14"/>
      <c r="H576" s="14"/>
      <c r="I576" s="14"/>
      <c r="J576" s="14"/>
      <c r="K576" s="12"/>
    </row>
    <row r="577" ht="19.5" customHeight="1">
      <c r="A577" s="12"/>
      <c r="C577" s="12"/>
      <c r="D577" s="87"/>
      <c r="F577" s="14"/>
      <c r="G577" s="14"/>
      <c r="H577" s="14"/>
      <c r="I577" s="14"/>
      <c r="J577" s="14"/>
      <c r="K577" s="12"/>
    </row>
    <row r="578" ht="19.5" customHeight="1">
      <c r="A578" s="12"/>
      <c r="C578" s="12"/>
      <c r="D578" s="87"/>
      <c r="F578" s="14"/>
      <c r="G578" s="14"/>
      <c r="H578" s="14"/>
      <c r="I578" s="14"/>
      <c r="J578" s="14"/>
      <c r="K578" s="12"/>
    </row>
    <row r="579" ht="19.5" customHeight="1">
      <c r="A579" s="12"/>
      <c r="C579" s="12"/>
      <c r="D579" s="87"/>
      <c r="F579" s="14"/>
      <c r="G579" s="14"/>
      <c r="H579" s="14"/>
      <c r="I579" s="14"/>
      <c r="J579" s="14"/>
      <c r="K579" s="12"/>
    </row>
    <row r="580" ht="19.5" customHeight="1">
      <c r="A580" s="12"/>
      <c r="C580" s="12"/>
      <c r="D580" s="87"/>
      <c r="F580" s="14"/>
      <c r="G580" s="14"/>
      <c r="H580" s="14"/>
      <c r="I580" s="14"/>
      <c r="J580" s="14"/>
      <c r="K580" s="12"/>
    </row>
    <row r="581" ht="19.5" customHeight="1">
      <c r="A581" s="12"/>
      <c r="C581" s="12"/>
      <c r="D581" s="87"/>
      <c r="F581" s="14"/>
      <c r="G581" s="14"/>
      <c r="H581" s="14"/>
      <c r="I581" s="14"/>
      <c r="J581" s="14"/>
      <c r="K581" s="12"/>
    </row>
    <row r="582" ht="19.5" customHeight="1">
      <c r="A582" s="12"/>
      <c r="C582" s="12"/>
      <c r="D582" s="87"/>
      <c r="F582" s="14"/>
      <c r="G582" s="14"/>
      <c r="H582" s="14"/>
      <c r="I582" s="14"/>
      <c r="J582" s="14"/>
      <c r="K582" s="12"/>
    </row>
    <row r="583" ht="19.5" customHeight="1">
      <c r="A583" s="12"/>
      <c r="C583" s="12"/>
      <c r="D583" s="87"/>
      <c r="F583" s="14"/>
      <c r="G583" s="14"/>
      <c r="H583" s="14"/>
      <c r="I583" s="14"/>
      <c r="J583" s="14"/>
      <c r="K583" s="12"/>
    </row>
    <row r="584" ht="19.5" customHeight="1">
      <c r="A584" s="12"/>
      <c r="C584" s="12"/>
      <c r="D584" s="87"/>
      <c r="F584" s="14"/>
      <c r="G584" s="14"/>
      <c r="H584" s="14"/>
      <c r="I584" s="14"/>
      <c r="J584" s="14"/>
      <c r="K584" s="12"/>
    </row>
    <row r="585" ht="19.5" customHeight="1">
      <c r="A585" s="12"/>
      <c r="C585" s="12"/>
      <c r="D585" s="87"/>
      <c r="F585" s="14"/>
      <c r="G585" s="14"/>
      <c r="H585" s="14"/>
      <c r="I585" s="14"/>
      <c r="J585" s="14"/>
      <c r="K585" s="12"/>
    </row>
    <row r="586" ht="19.5" customHeight="1">
      <c r="A586" s="12"/>
      <c r="C586" s="12"/>
      <c r="D586" s="87"/>
      <c r="F586" s="14"/>
      <c r="G586" s="14"/>
      <c r="H586" s="14"/>
      <c r="I586" s="14"/>
      <c r="J586" s="14"/>
      <c r="K586" s="12"/>
    </row>
    <row r="587" ht="19.5" customHeight="1">
      <c r="A587" s="12"/>
      <c r="C587" s="12"/>
      <c r="D587" s="87"/>
      <c r="F587" s="14"/>
      <c r="G587" s="14"/>
      <c r="H587" s="14"/>
      <c r="I587" s="14"/>
      <c r="J587" s="14"/>
      <c r="K587" s="12"/>
    </row>
    <row r="588" ht="19.5" customHeight="1">
      <c r="A588" s="12"/>
      <c r="C588" s="12"/>
      <c r="D588" s="87"/>
      <c r="F588" s="14"/>
      <c r="G588" s="14"/>
      <c r="H588" s="14"/>
      <c r="I588" s="14"/>
      <c r="J588" s="14"/>
      <c r="K588" s="12"/>
    </row>
    <row r="589" ht="19.5" customHeight="1">
      <c r="A589" s="12"/>
      <c r="C589" s="12"/>
      <c r="D589" s="87"/>
      <c r="F589" s="14"/>
      <c r="G589" s="14"/>
      <c r="H589" s="14"/>
      <c r="I589" s="14"/>
      <c r="J589" s="14"/>
      <c r="K589" s="12"/>
    </row>
    <row r="590" ht="19.5" customHeight="1">
      <c r="A590" s="12"/>
      <c r="C590" s="12"/>
      <c r="D590" s="87"/>
      <c r="F590" s="14"/>
      <c r="G590" s="14"/>
      <c r="H590" s="14"/>
      <c r="I590" s="14"/>
      <c r="J590" s="14"/>
      <c r="K590" s="12"/>
    </row>
    <row r="591" ht="19.5" customHeight="1">
      <c r="A591" s="12"/>
      <c r="C591" s="12"/>
      <c r="D591" s="87"/>
      <c r="F591" s="14"/>
      <c r="G591" s="14"/>
      <c r="H591" s="14"/>
      <c r="I591" s="14"/>
      <c r="J591" s="14"/>
      <c r="K591" s="12"/>
    </row>
    <row r="592" ht="19.5" customHeight="1">
      <c r="A592" s="12"/>
      <c r="C592" s="12"/>
      <c r="D592" s="87"/>
      <c r="F592" s="14"/>
      <c r="G592" s="14"/>
      <c r="H592" s="14"/>
      <c r="I592" s="14"/>
      <c r="J592" s="14"/>
      <c r="K592" s="12"/>
    </row>
    <row r="593" ht="19.5" customHeight="1">
      <c r="A593" s="12"/>
      <c r="C593" s="12"/>
      <c r="D593" s="87"/>
      <c r="F593" s="14"/>
      <c r="G593" s="14"/>
      <c r="H593" s="14"/>
      <c r="I593" s="14"/>
      <c r="J593" s="14"/>
      <c r="K593" s="12"/>
    </row>
    <row r="594" ht="19.5" customHeight="1">
      <c r="A594" s="12"/>
      <c r="C594" s="12"/>
      <c r="D594" s="87"/>
      <c r="F594" s="14"/>
      <c r="G594" s="14"/>
      <c r="H594" s="14"/>
      <c r="I594" s="14"/>
      <c r="J594" s="14"/>
      <c r="K594" s="12"/>
    </row>
    <row r="595" ht="19.5" customHeight="1">
      <c r="A595" s="12"/>
      <c r="C595" s="12"/>
      <c r="D595" s="87"/>
      <c r="F595" s="14"/>
      <c r="G595" s="14"/>
      <c r="H595" s="14"/>
      <c r="I595" s="14"/>
      <c r="J595" s="14"/>
      <c r="K595" s="12"/>
    </row>
    <row r="596" ht="19.5" customHeight="1">
      <c r="A596" s="12"/>
      <c r="C596" s="12"/>
      <c r="D596" s="87"/>
      <c r="F596" s="14"/>
      <c r="G596" s="14"/>
      <c r="H596" s="14"/>
      <c r="I596" s="14"/>
      <c r="J596" s="14"/>
      <c r="K596" s="12"/>
    </row>
    <row r="597" ht="19.5" customHeight="1">
      <c r="A597" s="12"/>
      <c r="C597" s="12"/>
      <c r="D597" s="87"/>
      <c r="F597" s="14"/>
      <c r="G597" s="14"/>
      <c r="H597" s="14"/>
      <c r="I597" s="14"/>
      <c r="J597" s="14"/>
      <c r="K597" s="12"/>
    </row>
    <row r="598" ht="19.5" customHeight="1">
      <c r="A598" s="12"/>
      <c r="C598" s="12"/>
      <c r="D598" s="87"/>
      <c r="F598" s="14"/>
      <c r="G598" s="14"/>
      <c r="H598" s="14"/>
      <c r="I598" s="14"/>
      <c r="J598" s="14"/>
      <c r="K598" s="12"/>
    </row>
    <row r="599" ht="19.5" customHeight="1">
      <c r="A599" s="12"/>
      <c r="C599" s="12"/>
      <c r="D599" s="87"/>
      <c r="F599" s="14"/>
      <c r="G599" s="14"/>
      <c r="H599" s="14"/>
      <c r="I599" s="14"/>
      <c r="J599" s="14"/>
      <c r="K599" s="12"/>
    </row>
    <row r="600" ht="19.5" customHeight="1">
      <c r="A600" s="12"/>
      <c r="C600" s="12"/>
      <c r="D600" s="87"/>
      <c r="F600" s="14"/>
      <c r="G600" s="14"/>
      <c r="H600" s="14"/>
      <c r="I600" s="14"/>
      <c r="J600" s="14"/>
      <c r="K600" s="12"/>
    </row>
    <row r="601" ht="19.5" customHeight="1">
      <c r="A601" s="12"/>
      <c r="C601" s="12"/>
      <c r="D601" s="87"/>
      <c r="F601" s="14"/>
      <c r="G601" s="14"/>
      <c r="H601" s="14"/>
      <c r="I601" s="14"/>
      <c r="J601" s="14"/>
      <c r="K601" s="12"/>
    </row>
    <row r="602" ht="19.5" customHeight="1">
      <c r="A602" s="12"/>
      <c r="C602" s="12"/>
      <c r="D602" s="87"/>
      <c r="F602" s="14"/>
      <c r="G602" s="14"/>
      <c r="H602" s="14"/>
      <c r="I602" s="14"/>
      <c r="J602" s="14"/>
      <c r="K602" s="12"/>
    </row>
    <row r="603" ht="19.5" customHeight="1">
      <c r="A603" s="12"/>
      <c r="C603" s="12"/>
      <c r="D603" s="87"/>
      <c r="F603" s="14"/>
      <c r="G603" s="14"/>
      <c r="H603" s="14"/>
      <c r="I603" s="14"/>
      <c r="J603" s="14"/>
      <c r="K603" s="12"/>
    </row>
    <row r="604" ht="19.5" customHeight="1">
      <c r="A604" s="12"/>
      <c r="C604" s="12"/>
      <c r="D604" s="87"/>
      <c r="F604" s="14"/>
      <c r="G604" s="14"/>
      <c r="H604" s="14"/>
      <c r="I604" s="14"/>
      <c r="J604" s="14"/>
      <c r="K604" s="12"/>
    </row>
    <row r="605" ht="19.5" customHeight="1">
      <c r="A605" s="12"/>
      <c r="C605" s="12"/>
      <c r="D605" s="87"/>
      <c r="F605" s="14"/>
      <c r="G605" s="14"/>
      <c r="H605" s="14"/>
      <c r="I605" s="14"/>
      <c r="J605" s="14"/>
      <c r="K605" s="12"/>
    </row>
    <row r="606" ht="19.5" customHeight="1">
      <c r="A606" s="12"/>
      <c r="C606" s="12"/>
      <c r="D606" s="87"/>
      <c r="F606" s="14"/>
      <c r="G606" s="14"/>
      <c r="H606" s="14"/>
      <c r="I606" s="14"/>
      <c r="J606" s="14"/>
      <c r="K606" s="12"/>
    </row>
    <row r="607" ht="19.5" customHeight="1">
      <c r="A607" s="12"/>
      <c r="C607" s="12"/>
      <c r="D607" s="87"/>
      <c r="F607" s="14"/>
      <c r="G607" s="14"/>
      <c r="H607" s="14"/>
      <c r="I607" s="14"/>
      <c r="J607" s="14"/>
      <c r="K607" s="12"/>
    </row>
    <row r="608" ht="19.5" customHeight="1">
      <c r="A608" s="12"/>
      <c r="C608" s="12"/>
      <c r="D608" s="87"/>
      <c r="F608" s="14"/>
      <c r="G608" s="14"/>
      <c r="H608" s="14"/>
      <c r="I608" s="14"/>
      <c r="J608" s="14"/>
      <c r="K608" s="12"/>
    </row>
    <row r="609" ht="19.5" customHeight="1">
      <c r="A609" s="12"/>
      <c r="C609" s="12"/>
      <c r="D609" s="87"/>
      <c r="F609" s="14"/>
      <c r="G609" s="14"/>
      <c r="H609" s="14"/>
      <c r="I609" s="14"/>
      <c r="J609" s="14"/>
      <c r="K609" s="12"/>
    </row>
    <row r="610" ht="19.5" customHeight="1">
      <c r="A610" s="12"/>
      <c r="C610" s="12"/>
      <c r="D610" s="87"/>
      <c r="F610" s="14"/>
      <c r="G610" s="14"/>
      <c r="H610" s="14"/>
      <c r="I610" s="14"/>
      <c r="J610" s="14"/>
      <c r="K610" s="12"/>
    </row>
    <row r="611" ht="19.5" customHeight="1">
      <c r="A611" s="12"/>
      <c r="C611" s="12"/>
      <c r="D611" s="87"/>
      <c r="F611" s="14"/>
      <c r="G611" s="14"/>
      <c r="H611" s="14"/>
      <c r="I611" s="14"/>
      <c r="J611" s="14"/>
      <c r="K611" s="12"/>
    </row>
    <row r="612" ht="19.5" customHeight="1">
      <c r="A612" s="12"/>
      <c r="C612" s="12"/>
      <c r="D612" s="87"/>
      <c r="F612" s="14"/>
      <c r="G612" s="14"/>
      <c r="H612" s="14"/>
      <c r="I612" s="14"/>
      <c r="J612" s="14"/>
      <c r="K612" s="12"/>
    </row>
    <row r="613" ht="19.5" customHeight="1">
      <c r="A613" s="12"/>
      <c r="C613" s="12"/>
      <c r="D613" s="87"/>
      <c r="F613" s="14"/>
      <c r="G613" s="14"/>
      <c r="H613" s="14"/>
      <c r="I613" s="14"/>
      <c r="J613" s="14"/>
      <c r="K613" s="12"/>
    </row>
    <row r="614" ht="19.5" customHeight="1">
      <c r="A614" s="12"/>
      <c r="C614" s="12"/>
      <c r="D614" s="87"/>
      <c r="F614" s="14"/>
      <c r="G614" s="14"/>
      <c r="H614" s="14"/>
      <c r="I614" s="14"/>
      <c r="J614" s="14"/>
      <c r="K614" s="12"/>
    </row>
    <row r="615" ht="19.5" customHeight="1">
      <c r="A615" s="12"/>
      <c r="C615" s="12"/>
      <c r="D615" s="87"/>
      <c r="F615" s="14"/>
      <c r="G615" s="14"/>
      <c r="H615" s="14"/>
      <c r="I615" s="14"/>
      <c r="J615" s="14"/>
      <c r="K615" s="12"/>
    </row>
    <row r="616" ht="19.5" customHeight="1">
      <c r="A616" s="12"/>
      <c r="C616" s="12"/>
      <c r="D616" s="87"/>
      <c r="F616" s="14"/>
      <c r="G616" s="14"/>
      <c r="H616" s="14"/>
      <c r="I616" s="14"/>
      <c r="J616" s="14"/>
      <c r="K616" s="12"/>
    </row>
    <row r="617" ht="19.5" customHeight="1">
      <c r="A617" s="12"/>
      <c r="C617" s="12"/>
      <c r="D617" s="87"/>
      <c r="F617" s="14"/>
      <c r="G617" s="14"/>
      <c r="H617" s="14"/>
      <c r="I617" s="14"/>
      <c r="J617" s="14"/>
      <c r="K617" s="12"/>
    </row>
    <row r="618" ht="19.5" customHeight="1">
      <c r="A618" s="12"/>
      <c r="C618" s="12"/>
      <c r="D618" s="87"/>
      <c r="F618" s="14"/>
      <c r="G618" s="14"/>
      <c r="H618" s="14"/>
      <c r="I618" s="14"/>
      <c r="J618" s="14"/>
      <c r="K618" s="12"/>
    </row>
    <row r="619" ht="19.5" customHeight="1">
      <c r="A619" s="12"/>
      <c r="C619" s="12"/>
      <c r="D619" s="87"/>
      <c r="F619" s="14"/>
      <c r="G619" s="14"/>
      <c r="H619" s="14"/>
      <c r="I619" s="14"/>
      <c r="J619" s="14"/>
      <c r="K619" s="12"/>
    </row>
    <row r="620" ht="19.5" customHeight="1">
      <c r="A620" s="12"/>
      <c r="C620" s="12"/>
      <c r="D620" s="87"/>
      <c r="F620" s="14"/>
      <c r="G620" s="14"/>
      <c r="H620" s="14"/>
      <c r="I620" s="14"/>
      <c r="J620" s="14"/>
      <c r="K620" s="12"/>
    </row>
    <row r="621" ht="19.5" customHeight="1">
      <c r="A621" s="12"/>
      <c r="C621" s="12"/>
      <c r="D621" s="87"/>
      <c r="F621" s="14"/>
      <c r="G621" s="14"/>
      <c r="H621" s="14"/>
      <c r="I621" s="14"/>
      <c r="J621" s="14"/>
      <c r="K621" s="12"/>
    </row>
    <row r="622" ht="19.5" customHeight="1">
      <c r="A622" s="12"/>
      <c r="C622" s="12"/>
      <c r="D622" s="87"/>
      <c r="F622" s="14"/>
      <c r="G622" s="14"/>
      <c r="H622" s="14"/>
      <c r="I622" s="14"/>
      <c r="J622" s="14"/>
      <c r="K622" s="12"/>
    </row>
    <row r="623" ht="19.5" customHeight="1">
      <c r="A623" s="12"/>
      <c r="C623" s="12"/>
      <c r="D623" s="87"/>
      <c r="F623" s="14"/>
      <c r="G623" s="14"/>
      <c r="H623" s="14"/>
      <c r="I623" s="14"/>
      <c r="J623" s="14"/>
      <c r="K623" s="12"/>
    </row>
    <row r="624" ht="19.5" customHeight="1">
      <c r="A624" s="12"/>
      <c r="C624" s="12"/>
      <c r="D624" s="87"/>
      <c r="F624" s="14"/>
      <c r="G624" s="14"/>
      <c r="H624" s="14"/>
      <c r="I624" s="14"/>
      <c r="J624" s="14"/>
      <c r="K624" s="12"/>
    </row>
    <row r="625" ht="19.5" customHeight="1">
      <c r="A625" s="12"/>
      <c r="C625" s="12"/>
      <c r="D625" s="87"/>
      <c r="F625" s="14"/>
      <c r="G625" s="14"/>
      <c r="H625" s="14"/>
      <c r="I625" s="14"/>
      <c r="J625" s="14"/>
      <c r="K625" s="12"/>
    </row>
    <row r="626" ht="19.5" customHeight="1">
      <c r="A626" s="12"/>
      <c r="C626" s="12"/>
      <c r="D626" s="87"/>
      <c r="F626" s="14"/>
      <c r="G626" s="14"/>
      <c r="H626" s="14"/>
      <c r="I626" s="14"/>
      <c r="J626" s="14"/>
      <c r="K626" s="12"/>
    </row>
    <row r="627" ht="19.5" customHeight="1">
      <c r="A627" s="12"/>
      <c r="C627" s="12"/>
      <c r="D627" s="87"/>
      <c r="F627" s="14"/>
      <c r="G627" s="14"/>
      <c r="H627" s="14"/>
      <c r="I627" s="14"/>
      <c r="J627" s="14"/>
      <c r="K627" s="12"/>
    </row>
    <row r="628" ht="19.5" customHeight="1">
      <c r="A628" s="12"/>
      <c r="C628" s="12"/>
      <c r="D628" s="87"/>
      <c r="F628" s="14"/>
      <c r="G628" s="14"/>
      <c r="H628" s="14"/>
      <c r="I628" s="14"/>
      <c r="J628" s="14"/>
      <c r="K628" s="12"/>
    </row>
    <row r="629" ht="19.5" customHeight="1">
      <c r="A629" s="12"/>
      <c r="C629" s="12"/>
      <c r="D629" s="87"/>
      <c r="F629" s="14"/>
      <c r="G629" s="14"/>
      <c r="H629" s="14"/>
      <c r="I629" s="14"/>
      <c r="J629" s="14"/>
      <c r="K629" s="12"/>
    </row>
    <row r="630" ht="19.5" customHeight="1">
      <c r="A630" s="12"/>
      <c r="C630" s="12"/>
      <c r="D630" s="87"/>
      <c r="F630" s="14"/>
      <c r="G630" s="14"/>
      <c r="H630" s="14"/>
      <c r="I630" s="14"/>
      <c r="J630" s="14"/>
      <c r="K630" s="12"/>
    </row>
    <row r="631" ht="19.5" customHeight="1">
      <c r="A631" s="12"/>
      <c r="C631" s="12"/>
      <c r="D631" s="87"/>
      <c r="F631" s="14"/>
      <c r="G631" s="14"/>
      <c r="H631" s="14"/>
      <c r="I631" s="14"/>
      <c r="J631" s="14"/>
      <c r="K631" s="12"/>
    </row>
    <row r="632" ht="19.5" customHeight="1">
      <c r="A632" s="12"/>
      <c r="C632" s="12"/>
      <c r="D632" s="87"/>
      <c r="F632" s="14"/>
      <c r="G632" s="14"/>
      <c r="H632" s="14"/>
      <c r="I632" s="14"/>
      <c r="J632" s="14"/>
      <c r="K632" s="12"/>
    </row>
    <row r="633" ht="19.5" customHeight="1">
      <c r="A633" s="12"/>
      <c r="C633" s="12"/>
      <c r="D633" s="87"/>
      <c r="F633" s="14"/>
      <c r="G633" s="14"/>
      <c r="H633" s="14"/>
      <c r="I633" s="14"/>
      <c r="J633" s="14"/>
      <c r="K633" s="12"/>
    </row>
    <row r="634" ht="19.5" customHeight="1">
      <c r="A634" s="12"/>
      <c r="C634" s="12"/>
      <c r="D634" s="87"/>
      <c r="F634" s="14"/>
      <c r="G634" s="14"/>
      <c r="H634" s="14"/>
      <c r="I634" s="14"/>
      <c r="J634" s="14"/>
      <c r="K634" s="12"/>
    </row>
    <row r="635" ht="19.5" customHeight="1">
      <c r="A635" s="12"/>
      <c r="C635" s="12"/>
      <c r="D635" s="87"/>
      <c r="F635" s="14"/>
      <c r="G635" s="14"/>
      <c r="H635" s="14"/>
      <c r="I635" s="14"/>
      <c r="J635" s="14"/>
      <c r="K635" s="12"/>
    </row>
    <row r="636" ht="19.5" customHeight="1">
      <c r="A636" s="12"/>
      <c r="C636" s="12"/>
      <c r="D636" s="87"/>
      <c r="F636" s="14"/>
      <c r="G636" s="14"/>
      <c r="H636" s="14"/>
      <c r="I636" s="14"/>
      <c r="J636" s="14"/>
      <c r="K636" s="12"/>
    </row>
    <row r="637" ht="19.5" customHeight="1">
      <c r="A637" s="12"/>
      <c r="C637" s="12"/>
      <c r="D637" s="87"/>
      <c r="F637" s="14"/>
      <c r="G637" s="14"/>
      <c r="H637" s="14"/>
      <c r="I637" s="14"/>
      <c r="J637" s="14"/>
      <c r="K637" s="12"/>
    </row>
    <row r="638" ht="19.5" customHeight="1">
      <c r="A638" s="12"/>
      <c r="C638" s="12"/>
      <c r="D638" s="87"/>
      <c r="F638" s="14"/>
      <c r="G638" s="14"/>
      <c r="H638" s="14"/>
      <c r="I638" s="14"/>
      <c r="J638" s="14"/>
      <c r="K638" s="12"/>
    </row>
    <row r="639" ht="19.5" customHeight="1">
      <c r="A639" s="12"/>
      <c r="C639" s="12"/>
      <c r="D639" s="87"/>
      <c r="F639" s="14"/>
      <c r="G639" s="14"/>
      <c r="H639" s="14"/>
      <c r="I639" s="14"/>
      <c r="J639" s="14"/>
      <c r="K639" s="12"/>
    </row>
    <row r="640" ht="19.5" customHeight="1">
      <c r="A640" s="12"/>
      <c r="C640" s="12"/>
      <c r="D640" s="87"/>
      <c r="F640" s="14"/>
      <c r="G640" s="14"/>
      <c r="H640" s="14"/>
      <c r="I640" s="14"/>
      <c r="J640" s="14"/>
      <c r="K640" s="12"/>
    </row>
    <row r="641" ht="19.5" customHeight="1">
      <c r="A641" s="12"/>
      <c r="C641" s="12"/>
      <c r="D641" s="87"/>
      <c r="F641" s="14"/>
      <c r="G641" s="14"/>
      <c r="H641" s="14"/>
      <c r="I641" s="14"/>
      <c r="J641" s="14"/>
      <c r="K641" s="12"/>
    </row>
    <row r="642" ht="19.5" customHeight="1">
      <c r="A642" s="12"/>
      <c r="C642" s="12"/>
      <c r="D642" s="87"/>
      <c r="F642" s="14"/>
      <c r="G642" s="14"/>
      <c r="H642" s="14"/>
      <c r="I642" s="14"/>
      <c r="J642" s="14"/>
      <c r="K642" s="12"/>
    </row>
    <row r="643" ht="19.5" customHeight="1">
      <c r="A643" s="12"/>
      <c r="C643" s="12"/>
      <c r="D643" s="87"/>
      <c r="F643" s="14"/>
      <c r="G643" s="14"/>
      <c r="H643" s="14"/>
      <c r="I643" s="14"/>
      <c r="J643" s="14"/>
      <c r="K643" s="12"/>
    </row>
    <row r="644" ht="19.5" customHeight="1">
      <c r="A644" s="12"/>
      <c r="C644" s="12"/>
      <c r="D644" s="87"/>
      <c r="F644" s="14"/>
      <c r="G644" s="14"/>
      <c r="H644" s="14"/>
      <c r="I644" s="14"/>
      <c r="J644" s="14"/>
      <c r="K644" s="12"/>
    </row>
    <row r="645" ht="19.5" customHeight="1">
      <c r="A645" s="12"/>
      <c r="C645" s="12"/>
      <c r="D645" s="87"/>
      <c r="F645" s="14"/>
      <c r="G645" s="14"/>
      <c r="H645" s="14"/>
      <c r="I645" s="14"/>
      <c r="J645" s="14"/>
      <c r="K645" s="12"/>
    </row>
    <row r="646" ht="19.5" customHeight="1">
      <c r="A646" s="12"/>
      <c r="C646" s="12"/>
      <c r="D646" s="87"/>
      <c r="F646" s="14"/>
      <c r="G646" s="14"/>
      <c r="H646" s="14"/>
      <c r="I646" s="14"/>
      <c r="J646" s="14"/>
      <c r="K646" s="12"/>
    </row>
    <row r="647" ht="19.5" customHeight="1">
      <c r="A647" s="12"/>
      <c r="C647" s="12"/>
      <c r="D647" s="87"/>
      <c r="F647" s="14"/>
      <c r="G647" s="14"/>
      <c r="H647" s="14"/>
      <c r="I647" s="14"/>
      <c r="J647" s="14"/>
      <c r="K647" s="12"/>
    </row>
    <row r="648" ht="19.5" customHeight="1">
      <c r="A648" s="12"/>
      <c r="C648" s="12"/>
      <c r="D648" s="87"/>
      <c r="F648" s="14"/>
      <c r="G648" s="14"/>
      <c r="H648" s="14"/>
      <c r="I648" s="14"/>
      <c r="J648" s="14"/>
      <c r="K648" s="12"/>
    </row>
    <row r="649" ht="19.5" customHeight="1">
      <c r="A649" s="12"/>
      <c r="C649" s="12"/>
      <c r="D649" s="87"/>
      <c r="F649" s="14"/>
      <c r="G649" s="14"/>
      <c r="H649" s="14"/>
      <c r="I649" s="14"/>
      <c r="J649" s="14"/>
      <c r="K649" s="12"/>
    </row>
    <row r="650" ht="19.5" customHeight="1">
      <c r="A650" s="12"/>
      <c r="C650" s="12"/>
      <c r="D650" s="87"/>
      <c r="F650" s="14"/>
      <c r="G650" s="14"/>
      <c r="H650" s="14"/>
      <c r="I650" s="14"/>
      <c r="J650" s="14"/>
      <c r="K650" s="12"/>
    </row>
    <row r="651" ht="19.5" customHeight="1">
      <c r="A651" s="12"/>
      <c r="C651" s="12"/>
      <c r="D651" s="87"/>
      <c r="F651" s="14"/>
      <c r="G651" s="14"/>
      <c r="H651" s="14"/>
      <c r="I651" s="14"/>
      <c r="J651" s="14"/>
      <c r="K651" s="12"/>
    </row>
    <row r="652" ht="19.5" customHeight="1">
      <c r="A652" s="12"/>
      <c r="C652" s="12"/>
      <c r="D652" s="87"/>
      <c r="F652" s="14"/>
      <c r="G652" s="14"/>
      <c r="H652" s="14"/>
      <c r="I652" s="14"/>
      <c r="J652" s="14"/>
      <c r="K652" s="12"/>
    </row>
    <row r="653" ht="19.5" customHeight="1">
      <c r="A653" s="12"/>
      <c r="C653" s="12"/>
      <c r="D653" s="87"/>
      <c r="F653" s="14"/>
      <c r="G653" s="14"/>
      <c r="H653" s="14"/>
      <c r="I653" s="14"/>
      <c r="J653" s="14"/>
      <c r="K653" s="12"/>
    </row>
    <row r="654" ht="19.5" customHeight="1">
      <c r="A654" s="12"/>
      <c r="C654" s="12"/>
      <c r="D654" s="87"/>
      <c r="F654" s="14"/>
      <c r="G654" s="14"/>
      <c r="H654" s="14"/>
      <c r="I654" s="14"/>
      <c r="J654" s="14"/>
      <c r="K654" s="12"/>
    </row>
    <row r="655" ht="19.5" customHeight="1">
      <c r="A655" s="12"/>
      <c r="C655" s="12"/>
      <c r="D655" s="87"/>
      <c r="F655" s="14"/>
      <c r="G655" s="14"/>
      <c r="H655" s="14"/>
      <c r="I655" s="14"/>
      <c r="J655" s="14"/>
      <c r="K655" s="12"/>
    </row>
    <row r="656" ht="19.5" customHeight="1">
      <c r="A656" s="12"/>
      <c r="C656" s="12"/>
      <c r="D656" s="87"/>
      <c r="F656" s="14"/>
      <c r="G656" s="14"/>
      <c r="H656" s="14"/>
      <c r="I656" s="14"/>
      <c r="J656" s="14"/>
      <c r="K656" s="12"/>
    </row>
    <row r="657" ht="19.5" customHeight="1">
      <c r="A657" s="12"/>
      <c r="C657" s="12"/>
      <c r="D657" s="87"/>
      <c r="F657" s="14"/>
      <c r="G657" s="14"/>
      <c r="H657" s="14"/>
      <c r="I657" s="14"/>
      <c r="J657" s="14"/>
      <c r="K657" s="12"/>
    </row>
    <row r="658" ht="19.5" customHeight="1">
      <c r="A658" s="12"/>
      <c r="C658" s="12"/>
      <c r="D658" s="87"/>
      <c r="F658" s="14"/>
      <c r="G658" s="14"/>
      <c r="H658" s="14"/>
      <c r="I658" s="14"/>
      <c r="J658" s="14"/>
      <c r="K658" s="12"/>
    </row>
    <row r="659" ht="19.5" customHeight="1">
      <c r="A659" s="12"/>
      <c r="C659" s="12"/>
      <c r="D659" s="87"/>
      <c r="F659" s="14"/>
      <c r="G659" s="14"/>
      <c r="H659" s="14"/>
      <c r="I659" s="14"/>
      <c r="J659" s="14"/>
      <c r="K659" s="12"/>
    </row>
    <row r="660" ht="19.5" customHeight="1">
      <c r="A660" s="12"/>
      <c r="C660" s="12"/>
      <c r="D660" s="87"/>
      <c r="F660" s="14"/>
      <c r="G660" s="14"/>
      <c r="H660" s="14"/>
      <c r="I660" s="14"/>
      <c r="J660" s="14"/>
      <c r="K660" s="12"/>
    </row>
    <row r="661" ht="19.5" customHeight="1">
      <c r="A661" s="12"/>
      <c r="C661" s="12"/>
      <c r="D661" s="87"/>
      <c r="F661" s="14"/>
      <c r="G661" s="14"/>
      <c r="H661" s="14"/>
      <c r="I661" s="14"/>
      <c r="J661" s="14"/>
      <c r="K661" s="12"/>
    </row>
    <row r="662" ht="19.5" customHeight="1">
      <c r="A662" s="12"/>
      <c r="C662" s="12"/>
      <c r="D662" s="87"/>
      <c r="F662" s="14"/>
      <c r="G662" s="14"/>
      <c r="H662" s="14"/>
      <c r="I662" s="14"/>
      <c r="J662" s="14"/>
      <c r="K662" s="12"/>
    </row>
    <row r="663" ht="19.5" customHeight="1">
      <c r="A663" s="12"/>
      <c r="C663" s="12"/>
      <c r="D663" s="87"/>
      <c r="F663" s="14"/>
      <c r="G663" s="14"/>
      <c r="H663" s="14"/>
      <c r="I663" s="14"/>
      <c r="J663" s="14"/>
      <c r="K663" s="12"/>
    </row>
    <row r="664" ht="19.5" customHeight="1">
      <c r="A664" s="12"/>
      <c r="C664" s="12"/>
      <c r="D664" s="87"/>
      <c r="F664" s="14"/>
      <c r="G664" s="14"/>
      <c r="H664" s="14"/>
      <c r="I664" s="14"/>
      <c r="J664" s="14"/>
      <c r="K664" s="12"/>
    </row>
    <row r="665" ht="19.5" customHeight="1">
      <c r="A665" s="12"/>
      <c r="C665" s="12"/>
      <c r="D665" s="87"/>
      <c r="F665" s="14"/>
      <c r="G665" s="14"/>
      <c r="H665" s="14"/>
      <c r="I665" s="14"/>
      <c r="J665" s="14"/>
      <c r="K665" s="12"/>
    </row>
    <row r="666" ht="19.5" customHeight="1">
      <c r="A666" s="12"/>
      <c r="C666" s="12"/>
      <c r="D666" s="87"/>
      <c r="F666" s="14"/>
      <c r="G666" s="14"/>
      <c r="H666" s="14"/>
      <c r="I666" s="14"/>
      <c r="J666" s="14"/>
      <c r="K666" s="12"/>
    </row>
    <row r="667" ht="19.5" customHeight="1">
      <c r="A667" s="12"/>
      <c r="C667" s="12"/>
      <c r="D667" s="87"/>
      <c r="F667" s="14"/>
      <c r="G667" s="14"/>
      <c r="H667" s="14"/>
      <c r="I667" s="14"/>
      <c r="J667" s="14"/>
      <c r="K667" s="12"/>
    </row>
    <row r="668" ht="19.5" customHeight="1">
      <c r="A668" s="12"/>
      <c r="C668" s="12"/>
      <c r="D668" s="87"/>
      <c r="F668" s="14"/>
      <c r="G668" s="14"/>
      <c r="H668" s="14"/>
      <c r="I668" s="14"/>
      <c r="J668" s="14"/>
      <c r="K668" s="12"/>
    </row>
    <row r="669" ht="19.5" customHeight="1">
      <c r="A669" s="12"/>
      <c r="C669" s="12"/>
      <c r="D669" s="87"/>
      <c r="F669" s="14"/>
      <c r="G669" s="14"/>
      <c r="H669" s="14"/>
      <c r="I669" s="14"/>
      <c r="J669" s="14"/>
      <c r="K669" s="12"/>
    </row>
    <row r="670" ht="19.5" customHeight="1">
      <c r="A670" s="12"/>
      <c r="C670" s="12"/>
      <c r="D670" s="87"/>
      <c r="F670" s="14"/>
      <c r="G670" s="14"/>
      <c r="H670" s="14"/>
      <c r="I670" s="14"/>
      <c r="J670" s="14"/>
      <c r="K670" s="12"/>
    </row>
    <row r="671" ht="19.5" customHeight="1">
      <c r="A671" s="12"/>
      <c r="C671" s="12"/>
      <c r="D671" s="87"/>
      <c r="F671" s="14"/>
      <c r="G671" s="14"/>
      <c r="H671" s="14"/>
      <c r="I671" s="14"/>
      <c r="J671" s="14"/>
      <c r="K671" s="12"/>
    </row>
    <row r="672" ht="19.5" customHeight="1">
      <c r="A672" s="12"/>
      <c r="C672" s="12"/>
      <c r="D672" s="87"/>
      <c r="F672" s="14"/>
      <c r="G672" s="14"/>
      <c r="H672" s="14"/>
      <c r="I672" s="14"/>
      <c r="J672" s="14"/>
      <c r="K672" s="12"/>
    </row>
    <row r="673" ht="19.5" customHeight="1">
      <c r="A673" s="12"/>
      <c r="C673" s="12"/>
      <c r="D673" s="87"/>
      <c r="F673" s="14"/>
      <c r="G673" s="14"/>
      <c r="H673" s="14"/>
      <c r="I673" s="14"/>
      <c r="J673" s="14"/>
      <c r="K673" s="12"/>
    </row>
    <row r="674" ht="19.5" customHeight="1">
      <c r="A674" s="12"/>
      <c r="C674" s="12"/>
      <c r="D674" s="87"/>
      <c r="F674" s="14"/>
      <c r="G674" s="14"/>
      <c r="H674" s="14"/>
      <c r="I674" s="14"/>
      <c r="J674" s="14"/>
      <c r="K674" s="12"/>
    </row>
    <row r="675" ht="19.5" customHeight="1">
      <c r="A675" s="12"/>
      <c r="C675" s="12"/>
      <c r="D675" s="87"/>
      <c r="F675" s="14"/>
      <c r="G675" s="14"/>
      <c r="H675" s="14"/>
      <c r="I675" s="14"/>
      <c r="J675" s="14"/>
      <c r="K675" s="12"/>
    </row>
    <row r="676" ht="19.5" customHeight="1">
      <c r="A676" s="12"/>
      <c r="C676" s="12"/>
      <c r="D676" s="87"/>
      <c r="F676" s="14"/>
      <c r="G676" s="14"/>
      <c r="H676" s="14"/>
      <c r="I676" s="14"/>
      <c r="J676" s="14"/>
      <c r="K676" s="12"/>
    </row>
    <row r="677" ht="19.5" customHeight="1">
      <c r="A677" s="12"/>
      <c r="C677" s="12"/>
      <c r="D677" s="87"/>
      <c r="F677" s="14"/>
      <c r="G677" s="14"/>
      <c r="H677" s="14"/>
      <c r="I677" s="14"/>
      <c r="J677" s="14"/>
      <c r="K677" s="12"/>
    </row>
    <row r="678" ht="19.5" customHeight="1">
      <c r="A678" s="12"/>
      <c r="C678" s="12"/>
      <c r="D678" s="87"/>
      <c r="F678" s="14"/>
      <c r="G678" s="14"/>
      <c r="H678" s="14"/>
      <c r="I678" s="14"/>
      <c r="J678" s="14"/>
      <c r="K678" s="12"/>
    </row>
    <row r="679" ht="19.5" customHeight="1">
      <c r="A679" s="12"/>
      <c r="C679" s="12"/>
      <c r="D679" s="87"/>
      <c r="F679" s="14"/>
      <c r="G679" s="14"/>
      <c r="H679" s="14"/>
      <c r="I679" s="14"/>
      <c r="J679" s="14"/>
      <c r="K679" s="12"/>
    </row>
    <row r="680" ht="19.5" customHeight="1">
      <c r="A680" s="12"/>
      <c r="C680" s="12"/>
      <c r="D680" s="87"/>
      <c r="F680" s="14"/>
      <c r="G680" s="14"/>
      <c r="H680" s="14"/>
      <c r="I680" s="14"/>
      <c r="J680" s="14"/>
      <c r="K680" s="12"/>
    </row>
    <row r="681" ht="19.5" customHeight="1">
      <c r="A681" s="12"/>
      <c r="C681" s="12"/>
      <c r="D681" s="87"/>
      <c r="F681" s="14"/>
      <c r="G681" s="14"/>
      <c r="H681" s="14"/>
      <c r="I681" s="14"/>
      <c r="J681" s="14"/>
      <c r="K681" s="12"/>
    </row>
    <row r="682" ht="19.5" customHeight="1">
      <c r="A682" s="12"/>
      <c r="C682" s="12"/>
      <c r="D682" s="87"/>
      <c r="F682" s="14"/>
      <c r="G682" s="14"/>
      <c r="H682" s="14"/>
      <c r="I682" s="14"/>
      <c r="J682" s="14"/>
      <c r="K682" s="12"/>
    </row>
    <row r="683" ht="19.5" customHeight="1">
      <c r="A683" s="12"/>
      <c r="C683" s="12"/>
      <c r="D683" s="87"/>
      <c r="F683" s="14"/>
      <c r="G683" s="14"/>
      <c r="H683" s="14"/>
      <c r="I683" s="14"/>
      <c r="J683" s="14"/>
      <c r="K683" s="12"/>
    </row>
    <row r="684" ht="19.5" customHeight="1">
      <c r="A684" s="12"/>
      <c r="C684" s="12"/>
      <c r="D684" s="87"/>
      <c r="F684" s="14"/>
      <c r="G684" s="14"/>
      <c r="H684" s="14"/>
      <c r="I684" s="14"/>
      <c r="J684" s="14"/>
      <c r="K684" s="12"/>
    </row>
    <row r="685" ht="19.5" customHeight="1">
      <c r="A685" s="12"/>
      <c r="C685" s="12"/>
      <c r="D685" s="87"/>
      <c r="F685" s="14"/>
      <c r="G685" s="14"/>
      <c r="H685" s="14"/>
      <c r="I685" s="14"/>
      <c r="J685" s="14"/>
      <c r="K685" s="12"/>
    </row>
    <row r="686" ht="19.5" customHeight="1">
      <c r="A686" s="12"/>
      <c r="C686" s="12"/>
      <c r="D686" s="87"/>
      <c r="F686" s="14"/>
      <c r="G686" s="14"/>
      <c r="H686" s="14"/>
      <c r="I686" s="14"/>
      <c r="J686" s="14"/>
      <c r="K686" s="12"/>
    </row>
    <row r="687" ht="19.5" customHeight="1">
      <c r="A687" s="12"/>
      <c r="C687" s="12"/>
      <c r="D687" s="87"/>
      <c r="F687" s="14"/>
      <c r="G687" s="14"/>
      <c r="H687" s="14"/>
      <c r="I687" s="14"/>
      <c r="J687" s="14"/>
      <c r="K687" s="12"/>
    </row>
    <row r="688" ht="19.5" customHeight="1">
      <c r="A688" s="12"/>
      <c r="C688" s="12"/>
      <c r="D688" s="87"/>
      <c r="F688" s="14"/>
      <c r="G688" s="14"/>
      <c r="H688" s="14"/>
      <c r="I688" s="14"/>
      <c r="J688" s="14"/>
      <c r="K688" s="12"/>
    </row>
    <row r="689" ht="19.5" customHeight="1">
      <c r="A689" s="12"/>
      <c r="C689" s="12"/>
      <c r="D689" s="87"/>
      <c r="F689" s="14"/>
      <c r="G689" s="14"/>
      <c r="H689" s="14"/>
      <c r="I689" s="14"/>
      <c r="J689" s="14"/>
      <c r="K689" s="12"/>
    </row>
    <row r="690" ht="19.5" customHeight="1">
      <c r="A690" s="12"/>
      <c r="C690" s="12"/>
      <c r="D690" s="87"/>
      <c r="F690" s="14"/>
      <c r="G690" s="14"/>
      <c r="H690" s="14"/>
      <c r="I690" s="14"/>
      <c r="J690" s="14"/>
      <c r="K690" s="12"/>
    </row>
    <row r="691" ht="19.5" customHeight="1">
      <c r="A691" s="12"/>
      <c r="C691" s="12"/>
      <c r="D691" s="87"/>
      <c r="F691" s="14"/>
      <c r="G691" s="14"/>
      <c r="H691" s="14"/>
      <c r="I691" s="14"/>
      <c r="J691" s="14"/>
      <c r="K691" s="12"/>
    </row>
    <row r="692" ht="19.5" customHeight="1">
      <c r="A692" s="12"/>
      <c r="C692" s="12"/>
      <c r="D692" s="87"/>
      <c r="F692" s="14"/>
      <c r="G692" s="14"/>
      <c r="H692" s="14"/>
      <c r="I692" s="14"/>
      <c r="J692" s="14"/>
      <c r="K692" s="12"/>
    </row>
    <row r="693" ht="19.5" customHeight="1">
      <c r="A693" s="12"/>
      <c r="C693" s="12"/>
      <c r="D693" s="87"/>
      <c r="F693" s="14"/>
      <c r="G693" s="14"/>
      <c r="H693" s="14"/>
      <c r="I693" s="14"/>
      <c r="J693" s="14"/>
      <c r="K693" s="12"/>
    </row>
    <row r="694" ht="19.5" customHeight="1">
      <c r="A694" s="12"/>
      <c r="C694" s="12"/>
      <c r="D694" s="87"/>
      <c r="F694" s="14"/>
      <c r="G694" s="14"/>
      <c r="H694" s="14"/>
      <c r="I694" s="14"/>
      <c r="J694" s="14"/>
      <c r="K694" s="12"/>
    </row>
    <row r="695" ht="19.5" customHeight="1">
      <c r="A695" s="12"/>
      <c r="C695" s="12"/>
      <c r="D695" s="87"/>
      <c r="F695" s="14"/>
      <c r="G695" s="14"/>
      <c r="H695" s="14"/>
      <c r="I695" s="14"/>
      <c r="J695" s="14"/>
      <c r="K695" s="12"/>
    </row>
    <row r="696" ht="19.5" customHeight="1">
      <c r="A696" s="12"/>
      <c r="C696" s="12"/>
      <c r="D696" s="87"/>
      <c r="F696" s="14"/>
      <c r="G696" s="14"/>
      <c r="H696" s="14"/>
      <c r="I696" s="14"/>
      <c r="J696" s="14"/>
      <c r="K696" s="12"/>
    </row>
    <row r="697" ht="19.5" customHeight="1">
      <c r="A697" s="12"/>
      <c r="C697" s="12"/>
      <c r="D697" s="87"/>
      <c r="F697" s="14"/>
      <c r="G697" s="14"/>
      <c r="H697" s="14"/>
      <c r="I697" s="14"/>
      <c r="J697" s="14"/>
      <c r="K697" s="12"/>
    </row>
    <row r="698" ht="19.5" customHeight="1">
      <c r="A698" s="12"/>
      <c r="C698" s="12"/>
      <c r="D698" s="87"/>
      <c r="F698" s="14"/>
      <c r="G698" s="14"/>
      <c r="H698" s="14"/>
      <c r="I698" s="14"/>
      <c r="J698" s="14"/>
      <c r="K698" s="12"/>
    </row>
    <row r="699" ht="19.5" customHeight="1">
      <c r="A699" s="12"/>
      <c r="C699" s="12"/>
      <c r="D699" s="87"/>
      <c r="F699" s="14"/>
      <c r="G699" s="14"/>
      <c r="H699" s="14"/>
      <c r="I699" s="14"/>
      <c r="J699" s="14"/>
      <c r="K699" s="12"/>
    </row>
    <row r="700" ht="19.5" customHeight="1">
      <c r="A700" s="12"/>
      <c r="C700" s="12"/>
      <c r="D700" s="87"/>
      <c r="F700" s="14"/>
      <c r="G700" s="14"/>
      <c r="H700" s="14"/>
      <c r="I700" s="14"/>
      <c r="J700" s="14"/>
      <c r="K700" s="12"/>
    </row>
    <row r="701" ht="19.5" customHeight="1">
      <c r="A701" s="12"/>
      <c r="C701" s="12"/>
      <c r="D701" s="87"/>
      <c r="F701" s="14"/>
      <c r="G701" s="14"/>
      <c r="H701" s="14"/>
      <c r="I701" s="14"/>
      <c r="J701" s="14"/>
      <c r="K701" s="12"/>
    </row>
    <row r="702" ht="19.5" customHeight="1">
      <c r="A702" s="12"/>
      <c r="C702" s="12"/>
      <c r="D702" s="87"/>
      <c r="F702" s="14"/>
      <c r="G702" s="14"/>
      <c r="H702" s="14"/>
      <c r="I702" s="14"/>
      <c r="J702" s="14"/>
      <c r="K702" s="12"/>
    </row>
    <row r="703" ht="19.5" customHeight="1">
      <c r="A703" s="12"/>
      <c r="C703" s="12"/>
      <c r="D703" s="87"/>
      <c r="F703" s="14"/>
      <c r="G703" s="14"/>
      <c r="H703" s="14"/>
      <c r="I703" s="14"/>
      <c r="J703" s="14"/>
      <c r="K703" s="12"/>
    </row>
    <row r="704" ht="19.5" customHeight="1">
      <c r="A704" s="12"/>
      <c r="C704" s="12"/>
      <c r="D704" s="87"/>
      <c r="F704" s="14"/>
      <c r="G704" s="14"/>
      <c r="H704" s="14"/>
      <c r="I704" s="14"/>
      <c r="J704" s="14"/>
      <c r="K704" s="12"/>
    </row>
    <row r="705" ht="19.5" customHeight="1">
      <c r="A705" s="12"/>
      <c r="C705" s="12"/>
      <c r="D705" s="87"/>
      <c r="F705" s="14"/>
      <c r="G705" s="14"/>
      <c r="H705" s="14"/>
      <c r="I705" s="14"/>
      <c r="J705" s="14"/>
      <c r="K705" s="12"/>
    </row>
    <row r="706" ht="19.5" customHeight="1">
      <c r="A706" s="12"/>
      <c r="C706" s="12"/>
      <c r="D706" s="87"/>
      <c r="F706" s="14"/>
      <c r="G706" s="14"/>
      <c r="H706" s="14"/>
      <c r="I706" s="14"/>
      <c r="J706" s="14"/>
      <c r="K706" s="12"/>
    </row>
    <row r="707" ht="19.5" customHeight="1">
      <c r="A707" s="12"/>
      <c r="C707" s="12"/>
      <c r="D707" s="87"/>
      <c r="F707" s="14"/>
      <c r="G707" s="14"/>
      <c r="H707" s="14"/>
      <c r="I707" s="14"/>
      <c r="J707" s="14"/>
      <c r="K707" s="12"/>
    </row>
    <row r="708" ht="19.5" customHeight="1">
      <c r="A708" s="12"/>
      <c r="C708" s="12"/>
      <c r="D708" s="87"/>
      <c r="F708" s="14"/>
      <c r="G708" s="14"/>
      <c r="H708" s="14"/>
      <c r="I708" s="14"/>
      <c r="J708" s="14"/>
      <c r="K708" s="12"/>
    </row>
    <row r="709" ht="19.5" customHeight="1">
      <c r="A709" s="12"/>
      <c r="C709" s="12"/>
      <c r="D709" s="87"/>
      <c r="F709" s="14"/>
      <c r="G709" s="14"/>
      <c r="H709" s="14"/>
      <c r="I709" s="14"/>
      <c r="J709" s="14"/>
      <c r="K709" s="12"/>
    </row>
    <row r="710" ht="19.5" customHeight="1">
      <c r="A710" s="12"/>
      <c r="C710" s="12"/>
      <c r="D710" s="87"/>
      <c r="F710" s="14"/>
      <c r="G710" s="14"/>
      <c r="H710" s="14"/>
      <c r="I710" s="14"/>
      <c r="J710" s="14"/>
      <c r="K710" s="12"/>
    </row>
    <row r="711" ht="19.5" customHeight="1">
      <c r="A711" s="12"/>
      <c r="C711" s="12"/>
      <c r="D711" s="87"/>
      <c r="F711" s="14"/>
      <c r="G711" s="14"/>
      <c r="H711" s="14"/>
      <c r="I711" s="14"/>
      <c r="J711" s="14"/>
      <c r="K711" s="12"/>
    </row>
    <row r="712" ht="19.5" customHeight="1">
      <c r="A712" s="12"/>
      <c r="C712" s="12"/>
      <c r="D712" s="87"/>
      <c r="F712" s="14"/>
      <c r="G712" s="14"/>
      <c r="H712" s="14"/>
      <c r="I712" s="14"/>
      <c r="J712" s="14"/>
      <c r="K712" s="12"/>
    </row>
    <row r="713" ht="19.5" customHeight="1">
      <c r="A713" s="12"/>
      <c r="C713" s="12"/>
      <c r="D713" s="87"/>
      <c r="F713" s="14"/>
      <c r="G713" s="14"/>
      <c r="H713" s="14"/>
      <c r="I713" s="14"/>
      <c r="J713" s="14"/>
      <c r="K713" s="12"/>
    </row>
    <row r="714" ht="19.5" customHeight="1">
      <c r="A714" s="12"/>
      <c r="C714" s="12"/>
      <c r="D714" s="87"/>
      <c r="F714" s="14"/>
      <c r="G714" s="14"/>
      <c r="H714" s="14"/>
      <c r="I714" s="14"/>
      <c r="J714" s="14"/>
      <c r="K714" s="12"/>
    </row>
    <row r="715" ht="19.5" customHeight="1">
      <c r="A715" s="12"/>
      <c r="C715" s="12"/>
      <c r="D715" s="87"/>
      <c r="F715" s="14"/>
      <c r="G715" s="14"/>
      <c r="H715" s="14"/>
      <c r="I715" s="14"/>
      <c r="J715" s="14"/>
      <c r="K715" s="12"/>
    </row>
    <row r="716" ht="19.5" customHeight="1">
      <c r="A716" s="12"/>
      <c r="C716" s="12"/>
      <c r="D716" s="87"/>
      <c r="F716" s="14"/>
      <c r="G716" s="14"/>
      <c r="H716" s="14"/>
      <c r="I716" s="14"/>
      <c r="J716" s="14"/>
      <c r="K716" s="12"/>
    </row>
    <row r="717" ht="19.5" customHeight="1">
      <c r="A717" s="12"/>
      <c r="C717" s="12"/>
      <c r="D717" s="87"/>
      <c r="F717" s="14"/>
      <c r="G717" s="14"/>
      <c r="H717" s="14"/>
      <c r="I717" s="14"/>
      <c r="J717" s="14"/>
      <c r="K717" s="12"/>
    </row>
    <row r="718" ht="19.5" customHeight="1">
      <c r="A718" s="12"/>
      <c r="C718" s="12"/>
      <c r="D718" s="87"/>
      <c r="F718" s="14"/>
      <c r="G718" s="14"/>
      <c r="H718" s="14"/>
      <c r="I718" s="14"/>
      <c r="J718" s="14"/>
      <c r="K718" s="12"/>
    </row>
    <row r="719" ht="19.5" customHeight="1">
      <c r="A719" s="12"/>
      <c r="C719" s="12"/>
      <c r="D719" s="87"/>
      <c r="F719" s="14"/>
      <c r="G719" s="14"/>
      <c r="H719" s="14"/>
      <c r="I719" s="14"/>
      <c r="J719" s="14"/>
      <c r="K719" s="12"/>
    </row>
    <row r="720" ht="19.5" customHeight="1">
      <c r="A720" s="12"/>
      <c r="C720" s="12"/>
      <c r="D720" s="87"/>
      <c r="F720" s="14"/>
      <c r="G720" s="14"/>
      <c r="H720" s="14"/>
      <c r="I720" s="14"/>
      <c r="J720" s="14"/>
      <c r="K720" s="12"/>
    </row>
    <row r="721" ht="19.5" customHeight="1">
      <c r="A721" s="12"/>
      <c r="C721" s="12"/>
      <c r="D721" s="87"/>
      <c r="F721" s="14"/>
      <c r="G721" s="14"/>
      <c r="H721" s="14"/>
      <c r="I721" s="14"/>
      <c r="J721" s="14"/>
      <c r="K721" s="12"/>
    </row>
    <row r="722" ht="19.5" customHeight="1">
      <c r="A722" s="12"/>
      <c r="C722" s="12"/>
      <c r="D722" s="87"/>
      <c r="F722" s="14"/>
      <c r="G722" s="14"/>
      <c r="H722" s="14"/>
      <c r="I722" s="14"/>
      <c r="J722" s="14"/>
      <c r="K722" s="12"/>
    </row>
    <row r="723" ht="19.5" customHeight="1">
      <c r="A723" s="12"/>
      <c r="C723" s="12"/>
      <c r="D723" s="87"/>
      <c r="F723" s="14"/>
      <c r="G723" s="14"/>
      <c r="H723" s="14"/>
      <c r="I723" s="14"/>
      <c r="J723" s="14"/>
      <c r="K723" s="12"/>
    </row>
    <row r="724" ht="19.5" customHeight="1">
      <c r="A724" s="12"/>
      <c r="C724" s="12"/>
      <c r="D724" s="87"/>
      <c r="F724" s="14"/>
      <c r="G724" s="14"/>
      <c r="H724" s="14"/>
      <c r="I724" s="14"/>
      <c r="J724" s="14"/>
      <c r="K724" s="12"/>
    </row>
    <row r="725" ht="19.5" customHeight="1">
      <c r="A725" s="12"/>
      <c r="C725" s="12"/>
      <c r="D725" s="87"/>
      <c r="F725" s="14"/>
      <c r="G725" s="14"/>
      <c r="H725" s="14"/>
      <c r="I725" s="14"/>
      <c r="J725" s="14"/>
      <c r="K725" s="12"/>
    </row>
    <row r="726" ht="19.5" customHeight="1">
      <c r="A726" s="12"/>
      <c r="C726" s="12"/>
      <c r="D726" s="87"/>
      <c r="F726" s="14"/>
      <c r="G726" s="14"/>
      <c r="H726" s="14"/>
      <c r="I726" s="14"/>
      <c r="J726" s="14"/>
      <c r="K726" s="12"/>
    </row>
    <row r="727" ht="19.5" customHeight="1">
      <c r="A727" s="12"/>
      <c r="C727" s="12"/>
      <c r="D727" s="87"/>
      <c r="F727" s="14"/>
      <c r="G727" s="14"/>
      <c r="H727" s="14"/>
      <c r="I727" s="14"/>
      <c r="J727" s="14"/>
      <c r="K727" s="12"/>
    </row>
    <row r="728" ht="19.5" customHeight="1">
      <c r="A728" s="12"/>
      <c r="C728" s="12"/>
      <c r="D728" s="87"/>
      <c r="F728" s="14"/>
      <c r="G728" s="14"/>
      <c r="H728" s="14"/>
      <c r="I728" s="14"/>
      <c r="J728" s="14"/>
      <c r="K728" s="12"/>
    </row>
    <row r="729" ht="19.5" customHeight="1">
      <c r="A729" s="12"/>
      <c r="C729" s="12"/>
      <c r="D729" s="87"/>
      <c r="F729" s="14"/>
      <c r="G729" s="14"/>
      <c r="H729" s="14"/>
      <c r="I729" s="14"/>
      <c r="J729" s="14"/>
      <c r="K729" s="12"/>
    </row>
    <row r="730" ht="19.5" customHeight="1">
      <c r="A730" s="12"/>
      <c r="C730" s="12"/>
      <c r="D730" s="87"/>
      <c r="F730" s="14"/>
      <c r="G730" s="14"/>
      <c r="H730" s="14"/>
      <c r="I730" s="14"/>
      <c r="J730" s="14"/>
      <c r="K730" s="12"/>
    </row>
    <row r="731" ht="19.5" customHeight="1">
      <c r="A731" s="12"/>
      <c r="C731" s="12"/>
      <c r="D731" s="87"/>
      <c r="F731" s="14"/>
      <c r="G731" s="14"/>
      <c r="H731" s="14"/>
      <c r="I731" s="14"/>
      <c r="J731" s="14"/>
      <c r="K731" s="12"/>
    </row>
    <row r="732" ht="19.5" customHeight="1">
      <c r="A732" s="12"/>
      <c r="C732" s="12"/>
      <c r="D732" s="87"/>
      <c r="F732" s="14"/>
      <c r="G732" s="14"/>
      <c r="H732" s="14"/>
      <c r="I732" s="14"/>
      <c r="J732" s="14"/>
      <c r="K732" s="12"/>
    </row>
    <row r="733" ht="19.5" customHeight="1">
      <c r="A733" s="12"/>
      <c r="C733" s="12"/>
      <c r="D733" s="87"/>
      <c r="F733" s="14"/>
      <c r="G733" s="14"/>
      <c r="H733" s="14"/>
      <c r="I733" s="14"/>
      <c r="J733" s="14"/>
      <c r="K733" s="12"/>
    </row>
    <row r="734" ht="19.5" customHeight="1">
      <c r="A734" s="12"/>
      <c r="C734" s="12"/>
      <c r="D734" s="87"/>
      <c r="F734" s="14"/>
      <c r="G734" s="14"/>
      <c r="H734" s="14"/>
      <c r="I734" s="14"/>
      <c r="J734" s="14"/>
      <c r="K734" s="12"/>
    </row>
    <row r="735" ht="19.5" customHeight="1">
      <c r="A735" s="12"/>
      <c r="C735" s="12"/>
      <c r="D735" s="87"/>
      <c r="F735" s="14"/>
      <c r="G735" s="14"/>
      <c r="H735" s="14"/>
      <c r="I735" s="14"/>
      <c r="J735" s="14"/>
      <c r="K735" s="12"/>
    </row>
    <row r="736" ht="19.5" customHeight="1">
      <c r="A736" s="12"/>
      <c r="C736" s="12"/>
      <c r="D736" s="87"/>
      <c r="F736" s="14"/>
      <c r="G736" s="14"/>
      <c r="H736" s="14"/>
      <c r="I736" s="14"/>
      <c r="J736" s="14"/>
      <c r="K736" s="12"/>
    </row>
    <row r="737" ht="19.5" customHeight="1">
      <c r="A737" s="12"/>
      <c r="C737" s="12"/>
      <c r="D737" s="87"/>
      <c r="F737" s="14"/>
      <c r="G737" s="14"/>
      <c r="H737" s="14"/>
      <c r="I737" s="14"/>
      <c r="J737" s="14"/>
      <c r="K737" s="12"/>
    </row>
    <row r="738" ht="19.5" customHeight="1">
      <c r="A738" s="12"/>
      <c r="C738" s="12"/>
      <c r="D738" s="87"/>
      <c r="F738" s="14"/>
      <c r="G738" s="14"/>
      <c r="H738" s="14"/>
      <c r="I738" s="14"/>
      <c r="J738" s="14"/>
      <c r="K738" s="12"/>
    </row>
    <row r="739" ht="19.5" customHeight="1">
      <c r="A739" s="12"/>
      <c r="C739" s="12"/>
      <c r="D739" s="87"/>
      <c r="F739" s="14"/>
      <c r="G739" s="14"/>
      <c r="H739" s="14"/>
      <c r="I739" s="14"/>
      <c r="J739" s="14"/>
      <c r="K739" s="12"/>
    </row>
    <row r="740" ht="19.5" customHeight="1">
      <c r="A740" s="12"/>
      <c r="C740" s="12"/>
      <c r="D740" s="87"/>
      <c r="F740" s="14"/>
      <c r="G740" s="14"/>
      <c r="H740" s="14"/>
      <c r="I740" s="14"/>
      <c r="J740" s="14"/>
      <c r="K740" s="12"/>
    </row>
    <row r="741" ht="19.5" customHeight="1">
      <c r="A741" s="12"/>
      <c r="C741" s="12"/>
      <c r="D741" s="87"/>
      <c r="F741" s="14"/>
      <c r="G741" s="14"/>
      <c r="H741" s="14"/>
      <c r="I741" s="14"/>
      <c r="J741" s="14"/>
      <c r="K741" s="12"/>
    </row>
    <row r="742" ht="19.5" customHeight="1">
      <c r="A742" s="12"/>
      <c r="C742" s="12"/>
      <c r="D742" s="87"/>
      <c r="F742" s="14"/>
      <c r="G742" s="14"/>
      <c r="H742" s="14"/>
      <c r="I742" s="14"/>
      <c r="J742" s="14"/>
      <c r="K742" s="12"/>
    </row>
    <row r="743" ht="19.5" customHeight="1">
      <c r="A743" s="12"/>
      <c r="C743" s="12"/>
      <c r="D743" s="87"/>
      <c r="F743" s="14"/>
      <c r="G743" s="14"/>
      <c r="H743" s="14"/>
      <c r="I743" s="14"/>
      <c r="J743" s="14"/>
      <c r="K743" s="12"/>
    </row>
    <row r="744" ht="19.5" customHeight="1">
      <c r="A744" s="12"/>
      <c r="C744" s="12"/>
      <c r="D744" s="87"/>
      <c r="F744" s="14"/>
      <c r="G744" s="14"/>
      <c r="H744" s="14"/>
      <c r="I744" s="14"/>
      <c r="J744" s="14"/>
      <c r="K744" s="12"/>
    </row>
    <row r="745" ht="19.5" customHeight="1">
      <c r="A745" s="12"/>
      <c r="C745" s="12"/>
      <c r="D745" s="87"/>
      <c r="F745" s="14"/>
      <c r="G745" s="14"/>
      <c r="H745" s="14"/>
      <c r="I745" s="14"/>
      <c r="J745" s="14"/>
      <c r="K745" s="12"/>
    </row>
    <row r="746" ht="19.5" customHeight="1">
      <c r="A746" s="12"/>
      <c r="C746" s="12"/>
      <c r="D746" s="87"/>
      <c r="F746" s="14"/>
      <c r="G746" s="14"/>
      <c r="H746" s="14"/>
      <c r="I746" s="14"/>
      <c r="J746" s="14"/>
      <c r="K746" s="12"/>
    </row>
    <row r="747" ht="19.5" customHeight="1">
      <c r="A747" s="12"/>
      <c r="C747" s="12"/>
      <c r="D747" s="87"/>
      <c r="F747" s="14"/>
      <c r="G747" s="14"/>
      <c r="H747" s="14"/>
      <c r="I747" s="14"/>
      <c r="J747" s="14"/>
      <c r="K747" s="12"/>
    </row>
    <row r="748" ht="19.5" customHeight="1">
      <c r="A748" s="12"/>
      <c r="C748" s="12"/>
      <c r="D748" s="87"/>
      <c r="F748" s="14"/>
      <c r="G748" s="14"/>
      <c r="H748" s="14"/>
      <c r="I748" s="14"/>
      <c r="J748" s="14"/>
      <c r="K748" s="12"/>
    </row>
    <row r="749" ht="19.5" customHeight="1">
      <c r="A749" s="12"/>
      <c r="C749" s="12"/>
      <c r="D749" s="87"/>
      <c r="F749" s="14"/>
      <c r="G749" s="14"/>
      <c r="H749" s="14"/>
      <c r="I749" s="14"/>
      <c r="J749" s="14"/>
      <c r="K749" s="12"/>
    </row>
    <row r="750" ht="19.5" customHeight="1">
      <c r="A750" s="12"/>
      <c r="C750" s="12"/>
      <c r="D750" s="87"/>
      <c r="F750" s="14"/>
      <c r="G750" s="14"/>
      <c r="H750" s="14"/>
      <c r="I750" s="14"/>
      <c r="J750" s="14"/>
      <c r="K750" s="12"/>
    </row>
    <row r="751" ht="19.5" customHeight="1">
      <c r="A751" s="12"/>
      <c r="C751" s="12"/>
      <c r="D751" s="87"/>
      <c r="F751" s="14"/>
      <c r="G751" s="14"/>
      <c r="H751" s="14"/>
      <c r="I751" s="14"/>
      <c r="J751" s="14"/>
      <c r="K751" s="12"/>
    </row>
    <row r="752" ht="19.5" customHeight="1">
      <c r="A752" s="12"/>
      <c r="C752" s="12"/>
      <c r="D752" s="87"/>
      <c r="F752" s="14"/>
      <c r="G752" s="14"/>
      <c r="H752" s="14"/>
      <c r="I752" s="14"/>
      <c r="J752" s="14"/>
      <c r="K752" s="12"/>
    </row>
    <row r="753" ht="19.5" customHeight="1">
      <c r="A753" s="12"/>
      <c r="C753" s="12"/>
      <c r="D753" s="87"/>
      <c r="F753" s="14"/>
      <c r="G753" s="14"/>
      <c r="H753" s="14"/>
      <c r="I753" s="14"/>
      <c r="J753" s="14"/>
      <c r="K753" s="12"/>
    </row>
    <row r="754" ht="19.5" customHeight="1">
      <c r="A754" s="12"/>
      <c r="C754" s="12"/>
      <c r="D754" s="87"/>
      <c r="F754" s="14"/>
      <c r="G754" s="14"/>
      <c r="H754" s="14"/>
      <c r="I754" s="14"/>
      <c r="J754" s="14"/>
      <c r="K754" s="12"/>
    </row>
    <row r="755" ht="19.5" customHeight="1">
      <c r="A755" s="12"/>
      <c r="C755" s="12"/>
      <c r="D755" s="87"/>
      <c r="F755" s="14"/>
      <c r="G755" s="14"/>
      <c r="H755" s="14"/>
      <c r="I755" s="14"/>
      <c r="J755" s="14"/>
      <c r="K755" s="12"/>
    </row>
    <row r="756" ht="19.5" customHeight="1">
      <c r="A756" s="12"/>
      <c r="C756" s="12"/>
      <c r="D756" s="87"/>
      <c r="F756" s="14"/>
      <c r="G756" s="14"/>
      <c r="H756" s="14"/>
      <c r="I756" s="14"/>
      <c r="J756" s="14"/>
      <c r="K756" s="12"/>
    </row>
    <row r="757" ht="19.5" customHeight="1">
      <c r="A757" s="12"/>
      <c r="C757" s="12"/>
      <c r="D757" s="87"/>
      <c r="F757" s="14"/>
      <c r="G757" s="14"/>
      <c r="H757" s="14"/>
      <c r="I757" s="14"/>
      <c r="J757" s="14"/>
      <c r="K757" s="12"/>
    </row>
    <row r="758" ht="19.5" customHeight="1">
      <c r="A758" s="12"/>
      <c r="C758" s="12"/>
      <c r="D758" s="87"/>
      <c r="F758" s="14"/>
      <c r="G758" s="14"/>
      <c r="H758" s="14"/>
      <c r="I758" s="14"/>
      <c r="J758" s="14"/>
      <c r="K758" s="12"/>
    </row>
    <row r="759" ht="19.5" customHeight="1">
      <c r="A759" s="12"/>
      <c r="C759" s="12"/>
      <c r="D759" s="87"/>
      <c r="F759" s="14"/>
      <c r="G759" s="14"/>
      <c r="H759" s="14"/>
      <c r="I759" s="14"/>
      <c r="J759" s="14"/>
      <c r="K759" s="12"/>
    </row>
    <row r="760" ht="19.5" customHeight="1">
      <c r="A760" s="12"/>
      <c r="C760" s="12"/>
      <c r="D760" s="87"/>
      <c r="F760" s="14"/>
      <c r="G760" s="14"/>
      <c r="H760" s="14"/>
      <c r="I760" s="14"/>
      <c r="J760" s="14"/>
      <c r="K760" s="12"/>
    </row>
    <row r="761" ht="19.5" customHeight="1">
      <c r="A761" s="12"/>
      <c r="C761" s="12"/>
      <c r="D761" s="87"/>
      <c r="F761" s="14"/>
      <c r="G761" s="14"/>
      <c r="H761" s="14"/>
      <c r="I761" s="14"/>
      <c r="J761" s="14"/>
      <c r="K761" s="12"/>
    </row>
    <row r="762" ht="19.5" customHeight="1">
      <c r="A762" s="12"/>
      <c r="C762" s="12"/>
      <c r="D762" s="87"/>
      <c r="F762" s="14"/>
      <c r="G762" s="14"/>
      <c r="H762" s="14"/>
      <c r="I762" s="14"/>
      <c r="J762" s="14"/>
      <c r="K762" s="12"/>
    </row>
    <row r="763" ht="19.5" customHeight="1">
      <c r="A763" s="12"/>
      <c r="C763" s="12"/>
      <c r="D763" s="87"/>
      <c r="F763" s="14"/>
      <c r="G763" s="14"/>
      <c r="H763" s="14"/>
      <c r="I763" s="14"/>
      <c r="J763" s="14"/>
      <c r="K763" s="12"/>
    </row>
    <row r="764" ht="19.5" customHeight="1">
      <c r="A764" s="12"/>
      <c r="C764" s="12"/>
      <c r="D764" s="87"/>
      <c r="F764" s="14"/>
      <c r="G764" s="14"/>
      <c r="H764" s="14"/>
      <c r="I764" s="14"/>
      <c r="J764" s="14"/>
      <c r="K764" s="12"/>
    </row>
    <row r="765" ht="19.5" customHeight="1">
      <c r="A765" s="12"/>
      <c r="C765" s="12"/>
      <c r="D765" s="87"/>
      <c r="F765" s="14"/>
      <c r="G765" s="14"/>
      <c r="H765" s="14"/>
      <c r="I765" s="14"/>
      <c r="J765" s="14"/>
      <c r="K765" s="12"/>
    </row>
    <row r="766" ht="19.5" customHeight="1">
      <c r="A766" s="12"/>
      <c r="C766" s="12"/>
      <c r="D766" s="87"/>
      <c r="F766" s="14"/>
      <c r="G766" s="14"/>
      <c r="H766" s="14"/>
      <c r="I766" s="14"/>
      <c r="J766" s="14"/>
      <c r="K766" s="12"/>
    </row>
    <row r="767" ht="19.5" customHeight="1">
      <c r="A767" s="12"/>
      <c r="C767" s="12"/>
      <c r="D767" s="87"/>
      <c r="F767" s="14"/>
      <c r="G767" s="14"/>
      <c r="H767" s="14"/>
      <c r="I767" s="14"/>
      <c r="J767" s="14"/>
      <c r="K767" s="12"/>
    </row>
    <row r="768" ht="19.5" customHeight="1">
      <c r="A768" s="12"/>
      <c r="C768" s="12"/>
      <c r="D768" s="87"/>
      <c r="F768" s="14"/>
      <c r="G768" s="14"/>
      <c r="H768" s="14"/>
      <c r="I768" s="14"/>
      <c r="J768" s="14"/>
      <c r="K768" s="12"/>
    </row>
    <row r="769" ht="19.5" customHeight="1">
      <c r="A769" s="12"/>
      <c r="C769" s="12"/>
      <c r="D769" s="87"/>
      <c r="F769" s="14"/>
      <c r="G769" s="14"/>
      <c r="H769" s="14"/>
      <c r="I769" s="14"/>
      <c r="J769" s="14"/>
      <c r="K769" s="12"/>
    </row>
    <row r="770" ht="19.5" customHeight="1">
      <c r="A770" s="12"/>
      <c r="C770" s="12"/>
      <c r="D770" s="87"/>
      <c r="F770" s="14"/>
      <c r="G770" s="14"/>
      <c r="H770" s="14"/>
      <c r="I770" s="14"/>
      <c r="J770" s="14"/>
      <c r="K770" s="12"/>
    </row>
    <row r="771" ht="19.5" customHeight="1">
      <c r="A771" s="12"/>
      <c r="C771" s="12"/>
      <c r="D771" s="87"/>
      <c r="F771" s="14"/>
      <c r="G771" s="14"/>
      <c r="H771" s="14"/>
      <c r="I771" s="14"/>
      <c r="J771" s="14"/>
      <c r="K771" s="12"/>
    </row>
    <row r="772" ht="19.5" customHeight="1">
      <c r="A772" s="12"/>
      <c r="C772" s="12"/>
      <c r="D772" s="87"/>
      <c r="F772" s="14"/>
      <c r="G772" s="14"/>
      <c r="H772" s="14"/>
      <c r="I772" s="14"/>
      <c r="J772" s="14"/>
      <c r="K772" s="12"/>
    </row>
    <row r="773" ht="19.5" customHeight="1">
      <c r="A773" s="12"/>
      <c r="C773" s="12"/>
      <c r="D773" s="87"/>
      <c r="F773" s="14"/>
      <c r="G773" s="14"/>
      <c r="H773" s="14"/>
      <c r="I773" s="14"/>
      <c r="J773" s="14"/>
      <c r="K773" s="12"/>
    </row>
    <row r="774" ht="19.5" customHeight="1">
      <c r="A774" s="12"/>
      <c r="C774" s="12"/>
      <c r="D774" s="87"/>
      <c r="F774" s="14"/>
      <c r="G774" s="14"/>
      <c r="H774" s="14"/>
      <c r="I774" s="14"/>
      <c r="J774" s="14"/>
      <c r="K774" s="12"/>
    </row>
    <row r="775" ht="19.5" customHeight="1">
      <c r="A775" s="12"/>
      <c r="C775" s="12"/>
      <c r="D775" s="87"/>
      <c r="F775" s="14"/>
      <c r="G775" s="14"/>
      <c r="H775" s="14"/>
      <c r="I775" s="14"/>
      <c r="J775" s="14"/>
      <c r="K775" s="12"/>
    </row>
    <row r="776" ht="19.5" customHeight="1">
      <c r="A776" s="12"/>
      <c r="C776" s="12"/>
      <c r="D776" s="87"/>
      <c r="F776" s="14"/>
      <c r="G776" s="14"/>
      <c r="H776" s="14"/>
      <c r="I776" s="14"/>
      <c r="J776" s="14"/>
      <c r="K776" s="12"/>
    </row>
    <row r="777" ht="19.5" customHeight="1">
      <c r="A777" s="12"/>
      <c r="C777" s="12"/>
      <c r="D777" s="87"/>
      <c r="F777" s="14"/>
      <c r="G777" s="14"/>
      <c r="H777" s="14"/>
      <c r="I777" s="14"/>
      <c r="J777" s="14"/>
      <c r="K777" s="12"/>
    </row>
    <row r="778" ht="19.5" customHeight="1">
      <c r="A778" s="12"/>
      <c r="C778" s="12"/>
      <c r="D778" s="87"/>
      <c r="F778" s="14"/>
      <c r="G778" s="14"/>
      <c r="H778" s="14"/>
      <c r="I778" s="14"/>
      <c r="J778" s="14"/>
      <c r="K778" s="12"/>
    </row>
    <row r="779" ht="19.5" customHeight="1">
      <c r="A779" s="12"/>
      <c r="C779" s="12"/>
      <c r="D779" s="87"/>
      <c r="F779" s="14"/>
      <c r="G779" s="14"/>
      <c r="H779" s="14"/>
      <c r="I779" s="14"/>
      <c r="J779" s="14"/>
      <c r="K779" s="12"/>
    </row>
    <row r="780" ht="19.5" customHeight="1">
      <c r="A780" s="12"/>
      <c r="C780" s="12"/>
      <c r="D780" s="87"/>
      <c r="F780" s="14"/>
      <c r="G780" s="14"/>
      <c r="H780" s="14"/>
      <c r="I780" s="14"/>
      <c r="J780" s="14"/>
      <c r="K780" s="12"/>
    </row>
    <row r="781" ht="19.5" customHeight="1">
      <c r="A781" s="12"/>
      <c r="C781" s="12"/>
      <c r="D781" s="87"/>
      <c r="F781" s="14"/>
      <c r="G781" s="14"/>
      <c r="H781" s="14"/>
      <c r="I781" s="14"/>
      <c r="J781" s="14"/>
      <c r="K781" s="12"/>
    </row>
    <row r="782" ht="19.5" customHeight="1">
      <c r="A782" s="12"/>
      <c r="C782" s="12"/>
      <c r="D782" s="87"/>
      <c r="F782" s="14"/>
      <c r="G782" s="14"/>
      <c r="H782" s="14"/>
      <c r="I782" s="14"/>
      <c r="J782" s="14"/>
      <c r="K782" s="12"/>
    </row>
    <row r="783" ht="19.5" customHeight="1">
      <c r="A783" s="12"/>
      <c r="C783" s="12"/>
      <c r="D783" s="87"/>
      <c r="F783" s="14"/>
      <c r="G783" s="14"/>
      <c r="H783" s="14"/>
      <c r="I783" s="14"/>
      <c r="J783" s="14"/>
      <c r="K783" s="12"/>
    </row>
    <row r="784" ht="19.5" customHeight="1">
      <c r="A784" s="12"/>
      <c r="C784" s="12"/>
      <c r="D784" s="87"/>
      <c r="F784" s="14"/>
      <c r="G784" s="14"/>
      <c r="H784" s="14"/>
      <c r="I784" s="14"/>
      <c r="J784" s="14"/>
      <c r="K784" s="12"/>
    </row>
    <row r="785" ht="19.5" customHeight="1">
      <c r="A785" s="12"/>
      <c r="C785" s="12"/>
      <c r="D785" s="87"/>
      <c r="F785" s="14"/>
      <c r="G785" s="14"/>
      <c r="H785" s="14"/>
      <c r="I785" s="14"/>
      <c r="J785" s="14"/>
      <c r="K785" s="12"/>
    </row>
    <row r="786" ht="19.5" customHeight="1">
      <c r="A786" s="12"/>
      <c r="C786" s="12"/>
      <c r="D786" s="87"/>
      <c r="F786" s="14"/>
      <c r="G786" s="14"/>
      <c r="H786" s="14"/>
      <c r="I786" s="14"/>
      <c r="J786" s="14"/>
      <c r="K786" s="12"/>
    </row>
    <row r="787" ht="19.5" customHeight="1">
      <c r="A787" s="12"/>
      <c r="C787" s="12"/>
      <c r="D787" s="87"/>
      <c r="F787" s="14"/>
      <c r="G787" s="14"/>
      <c r="H787" s="14"/>
      <c r="I787" s="14"/>
      <c r="J787" s="14"/>
      <c r="K787" s="12"/>
    </row>
    <row r="788" ht="19.5" customHeight="1">
      <c r="A788" s="12"/>
      <c r="C788" s="12"/>
      <c r="D788" s="87"/>
      <c r="F788" s="14"/>
      <c r="G788" s="14"/>
      <c r="H788" s="14"/>
      <c r="I788" s="14"/>
      <c r="J788" s="14"/>
      <c r="K788" s="12"/>
    </row>
    <row r="789" ht="19.5" customHeight="1">
      <c r="A789" s="12"/>
      <c r="C789" s="12"/>
      <c r="D789" s="87"/>
      <c r="F789" s="14"/>
      <c r="G789" s="14"/>
      <c r="H789" s="14"/>
      <c r="I789" s="14"/>
      <c r="J789" s="14"/>
      <c r="K789" s="12"/>
    </row>
    <row r="790" ht="19.5" customHeight="1">
      <c r="A790" s="12"/>
      <c r="C790" s="12"/>
      <c r="D790" s="87"/>
      <c r="F790" s="14"/>
      <c r="G790" s="14"/>
      <c r="H790" s="14"/>
      <c r="I790" s="14"/>
      <c r="J790" s="14"/>
      <c r="K790" s="12"/>
    </row>
    <row r="791" ht="19.5" customHeight="1">
      <c r="A791" s="12"/>
      <c r="C791" s="12"/>
      <c r="D791" s="87"/>
      <c r="F791" s="14"/>
      <c r="G791" s="14"/>
      <c r="H791" s="14"/>
      <c r="I791" s="14"/>
      <c r="J791" s="14"/>
      <c r="K791" s="12"/>
    </row>
    <row r="792" ht="19.5" customHeight="1">
      <c r="A792" s="12"/>
      <c r="C792" s="12"/>
      <c r="D792" s="87"/>
      <c r="F792" s="14"/>
      <c r="G792" s="14"/>
      <c r="H792" s="14"/>
      <c r="I792" s="14"/>
      <c r="J792" s="14"/>
      <c r="K792" s="12"/>
    </row>
    <row r="793" ht="19.5" customHeight="1">
      <c r="A793" s="12"/>
      <c r="C793" s="12"/>
      <c r="D793" s="87"/>
      <c r="F793" s="14"/>
      <c r="G793" s="14"/>
      <c r="H793" s="14"/>
      <c r="I793" s="14"/>
      <c r="J793" s="14"/>
      <c r="K793" s="12"/>
    </row>
    <row r="794" ht="19.5" customHeight="1">
      <c r="A794" s="12"/>
      <c r="C794" s="12"/>
      <c r="D794" s="87"/>
      <c r="F794" s="14"/>
      <c r="G794" s="14"/>
      <c r="H794" s="14"/>
      <c r="I794" s="14"/>
      <c r="J794" s="14"/>
      <c r="K794" s="12"/>
    </row>
    <row r="795" ht="19.5" customHeight="1">
      <c r="A795" s="12"/>
      <c r="C795" s="12"/>
      <c r="D795" s="87"/>
      <c r="F795" s="14"/>
      <c r="G795" s="14"/>
      <c r="H795" s="14"/>
      <c r="I795" s="14"/>
      <c r="J795" s="14"/>
      <c r="K795" s="12"/>
    </row>
    <row r="796" ht="19.5" customHeight="1">
      <c r="A796" s="12"/>
      <c r="C796" s="12"/>
      <c r="D796" s="87"/>
      <c r="F796" s="14"/>
      <c r="G796" s="14"/>
      <c r="H796" s="14"/>
      <c r="I796" s="14"/>
      <c r="J796" s="14"/>
      <c r="K796" s="12"/>
    </row>
    <row r="797" ht="19.5" customHeight="1">
      <c r="A797" s="12"/>
      <c r="C797" s="12"/>
      <c r="D797" s="87"/>
      <c r="F797" s="14"/>
      <c r="G797" s="14"/>
      <c r="H797" s="14"/>
      <c r="I797" s="14"/>
      <c r="J797" s="14"/>
      <c r="K797" s="12"/>
    </row>
    <row r="798" ht="19.5" customHeight="1">
      <c r="A798" s="12"/>
      <c r="C798" s="12"/>
      <c r="D798" s="87"/>
      <c r="F798" s="14"/>
      <c r="G798" s="14"/>
      <c r="H798" s="14"/>
      <c r="I798" s="14"/>
      <c r="J798" s="14"/>
      <c r="K798" s="12"/>
    </row>
    <row r="799" ht="19.5" customHeight="1">
      <c r="A799" s="12"/>
      <c r="C799" s="12"/>
      <c r="D799" s="87"/>
      <c r="F799" s="14"/>
      <c r="G799" s="14"/>
      <c r="H799" s="14"/>
      <c r="I799" s="14"/>
      <c r="J799" s="14"/>
      <c r="K799" s="12"/>
    </row>
    <row r="800" ht="19.5" customHeight="1">
      <c r="A800" s="12"/>
      <c r="C800" s="12"/>
      <c r="D800" s="87"/>
      <c r="F800" s="14"/>
      <c r="G800" s="14"/>
      <c r="H800" s="14"/>
      <c r="I800" s="14"/>
      <c r="J800" s="14"/>
      <c r="K800" s="12"/>
    </row>
    <row r="801" ht="19.5" customHeight="1">
      <c r="A801" s="12"/>
      <c r="C801" s="12"/>
      <c r="D801" s="87"/>
      <c r="F801" s="14"/>
      <c r="G801" s="14"/>
      <c r="H801" s="14"/>
      <c r="I801" s="14"/>
      <c r="J801" s="14"/>
      <c r="K801" s="12"/>
    </row>
    <row r="802" ht="19.5" customHeight="1">
      <c r="A802" s="12"/>
      <c r="C802" s="12"/>
      <c r="D802" s="87"/>
      <c r="F802" s="14"/>
      <c r="G802" s="14"/>
      <c r="H802" s="14"/>
      <c r="I802" s="14"/>
      <c r="J802" s="14"/>
      <c r="K802" s="12"/>
    </row>
    <row r="803" ht="19.5" customHeight="1">
      <c r="A803" s="12"/>
      <c r="C803" s="12"/>
      <c r="D803" s="87"/>
      <c r="F803" s="14"/>
      <c r="G803" s="14"/>
      <c r="H803" s="14"/>
      <c r="I803" s="14"/>
      <c r="J803" s="14"/>
      <c r="K803" s="12"/>
    </row>
    <row r="804" ht="19.5" customHeight="1">
      <c r="A804" s="12"/>
      <c r="C804" s="12"/>
      <c r="D804" s="87"/>
      <c r="F804" s="14"/>
      <c r="G804" s="14"/>
      <c r="H804" s="14"/>
      <c r="I804" s="14"/>
      <c r="J804" s="14"/>
      <c r="K804" s="12"/>
    </row>
    <row r="805" ht="19.5" customHeight="1">
      <c r="A805" s="12"/>
      <c r="C805" s="12"/>
      <c r="D805" s="87"/>
      <c r="F805" s="14"/>
      <c r="G805" s="14"/>
      <c r="H805" s="14"/>
      <c r="I805" s="14"/>
      <c r="J805" s="14"/>
      <c r="K805" s="12"/>
    </row>
    <row r="806" ht="19.5" customHeight="1">
      <c r="A806" s="12"/>
      <c r="C806" s="12"/>
      <c r="D806" s="87"/>
      <c r="F806" s="14"/>
      <c r="G806" s="14"/>
      <c r="H806" s="14"/>
      <c r="I806" s="14"/>
      <c r="J806" s="14"/>
      <c r="K806" s="12"/>
    </row>
    <row r="807" ht="19.5" customHeight="1">
      <c r="A807" s="12"/>
      <c r="C807" s="12"/>
      <c r="D807" s="87"/>
      <c r="F807" s="14"/>
      <c r="G807" s="14"/>
      <c r="H807" s="14"/>
      <c r="I807" s="14"/>
      <c r="J807" s="14"/>
      <c r="K807" s="12"/>
    </row>
    <row r="808" ht="19.5" customHeight="1">
      <c r="A808" s="12"/>
      <c r="C808" s="12"/>
      <c r="D808" s="87"/>
      <c r="F808" s="14"/>
      <c r="G808" s="14"/>
      <c r="H808" s="14"/>
      <c r="I808" s="14"/>
      <c r="J808" s="14"/>
      <c r="K808" s="12"/>
    </row>
    <row r="809" ht="19.5" customHeight="1">
      <c r="A809" s="12"/>
      <c r="C809" s="12"/>
      <c r="D809" s="87"/>
      <c r="F809" s="14"/>
      <c r="G809" s="14"/>
      <c r="H809" s="14"/>
      <c r="I809" s="14"/>
      <c r="J809" s="14"/>
      <c r="K809" s="12"/>
    </row>
    <row r="810" ht="19.5" customHeight="1">
      <c r="A810" s="12"/>
      <c r="C810" s="12"/>
      <c r="D810" s="87"/>
      <c r="F810" s="14"/>
      <c r="G810" s="14"/>
      <c r="H810" s="14"/>
      <c r="I810" s="14"/>
      <c r="J810" s="14"/>
      <c r="K810" s="12"/>
    </row>
    <row r="811" ht="19.5" customHeight="1">
      <c r="A811" s="12"/>
      <c r="C811" s="12"/>
      <c r="D811" s="87"/>
      <c r="F811" s="14"/>
      <c r="G811" s="14"/>
      <c r="H811" s="14"/>
      <c r="I811" s="14"/>
      <c r="J811" s="14"/>
      <c r="K811" s="12"/>
    </row>
    <row r="812" ht="19.5" customHeight="1">
      <c r="A812" s="12"/>
      <c r="C812" s="12"/>
      <c r="D812" s="87"/>
      <c r="F812" s="14"/>
      <c r="G812" s="14"/>
      <c r="H812" s="14"/>
      <c r="I812" s="14"/>
      <c r="J812" s="14"/>
      <c r="K812" s="12"/>
    </row>
    <row r="813" ht="19.5" customHeight="1">
      <c r="A813" s="12"/>
      <c r="C813" s="12"/>
      <c r="D813" s="87"/>
      <c r="F813" s="14"/>
      <c r="G813" s="14"/>
      <c r="H813" s="14"/>
      <c r="I813" s="14"/>
      <c r="J813" s="14"/>
      <c r="K813" s="12"/>
    </row>
    <row r="814" ht="19.5" customHeight="1">
      <c r="A814" s="12"/>
      <c r="C814" s="12"/>
      <c r="D814" s="87"/>
      <c r="F814" s="14"/>
      <c r="G814" s="14"/>
      <c r="H814" s="14"/>
      <c r="I814" s="14"/>
      <c r="J814" s="14"/>
      <c r="K814" s="12"/>
    </row>
    <row r="815" ht="19.5" customHeight="1">
      <c r="A815" s="12"/>
      <c r="C815" s="12"/>
      <c r="D815" s="87"/>
      <c r="F815" s="14"/>
      <c r="G815" s="14"/>
      <c r="H815" s="14"/>
      <c r="I815" s="14"/>
      <c r="J815" s="14"/>
      <c r="K815" s="12"/>
    </row>
    <row r="816" ht="19.5" customHeight="1">
      <c r="A816" s="12"/>
      <c r="C816" s="12"/>
      <c r="D816" s="87"/>
      <c r="F816" s="14"/>
      <c r="G816" s="14"/>
      <c r="H816" s="14"/>
      <c r="I816" s="14"/>
      <c r="J816" s="14"/>
      <c r="K816" s="12"/>
    </row>
    <row r="817" ht="19.5" customHeight="1">
      <c r="A817" s="12"/>
      <c r="C817" s="12"/>
      <c r="D817" s="87"/>
      <c r="F817" s="14"/>
      <c r="G817" s="14"/>
      <c r="H817" s="14"/>
      <c r="I817" s="14"/>
      <c r="J817" s="14"/>
      <c r="K817" s="12"/>
    </row>
    <row r="818" ht="19.5" customHeight="1">
      <c r="A818" s="12"/>
      <c r="C818" s="12"/>
      <c r="D818" s="87"/>
      <c r="F818" s="14"/>
      <c r="G818" s="14"/>
      <c r="H818" s="14"/>
      <c r="I818" s="14"/>
      <c r="J818" s="14"/>
      <c r="K818" s="12"/>
    </row>
    <row r="819" ht="19.5" customHeight="1">
      <c r="A819" s="12"/>
      <c r="C819" s="12"/>
      <c r="D819" s="87"/>
      <c r="F819" s="14"/>
      <c r="G819" s="14"/>
      <c r="H819" s="14"/>
      <c r="I819" s="14"/>
      <c r="J819" s="14"/>
      <c r="K819" s="12"/>
    </row>
    <row r="820" ht="19.5" customHeight="1">
      <c r="A820" s="12"/>
      <c r="C820" s="12"/>
      <c r="D820" s="87"/>
      <c r="F820" s="14"/>
      <c r="G820" s="14"/>
      <c r="H820" s="14"/>
      <c r="I820" s="14"/>
      <c r="J820" s="14"/>
      <c r="K820" s="12"/>
    </row>
    <row r="821" ht="19.5" customHeight="1">
      <c r="A821" s="12"/>
      <c r="C821" s="12"/>
      <c r="D821" s="87"/>
      <c r="F821" s="14"/>
      <c r="G821" s="14"/>
      <c r="H821" s="14"/>
      <c r="I821" s="14"/>
      <c r="J821" s="14"/>
      <c r="K821" s="12"/>
    </row>
    <row r="822" ht="19.5" customHeight="1">
      <c r="A822" s="12"/>
      <c r="C822" s="12"/>
      <c r="D822" s="87"/>
      <c r="F822" s="14"/>
      <c r="G822" s="14"/>
      <c r="H822" s="14"/>
      <c r="I822" s="14"/>
      <c r="J822" s="14"/>
      <c r="K822" s="12"/>
    </row>
    <row r="823" ht="19.5" customHeight="1">
      <c r="A823" s="12"/>
      <c r="C823" s="12"/>
      <c r="D823" s="87"/>
      <c r="F823" s="14"/>
      <c r="G823" s="14"/>
      <c r="H823" s="14"/>
      <c r="I823" s="14"/>
      <c r="J823" s="14"/>
      <c r="K823" s="12"/>
    </row>
    <row r="824" ht="19.5" customHeight="1">
      <c r="A824" s="12"/>
      <c r="C824" s="12"/>
      <c r="D824" s="87"/>
      <c r="F824" s="14"/>
      <c r="G824" s="14"/>
      <c r="H824" s="14"/>
      <c r="I824" s="14"/>
      <c r="J824" s="14"/>
      <c r="K824" s="12"/>
    </row>
    <row r="825" ht="19.5" customHeight="1">
      <c r="A825" s="12"/>
      <c r="C825" s="12"/>
      <c r="D825" s="87"/>
      <c r="F825" s="14"/>
      <c r="G825" s="14"/>
      <c r="H825" s="14"/>
      <c r="I825" s="14"/>
      <c r="J825" s="14"/>
      <c r="K825" s="12"/>
    </row>
    <row r="826" ht="19.5" customHeight="1">
      <c r="A826" s="12"/>
      <c r="C826" s="12"/>
      <c r="D826" s="87"/>
      <c r="F826" s="14"/>
      <c r="G826" s="14"/>
      <c r="H826" s="14"/>
      <c r="I826" s="14"/>
      <c r="J826" s="14"/>
      <c r="K826" s="12"/>
    </row>
    <row r="827" ht="19.5" customHeight="1">
      <c r="A827" s="12"/>
      <c r="C827" s="12"/>
      <c r="D827" s="87"/>
      <c r="F827" s="14"/>
      <c r="G827" s="14"/>
      <c r="H827" s="14"/>
      <c r="I827" s="14"/>
      <c r="J827" s="14"/>
      <c r="K827" s="12"/>
    </row>
    <row r="828" ht="19.5" customHeight="1">
      <c r="A828" s="12"/>
      <c r="C828" s="12"/>
      <c r="D828" s="87"/>
      <c r="F828" s="14"/>
      <c r="G828" s="14"/>
      <c r="H828" s="14"/>
      <c r="I828" s="14"/>
      <c r="J828" s="14"/>
      <c r="K828" s="12"/>
    </row>
    <row r="829" ht="19.5" customHeight="1">
      <c r="A829" s="12"/>
      <c r="C829" s="12"/>
      <c r="D829" s="87"/>
      <c r="F829" s="14"/>
      <c r="G829" s="14"/>
      <c r="H829" s="14"/>
      <c r="I829" s="14"/>
      <c r="J829" s="14"/>
      <c r="K829" s="12"/>
    </row>
    <row r="830" ht="19.5" customHeight="1">
      <c r="A830" s="12"/>
      <c r="C830" s="12"/>
      <c r="D830" s="87"/>
      <c r="F830" s="14"/>
      <c r="G830" s="14"/>
      <c r="H830" s="14"/>
      <c r="I830" s="14"/>
      <c r="J830" s="14"/>
      <c r="K830" s="12"/>
    </row>
    <row r="831" ht="19.5" customHeight="1">
      <c r="A831" s="12"/>
      <c r="C831" s="12"/>
      <c r="D831" s="87"/>
      <c r="F831" s="14"/>
      <c r="G831" s="14"/>
      <c r="H831" s="14"/>
      <c r="I831" s="14"/>
      <c r="J831" s="14"/>
      <c r="K831" s="12"/>
    </row>
    <row r="832" ht="19.5" customHeight="1">
      <c r="A832" s="12"/>
      <c r="C832" s="12"/>
      <c r="D832" s="87"/>
      <c r="F832" s="14"/>
      <c r="G832" s="14"/>
      <c r="H832" s="14"/>
      <c r="I832" s="14"/>
      <c r="J832" s="14"/>
      <c r="K832" s="12"/>
    </row>
    <row r="833" ht="19.5" customHeight="1">
      <c r="A833" s="12"/>
      <c r="C833" s="12"/>
      <c r="D833" s="87"/>
      <c r="F833" s="14"/>
      <c r="G833" s="14"/>
      <c r="H833" s="14"/>
      <c r="I833" s="14"/>
      <c r="J833" s="14"/>
      <c r="K833" s="12"/>
    </row>
    <row r="834" ht="19.5" customHeight="1">
      <c r="A834" s="12"/>
      <c r="C834" s="12"/>
      <c r="D834" s="87"/>
      <c r="F834" s="14"/>
      <c r="G834" s="14"/>
      <c r="H834" s="14"/>
      <c r="I834" s="14"/>
      <c r="J834" s="14"/>
      <c r="K834" s="12"/>
    </row>
    <row r="835" ht="19.5" customHeight="1">
      <c r="A835" s="12"/>
      <c r="C835" s="12"/>
      <c r="D835" s="87"/>
      <c r="F835" s="14"/>
      <c r="G835" s="14"/>
      <c r="H835" s="14"/>
      <c r="I835" s="14"/>
      <c r="J835" s="14"/>
      <c r="K835" s="12"/>
    </row>
    <row r="836" ht="19.5" customHeight="1">
      <c r="A836" s="12"/>
      <c r="C836" s="12"/>
      <c r="D836" s="87"/>
      <c r="F836" s="14"/>
      <c r="G836" s="14"/>
      <c r="H836" s="14"/>
      <c r="I836" s="14"/>
      <c r="J836" s="14"/>
      <c r="K836" s="12"/>
    </row>
    <row r="837" ht="19.5" customHeight="1">
      <c r="A837" s="12"/>
      <c r="C837" s="12"/>
      <c r="D837" s="87"/>
      <c r="F837" s="14"/>
      <c r="G837" s="14"/>
      <c r="H837" s="14"/>
      <c r="I837" s="14"/>
      <c r="J837" s="14"/>
      <c r="K837" s="12"/>
    </row>
    <row r="838" ht="19.5" customHeight="1">
      <c r="A838" s="12"/>
      <c r="C838" s="12"/>
      <c r="D838" s="87"/>
      <c r="F838" s="14"/>
      <c r="G838" s="14"/>
      <c r="H838" s="14"/>
      <c r="I838" s="14"/>
      <c r="J838" s="14"/>
      <c r="K838" s="12"/>
    </row>
    <row r="839" ht="19.5" customHeight="1">
      <c r="A839" s="12"/>
      <c r="C839" s="12"/>
      <c r="D839" s="87"/>
      <c r="F839" s="14"/>
      <c r="G839" s="14"/>
      <c r="H839" s="14"/>
      <c r="I839" s="14"/>
      <c r="J839" s="14"/>
      <c r="K839" s="12"/>
    </row>
    <row r="840" ht="19.5" customHeight="1">
      <c r="A840" s="12"/>
      <c r="C840" s="12"/>
      <c r="D840" s="87"/>
      <c r="F840" s="14"/>
      <c r="G840" s="14"/>
      <c r="H840" s="14"/>
      <c r="I840" s="14"/>
      <c r="J840" s="14"/>
      <c r="K840" s="12"/>
    </row>
    <row r="841" ht="19.5" customHeight="1">
      <c r="A841" s="12"/>
      <c r="C841" s="12"/>
      <c r="D841" s="87"/>
      <c r="F841" s="14"/>
      <c r="G841" s="14"/>
      <c r="H841" s="14"/>
      <c r="I841" s="14"/>
      <c r="J841" s="14"/>
      <c r="K841" s="12"/>
    </row>
    <row r="842" ht="19.5" customHeight="1">
      <c r="A842" s="12"/>
      <c r="C842" s="12"/>
      <c r="D842" s="87"/>
      <c r="F842" s="14"/>
      <c r="G842" s="14"/>
      <c r="H842" s="14"/>
      <c r="I842" s="14"/>
      <c r="J842" s="14"/>
      <c r="K842" s="12"/>
    </row>
    <row r="843" ht="19.5" customHeight="1">
      <c r="A843" s="12"/>
      <c r="C843" s="12"/>
      <c r="D843" s="87"/>
      <c r="F843" s="14"/>
      <c r="G843" s="14"/>
      <c r="H843" s="14"/>
      <c r="I843" s="14"/>
      <c r="J843" s="14"/>
      <c r="K843" s="12"/>
    </row>
    <row r="844" ht="19.5" customHeight="1">
      <c r="A844" s="12"/>
      <c r="C844" s="12"/>
      <c r="D844" s="87"/>
      <c r="F844" s="14"/>
      <c r="G844" s="14"/>
      <c r="H844" s="14"/>
      <c r="I844" s="14"/>
      <c r="J844" s="14"/>
      <c r="K844" s="12"/>
    </row>
    <row r="845" ht="19.5" customHeight="1">
      <c r="A845" s="12"/>
      <c r="C845" s="12"/>
      <c r="D845" s="87"/>
      <c r="F845" s="14"/>
      <c r="G845" s="14"/>
      <c r="H845" s="14"/>
      <c r="I845" s="14"/>
      <c r="J845" s="14"/>
      <c r="K845" s="12"/>
    </row>
    <row r="846" ht="19.5" customHeight="1">
      <c r="A846" s="12"/>
      <c r="C846" s="12"/>
      <c r="D846" s="87"/>
      <c r="F846" s="14"/>
      <c r="G846" s="14"/>
      <c r="H846" s="14"/>
      <c r="I846" s="14"/>
      <c r="J846" s="14"/>
      <c r="K846" s="12"/>
    </row>
    <row r="847" ht="19.5" customHeight="1">
      <c r="A847" s="12"/>
      <c r="C847" s="12"/>
      <c r="D847" s="87"/>
      <c r="F847" s="14"/>
      <c r="G847" s="14"/>
      <c r="H847" s="14"/>
      <c r="I847" s="14"/>
      <c r="J847" s="14"/>
      <c r="K847" s="12"/>
    </row>
    <row r="848" ht="19.5" customHeight="1">
      <c r="A848" s="12"/>
      <c r="C848" s="12"/>
      <c r="D848" s="87"/>
      <c r="F848" s="14"/>
      <c r="G848" s="14"/>
      <c r="H848" s="14"/>
      <c r="I848" s="14"/>
      <c r="J848" s="14"/>
      <c r="K848" s="12"/>
    </row>
    <row r="849" ht="19.5" customHeight="1">
      <c r="A849" s="12"/>
      <c r="C849" s="12"/>
      <c r="D849" s="87"/>
      <c r="F849" s="14"/>
      <c r="G849" s="14"/>
      <c r="H849" s="14"/>
      <c r="I849" s="14"/>
      <c r="J849" s="14"/>
      <c r="K849" s="12"/>
    </row>
    <row r="850" ht="19.5" customHeight="1">
      <c r="A850" s="12"/>
      <c r="C850" s="12"/>
      <c r="D850" s="87"/>
      <c r="F850" s="14"/>
      <c r="G850" s="14"/>
      <c r="H850" s="14"/>
      <c r="I850" s="14"/>
      <c r="J850" s="14"/>
      <c r="K850" s="12"/>
    </row>
    <row r="851" ht="19.5" customHeight="1">
      <c r="A851" s="12"/>
      <c r="C851" s="12"/>
      <c r="D851" s="87"/>
      <c r="F851" s="14"/>
      <c r="G851" s="14"/>
      <c r="H851" s="14"/>
      <c r="I851" s="14"/>
      <c r="J851" s="14"/>
      <c r="K851" s="12"/>
    </row>
    <row r="852" ht="19.5" customHeight="1">
      <c r="A852" s="12"/>
      <c r="C852" s="12"/>
      <c r="D852" s="87"/>
      <c r="F852" s="14"/>
      <c r="G852" s="14"/>
      <c r="H852" s="14"/>
      <c r="I852" s="14"/>
      <c r="J852" s="14"/>
      <c r="K852" s="12"/>
    </row>
    <row r="853" ht="19.5" customHeight="1">
      <c r="A853" s="12"/>
      <c r="C853" s="12"/>
      <c r="D853" s="87"/>
      <c r="F853" s="14"/>
      <c r="G853" s="14"/>
      <c r="H853" s="14"/>
      <c r="I853" s="14"/>
      <c r="J853" s="14"/>
      <c r="K853" s="12"/>
    </row>
    <row r="854" ht="19.5" customHeight="1">
      <c r="A854" s="12"/>
      <c r="C854" s="12"/>
      <c r="D854" s="87"/>
      <c r="F854" s="14"/>
      <c r="G854" s="14"/>
      <c r="H854" s="14"/>
      <c r="I854" s="14"/>
      <c r="J854" s="14"/>
      <c r="K854" s="12"/>
    </row>
    <row r="855" ht="19.5" customHeight="1">
      <c r="A855" s="12"/>
      <c r="C855" s="12"/>
      <c r="D855" s="87"/>
      <c r="F855" s="14"/>
      <c r="G855" s="14"/>
      <c r="H855" s="14"/>
      <c r="I855" s="14"/>
      <c r="J855" s="14"/>
      <c r="K855" s="12"/>
    </row>
    <row r="856" ht="19.5" customHeight="1">
      <c r="A856" s="12"/>
      <c r="C856" s="12"/>
      <c r="D856" s="87"/>
      <c r="F856" s="14"/>
      <c r="G856" s="14"/>
      <c r="H856" s="14"/>
      <c r="I856" s="14"/>
      <c r="J856" s="14"/>
      <c r="K856" s="12"/>
    </row>
    <row r="857" ht="19.5" customHeight="1">
      <c r="A857" s="12"/>
      <c r="C857" s="12"/>
      <c r="D857" s="87"/>
      <c r="F857" s="14"/>
      <c r="G857" s="14"/>
      <c r="H857" s="14"/>
      <c r="I857" s="14"/>
      <c r="J857" s="14"/>
      <c r="K857" s="12"/>
    </row>
    <row r="858" ht="19.5" customHeight="1">
      <c r="A858" s="12"/>
      <c r="C858" s="12"/>
      <c r="D858" s="87"/>
      <c r="F858" s="14"/>
      <c r="G858" s="14"/>
      <c r="H858" s="14"/>
      <c r="I858" s="14"/>
      <c r="J858" s="14"/>
      <c r="K858" s="12"/>
    </row>
    <row r="859" ht="19.5" customHeight="1">
      <c r="A859" s="12"/>
      <c r="C859" s="12"/>
      <c r="D859" s="87"/>
      <c r="F859" s="14"/>
      <c r="G859" s="14"/>
      <c r="H859" s="14"/>
      <c r="I859" s="14"/>
      <c r="J859" s="14"/>
      <c r="K859" s="12"/>
    </row>
    <row r="860" ht="19.5" customHeight="1">
      <c r="A860" s="12"/>
      <c r="C860" s="12"/>
      <c r="D860" s="87"/>
      <c r="F860" s="14"/>
      <c r="G860" s="14"/>
      <c r="H860" s="14"/>
      <c r="I860" s="14"/>
      <c r="J860" s="14"/>
      <c r="K860" s="12"/>
    </row>
    <row r="861" ht="19.5" customHeight="1">
      <c r="A861" s="12"/>
      <c r="C861" s="12"/>
      <c r="D861" s="87"/>
      <c r="F861" s="14"/>
      <c r="G861" s="14"/>
      <c r="H861" s="14"/>
      <c r="I861" s="14"/>
      <c r="J861" s="14"/>
      <c r="K861" s="12"/>
    </row>
    <row r="862" ht="19.5" customHeight="1">
      <c r="A862" s="12"/>
      <c r="C862" s="12"/>
      <c r="D862" s="87"/>
      <c r="F862" s="14"/>
      <c r="G862" s="14"/>
      <c r="H862" s="14"/>
      <c r="I862" s="14"/>
      <c r="J862" s="14"/>
      <c r="K862" s="12"/>
    </row>
    <row r="863" ht="19.5" customHeight="1">
      <c r="A863" s="12"/>
      <c r="C863" s="12"/>
      <c r="D863" s="87"/>
      <c r="F863" s="14"/>
      <c r="G863" s="14"/>
      <c r="H863" s="14"/>
      <c r="I863" s="14"/>
      <c r="J863" s="14"/>
      <c r="K863" s="12"/>
    </row>
    <row r="864" ht="19.5" customHeight="1">
      <c r="A864" s="12"/>
      <c r="C864" s="12"/>
      <c r="D864" s="87"/>
      <c r="F864" s="14"/>
      <c r="G864" s="14"/>
      <c r="H864" s="14"/>
      <c r="I864" s="14"/>
      <c r="J864" s="14"/>
      <c r="K864" s="12"/>
    </row>
    <row r="865" ht="19.5" customHeight="1">
      <c r="A865" s="12"/>
      <c r="C865" s="12"/>
      <c r="D865" s="87"/>
      <c r="F865" s="14"/>
      <c r="G865" s="14"/>
      <c r="H865" s="14"/>
      <c r="I865" s="14"/>
      <c r="J865" s="14"/>
      <c r="K865" s="12"/>
    </row>
    <row r="866" ht="19.5" customHeight="1">
      <c r="A866" s="12"/>
      <c r="C866" s="12"/>
      <c r="D866" s="87"/>
      <c r="F866" s="14"/>
      <c r="G866" s="14"/>
      <c r="H866" s="14"/>
      <c r="I866" s="14"/>
      <c r="J866" s="14"/>
      <c r="K866" s="12"/>
    </row>
    <row r="867" ht="19.5" customHeight="1">
      <c r="A867" s="12"/>
      <c r="C867" s="12"/>
      <c r="D867" s="87"/>
      <c r="F867" s="14"/>
      <c r="G867" s="14"/>
      <c r="H867" s="14"/>
      <c r="I867" s="14"/>
      <c r="J867" s="14"/>
      <c r="K867" s="12"/>
    </row>
    <row r="868" ht="19.5" customHeight="1">
      <c r="A868" s="12"/>
      <c r="C868" s="12"/>
      <c r="D868" s="87"/>
      <c r="F868" s="14"/>
      <c r="G868" s="14"/>
      <c r="H868" s="14"/>
      <c r="I868" s="14"/>
      <c r="J868" s="14"/>
      <c r="K868" s="12"/>
    </row>
    <row r="869" ht="19.5" customHeight="1">
      <c r="A869" s="12"/>
      <c r="C869" s="12"/>
      <c r="D869" s="87"/>
      <c r="F869" s="14"/>
      <c r="G869" s="14"/>
      <c r="H869" s="14"/>
      <c r="I869" s="14"/>
      <c r="J869" s="14"/>
      <c r="K869" s="12"/>
    </row>
    <row r="870" ht="19.5" customHeight="1">
      <c r="A870" s="12"/>
      <c r="C870" s="12"/>
      <c r="D870" s="87"/>
      <c r="F870" s="14"/>
      <c r="G870" s="14"/>
      <c r="H870" s="14"/>
      <c r="I870" s="14"/>
      <c r="J870" s="14"/>
      <c r="K870" s="12"/>
    </row>
    <row r="871" ht="19.5" customHeight="1">
      <c r="A871" s="12"/>
      <c r="C871" s="12"/>
      <c r="D871" s="87"/>
      <c r="F871" s="14"/>
      <c r="G871" s="14"/>
      <c r="H871" s="14"/>
      <c r="I871" s="14"/>
      <c r="J871" s="14"/>
      <c r="K871" s="12"/>
    </row>
    <row r="872" ht="19.5" customHeight="1">
      <c r="A872" s="12"/>
      <c r="C872" s="12"/>
      <c r="D872" s="87"/>
      <c r="F872" s="14"/>
      <c r="G872" s="14"/>
      <c r="H872" s="14"/>
      <c r="I872" s="14"/>
      <c r="J872" s="14"/>
      <c r="K872" s="12"/>
    </row>
    <row r="873" ht="19.5" customHeight="1">
      <c r="A873" s="12"/>
      <c r="C873" s="12"/>
      <c r="D873" s="87"/>
      <c r="F873" s="14"/>
      <c r="G873" s="14"/>
      <c r="H873" s="14"/>
      <c r="I873" s="14"/>
      <c r="J873" s="14"/>
      <c r="K873" s="12"/>
    </row>
    <row r="874" ht="19.5" customHeight="1">
      <c r="A874" s="12"/>
      <c r="C874" s="12"/>
      <c r="D874" s="87"/>
      <c r="F874" s="14"/>
      <c r="G874" s="14"/>
      <c r="H874" s="14"/>
      <c r="I874" s="14"/>
      <c r="J874" s="14"/>
      <c r="K874" s="12"/>
    </row>
    <row r="875" ht="19.5" customHeight="1">
      <c r="A875" s="12"/>
      <c r="C875" s="12"/>
      <c r="D875" s="87"/>
      <c r="F875" s="14"/>
      <c r="G875" s="14"/>
      <c r="H875" s="14"/>
      <c r="I875" s="14"/>
      <c r="J875" s="14"/>
      <c r="K875" s="12"/>
    </row>
    <row r="876" ht="19.5" customHeight="1">
      <c r="A876" s="12"/>
      <c r="C876" s="12"/>
      <c r="D876" s="87"/>
      <c r="F876" s="14"/>
      <c r="G876" s="14"/>
      <c r="H876" s="14"/>
      <c r="I876" s="14"/>
      <c r="J876" s="14"/>
      <c r="K876" s="12"/>
    </row>
    <row r="877" ht="19.5" customHeight="1">
      <c r="A877" s="12"/>
      <c r="C877" s="12"/>
      <c r="D877" s="87"/>
      <c r="F877" s="14"/>
      <c r="G877" s="14"/>
      <c r="H877" s="14"/>
      <c r="I877" s="14"/>
      <c r="J877" s="14"/>
      <c r="K877" s="12"/>
    </row>
    <row r="878" ht="19.5" customHeight="1">
      <c r="A878" s="12"/>
      <c r="C878" s="12"/>
      <c r="D878" s="87"/>
      <c r="F878" s="14"/>
      <c r="G878" s="14"/>
      <c r="H878" s="14"/>
      <c r="I878" s="14"/>
      <c r="J878" s="14"/>
      <c r="K878" s="12"/>
    </row>
    <row r="879" ht="19.5" customHeight="1">
      <c r="A879" s="12"/>
      <c r="C879" s="12"/>
      <c r="D879" s="87"/>
      <c r="F879" s="14"/>
      <c r="G879" s="14"/>
      <c r="H879" s="14"/>
      <c r="I879" s="14"/>
      <c r="J879" s="14"/>
      <c r="K879" s="12"/>
    </row>
    <row r="880" ht="19.5" customHeight="1">
      <c r="A880" s="12"/>
      <c r="C880" s="12"/>
      <c r="D880" s="87"/>
      <c r="F880" s="14"/>
      <c r="G880" s="14"/>
      <c r="H880" s="14"/>
      <c r="I880" s="14"/>
      <c r="J880" s="14"/>
      <c r="K880" s="12"/>
    </row>
    <row r="881" ht="19.5" customHeight="1">
      <c r="A881" s="12"/>
      <c r="C881" s="12"/>
      <c r="D881" s="87"/>
      <c r="F881" s="14"/>
      <c r="G881" s="14"/>
      <c r="H881" s="14"/>
      <c r="I881" s="14"/>
      <c r="J881" s="14"/>
      <c r="K881" s="12"/>
    </row>
    <row r="882" ht="19.5" customHeight="1">
      <c r="A882" s="12"/>
      <c r="C882" s="12"/>
      <c r="D882" s="87"/>
      <c r="F882" s="14"/>
      <c r="G882" s="14"/>
      <c r="H882" s="14"/>
      <c r="I882" s="14"/>
      <c r="J882" s="14"/>
      <c r="K882" s="12"/>
    </row>
    <row r="883" ht="19.5" customHeight="1">
      <c r="A883" s="12"/>
      <c r="C883" s="12"/>
      <c r="D883" s="87"/>
      <c r="F883" s="14"/>
      <c r="G883" s="14"/>
      <c r="H883" s="14"/>
      <c r="I883" s="14"/>
      <c r="J883" s="14"/>
      <c r="K883" s="12"/>
    </row>
    <row r="884" ht="19.5" customHeight="1">
      <c r="A884" s="12"/>
      <c r="C884" s="12"/>
      <c r="D884" s="87"/>
      <c r="F884" s="14"/>
      <c r="G884" s="14"/>
      <c r="H884" s="14"/>
      <c r="I884" s="14"/>
      <c r="J884" s="14"/>
      <c r="K884" s="12"/>
    </row>
    <row r="885" ht="19.5" customHeight="1">
      <c r="A885" s="12"/>
      <c r="C885" s="12"/>
      <c r="D885" s="87"/>
      <c r="F885" s="14"/>
      <c r="G885" s="14"/>
      <c r="H885" s="14"/>
      <c r="I885" s="14"/>
      <c r="J885" s="14"/>
      <c r="K885" s="12"/>
    </row>
    <row r="886" ht="19.5" customHeight="1">
      <c r="A886" s="12"/>
      <c r="C886" s="12"/>
      <c r="D886" s="87"/>
      <c r="F886" s="14"/>
      <c r="G886" s="14"/>
      <c r="H886" s="14"/>
      <c r="I886" s="14"/>
      <c r="J886" s="14"/>
      <c r="K886" s="12"/>
    </row>
    <row r="887" ht="19.5" customHeight="1">
      <c r="A887" s="12"/>
      <c r="C887" s="12"/>
      <c r="D887" s="87"/>
      <c r="F887" s="14"/>
      <c r="G887" s="14"/>
      <c r="H887" s="14"/>
      <c r="I887" s="14"/>
      <c r="J887" s="14"/>
      <c r="K887" s="12"/>
    </row>
    <row r="888" ht="19.5" customHeight="1">
      <c r="A888" s="12"/>
      <c r="C888" s="12"/>
      <c r="D888" s="87"/>
      <c r="F888" s="14"/>
      <c r="G888" s="14"/>
      <c r="H888" s="14"/>
      <c r="I888" s="14"/>
      <c r="J888" s="14"/>
      <c r="K888" s="12"/>
    </row>
    <row r="889" ht="19.5" customHeight="1">
      <c r="A889" s="12"/>
      <c r="C889" s="12"/>
      <c r="D889" s="87"/>
      <c r="F889" s="14"/>
      <c r="G889" s="14"/>
      <c r="H889" s="14"/>
      <c r="I889" s="14"/>
      <c r="J889" s="14"/>
      <c r="K889" s="12"/>
    </row>
    <row r="890" ht="19.5" customHeight="1">
      <c r="A890" s="12"/>
      <c r="C890" s="12"/>
      <c r="D890" s="87"/>
      <c r="F890" s="14"/>
      <c r="G890" s="14"/>
      <c r="H890" s="14"/>
      <c r="I890" s="14"/>
      <c r="J890" s="14"/>
      <c r="K890" s="12"/>
    </row>
    <row r="891" ht="19.5" customHeight="1">
      <c r="A891" s="12"/>
      <c r="C891" s="12"/>
      <c r="D891" s="87"/>
      <c r="F891" s="14"/>
      <c r="G891" s="14"/>
      <c r="H891" s="14"/>
      <c r="I891" s="14"/>
      <c r="J891" s="14"/>
      <c r="K891" s="12"/>
    </row>
    <row r="892" ht="19.5" customHeight="1">
      <c r="A892" s="12"/>
      <c r="C892" s="12"/>
      <c r="D892" s="87"/>
      <c r="F892" s="14"/>
      <c r="G892" s="14"/>
      <c r="H892" s="14"/>
      <c r="I892" s="14"/>
      <c r="J892" s="14"/>
      <c r="K892" s="12"/>
    </row>
    <row r="893" ht="19.5" customHeight="1">
      <c r="A893" s="12"/>
      <c r="C893" s="12"/>
      <c r="D893" s="87"/>
      <c r="F893" s="14"/>
      <c r="G893" s="14"/>
      <c r="H893" s="14"/>
      <c r="I893" s="14"/>
      <c r="J893" s="14"/>
      <c r="K893" s="12"/>
    </row>
    <row r="894" ht="19.5" customHeight="1">
      <c r="A894" s="12"/>
      <c r="C894" s="12"/>
      <c r="D894" s="87"/>
      <c r="F894" s="14"/>
      <c r="G894" s="14"/>
      <c r="H894" s="14"/>
      <c r="I894" s="14"/>
      <c r="J894" s="14"/>
      <c r="K894" s="12"/>
    </row>
    <row r="895" ht="19.5" customHeight="1">
      <c r="A895" s="12"/>
      <c r="C895" s="12"/>
      <c r="D895" s="87"/>
      <c r="F895" s="14"/>
      <c r="G895" s="14"/>
      <c r="H895" s="14"/>
      <c r="I895" s="14"/>
      <c r="J895" s="14"/>
      <c r="K895" s="12"/>
    </row>
    <row r="896" ht="19.5" customHeight="1">
      <c r="A896" s="12"/>
      <c r="C896" s="12"/>
      <c r="D896" s="87"/>
      <c r="F896" s="14"/>
      <c r="G896" s="14"/>
      <c r="H896" s="14"/>
      <c r="I896" s="14"/>
      <c r="J896" s="14"/>
      <c r="K896" s="12"/>
    </row>
    <row r="897" ht="19.5" customHeight="1">
      <c r="A897" s="12"/>
      <c r="C897" s="12"/>
      <c r="D897" s="87"/>
      <c r="F897" s="14"/>
      <c r="G897" s="14"/>
      <c r="H897" s="14"/>
      <c r="I897" s="14"/>
      <c r="J897" s="14"/>
      <c r="K897" s="12"/>
    </row>
    <row r="898" ht="19.5" customHeight="1">
      <c r="A898" s="12"/>
      <c r="C898" s="12"/>
      <c r="D898" s="87"/>
      <c r="F898" s="14"/>
      <c r="G898" s="14"/>
      <c r="H898" s="14"/>
      <c r="I898" s="14"/>
      <c r="J898" s="14"/>
      <c r="K898" s="12"/>
    </row>
    <row r="899" ht="19.5" customHeight="1">
      <c r="A899" s="12"/>
      <c r="C899" s="12"/>
      <c r="D899" s="87"/>
      <c r="F899" s="14"/>
      <c r="G899" s="14"/>
      <c r="H899" s="14"/>
      <c r="I899" s="14"/>
      <c r="J899" s="14"/>
      <c r="K899" s="12"/>
    </row>
    <row r="900" ht="19.5" customHeight="1">
      <c r="A900" s="12"/>
      <c r="C900" s="12"/>
      <c r="D900" s="87"/>
      <c r="F900" s="14"/>
      <c r="G900" s="14"/>
      <c r="H900" s="14"/>
      <c r="I900" s="14"/>
      <c r="J900" s="14"/>
      <c r="K900" s="12"/>
    </row>
    <row r="901" ht="19.5" customHeight="1">
      <c r="A901" s="12"/>
      <c r="C901" s="12"/>
      <c r="D901" s="87"/>
      <c r="F901" s="14"/>
      <c r="G901" s="14"/>
      <c r="H901" s="14"/>
      <c r="I901" s="14"/>
      <c r="J901" s="14"/>
      <c r="K901" s="12"/>
    </row>
    <row r="902" ht="19.5" customHeight="1">
      <c r="A902" s="12"/>
      <c r="C902" s="12"/>
      <c r="D902" s="87"/>
      <c r="F902" s="14"/>
      <c r="G902" s="14"/>
      <c r="H902" s="14"/>
      <c r="I902" s="14"/>
      <c r="J902" s="14"/>
      <c r="K902" s="12"/>
    </row>
    <row r="903" ht="19.5" customHeight="1">
      <c r="A903" s="12"/>
      <c r="C903" s="12"/>
      <c r="D903" s="87"/>
      <c r="F903" s="14"/>
      <c r="G903" s="14"/>
      <c r="H903" s="14"/>
      <c r="I903" s="14"/>
      <c r="J903" s="14"/>
      <c r="K903" s="12"/>
    </row>
    <row r="904" ht="19.5" customHeight="1">
      <c r="A904" s="12"/>
      <c r="C904" s="12"/>
      <c r="D904" s="87"/>
      <c r="F904" s="14"/>
      <c r="G904" s="14"/>
      <c r="H904" s="14"/>
      <c r="I904" s="14"/>
      <c r="J904" s="14"/>
      <c r="K904" s="12"/>
    </row>
    <row r="905" ht="19.5" customHeight="1">
      <c r="A905" s="12"/>
      <c r="C905" s="12"/>
      <c r="D905" s="87"/>
      <c r="F905" s="14"/>
      <c r="G905" s="14"/>
      <c r="H905" s="14"/>
      <c r="I905" s="14"/>
      <c r="J905" s="14"/>
      <c r="K905" s="12"/>
    </row>
    <row r="906" ht="19.5" customHeight="1">
      <c r="A906" s="12"/>
      <c r="C906" s="12"/>
      <c r="D906" s="87"/>
      <c r="F906" s="14"/>
      <c r="G906" s="14"/>
      <c r="H906" s="14"/>
      <c r="I906" s="14"/>
      <c r="J906" s="14"/>
      <c r="K906" s="12"/>
    </row>
    <row r="907" ht="19.5" customHeight="1">
      <c r="A907" s="12"/>
      <c r="C907" s="12"/>
      <c r="D907" s="87"/>
      <c r="F907" s="14"/>
      <c r="G907" s="14"/>
      <c r="H907" s="14"/>
      <c r="I907" s="14"/>
      <c r="J907" s="14"/>
      <c r="K907" s="12"/>
    </row>
    <row r="908" ht="19.5" customHeight="1">
      <c r="A908" s="12"/>
      <c r="C908" s="12"/>
      <c r="D908" s="87"/>
      <c r="F908" s="14"/>
      <c r="G908" s="14"/>
      <c r="H908" s="14"/>
      <c r="I908" s="14"/>
      <c r="J908" s="14"/>
      <c r="K908" s="12"/>
    </row>
    <row r="909" ht="19.5" customHeight="1">
      <c r="A909" s="12"/>
      <c r="C909" s="12"/>
      <c r="D909" s="87"/>
      <c r="F909" s="14"/>
      <c r="G909" s="14"/>
      <c r="H909" s="14"/>
      <c r="I909" s="14"/>
      <c r="J909" s="14"/>
      <c r="K909" s="12"/>
    </row>
    <row r="910" ht="19.5" customHeight="1">
      <c r="A910" s="12"/>
      <c r="C910" s="12"/>
      <c r="D910" s="87"/>
      <c r="F910" s="14"/>
      <c r="G910" s="14"/>
      <c r="H910" s="14"/>
      <c r="I910" s="14"/>
      <c r="J910" s="14"/>
      <c r="K910" s="12"/>
    </row>
    <row r="911" ht="19.5" customHeight="1">
      <c r="A911" s="12"/>
      <c r="C911" s="12"/>
      <c r="D911" s="87"/>
      <c r="F911" s="14"/>
      <c r="G911" s="14"/>
      <c r="H911" s="14"/>
      <c r="I911" s="14"/>
      <c r="J911" s="14"/>
      <c r="K911" s="12"/>
    </row>
    <row r="912" ht="19.5" customHeight="1">
      <c r="A912" s="12"/>
      <c r="C912" s="12"/>
      <c r="D912" s="87"/>
      <c r="F912" s="14"/>
      <c r="G912" s="14"/>
      <c r="H912" s="14"/>
      <c r="I912" s="14"/>
      <c r="J912" s="14"/>
      <c r="K912" s="12"/>
    </row>
    <row r="913" ht="19.5" customHeight="1">
      <c r="A913" s="12"/>
      <c r="C913" s="12"/>
      <c r="D913" s="87"/>
      <c r="F913" s="14"/>
      <c r="G913" s="14"/>
      <c r="H913" s="14"/>
      <c r="I913" s="14"/>
      <c r="J913" s="14"/>
      <c r="K913" s="12"/>
    </row>
    <row r="914" ht="19.5" customHeight="1">
      <c r="A914" s="12"/>
      <c r="C914" s="12"/>
      <c r="D914" s="87"/>
      <c r="F914" s="14"/>
      <c r="G914" s="14"/>
      <c r="H914" s="14"/>
      <c r="I914" s="14"/>
      <c r="J914" s="14"/>
      <c r="K914" s="12"/>
    </row>
    <row r="915" ht="19.5" customHeight="1">
      <c r="A915" s="12"/>
      <c r="C915" s="12"/>
      <c r="D915" s="87"/>
      <c r="F915" s="14"/>
      <c r="G915" s="14"/>
      <c r="H915" s="14"/>
      <c r="I915" s="14"/>
      <c r="J915" s="14"/>
      <c r="K915" s="12"/>
    </row>
    <row r="916" ht="19.5" customHeight="1">
      <c r="A916" s="12"/>
      <c r="C916" s="12"/>
      <c r="D916" s="87"/>
      <c r="F916" s="14"/>
      <c r="G916" s="14"/>
      <c r="H916" s="14"/>
      <c r="I916" s="14"/>
      <c r="J916" s="14"/>
      <c r="K916" s="12"/>
    </row>
    <row r="917" ht="19.5" customHeight="1">
      <c r="A917" s="12"/>
      <c r="C917" s="12"/>
      <c r="D917" s="87"/>
      <c r="F917" s="14"/>
      <c r="G917" s="14"/>
      <c r="H917" s="14"/>
      <c r="I917" s="14"/>
      <c r="J917" s="14"/>
      <c r="K917" s="12"/>
    </row>
    <row r="918" ht="19.5" customHeight="1">
      <c r="A918" s="12"/>
      <c r="C918" s="12"/>
      <c r="D918" s="87"/>
      <c r="F918" s="14"/>
      <c r="G918" s="14"/>
      <c r="H918" s="14"/>
      <c r="I918" s="14"/>
      <c r="J918" s="14"/>
      <c r="K918" s="12"/>
    </row>
    <row r="919" ht="19.5" customHeight="1">
      <c r="A919" s="12"/>
      <c r="C919" s="12"/>
      <c r="D919" s="87"/>
      <c r="F919" s="14"/>
      <c r="G919" s="14"/>
      <c r="H919" s="14"/>
      <c r="I919" s="14"/>
      <c r="J919" s="14"/>
      <c r="K919" s="12"/>
    </row>
    <row r="920" ht="19.5" customHeight="1">
      <c r="A920" s="12"/>
      <c r="C920" s="12"/>
      <c r="D920" s="87"/>
      <c r="F920" s="14"/>
      <c r="G920" s="14"/>
      <c r="H920" s="14"/>
      <c r="I920" s="14"/>
      <c r="J920" s="14"/>
      <c r="K920" s="12"/>
    </row>
    <row r="921" ht="19.5" customHeight="1">
      <c r="A921" s="12"/>
      <c r="C921" s="12"/>
      <c r="D921" s="87"/>
      <c r="F921" s="14"/>
      <c r="G921" s="14"/>
      <c r="H921" s="14"/>
      <c r="I921" s="14"/>
      <c r="J921" s="14"/>
      <c r="K921" s="12"/>
    </row>
    <row r="922" ht="19.5" customHeight="1">
      <c r="A922" s="12"/>
      <c r="C922" s="12"/>
      <c r="D922" s="87"/>
      <c r="F922" s="14"/>
      <c r="G922" s="14"/>
      <c r="H922" s="14"/>
      <c r="I922" s="14"/>
      <c r="J922" s="14"/>
      <c r="K922" s="12"/>
    </row>
    <row r="923" ht="19.5" customHeight="1">
      <c r="A923" s="12"/>
      <c r="C923" s="12"/>
      <c r="D923" s="87"/>
      <c r="F923" s="14"/>
      <c r="G923" s="14"/>
      <c r="H923" s="14"/>
      <c r="I923" s="14"/>
      <c r="J923" s="14"/>
      <c r="K923" s="12"/>
    </row>
    <row r="924" ht="19.5" customHeight="1">
      <c r="A924" s="12"/>
      <c r="C924" s="12"/>
      <c r="D924" s="87"/>
      <c r="F924" s="14"/>
      <c r="G924" s="14"/>
      <c r="H924" s="14"/>
      <c r="I924" s="14"/>
      <c r="J924" s="14"/>
      <c r="K924" s="12"/>
    </row>
    <row r="925" ht="19.5" customHeight="1">
      <c r="A925" s="12"/>
      <c r="C925" s="12"/>
      <c r="D925" s="87"/>
      <c r="F925" s="14"/>
      <c r="G925" s="14"/>
      <c r="H925" s="14"/>
      <c r="I925" s="14"/>
      <c r="J925" s="14"/>
      <c r="K925" s="12"/>
    </row>
    <row r="926" ht="19.5" customHeight="1">
      <c r="A926" s="12"/>
      <c r="C926" s="12"/>
      <c r="D926" s="87"/>
      <c r="F926" s="14"/>
      <c r="G926" s="14"/>
      <c r="H926" s="14"/>
      <c r="I926" s="14"/>
      <c r="J926" s="14"/>
      <c r="K926" s="12"/>
    </row>
    <row r="927" ht="19.5" customHeight="1">
      <c r="A927" s="12"/>
      <c r="C927" s="12"/>
      <c r="D927" s="87"/>
      <c r="F927" s="14"/>
      <c r="G927" s="14"/>
      <c r="H927" s="14"/>
      <c r="I927" s="14"/>
      <c r="J927" s="14"/>
      <c r="K927" s="12"/>
    </row>
    <row r="928" ht="19.5" customHeight="1">
      <c r="A928" s="12"/>
      <c r="C928" s="12"/>
      <c r="D928" s="87"/>
      <c r="F928" s="14"/>
      <c r="G928" s="14"/>
      <c r="H928" s="14"/>
      <c r="I928" s="14"/>
      <c r="J928" s="14"/>
      <c r="K928" s="12"/>
    </row>
    <row r="929" ht="19.5" customHeight="1">
      <c r="A929" s="12"/>
      <c r="C929" s="12"/>
      <c r="D929" s="87"/>
      <c r="F929" s="14"/>
      <c r="G929" s="14"/>
      <c r="H929" s="14"/>
      <c r="I929" s="14"/>
      <c r="J929" s="14"/>
      <c r="K929" s="12"/>
    </row>
    <row r="930" ht="19.5" customHeight="1">
      <c r="A930" s="12"/>
      <c r="C930" s="12"/>
      <c r="D930" s="87"/>
      <c r="F930" s="14"/>
      <c r="G930" s="14"/>
      <c r="H930" s="14"/>
      <c r="I930" s="14"/>
      <c r="J930" s="14"/>
      <c r="K930" s="12"/>
    </row>
    <row r="931" ht="19.5" customHeight="1">
      <c r="A931" s="12"/>
      <c r="C931" s="12"/>
      <c r="D931" s="87"/>
      <c r="F931" s="14"/>
      <c r="G931" s="14"/>
      <c r="H931" s="14"/>
      <c r="I931" s="14"/>
      <c r="J931" s="14"/>
      <c r="K931" s="12"/>
    </row>
    <row r="932" ht="19.5" customHeight="1">
      <c r="A932" s="12"/>
      <c r="C932" s="12"/>
      <c r="D932" s="87"/>
      <c r="F932" s="14"/>
      <c r="G932" s="14"/>
      <c r="H932" s="14"/>
      <c r="I932" s="14"/>
      <c r="J932" s="14"/>
      <c r="K932" s="12"/>
    </row>
    <row r="933" ht="19.5" customHeight="1">
      <c r="A933" s="12"/>
      <c r="C933" s="12"/>
      <c r="D933" s="87"/>
      <c r="F933" s="14"/>
      <c r="G933" s="14"/>
      <c r="H933" s="14"/>
      <c r="I933" s="14"/>
      <c r="J933" s="14"/>
      <c r="K933" s="12"/>
    </row>
    <row r="934" ht="19.5" customHeight="1">
      <c r="A934" s="12"/>
      <c r="C934" s="12"/>
      <c r="D934" s="87"/>
      <c r="F934" s="14"/>
      <c r="G934" s="14"/>
      <c r="H934" s="14"/>
      <c r="I934" s="14"/>
      <c r="J934" s="14"/>
      <c r="K934" s="12"/>
    </row>
    <row r="935" ht="19.5" customHeight="1">
      <c r="A935" s="12"/>
      <c r="C935" s="12"/>
      <c r="D935" s="87"/>
      <c r="F935" s="14"/>
      <c r="G935" s="14"/>
      <c r="H935" s="14"/>
      <c r="I935" s="14"/>
      <c r="J935" s="14"/>
      <c r="K935" s="12"/>
    </row>
    <row r="936" ht="19.5" customHeight="1">
      <c r="A936" s="12"/>
      <c r="C936" s="12"/>
      <c r="D936" s="87"/>
      <c r="F936" s="14"/>
      <c r="G936" s="14"/>
      <c r="H936" s="14"/>
      <c r="I936" s="14"/>
      <c r="J936" s="14"/>
      <c r="K936" s="12"/>
    </row>
    <row r="937" ht="19.5" customHeight="1">
      <c r="A937" s="12"/>
      <c r="C937" s="12"/>
      <c r="D937" s="87"/>
      <c r="F937" s="14"/>
      <c r="G937" s="14"/>
      <c r="H937" s="14"/>
      <c r="I937" s="14"/>
      <c r="J937" s="14"/>
      <c r="K937" s="12"/>
    </row>
    <row r="938" ht="19.5" customHeight="1">
      <c r="A938" s="12"/>
      <c r="C938" s="12"/>
      <c r="D938" s="87"/>
      <c r="F938" s="14"/>
      <c r="G938" s="14"/>
      <c r="H938" s="14"/>
      <c r="I938" s="14"/>
      <c r="J938" s="14"/>
      <c r="K938" s="12"/>
    </row>
    <row r="939" ht="19.5" customHeight="1">
      <c r="A939" s="12"/>
      <c r="C939" s="12"/>
      <c r="D939" s="87"/>
      <c r="F939" s="14"/>
      <c r="G939" s="14"/>
      <c r="H939" s="14"/>
      <c r="I939" s="14"/>
      <c r="J939" s="14"/>
      <c r="K939" s="12"/>
    </row>
    <row r="940" ht="19.5" customHeight="1">
      <c r="A940" s="12"/>
      <c r="C940" s="12"/>
      <c r="D940" s="87"/>
      <c r="F940" s="14"/>
      <c r="G940" s="14"/>
      <c r="H940" s="14"/>
      <c r="I940" s="14"/>
      <c r="J940" s="14"/>
      <c r="K940" s="12"/>
    </row>
    <row r="941" ht="19.5" customHeight="1">
      <c r="A941" s="12"/>
      <c r="C941" s="12"/>
      <c r="D941" s="87"/>
      <c r="F941" s="14"/>
      <c r="G941" s="14"/>
      <c r="H941" s="14"/>
      <c r="I941" s="14"/>
      <c r="J941" s="14"/>
      <c r="K941" s="12"/>
    </row>
    <row r="942" ht="19.5" customHeight="1">
      <c r="A942" s="12"/>
      <c r="C942" s="12"/>
      <c r="D942" s="87"/>
      <c r="F942" s="14"/>
      <c r="G942" s="14"/>
      <c r="H942" s="14"/>
      <c r="I942" s="14"/>
      <c r="J942" s="14"/>
      <c r="K942" s="12"/>
    </row>
    <row r="943" ht="19.5" customHeight="1">
      <c r="A943" s="12"/>
      <c r="C943" s="12"/>
      <c r="D943" s="87"/>
      <c r="F943" s="14"/>
      <c r="G943" s="14"/>
      <c r="H943" s="14"/>
      <c r="I943" s="14"/>
      <c r="J943" s="14"/>
      <c r="K943" s="12"/>
    </row>
    <row r="944" ht="19.5" customHeight="1">
      <c r="A944" s="12"/>
      <c r="C944" s="12"/>
      <c r="D944" s="87"/>
      <c r="F944" s="14"/>
      <c r="G944" s="14"/>
      <c r="H944" s="14"/>
      <c r="I944" s="14"/>
      <c r="J944" s="14"/>
      <c r="K944" s="12"/>
    </row>
    <row r="945" ht="19.5" customHeight="1">
      <c r="A945" s="12"/>
      <c r="C945" s="12"/>
      <c r="D945" s="87"/>
      <c r="F945" s="14"/>
      <c r="G945" s="14"/>
      <c r="H945" s="14"/>
      <c r="I945" s="14"/>
      <c r="J945" s="14"/>
      <c r="K945" s="12"/>
    </row>
    <row r="946" ht="19.5" customHeight="1">
      <c r="A946" s="12"/>
      <c r="C946" s="12"/>
      <c r="D946" s="87"/>
      <c r="F946" s="14"/>
      <c r="G946" s="14"/>
      <c r="H946" s="14"/>
      <c r="I946" s="14"/>
      <c r="J946" s="14"/>
      <c r="K946" s="12"/>
    </row>
    <row r="947" ht="19.5" customHeight="1">
      <c r="A947" s="12"/>
      <c r="C947" s="12"/>
      <c r="D947" s="87"/>
      <c r="F947" s="14"/>
      <c r="G947" s="14"/>
      <c r="H947" s="14"/>
      <c r="I947" s="14"/>
      <c r="J947" s="14"/>
      <c r="K947" s="12"/>
    </row>
    <row r="948" ht="19.5" customHeight="1">
      <c r="A948" s="12"/>
      <c r="C948" s="12"/>
      <c r="D948" s="87"/>
      <c r="F948" s="14"/>
      <c r="G948" s="14"/>
      <c r="H948" s="14"/>
      <c r="I948" s="14"/>
      <c r="J948" s="14"/>
      <c r="K948" s="12"/>
    </row>
    <row r="949" ht="19.5" customHeight="1">
      <c r="A949" s="12"/>
      <c r="C949" s="12"/>
      <c r="D949" s="87"/>
      <c r="F949" s="14"/>
      <c r="G949" s="14"/>
      <c r="H949" s="14"/>
      <c r="I949" s="14"/>
      <c r="J949" s="14"/>
      <c r="K949" s="12"/>
    </row>
    <row r="950" ht="19.5" customHeight="1">
      <c r="A950" s="12"/>
      <c r="C950" s="12"/>
      <c r="D950" s="87"/>
      <c r="F950" s="14"/>
      <c r="G950" s="14"/>
      <c r="H950" s="14"/>
      <c r="I950" s="14"/>
      <c r="J950" s="14"/>
      <c r="K950" s="12"/>
    </row>
    <row r="951" ht="19.5" customHeight="1">
      <c r="A951" s="12"/>
      <c r="C951" s="12"/>
      <c r="D951" s="87"/>
      <c r="F951" s="14"/>
      <c r="G951" s="14"/>
      <c r="H951" s="14"/>
      <c r="I951" s="14"/>
      <c r="J951" s="14"/>
      <c r="K951" s="12"/>
    </row>
    <row r="952" ht="19.5" customHeight="1">
      <c r="A952" s="12"/>
      <c r="C952" s="12"/>
      <c r="D952" s="87"/>
      <c r="F952" s="14"/>
      <c r="G952" s="14"/>
      <c r="H952" s="14"/>
      <c r="I952" s="14"/>
      <c r="J952" s="14"/>
      <c r="K952" s="12"/>
    </row>
    <row r="953" ht="19.5" customHeight="1">
      <c r="A953" s="12"/>
      <c r="C953" s="12"/>
      <c r="D953" s="87"/>
      <c r="F953" s="14"/>
      <c r="G953" s="14"/>
      <c r="H953" s="14"/>
      <c r="I953" s="14"/>
      <c r="J953" s="14"/>
      <c r="K953" s="12"/>
    </row>
    <row r="954" ht="19.5" customHeight="1">
      <c r="A954" s="12"/>
      <c r="C954" s="12"/>
      <c r="D954" s="87"/>
      <c r="F954" s="14"/>
      <c r="G954" s="14"/>
      <c r="H954" s="14"/>
      <c r="I954" s="14"/>
      <c r="J954" s="14"/>
      <c r="K954" s="12"/>
    </row>
    <row r="955" ht="19.5" customHeight="1">
      <c r="A955" s="12"/>
      <c r="C955" s="12"/>
      <c r="D955" s="87"/>
      <c r="F955" s="14"/>
      <c r="G955" s="14"/>
      <c r="H955" s="14"/>
      <c r="I955" s="14"/>
      <c r="J955" s="14"/>
      <c r="K955" s="12"/>
    </row>
    <row r="956" ht="19.5" customHeight="1">
      <c r="A956" s="12"/>
      <c r="C956" s="12"/>
      <c r="D956" s="87"/>
      <c r="F956" s="14"/>
      <c r="G956" s="14"/>
      <c r="H956" s="14"/>
      <c r="I956" s="14"/>
      <c r="J956" s="14"/>
      <c r="K956" s="12"/>
    </row>
    <row r="957" ht="19.5" customHeight="1">
      <c r="A957" s="12"/>
      <c r="C957" s="12"/>
      <c r="D957" s="87"/>
      <c r="F957" s="14"/>
      <c r="G957" s="14"/>
      <c r="H957" s="14"/>
      <c r="I957" s="14"/>
      <c r="J957" s="14"/>
      <c r="K957" s="12"/>
    </row>
    <row r="958" ht="19.5" customHeight="1">
      <c r="A958" s="12"/>
      <c r="C958" s="12"/>
      <c r="D958" s="87"/>
      <c r="F958" s="14"/>
      <c r="G958" s="14"/>
      <c r="H958" s="14"/>
      <c r="I958" s="14"/>
      <c r="J958" s="14"/>
      <c r="K958" s="12"/>
    </row>
    <row r="959" ht="19.5" customHeight="1">
      <c r="A959" s="12"/>
      <c r="C959" s="12"/>
      <c r="D959" s="87"/>
      <c r="F959" s="14"/>
      <c r="G959" s="14"/>
      <c r="H959" s="14"/>
      <c r="I959" s="14"/>
      <c r="J959" s="14"/>
      <c r="K959" s="12"/>
    </row>
    <row r="960" ht="19.5" customHeight="1">
      <c r="A960" s="12"/>
      <c r="C960" s="12"/>
      <c r="D960" s="87"/>
      <c r="F960" s="14"/>
      <c r="G960" s="14"/>
      <c r="H960" s="14"/>
      <c r="I960" s="14"/>
      <c r="J960" s="14"/>
      <c r="K960" s="12"/>
    </row>
    <row r="961" ht="19.5" customHeight="1">
      <c r="A961" s="12"/>
      <c r="C961" s="12"/>
      <c r="D961" s="87"/>
      <c r="F961" s="14"/>
      <c r="G961" s="14"/>
      <c r="H961" s="14"/>
      <c r="I961" s="14"/>
      <c r="J961" s="14"/>
      <c r="K961" s="12"/>
    </row>
    <row r="962" ht="19.5" customHeight="1">
      <c r="A962" s="12"/>
      <c r="C962" s="12"/>
      <c r="D962" s="87"/>
      <c r="F962" s="14"/>
      <c r="G962" s="14"/>
      <c r="H962" s="14"/>
      <c r="I962" s="14"/>
      <c r="J962" s="14"/>
      <c r="K962" s="12"/>
    </row>
    <row r="963" ht="19.5" customHeight="1">
      <c r="A963" s="12"/>
      <c r="C963" s="12"/>
      <c r="D963" s="87"/>
      <c r="F963" s="14"/>
      <c r="G963" s="14"/>
      <c r="H963" s="14"/>
      <c r="I963" s="14"/>
      <c r="J963" s="14"/>
      <c r="K963" s="12"/>
    </row>
    <row r="964" ht="19.5" customHeight="1">
      <c r="A964" s="12"/>
      <c r="C964" s="12"/>
      <c r="D964" s="87"/>
      <c r="F964" s="14"/>
      <c r="G964" s="14"/>
      <c r="H964" s="14"/>
      <c r="I964" s="14"/>
      <c r="J964" s="14"/>
      <c r="K964" s="12"/>
    </row>
    <row r="965" ht="19.5" customHeight="1">
      <c r="A965" s="12"/>
      <c r="C965" s="12"/>
      <c r="D965" s="87"/>
      <c r="F965" s="14"/>
      <c r="G965" s="14"/>
      <c r="H965" s="14"/>
      <c r="I965" s="14"/>
      <c r="J965" s="14"/>
      <c r="K965" s="12"/>
    </row>
    <row r="966" ht="19.5" customHeight="1">
      <c r="A966" s="12"/>
      <c r="C966" s="12"/>
      <c r="D966" s="87"/>
      <c r="F966" s="14"/>
      <c r="G966" s="14"/>
      <c r="H966" s="14"/>
      <c r="I966" s="14"/>
      <c r="J966" s="14"/>
      <c r="K966" s="12"/>
    </row>
    <row r="967" ht="19.5" customHeight="1">
      <c r="A967" s="12"/>
      <c r="C967" s="12"/>
      <c r="D967" s="87"/>
      <c r="F967" s="14"/>
      <c r="G967" s="14"/>
      <c r="H967" s="14"/>
      <c r="I967" s="14"/>
      <c r="J967" s="14"/>
      <c r="K967" s="12"/>
    </row>
    <row r="968" ht="19.5" customHeight="1">
      <c r="A968" s="12"/>
      <c r="C968" s="12"/>
      <c r="D968" s="87"/>
      <c r="F968" s="14"/>
      <c r="G968" s="14"/>
      <c r="H968" s="14"/>
      <c r="I968" s="14"/>
      <c r="J968" s="14"/>
      <c r="K968" s="12"/>
    </row>
    <row r="969" ht="19.5" customHeight="1">
      <c r="A969" s="12"/>
      <c r="C969" s="12"/>
      <c r="D969" s="87"/>
      <c r="F969" s="14"/>
      <c r="G969" s="14"/>
      <c r="H969" s="14"/>
      <c r="I969" s="14"/>
      <c r="J969" s="14"/>
      <c r="K969" s="12"/>
    </row>
    <row r="970" ht="19.5" customHeight="1">
      <c r="A970" s="12"/>
      <c r="C970" s="12"/>
      <c r="D970" s="87"/>
      <c r="F970" s="14"/>
      <c r="G970" s="14"/>
      <c r="H970" s="14"/>
      <c r="I970" s="14"/>
      <c r="J970" s="14"/>
      <c r="K970" s="12"/>
    </row>
    <row r="971" ht="19.5" customHeight="1">
      <c r="A971" s="12"/>
      <c r="C971" s="12"/>
      <c r="D971" s="87"/>
      <c r="F971" s="14"/>
      <c r="G971" s="14"/>
      <c r="H971" s="14"/>
      <c r="I971" s="14"/>
      <c r="J971" s="14"/>
      <c r="K971" s="12"/>
    </row>
    <row r="972" ht="19.5" customHeight="1">
      <c r="A972" s="12"/>
      <c r="C972" s="12"/>
      <c r="D972" s="87"/>
      <c r="F972" s="14"/>
      <c r="G972" s="14"/>
      <c r="H972" s="14"/>
      <c r="I972" s="14"/>
      <c r="J972" s="14"/>
      <c r="K972" s="12"/>
    </row>
    <row r="973" ht="19.5" customHeight="1">
      <c r="A973" s="12"/>
      <c r="C973" s="12"/>
      <c r="D973" s="87"/>
      <c r="F973" s="14"/>
      <c r="G973" s="14"/>
      <c r="H973" s="14"/>
      <c r="I973" s="14"/>
      <c r="J973" s="14"/>
      <c r="K973" s="12"/>
    </row>
    <row r="974" ht="19.5" customHeight="1">
      <c r="A974" s="12"/>
      <c r="C974" s="12"/>
      <c r="D974" s="87"/>
      <c r="F974" s="14"/>
      <c r="G974" s="14"/>
      <c r="H974" s="14"/>
      <c r="I974" s="14"/>
      <c r="J974" s="14"/>
      <c r="K974" s="12"/>
    </row>
    <row r="975" ht="19.5" customHeight="1">
      <c r="A975" s="12"/>
      <c r="C975" s="12"/>
      <c r="D975" s="87"/>
      <c r="F975" s="14"/>
      <c r="G975" s="14"/>
      <c r="H975" s="14"/>
      <c r="I975" s="14"/>
      <c r="J975" s="14"/>
      <c r="K975" s="12"/>
    </row>
    <row r="976" ht="19.5" customHeight="1">
      <c r="A976" s="12"/>
      <c r="C976" s="12"/>
      <c r="D976" s="87"/>
      <c r="F976" s="14"/>
      <c r="G976" s="14"/>
      <c r="H976" s="14"/>
      <c r="I976" s="14"/>
      <c r="J976" s="14"/>
      <c r="K976" s="12"/>
    </row>
    <row r="977" ht="19.5" customHeight="1">
      <c r="A977" s="12"/>
      <c r="C977" s="12"/>
      <c r="D977" s="87"/>
      <c r="F977" s="14"/>
      <c r="G977" s="14"/>
      <c r="H977" s="14"/>
      <c r="I977" s="14"/>
      <c r="J977" s="14"/>
      <c r="K977" s="12"/>
    </row>
    <row r="978" ht="19.5" customHeight="1">
      <c r="A978" s="12"/>
      <c r="C978" s="12"/>
      <c r="D978" s="87"/>
      <c r="F978" s="14"/>
      <c r="G978" s="14"/>
      <c r="H978" s="14"/>
      <c r="I978" s="14"/>
      <c r="J978" s="14"/>
      <c r="K978" s="12"/>
    </row>
    <row r="979" ht="19.5" customHeight="1">
      <c r="A979" s="12"/>
      <c r="C979" s="12"/>
      <c r="D979" s="87"/>
      <c r="F979" s="14"/>
      <c r="G979" s="14"/>
      <c r="H979" s="14"/>
      <c r="I979" s="14"/>
      <c r="J979" s="14"/>
      <c r="K979" s="12"/>
    </row>
    <row r="980" ht="19.5" customHeight="1">
      <c r="A980" s="12"/>
      <c r="C980" s="12"/>
      <c r="D980" s="87"/>
      <c r="F980" s="14"/>
      <c r="G980" s="14"/>
      <c r="H980" s="14"/>
      <c r="I980" s="14"/>
      <c r="J980" s="14"/>
      <c r="K980" s="12"/>
    </row>
    <row r="981" ht="19.5" customHeight="1">
      <c r="A981" s="12"/>
      <c r="C981" s="12"/>
      <c r="D981" s="87"/>
      <c r="F981" s="14"/>
      <c r="G981" s="14"/>
      <c r="H981" s="14"/>
      <c r="I981" s="14"/>
      <c r="J981" s="14"/>
      <c r="K981" s="12"/>
    </row>
    <row r="982" ht="19.5" customHeight="1">
      <c r="A982" s="12"/>
      <c r="C982" s="12"/>
      <c r="D982" s="87"/>
      <c r="F982" s="14"/>
      <c r="G982" s="14"/>
      <c r="H982" s="14"/>
      <c r="I982" s="14"/>
      <c r="J982" s="14"/>
      <c r="K982" s="12"/>
    </row>
    <row r="983" ht="19.5" customHeight="1">
      <c r="A983" s="12"/>
      <c r="C983" s="12"/>
      <c r="D983" s="87"/>
      <c r="F983" s="14"/>
      <c r="G983" s="14"/>
      <c r="H983" s="14"/>
      <c r="I983" s="14"/>
      <c r="J983" s="14"/>
      <c r="K983" s="12"/>
    </row>
    <row r="984" ht="19.5" customHeight="1">
      <c r="A984" s="12"/>
      <c r="C984" s="12"/>
      <c r="D984" s="87"/>
      <c r="F984" s="14"/>
      <c r="G984" s="14"/>
      <c r="H984" s="14"/>
      <c r="I984" s="14"/>
      <c r="J984" s="14"/>
      <c r="K984" s="12"/>
    </row>
    <row r="985" ht="19.5" customHeight="1">
      <c r="A985" s="12"/>
      <c r="C985" s="12"/>
      <c r="D985" s="87"/>
      <c r="F985" s="14"/>
      <c r="G985" s="14"/>
      <c r="H985" s="14"/>
      <c r="I985" s="14"/>
      <c r="J985" s="14"/>
      <c r="K985" s="12"/>
    </row>
    <row r="986" ht="19.5" customHeight="1">
      <c r="A986" s="12"/>
      <c r="C986" s="12"/>
      <c r="D986" s="87"/>
      <c r="F986" s="14"/>
      <c r="G986" s="14"/>
      <c r="H986" s="14"/>
      <c r="I986" s="14"/>
      <c r="J986" s="14"/>
      <c r="K986" s="12"/>
    </row>
    <row r="987" ht="19.5" customHeight="1">
      <c r="A987" s="12"/>
      <c r="C987" s="12"/>
      <c r="D987" s="87"/>
      <c r="F987" s="14"/>
      <c r="G987" s="14"/>
      <c r="H987" s="14"/>
      <c r="I987" s="14"/>
      <c r="J987" s="14"/>
      <c r="K987" s="12"/>
    </row>
    <row r="988" ht="19.5" customHeight="1">
      <c r="A988" s="12"/>
      <c r="C988" s="12"/>
      <c r="D988" s="87"/>
      <c r="F988" s="14"/>
      <c r="G988" s="14"/>
      <c r="H988" s="14"/>
      <c r="I988" s="14"/>
      <c r="J988" s="14"/>
      <c r="K988" s="12"/>
    </row>
    <row r="989" ht="19.5" customHeight="1">
      <c r="A989" s="12"/>
      <c r="C989" s="12"/>
      <c r="D989" s="87"/>
      <c r="F989" s="14"/>
      <c r="G989" s="14"/>
      <c r="H989" s="14"/>
      <c r="I989" s="14"/>
      <c r="J989" s="14"/>
      <c r="K989" s="12"/>
    </row>
    <row r="990" ht="19.5" customHeight="1">
      <c r="A990" s="12"/>
      <c r="C990" s="12"/>
      <c r="D990" s="87"/>
      <c r="F990" s="14"/>
      <c r="G990" s="14"/>
      <c r="H990" s="14"/>
      <c r="I990" s="14"/>
      <c r="J990" s="14"/>
      <c r="K990" s="12"/>
    </row>
    <row r="991" ht="19.5" customHeight="1">
      <c r="A991" s="12"/>
      <c r="C991" s="12"/>
      <c r="D991" s="87"/>
      <c r="F991" s="14"/>
      <c r="G991" s="14"/>
      <c r="H991" s="14"/>
      <c r="I991" s="14"/>
      <c r="J991" s="14"/>
      <c r="K991" s="12"/>
    </row>
    <row r="992" ht="19.5" customHeight="1">
      <c r="A992" s="12"/>
      <c r="C992" s="12"/>
      <c r="D992" s="87"/>
      <c r="F992" s="14"/>
      <c r="G992" s="14"/>
      <c r="H992" s="14"/>
      <c r="I992" s="14"/>
      <c r="J992" s="14"/>
      <c r="K992" s="12"/>
    </row>
    <row r="993" ht="19.5" customHeight="1">
      <c r="A993" s="12"/>
      <c r="C993" s="12"/>
      <c r="D993" s="87"/>
      <c r="F993" s="14"/>
      <c r="G993" s="14"/>
      <c r="H993" s="14"/>
      <c r="I993" s="14"/>
      <c r="J993" s="14"/>
      <c r="K993" s="12"/>
    </row>
    <row r="994" ht="19.5" customHeight="1">
      <c r="A994" s="12"/>
      <c r="C994" s="12"/>
      <c r="D994" s="87"/>
      <c r="F994" s="14"/>
      <c r="G994" s="14"/>
      <c r="H994" s="14"/>
      <c r="I994" s="14"/>
      <c r="J994" s="14"/>
      <c r="K994" s="12"/>
    </row>
    <row r="995" ht="19.5" customHeight="1">
      <c r="A995" s="12"/>
      <c r="C995" s="12"/>
      <c r="D995" s="87"/>
      <c r="F995" s="14"/>
      <c r="G995" s="14"/>
      <c r="H995" s="14"/>
      <c r="I995" s="14"/>
      <c r="J995" s="14"/>
      <c r="K995" s="12"/>
    </row>
    <row r="996" ht="19.5" customHeight="1">
      <c r="A996" s="12"/>
      <c r="C996" s="12"/>
      <c r="D996" s="87"/>
      <c r="F996" s="14"/>
      <c r="G996" s="14"/>
      <c r="H996" s="14"/>
      <c r="I996" s="14"/>
      <c r="J996" s="14"/>
      <c r="K996" s="12"/>
    </row>
    <row r="997" ht="19.5" customHeight="1">
      <c r="A997" s="12"/>
      <c r="C997" s="12"/>
      <c r="D997" s="87"/>
      <c r="F997" s="14"/>
      <c r="G997" s="14"/>
      <c r="H997" s="14"/>
      <c r="I997" s="14"/>
      <c r="J997" s="14"/>
      <c r="K997" s="12"/>
    </row>
    <row r="998" ht="19.5" customHeight="1">
      <c r="A998" s="12"/>
      <c r="C998" s="12"/>
      <c r="D998" s="87"/>
      <c r="F998" s="14"/>
      <c r="G998" s="14"/>
      <c r="H998" s="14"/>
      <c r="I998" s="14"/>
      <c r="J998" s="14"/>
      <c r="K998" s="12"/>
    </row>
    <row r="999" ht="19.5" customHeight="1">
      <c r="A999" s="12"/>
      <c r="C999" s="12"/>
      <c r="D999" s="87"/>
      <c r="F999" s="14"/>
      <c r="G999" s="14"/>
      <c r="H999" s="14"/>
      <c r="I999" s="14"/>
      <c r="J999" s="14"/>
      <c r="K999" s="12"/>
    </row>
    <row r="1000" ht="19.5" customHeight="1">
      <c r="A1000" s="12"/>
      <c r="C1000" s="12"/>
      <c r="D1000" s="87"/>
      <c r="F1000" s="14"/>
      <c r="G1000" s="14"/>
      <c r="H1000" s="14"/>
      <c r="I1000" s="14"/>
      <c r="J1000" s="14"/>
      <c r="K1000" s="12"/>
    </row>
    <row r="1001" ht="19.5" customHeight="1">
      <c r="A1001" s="12"/>
      <c r="C1001" s="12"/>
      <c r="D1001" s="87"/>
      <c r="F1001" s="14"/>
      <c r="G1001" s="14"/>
      <c r="H1001" s="14"/>
      <c r="I1001" s="14"/>
      <c r="J1001" s="14"/>
      <c r="K1001" s="12"/>
    </row>
    <row r="1002" ht="19.5" customHeight="1">
      <c r="A1002" s="12"/>
      <c r="C1002" s="12"/>
      <c r="D1002" s="87"/>
      <c r="F1002" s="14"/>
      <c r="G1002" s="14"/>
      <c r="H1002" s="14"/>
      <c r="I1002" s="14"/>
      <c r="J1002" s="14"/>
      <c r="K1002" s="12"/>
    </row>
    <row r="1003" ht="19.5" customHeight="1">
      <c r="A1003" s="12"/>
      <c r="C1003" s="12"/>
      <c r="D1003" s="87"/>
      <c r="F1003" s="14"/>
      <c r="G1003" s="14"/>
      <c r="H1003" s="14"/>
      <c r="I1003" s="14"/>
      <c r="J1003" s="14"/>
      <c r="K1003" s="12"/>
    </row>
    <row r="1004" ht="19.5" customHeight="1">
      <c r="A1004" s="12"/>
      <c r="C1004" s="12"/>
      <c r="D1004" s="87"/>
      <c r="F1004" s="14"/>
      <c r="G1004" s="14"/>
      <c r="H1004" s="14"/>
      <c r="I1004" s="14"/>
      <c r="J1004" s="14"/>
      <c r="K1004" s="12"/>
    </row>
    <row r="1005" ht="19.5" customHeight="1">
      <c r="A1005" s="12"/>
      <c r="C1005" s="12"/>
      <c r="D1005" s="87"/>
      <c r="F1005" s="14"/>
      <c r="G1005" s="14"/>
      <c r="H1005" s="14"/>
      <c r="I1005" s="14"/>
      <c r="J1005" s="14"/>
      <c r="K1005" s="12"/>
    </row>
    <row r="1006" ht="19.5" customHeight="1">
      <c r="A1006" s="12"/>
      <c r="C1006" s="12"/>
      <c r="D1006" s="87"/>
      <c r="F1006" s="14"/>
      <c r="G1006" s="14"/>
      <c r="H1006" s="14"/>
      <c r="I1006" s="14"/>
      <c r="J1006" s="14"/>
      <c r="K1006" s="12"/>
    </row>
    <row r="1007" ht="19.5" customHeight="1">
      <c r="A1007" s="12"/>
      <c r="C1007" s="12"/>
      <c r="D1007" s="87"/>
      <c r="F1007" s="14"/>
      <c r="G1007" s="14"/>
      <c r="H1007" s="14"/>
      <c r="I1007" s="14"/>
      <c r="J1007" s="14"/>
      <c r="K1007" s="12"/>
    </row>
    <row r="1008" ht="19.5" customHeight="1">
      <c r="A1008" s="12"/>
      <c r="C1008" s="12"/>
      <c r="D1008" s="87"/>
      <c r="F1008" s="14"/>
      <c r="G1008" s="14"/>
      <c r="H1008" s="14"/>
      <c r="I1008" s="14"/>
      <c r="J1008" s="14"/>
      <c r="K1008" s="12"/>
    </row>
    <row r="1009" ht="19.5" customHeight="1">
      <c r="A1009" s="12"/>
      <c r="C1009" s="12"/>
      <c r="D1009" s="87"/>
      <c r="F1009" s="14"/>
      <c r="G1009" s="14"/>
      <c r="H1009" s="14"/>
      <c r="I1009" s="14"/>
      <c r="J1009" s="14"/>
      <c r="K1009" s="12"/>
    </row>
    <row r="1010" ht="19.5" customHeight="1">
      <c r="A1010" s="12"/>
      <c r="C1010" s="12"/>
      <c r="D1010" s="87"/>
      <c r="F1010" s="14"/>
      <c r="G1010" s="14"/>
      <c r="H1010" s="14"/>
      <c r="I1010" s="14"/>
      <c r="J1010" s="14"/>
      <c r="K1010" s="12"/>
    </row>
    <row r="1011" ht="19.5" customHeight="1">
      <c r="A1011" s="12"/>
      <c r="C1011" s="12"/>
      <c r="D1011" s="87"/>
      <c r="F1011" s="14"/>
      <c r="G1011" s="14"/>
      <c r="H1011" s="14"/>
      <c r="I1011" s="14"/>
      <c r="J1011" s="14"/>
      <c r="K1011" s="12"/>
    </row>
    <row r="1012" ht="19.5" customHeight="1">
      <c r="A1012" s="12"/>
      <c r="C1012" s="12"/>
      <c r="D1012" s="87"/>
      <c r="F1012" s="14"/>
      <c r="G1012" s="14"/>
      <c r="H1012" s="14"/>
      <c r="I1012" s="14"/>
      <c r="J1012" s="14"/>
      <c r="K1012" s="12"/>
    </row>
    <row r="1013" ht="19.5" customHeight="1">
      <c r="A1013" s="12"/>
      <c r="C1013" s="12"/>
      <c r="D1013" s="87"/>
      <c r="F1013" s="14"/>
      <c r="G1013" s="14"/>
      <c r="H1013" s="14"/>
      <c r="I1013" s="14"/>
      <c r="J1013" s="14"/>
      <c r="K1013" s="12"/>
    </row>
    <row r="1014" ht="19.5" customHeight="1">
      <c r="A1014" s="12"/>
      <c r="C1014" s="12"/>
      <c r="D1014" s="87"/>
      <c r="F1014" s="14"/>
      <c r="G1014" s="14"/>
      <c r="H1014" s="14"/>
      <c r="I1014" s="14"/>
      <c r="J1014" s="14"/>
      <c r="K1014" s="12"/>
    </row>
    <row r="1015" ht="19.5" customHeight="1">
      <c r="A1015" s="12"/>
      <c r="C1015" s="12"/>
      <c r="D1015" s="87"/>
      <c r="F1015" s="14"/>
      <c r="G1015" s="14"/>
      <c r="H1015" s="14"/>
      <c r="I1015" s="14"/>
      <c r="J1015" s="14"/>
      <c r="K1015" s="12"/>
    </row>
    <row r="1016" ht="19.5" customHeight="1">
      <c r="A1016" s="12"/>
      <c r="C1016" s="12"/>
      <c r="D1016" s="87"/>
      <c r="F1016" s="14"/>
      <c r="G1016" s="14"/>
      <c r="H1016" s="14"/>
      <c r="I1016" s="14"/>
      <c r="J1016" s="14"/>
      <c r="K1016" s="12"/>
    </row>
    <row r="1017" ht="19.5" customHeight="1">
      <c r="A1017" s="12"/>
      <c r="C1017" s="12"/>
      <c r="D1017" s="87"/>
      <c r="F1017" s="14"/>
      <c r="G1017" s="14"/>
      <c r="H1017" s="14"/>
      <c r="I1017" s="14"/>
      <c r="J1017" s="14"/>
      <c r="K1017" s="12"/>
    </row>
    <row r="1018" ht="19.5" customHeight="1">
      <c r="A1018" s="12"/>
      <c r="C1018" s="12"/>
      <c r="D1018" s="87"/>
      <c r="F1018" s="14"/>
      <c r="G1018" s="14"/>
      <c r="H1018" s="14"/>
      <c r="I1018" s="14"/>
      <c r="J1018" s="14"/>
      <c r="K1018" s="12"/>
    </row>
    <row r="1019" ht="19.5" customHeight="1">
      <c r="A1019" s="12"/>
      <c r="C1019" s="12"/>
      <c r="D1019" s="87"/>
      <c r="F1019" s="14"/>
      <c r="G1019" s="14"/>
      <c r="H1019" s="14"/>
      <c r="I1019" s="14"/>
      <c r="J1019" s="14"/>
      <c r="K1019" s="12"/>
    </row>
    <row r="1020" ht="19.5" customHeight="1">
      <c r="A1020" s="12"/>
      <c r="C1020" s="12"/>
      <c r="D1020" s="87"/>
      <c r="F1020" s="14"/>
      <c r="G1020" s="14"/>
      <c r="H1020" s="14"/>
      <c r="I1020" s="14"/>
      <c r="J1020" s="14"/>
      <c r="K1020" s="12"/>
    </row>
    <row r="1021" ht="19.5" customHeight="1">
      <c r="A1021" s="12"/>
      <c r="C1021" s="12"/>
      <c r="D1021" s="87"/>
      <c r="F1021" s="14"/>
      <c r="G1021" s="14"/>
      <c r="H1021" s="14"/>
      <c r="I1021" s="14"/>
      <c r="J1021" s="14"/>
      <c r="K1021" s="12"/>
    </row>
    <row r="1022" ht="19.5" customHeight="1">
      <c r="A1022" s="12"/>
      <c r="C1022" s="12"/>
      <c r="D1022" s="87"/>
      <c r="F1022" s="14"/>
      <c r="G1022" s="14"/>
      <c r="H1022" s="14"/>
      <c r="I1022" s="14"/>
      <c r="J1022" s="14"/>
      <c r="K1022" s="12"/>
    </row>
    <row r="1023" ht="19.5" customHeight="1">
      <c r="A1023" s="12"/>
      <c r="C1023" s="12"/>
      <c r="D1023" s="87"/>
      <c r="F1023" s="14"/>
      <c r="G1023" s="14"/>
      <c r="H1023" s="14"/>
      <c r="I1023" s="14"/>
      <c r="J1023" s="14"/>
      <c r="K1023" s="12"/>
    </row>
    <row r="1024" ht="19.5" customHeight="1">
      <c r="A1024" s="12"/>
      <c r="C1024" s="12"/>
      <c r="D1024" s="87"/>
      <c r="F1024" s="14"/>
      <c r="G1024" s="14"/>
      <c r="H1024" s="14"/>
      <c r="I1024" s="14"/>
      <c r="J1024" s="14"/>
      <c r="K1024" s="12"/>
    </row>
    <row r="1025" ht="19.5" customHeight="1">
      <c r="A1025" s="12"/>
      <c r="C1025" s="12"/>
      <c r="D1025" s="87"/>
      <c r="F1025" s="14"/>
      <c r="G1025" s="14"/>
      <c r="H1025" s="14"/>
      <c r="I1025" s="14"/>
      <c r="J1025" s="14"/>
      <c r="K1025" s="12"/>
    </row>
    <row r="1026" ht="19.5" customHeight="1">
      <c r="A1026" s="12"/>
      <c r="C1026" s="12"/>
      <c r="D1026" s="87"/>
      <c r="F1026" s="14"/>
      <c r="G1026" s="14"/>
      <c r="H1026" s="14"/>
      <c r="I1026" s="14"/>
      <c r="J1026" s="14"/>
      <c r="K1026" s="12"/>
    </row>
    <row r="1027" ht="19.5" customHeight="1">
      <c r="A1027" s="12"/>
      <c r="C1027" s="12"/>
      <c r="D1027" s="87"/>
      <c r="F1027" s="14"/>
      <c r="G1027" s="14"/>
      <c r="H1027" s="14"/>
      <c r="I1027" s="14"/>
      <c r="J1027" s="14"/>
      <c r="K1027" s="12"/>
    </row>
    <row r="1028" ht="19.5" customHeight="1">
      <c r="A1028" s="12"/>
      <c r="C1028" s="12"/>
      <c r="D1028" s="87"/>
      <c r="F1028" s="14"/>
      <c r="G1028" s="14"/>
      <c r="H1028" s="14"/>
      <c r="I1028" s="14"/>
      <c r="J1028" s="14"/>
      <c r="K1028" s="12"/>
    </row>
    <row r="1029" ht="19.5" customHeight="1">
      <c r="A1029" s="12"/>
      <c r="C1029" s="12"/>
      <c r="D1029" s="87"/>
      <c r="F1029" s="14"/>
      <c r="G1029" s="14"/>
      <c r="H1029" s="14"/>
      <c r="I1029" s="14"/>
      <c r="J1029" s="14"/>
      <c r="K1029" s="12"/>
    </row>
    <row r="1030" ht="19.5" customHeight="1">
      <c r="A1030" s="12"/>
      <c r="C1030" s="12"/>
      <c r="D1030" s="87"/>
      <c r="F1030" s="14"/>
      <c r="G1030" s="14"/>
      <c r="H1030" s="14"/>
      <c r="I1030" s="14"/>
      <c r="J1030" s="14"/>
      <c r="K1030" s="12"/>
    </row>
    <row r="1031" ht="19.5" customHeight="1">
      <c r="A1031" s="12"/>
      <c r="C1031" s="12"/>
      <c r="D1031" s="87"/>
      <c r="F1031" s="14"/>
      <c r="G1031" s="14"/>
      <c r="H1031" s="14"/>
      <c r="I1031" s="14"/>
      <c r="J1031" s="14"/>
      <c r="K1031" s="12"/>
    </row>
    <row r="1032" ht="19.5" customHeight="1">
      <c r="A1032" s="12"/>
      <c r="C1032" s="12"/>
      <c r="D1032" s="87"/>
      <c r="F1032" s="14"/>
      <c r="G1032" s="14"/>
      <c r="H1032" s="14"/>
      <c r="I1032" s="14"/>
      <c r="J1032" s="14"/>
      <c r="K1032" s="12"/>
    </row>
    <row r="1033" ht="19.5" customHeight="1">
      <c r="A1033" s="12"/>
      <c r="C1033" s="12"/>
      <c r="D1033" s="87"/>
      <c r="F1033" s="14"/>
      <c r="G1033" s="14"/>
      <c r="H1033" s="14"/>
      <c r="I1033" s="14"/>
      <c r="J1033" s="14"/>
      <c r="K1033" s="12"/>
    </row>
    <row r="1034" ht="19.5" customHeight="1">
      <c r="A1034" s="12"/>
      <c r="C1034" s="12"/>
      <c r="D1034" s="87"/>
      <c r="F1034" s="14"/>
      <c r="G1034" s="14"/>
      <c r="H1034" s="14"/>
      <c r="I1034" s="14"/>
      <c r="J1034" s="14"/>
      <c r="K1034" s="12"/>
    </row>
    <row r="1035" ht="19.5" customHeight="1">
      <c r="A1035" s="12"/>
      <c r="C1035" s="12"/>
      <c r="D1035" s="87"/>
      <c r="F1035" s="14"/>
      <c r="G1035" s="14"/>
      <c r="H1035" s="14"/>
      <c r="I1035" s="14"/>
      <c r="J1035" s="14"/>
      <c r="K1035" s="12"/>
    </row>
    <row r="1036" ht="19.5" customHeight="1">
      <c r="A1036" s="12"/>
      <c r="C1036" s="12"/>
      <c r="D1036" s="87"/>
      <c r="F1036" s="14"/>
      <c r="G1036" s="14"/>
      <c r="H1036" s="14"/>
      <c r="I1036" s="14"/>
      <c r="J1036" s="14"/>
      <c r="K1036" s="12"/>
    </row>
    <row r="1037" ht="19.5" customHeight="1">
      <c r="A1037" s="12"/>
      <c r="C1037" s="12"/>
      <c r="D1037" s="87"/>
      <c r="F1037" s="14"/>
      <c r="G1037" s="14"/>
      <c r="H1037" s="14"/>
      <c r="I1037" s="14"/>
      <c r="J1037" s="14"/>
      <c r="K1037" s="12"/>
    </row>
    <row r="1038" ht="19.5" customHeight="1">
      <c r="A1038" s="12"/>
      <c r="C1038" s="12"/>
      <c r="D1038" s="87"/>
      <c r="F1038" s="14"/>
      <c r="G1038" s="14"/>
      <c r="H1038" s="14"/>
      <c r="I1038" s="14"/>
      <c r="J1038" s="14"/>
      <c r="K1038" s="12"/>
    </row>
    <row r="1039" ht="19.5" customHeight="1">
      <c r="A1039" s="12"/>
      <c r="C1039" s="12"/>
      <c r="D1039" s="87"/>
      <c r="F1039" s="14"/>
      <c r="G1039" s="14"/>
      <c r="H1039" s="14"/>
      <c r="I1039" s="14"/>
      <c r="J1039" s="14"/>
      <c r="K1039" s="12"/>
    </row>
    <row r="1040" ht="19.5" customHeight="1">
      <c r="A1040" s="12"/>
      <c r="C1040" s="12"/>
      <c r="D1040" s="87"/>
      <c r="F1040" s="14"/>
      <c r="G1040" s="14"/>
      <c r="H1040" s="14"/>
      <c r="I1040" s="14"/>
      <c r="J1040" s="14"/>
      <c r="K1040" s="12"/>
    </row>
    <row r="1041" ht="19.5" customHeight="1">
      <c r="A1041" s="12"/>
      <c r="C1041" s="12"/>
      <c r="D1041" s="87"/>
      <c r="F1041" s="14"/>
      <c r="G1041" s="14"/>
      <c r="H1041" s="14"/>
      <c r="I1041" s="14"/>
      <c r="J1041" s="14"/>
      <c r="K1041" s="12"/>
    </row>
    <row r="1042" ht="19.5" customHeight="1">
      <c r="A1042" s="12"/>
      <c r="C1042" s="12"/>
      <c r="D1042" s="87"/>
      <c r="F1042" s="14"/>
      <c r="G1042" s="14"/>
      <c r="H1042" s="14"/>
      <c r="I1042" s="14"/>
      <c r="J1042" s="14"/>
      <c r="K1042" s="12"/>
    </row>
    <row r="1043" ht="19.5" customHeight="1">
      <c r="A1043" s="12"/>
      <c r="C1043" s="12"/>
      <c r="D1043" s="87"/>
      <c r="F1043" s="14"/>
      <c r="G1043" s="14"/>
      <c r="H1043" s="14"/>
      <c r="I1043" s="14"/>
      <c r="J1043" s="14"/>
      <c r="K1043" s="12"/>
    </row>
    <row r="1044" ht="19.5" customHeight="1">
      <c r="A1044" s="12"/>
      <c r="C1044" s="12"/>
      <c r="D1044" s="87"/>
      <c r="F1044" s="14"/>
      <c r="G1044" s="14"/>
      <c r="H1044" s="14"/>
      <c r="I1044" s="14"/>
      <c r="J1044" s="14"/>
      <c r="K1044" s="12"/>
    </row>
    <row r="1045" ht="19.5" customHeight="1">
      <c r="A1045" s="12"/>
      <c r="C1045" s="12"/>
      <c r="D1045" s="87"/>
      <c r="F1045" s="14"/>
      <c r="G1045" s="14"/>
      <c r="H1045" s="14"/>
      <c r="I1045" s="14"/>
      <c r="J1045" s="14"/>
      <c r="K1045" s="12"/>
    </row>
    <row r="1046" ht="19.5" customHeight="1">
      <c r="A1046" s="12"/>
      <c r="C1046" s="12"/>
      <c r="D1046" s="87"/>
      <c r="F1046" s="14"/>
      <c r="G1046" s="14"/>
      <c r="H1046" s="14"/>
      <c r="I1046" s="14"/>
      <c r="J1046" s="14"/>
      <c r="K1046" s="12"/>
    </row>
    <row r="1047" ht="19.5" customHeight="1">
      <c r="A1047" s="12"/>
      <c r="C1047" s="12"/>
      <c r="D1047" s="87"/>
      <c r="F1047" s="14"/>
      <c r="G1047" s="14"/>
      <c r="H1047" s="14"/>
      <c r="I1047" s="14"/>
      <c r="J1047" s="14"/>
      <c r="K1047" s="12"/>
    </row>
    <row r="1048" ht="19.5" customHeight="1">
      <c r="A1048" s="12"/>
      <c r="C1048" s="12"/>
      <c r="D1048" s="87"/>
      <c r="F1048" s="14"/>
      <c r="G1048" s="14"/>
      <c r="H1048" s="14"/>
      <c r="I1048" s="14"/>
      <c r="J1048" s="14"/>
      <c r="K1048" s="12"/>
    </row>
    <row r="1049" ht="19.5" customHeight="1">
      <c r="A1049" s="12"/>
      <c r="C1049" s="12"/>
      <c r="D1049" s="87"/>
      <c r="F1049" s="14"/>
      <c r="G1049" s="14"/>
      <c r="H1049" s="14"/>
      <c r="I1049" s="14"/>
      <c r="J1049" s="14"/>
      <c r="K1049" s="12"/>
    </row>
    <row r="1050" ht="19.5" customHeight="1">
      <c r="A1050" s="12"/>
      <c r="C1050" s="12"/>
      <c r="D1050" s="87"/>
      <c r="F1050" s="14"/>
      <c r="G1050" s="14"/>
      <c r="H1050" s="14"/>
      <c r="I1050" s="14"/>
      <c r="J1050" s="14"/>
      <c r="K1050" s="12"/>
    </row>
    <row r="1051" ht="19.5" customHeight="1">
      <c r="A1051" s="12"/>
      <c r="C1051" s="12"/>
      <c r="D1051" s="87"/>
      <c r="F1051" s="14"/>
      <c r="G1051" s="14"/>
      <c r="H1051" s="14"/>
      <c r="I1051" s="14"/>
      <c r="J1051" s="14"/>
      <c r="K1051" s="12"/>
    </row>
    <row r="1052" ht="19.5" customHeight="1">
      <c r="A1052" s="12"/>
      <c r="C1052" s="12"/>
      <c r="D1052" s="87"/>
      <c r="F1052" s="14"/>
      <c r="G1052" s="14"/>
      <c r="H1052" s="14"/>
      <c r="I1052" s="14"/>
      <c r="J1052" s="14"/>
      <c r="K1052" s="12"/>
    </row>
    <row r="1053" ht="19.5" customHeight="1">
      <c r="A1053" s="12"/>
      <c r="C1053" s="12"/>
      <c r="D1053" s="87"/>
      <c r="F1053" s="14"/>
      <c r="G1053" s="14"/>
      <c r="H1053" s="14"/>
      <c r="I1053" s="14"/>
      <c r="J1053" s="14"/>
      <c r="K1053" s="12"/>
    </row>
  </sheetData>
  <mergeCells count="16">
    <mergeCell ref="E9:G9"/>
    <mergeCell ref="J9:J10"/>
    <mergeCell ref="J42:J44"/>
    <mergeCell ref="J46:J48"/>
    <mergeCell ref="J84:J86"/>
    <mergeCell ref="J98:J100"/>
    <mergeCell ref="J101:J102"/>
    <mergeCell ref="J154:J156"/>
    <mergeCell ref="A6:K6"/>
    <mergeCell ref="A7:K7"/>
    <mergeCell ref="A8:K8"/>
    <mergeCell ref="A9:A10"/>
    <mergeCell ref="B9:B10"/>
    <mergeCell ref="C9:C10"/>
    <mergeCell ref="D9:D10"/>
    <mergeCell ref="K9:K10"/>
  </mergeCells>
  <printOptions/>
  <pageMargins bottom="0.787401575" footer="0.0" header="0.0" left="0.511811024" right="0.511811024" top="0.787401575"/>
  <pageSetup paperSize="9" scale="60" orientation="landscape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35.38"/>
    <col customWidth="1" min="3" max="3" width="9.13"/>
    <col customWidth="1" min="4" max="4" width="16.25"/>
    <col customWidth="1" min="5" max="5" width="15.75"/>
    <col customWidth="1" min="6" max="6" width="16.25"/>
    <col customWidth="1" min="7" max="7" width="19.0"/>
    <col customWidth="1" min="8" max="8" width="15.88"/>
    <col customWidth="1" min="9" max="9" width="19.0"/>
    <col customWidth="1" min="10" max="10" width="20.63"/>
    <col customWidth="1" min="11" max="11" width="32.75"/>
    <col customWidth="1" min="12" max="26" width="8.63"/>
  </cols>
  <sheetData>
    <row r="1" ht="19.5" customHeight="1">
      <c r="A1" s="4"/>
      <c r="B1" s="5"/>
      <c r="C1" s="6"/>
      <c r="D1" s="7"/>
      <c r="E1" s="5"/>
      <c r="F1" s="8"/>
      <c r="G1" s="8"/>
      <c r="H1" s="8"/>
      <c r="I1" s="8"/>
      <c r="J1" s="8"/>
      <c r="K1" s="9"/>
    </row>
    <row r="2" ht="19.5" customHeight="1">
      <c r="A2" s="10" t="s">
        <v>83</v>
      </c>
      <c r="B2" s="11" t="s">
        <v>84</v>
      </c>
      <c r="C2" s="12"/>
      <c r="D2" s="13"/>
      <c r="F2" s="14"/>
      <c r="G2" s="14"/>
      <c r="H2" s="14"/>
      <c r="I2" s="14"/>
      <c r="J2" s="17" t="s">
        <v>144</v>
      </c>
      <c r="K2" s="18"/>
    </row>
    <row r="3" ht="19.5" customHeight="1">
      <c r="A3" s="10" t="s">
        <v>86</v>
      </c>
      <c r="B3" s="11" t="s">
        <v>87</v>
      </c>
      <c r="C3" s="12"/>
      <c r="D3" s="13"/>
      <c r="F3" s="14"/>
      <c r="G3" s="14"/>
      <c r="H3" s="14"/>
      <c r="I3" s="14"/>
      <c r="J3" s="14"/>
      <c r="K3" s="18"/>
    </row>
    <row r="4" ht="19.5" customHeight="1">
      <c r="A4" s="19"/>
      <c r="C4" s="12"/>
      <c r="D4" s="13"/>
      <c r="F4" s="14"/>
      <c r="G4" s="14"/>
      <c r="H4" s="14"/>
      <c r="I4" s="14"/>
      <c r="J4" s="14"/>
      <c r="K4" s="18"/>
    </row>
    <row r="5" ht="19.5" customHeight="1">
      <c r="A5" s="19"/>
      <c r="C5" s="12"/>
      <c r="D5" s="13"/>
      <c r="F5" s="14"/>
      <c r="G5" s="14"/>
      <c r="H5" s="14"/>
      <c r="I5" s="14"/>
      <c r="J5" s="14"/>
      <c r="K5" s="18"/>
    </row>
    <row r="6" ht="159.0" customHeight="1">
      <c r="A6" s="20" t="s">
        <v>1318</v>
      </c>
      <c r="K6" s="21"/>
    </row>
    <row r="7" ht="64.5" customHeight="1">
      <c r="A7" s="22" t="s">
        <v>1319</v>
      </c>
      <c r="K7" s="21"/>
    </row>
    <row r="8" ht="42.0" customHeight="1">
      <c r="A8" s="88" t="s">
        <v>90</v>
      </c>
      <c r="B8" s="24"/>
      <c r="C8" s="24"/>
      <c r="D8" s="24"/>
      <c r="E8" s="24"/>
      <c r="F8" s="24"/>
      <c r="G8" s="24"/>
      <c r="H8" s="24"/>
      <c r="I8" s="24"/>
      <c r="J8" s="24"/>
      <c r="K8" s="25"/>
    </row>
    <row r="9" ht="19.5" customHeight="1">
      <c r="A9" s="26" t="s">
        <v>1</v>
      </c>
      <c r="B9" s="26" t="s">
        <v>91</v>
      </c>
      <c r="C9" s="26" t="s">
        <v>92</v>
      </c>
      <c r="D9" s="26" t="s">
        <v>93</v>
      </c>
      <c r="E9" s="27" t="s">
        <v>94</v>
      </c>
      <c r="F9" s="28"/>
      <c r="G9" s="29"/>
      <c r="H9" s="30"/>
      <c r="I9" s="30"/>
      <c r="J9" s="31" t="s">
        <v>95</v>
      </c>
      <c r="K9" s="26" t="s">
        <v>96</v>
      </c>
    </row>
    <row r="10" ht="19.5" customHeight="1">
      <c r="A10" s="32"/>
      <c r="B10" s="32"/>
      <c r="C10" s="32"/>
      <c r="D10" s="32"/>
      <c r="E10" s="33" t="s">
        <v>97</v>
      </c>
      <c r="F10" s="34" t="s">
        <v>121</v>
      </c>
      <c r="G10" s="34" t="s">
        <v>99</v>
      </c>
      <c r="H10" s="35" t="s">
        <v>100</v>
      </c>
      <c r="I10" s="35" t="s">
        <v>101</v>
      </c>
      <c r="J10" s="32"/>
      <c r="K10" s="32"/>
    </row>
    <row r="11" ht="19.5" customHeight="1">
      <c r="A11" s="46">
        <v>1.0</v>
      </c>
      <c r="B11" s="37" t="s">
        <v>147</v>
      </c>
      <c r="C11" s="46" t="s">
        <v>148</v>
      </c>
      <c r="D11" s="78">
        <v>1.0</v>
      </c>
      <c r="E11" s="37">
        <v>1.3</v>
      </c>
      <c r="F11" s="40">
        <v>26.0</v>
      </c>
      <c r="G11" s="40">
        <v>13.5</v>
      </c>
      <c r="H11" s="40">
        <f>G11*F11*E11*D11</f>
        <v>456.3</v>
      </c>
      <c r="I11" s="42"/>
      <c r="J11" s="43">
        <f t="shared" ref="J11:J13" si="1">H11-I11</f>
        <v>456.3</v>
      </c>
      <c r="K11" s="46"/>
    </row>
    <row r="12" ht="19.5" customHeight="1">
      <c r="A12" s="46"/>
      <c r="B12" s="37"/>
      <c r="C12" s="46"/>
      <c r="D12" s="78"/>
      <c r="E12" s="37"/>
      <c r="F12" s="40"/>
      <c r="G12" s="40"/>
      <c r="H12" s="40"/>
      <c r="I12" s="42"/>
      <c r="J12" s="43">
        <f t="shared" si="1"/>
        <v>0</v>
      </c>
      <c r="K12" s="79"/>
    </row>
    <row r="13" ht="19.5" customHeight="1">
      <c r="A13" s="46"/>
      <c r="B13" s="37"/>
      <c r="C13" s="46"/>
      <c r="D13" s="78"/>
      <c r="E13" s="37"/>
      <c r="F13" s="40"/>
      <c r="G13" s="40"/>
      <c r="H13" s="40"/>
      <c r="I13" s="42"/>
      <c r="J13" s="43">
        <f t="shared" si="1"/>
        <v>0</v>
      </c>
      <c r="K13" s="79"/>
    </row>
    <row r="14" ht="19.5" customHeight="1">
      <c r="A14" s="74" t="s">
        <v>1</v>
      </c>
      <c r="B14" s="74" t="s">
        <v>91</v>
      </c>
      <c r="C14" s="74" t="s">
        <v>92</v>
      </c>
      <c r="D14" s="74" t="s">
        <v>93</v>
      </c>
      <c r="E14" s="50" t="s">
        <v>97</v>
      </c>
      <c r="F14" s="53" t="s">
        <v>121</v>
      </c>
      <c r="G14" s="53" t="s">
        <v>99</v>
      </c>
      <c r="H14" s="75" t="s">
        <v>100</v>
      </c>
      <c r="I14" s="75" t="s">
        <v>101</v>
      </c>
      <c r="J14" s="76" t="s">
        <v>95</v>
      </c>
      <c r="K14" s="74" t="s">
        <v>96</v>
      </c>
    </row>
    <row r="15" ht="19.5" customHeight="1">
      <c r="A15" s="46">
        <v>1.0</v>
      </c>
      <c r="B15" s="37" t="s">
        <v>1320</v>
      </c>
      <c r="C15" s="46" t="s">
        <v>148</v>
      </c>
      <c r="D15" s="78">
        <v>1.0</v>
      </c>
      <c r="E15" s="37">
        <v>0.15</v>
      </c>
      <c r="F15" s="78">
        <v>26.0</v>
      </c>
      <c r="G15" s="40">
        <v>13.5</v>
      </c>
      <c r="H15" s="40">
        <f t="shared" ref="H15:H16" si="2">G15*F15*E15*D15</f>
        <v>52.65</v>
      </c>
      <c r="I15" s="42"/>
      <c r="J15" s="264">
        <f>SUM(H15:H16)</f>
        <v>68.0745</v>
      </c>
      <c r="K15" s="46"/>
    </row>
    <row r="16" ht="19.5" customHeight="1">
      <c r="A16" s="46">
        <v>2.0</v>
      </c>
      <c r="B16" s="37" t="s">
        <v>1321</v>
      </c>
      <c r="C16" s="46" t="s">
        <v>148</v>
      </c>
      <c r="D16" s="78">
        <v>1.0</v>
      </c>
      <c r="E16" s="37">
        <v>0.15</v>
      </c>
      <c r="F16" s="78">
        <f>26+26+13.5+13.6</f>
        <v>79.1</v>
      </c>
      <c r="G16" s="40">
        <v>1.3</v>
      </c>
      <c r="H16" s="40">
        <f t="shared" si="2"/>
        <v>15.4245</v>
      </c>
      <c r="I16" s="42"/>
      <c r="J16" s="32"/>
      <c r="K16" s="46"/>
    </row>
    <row r="17" ht="19.5" customHeight="1">
      <c r="A17" s="74" t="s">
        <v>1</v>
      </c>
      <c r="B17" s="74" t="s">
        <v>91</v>
      </c>
      <c r="C17" s="74" t="s">
        <v>92</v>
      </c>
      <c r="D17" s="74" t="s">
        <v>93</v>
      </c>
      <c r="E17" s="50" t="s">
        <v>97</v>
      </c>
      <c r="F17" s="53" t="s">
        <v>121</v>
      </c>
      <c r="G17" s="53" t="s">
        <v>99</v>
      </c>
      <c r="H17" s="75" t="s">
        <v>100</v>
      </c>
      <c r="I17" s="75" t="s">
        <v>101</v>
      </c>
      <c r="J17" s="76" t="s">
        <v>95</v>
      </c>
      <c r="K17" s="74" t="s">
        <v>96</v>
      </c>
    </row>
    <row r="18" ht="19.5" customHeight="1">
      <c r="A18" s="46">
        <v>1.0</v>
      </c>
      <c r="B18" s="37" t="s">
        <v>345</v>
      </c>
      <c r="C18" s="46" t="s">
        <v>148</v>
      </c>
      <c r="D18" s="78"/>
      <c r="E18" s="37"/>
      <c r="F18" s="78"/>
      <c r="G18" s="40"/>
      <c r="H18" s="40"/>
      <c r="I18" s="42"/>
      <c r="J18" s="40"/>
      <c r="K18" s="46"/>
    </row>
    <row r="19" ht="19.5" customHeight="1">
      <c r="A19" s="46"/>
      <c r="B19" s="37"/>
      <c r="C19" s="46"/>
      <c r="D19" s="78"/>
      <c r="E19" s="37"/>
      <c r="F19" s="78"/>
      <c r="G19" s="40"/>
      <c r="H19" s="40"/>
      <c r="I19" s="42"/>
      <c r="J19" s="43">
        <f>SUM(H18:H19)</f>
        <v>0</v>
      </c>
      <c r="K19" s="46"/>
    </row>
    <row r="20" ht="19.5" customHeight="1">
      <c r="A20" s="74" t="s">
        <v>1</v>
      </c>
      <c r="B20" s="74" t="s">
        <v>91</v>
      </c>
      <c r="C20" s="74" t="s">
        <v>92</v>
      </c>
      <c r="D20" s="74" t="s">
        <v>93</v>
      </c>
      <c r="E20" s="50" t="s">
        <v>347</v>
      </c>
      <c r="F20" s="53" t="s">
        <v>121</v>
      </c>
      <c r="G20" s="53" t="s">
        <v>99</v>
      </c>
      <c r="H20" s="75" t="s">
        <v>100</v>
      </c>
      <c r="I20" s="75" t="s">
        <v>101</v>
      </c>
      <c r="J20" s="76" t="s">
        <v>95</v>
      </c>
      <c r="K20" s="74" t="s">
        <v>96</v>
      </c>
    </row>
    <row r="21" ht="19.5" customHeight="1">
      <c r="A21" s="46">
        <v>1.0</v>
      </c>
      <c r="B21" s="37" t="s">
        <v>912</v>
      </c>
      <c r="C21" s="46" t="s">
        <v>103</v>
      </c>
      <c r="D21" s="78">
        <f>J15</f>
        <v>68.0745</v>
      </c>
      <c r="E21" s="37">
        <f>H21/D21</f>
        <v>1.508641268</v>
      </c>
      <c r="F21" s="40"/>
      <c r="G21" s="40"/>
      <c r="H21" s="40">
        <f>H32+H31</f>
        <v>102.7</v>
      </c>
      <c r="I21" s="42"/>
      <c r="J21" s="107">
        <f>H21-I21</f>
        <v>102.7</v>
      </c>
      <c r="K21" s="46" t="s">
        <v>1322</v>
      </c>
    </row>
    <row r="22" ht="19.5" customHeight="1">
      <c r="A22" s="74" t="s">
        <v>1</v>
      </c>
      <c r="B22" s="74" t="s">
        <v>91</v>
      </c>
      <c r="C22" s="74" t="s">
        <v>92</v>
      </c>
      <c r="D22" s="74" t="s">
        <v>93</v>
      </c>
      <c r="E22" s="50" t="s">
        <v>187</v>
      </c>
      <c r="F22" s="53"/>
      <c r="G22" s="53"/>
      <c r="H22" s="75" t="s">
        <v>100</v>
      </c>
      <c r="I22" s="75" t="s">
        <v>101</v>
      </c>
      <c r="J22" s="76" t="s">
        <v>95</v>
      </c>
      <c r="K22" s="74" t="s">
        <v>96</v>
      </c>
    </row>
    <row r="23" ht="19.5" customHeight="1">
      <c r="A23" s="46">
        <v>1.0</v>
      </c>
      <c r="B23" s="37" t="s">
        <v>1323</v>
      </c>
      <c r="C23" s="46" t="s">
        <v>158</v>
      </c>
      <c r="D23" s="78">
        <f>D21</f>
        <v>68.0745</v>
      </c>
      <c r="E23" s="37">
        <v>100.0</v>
      </c>
      <c r="F23" s="40"/>
      <c r="G23" s="40"/>
      <c r="H23" s="40">
        <f>E23*D23</f>
        <v>6807.45</v>
      </c>
      <c r="I23" s="42"/>
      <c r="J23" s="43">
        <f>H23-I23</f>
        <v>6807.45</v>
      </c>
      <c r="K23" s="46" t="s">
        <v>355</v>
      </c>
    </row>
    <row r="24" ht="19.5" customHeight="1">
      <c r="A24" s="74" t="s">
        <v>1</v>
      </c>
      <c r="B24" s="74" t="s">
        <v>91</v>
      </c>
      <c r="C24" s="74" t="s">
        <v>92</v>
      </c>
      <c r="D24" s="74" t="s">
        <v>93</v>
      </c>
      <c r="E24" s="50" t="s">
        <v>161</v>
      </c>
      <c r="F24" s="53" t="s">
        <v>121</v>
      </c>
      <c r="G24" s="53" t="s">
        <v>99</v>
      </c>
      <c r="H24" s="75" t="s">
        <v>100</v>
      </c>
      <c r="I24" s="75" t="s">
        <v>101</v>
      </c>
      <c r="J24" s="76" t="s">
        <v>95</v>
      </c>
      <c r="K24" s="74" t="s">
        <v>96</v>
      </c>
    </row>
    <row r="25" ht="19.5" customHeight="1">
      <c r="A25" s="46">
        <v>1.0</v>
      </c>
      <c r="B25" s="37" t="s">
        <v>1324</v>
      </c>
      <c r="C25" s="46" t="s">
        <v>103</v>
      </c>
      <c r="D25" s="78">
        <v>1.0</v>
      </c>
      <c r="E25" s="37">
        <v>1.0</v>
      </c>
      <c r="F25" s="78">
        <v>26.0</v>
      </c>
      <c r="G25" s="40">
        <v>13.5</v>
      </c>
      <c r="H25" s="40">
        <f t="shared" ref="H25:H27" si="3">G25*F25*E25*D25</f>
        <v>351</v>
      </c>
      <c r="I25" s="42"/>
      <c r="J25" s="40"/>
      <c r="K25" s="46"/>
    </row>
    <row r="26" ht="19.5" customHeight="1">
      <c r="A26" s="46">
        <v>2.0</v>
      </c>
      <c r="B26" s="37" t="s">
        <v>1325</v>
      </c>
      <c r="C26" s="46" t="s">
        <v>103</v>
      </c>
      <c r="D26" s="78">
        <v>2.0</v>
      </c>
      <c r="E26" s="37">
        <v>1.0</v>
      </c>
      <c r="F26" s="78">
        <v>26.0</v>
      </c>
      <c r="G26" s="40">
        <v>1.3</v>
      </c>
      <c r="H26" s="40">
        <f t="shared" si="3"/>
        <v>67.6</v>
      </c>
      <c r="I26" s="42"/>
      <c r="J26" s="40"/>
      <c r="K26" s="46"/>
    </row>
    <row r="27" ht="19.5" customHeight="1">
      <c r="A27" s="46">
        <v>3.0</v>
      </c>
      <c r="B27" s="37" t="s">
        <v>1325</v>
      </c>
      <c r="C27" s="46" t="s">
        <v>574</v>
      </c>
      <c r="D27" s="78">
        <v>2.0</v>
      </c>
      <c r="E27" s="37">
        <v>1.0</v>
      </c>
      <c r="F27" s="78">
        <v>13.5</v>
      </c>
      <c r="G27" s="40">
        <v>1.3</v>
      </c>
      <c r="H27" s="40">
        <f t="shared" si="3"/>
        <v>35.1</v>
      </c>
      <c r="I27" s="42"/>
      <c r="J27" s="40"/>
      <c r="K27" s="46"/>
    </row>
    <row r="28" ht="19.5" customHeight="1">
      <c r="A28" s="46"/>
      <c r="B28" s="37"/>
      <c r="C28" s="46"/>
      <c r="D28" s="78"/>
      <c r="E28" s="37"/>
      <c r="F28" s="78"/>
      <c r="G28" s="40"/>
      <c r="H28" s="40"/>
      <c r="I28" s="42"/>
      <c r="J28" s="43">
        <f>SUM(H25:H28)</f>
        <v>453.7</v>
      </c>
      <c r="K28" s="46"/>
    </row>
    <row r="29" ht="19.5" customHeight="1">
      <c r="A29" s="74" t="s">
        <v>1</v>
      </c>
      <c r="B29" s="74" t="s">
        <v>91</v>
      </c>
      <c r="C29" s="74" t="s">
        <v>92</v>
      </c>
      <c r="D29" s="74" t="s">
        <v>93</v>
      </c>
      <c r="E29" s="50" t="s">
        <v>97</v>
      </c>
      <c r="F29" s="53" t="s">
        <v>121</v>
      </c>
      <c r="G29" s="53" t="s">
        <v>99</v>
      </c>
      <c r="H29" s="75" t="s">
        <v>100</v>
      </c>
      <c r="I29" s="75" t="s">
        <v>101</v>
      </c>
      <c r="J29" s="76" t="s">
        <v>95</v>
      </c>
      <c r="K29" s="74" t="s">
        <v>96</v>
      </c>
    </row>
    <row r="30" ht="19.5" customHeight="1">
      <c r="A30" s="46">
        <v>1.0</v>
      </c>
      <c r="B30" s="37" t="s">
        <v>1326</v>
      </c>
      <c r="C30" s="46" t="s">
        <v>103</v>
      </c>
      <c r="D30" s="78">
        <v>1.0</v>
      </c>
      <c r="E30" s="37">
        <v>1.0</v>
      </c>
      <c r="F30" s="78">
        <v>26.0</v>
      </c>
      <c r="G30" s="40">
        <v>13.5</v>
      </c>
      <c r="H30" s="40">
        <f t="shared" ref="H30:H38" si="4">G30*F30*E30*D30</f>
        <v>351</v>
      </c>
      <c r="I30" s="42"/>
      <c r="J30" s="40"/>
      <c r="K30" s="46"/>
    </row>
    <row r="31" ht="19.5" customHeight="1">
      <c r="A31" s="46">
        <v>2.0</v>
      </c>
      <c r="B31" s="37" t="s">
        <v>1326</v>
      </c>
      <c r="C31" s="46" t="s">
        <v>103</v>
      </c>
      <c r="D31" s="78">
        <v>2.0</v>
      </c>
      <c r="E31" s="37">
        <v>1.0</v>
      </c>
      <c r="F31" s="78">
        <v>26.0</v>
      </c>
      <c r="G31" s="40">
        <v>1.3</v>
      </c>
      <c r="H31" s="40">
        <f t="shared" si="4"/>
        <v>67.6</v>
      </c>
      <c r="I31" s="42"/>
      <c r="J31" s="40"/>
      <c r="K31" s="46"/>
    </row>
    <row r="32" ht="19.5" customHeight="1">
      <c r="A32" s="46">
        <v>3.0</v>
      </c>
      <c r="B32" s="37" t="s">
        <v>1326</v>
      </c>
      <c r="C32" s="46" t="s">
        <v>574</v>
      </c>
      <c r="D32" s="78">
        <v>2.0</v>
      </c>
      <c r="E32" s="37">
        <v>1.0</v>
      </c>
      <c r="F32" s="78">
        <v>13.5</v>
      </c>
      <c r="G32" s="40">
        <v>1.3</v>
      </c>
      <c r="H32" s="40">
        <f t="shared" si="4"/>
        <v>35.1</v>
      </c>
      <c r="I32" s="42"/>
      <c r="J32" s="43">
        <f>SUM(H30:H32)</f>
        <v>453.7</v>
      </c>
      <c r="K32" s="46"/>
    </row>
    <row r="33" ht="19.5" customHeight="1">
      <c r="A33" s="46">
        <v>1.0</v>
      </c>
      <c r="B33" s="37" t="s">
        <v>1327</v>
      </c>
      <c r="C33" s="46" t="s">
        <v>103</v>
      </c>
      <c r="D33" s="78">
        <v>1.0</v>
      </c>
      <c r="E33" s="37">
        <v>1.0</v>
      </c>
      <c r="F33" s="78">
        <v>26.0</v>
      </c>
      <c r="G33" s="40">
        <v>13.5</v>
      </c>
      <c r="H33" s="40">
        <f t="shared" si="4"/>
        <v>351</v>
      </c>
      <c r="I33" s="42"/>
      <c r="J33" s="40"/>
      <c r="K33" s="46"/>
    </row>
    <row r="34" ht="19.5" customHeight="1">
      <c r="A34" s="46">
        <v>2.0</v>
      </c>
      <c r="B34" s="37" t="s">
        <v>1327</v>
      </c>
      <c r="C34" s="46" t="s">
        <v>103</v>
      </c>
      <c r="D34" s="78">
        <v>2.0</v>
      </c>
      <c r="E34" s="37">
        <v>1.0</v>
      </c>
      <c r="F34" s="78">
        <v>26.0</v>
      </c>
      <c r="G34" s="40">
        <v>1.3</v>
      </c>
      <c r="H34" s="40">
        <f t="shared" si="4"/>
        <v>67.6</v>
      </c>
      <c r="I34" s="42"/>
      <c r="J34" s="40"/>
      <c r="K34" s="46"/>
    </row>
    <row r="35" ht="19.5" customHeight="1">
      <c r="A35" s="46">
        <v>3.0</v>
      </c>
      <c r="B35" s="37" t="s">
        <v>1327</v>
      </c>
      <c r="C35" s="46" t="s">
        <v>574</v>
      </c>
      <c r="D35" s="78">
        <v>2.0</v>
      </c>
      <c r="E35" s="37">
        <v>1.0</v>
      </c>
      <c r="F35" s="78">
        <v>13.5</v>
      </c>
      <c r="G35" s="40">
        <v>1.3</v>
      </c>
      <c r="H35" s="40">
        <f t="shared" si="4"/>
        <v>35.1</v>
      </c>
      <c r="I35" s="42"/>
      <c r="J35" s="43">
        <f>SUM(H33:H35)</f>
        <v>453.7</v>
      </c>
      <c r="K35" s="46"/>
    </row>
    <row r="36" ht="19.5" customHeight="1">
      <c r="A36" s="46">
        <v>1.0</v>
      </c>
      <c r="B36" s="37" t="s">
        <v>1328</v>
      </c>
      <c r="C36" s="46" t="s">
        <v>103</v>
      </c>
      <c r="D36" s="78">
        <v>1.0</v>
      </c>
      <c r="E36" s="37">
        <v>1.0</v>
      </c>
      <c r="F36" s="78">
        <v>26.0</v>
      </c>
      <c r="G36" s="40">
        <v>13.5</v>
      </c>
      <c r="H36" s="40">
        <f t="shared" si="4"/>
        <v>351</v>
      </c>
      <c r="I36" s="42"/>
      <c r="J36" s="40"/>
      <c r="K36" s="46"/>
    </row>
    <row r="37" ht="19.5" customHeight="1">
      <c r="A37" s="46">
        <v>2.0</v>
      </c>
      <c r="B37" s="37" t="s">
        <v>1328</v>
      </c>
      <c r="C37" s="46" t="s">
        <v>103</v>
      </c>
      <c r="D37" s="78">
        <v>2.0</v>
      </c>
      <c r="E37" s="37">
        <v>1.0</v>
      </c>
      <c r="F37" s="78">
        <v>26.0</v>
      </c>
      <c r="G37" s="40">
        <v>1.3</v>
      </c>
      <c r="H37" s="40">
        <f t="shared" si="4"/>
        <v>67.6</v>
      </c>
      <c r="I37" s="42"/>
      <c r="J37" s="40"/>
      <c r="K37" s="46"/>
    </row>
    <row r="38" ht="19.5" customHeight="1">
      <c r="A38" s="46">
        <v>3.0</v>
      </c>
      <c r="B38" s="37" t="s">
        <v>1328</v>
      </c>
      <c r="C38" s="46" t="s">
        <v>574</v>
      </c>
      <c r="D38" s="78">
        <v>2.0</v>
      </c>
      <c r="E38" s="37">
        <v>1.0</v>
      </c>
      <c r="F38" s="78">
        <v>13.5</v>
      </c>
      <c r="G38" s="40">
        <v>1.3</v>
      </c>
      <c r="H38" s="40">
        <f t="shared" si="4"/>
        <v>35.1</v>
      </c>
      <c r="I38" s="42"/>
      <c r="J38" s="40"/>
      <c r="K38" s="46"/>
    </row>
    <row r="39" ht="19.5" customHeight="1">
      <c r="A39" s="46"/>
      <c r="B39" s="37"/>
      <c r="C39" s="46"/>
      <c r="D39" s="78"/>
      <c r="E39" s="37"/>
      <c r="F39" s="78"/>
      <c r="G39" s="40"/>
      <c r="H39" s="40"/>
      <c r="I39" s="42"/>
      <c r="J39" s="43">
        <f>SUM(H36:H38)</f>
        <v>453.7</v>
      </c>
      <c r="K39" s="46"/>
    </row>
    <row r="40" ht="19.5" customHeight="1">
      <c r="A40" s="74" t="s">
        <v>1</v>
      </c>
      <c r="B40" s="74" t="s">
        <v>91</v>
      </c>
      <c r="C40" s="74" t="s">
        <v>92</v>
      </c>
      <c r="D40" s="74" t="s">
        <v>93</v>
      </c>
      <c r="E40" s="50" t="s">
        <v>97</v>
      </c>
      <c r="F40" s="53" t="s">
        <v>121</v>
      </c>
      <c r="G40" s="53" t="s">
        <v>99</v>
      </c>
      <c r="H40" s="75" t="s">
        <v>100</v>
      </c>
      <c r="I40" s="75" t="s">
        <v>101</v>
      </c>
      <c r="J40" s="76" t="s">
        <v>95</v>
      </c>
      <c r="K40" s="74" t="s">
        <v>96</v>
      </c>
    </row>
    <row r="41" ht="19.5" customHeight="1">
      <c r="A41" s="46">
        <v>1.0</v>
      </c>
      <c r="B41" s="37" t="s">
        <v>204</v>
      </c>
      <c r="C41" s="46" t="s">
        <v>103</v>
      </c>
      <c r="D41" s="78">
        <v>1.0</v>
      </c>
      <c r="E41" s="37">
        <v>1.0</v>
      </c>
      <c r="F41" s="78">
        <v>26.0</v>
      </c>
      <c r="G41" s="40">
        <v>13.5</v>
      </c>
      <c r="H41" s="40">
        <f t="shared" ref="H41:H43" si="5">G41*F41*E41*D41</f>
        <v>351</v>
      </c>
      <c r="I41" s="42"/>
      <c r="J41" s="40"/>
      <c r="K41" s="131"/>
    </row>
    <row r="42" ht="19.5" customHeight="1">
      <c r="A42" s="46">
        <v>2.0</v>
      </c>
      <c r="B42" s="37" t="s">
        <v>204</v>
      </c>
      <c r="C42" s="46" t="s">
        <v>103</v>
      </c>
      <c r="D42" s="78">
        <v>2.0</v>
      </c>
      <c r="E42" s="37">
        <v>1.0</v>
      </c>
      <c r="F42" s="78">
        <v>26.0</v>
      </c>
      <c r="G42" s="40">
        <v>1.3</v>
      </c>
      <c r="H42" s="40">
        <f t="shared" si="5"/>
        <v>67.6</v>
      </c>
      <c r="I42" s="42"/>
      <c r="J42" s="40"/>
      <c r="K42" s="131"/>
    </row>
    <row r="43" ht="19.5" customHeight="1">
      <c r="A43" s="46">
        <v>3.0</v>
      </c>
      <c r="B43" s="37" t="s">
        <v>204</v>
      </c>
      <c r="C43" s="46" t="s">
        <v>574</v>
      </c>
      <c r="D43" s="78">
        <v>2.0</v>
      </c>
      <c r="E43" s="37">
        <v>1.0</v>
      </c>
      <c r="F43" s="78">
        <v>13.5</v>
      </c>
      <c r="G43" s="40">
        <v>1.3</v>
      </c>
      <c r="H43" s="40">
        <f t="shared" si="5"/>
        <v>35.1</v>
      </c>
      <c r="I43" s="42"/>
      <c r="J43" s="40"/>
      <c r="K43" s="131"/>
    </row>
    <row r="44" ht="19.5" customHeight="1">
      <c r="A44" s="46"/>
      <c r="B44" s="37"/>
      <c r="C44" s="46"/>
      <c r="D44" s="13"/>
      <c r="E44" s="37"/>
      <c r="F44" s="78"/>
      <c r="G44" s="40"/>
      <c r="H44" s="40"/>
      <c r="I44" s="42"/>
      <c r="J44" s="64">
        <f>SUM(H41:H44)</f>
        <v>453.7</v>
      </c>
      <c r="K44" s="46"/>
    </row>
    <row r="45" ht="19.5" customHeight="1">
      <c r="A45" s="74" t="s">
        <v>1</v>
      </c>
      <c r="B45" s="74" t="s">
        <v>91</v>
      </c>
      <c r="C45" s="74" t="s">
        <v>92</v>
      </c>
      <c r="D45" s="74" t="s">
        <v>93</v>
      </c>
      <c r="E45" s="50" t="s">
        <v>97</v>
      </c>
      <c r="F45" s="53" t="s">
        <v>121</v>
      </c>
      <c r="G45" s="53" t="s">
        <v>99</v>
      </c>
      <c r="H45" s="75" t="s">
        <v>100</v>
      </c>
      <c r="I45" s="75" t="s">
        <v>101</v>
      </c>
      <c r="J45" s="76" t="s">
        <v>95</v>
      </c>
      <c r="K45" s="74" t="s">
        <v>96</v>
      </c>
    </row>
    <row r="46" ht="19.5" customHeight="1">
      <c r="A46" s="46">
        <v>1.0</v>
      </c>
      <c r="B46" s="37" t="s">
        <v>1329</v>
      </c>
      <c r="C46" s="46" t="s">
        <v>103</v>
      </c>
      <c r="D46" s="78">
        <v>2.0</v>
      </c>
      <c r="E46" s="37">
        <v>1.0</v>
      </c>
      <c r="F46" s="78">
        <v>30.0</v>
      </c>
      <c r="G46" s="40">
        <v>18.0</v>
      </c>
      <c r="H46" s="40">
        <f>G46+F46*D46</f>
        <v>78</v>
      </c>
      <c r="I46" s="42"/>
      <c r="J46" s="40"/>
      <c r="K46" s="46"/>
    </row>
    <row r="47" ht="19.5" customHeight="1">
      <c r="A47" s="46">
        <v>2.0</v>
      </c>
      <c r="B47" s="37" t="s">
        <v>1330</v>
      </c>
      <c r="C47" s="46" t="s">
        <v>106</v>
      </c>
      <c r="D47" s="78">
        <v>1.0</v>
      </c>
      <c r="E47" s="37">
        <v>1.0</v>
      </c>
      <c r="F47" s="78">
        <v>1.0</v>
      </c>
      <c r="G47" s="40">
        <v>1.0</v>
      </c>
      <c r="H47" s="40">
        <v>1.0</v>
      </c>
      <c r="I47" s="42"/>
      <c r="J47" s="64">
        <f>SUM(H46:H47)</f>
        <v>79</v>
      </c>
      <c r="K47" s="46"/>
    </row>
    <row r="48" ht="19.5" customHeight="1">
      <c r="A48" s="74" t="s">
        <v>1</v>
      </c>
      <c r="B48" s="74" t="s">
        <v>91</v>
      </c>
      <c r="C48" s="74" t="s">
        <v>92</v>
      </c>
      <c r="D48" s="74" t="s">
        <v>93</v>
      </c>
      <c r="E48" s="50" t="s">
        <v>161</v>
      </c>
      <c r="F48" s="53" t="s">
        <v>121</v>
      </c>
      <c r="G48" s="53" t="s">
        <v>99</v>
      </c>
      <c r="H48" s="75" t="s">
        <v>100</v>
      </c>
      <c r="I48" s="75" t="s">
        <v>101</v>
      </c>
      <c r="J48" s="76" t="s">
        <v>95</v>
      </c>
      <c r="K48" s="74" t="s">
        <v>96</v>
      </c>
    </row>
    <row r="49" ht="19.5" customHeight="1">
      <c r="A49" s="46">
        <v>1.0</v>
      </c>
      <c r="B49" s="37" t="s">
        <v>1220</v>
      </c>
      <c r="C49" s="46" t="s">
        <v>106</v>
      </c>
      <c r="D49" s="78">
        <v>4.0</v>
      </c>
      <c r="E49" s="37"/>
      <c r="F49" s="78"/>
      <c r="G49" s="40"/>
      <c r="H49" s="40">
        <f>D49</f>
        <v>4</v>
      </c>
      <c r="I49" s="42"/>
      <c r="J49" s="40"/>
      <c r="K49" s="46"/>
    </row>
    <row r="50" ht="19.5" customHeight="1">
      <c r="A50" s="46"/>
      <c r="B50" s="37"/>
      <c r="C50" s="46"/>
      <c r="D50" s="78"/>
      <c r="E50" s="37"/>
      <c r="F50" s="78"/>
      <c r="G50" s="40"/>
      <c r="H50" s="40"/>
      <c r="I50" s="42"/>
      <c r="J50" s="64">
        <f>SUM(H49:H50)</f>
        <v>4</v>
      </c>
      <c r="K50" s="46"/>
    </row>
    <row r="51" ht="19.5" customHeight="1">
      <c r="A51" s="74" t="s">
        <v>1</v>
      </c>
      <c r="B51" s="74" t="s">
        <v>91</v>
      </c>
      <c r="C51" s="74" t="s">
        <v>92</v>
      </c>
      <c r="D51" s="74" t="s">
        <v>93</v>
      </c>
      <c r="E51" s="50" t="s">
        <v>97</v>
      </c>
      <c r="F51" s="53" t="s">
        <v>121</v>
      </c>
      <c r="G51" s="53" t="s">
        <v>99</v>
      </c>
      <c r="H51" s="75" t="s">
        <v>100</v>
      </c>
      <c r="I51" s="75" t="s">
        <v>101</v>
      </c>
      <c r="J51" s="76" t="s">
        <v>95</v>
      </c>
      <c r="K51" s="74" t="s">
        <v>96</v>
      </c>
    </row>
    <row r="52" ht="19.5" customHeight="1">
      <c r="A52" s="79">
        <v>1.0</v>
      </c>
      <c r="B52" s="95" t="s">
        <v>1331</v>
      </c>
      <c r="C52" s="79" t="s">
        <v>148</v>
      </c>
      <c r="D52" s="92">
        <v>1.0</v>
      </c>
      <c r="E52" s="37">
        <v>0.2</v>
      </c>
      <c r="F52" s="78">
        <v>26.0</v>
      </c>
      <c r="G52" s="40">
        <v>13.5</v>
      </c>
      <c r="H52" s="59">
        <f>G52*F52*E52*D52</f>
        <v>70.2</v>
      </c>
      <c r="I52" s="93"/>
      <c r="J52" s="133"/>
      <c r="K52" s="79"/>
    </row>
    <row r="53" ht="19.5" customHeight="1">
      <c r="A53" s="74" t="s">
        <v>1</v>
      </c>
      <c r="B53" s="74" t="s">
        <v>91</v>
      </c>
      <c r="C53" s="74" t="s">
        <v>92</v>
      </c>
      <c r="D53" s="76" t="s">
        <v>93</v>
      </c>
      <c r="E53" s="50" t="s">
        <v>161</v>
      </c>
      <c r="F53" s="53" t="s">
        <v>121</v>
      </c>
      <c r="G53" s="53" t="s">
        <v>99</v>
      </c>
      <c r="H53" s="75" t="s">
        <v>100</v>
      </c>
      <c r="I53" s="75" t="s">
        <v>101</v>
      </c>
      <c r="J53" s="76" t="s">
        <v>95</v>
      </c>
      <c r="K53" s="74" t="s">
        <v>96</v>
      </c>
    </row>
    <row r="54" ht="19.5" customHeight="1">
      <c r="A54" s="46">
        <v>1.0</v>
      </c>
      <c r="B54" s="37" t="s">
        <v>1332</v>
      </c>
      <c r="C54" s="46" t="s">
        <v>106</v>
      </c>
      <c r="D54" s="78">
        <v>4.0</v>
      </c>
      <c r="E54" s="37"/>
      <c r="F54" s="78"/>
      <c r="G54" s="40"/>
      <c r="H54" s="40">
        <f t="shared" ref="H54:H60" si="6">D54</f>
        <v>4</v>
      </c>
      <c r="I54" s="42"/>
      <c r="J54" s="64">
        <f t="shared" ref="J54:J60" si="7">H54</f>
        <v>4</v>
      </c>
      <c r="K54" s="46"/>
    </row>
    <row r="55" ht="19.5" customHeight="1">
      <c r="A55" s="46">
        <f t="shared" ref="A55:A60" si="8">A54+1</f>
        <v>2</v>
      </c>
      <c r="B55" s="37" t="s">
        <v>641</v>
      </c>
      <c r="C55" s="46" t="s">
        <v>108</v>
      </c>
      <c r="D55" s="123">
        <v>300.0</v>
      </c>
      <c r="E55" s="37"/>
      <c r="F55" s="40"/>
      <c r="G55" s="40"/>
      <c r="H55" s="40">
        <f t="shared" si="6"/>
        <v>300</v>
      </c>
      <c r="I55" s="40"/>
      <c r="J55" s="64">
        <f t="shared" si="7"/>
        <v>300</v>
      </c>
      <c r="K55" s="46"/>
    </row>
    <row r="56" ht="19.5" customHeight="1">
      <c r="A56" s="46">
        <f t="shared" si="8"/>
        <v>3</v>
      </c>
      <c r="B56" s="37" t="s">
        <v>1333</v>
      </c>
      <c r="C56" s="46" t="s">
        <v>108</v>
      </c>
      <c r="D56" s="123">
        <v>4.0</v>
      </c>
      <c r="E56" s="37"/>
      <c r="F56" s="40"/>
      <c r="G56" s="40"/>
      <c r="H56" s="40">
        <f t="shared" si="6"/>
        <v>4</v>
      </c>
      <c r="I56" s="40"/>
      <c r="J56" s="64">
        <f t="shared" si="7"/>
        <v>4</v>
      </c>
      <c r="K56" s="46"/>
    </row>
    <row r="57" ht="19.5" customHeight="1">
      <c r="A57" s="46">
        <f t="shared" si="8"/>
        <v>4</v>
      </c>
      <c r="B57" s="37" t="s">
        <v>255</v>
      </c>
      <c r="C57" s="46" t="s">
        <v>108</v>
      </c>
      <c r="D57" s="123">
        <v>60.0</v>
      </c>
      <c r="E57" s="37"/>
      <c r="F57" s="40"/>
      <c r="G57" s="40"/>
      <c r="H57" s="40">
        <f t="shared" si="6"/>
        <v>60</v>
      </c>
      <c r="I57" s="40"/>
      <c r="J57" s="64">
        <f t="shared" si="7"/>
        <v>60</v>
      </c>
      <c r="K57" s="46"/>
    </row>
    <row r="58" ht="19.5" customHeight="1">
      <c r="A58" s="46">
        <f t="shared" si="8"/>
        <v>5</v>
      </c>
      <c r="B58" s="37" t="s">
        <v>1334</v>
      </c>
      <c r="C58" s="46" t="s">
        <v>106</v>
      </c>
      <c r="D58" s="123">
        <v>4.0</v>
      </c>
      <c r="E58" s="37"/>
      <c r="F58" s="40"/>
      <c r="G58" s="40"/>
      <c r="H58" s="40">
        <f t="shared" si="6"/>
        <v>4</v>
      </c>
      <c r="I58" s="40"/>
      <c r="J58" s="64">
        <f t="shared" si="7"/>
        <v>4</v>
      </c>
      <c r="K58" s="46"/>
    </row>
    <row r="59" ht="19.5" customHeight="1">
      <c r="A59" s="46">
        <f t="shared" si="8"/>
        <v>6</v>
      </c>
      <c r="B59" s="37" t="s">
        <v>1335</v>
      </c>
      <c r="C59" s="46" t="s">
        <v>108</v>
      </c>
      <c r="D59" s="123">
        <v>1.0</v>
      </c>
      <c r="E59" s="37"/>
      <c r="F59" s="40"/>
      <c r="G59" s="40"/>
      <c r="H59" s="40">
        <f t="shared" si="6"/>
        <v>1</v>
      </c>
      <c r="I59" s="40"/>
      <c r="J59" s="64">
        <f t="shared" si="7"/>
        <v>1</v>
      </c>
      <c r="K59" s="46"/>
    </row>
    <row r="60" ht="19.5" customHeight="1">
      <c r="A60" s="46">
        <f t="shared" si="8"/>
        <v>7</v>
      </c>
      <c r="B60" s="37" t="s">
        <v>1336</v>
      </c>
      <c r="C60" s="46" t="s">
        <v>108</v>
      </c>
      <c r="D60" s="123">
        <v>10.0</v>
      </c>
      <c r="E60" s="37"/>
      <c r="F60" s="40"/>
      <c r="G60" s="40"/>
      <c r="H60" s="40">
        <f t="shared" si="6"/>
        <v>10</v>
      </c>
      <c r="I60" s="40"/>
      <c r="J60" s="64">
        <f t="shared" si="7"/>
        <v>10</v>
      </c>
      <c r="K60" s="46"/>
    </row>
    <row r="61" ht="19.5" customHeight="1">
      <c r="A61" s="12"/>
      <c r="C61" s="12"/>
      <c r="D61" s="13"/>
      <c r="F61" s="14"/>
      <c r="G61" s="14"/>
      <c r="H61" s="14"/>
      <c r="I61" s="14"/>
      <c r="J61" s="14"/>
      <c r="K61" s="12"/>
    </row>
    <row r="62" ht="19.5" customHeight="1">
      <c r="A62" s="50" t="s">
        <v>1</v>
      </c>
      <c r="B62" s="50" t="s">
        <v>91</v>
      </c>
      <c r="C62" s="50" t="s">
        <v>92</v>
      </c>
      <c r="D62" s="50" t="s">
        <v>93</v>
      </c>
      <c r="E62" s="50" t="s">
        <v>97</v>
      </c>
      <c r="F62" s="53" t="s">
        <v>121</v>
      </c>
      <c r="G62" s="53" t="s">
        <v>99</v>
      </c>
      <c r="H62" s="53" t="s">
        <v>100</v>
      </c>
      <c r="I62" s="53" t="s">
        <v>101</v>
      </c>
      <c r="J62" s="53" t="s">
        <v>95</v>
      </c>
      <c r="K62" s="50" t="s">
        <v>96</v>
      </c>
    </row>
    <row r="63" ht="19.5" customHeight="1">
      <c r="A63" s="46">
        <v>1.0</v>
      </c>
      <c r="B63" s="416" t="s">
        <v>1337</v>
      </c>
      <c r="C63" s="46" t="s">
        <v>108</v>
      </c>
      <c r="D63" s="78">
        <v>1.0</v>
      </c>
      <c r="E63" s="37"/>
      <c r="F63" s="78"/>
      <c r="G63" s="40"/>
      <c r="H63" s="40"/>
      <c r="I63" s="42"/>
      <c r="J63" s="43">
        <f t="shared" ref="J63:J67" si="9">D63</f>
        <v>1</v>
      </c>
      <c r="K63" s="46"/>
    </row>
    <row r="64" ht="19.5" customHeight="1">
      <c r="A64" s="46">
        <v>2.0</v>
      </c>
      <c r="B64" s="416" t="s">
        <v>1338</v>
      </c>
      <c r="C64" s="46" t="s">
        <v>108</v>
      </c>
      <c r="D64" s="78">
        <v>1.0</v>
      </c>
      <c r="E64" s="37"/>
      <c r="F64" s="78"/>
      <c r="G64" s="40"/>
      <c r="H64" s="40"/>
      <c r="I64" s="42"/>
      <c r="J64" s="43">
        <f t="shared" si="9"/>
        <v>1</v>
      </c>
      <c r="K64" s="46"/>
    </row>
    <row r="65" ht="19.5" customHeight="1">
      <c r="A65" s="46">
        <v>3.0</v>
      </c>
      <c r="B65" s="416" t="s">
        <v>1339</v>
      </c>
      <c r="C65" s="46" t="s">
        <v>106</v>
      </c>
      <c r="D65" s="78">
        <v>1.0</v>
      </c>
      <c r="E65" s="37"/>
      <c r="F65" s="78"/>
      <c r="G65" s="40"/>
      <c r="H65" s="40"/>
      <c r="I65" s="42"/>
      <c r="J65" s="43">
        <f t="shared" si="9"/>
        <v>1</v>
      </c>
      <c r="K65" s="40"/>
    </row>
    <row r="66" ht="19.5" customHeight="1">
      <c r="A66" s="46">
        <v>3.0</v>
      </c>
      <c r="B66" s="416" t="s">
        <v>1340</v>
      </c>
      <c r="C66" s="46" t="s">
        <v>106</v>
      </c>
      <c r="D66" s="78">
        <v>6.0</v>
      </c>
      <c r="E66" s="37"/>
      <c r="F66" s="78"/>
      <c r="G66" s="40"/>
      <c r="H66" s="40"/>
      <c r="I66" s="42"/>
      <c r="J66" s="43">
        <f t="shared" si="9"/>
        <v>6</v>
      </c>
      <c r="K66" s="40"/>
    </row>
    <row r="67" ht="19.5" customHeight="1">
      <c r="A67" s="46">
        <v>3.0</v>
      </c>
      <c r="B67" s="416" t="s">
        <v>1341</v>
      </c>
      <c r="C67" s="46" t="s">
        <v>1342</v>
      </c>
      <c r="D67" s="78">
        <v>1.0</v>
      </c>
      <c r="E67" s="37"/>
      <c r="F67" s="78"/>
      <c r="G67" s="40"/>
      <c r="H67" s="40"/>
      <c r="I67" s="42"/>
      <c r="J67" s="43">
        <f t="shared" si="9"/>
        <v>1</v>
      </c>
      <c r="K67" s="40"/>
    </row>
    <row r="68" ht="19.5" customHeight="1">
      <c r="A68" s="12"/>
      <c r="C68" s="12"/>
      <c r="D68" s="13"/>
      <c r="F68" s="14"/>
      <c r="G68" s="14"/>
      <c r="H68" s="14"/>
      <c r="I68" s="14"/>
      <c r="J68" s="14"/>
      <c r="K68" s="12"/>
    </row>
    <row r="69" ht="19.5" customHeight="1">
      <c r="A69" s="74" t="s">
        <v>1</v>
      </c>
      <c r="B69" s="74" t="s">
        <v>91</v>
      </c>
      <c r="C69" s="74" t="s">
        <v>92</v>
      </c>
      <c r="D69" s="74" t="s">
        <v>93</v>
      </c>
      <c r="E69" s="50" t="s">
        <v>97</v>
      </c>
      <c r="F69" s="53" t="s">
        <v>121</v>
      </c>
      <c r="G69" s="53" t="s">
        <v>99</v>
      </c>
      <c r="H69" s="53" t="s">
        <v>100</v>
      </c>
      <c r="I69" s="53" t="s">
        <v>101</v>
      </c>
      <c r="J69" s="53" t="s">
        <v>95</v>
      </c>
      <c r="K69" s="50" t="s">
        <v>96</v>
      </c>
    </row>
    <row r="70" ht="19.5" customHeight="1">
      <c r="A70" s="46">
        <v>1.0</v>
      </c>
      <c r="B70" s="37" t="s">
        <v>1343</v>
      </c>
      <c r="C70" s="46" t="s">
        <v>103</v>
      </c>
      <c r="D70" s="78">
        <v>1.0</v>
      </c>
      <c r="E70" s="37">
        <v>1.0</v>
      </c>
      <c r="F70" s="78">
        <v>1.0</v>
      </c>
      <c r="G70" s="40">
        <v>1.0</v>
      </c>
      <c r="H70" s="40">
        <v>1.0</v>
      </c>
      <c r="I70" s="42"/>
      <c r="J70" s="40"/>
      <c r="K70" s="46"/>
    </row>
    <row r="71" ht="19.5" customHeight="1">
      <c r="A71" s="46"/>
      <c r="B71" s="37"/>
      <c r="C71" s="46"/>
      <c r="D71" s="78"/>
      <c r="E71" s="37"/>
      <c r="F71" s="78"/>
      <c r="G71" s="40"/>
      <c r="H71" s="40"/>
      <c r="I71" s="42"/>
      <c r="J71" s="43">
        <f>SUM(H70:H71)</f>
        <v>1</v>
      </c>
      <c r="K71" s="46"/>
    </row>
    <row r="72" ht="19.5" customHeight="1">
      <c r="A72" s="12"/>
      <c r="C72" s="12"/>
      <c r="D72" s="13"/>
      <c r="F72" s="14"/>
      <c r="G72" s="14"/>
      <c r="H72" s="14"/>
      <c r="I72" s="14"/>
      <c r="J72" s="14"/>
      <c r="K72" s="12"/>
    </row>
    <row r="73" ht="19.5" customHeight="1">
      <c r="A73" s="74" t="s">
        <v>1</v>
      </c>
      <c r="B73" s="74" t="s">
        <v>91</v>
      </c>
      <c r="C73" s="74" t="s">
        <v>92</v>
      </c>
      <c r="D73" s="74" t="s">
        <v>93</v>
      </c>
      <c r="E73" s="50" t="s">
        <v>97</v>
      </c>
      <c r="F73" s="53" t="s">
        <v>121</v>
      </c>
      <c r="G73" s="53" t="s">
        <v>99</v>
      </c>
      <c r="H73" s="53" t="s">
        <v>100</v>
      </c>
      <c r="I73" s="53" t="s">
        <v>101</v>
      </c>
      <c r="J73" s="53" t="s">
        <v>95</v>
      </c>
      <c r="K73" s="50" t="s">
        <v>96</v>
      </c>
    </row>
    <row r="74" ht="19.5" customHeight="1">
      <c r="A74" s="46">
        <v>1.0</v>
      </c>
      <c r="B74" s="37" t="s">
        <v>1344</v>
      </c>
      <c r="C74" s="46" t="s">
        <v>103</v>
      </c>
      <c r="D74" s="78">
        <v>1.0</v>
      </c>
      <c r="E74" s="37">
        <v>1.0</v>
      </c>
      <c r="F74" s="78">
        <v>26.0</v>
      </c>
      <c r="G74" s="40">
        <v>13.5</v>
      </c>
      <c r="H74" s="40">
        <f t="shared" ref="H74:H76" si="10">G74*F74*E74*D74</f>
        <v>351</v>
      </c>
      <c r="I74" s="42"/>
      <c r="J74" s="40"/>
      <c r="K74" s="12"/>
    </row>
    <row r="75" ht="19.5" customHeight="1">
      <c r="A75" s="46">
        <v>2.0</v>
      </c>
      <c r="B75" s="37" t="s">
        <v>1344</v>
      </c>
      <c r="C75" s="46" t="s">
        <v>103</v>
      </c>
      <c r="D75" s="78">
        <v>2.0</v>
      </c>
      <c r="E75" s="37">
        <v>1.0</v>
      </c>
      <c r="F75" s="78">
        <v>26.0</v>
      </c>
      <c r="G75" s="40">
        <v>1.3</v>
      </c>
      <c r="H75" s="40">
        <f t="shared" si="10"/>
        <v>67.6</v>
      </c>
      <c r="I75" s="42"/>
      <c r="J75" s="40"/>
      <c r="K75" s="12"/>
    </row>
    <row r="76" ht="19.5" customHeight="1">
      <c r="A76" s="46">
        <v>3.0</v>
      </c>
      <c r="B76" s="37" t="s">
        <v>1344</v>
      </c>
      <c r="C76" s="46" t="s">
        <v>574</v>
      </c>
      <c r="D76" s="78">
        <v>2.0</v>
      </c>
      <c r="E76" s="37">
        <v>1.0</v>
      </c>
      <c r="F76" s="78">
        <v>13.5</v>
      </c>
      <c r="G76" s="40">
        <v>1.3</v>
      </c>
      <c r="H76" s="40">
        <f t="shared" si="10"/>
        <v>35.1</v>
      </c>
      <c r="I76" s="42"/>
      <c r="J76" s="40"/>
      <c r="K76" s="12"/>
    </row>
    <row r="77" ht="19.5" customHeight="1">
      <c r="A77" s="46"/>
      <c r="B77" s="37"/>
      <c r="C77" s="46"/>
      <c r="D77" s="78"/>
      <c r="E77" s="37"/>
      <c r="F77" s="78"/>
      <c r="G77" s="40"/>
      <c r="H77" s="40"/>
      <c r="I77" s="42"/>
      <c r="J77" s="43">
        <f>SUM(H74:H76)</f>
        <v>453.7</v>
      </c>
      <c r="K77" s="46"/>
    </row>
    <row r="78" ht="19.5" customHeight="1">
      <c r="A78" s="12"/>
      <c r="C78" s="12"/>
      <c r="D78" s="13"/>
      <c r="F78" s="14"/>
      <c r="G78" s="14"/>
      <c r="H78" s="14"/>
      <c r="I78" s="14"/>
      <c r="J78" s="14"/>
      <c r="K78" s="12"/>
    </row>
    <row r="79" ht="19.5" customHeight="1">
      <c r="A79" s="74" t="s">
        <v>1</v>
      </c>
      <c r="B79" s="74" t="s">
        <v>91</v>
      </c>
      <c r="C79" s="74" t="s">
        <v>92</v>
      </c>
      <c r="D79" s="74" t="s">
        <v>93</v>
      </c>
      <c r="E79" s="50" t="s">
        <v>97</v>
      </c>
      <c r="F79" s="53" t="s">
        <v>121</v>
      </c>
      <c r="G79" s="53" t="s">
        <v>99</v>
      </c>
      <c r="H79" s="53" t="s">
        <v>100</v>
      </c>
      <c r="I79" s="53" t="s">
        <v>101</v>
      </c>
      <c r="J79" s="53" t="s">
        <v>95</v>
      </c>
      <c r="K79" s="50" t="s">
        <v>96</v>
      </c>
    </row>
    <row r="80" ht="19.5" customHeight="1">
      <c r="A80" s="46">
        <v>1.0</v>
      </c>
      <c r="B80" s="37" t="s">
        <v>1345</v>
      </c>
      <c r="C80" s="46" t="s">
        <v>103</v>
      </c>
      <c r="D80" s="78">
        <v>2.0</v>
      </c>
      <c r="E80" s="37">
        <v>1.0</v>
      </c>
      <c r="F80" s="78">
        <v>27.0</v>
      </c>
      <c r="G80" s="40">
        <v>0.5</v>
      </c>
      <c r="H80" s="40">
        <f t="shared" ref="H80:H81" si="11">F80*E80*D80</f>
        <v>54</v>
      </c>
      <c r="I80" s="42"/>
      <c r="J80" s="327">
        <f>SUM(H80:H81)</f>
        <v>83</v>
      </c>
      <c r="K80" s="46"/>
    </row>
    <row r="81" ht="19.5" customHeight="1">
      <c r="A81" s="46">
        <v>2.0</v>
      </c>
      <c r="B81" s="37" t="s">
        <v>1345</v>
      </c>
      <c r="C81" s="46" t="s">
        <v>103</v>
      </c>
      <c r="D81" s="78">
        <v>2.0</v>
      </c>
      <c r="E81" s="37">
        <v>1.0</v>
      </c>
      <c r="F81" s="78">
        <v>14.5</v>
      </c>
      <c r="G81" s="40">
        <v>0.5</v>
      </c>
      <c r="H81" s="40">
        <f t="shared" si="11"/>
        <v>29</v>
      </c>
      <c r="I81" s="42"/>
      <c r="J81" s="32"/>
      <c r="K81" s="46"/>
    </row>
    <row r="82" ht="19.5" customHeight="1">
      <c r="A82" s="12"/>
      <c r="C82" s="12"/>
      <c r="D82" s="13"/>
      <c r="F82" s="14"/>
      <c r="G82" s="14"/>
      <c r="H82" s="14"/>
      <c r="I82" s="14"/>
      <c r="J82" s="14"/>
      <c r="K82" s="12"/>
    </row>
    <row r="83" ht="19.5" customHeight="1">
      <c r="A83" s="12"/>
      <c r="C83" s="12"/>
      <c r="D83" s="13"/>
      <c r="F83" s="14"/>
      <c r="G83" s="14"/>
      <c r="H83" s="14"/>
      <c r="I83" s="14"/>
      <c r="J83" s="14"/>
      <c r="K83" s="12"/>
    </row>
    <row r="84" ht="19.5" customHeight="1">
      <c r="A84" s="12"/>
      <c r="C84" s="12"/>
      <c r="D84" s="13"/>
      <c r="F84" s="14"/>
      <c r="G84" s="14"/>
      <c r="H84" s="14"/>
      <c r="I84" s="14"/>
      <c r="J84" s="14"/>
      <c r="K84" s="12"/>
    </row>
    <row r="85" ht="19.5" customHeight="1">
      <c r="A85" s="12"/>
      <c r="C85" s="12"/>
      <c r="D85" s="13"/>
      <c r="F85" s="14"/>
      <c r="G85" s="14"/>
      <c r="H85" s="14"/>
      <c r="I85" s="14"/>
      <c r="J85" s="14"/>
      <c r="K85" s="12"/>
    </row>
    <row r="86" ht="19.5" customHeight="1">
      <c r="A86" s="12"/>
      <c r="C86" s="12"/>
      <c r="D86" s="13"/>
      <c r="F86" s="14"/>
      <c r="G86" s="14"/>
      <c r="H86" s="14"/>
      <c r="I86" s="14"/>
      <c r="J86" s="14"/>
      <c r="K86" s="12"/>
    </row>
    <row r="87" ht="19.5" customHeight="1">
      <c r="A87" s="12"/>
      <c r="C87" s="12"/>
      <c r="D87" s="13"/>
      <c r="F87" s="14"/>
      <c r="G87" s="14"/>
      <c r="H87" s="14"/>
      <c r="I87" s="14"/>
      <c r="J87" s="14"/>
      <c r="K87" s="12"/>
    </row>
    <row r="88" ht="19.5" customHeight="1">
      <c r="A88" s="12"/>
      <c r="C88" s="12"/>
      <c r="D88" s="13"/>
      <c r="F88" s="14"/>
      <c r="G88" s="14"/>
      <c r="H88" s="14"/>
      <c r="I88" s="14"/>
      <c r="J88" s="14"/>
      <c r="K88" s="12"/>
    </row>
    <row r="89" ht="19.5" customHeight="1">
      <c r="A89" s="12"/>
      <c r="C89" s="12"/>
      <c r="D89" s="13"/>
      <c r="F89" s="14"/>
      <c r="G89" s="14"/>
      <c r="H89" s="14"/>
      <c r="I89" s="14"/>
      <c r="J89" s="14"/>
      <c r="K89" s="12"/>
    </row>
    <row r="90" ht="19.5" customHeight="1">
      <c r="A90" s="12"/>
      <c r="C90" s="12"/>
      <c r="D90" s="13"/>
      <c r="F90" s="14"/>
      <c r="G90" s="14"/>
      <c r="H90" s="14"/>
      <c r="I90" s="14"/>
      <c r="J90" s="14"/>
      <c r="K90" s="12"/>
    </row>
    <row r="91" ht="19.5" customHeight="1">
      <c r="A91" s="12"/>
      <c r="C91" s="12"/>
      <c r="D91" s="13"/>
      <c r="F91" s="14"/>
      <c r="G91" s="14"/>
      <c r="H91" s="14"/>
      <c r="I91" s="14"/>
      <c r="J91" s="14"/>
      <c r="K91" s="12"/>
    </row>
    <row r="92" ht="19.5" customHeight="1">
      <c r="A92" s="12"/>
      <c r="C92" s="12"/>
      <c r="D92" s="13"/>
      <c r="F92" s="14"/>
      <c r="G92" s="14"/>
      <c r="H92" s="14"/>
      <c r="I92" s="14"/>
      <c r="J92" s="14"/>
      <c r="K92" s="12"/>
    </row>
    <row r="93" ht="19.5" customHeight="1">
      <c r="A93" s="12"/>
      <c r="C93" s="12"/>
      <c r="D93" s="13"/>
      <c r="F93" s="14"/>
      <c r="G93" s="14"/>
      <c r="H93" s="14"/>
      <c r="I93" s="14"/>
      <c r="J93" s="14"/>
      <c r="K93" s="12"/>
    </row>
    <row r="94" ht="19.5" customHeight="1">
      <c r="A94" s="12"/>
      <c r="C94" s="12"/>
      <c r="D94" s="13"/>
      <c r="F94" s="14"/>
      <c r="G94" s="14"/>
      <c r="H94" s="14"/>
      <c r="I94" s="14"/>
      <c r="J94" s="14"/>
      <c r="K94" s="12"/>
    </row>
    <row r="95" ht="19.5" customHeight="1">
      <c r="A95" s="12"/>
      <c r="C95" s="12"/>
      <c r="D95" s="13"/>
      <c r="F95" s="14"/>
      <c r="G95" s="14"/>
      <c r="H95" s="14"/>
      <c r="I95" s="14"/>
      <c r="J95" s="14"/>
      <c r="K95" s="12"/>
    </row>
    <row r="96" ht="19.5" customHeight="1">
      <c r="A96" s="12"/>
      <c r="C96" s="12"/>
      <c r="D96" s="13"/>
      <c r="F96" s="14"/>
      <c r="G96" s="14"/>
      <c r="H96" s="14"/>
      <c r="I96" s="14"/>
      <c r="J96" s="14"/>
      <c r="K96" s="12"/>
    </row>
    <row r="97" ht="19.5" customHeight="1">
      <c r="A97" s="12"/>
      <c r="C97" s="12"/>
      <c r="D97" s="13"/>
      <c r="F97" s="14"/>
      <c r="G97" s="14"/>
      <c r="H97" s="14"/>
      <c r="I97" s="14"/>
      <c r="J97" s="14"/>
      <c r="K97" s="12"/>
    </row>
    <row r="98" ht="19.5" customHeight="1">
      <c r="A98" s="12"/>
      <c r="C98" s="12"/>
      <c r="D98" s="13"/>
      <c r="F98" s="14"/>
      <c r="G98" s="14"/>
      <c r="H98" s="14"/>
      <c r="I98" s="14"/>
      <c r="J98" s="14"/>
      <c r="K98" s="12"/>
    </row>
    <row r="99" ht="19.5" customHeight="1">
      <c r="A99" s="12"/>
      <c r="C99" s="12"/>
      <c r="D99" s="13"/>
      <c r="F99" s="14"/>
      <c r="G99" s="14"/>
      <c r="H99" s="14"/>
      <c r="I99" s="14"/>
      <c r="J99" s="14"/>
      <c r="K99" s="12"/>
    </row>
    <row r="100" ht="19.5" customHeight="1">
      <c r="A100" s="12"/>
      <c r="C100" s="12"/>
      <c r="D100" s="13"/>
      <c r="F100" s="14"/>
      <c r="G100" s="14"/>
      <c r="H100" s="14"/>
      <c r="I100" s="14"/>
      <c r="J100" s="14"/>
      <c r="K100" s="12"/>
    </row>
    <row r="101" ht="19.5" customHeight="1">
      <c r="A101" s="12"/>
      <c r="C101" s="12"/>
      <c r="D101" s="13"/>
      <c r="F101" s="14"/>
      <c r="G101" s="14"/>
      <c r="H101" s="14"/>
      <c r="I101" s="14"/>
      <c r="J101" s="14"/>
      <c r="K101" s="12"/>
    </row>
    <row r="102" ht="19.5" customHeight="1">
      <c r="A102" s="12"/>
      <c r="C102" s="12"/>
      <c r="D102" s="13"/>
      <c r="F102" s="14"/>
      <c r="G102" s="14"/>
      <c r="H102" s="14"/>
      <c r="I102" s="14"/>
      <c r="J102" s="14"/>
      <c r="K102" s="12"/>
    </row>
    <row r="103" ht="19.5" customHeight="1">
      <c r="A103" s="12"/>
      <c r="C103" s="12"/>
      <c r="D103" s="13"/>
      <c r="F103" s="14"/>
      <c r="G103" s="14"/>
      <c r="H103" s="14"/>
      <c r="I103" s="14"/>
      <c r="J103" s="14"/>
      <c r="K103" s="12"/>
    </row>
    <row r="104" ht="19.5" customHeight="1">
      <c r="A104" s="12"/>
      <c r="C104" s="12"/>
      <c r="D104" s="13"/>
      <c r="F104" s="14"/>
      <c r="G104" s="14"/>
      <c r="H104" s="14"/>
      <c r="I104" s="14"/>
      <c r="J104" s="14"/>
      <c r="K104" s="12"/>
    </row>
    <row r="105" ht="19.5" customHeight="1">
      <c r="A105" s="12"/>
      <c r="C105" s="12"/>
      <c r="D105" s="13"/>
      <c r="F105" s="14"/>
      <c r="G105" s="14"/>
      <c r="H105" s="14"/>
      <c r="I105" s="14"/>
      <c r="J105" s="14"/>
      <c r="K105" s="12"/>
    </row>
    <row r="106" ht="19.5" customHeight="1">
      <c r="A106" s="12"/>
      <c r="C106" s="12"/>
      <c r="D106" s="13"/>
      <c r="F106" s="14"/>
      <c r="G106" s="14"/>
      <c r="H106" s="14"/>
      <c r="I106" s="14"/>
      <c r="J106" s="14"/>
      <c r="K106" s="12"/>
    </row>
    <row r="107" ht="19.5" customHeight="1">
      <c r="A107" s="12"/>
      <c r="C107" s="12"/>
      <c r="D107" s="13"/>
      <c r="F107" s="14"/>
      <c r="G107" s="14"/>
      <c r="H107" s="14"/>
      <c r="I107" s="14"/>
      <c r="J107" s="14"/>
      <c r="K107" s="12"/>
    </row>
    <row r="108" ht="19.5" customHeight="1">
      <c r="A108" s="12"/>
      <c r="C108" s="12"/>
      <c r="D108" s="13"/>
      <c r="F108" s="14"/>
      <c r="G108" s="14"/>
      <c r="H108" s="14"/>
      <c r="I108" s="14"/>
      <c r="J108" s="14"/>
      <c r="K108" s="12"/>
    </row>
    <row r="109" ht="19.5" customHeight="1">
      <c r="A109" s="12"/>
      <c r="C109" s="12"/>
      <c r="D109" s="13"/>
      <c r="F109" s="14"/>
      <c r="G109" s="14"/>
      <c r="H109" s="14"/>
      <c r="I109" s="14"/>
      <c r="J109" s="14"/>
      <c r="K109" s="12"/>
    </row>
    <row r="110" ht="19.5" customHeight="1">
      <c r="A110" s="12"/>
      <c r="C110" s="12"/>
      <c r="D110" s="13"/>
      <c r="F110" s="14"/>
      <c r="G110" s="14"/>
      <c r="H110" s="14"/>
      <c r="I110" s="14"/>
      <c r="J110" s="14"/>
      <c r="K110" s="12"/>
    </row>
    <row r="111" ht="19.5" customHeight="1">
      <c r="A111" s="12"/>
      <c r="C111" s="12"/>
      <c r="D111" s="13"/>
      <c r="F111" s="14"/>
      <c r="G111" s="14"/>
      <c r="H111" s="14"/>
      <c r="I111" s="14"/>
      <c r="J111" s="14"/>
      <c r="K111" s="12"/>
    </row>
    <row r="112" ht="19.5" customHeight="1">
      <c r="A112" s="12"/>
      <c r="C112" s="12"/>
      <c r="D112" s="13"/>
      <c r="F112" s="14"/>
      <c r="G112" s="14"/>
      <c r="H112" s="14"/>
      <c r="I112" s="14"/>
      <c r="J112" s="14"/>
      <c r="K112" s="12"/>
    </row>
    <row r="113" ht="19.5" customHeight="1">
      <c r="A113" s="12"/>
      <c r="C113" s="12"/>
      <c r="D113" s="13"/>
      <c r="F113" s="14"/>
      <c r="G113" s="14"/>
      <c r="H113" s="14"/>
      <c r="I113" s="14"/>
      <c r="J113" s="14"/>
      <c r="K113" s="12"/>
    </row>
    <row r="114" ht="19.5" customHeight="1">
      <c r="A114" s="12"/>
      <c r="C114" s="12"/>
      <c r="D114" s="13"/>
      <c r="F114" s="14"/>
      <c r="G114" s="14"/>
      <c r="H114" s="14"/>
      <c r="I114" s="14"/>
      <c r="J114" s="14"/>
      <c r="K114" s="12"/>
    </row>
    <row r="115" ht="19.5" customHeight="1">
      <c r="A115" s="12"/>
      <c r="C115" s="12"/>
      <c r="D115" s="13"/>
      <c r="F115" s="14"/>
      <c r="G115" s="14"/>
      <c r="H115" s="14"/>
      <c r="I115" s="14"/>
      <c r="J115" s="14"/>
      <c r="K115" s="12"/>
    </row>
    <row r="116" ht="19.5" customHeight="1">
      <c r="A116" s="12"/>
      <c r="C116" s="12"/>
      <c r="D116" s="13"/>
      <c r="F116" s="14"/>
      <c r="G116" s="14"/>
      <c r="H116" s="14"/>
      <c r="I116" s="14"/>
      <c r="J116" s="14"/>
      <c r="K116" s="12"/>
    </row>
    <row r="117" ht="19.5" customHeight="1">
      <c r="A117" s="12"/>
      <c r="C117" s="12"/>
      <c r="D117" s="13"/>
      <c r="F117" s="14"/>
      <c r="G117" s="14"/>
      <c r="H117" s="14"/>
      <c r="I117" s="14"/>
      <c r="J117" s="14"/>
      <c r="K117" s="12"/>
    </row>
    <row r="118" ht="19.5" customHeight="1">
      <c r="A118" s="12"/>
      <c r="C118" s="12"/>
      <c r="D118" s="13"/>
      <c r="F118" s="14"/>
      <c r="G118" s="14"/>
      <c r="H118" s="14"/>
      <c r="I118" s="14"/>
      <c r="J118" s="14"/>
      <c r="K118" s="12"/>
    </row>
    <row r="119" ht="19.5" customHeight="1">
      <c r="A119" s="12"/>
      <c r="C119" s="12"/>
      <c r="D119" s="13"/>
      <c r="F119" s="14"/>
      <c r="G119" s="14"/>
      <c r="H119" s="14"/>
      <c r="I119" s="14"/>
      <c r="J119" s="14"/>
      <c r="K119" s="12"/>
    </row>
    <row r="120" ht="19.5" customHeight="1">
      <c r="A120" s="12"/>
      <c r="C120" s="12"/>
      <c r="D120" s="13"/>
      <c r="F120" s="14"/>
      <c r="G120" s="14"/>
      <c r="H120" s="14"/>
      <c r="I120" s="14"/>
      <c r="J120" s="14"/>
      <c r="K120" s="12"/>
    </row>
    <row r="121" ht="19.5" customHeight="1">
      <c r="A121" s="12"/>
      <c r="C121" s="12"/>
      <c r="D121" s="13"/>
      <c r="F121" s="14"/>
      <c r="G121" s="14"/>
      <c r="H121" s="14"/>
      <c r="I121" s="14"/>
      <c r="J121" s="14"/>
      <c r="K121" s="12"/>
    </row>
    <row r="122" ht="19.5" customHeight="1">
      <c r="A122" s="12"/>
      <c r="C122" s="12"/>
      <c r="D122" s="13"/>
      <c r="F122" s="14"/>
      <c r="G122" s="14"/>
      <c r="H122" s="14"/>
      <c r="I122" s="14"/>
      <c r="J122" s="14"/>
      <c r="K122" s="12"/>
    </row>
    <row r="123" ht="19.5" customHeight="1">
      <c r="A123" s="12"/>
      <c r="C123" s="12"/>
      <c r="D123" s="13"/>
      <c r="F123" s="14"/>
      <c r="G123" s="14"/>
      <c r="H123" s="14"/>
      <c r="I123" s="14"/>
      <c r="J123" s="14"/>
      <c r="K123" s="12"/>
    </row>
    <row r="124" ht="19.5" customHeight="1">
      <c r="A124" s="12"/>
      <c r="C124" s="12"/>
      <c r="D124" s="13"/>
      <c r="F124" s="14"/>
      <c r="G124" s="14"/>
      <c r="H124" s="14"/>
      <c r="I124" s="14"/>
      <c r="J124" s="14"/>
      <c r="K124" s="12"/>
    </row>
    <row r="125" ht="19.5" customHeight="1">
      <c r="A125" s="12"/>
      <c r="C125" s="12"/>
      <c r="D125" s="13"/>
      <c r="F125" s="14"/>
      <c r="G125" s="14"/>
      <c r="H125" s="14"/>
      <c r="I125" s="14"/>
      <c r="J125" s="14"/>
      <c r="K125" s="12"/>
    </row>
    <row r="126" ht="19.5" customHeight="1">
      <c r="A126" s="12"/>
      <c r="C126" s="12"/>
      <c r="D126" s="13"/>
      <c r="F126" s="14"/>
      <c r="G126" s="14"/>
      <c r="H126" s="14"/>
      <c r="I126" s="14"/>
      <c r="J126" s="14"/>
      <c r="K126" s="12"/>
    </row>
    <row r="127" ht="19.5" customHeight="1">
      <c r="A127" s="12"/>
      <c r="C127" s="12"/>
      <c r="D127" s="13"/>
      <c r="F127" s="14"/>
      <c r="G127" s="14"/>
      <c r="H127" s="14"/>
      <c r="I127" s="14"/>
      <c r="J127" s="14"/>
      <c r="K127" s="12"/>
    </row>
    <row r="128" ht="19.5" customHeight="1">
      <c r="A128" s="12"/>
      <c r="C128" s="12"/>
      <c r="D128" s="13"/>
      <c r="F128" s="14"/>
      <c r="G128" s="14"/>
      <c r="H128" s="14"/>
      <c r="I128" s="14"/>
      <c r="J128" s="14"/>
      <c r="K128" s="12"/>
    </row>
    <row r="129" ht="19.5" customHeight="1">
      <c r="A129" s="12"/>
      <c r="C129" s="12"/>
      <c r="D129" s="13"/>
      <c r="F129" s="14"/>
      <c r="G129" s="14"/>
      <c r="H129" s="14"/>
      <c r="I129" s="14"/>
      <c r="J129" s="14"/>
      <c r="K129" s="12"/>
    </row>
    <row r="130" ht="19.5" customHeight="1">
      <c r="A130" s="12"/>
      <c r="C130" s="12"/>
      <c r="D130" s="13"/>
      <c r="F130" s="14"/>
      <c r="G130" s="14"/>
      <c r="H130" s="14"/>
      <c r="I130" s="14"/>
      <c r="J130" s="14"/>
      <c r="K130" s="12"/>
    </row>
    <row r="131" ht="19.5" customHeight="1">
      <c r="A131" s="12"/>
      <c r="C131" s="12"/>
      <c r="D131" s="13"/>
      <c r="F131" s="14"/>
      <c r="G131" s="14"/>
      <c r="H131" s="14"/>
      <c r="I131" s="14"/>
      <c r="J131" s="14"/>
      <c r="K131" s="12"/>
    </row>
    <row r="132" ht="19.5" customHeight="1">
      <c r="A132" s="12"/>
      <c r="C132" s="12"/>
      <c r="D132" s="13"/>
      <c r="F132" s="14"/>
      <c r="G132" s="14"/>
      <c r="H132" s="14"/>
      <c r="I132" s="14"/>
      <c r="J132" s="14"/>
      <c r="K132" s="12"/>
    </row>
    <row r="133" ht="19.5" customHeight="1">
      <c r="A133" s="12"/>
      <c r="C133" s="12"/>
      <c r="D133" s="13"/>
      <c r="F133" s="14"/>
      <c r="G133" s="14"/>
      <c r="H133" s="14"/>
      <c r="I133" s="14"/>
      <c r="J133" s="14"/>
      <c r="K133" s="12"/>
    </row>
    <row r="134" ht="19.5" customHeight="1">
      <c r="A134" s="12"/>
      <c r="C134" s="12"/>
      <c r="D134" s="13"/>
      <c r="F134" s="14"/>
      <c r="G134" s="14"/>
      <c r="H134" s="14"/>
      <c r="I134" s="14"/>
      <c r="J134" s="14"/>
      <c r="K134" s="12"/>
    </row>
    <row r="135" ht="19.5" customHeight="1">
      <c r="A135" s="12"/>
      <c r="C135" s="12"/>
      <c r="D135" s="13"/>
      <c r="F135" s="14"/>
      <c r="G135" s="14"/>
      <c r="H135" s="14"/>
      <c r="I135" s="14"/>
      <c r="J135" s="14"/>
      <c r="K135" s="12"/>
    </row>
    <row r="136" ht="19.5" customHeight="1">
      <c r="A136" s="12"/>
      <c r="C136" s="12"/>
      <c r="D136" s="13"/>
      <c r="F136" s="14"/>
      <c r="G136" s="14"/>
      <c r="H136" s="14"/>
      <c r="I136" s="14"/>
      <c r="J136" s="14"/>
      <c r="K136" s="12"/>
    </row>
    <row r="137" ht="19.5" customHeight="1">
      <c r="A137" s="12"/>
      <c r="C137" s="12"/>
      <c r="D137" s="13"/>
      <c r="F137" s="14"/>
      <c r="G137" s="14"/>
      <c r="H137" s="14"/>
      <c r="I137" s="14"/>
      <c r="J137" s="14"/>
      <c r="K137" s="12"/>
    </row>
    <row r="138" ht="19.5" customHeight="1">
      <c r="A138" s="12"/>
      <c r="C138" s="12"/>
      <c r="D138" s="13"/>
      <c r="F138" s="14"/>
      <c r="G138" s="14"/>
      <c r="H138" s="14"/>
      <c r="I138" s="14"/>
      <c r="J138" s="14"/>
      <c r="K138" s="12"/>
    </row>
    <row r="139" ht="19.5" customHeight="1">
      <c r="A139" s="12"/>
      <c r="C139" s="12"/>
      <c r="D139" s="13"/>
      <c r="F139" s="14"/>
      <c r="G139" s="14"/>
      <c r="H139" s="14"/>
      <c r="I139" s="14"/>
      <c r="J139" s="14"/>
      <c r="K139" s="12"/>
    </row>
    <row r="140" ht="19.5" customHeight="1">
      <c r="A140" s="12"/>
      <c r="C140" s="12"/>
      <c r="D140" s="13"/>
      <c r="F140" s="14"/>
      <c r="G140" s="14"/>
      <c r="H140" s="14"/>
      <c r="I140" s="14"/>
      <c r="J140" s="14"/>
      <c r="K140" s="12"/>
    </row>
    <row r="141" ht="19.5" customHeight="1">
      <c r="A141" s="12"/>
      <c r="C141" s="12"/>
      <c r="D141" s="13"/>
      <c r="F141" s="14"/>
      <c r="G141" s="14"/>
      <c r="H141" s="14"/>
      <c r="I141" s="14"/>
      <c r="J141" s="14"/>
      <c r="K141" s="12"/>
    </row>
    <row r="142" ht="19.5" customHeight="1">
      <c r="A142" s="12"/>
      <c r="C142" s="12"/>
      <c r="D142" s="13"/>
      <c r="F142" s="14"/>
      <c r="G142" s="14"/>
      <c r="H142" s="14"/>
      <c r="I142" s="14"/>
      <c r="J142" s="14"/>
      <c r="K142" s="12"/>
    </row>
    <row r="143" ht="19.5" customHeight="1">
      <c r="A143" s="12"/>
      <c r="C143" s="12"/>
      <c r="D143" s="13"/>
      <c r="F143" s="14"/>
      <c r="G143" s="14"/>
      <c r="H143" s="14"/>
      <c r="I143" s="14"/>
      <c r="J143" s="14"/>
      <c r="K143" s="12"/>
    </row>
    <row r="144" ht="19.5" customHeight="1">
      <c r="A144" s="12"/>
      <c r="C144" s="12"/>
      <c r="D144" s="13"/>
      <c r="F144" s="14"/>
      <c r="G144" s="14"/>
      <c r="H144" s="14"/>
      <c r="I144" s="14"/>
      <c r="J144" s="14"/>
      <c r="K144" s="12"/>
    </row>
    <row r="145" ht="19.5" customHeight="1">
      <c r="A145" s="12"/>
      <c r="C145" s="12"/>
      <c r="D145" s="13"/>
      <c r="F145" s="14"/>
      <c r="G145" s="14"/>
      <c r="H145" s="14"/>
      <c r="I145" s="14"/>
      <c r="J145" s="14"/>
      <c r="K145" s="12"/>
    </row>
    <row r="146" ht="19.5" customHeight="1">
      <c r="A146" s="12"/>
      <c r="C146" s="12"/>
      <c r="D146" s="13"/>
      <c r="F146" s="14"/>
      <c r="G146" s="14"/>
      <c r="H146" s="14"/>
      <c r="I146" s="14"/>
      <c r="J146" s="14"/>
      <c r="K146" s="12"/>
    </row>
    <row r="147" ht="19.5" customHeight="1">
      <c r="A147" s="12"/>
      <c r="C147" s="12"/>
      <c r="D147" s="13"/>
      <c r="F147" s="14"/>
      <c r="G147" s="14"/>
      <c r="H147" s="14"/>
      <c r="I147" s="14"/>
      <c r="J147" s="14"/>
      <c r="K147" s="12"/>
    </row>
    <row r="148" ht="19.5" customHeight="1">
      <c r="A148" s="12"/>
      <c r="C148" s="12"/>
      <c r="D148" s="13"/>
      <c r="F148" s="14"/>
      <c r="G148" s="14"/>
      <c r="H148" s="14"/>
      <c r="I148" s="14"/>
      <c r="J148" s="14"/>
      <c r="K148" s="12"/>
    </row>
    <row r="149" ht="19.5" customHeight="1">
      <c r="A149" s="12"/>
      <c r="C149" s="12"/>
      <c r="D149" s="13"/>
      <c r="F149" s="14"/>
      <c r="G149" s="14"/>
      <c r="H149" s="14"/>
      <c r="I149" s="14"/>
      <c r="J149" s="14"/>
      <c r="K149" s="12"/>
    </row>
    <row r="150" ht="19.5" customHeight="1">
      <c r="A150" s="12"/>
      <c r="C150" s="12"/>
      <c r="D150" s="13"/>
      <c r="F150" s="14"/>
      <c r="G150" s="14"/>
      <c r="H150" s="14"/>
      <c r="I150" s="14"/>
      <c r="J150" s="14"/>
      <c r="K150" s="12"/>
    </row>
    <row r="151" ht="19.5" customHeight="1">
      <c r="A151" s="12"/>
      <c r="C151" s="12"/>
      <c r="D151" s="13"/>
      <c r="F151" s="14"/>
      <c r="G151" s="14"/>
      <c r="H151" s="14"/>
      <c r="I151" s="14"/>
      <c r="J151" s="14"/>
      <c r="K151" s="12"/>
    </row>
    <row r="152" ht="19.5" customHeight="1">
      <c r="A152" s="12"/>
      <c r="C152" s="12"/>
      <c r="D152" s="13"/>
      <c r="F152" s="14"/>
      <c r="G152" s="14"/>
      <c r="H152" s="14"/>
      <c r="I152" s="14"/>
      <c r="J152" s="14"/>
      <c r="K152" s="12"/>
    </row>
    <row r="153" ht="19.5" customHeight="1">
      <c r="A153" s="12"/>
      <c r="C153" s="12"/>
      <c r="D153" s="13"/>
      <c r="F153" s="14"/>
      <c r="G153" s="14"/>
      <c r="H153" s="14"/>
      <c r="I153" s="14"/>
      <c r="J153" s="14"/>
      <c r="K153" s="12"/>
    </row>
    <row r="154" ht="19.5" customHeight="1">
      <c r="A154" s="12"/>
      <c r="C154" s="12"/>
      <c r="D154" s="13"/>
      <c r="F154" s="14"/>
      <c r="G154" s="14"/>
      <c r="H154" s="14"/>
      <c r="I154" s="14"/>
      <c r="J154" s="14"/>
      <c r="K154" s="12"/>
    </row>
    <row r="155" ht="19.5" customHeight="1">
      <c r="A155" s="12"/>
      <c r="C155" s="12"/>
      <c r="D155" s="13"/>
      <c r="F155" s="14"/>
      <c r="G155" s="14"/>
      <c r="H155" s="14"/>
      <c r="I155" s="14"/>
      <c r="J155" s="14"/>
      <c r="K155" s="12"/>
    </row>
    <row r="156" ht="19.5" customHeight="1">
      <c r="A156" s="12"/>
      <c r="C156" s="12"/>
      <c r="D156" s="13"/>
      <c r="F156" s="14"/>
      <c r="G156" s="14"/>
      <c r="H156" s="14"/>
      <c r="I156" s="14"/>
      <c r="J156" s="14"/>
      <c r="K156" s="12"/>
    </row>
    <row r="157" ht="19.5" customHeight="1">
      <c r="A157" s="12"/>
      <c r="C157" s="12"/>
      <c r="D157" s="13"/>
      <c r="F157" s="14"/>
      <c r="G157" s="14"/>
      <c r="H157" s="14"/>
      <c r="I157" s="14"/>
      <c r="J157" s="14"/>
      <c r="K157" s="12"/>
    </row>
    <row r="158" ht="19.5" customHeight="1">
      <c r="A158" s="12"/>
      <c r="C158" s="12"/>
      <c r="D158" s="13"/>
      <c r="F158" s="14"/>
      <c r="G158" s="14"/>
      <c r="H158" s="14"/>
      <c r="I158" s="14"/>
      <c r="J158" s="14"/>
      <c r="K158" s="12"/>
    </row>
    <row r="159" ht="19.5" customHeight="1">
      <c r="A159" s="12"/>
      <c r="C159" s="12"/>
      <c r="D159" s="13"/>
      <c r="F159" s="14"/>
      <c r="G159" s="14"/>
      <c r="H159" s="14"/>
      <c r="I159" s="14"/>
      <c r="J159" s="14"/>
      <c r="K159" s="12"/>
    </row>
    <row r="160" ht="19.5" customHeight="1">
      <c r="A160" s="12"/>
      <c r="C160" s="12"/>
      <c r="D160" s="13"/>
      <c r="F160" s="14"/>
      <c r="G160" s="14"/>
      <c r="H160" s="14"/>
      <c r="I160" s="14"/>
      <c r="J160" s="14"/>
      <c r="K160" s="12"/>
    </row>
    <row r="161" ht="19.5" customHeight="1">
      <c r="A161" s="12"/>
      <c r="C161" s="12"/>
      <c r="D161" s="13"/>
      <c r="F161" s="14"/>
      <c r="G161" s="14"/>
      <c r="H161" s="14"/>
      <c r="I161" s="14"/>
      <c r="J161" s="14"/>
      <c r="K161" s="12"/>
    </row>
    <row r="162" ht="19.5" customHeight="1">
      <c r="A162" s="12"/>
      <c r="C162" s="12"/>
      <c r="D162" s="13"/>
      <c r="F162" s="14"/>
      <c r="G162" s="14"/>
      <c r="H162" s="14"/>
      <c r="I162" s="14"/>
      <c r="J162" s="14"/>
      <c r="K162" s="12"/>
    </row>
    <row r="163" ht="19.5" customHeight="1">
      <c r="A163" s="12"/>
      <c r="C163" s="12"/>
      <c r="D163" s="13"/>
      <c r="F163" s="14"/>
      <c r="G163" s="14"/>
      <c r="H163" s="14"/>
      <c r="I163" s="14"/>
      <c r="J163" s="14"/>
      <c r="K163" s="12"/>
    </row>
    <row r="164" ht="19.5" customHeight="1">
      <c r="A164" s="12"/>
      <c r="C164" s="12"/>
      <c r="D164" s="13"/>
      <c r="F164" s="14"/>
      <c r="G164" s="14"/>
      <c r="H164" s="14"/>
      <c r="I164" s="14"/>
      <c r="J164" s="14"/>
      <c r="K164" s="12"/>
    </row>
    <row r="165" ht="19.5" customHeight="1">
      <c r="A165" s="12"/>
      <c r="C165" s="12"/>
      <c r="D165" s="13"/>
      <c r="F165" s="14"/>
      <c r="G165" s="14"/>
      <c r="H165" s="14"/>
      <c r="I165" s="14"/>
      <c r="J165" s="14"/>
      <c r="K165" s="12"/>
    </row>
    <row r="166" ht="19.5" customHeight="1">
      <c r="A166" s="12"/>
      <c r="C166" s="12"/>
      <c r="D166" s="13"/>
      <c r="F166" s="14"/>
      <c r="G166" s="14"/>
      <c r="H166" s="14"/>
      <c r="I166" s="14"/>
      <c r="J166" s="14"/>
      <c r="K166" s="12"/>
    </row>
    <row r="167" ht="19.5" customHeight="1">
      <c r="A167" s="12"/>
      <c r="C167" s="12"/>
      <c r="D167" s="13"/>
      <c r="F167" s="14"/>
      <c r="G167" s="14"/>
      <c r="H167" s="14"/>
      <c r="I167" s="14"/>
      <c r="J167" s="14"/>
      <c r="K167" s="12"/>
    </row>
    <row r="168" ht="19.5" customHeight="1">
      <c r="A168" s="12"/>
      <c r="C168" s="12"/>
      <c r="D168" s="13"/>
      <c r="F168" s="14"/>
      <c r="G168" s="14"/>
      <c r="H168" s="14"/>
      <c r="I168" s="14"/>
      <c r="J168" s="14"/>
      <c r="K168" s="12"/>
    </row>
    <row r="169" ht="19.5" customHeight="1">
      <c r="A169" s="12"/>
      <c r="C169" s="12"/>
      <c r="D169" s="13"/>
      <c r="F169" s="14"/>
      <c r="G169" s="14"/>
      <c r="H169" s="14"/>
      <c r="I169" s="14"/>
      <c r="J169" s="14"/>
      <c r="K169" s="12"/>
    </row>
    <row r="170" ht="19.5" customHeight="1">
      <c r="A170" s="12"/>
      <c r="C170" s="12"/>
      <c r="D170" s="13"/>
      <c r="F170" s="14"/>
      <c r="G170" s="14"/>
      <c r="H170" s="14"/>
      <c r="I170" s="14"/>
      <c r="J170" s="14"/>
      <c r="K170" s="12"/>
    </row>
    <row r="171" ht="19.5" customHeight="1">
      <c r="A171" s="12"/>
      <c r="C171" s="12"/>
      <c r="D171" s="13"/>
      <c r="F171" s="14"/>
      <c r="G171" s="14"/>
      <c r="H171" s="14"/>
      <c r="I171" s="14"/>
      <c r="J171" s="14"/>
      <c r="K171" s="12"/>
    </row>
    <row r="172" ht="19.5" customHeight="1">
      <c r="A172" s="12"/>
      <c r="C172" s="12"/>
      <c r="D172" s="13"/>
      <c r="F172" s="14"/>
      <c r="G172" s="14"/>
      <c r="H172" s="14"/>
      <c r="I172" s="14"/>
      <c r="J172" s="14"/>
      <c r="K172" s="12"/>
    </row>
    <row r="173" ht="19.5" customHeight="1">
      <c r="A173" s="12"/>
      <c r="C173" s="12"/>
      <c r="D173" s="13"/>
      <c r="F173" s="14"/>
      <c r="G173" s="14"/>
      <c r="H173" s="14"/>
      <c r="I173" s="14"/>
      <c r="J173" s="14"/>
      <c r="K173" s="12"/>
    </row>
    <row r="174" ht="19.5" customHeight="1">
      <c r="A174" s="12"/>
      <c r="C174" s="12"/>
      <c r="D174" s="13"/>
      <c r="F174" s="14"/>
      <c r="G174" s="14"/>
      <c r="H174" s="14"/>
      <c r="I174" s="14"/>
      <c r="J174" s="14"/>
      <c r="K174" s="12"/>
    </row>
    <row r="175" ht="19.5" customHeight="1">
      <c r="A175" s="12"/>
      <c r="C175" s="12"/>
      <c r="D175" s="13"/>
      <c r="F175" s="14"/>
      <c r="G175" s="14"/>
      <c r="H175" s="14"/>
      <c r="I175" s="14"/>
      <c r="J175" s="14"/>
      <c r="K175" s="12"/>
    </row>
    <row r="176" ht="19.5" customHeight="1">
      <c r="A176" s="12"/>
      <c r="C176" s="12"/>
      <c r="D176" s="13"/>
      <c r="F176" s="14"/>
      <c r="G176" s="14"/>
      <c r="H176" s="14"/>
      <c r="I176" s="14"/>
      <c r="J176" s="14"/>
      <c r="K176" s="12"/>
    </row>
    <row r="177" ht="19.5" customHeight="1">
      <c r="A177" s="12"/>
      <c r="C177" s="12"/>
      <c r="D177" s="13"/>
      <c r="F177" s="14"/>
      <c r="G177" s="14"/>
      <c r="H177" s="14"/>
      <c r="I177" s="14"/>
      <c r="J177" s="14"/>
      <c r="K177" s="12"/>
    </row>
    <row r="178" ht="19.5" customHeight="1">
      <c r="A178" s="12"/>
      <c r="C178" s="12"/>
      <c r="D178" s="13"/>
      <c r="F178" s="14"/>
      <c r="G178" s="14"/>
      <c r="H178" s="14"/>
      <c r="I178" s="14"/>
      <c r="J178" s="14"/>
      <c r="K178" s="12"/>
    </row>
    <row r="179" ht="19.5" customHeight="1">
      <c r="A179" s="12"/>
      <c r="C179" s="12"/>
      <c r="D179" s="13"/>
      <c r="F179" s="14"/>
      <c r="G179" s="14"/>
      <c r="H179" s="14"/>
      <c r="I179" s="14"/>
      <c r="J179" s="14"/>
      <c r="K179" s="12"/>
    </row>
    <row r="180" ht="19.5" customHeight="1">
      <c r="A180" s="12"/>
      <c r="C180" s="12"/>
      <c r="D180" s="13"/>
      <c r="F180" s="14"/>
      <c r="G180" s="14"/>
      <c r="H180" s="14"/>
      <c r="I180" s="14"/>
      <c r="J180" s="14"/>
      <c r="K180" s="12"/>
    </row>
    <row r="181" ht="19.5" customHeight="1">
      <c r="A181" s="12"/>
      <c r="C181" s="12"/>
      <c r="D181" s="13"/>
      <c r="F181" s="14"/>
      <c r="G181" s="14"/>
      <c r="H181" s="14"/>
      <c r="I181" s="14"/>
      <c r="J181" s="14"/>
      <c r="K181" s="12"/>
    </row>
    <row r="182" ht="19.5" customHeight="1">
      <c r="A182" s="12"/>
      <c r="C182" s="12"/>
      <c r="D182" s="13"/>
      <c r="F182" s="14"/>
      <c r="G182" s="14"/>
      <c r="H182" s="14"/>
      <c r="I182" s="14"/>
      <c r="J182" s="14"/>
      <c r="K182" s="12"/>
    </row>
    <row r="183" ht="19.5" customHeight="1">
      <c r="A183" s="12"/>
      <c r="C183" s="12"/>
      <c r="D183" s="13"/>
      <c r="F183" s="14"/>
      <c r="G183" s="14"/>
      <c r="H183" s="14"/>
      <c r="I183" s="14"/>
      <c r="J183" s="14"/>
      <c r="K183" s="12"/>
    </row>
    <row r="184" ht="19.5" customHeight="1">
      <c r="A184" s="12"/>
      <c r="C184" s="12"/>
      <c r="D184" s="13"/>
      <c r="F184" s="14"/>
      <c r="G184" s="14"/>
      <c r="H184" s="14"/>
      <c r="I184" s="14"/>
      <c r="J184" s="14"/>
      <c r="K184" s="12"/>
    </row>
    <row r="185" ht="19.5" customHeight="1">
      <c r="A185" s="12"/>
      <c r="C185" s="12"/>
      <c r="D185" s="13"/>
      <c r="F185" s="14"/>
      <c r="G185" s="14"/>
      <c r="H185" s="14"/>
      <c r="I185" s="14"/>
      <c r="J185" s="14"/>
      <c r="K185" s="12"/>
    </row>
    <row r="186" ht="19.5" customHeight="1">
      <c r="A186" s="12"/>
      <c r="C186" s="12"/>
      <c r="D186" s="13"/>
      <c r="F186" s="14"/>
      <c r="G186" s="14"/>
      <c r="H186" s="14"/>
      <c r="I186" s="14"/>
      <c r="J186" s="14"/>
      <c r="K186" s="12"/>
    </row>
    <row r="187" ht="19.5" customHeight="1">
      <c r="A187" s="12"/>
      <c r="C187" s="12"/>
      <c r="D187" s="13"/>
      <c r="F187" s="14"/>
      <c r="G187" s="14"/>
      <c r="H187" s="14"/>
      <c r="I187" s="14"/>
      <c r="J187" s="14"/>
      <c r="K187" s="12"/>
    </row>
    <row r="188" ht="19.5" customHeight="1">
      <c r="A188" s="12"/>
      <c r="C188" s="12"/>
      <c r="D188" s="13"/>
      <c r="F188" s="14"/>
      <c r="G188" s="14"/>
      <c r="H188" s="14"/>
      <c r="I188" s="14"/>
      <c r="J188" s="14"/>
      <c r="K188" s="12"/>
    </row>
    <row r="189" ht="19.5" customHeight="1">
      <c r="A189" s="12"/>
      <c r="C189" s="12"/>
      <c r="D189" s="13"/>
      <c r="F189" s="14"/>
      <c r="G189" s="14"/>
      <c r="H189" s="14"/>
      <c r="I189" s="14"/>
      <c r="J189" s="14"/>
      <c r="K189" s="12"/>
    </row>
    <row r="190" ht="19.5" customHeight="1">
      <c r="A190" s="12"/>
      <c r="C190" s="12"/>
      <c r="D190" s="13"/>
      <c r="F190" s="14"/>
      <c r="G190" s="14"/>
      <c r="H190" s="14"/>
      <c r="I190" s="14"/>
      <c r="J190" s="14"/>
      <c r="K190" s="12"/>
    </row>
    <row r="191" ht="19.5" customHeight="1">
      <c r="A191" s="12"/>
      <c r="C191" s="12"/>
      <c r="D191" s="13"/>
      <c r="F191" s="14"/>
      <c r="G191" s="14"/>
      <c r="H191" s="14"/>
      <c r="I191" s="14"/>
      <c r="J191" s="14"/>
      <c r="K191" s="12"/>
    </row>
    <row r="192" ht="19.5" customHeight="1">
      <c r="A192" s="12"/>
      <c r="C192" s="12"/>
      <c r="D192" s="13"/>
      <c r="F192" s="14"/>
      <c r="G192" s="14"/>
      <c r="H192" s="14"/>
      <c r="I192" s="14"/>
      <c r="J192" s="14"/>
      <c r="K192" s="12"/>
    </row>
    <row r="193" ht="19.5" customHeight="1">
      <c r="A193" s="12"/>
      <c r="C193" s="12"/>
      <c r="D193" s="13"/>
      <c r="F193" s="14"/>
      <c r="G193" s="14"/>
      <c r="H193" s="14"/>
      <c r="I193" s="14"/>
      <c r="J193" s="14"/>
      <c r="K193" s="12"/>
    </row>
    <row r="194" ht="19.5" customHeight="1">
      <c r="A194" s="12"/>
      <c r="C194" s="12"/>
      <c r="D194" s="13"/>
      <c r="F194" s="14"/>
      <c r="G194" s="14"/>
      <c r="H194" s="14"/>
      <c r="I194" s="14"/>
      <c r="J194" s="14"/>
      <c r="K194" s="12"/>
    </row>
    <row r="195" ht="19.5" customHeight="1">
      <c r="A195" s="12"/>
      <c r="C195" s="12"/>
      <c r="D195" s="13"/>
      <c r="F195" s="14"/>
      <c r="G195" s="14"/>
      <c r="H195" s="14"/>
      <c r="I195" s="14"/>
      <c r="J195" s="14"/>
      <c r="K195" s="12"/>
    </row>
    <row r="196" ht="19.5" customHeight="1">
      <c r="A196" s="12"/>
      <c r="C196" s="12"/>
      <c r="D196" s="13"/>
      <c r="F196" s="14"/>
      <c r="G196" s="14"/>
      <c r="H196" s="14"/>
      <c r="I196" s="14"/>
      <c r="J196" s="14"/>
      <c r="K196" s="12"/>
    </row>
    <row r="197" ht="19.5" customHeight="1">
      <c r="A197" s="12"/>
      <c r="C197" s="12"/>
      <c r="D197" s="13"/>
      <c r="F197" s="14"/>
      <c r="G197" s="14"/>
      <c r="H197" s="14"/>
      <c r="I197" s="14"/>
      <c r="J197" s="14"/>
      <c r="K197" s="12"/>
    </row>
    <row r="198" ht="19.5" customHeight="1">
      <c r="A198" s="12"/>
      <c r="C198" s="12"/>
      <c r="D198" s="13"/>
      <c r="F198" s="14"/>
      <c r="G198" s="14"/>
      <c r="H198" s="14"/>
      <c r="I198" s="14"/>
      <c r="J198" s="14"/>
      <c r="K198" s="12"/>
    </row>
    <row r="199" ht="19.5" customHeight="1">
      <c r="A199" s="12"/>
      <c r="C199" s="12"/>
      <c r="D199" s="13"/>
      <c r="F199" s="14"/>
      <c r="G199" s="14"/>
      <c r="H199" s="14"/>
      <c r="I199" s="14"/>
      <c r="J199" s="14"/>
      <c r="K199" s="12"/>
    </row>
    <row r="200" ht="19.5" customHeight="1">
      <c r="A200" s="12"/>
      <c r="C200" s="12"/>
      <c r="D200" s="13"/>
      <c r="F200" s="14"/>
      <c r="G200" s="14"/>
      <c r="H200" s="14"/>
      <c r="I200" s="14"/>
      <c r="J200" s="14"/>
      <c r="K200" s="12"/>
    </row>
    <row r="201" ht="19.5" customHeight="1">
      <c r="A201" s="12"/>
      <c r="C201" s="12"/>
      <c r="D201" s="13"/>
      <c r="F201" s="14"/>
      <c r="G201" s="14"/>
      <c r="H201" s="14"/>
      <c r="I201" s="14"/>
      <c r="J201" s="14"/>
      <c r="K201" s="12"/>
    </row>
    <row r="202" ht="19.5" customHeight="1">
      <c r="A202" s="12"/>
      <c r="C202" s="12"/>
      <c r="D202" s="13"/>
      <c r="F202" s="14"/>
      <c r="G202" s="14"/>
      <c r="H202" s="14"/>
      <c r="I202" s="14"/>
      <c r="J202" s="14"/>
      <c r="K202" s="12"/>
    </row>
    <row r="203" ht="19.5" customHeight="1">
      <c r="A203" s="12"/>
      <c r="C203" s="12"/>
      <c r="D203" s="13"/>
      <c r="F203" s="14"/>
      <c r="G203" s="14"/>
      <c r="H203" s="14"/>
      <c r="I203" s="14"/>
      <c r="J203" s="14"/>
      <c r="K203" s="12"/>
    </row>
    <row r="204" ht="19.5" customHeight="1">
      <c r="A204" s="12"/>
      <c r="C204" s="12"/>
      <c r="D204" s="13"/>
      <c r="F204" s="14"/>
      <c r="G204" s="14"/>
      <c r="H204" s="14"/>
      <c r="I204" s="14"/>
      <c r="J204" s="14"/>
      <c r="K204" s="12"/>
    </row>
    <row r="205" ht="19.5" customHeight="1">
      <c r="A205" s="12"/>
      <c r="C205" s="12"/>
      <c r="D205" s="13"/>
      <c r="F205" s="14"/>
      <c r="G205" s="14"/>
      <c r="H205" s="14"/>
      <c r="I205" s="14"/>
      <c r="J205" s="14"/>
      <c r="K205" s="12"/>
    </row>
    <row r="206" ht="19.5" customHeight="1">
      <c r="A206" s="12"/>
      <c r="C206" s="12"/>
      <c r="D206" s="13"/>
      <c r="F206" s="14"/>
      <c r="G206" s="14"/>
      <c r="H206" s="14"/>
      <c r="I206" s="14"/>
      <c r="J206" s="14"/>
      <c r="K206" s="12"/>
    </row>
    <row r="207" ht="19.5" customHeight="1">
      <c r="A207" s="12"/>
      <c r="C207" s="12"/>
      <c r="D207" s="13"/>
      <c r="F207" s="14"/>
      <c r="G207" s="14"/>
      <c r="H207" s="14"/>
      <c r="I207" s="14"/>
      <c r="J207" s="14"/>
      <c r="K207" s="12"/>
    </row>
    <row r="208" ht="19.5" customHeight="1">
      <c r="A208" s="12"/>
      <c r="C208" s="12"/>
      <c r="D208" s="13"/>
      <c r="F208" s="14"/>
      <c r="G208" s="14"/>
      <c r="H208" s="14"/>
      <c r="I208" s="14"/>
      <c r="J208" s="14"/>
      <c r="K208" s="12"/>
    </row>
    <row r="209" ht="19.5" customHeight="1">
      <c r="A209" s="12"/>
      <c r="C209" s="12"/>
      <c r="D209" s="13"/>
      <c r="F209" s="14"/>
      <c r="G209" s="14"/>
      <c r="H209" s="14"/>
      <c r="I209" s="14"/>
      <c r="J209" s="14"/>
      <c r="K209" s="12"/>
    </row>
    <row r="210" ht="19.5" customHeight="1">
      <c r="A210" s="12"/>
      <c r="C210" s="12"/>
      <c r="D210" s="13"/>
      <c r="F210" s="14"/>
      <c r="G210" s="14"/>
      <c r="H210" s="14"/>
      <c r="I210" s="14"/>
      <c r="J210" s="14"/>
      <c r="K210" s="12"/>
    </row>
    <row r="211" ht="19.5" customHeight="1">
      <c r="A211" s="12"/>
      <c r="C211" s="12"/>
      <c r="D211" s="13"/>
      <c r="F211" s="14"/>
      <c r="G211" s="14"/>
      <c r="H211" s="14"/>
      <c r="I211" s="14"/>
      <c r="J211" s="14"/>
      <c r="K211" s="12"/>
    </row>
    <row r="212" ht="19.5" customHeight="1">
      <c r="A212" s="12"/>
      <c r="C212" s="12"/>
      <c r="D212" s="13"/>
      <c r="F212" s="14"/>
      <c r="G212" s="14"/>
      <c r="H212" s="14"/>
      <c r="I212" s="14"/>
      <c r="J212" s="14"/>
      <c r="K212" s="12"/>
    </row>
    <row r="213" ht="19.5" customHeight="1">
      <c r="A213" s="12"/>
      <c r="C213" s="12"/>
      <c r="D213" s="13"/>
      <c r="F213" s="14"/>
      <c r="G213" s="14"/>
      <c r="H213" s="14"/>
      <c r="I213" s="14"/>
      <c r="J213" s="14"/>
      <c r="K213" s="12"/>
    </row>
    <row r="214" ht="19.5" customHeight="1">
      <c r="A214" s="12"/>
      <c r="C214" s="12"/>
      <c r="D214" s="13"/>
      <c r="F214" s="14"/>
      <c r="G214" s="14"/>
      <c r="H214" s="14"/>
      <c r="I214" s="14"/>
      <c r="J214" s="14"/>
      <c r="K214" s="12"/>
    </row>
    <row r="215" ht="19.5" customHeight="1">
      <c r="A215" s="12"/>
      <c r="C215" s="12"/>
      <c r="D215" s="13"/>
      <c r="F215" s="14"/>
      <c r="G215" s="14"/>
      <c r="H215" s="14"/>
      <c r="I215" s="14"/>
      <c r="J215" s="14"/>
      <c r="K215" s="12"/>
    </row>
    <row r="216" ht="19.5" customHeight="1">
      <c r="A216" s="12"/>
      <c r="C216" s="12"/>
      <c r="D216" s="13"/>
      <c r="F216" s="14"/>
      <c r="G216" s="14"/>
      <c r="H216" s="14"/>
      <c r="I216" s="14"/>
      <c r="J216" s="14"/>
      <c r="K216" s="12"/>
    </row>
    <row r="217" ht="19.5" customHeight="1">
      <c r="A217" s="12"/>
      <c r="C217" s="12"/>
      <c r="D217" s="13"/>
      <c r="F217" s="14"/>
      <c r="G217" s="14"/>
      <c r="H217" s="14"/>
      <c r="I217" s="14"/>
      <c r="J217" s="14"/>
      <c r="K217" s="12"/>
    </row>
    <row r="218" ht="19.5" customHeight="1">
      <c r="A218" s="12"/>
      <c r="C218" s="12"/>
      <c r="D218" s="13"/>
      <c r="F218" s="14"/>
      <c r="G218" s="14"/>
      <c r="H218" s="14"/>
      <c r="I218" s="14"/>
      <c r="J218" s="14"/>
      <c r="K218" s="12"/>
    </row>
    <row r="219" ht="19.5" customHeight="1">
      <c r="A219" s="12"/>
      <c r="C219" s="12"/>
      <c r="D219" s="13"/>
      <c r="F219" s="14"/>
      <c r="G219" s="14"/>
      <c r="H219" s="14"/>
      <c r="I219" s="14"/>
      <c r="J219" s="14"/>
      <c r="K219" s="12"/>
    </row>
    <row r="220" ht="19.5" customHeight="1">
      <c r="A220" s="12"/>
      <c r="C220" s="12"/>
      <c r="D220" s="13"/>
      <c r="F220" s="14"/>
      <c r="G220" s="14"/>
      <c r="H220" s="14"/>
      <c r="I220" s="14"/>
      <c r="J220" s="14"/>
      <c r="K220" s="12"/>
    </row>
    <row r="221" ht="19.5" customHeight="1">
      <c r="A221" s="12"/>
      <c r="C221" s="12"/>
      <c r="D221" s="13"/>
      <c r="F221" s="14"/>
      <c r="G221" s="14"/>
      <c r="H221" s="14"/>
      <c r="I221" s="14"/>
      <c r="J221" s="14"/>
      <c r="K221" s="12"/>
    </row>
    <row r="222" ht="19.5" customHeight="1">
      <c r="A222" s="12"/>
      <c r="C222" s="12"/>
      <c r="D222" s="13"/>
      <c r="F222" s="14"/>
      <c r="G222" s="14"/>
      <c r="H222" s="14"/>
      <c r="I222" s="14"/>
      <c r="J222" s="14"/>
      <c r="K222" s="12"/>
    </row>
    <row r="223" ht="19.5" customHeight="1">
      <c r="A223" s="12"/>
      <c r="C223" s="12"/>
      <c r="D223" s="13"/>
      <c r="F223" s="14"/>
      <c r="G223" s="14"/>
      <c r="H223" s="14"/>
      <c r="I223" s="14"/>
      <c r="J223" s="14"/>
      <c r="K223" s="12"/>
    </row>
    <row r="224" ht="19.5" customHeight="1">
      <c r="A224" s="12"/>
      <c r="C224" s="12"/>
      <c r="D224" s="13"/>
      <c r="F224" s="14"/>
      <c r="G224" s="14"/>
      <c r="H224" s="14"/>
      <c r="I224" s="14"/>
      <c r="J224" s="14"/>
      <c r="K224" s="12"/>
    </row>
    <row r="225" ht="19.5" customHeight="1">
      <c r="A225" s="12"/>
      <c r="C225" s="12"/>
      <c r="D225" s="13"/>
      <c r="F225" s="14"/>
      <c r="G225" s="14"/>
      <c r="H225" s="14"/>
      <c r="I225" s="14"/>
      <c r="J225" s="14"/>
      <c r="K225" s="12"/>
    </row>
    <row r="226" ht="19.5" customHeight="1">
      <c r="A226" s="12"/>
      <c r="C226" s="12"/>
      <c r="D226" s="13"/>
      <c r="F226" s="14"/>
      <c r="G226" s="14"/>
      <c r="H226" s="14"/>
      <c r="I226" s="14"/>
      <c r="J226" s="14"/>
      <c r="K226" s="12"/>
    </row>
    <row r="227" ht="19.5" customHeight="1">
      <c r="A227" s="12"/>
      <c r="C227" s="12"/>
      <c r="D227" s="13"/>
      <c r="F227" s="14"/>
      <c r="G227" s="14"/>
      <c r="H227" s="14"/>
      <c r="I227" s="14"/>
      <c r="J227" s="14"/>
      <c r="K227" s="12"/>
    </row>
    <row r="228" ht="19.5" customHeight="1">
      <c r="A228" s="12"/>
      <c r="C228" s="12"/>
      <c r="D228" s="13"/>
      <c r="F228" s="14"/>
      <c r="G228" s="14"/>
      <c r="H228" s="14"/>
      <c r="I228" s="14"/>
      <c r="J228" s="14"/>
      <c r="K228" s="12"/>
    </row>
    <row r="229" ht="19.5" customHeight="1">
      <c r="A229" s="12"/>
      <c r="C229" s="12"/>
      <c r="D229" s="13"/>
      <c r="F229" s="14"/>
      <c r="G229" s="14"/>
      <c r="H229" s="14"/>
      <c r="I229" s="14"/>
      <c r="J229" s="14"/>
      <c r="K229" s="12"/>
    </row>
    <row r="230" ht="19.5" customHeight="1">
      <c r="A230" s="12"/>
      <c r="C230" s="12"/>
      <c r="D230" s="13"/>
      <c r="F230" s="14"/>
      <c r="G230" s="14"/>
      <c r="H230" s="14"/>
      <c r="I230" s="14"/>
      <c r="J230" s="14"/>
      <c r="K230" s="12"/>
    </row>
    <row r="231" ht="19.5" customHeight="1">
      <c r="A231" s="12"/>
      <c r="C231" s="12"/>
      <c r="D231" s="13"/>
      <c r="F231" s="14"/>
      <c r="G231" s="14"/>
      <c r="H231" s="14"/>
      <c r="I231" s="14"/>
      <c r="J231" s="14"/>
      <c r="K231" s="12"/>
    </row>
    <row r="232" ht="19.5" customHeight="1">
      <c r="A232" s="12"/>
      <c r="C232" s="12"/>
      <c r="D232" s="13"/>
      <c r="F232" s="14"/>
      <c r="G232" s="14"/>
      <c r="H232" s="14"/>
      <c r="I232" s="14"/>
      <c r="J232" s="14"/>
      <c r="K232" s="12"/>
    </row>
    <row r="233" ht="19.5" customHeight="1">
      <c r="A233" s="12"/>
      <c r="C233" s="12"/>
      <c r="D233" s="13"/>
      <c r="F233" s="14"/>
      <c r="G233" s="14"/>
      <c r="H233" s="14"/>
      <c r="I233" s="14"/>
      <c r="J233" s="14"/>
      <c r="K233" s="12"/>
    </row>
    <row r="234" ht="19.5" customHeight="1">
      <c r="A234" s="12"/>
      <c r="C234" s="12"/>
      <c r="D234" s="13"/>
      <c r="F234" s="14"/>
      <c r="G234" s="14"/>
      <c r="H234" s="14"/>
      <c r="I234" s="14"/>
      <c r="J234" s="14"/>
      <c r="K234" s="12"/>
    </row>
    <row r="235" ht="19.5" customHeight="1">
      <c r="A235" s="12"/>
      <c r="C235" s="12"/>
      <c r="D235" s="13"/>
      <c r="F235" s="14"/>
      <c r="G235" s="14"/>
      <c r="H235" s="14"/>
      <c r="I235" s="14"/>
      <c r="J235" s="14"/>
      <c r="K235" s="12"/>
    </row>
    <row r="236" ht="19.5" customHeight="1">
      <c r="A236" s="12"/>
      <c r="C236" s="12"/>
      <c r="D236" s="13"/>
      <c r="F236" s="14"/>
      <c r="G236" s="14"/>
      <c r="H236" s="14"/>
      <c r="I236" s="14"/>
      <c r="J236" s="14"/>
      <c r="K236" s="12"/>
    </row>
    <row r="237" ht="19.5" customHeight="1">
      <c r="A237" s="12"/>
      <c r="C237" s="12"/>
      <c r="D237" s="13"/>
      <c r="F237" s="14"/>
      <c r="G237" s="14"/>
      <c r="H237" s="14"/>
      <c r="I237" s="14"/>
      <c r="J237" s="14"/>
      <c r="K237" s="12"/>
    </row>
    <row r="238" ht="19.5" customHeight="1">
      <c r="A238" s="12"/>
      <c r="C238" s="12"/>
      <c r="D238" s="13"/>
      <c r="F238" s="14"/>
      <c r="G238" s="14"/>
      <c r="H238" s="14"/>
      <c r="I238" s="14"/>
      <c r="J238" s="14"/>
      <c r="K238" s="12"/>
    </row>
    <row r="239" ht="19.5" customHeight="1">
      <c r="A239" s="12"/>
      <c r="C239" s="12"/>
      <c r="D239" s="13"/>
      <c r="F239" s="14"/>
      <c r="G239" s="14"/>
      <c r="H239" s="14"/>
      <c r="I239" s="14"/>
      <c r="J239" s="14"/>
      <c r="K239" s="12"/>
    </row>
    <row r="240" ht="19.5" customHeight="1">
      <c r="A240" s="12"/>
      <c r="C240" s="12"/>
      <c r="D240" s="13"/>
      <c r="F240" s="14"/>
      <c r="G240" s="14"/>
      <c r="H240" s="14"/>
      <c r="I240" s="14"/>
      <c r="J240" s="14"/>
      <c r="K240" s="12"/>
    </row>
    <row r="241" ht="19.5" customHeight="1">
      <c r="A241" s="12"/>
      <c r="C241" s="12"/>
      <c r="D241" s="13"/>
      <c r="F241" s="14"/>
      <c r="G241" s="14"/>
      <c r="H241" s="14"/>
      <c r="I241" s="14"/>
      <c r="J241" s="14"/>
      <c r="K241" s="12"/>
    </row>
    <row r="242" ht="19.5" customHeight="1">
      <c r="A242" s="12"/>
      <c r="C242" s="12"/>
      <c r="D242" s="13"/>
      <c r="F242" s="14"/>
      <c r="G242" s="14"/>
      <c r="H242" s="14"/>
      <c r="I242" s="14"/>
      <c r="J242" s="14"/>
      <c r="K242" s="12"/>
    </row>
    <row r="243" ht="19.5" customHeight="1">
      <c r="A243" s="12"/>
      <c r="C243" s="12"/>
      <c r="D243" s="13"/>
      <c r="F243" s="14"/>
      <c r="G243" s="14"/>
      <c r="H243" s="14"/>
      <c r="I243" s="14"/>
      <c r="J243" s="14"/>
      <c r="K243" s="12"/>
    </row>
    <row r="244" ht="19.5" customHeight="1">
      <c r="A244" s="12"/>
      <c r="C244" s="12"/>
      <c r="D244" s="13"/>
      <c r="F244" s="14"/>
      <c r="G244" s="14"/>
      <c r="H244" s="14"/>
      <c r="I244" s="14"/>
      <c r="J244" s="14"/>
      <c r="K244" s="12"/>
    </row>
    <row r="245" ht="19.5" customHeight="1">
      <c r="A245" s="12"/>
      <c r="C245" s="12"/>
      <c r="D245" s="13"/>
      <c r="F245" s="14"/>
      <c r="G245" s="14"/>
      <c r="H245" s="14"/>
      <c r="I245" s="14"/>
      <c r="J245" s="14"/>
      <c r="K245" s="12"/>
    </row>
    <row r="246" ht="19.5" customHeight="1">
      <c r="A246" s="12"/>
      <c r="C246" s="12"/>
      <c r="D246" s="13"/>
      <c r="F246" s="14"/>
      <c r="G246" s="14"/>
      <c r="H246" s="14"/>
      <c r="I246" s="14"/>
      <c r="J246" s="14"/>
      <c r="K246" s="12"/>
    </row>
    <row r="247" ht="19.5" customHeight="1">
      <c r="A247" s="12"/>
      <c r="C247" s="12"/>
      <c r="D247" s="13"/>
      <c r="F247" s="14"/>
      <c r="G247" s="14"/>
      <c r="H247" s="14"/>
      <c r="I247" s="14"/>
      <c r="J247" s="14"/>
      <c r="K247" s="12"/>
    </row>
    <row r="248" ht="19.5" customHeight="1">
      <c r="A248" s="12"/>
      <c r="C248" s="12"/>
      <c r="D248" s="13"/>
      <c r="F248" s="14"/>
      <c r="G248" s="14"/>
      <c r="H248" s="14"/>
      <c r="I248" s="14"/>
      <c r="J248" s="14"/>
      <c r="K248" s="12"/>
    </row>
    <row r="249" ht="19.5" customHeight="1">
      <c r="A249" s="12"/>
      <c r="C249" s="12"/>
      <c r="D249" s="13"/>
      <c r="F249" s="14"/>
      <c r="G249" s="14"/>
      <c r="H249" s="14"/>
      <c r="I249" s="14"/>
      <c r="J249" s="14"/>
      <c r="K249" s="12"/>
    </row>
    <row r="250" ht="19.5" customHeight="1">
      <c r="A250" s="12"/>
      <c r="C250" s="12"/>
      <c r="D250" s="13"/>
      <c r="F250" s="14"/>
      <c r="G250" s="14"/>
      <c r="H250" s="14"/>
      <c r="I250" s="14"/>
      <c r="J250" s="14"/>
      <c r="K250" s="12"/>
    </row>
    <row r="251" ht="19.5" customHeight="1">
      <c r="A251" s="12"/>
      <c r="C251" s="12"/>
      <c r="D251" s="13"/>
      <c r="F251" s="14"/>
      <c r="G251" s="14"/>
      <c r="H251" s="14"/>
      <c r="I251" s="14"/>
      <c r="J251" s="14"/>
      <c r="K251" s="12"/>
    </row>
    <row r="252" ht="19.5" customHeight="1">
      <c r="A252" s="12"/>
      <c r="C252" s="12"/>
      <c r="D252" s="13"/>
      <c r="F252" s="14"/>
      <c r="G252" s="14"/>
      <c r="H252" s="14"/>
      <c r="I252" s="14"/>
      <c r="J252" s="14"/>
      <c r="K252" s="12"/>
    </row>
    <row r="253" ht="19.5" customHeight="1">
      <c r="A253" s="12"/>
      <c r="C253" s="12"/>
      <c r="D253" s="13"/>
      <c r="F253" s="14"/>
      <c r="G253" s="14"/>
      <c r="H253" s="14"/>
      <c r="I253" s="14"/>
      <c r="J253" s="14"/>
      <c r="K253" s="12"/>
    </row>
    <row r="254" ht="19.5" customHeight="1">
      <c r="A254" s="12"/>
      <c r="C254" s="12"/>
      <c r="D254" s="13"/>
      <c r="F254" s="14"/>
      <c r="G254" s="14"/>
      <c r="H254" s="14"/>
      <c r="I254" s="14"/>
      <c r="J254" s="14"/>
      <c r="K254" s="12"/>
    </row>
    <row r="255" ht="19.5" customHeight="1">
      <c r="A255" s="12"/>
      <c r="C255" s="12"/>
      <c r="D255" s="13"/>
      <c r="F255" s="14"/>
      <c r="G255" s="14"/>
      <c r="H255" s="14"/>
      <c r="I255" s="14"/>
      <c r="J255" s="14"/>
      <c r="K255" s="12"/>
    </row>
    <row r="256" ht="19.5" customHeight="1">
      <c r="A256" s="12"/>
      <c r="C256" s="12"/>
      <c r="D256" s="13"/>
      <c r="F256" s="14"/>
      <c r="G256" s="14"/>
      <c r="H256" s="14"/>
      <c r="I256" s="14"/>
      <c r="J256" s="14"/>
      <c r="K256" s="12"/>
    </row>
    <row r="257" ht="19.5" customHeight="1">
      <c r="A257" s="12"/>
      <c r="C257" s="12"/>
      <c r="D257" s="13"/>
      <c r="F257" s="14"/>
      <c r="G257" s="14"/>
      <c r="H257" s="14"/>
      <c r="I257" s="14"/>
      <c r="J257" s="14"/>
      <c r="K257" s="12"/>
    </row>
    <row r="258" ht="19.5" customHeight="1">
      <c r="A258" s="12"/>
      <c r="C258" s="12"/>
      <c r="D258" s="13"/>
      <c r="F258" s="14"/>
      <c r="G258" s="14"/>
      <c r="H258" s="14"/>
      <c r="I258" s="14"/>
      <c r="J258" s="14"/>
      <c r="K258" s="12"/>
    </row>
    <row r="259" ht="19.5" customHeight="1">
      <c r="A259" s="12"/>
      <c r="C259" s="12"/>
      <c r="D259" s="13"/>
      <c r="F259" s="14"/>
      <c r="G259" s="14"/>
      <c r="H259" s="14"/>
      <c r="I259" s="14"/>
      <c r="J259" s="14"/>
      <c r="K259" s="12"/>
    </row>
    <row r="260" ht="19.5" customHeight="1">
      <c r="A260" s="12"/>
      <c r="C260" s="12"/>
      <c r="D260" s="13"/>
      <c r="F260" s="14"/>
      <c r="G260" s="14"/>
      <c r="H260" s="14"/>
      <c r="I260" s="14"/>
      <c r="J260" s="14"/>
      <c r="K260" s="12"/>
    </row>
    <row r="261" ht="19.5" customHeight="1">
      <c r="A261" s="12"/>
      <c r="C261" s="12"/>
      <c r="D261" s="13"/>
      <c r="F261" s="14"/>
      <c r="G261" s="14"/>
      <c r="H261" s="14"/>
      <c r="I261" s="14"/>
      <c r="J261" s="14"/>
      <c r="K261" s="12"/>
    </row>
    <row r="262" ht="19.5" customHeight="1">
      <c r="A262" s="12"/>
      <c r="C262" s="12"/>
      <c r="D262" s="13"/>
      <c r="F262" s="14"/>
      <c r="G262" s="14"/>
      <c r="H262" s="14"/>
      <c r="I262" s="14"/>
      <c r="J262" s="14"/>
      <c r="K262" s="12"/>
    </row>
    <row r="263" ht="19.5" customHeight="1">
      <c r="A263" s="12"/>
      <c r="C263" s="12"/>
      <c r="D263" s="13"/>
      <c r="F263" s="14"/>
      <c r="G263" s="14"/>
      <c r="H263" s="14"/>
      <c r="I263" s="14"/>
      <c r="J263" s="14"/>
      <c r="K263" s="12"/>
    </row>
    <row r="264" ht="19.5" customHeight="1">
      <c r="A264" s="12"/>
      <c r="C264" s="12"/>
      <c r="D264" s="13"/>
      <c r="F264" s="14"/>
      <c r="G264" s="14"/>
      <c r="H264" s="14"/>
      <c r="I264" s="14"/>
      <c r="J264" s="14"/>
      <c r="K264" s="12"/>
    </row>
    <row r="265" ht="19.5" customHeight="1">
      <c r="A265" s="12"/>
      <c r="C265" s="12"/>
      <c r="D265" s="13"/>
      <c r="F265" s="14"/>
      <c r="G265" s="14"/>
      <c r="H265" s="14"/>
      <c r="I265" s="14"/>
      <c r="J265" s="14"/>
      <c r="K265" s="12"/>
    </row>
    <row r="266" ht="19.5" customHeight="1">
      <c r="A266" s="12"/>
      <c r="C266" s="12"/>
      <c r="D266" s="13"/>
      <c r="F266" s="14"/>
      <c r="G266" s="14"/>
      <c r="H266" s="14"/>
      <c r="I266" s="14"/>
      <c r="J266" s="14"/>
      <c r="K266" s="12"/>
    </row>
    <row r="267" ht="19.5" customHeight="1">
      <c r="A267" s="12"/>
      <c r="C267" s="12"/>
      <c r="D267" s="13"/>
      <c r="F267" s="14"/>
      <c r="G267" s="14"/>
      <c r="H267" s="14"/>
      <c r="I267" s="14"/>
      <c r="J267" s="14"/>
      <c r="K267" s="12"/>
    </row>
    <row r="268" ht="19.5" customHeight="1">
      <c r="A268" s="12"/>
      <c r="C268" s="12"/>
      <c r="D268" s="13"/>
      <c r="F268" s="14"/>
      <c r="G268" s="14"/>
      <c r="H268" s="14"/>
      <c r="I268" s="14"/>
      <c r="J268" s="14"/>
      <c r="K268" s="12"/>
    </row>
    <row r="269" ht="19.5" customHeight="1">
      <c r="A269" s="12"/>
      <c r="C269" s="12"/>
      <c r="D269" s="13"/>
      <c r="F269" s="14"/>
      <c r="G269" s="14"/>
      <c r="H269" s="14"/>
      <c r="I269" s="14"/>
      <c r="J269" s="14"/>
      <c r="K269" s="12"/>
    </row>
    <row r="270" ht="19.5" customHeight="1">
      <c r="A270" s="12"/>
      <c r="C270" s="12"/>
      <c r="D270" s="13"/>
      <c r="F270" s="14"/>
      <c r="G270" s="14"/>
      <c r="H270" s="14"/>
      <c r="I270" s="14"/>
      <c r="J270" s="14"/>
      <c r="K270" s="12"/>
    </row>
    <row r="271" ht="19.5" customHeight="1">
      <c r="A271" s="12"/>
      <c r="C271" s="12"/>
      <c r="D271" s="13"/>
      <c r="F271" s="14"/>
      <c r="G271" s="14"/>
      <c r="H271" s="14"/>
      <c r="I271" s="14"/>
      <c r="J271" s="14"/>
      <c r="K271" s="12"/>
    </row>
    <row r="272" ht="19.5" customHeight="1">
      <c r="A272" s="12"/>
      <c r="C272" s="12"/>
      <c r="D272" s="13"/>
      <c r="F272" s="14"/>
      <c r="G272" s="14"/>
      <c r="H272" s="14"/>
      <c r="I272" s="14"/>
      <c r="J272" s="14"/>
      <c r="K272" s="12"/>
    </row>
    <row r="273" ht="19.5" customHeight="1">
      <c r="A273" s="12"/>
      <c r="C273" s="12"/>
      <c r="D273" s="13"/>
      <c r="F273" s="14"/>
      <c r="G273" s="14"/>
      <c r="H273" s="14"/>
      <c r="I273" s="14"/>
      <c r="J273" s="14"/>
      <c r="K273" s="12"/>
    </row>
    <row r="274" ht="19.5" customHeight="1">
      <c r="A274" s="12"/>
      <c r="C274" s="12"/>
      <c r="D274" s="13"/>
      <c r="F274" s="14"/>
      <c r="G274" s="14"/>
      <c r="H274" s="14"/>
      <c r="I274" s="14"/>
      <c r="J274" s="14"/>
      <c r="K274" s="12"/>
    </row>
    <row r="275" ht="19.5" customHeight="1">
      <c r="A275" s="12"/>
      <c r="C275" s="12"/>
      <c r="D275" s="13"/>
      <c r="F275" s="14"/>
      <c r="G275" s="14"/>
      <c r="H275" s="14"/>
      <c r="I275" s="14"/>
      <c r="J275" s="14"/>
      <c r="K275" s="12"/>
    </row>
    <row r="276" ht="19.5" customHeight="1">
      <c r="A276" s="12"/>
      <c r="C276" s="12"/>
      <c r="D276" s="13"/>
      <c r="F276" s="14"/>
      <c r="G276" s="14"/>
      <c r="H276" s="14"/>
      <c r="I276" s="14"/>
      <c r="J276" s="14"/>
      <c r="K276" s="12"/>
    </row>
    <row r="277" ht="19.5" customHeight="1">
      <c r="A277" s="12"/>
      <c r="C277" s="12"/>
      <c r="D277" s="13"/>
      <c r="F277" s="14"/>
      <c r="G277" s="14"/>
      <c r="H277" s="14"/>
      <c r="I277" s="14"/>
      <c r="J277" s="14"/>
      <c r="K277" s="12"/>
    </row>
    <row r="278" ht="19.5" customHeight="1">
      <c r="A278" s="12"/>
      <c r="C278" s="12"/>
      <c r="D278" s="13"/>
      <c r="F278" s="14"/>
      <c r="G278" s="14"/>
      <c r="H278" s="14"/>
      <c r="I278" s="14"/>
      <c r="J278" s="14"/>
      <c r="K278" s="12"/>
    </row>
    <row r="279" ht="19.5" customHeight="1">
      <c r="A279" s="12"/>
      <c r="C279" s="12"/>
      <c r="D279" s="13"/>
      <c r="F279" s="14"/>
      <c r="G279" s="14"/>
      <c r="H279" s="14"/>
      <c r="I279" s="14"/>
      <c r="J279" s="14"/>
      <c r="K279" s="12"/>
    </row>
    <row r="280" ht="19.5" customHeight="1">
      <c r="A280" s="12"/>
      <c r="C280" s="12"/>
      <c r="D280" s="13"/>
      <c r="F280" s="14"/>
      <c r="G280" s="14"/>
      <c r="H280" s="14"/>
      <c r="I280" s="14"/>
      <c r="J280" s="14"/>
      <c r="K280" s="12"/>
    </row>
    <row r="281" ht="19.5" customHeight="1">
      <c r="A281" s="12"/>
      <c r="C281" s="12"/>
      <c r="D281" s="13"/>
      <c r="F281" s="14"/>
      <c r="G281" s="14"/>
      <c r="H281" s="14"/>
      <c r="I281" s="14"/>
      <c r="J281" s="14"/>
      <c r="K281" s="12"/>
    </row>
    <row r="282" ht="19.5" customHeight="1">
      <c r="A282" s="12"/>
      <c r="C282" s="12"/>
      <c r="D282" s="13"/>
      <c r="F282" s="14"/>
      <c r="G282" s="14"/>
      <c r="H282" s="14"/>
      <c r="I282" s="14"/>
      <c r="J282" s="14"/>
      <c r="K282" s="12"/>
    </row>
    <row r="283" ht="19.5" customHeight="1">
      <c r="A283" s="12"/>
      <c r="C283" s="12"/>
      <c r="D283" s="13"/>
      <c r="F283" s="14"/>
      <c r="G283" s="14"/>
      <c r="H283" s="14"/>
      <c r="I283" s="14"/>
      <c r="J283" s="14"/>
      <c r="K283" s="12"/>
    </row>
    <row r="284" ht="19.5" customHeight="1">
      <c r="A284" s="12"/>
      <c r="C284" s="12"/>
      <c r="D284" s="13"/>
      <c r="F284" s="14"/>
      <c r="G284" s="14"/>
      <c r="H284" s="14"/>
      <c r="I284" s="14"/>
      <c r="J284" s="14"/>
      <c r="K284" s="12"/>
    </row>
    <row r="285" ht="19.5" customHeight="1">
      <c r="A285" s="12"/>
      <c r="C285" s="12"/>
      <c r="D285" s="13"/>
      <c r="F285" s="14"/>
      <c r="G285" s="14"/>
      <c r="H285" s="14"/>
      <c r="I285" s="14"/>
      <c r="J285" s="14"/>
      <c r="K285" s="12"/>
    </row>
    <row r="286" ht="19.5" customHeight="1">
      <c r="A286" s="12"/>
      <c r="C286" s="12"/>
      <c r="D286" s="13"/>
      <c r="F286" s="14"/>
      <c r="G286" s="14"/>
      <c r="H286" s="14"/>
      <c r="I286" s="14"/>
      <c r="J286" s="14"/>
      <c r="K286" s="12"/>
    </row>
    <row r="287" ht="19.5" customHeight="1">
      <c r="A287" s="12"/>
      <c r="C287" s="12"/>
      <c r="D287" s="13"/>
      <c r="F287" s="14"/>
      <c r="G287" s="14"/>
      <c r="H287" s="14"/>
      <c r="I287" s="14"/>
      <c r="J287" s="14"/>
      <c r="K287" s="12"/>
    </row>
    <row r="288" ht="19.5" customHeight="1">
      <c r="A288" s="12"/>
      <c r="C288" s="12"/>
      <c r="D288" s="13"/>
      <c r="F288" s="14"/>
      <c r="G288" s="14"/>
      <c r="H288" s="14"/>
      <c r="I288" s="14"/>
      <c r="J288" s="14"/>
      <c r="K288" s="12"/>
    </row>
    <row r="289" ht="19.5" customHeight="1">
      <c r="A289" s="12"/>
      <c r="C289" s="12"/>
      <c r="D289" s="13"/>
      <c r="F289" s="14"/>
      <c r="G289" s="14"/>
      <c r="H289" s="14"/>
      <c r="I289" s="14"/>
      <c r="J289" s="14"/>
      <c r="K289" s="12"/>
    </row>
    <row r="290" ht="19.5" customHeight="1">
      <c r="A290" s="12"/>
      <c r="C290" s="12"/>
      <c r="D290" s="13"/>
      <c r="F290" s="14"/>
      <c r="G290" s="14"/>
      <c r="H290" s="14"/>
      <c r="I290" s="14"/>
      <c r="J290" s="14"/>
      <c r="K290" s="12"/>
    </row>
    <row r="291" ht="19.5" customHeight="1">
      <c r="A291" s="12"/>
      <c r="C291" s="12"/>
      <c r="D291" s="13"/>
      <c r="F291" s="14"/>
      <c r="G291" s="14"/>
      <c r="H291" s="14"/>
      <c r="I291" s="14"/>
      <c r="J291" s="14"/>
      <c r="K291" s="12"/>
    </row>
    <row r="292" ht="19.5" customHeight="1">
      <c r="A292" s="12"/>
      <c r="C292" s="12"/>
      <c r="D292" s="13"/>
      <c r="F292" s="14"/>
      <c r="G292" s="14"/>
      <c r="H292" s="14"/>
      <c r="I292" s="14"/>
      <c r="J292" s="14"/>
      <c r="K292" s="12"/>
    </row>
    <row r="293" ht="19.5" customHeight="1">
      <c r="A293" s="12"/>
      <c r="C293" s="12"/>
      <c r="D293" s="13"/>
      <c r="F293" s="14"/>
      <c r="G293" s="14"/>
      <c r="H293" s="14"/>
      <c r="I293" s="14"/>
      <c r="J293" s="14"/>
      <c r="K293" s="12"/>
    </row>
    <row r="294" ht="19.5" customHeight="1">
      <c r="A294" s="12"/>
      <c r="C294" s="12"/>
      <c r="D294" s="13"/>
      <c r="F294" s="14"/>
      <c r="G294" s="14"/>
      <c r="H294" s="14"/>
      <c r="I294" s="14"/>
      <c r="J294" s="14"/>
      <c r="K294" s="12"/>
    </row>
    <row r="295" ht="19.5" customHeight="1">
      <c r="A295" s="12"/>
      <c r="C295" s="12"/>
      <c r="D295" s="13"/>
      <c r="F295" s="14"/>
      <c r="G295" s="14"/>
      <c r="H295" s="14"/>
      <c r="I295" s="14"/>
      <c r="J295" s="14"/>
      <c r="K295" s="12"/>
    </row>
    <row r="296" ht="19.5" customHeight="1">
      <c r="A296" s="12"/>
      <c r="C296" s="12"/>
      <c r="D296" s="13"/>
      <c r="F296" s="14"/>
      <c r="G296" s="14"/>
      <c r="H296" s="14"/>
      <c r="I296" s="14"/>
      <c r="J296" s="14"/>
      <c r="K296" s="12"/>
    </row>
    <row r="297" ht="19.5" customHeight="1">
      <c r="A297" s="12"/>
      <c r="C297" s="12"/>
      <c r="D297" s="13"/>
      <c r="F297" s="14"/>
      <c r="G297" s="14"/>
      <c r="H297" s="14"/>
      <c r="I297" s="14"/>
      <c r="J297" s="14"/>
      <c r="K297" s="12"/>
    </row>
    <row r="298" ht="19.5" customHeight="1">
      <c r="A298" s="12"/>
      <c r="C298" s="12"/>
      <c r="D298" s="13"/>
      <c r="F298" s="14"/>
      <c r="G298" s="14"/>
      <c r="H298" s="14"/>
      <c r="I298" s="14"/>
      <c r="J298" s="14"/>
      <c r="K298" s="12"/>
    </row>
    <row r="299" ht="19.5" customHeight="1">
      <c r="A299" s="12"/>
      <c r="C299" s="12"/>
      <c r="D299" s="13"/>
      <c r="F299" s="14"/>
      <c r="G299" s="14"/>
      <c r="H299" s="14"/>
      <c r="I299" s="14"/>
      <c r="J299" s="14"/>
      <c r="K299" s="12"/>
    </row>
    <row r="300" ht="19.5" customHeight="1">
      <c r="A300" s="12"/>
      <c r="C300" s="12"/>
      <c r="D300" s="13"/>
      <c r="F300" s="14"/>
      <c r="G300" s="14"/>
      <c r="H300" s="14"/>
      <c r="I300" s="14"/>
      <c r="J300" s="14"/>
      <c r="K300" s="12"/>
    </row>
    <row r="301" ht="19.5" customHeight="1">
      <c r="A301" s="12"/>
      <c r="C301" s="12"/>
      <c r="D301" s="13"/>
      <c r="F301" s="14"/>
      <c r="G301" s="14"/>
      <c r="H301" s="14"/>
      <c r="I301" s="14"/>
      <c r="J301" s="14"/>
      <c r="K301" s="12"/>
    </row>
    <row r="302" ht="19.5" customHeight="1">
      <c r="A302" s="12"/>
      <c r="C302" s="12"/>
      <c r="D302" s="13"/>
      <c r="F302" s="14"/>
      <c r="G302" s="14"/>
      <c r="H302" s="14"/>
      <c r="I302" s="14"/>
      <c r="J302" s="14"/>
      <c r="K302" s="12"/>
    </row>
    <row r="303" ht="19.5" customHeight="1">
      <c r="A303" s="12"/>
      <c r="C303" s="12"/>
      <c r="D303" s="13"/>
      <c r="F303" s="14"/>
      <c r="G303" s="14"/>
      <c r="H303" s="14"/>
      <c r="I303" s="14"/>
      <c r="J303" s="14"/>
      <c r="K303" s="12"/>
    </row>
    <row r="304" ht="19.5" customHeight="1">
      <c r="A304" s="12"/>
      <c r="C304" s="12"/>
      <c r="D304" s="13"/>
      <c r="F304" s="14"/>
      <c r="G304" s="14"/>
      <c r="H304" s="14"/>
      <c r="I304" s="14"/>
      <c r="J304" s="14"/>
      <c r="K304" s="12"/>
    </row>
    <row r="305" ht="19.5" customHeight="1">
      <c r="A305" s="12"/>
      <c r="C305" s="12"/>
      <c r="D305" s="13"/>
      <c r="F305" s="14"/>
      <c r="G305" s="14"/>
      <c r="H305" s="14"/>
      <c r="I305" s="14"/>
      <c r="J305" s="14"/>
      <c r="K305" s="12"/>
    </row>
    <row r="306" ht="19.5" customHeight="1">
      <c r="A306" s="12"/>
      <c r="C306" s="12"/>
      <c r="D306" s="13"/>
      <c r="F306" s="14"/>
      <c r="G306" s="14"/>
      <c r="H306" s="14"/>
      <c r="I306" s="14"/>
      <c r="J306" s="14"/>
      <c r="K306" s="12"/>
    </row>
    <row r="307" ht="19.5" customHeight="1">
      <c r="A307" s="12"/>
      <c r="C307" s="12"/>
      <c r="D307" s="13"/>
      <c r="F307" s="14"/>
      <c r="G307" s="14"/>
      <c r="H307" s="14"/>
      <c r="I307" s="14"/>
      <c r="J307" s="14"/>
      <c r="K307" s="12"/>
    </row>
    <row r="308" ht="19.5" customHeight="1">
      <c r="A308" s="12"/>
      <c r="C308" s="12"/>
      <c r="D308" s="13"/>
      <c r="F308" s="14"/>
      <c r="G308" s="14"/>
      <c r="H308" s="14"/>
      <c r="I308" s="14"/>
      <c r="J308" s="14"/>
      <c r="K308" s="12"/>
    </row>
    <row r="309" ht="19.5" customHeight="1">
      <c r="A309" s="12"/>
      <c r="C309" s="12"/>
      <c r="D309" s="13"/>
      <c r="F309" s="14"/>
      <c r="G309" s="14"/>
      <c r="H309" s="14"/>
      <c r="I309" s="14"/>
      <c r="J309" s="14"/>
      <c r="K309" s="12"/>
    </row>
    <row r="310" ht="19.5" customHeight="1">
      <c r="A310" s="12"/>
      <c r="C310" s="12"/>
      <c r="D310" s="13"/>
      <c r="F310" s="14"/>
      <c r="G310" s="14"/>
      <c r="H310" s="14"/>
      <c r="I310" s="14"/>
      <c r="J310" s="14"/>
      <c r="K310" s="12"/>
    </row>
    <row r="311" ht="19.5" customHeight="1">
      <c r="A311" s="12"/>
      <c r="C311" s="12"/>
      <c r="D311" s="13"/>
      <c r="F311" s="14"/>
      <c r="G311" s="14"/>
      <c r="H311" s="14"/>
      <c r="I311" s="14"/>
      <c r="J311" s="14"/>
      <c r="K311" s="12"/>
    </row>
    <row r="312" ht="19.5" customHeight="1">
      <c r="A312" s="12"/>
      <c r="C312" s="12"/>
      <c r="D312" s="13"/>
      <c r="F312" s="14"/>
      <c r="G312" s="14"/>
      <c r="H312" s="14"/>
      <c r="I312" s="14"/>
      <c r="J312" s="14"/>
      <c r="K312" s="12"/>
    </row>
    <row r="313" ht="19.5" customHeight="1">
      <c r="A313" s="12"/>
      <c r="C313" s="12"/>
      <c r="D313" s="13"/>
      <c r="F313" s="14"/>
      <c r="G313" s="14"/>
      <c r="H313" s="14"/>
      <c r="I313" s="14"/>
      <c r="J313" s="14"/>
      <c r="K313" s="12"/>
    </row>
    <row r="314" ht="19.5" customHeight="1">
      <c r="A314" s="12"/>
      <c r="C314" s="12"/>
      <c r="D314" s="13"/>
      <c r="F314" s="14"/>
      <c r="G314" s="14"/>
      <c r="H314" s="14"/>
      <c r="I314" s="14"/>
      <c r="J314" s="14"/>
      <c r="K314" s="12"/>
    </row>
    <row r="315" ht="19.5" customHeight="1">
      <c r="A315" s="12"/>
      <c r="C315" s="12"/>
      <c r="D315" s="13"/>
      <c r="F315" s="14"/>
      <c r="G315" s="14"/>
      <c r="H315" s="14"/>
      <c r="I315" s="14"/>
      <c r="J315" s="14"/>
      <c r="K315" s="12"/>
    </row>
    <row r="316" ht="19.5" customHeight="1">
      <c r="A316" s="12"/>
      <c r="C316" s="12"/>
      <c r="D316" s="13"/>
      <c r="F316" s="14"/>
      <c r="G316" s="14"/>
      <c r="H316" s="14"/>
      <c r="I316" s="14"/>
      <c r="J316" s="14"/>
      <c r="K316" s="12"/>
    </row>
    <row r="317" ht="19.5" customHeight="1">
      <c r="A317" s="12"/>
      <c r="C317" s="12"/>
      <c r="D317" s="13"/>
      <c r="F317" s="14"/>
      <c r="G317" s="14"/>
      <c r="H317" s="14"/>
      <c r="I317" s="14"/>
      <c r="J317" s="14"/>
      <c r="K317" s="12"/>
    </row>
    <row r="318" ht="19.5" customHeight="1">
      <c r="A318" s="12"/>
      <c r="C318" s="12"/>
      <c r="D318" s="13"/>
      <c r="F318" s="14"/>
      <c r="G318" s="14"/>
      <c r="H318" s="14"/>
      <c r="I318" s="14"/>
      <c r="J318" s="14"/>
      <c r="K318" s="12"/>
    </row>
    <row r="319" ht="19.5" customHeight="1">
      <c r="A319" s="12"/>
      <c r="C319" s="12"/>
      <c r="D319" s="13"/>
      <c r="F319" s="14"/>
      <c r="G319" s="14"/>
      <c r="H319" s="14"/>
      <c r="I319" s="14"/>
      <c r="J319" s="14"/>
      <c r="K319" s="12"/>
    </row>
    <row r="320" ht="19.5" customHeight="1">
      <c r="A320" s="12"/>
      <c r="C320" s="12"/>
      <c r="D320" s="13"/>
      <c r="F320" s="14"/>
      <c r="G320" s="14"/>
      <c r="H320" s="14"/>
      <c r="I320" s="14"/>
      <c r="J320" s="14"/>
      <c r="K320" s="12"/>
    </row>
    <row r="321" ht="19.5" customHeight="1">
      <c r="A321" s="12"/>
      <c r="C321" s="12"/>
      <c r="D321" s="13"/>
      <c r="F321" s="14"/>
      <c r="G321" s="14"/>
      <c r="H321" s="14"/>
      <c r="I321" s="14"/>
      <c r="J321" s="14"/>
      <c r="K321" s="12"/>
    </row>
    <row r="322" ht="19.5" customHeight="1">
      <c r="A322" s="12"/>
      <c r="C322" s="12"/>
      <c r="D322" s="13"/>
      <c r="F322" s="14"/>
      <c r="G322" s="14"/>
      <c r="H322" s="14"/>
      <c r="I322" s="14"/>
      <c r="J322" s="14"/>
      <c r="K322" s="12"/>
    </row>
    <row r="323" ht="19.5" customHeight="1">
      <c r="A323" s="12"/>
      <c r="C323" s="12"/>
      <c r="D323" s="13"/>
      <c r="F323" s="14"/>
      <c r="G323" s="14"/>
      <c r="H323" s="14"/>
      <c r="I323" s="14"/>
      <c r="J323" s="14"/>
      <c r="K323" s="12"/>
    </row>
    <row r="324" ht="19.5" customHeight="1">
      <c r="A324" s="12"/>
      <c r="C324" s="12"/>
      <c r="D324" s="13"/>
      <c r="F324" s="14"/>
      <c r="G324" s="14"/>
      <c r="H324" s="14"/>
      <c r="I324" s="14"/>
      <c r="J324" s="14"/>
      <c r="K324" s="12"/>
    </row>
    <row r="325" ht="19.5" customHeight="1">
      <c r="A325" s="12"/>
      <c r="C325" s="12"/>
      <c r="D325" s="13"/>
      <c r="F325" s="14"/>
      <c r="G325" s="14"/>
      <c r="H325" s="14"/>
      <c r="I325" s="14"/>
      <c r="J325" s="14"/>
      <c r="K325" s="12"/>
    </row>
    <row r="326" ht="19.5" customHeight="1">
      <c r="A326" s="12"/>
      <c r="C326" s="12"/>
      <c r="D326" s="13"/>
      <c r="F326" s="14"/>
      <c r="G326" s="14"/>
      <c r="H326" s="14"/>
      <c r="I326" s="14"/>
      <c r="J326" s="14"/>
      <c r="K326" s="12"/>
    </row>
    <row r="327" ht="19.5" customHeight="1">
      <c r="A327" s="12"/>
      <c r="C327" s="12"/>
      <c r="D327" s="13"/>
      <c r="F327" s="14"/>
      <c r="G327" s="14"/>
      <c r="H327" s="14"/>
      <c r="I327" s="14"/>
      <c r="J327" s="14"/>
      <c r="K327" s="12"/>
    </row>
    <row r="328" ht="19.5" customHeight="1">
      <c r="A328" s="12"/>
      <c r="C328" s="12"/>
      <c r="D328" s="13"/>
      <c r="F328" s="14"/>
      <c r="G328" s="14"/>
      <c r="H328" s="14"/>
      <c r="I328" s="14"/>
      <c r="J328" s="14"/>
      <c r="K328" s="12"/>
    </row>
    <row r="329" ht="19.5" customHeight="1">
      <c r="A329" s="12"/>
      <c r="C329" s="12"/>
      <c r="D329" s="13"/>
      <c r="F329" s="14"/>
      <c r="G329" s="14"/>
      <c r="H329" s="14"/>
      <c r="I329" s="14"/>
      <c r="J329" s="14"/>
      <c r="K329" s="12"/>
    </row>
    <row r="330" ht="19.5" customHeight="1">
      <c r="A330" s="12"/>
      <c r="C330" s="12"/>
      <c r="D330" s="13"/>
      <c r="F330" s="14"/>
      <c r="G330" s="14"/>
      <c r="H330" s="14"/>
      <c r="I330" s="14"/>
      <c r="J330" s="14"/>
      <c r="K330" s="12"/>
    </row>
    <row r="331" ht="19.5" customHeight="1">
      <c r="A331" s="12"/>
      <c r="C331" s="12"/>
      <c r="D331" s="13"/>
      <c r="F331" s="14"/>
      <c r="G331" s="14"/>
      <c r="H331" s="14"/>
      <c r="I331" s="14"/>
      <c r="J331" s="14"/>
      <c r="K331" s="12"/>
    </row>
    <row r="332" ht="19.5" customHeight="1">
      <c r="A332" s="12"/>
      <c r="C332" s="12"/>
      <c r="D332" s="13"/>
      <c r="F332" s="14"/>
      <c r="G332" s="14"/>
      <c r="H332" s="14"/>
      <c r="I332" s="14"/>
      <c r="J332" s="14"/>
      <c r="K332" s="12"/>
    </row>
    <row r="333" ht="19.5" customHeight="1">
      <c r="A333" s="12"/>
      <c r="C333" s="12"/>
      <c r="D333" s="13"/>
      <c r="F333" s="14"/>
      <c r="G333" s="14"/>
      <c r="H333" s="14"/>
      <c r="I333" s="14"/>
      <c r="J333" s="14"/>
      <c r="K333" s="12"/>
    </row>
    <row r="334" ht="19.5" customHeight="1">
      <c r="A334" s="12"/>
      <c r="C334" s="12"/>
      <c r="D334" s="13"/>
      <c r="F334" s="14"/>
      <c r="G334" s="14"/>
      <c r="H334" s="14"/>
      <c r="I334" s="14"/>
      <c r="J334" s="14"/>
      <c r="K334" s="12"/>
    </row>
    <row r="335" ht="19.5" customHeight="1">
      <c r="A335" s="12"/>
      <c r="C335" s="12"/>
      <c r="D335" s="13"/>
      <c r="F335" s="14"/>
      <c r="G335" s="14"/>
      <c r="H335" s="14"/>
      <c r="I335" s="14"/>
      <c r="J335" s="14"/>
      <c r="K335" s="12"/>
    </row>
    <row r="336" ht="19.5" customHeight="1">
      <c r="A336" s="12"/>
      <c r="C336" s="12"/>
      <c r="D336" s="13"/>
      <c r="F336" s="14"/>
      <c r="G336" s="14"/>
      <c r="H336" s="14"/>
      <c r="I336" s="14"/>
      <c r="J336" s="14"/>
      <c r="K336" s="12"/>
    </row>
    <row r="337" ht="19.5" customHeight="1">
      <c r="A337" s="12"/>
      <c r="C337" s="12"/>
      <c r="D337" s="13"/>
      <c r="F337" s="14"/>
      <c r="G337" s="14"/>
      <c r="H337" s="14"/>
      <c r="I337" s="14"/>
      <c r="J337" s="14"/>
      <c r="K337" s="12"/>
    </row>
    <row r="338" ht="19.5" customHeight="1">
      <c r="A338" s="12"/>
      <c r="C338" s="12"/>
      <c r="D338" s="13"/>
      <c r="F338" s="14"/>
      <c r="G338" s="14"/>
      <c r="H338" s="14"/>
      <c r="I338" s="14"/>
      <c r="J338" s="14"/>
      <c r="K338" s="12"/>
    </row>
    <row r="339" ht="19.5" customHeight="1">
      <c r="A339" s="12"/>
      <c r="C339" s="12"/>
      <c r="D339" s="13"/>
      <c r="F339" s="14"/>
      <c r="G339" s="14"/>
      <c r="H339" s="14"/>
      <c r="I339" s="14"/>
      <c r="J339" s="14"/>
      <c r="K339" s="12"/>
    </row>
    <row r="340" ht="19.5" customHeight="1">
      <c r="A340" s="12"/>
      <c r="C340" s="12"/>
      <c r="D340" s="13"/>
      <c r="F340" s="14"/>
      <c r="G340" s="14"/>
      <c r="H340" s="14"/>
      <c r="I340" s="14"/>
      <c r="J340" s="14"/>
      <c r="K340" s="12"/>
    </row>
    <row r="341" ht="19.5" customHeight="1">
      <c r="A341" s="12"/>
      <c r="C341" s="12"/>
      <c r="D341" s="13"/>
      <c r="F341" s="14"/>
      <c r="G341" s="14"/>
      <c r="H341" s="14"/>
      <c r="I341" s="14"/>
      <c r="J341" s="14"/>
      <c r="K341" s="12"/>
    </row>
    <row r="342" ht="19.5" customHeight="1">
      <c r="A342" s="12"/>
      <c r="C342" s="12"/>
      <c r="D342" s="13"/>
      <c r="F342" s="14"/>
      <c r="G342" s="14"/>
      <c r="H342" s="14"/>
      <c r="I342" s="14"/>
      <c r="J342" s="14"/>
      <c r="K342" s="12"/>
    </row>
    <row r="343" ht="19.5" customHeight="1">
      <c r="A343" s="12"/>
      <c r="C343" s="12"/>
      <c r="D343" s="13"/>
      <c r="F343" s="14"/>
      <c r="G343" s="14"/>
      <c r="H343" s="14"/>
      <c r="I343" s="14"/>
      <c r="J343" s="14"/>
      <c r="K343" s="12"/>
    </row>
    <row r="344" ht="19.5" customHeight="1">
      <c r="A344" s="12"/>
      <c r="C344" s="12"/>
      <c r="D344" s="13"/>
      <c r="F344" s="14"/>
      <c r="G344" s="14"/>
      <c r="H344" s="14"/>
      <c r="I344" s="14"/>
      <c r="J344" s="14"/>
      <c r="K344" s="12"/>
    </row>
    <row r="345" ht="19.5" customHeight="1">
      <c r="A345" s="12"/>
      <c r="C345" s="12"/>
      <c r="D345" s="13"/>
      <c r="F345" s="14"/>
      <c r="G345" s="14"/>
      <c r="H345" s="14"/>
      <c r="I345" s="14"/>
      <c r="J345" s="14"/>
      <c r="K345" s="12"/>
    </row>
    <row r="346" ht="19.5" customHeight="1">
      <c r="A346" s="12"/>
      <c r="C346" s="12"/>
      <c r="D346" s="13"/>
      <c r="F346" s="14"/>
      <c r="G346" s="14"/>
      <c r="H346" s="14"/>
      <c r="I346" s="14"/>
      <c r="J346" s="14"/>
      <c r="K346" s="12"/>
    </row>
    <row r="347" ht="19.5" customHeight="1">
      <c r="A347" s="12"/>
      <c r="C347" s="12"/>
      <c r="D347" s="13"/>
      <c r="F347" s="14"/>
      <c r="G347" s="14"/>
      <c r="H347" s="14"/>
      <c r="I347" s="14"/>
      <c r="J347" s="14"/>
      <c r="K347" s="12"/>
    </row>
    <row r="348" ht="19.5" customHeight="1">
      <c r="A348" s="12"/>
      <c r="C348" s="12"/>
      <c r="D348" s="13"/>
      <c r="F348" s="14"/>
      <c r="G348" s="14"/>
      <c r="H348" s="14"/>
      <c r="I348" s="14"/>
      <c r="J348" s="14"/>
      <c r="K348" s="12"/>
    </row>
    <row r="349" ht="19.5" customHeight="1">
      <c r="A349" s="12"/>
      <c r="C349" s="12"/>
      <c r="D349" s="13"/>
      <c r="F349" s="14"/>
      <c r="G349" s="14"/>
      <c r="H349" s="14"/>
      <c r="I349" s="14"/>
      <c r="J349" s="14"/>
      <c r="K349" s="12"/>
    </row>
    <row r="350" ht="19.5" customHeight="1">
      <c r="A350" s="12"/>
      <c r="C350" s="12"/>
      <c r="D350" s="13"/>
      <c r="F350" s="14"/>
      <c r="G350" s="14"/>
      <c r="H350" s="14"/>
      <c r="I350" s="14"/>
      <c r="J350" s="14"/>
      <c r="K350" s="12"/>
    </row>
    <row r="351" ht="19.5" customHeight="1">
      <c r="A351" s="12"/>
      <c r="C351" s="12"/>
      <c r="D351" s="13"/>
      <c r="F351" s="14"/>
      <c r="G351" s="14"/>
      <c r="H351" s="14"/>
      <c r="I351" s="14"/>
      <c r="J351" s="14"/>
      <c r="K351" s="12"/>
    </row>
    <row r="352" ht="19.5" customHeight="1">
      <c r="A352" s="12"/>
      <c r="C352" s="12"/>
      <c r="D352" s="13"/>
      <c r="F352" s="14"/>
      <c r="G352" s="14"/>
      <c r="H352" s="14"/>
      <c r="I352" s="14"/>
      <c r="J352" s="14"/>
      <c r="K352" s="12"/>
    </row>
    <row r="353" ht="19.5" customHeight="1">
      <c r="A353" s="12"/>
      <c r="C353" s="12"/>
      <c r="D353" s="13"/>
      <c r="F353" s="14"/>
      <c r="G353" s="14"/>
      <c r="H353" s="14"/>
      <c r="I353" s="14"/>
      <c r="J353" s="14"/>
      <c r="K353" s="12"/>
    </row>
    <row r="354" ht="19.5" customHeight="1">
      <c r="A354" s="12"/>
      <c r="C354" s="12"/>
      <c r="D354" s="13"/>
      <c r="F354" s="14"/>
      <c r="G354" s="14"/>
      <c r="H354" s="14"/>
      <c r="I354" s="14"/>
      <c r="J354" s="14"/>
      <c r="K354" s="12"/>
    </row>
    <row r="355" ht="19.5" customHeight="1">
      <c r="A355" s="12"/>
      <c r="C355" s="12"/>
      <c r="D355" s="13"/>
      <c r="F355" s="14"/>
      <c r="G355" s="14"/>
      <c r="H355" s="14"/>
      <c r="I355" s="14"/>
      <c r="J355" s="14"/>
      <c r="K355" s="12"/>
    </row>
    <row r="356" ht="19.5" customHeight="1">
      <c r="A356" s="12"/>
      <c r="C356" s="12"/>
      <c r="D356" s="13"/>
      <c r="F356" s="14"/>
      <c r="G356" s="14"/>
      <c r="H356" s="14"/>
      <c r="I356" s="14"/>
      <c r="J356" s="14"/>
      <c r="K356" s="12"/>
    </row>
    <row r="357" ht="19.5" customHeight="1">
      <c r="A357" s="12"/>
      <c r="C357" s="12"/>
      <c r="D357" s="13"/>
      <c r="F357" s="14"/>
      <c r="G357" s="14"/>
      <c r="H357" s="14"/>
      <c r="I357" s="14"/>
      <c r="J357" s="14"/>
      <c r="K357" s="12"/>
    </row>
    <row r="358" ht="19.5" customHeight="1">
      <c r="A358" s="12"/>
      <c r="C358" s="12"/>
      <c r="D358" s="13"/>
      <c r="F358" s="14"/>
      <c r="G358" s="14"/>
      <c r="H358" s="14"/>
      <c r="I358" s="14"/>
      <c r="J358" s="14"/>
      <c r="K358" s="12"/>
    </row>
    <row r="359" ht="19.5" customHeight="1">
      <c r="A359" s="12"/>
      <c r="C359" s="12"/>
      <c r="D359" s="13"/>
      <c r="F359" s="14"/>
      <c r="G359" s="14"/>
      <c r="H359" s="14"/>
      <c r="I359" s="14"/>
      <c r="J359" s="14"/>
      <c r="K359" s="12"/>
    </row>
    <row r="360" ht="19.5" customHeight="1">
      <c r="A360" s="12"/>
      <c r="C360" s="12"/>
      <c r="D360" s="13"/>
      <c r="F360" s="14"/>
      <c r="G360" s="14"/>
      <c r="H360" s="14"/>
      <c r="I360" s="14"/>
      <c r="J360" s="14"/>
      <c r="K360" s="12"/>
    </row>
    <row r="361" ht="19.5" customHeight="1">
      <c r="A361" s="12"/>
      <c r="C361" s="12"/>
      <c r="D361" s="13"/>
      <c r="F361" s="14"/>
      <c r="G361" s="14"/>
      <c r="H361" s="14"/>
      <c r="I361" s="14"/>
      <c r="J361" s="14"/>
      <c r="K361" s="12"/>
    </row>
    <row r="362" ht="19.5" customHeight="1">
      <c r="A362" s="12"/>
      <c r="C362" s="12"/>
      <c r="D362" s="13"/>
      <c r="F362" s="14"/>
      <c r="G362" s="14"/>
      <c r="H362" s="14"/>
      <c r="I362" s="14"/>
      <c r="J362" s="14"/>
      <c r="K362" s="12"/>
    </row>
    <row r="363" ht="19.5" customHeight="1">
      <c r="A363" s="12"/>
      <c r="C363" s="12"/>
      <c r="D363" s="13"/>
      <c r="F363" s="14"/>
      <c r="G363" s="14"/>
      <c r="H363" s="14"/>
      <c r="I363" s="14"/>
      <c r="J363" s="14"/>
      <c r="K363" s="12"/>
    </row>
    <row r="364" ht="19.5" customHeight="1">
      <c r="A364" s="12"/>
      <c r="C364" s="12"/>
      <c r="D364" s="13"/>
      <c r="F364" s="14"/>
      <c r="G364" s="14"/>
      <c r="H364" s="14"/>
      <c r="I364" s="14"/>
      <c r="J364" s="14"/>
      <c r="K364" s="12"/>
    </row>
    <row r="365" ht="19.5" customHeight="1">
      <c r="A365" s="12"/>
      <c r="C365" s="12"/>
      <c r="D365" s="13"/>
      <c r="F365" s="14"/>
      <c r="G365" s="14"/>
      <c r="H365" s="14"/>
      <c r="I365" s="14"/>
      <c r="J365" s="14"/>
      <c r="K365" s="12"/>
    </row>
    <row r="366" ht="19.5" customHeight="1">
      <c r="A366" s="12"/>
      <c r="C366" s="12"/>
      <c r="D366" s="13"/>
      <c r="F366" s="14"/>
      <c r="G366" s="14"/>
      <c r="H366" s="14"/>
      <c r="I366" s="14"/>
      <c r="J366" s="14"/>
      <c r="K366" s="12"/>
    </row>
    <row r="367" ht="19.5" customHeight="1">
      <c r="A367" s="12"/>
      <c r="C367" s="12"/>
      <c r="D367" s="13"/>
      <c r="F367" s="14"/>
      <c r="G367" s="14"/>
      <c r="H367" s="14"/>
      <c r="I367" s="14"/>
      <c r="J367" s="14"/>
      <c r="K367" s="12"/>
    </row>
    <row r="368" ht="19.5" customHeight="1">
      <c r="A368" s="12"/>
      <c r="C368" s="12"/>
      <c r="D368" s="13"/>
      <c r="F368" s="14"/>
      <c r="G368" s="14"/>
      <c r="H368" s="14"/>
      <c r="I368" s="14"/>
      <c r="J368" s="14"/>
      <c r="K368" s="12"/>
    </row>
    <row r="369" ht="19.5" customHeight="1">
      <c r="A369" s="12"/>
      <c r="C369" s="12"/>
      <c r="D369" s="13"/>
      <c r="F369" s="14"/>
      <c r="G369" s="14"/>
      <c r="H369" s="14"/>
      <c r="I369" s="14"/>
      <c r="J369" s="14"/>
      <c r="K369" s="12"/>
    </row>
    <row r="370" ht="19.5" customHeight="1">
      <c r="A370" s="12"/>
      <c r="C370" s="12"/>
      <c r="D370" s="13"/>
      <c r="F370" s="14"/>
      <c r="G370" s="14"/>
      <c r="H370" s="14"/>
      <c r="I370" s="14"/>
      <c r="J370" s="14"/>
      <c r="K370" s="12"/>
    </row>
    <row r="371" ht="19.5" customHeight="1">
      <c r="A371" s="12"/>
      <c r="C371" s="12"/>
      <c r="D371" s="13"/>
      <c r="F371" s="14"/>
      <c r="G371" s="14"/>
      <c r="H371" s="14"/>
      <c r="I371" s="14"/>
      <c r="J371" s="14"/>
      <c r="K371" s="12"/>
    </row>
    <row r="372" ht="19.5" customHeight="1">
      <c r="A372" s="12"/>
      <c r="C372" s="12"/>
      <c r="D372" s="13"/>
      <c r="F372" s="14"/>
      <c r="G372" s="14"/>
      <c r="H372" s="14"/>
      <c r="I372" s="14"/>
      <c r="J372" s="14"/>
      <c r="K372" s="12"/>
    </row>
    <row r="373" ht="19.5" customHeight="1">
      <c r="A373" s="12"/>
      <c r="C373" s="12"/>
      <c r="D373" s="13"/>
      <c r="F373" s="14"/>
      <c r="G373" s="14"/>
      <c r="H373" s="14"/>
      <c r="I373" s="14"/>
      <c r="J373" s="14"/>
      <c r="K373" s="12"/>
    </row>
    <row r="374" ht="19.5" customHeight="1">
      <c r="A374" s="12"/>
      <c r="C374" s="12"/>
      <c r="D374" s="13"/>
      <c r="F374" s="14"/>
      <c r="G374" s="14"/>
      <c r="H374" s="14"/>
      <c r="I374" s="14"/>
      <c r="J374" s="14"/>
      <c r="K374" s="12"/>
    </row>
    <row r="375" ht="19.5" customHeight="1">
      <c r="A375" s="12"/>
      <c r="C375" s="12"/>
      <c r="D375" s="13"/>
      <c r="F375" s="14"/>
      <c r="G375" s="14"/>
      <c r="H375" s="14"/>
      <c r="I375" s="14"/>
      <c r="J375" s="14"/>
      <c r="K375" s="12"/>
    </row>
    <row r="376" ht="19.5" customHeight="1">
      <c r="A376" s="12"/>
      <c r="C376" s="12"/>
      <c r="D376" s="13"/>
      <c r="F376" s="14"/>
      <c r="G376" s="14"/>
      <c r="H376" s="14"/>
      <c r="I376" s="14"/>
      <c r="J376" s="14"/>
      <c r="K376" s="12"/>
    </row>
    <row r="377" ht="19.5" customHeight="1">
      <c r="A377" s="12"/>
      <c r="C377" s="12"/>
      <c r="D377" s="13"/>
      <c r="F377" s="14"/>
      <c r="G377" s="14"/>
      <c r="H377" s="14"/>
      <c r="I377" s="14"/>
      <c r="J377" s="14"/>
      <c r="K377" s="12"/>
    </row>
    <row r="378" ht="19.5" customHeight="1">
      <c r="A378" s="12"/>
      <c r="C378" s="12"/>
      <c r="D378" s="13"/>
      <c r="F378" s="14"/>
      <c r="G378" s="14"/>
      <c r="H378" s="14"/>
      <c r="I378" s="14"/>
      <c r="J378" s="14"/>
      <c r="K378" s="12"/>
    </row>
    <row r="379" ht="19.5" customHeight="1">
      <c r="A379" s="12"/>
      <c r="C379" s="12"/>
      <c r="D379" s="13"/>
      <c r="F379" s="14"/>
      <c r="G379" s="14"/>
      <c r="H379" s="14"/>
      <c r="I379" s="14"/>
      <c r="J379" s="14"/>
      <c r="K379" s="12"/>
    </row>
    <row r="380" ht="19.5" customHeight="1">
      <c r="A380" s="12"/>
      <c r="C380" s="12"/>
      <c r="D380" s="13"/>
      <c r="F380" s="14"/>
      <c r="G380" s="14"/>
      <c r="H380" s="14"/>
      <c r="I380" s="14"/>
      <c r="J380" s="14"/>
      <c r="K380" s="12"/>
    </row>
    <row r="381" ht="19.5" customHeight="1">
      <c r="A381" s="12"/>
      <c r="C381" s="12"/>
      <c r="D381" s="13"/>
      <c r="F381" s="14"/>
      <c r="G381" s="14"/>
      <c r="H381" s="14"/>
      <c r="I381" s="14"/>
      <c r="J381" s="14"/>
      <c r="K381" s="12"/>
    </row>
    <row r="382" ht="19.5" customHeight="1">
      <c r="A382" s="12"/>
      <c r="C382" s="12"/>
      <c r="D382" s="13"/>
      <c r="F382" s="14"/>
      <c r="G382" s="14"/>
      <c r="H382" s="14"/>
      <c r="I382" s="14"/>
      <c r="J382" s="14"/>
      <c r="K382" s="12"/>
    </row>
    <row r="383" ht="19.5" customHeight="1">
      <c r="A383" s="12"/>
      <c r="C383" s="12"/>
      <c r="D383" s="13"/>
      <c r="F383" s="14"/>
      <c r="G383" s="14"/>
      <c r="H383" s="14"/>
      <c r="I383" s="14"/>
      <c r="J383" s="14"/>
      <c r="K383" s="12"/>
    </row>
    <row r="384" ht="19.5" customHeight="1">
      <c r="A384" s="12"/>
      <c r="C384" s="12"/>
      <c r="D384" s="13"/>
      <c r="F384" s="14"/>
      <c r="G384" s="14"/>
      <c r="H384" s="14"/>
      <c r="I384" s="14"/>
      <c r="J384" s="14"/>
      <c r="K384" s="12"/>
    </row>
    <row r="385" ht="19.5" customHeight="1">
      <c r="A385" s="12"/>
      <c r="C385" s="12"/>
      <c r="D385" s="13"/>
      <c r="F385" s="14"/>
      <c r="G385" s="14"/>
      <c r="H385" s="14"/>
      <c r="I385" s="14"/>
      <c r="J385" s="14"/>
      <c r="K385" s="12"/>
    </row>
    <row r="386" ht="19.5" customHeight="1">
      <c r="A386" s="12"/>
      <c r="C386" s="12"/>
      <c r="D386" s="13"/>
      <c r="F386" s="14"/>
      <c r="G386" s="14"/>
      <c r="H386" s="14"/>
      <c r="I386" s="14"/>
      <c r="J386" s="14"/>
      <c r="K386" s="12"/>
    </row>
    <row r="387" ht="19.5" customHeight="1">
      <c r="A387" s="12"/>
      <c r="C387" s="12"/>
      <c r="D387" s="13"/>
      <c r="F387" s="14"/>
      <c r="G387" s="14"/>
      <c r="H387" s="14"/>
      <c r="I387" s="14"/>
      <c r="J387" s="14"/>
      <c r="K387" s="12"/>
    </row>
    <row r="388" ht="19.5" customHeight="1">
      <c r="A388" s="12"/>
      <c r="C388" s="12"/>
      <c r="D388" s="13"/>
      <c r="F388" s="14"/>
      <c r="G388" s="14"/>
      <c r="H388" s="14"/>
      <c r="I388" s="14"/>
      <c r="J388" s="14"/>
      <c r="K388" s="12"/>
    </row>
    <row r="389" ht="19.5" customHeight="1">
      <c r="A389" s="12"/>
      <c r="C389" s="12"/>
      <c r="D389" s="13"/>
      <c r="F389" s="14"/>
      <c r="G389" s="14"/>
      <c r="H389" s="14"/>
      <c r="I389" s="14"/>
      <c r="J389" s="14"/>
      <c r="K389" s="12"/>
    </row>
    <row r="390" ht="19.5" customHeight="1">
      <c r="A390" s="12"/>
      <c r="C390" s="12"/>
      <c r="D390" s="13"/>
      <c r="F390" s="14"/>
      <c r="G390" s="14"/>
      <c r="H390" s="14"/>
      <c r="I390" s="14"/>
      <c r="J390" s="14"/>
      <c r="K390" s="12"/>
    </row>
    <row r="391" ht="19.5" customHeight="1">
      <c r="A391" s="12"/>
      <c r="C391" s="12"/>
      <c r="D391" s="13"/>
      <c r="F391" s="14"/>
      <c r="G391" s="14"/>
      <c r="H391" s="14"/>
      <c r="I391" s="14"/>
      <c r="J391" s="14"/>
      <c r="K391" s="12"/>
    </row>
    <row r="392" ht="19.5" customHeight="1">
      <c r="A392" s="12"/>
      <c r="C392" s="12"/>
      <c r="D392" s="13"/>
      <c r="F392" s="14"/>
      <c r="G392" s="14"/>
      <c r="H392" s="14"/>
      <c r="I392" s="14"/>
      <c r="J392" s="14"/>
      <c r="K392" s="12"/>
    </row>
    <row r="393" ht="19.5" customHeight="1">
      <c r="A393" s="12"/>
      <c r="C393" s="12"/>
      <c r="D393" s="13"/>
      <c r="F393" s="14"/>
      <c r="G393" s="14"/>
      <c r="H393" s="14"/>
      <c r="I393" s="14"/>
      <c r="J393" s="14"/>
      <c r="K393" s="12"/>
    </row>
    <row r="394" ht="19.5" customHeight="1">
      <c r="A394" s="12"/>
      <c r="C394" s="12"/>
      <c r="D394" s="13"/>
      <c r="F394" s="14"/>
      <c r="G394" s="14"/>
      <c r="H394" s="14"/>
      <c r="I394" s="14"/>
      <c r="J394" s="14"/>
      <c r="K394" s="12"/>
    </row>
    <row r="395" ht="19.5" customHeight="1">
      <c r="A395" s="12"/>
      <c r="C395" s="12"/>
      <c r="D395" s="13"/>
      <c r="F395" s="14"/>
      <c r="G395" s="14"/>
      <c r="H395" s="14"/>
      <c r="I395" s="14"/>
      <c r="J395" s="14"/>
      <c r="K395" s="12"/>
    </row>
    <row r="396" ht="19.5" customHeight="1">
      <c r="A396" s="12"/>
      <c r="C396" s="12"/>
      <c r="D396" s="13"/>
      <c r="F396" s="14"/>
      <c r="G396" s="14"/>
      <c r="H396" s="14"/>
      <c r="I396" s="14"/>
      <c r="J396" s="14"/>
      <c r="K396" s="12"/>
    </row>
    <row r="397" ht="19.5" customHeight="1">
      <c r="A397" s="12"/>
      <c r="C397" s="12"/>
      <c r="D397" s="13"/>
      <c r="F397" s="14"/>
      <c r="G397" s="14"/>
      <c r="H397" s="14"/>
      <c r="I397" s="14"/>
      <c r="J397" s="14"/>
      <c r="K397" s="12"/>
    </row>
    <row r="398" ht="19.5" customHeight="1">
      <c r="A398" s="12"/>
      <c r="C398" s="12"/>
      <c r="D398" s="13"/>
      <c r="F398" s="14"/>
      <c r="G398" s="14"/>
      <c r="H398" s="14"/>
      <c r="I398" s="14"/>
      <c r="J398" s="14"/>
      <c r="K398" s="12"/>
    </row>
    <row r="399" ht="19.5" customHeight="1">
      <c r="A399" s="12"/>
      <c r="C399" s="12"/>
      <c r="D399" s="13"/>
      <c r="F399" s="14"/>
      <c r="G399" s="14"/>
      <c r="H399" s="14"/>
      <c r="I399" s="14"/>
      <c r="J399" s="14"/>
      <c r="K399" s="12"/>
    </row>
    <row r="400" ht="19.5" customHeight="1">
      <c r="A400" s="12"/>
      <c r="C400" s="12"/>
      <c r="D400" s="13"/>
      <c r="F400" s="14"/>
      <c r="G400" s="14"/>
      <c r="H400" s="14"/>
      <c r="I400" s="14"/>
      <c r="J400" s="14"/>
      <c r="K400" s="12"/>
    </row>
    <row r="401" ht="19.5" customHeight="1">
      <c r="A401" s="12"/>
      <c r="C401" s="12"/>
      <c r="D401" s="13"/>
      <c r="F401" s="14"/>
      <c r="G401" s="14"/>
      <c r="H401" s="14"/>
      <c r="I401" s="14"/>
      <c r="J401" s="14"/>
      <c r="K401" s="12"/>
    </row>
    <row r="402" ht="19.5" customHeight="1">
      <c r="A402" s="12"/>
      <c r="C402" s="12"/>
      <c r="D402" s="13"/>
      <c r="F402" s="14"/>
      <c r="G402" s="14"/>
      <c r="H402" s="14"/>
      <c r="I402" s="14"/>
      <c r="J402" s="14"/>
      <c r="K402" s="12"/>
    </row>
    <row r="403" ht="19.5" customHeight="1">
      <c r="A403" s="12"/>
      <c r="C403" s="12"/>
      <c r="D403" s="13"/>
      <c r="F403" s="14"/>
      <c r="G403" s="14"/>
      <c r="H403" s="14"/>
      <c r="I403" s="14"/>
      <c r="J403" s="14"/>
      <c r="K403" s="12"/>
    </row>
    <row r="404" ht="19.5" customHeight="1">
      <c r="A404" s="12"/>
      <c r="C404" s="12"/>
      <c r="D404" s="13"/>
      <c r="F404" s="14"/>
      <c r="G404" s="14"/>
      <c r="H404" s="14"/>
      <c r="I404" s="14"/>
      <c r="J404" s="14"/>
      <c r="K404" s="12"/>
    </row>
    <row r="405" ht="19.5" customHeight="1">
      <c r="A405" s="12"/>
      <c r="C405" s="12"/>
      <c r="D405" s="13"/>
      <c r="F405" s="14"/>
      <c r="G405" s="14"/>
      <c r="H405" s="14"/>
      <c r="I405" s="14"/>
      <c r="J405" s="14"/>
      <c r="K405" s="12"/>
    </row>
    <row r="406" ht="19.5" customHeight="1">
      <c r="A406" s="12"/>
      <c r="C406" s="12"/>
      <c r="D406" s="13"/>
      <c r="F406" s="14"/>
      <c r="G406" s="14"/>
      <c r="H406" s="14"/>
      <c r="I406" s="14"/>
      <c r="J406" s="14"/>
      <c r="K406" s="12"/>
    </row>
    <row r="407" ht="19.5" customHeight="1">
      <c r="A407" s="12"/>
      <c r="C407" s="12"/>
      <c r="D407" s="13"/>
      <c r="F407" s="14"/>
      <c r="G407" s="14"/>
      <c r="H407" s="14"/>
      <c r="I407" s="14"/>
      <c r="J407" s="14"/>
      <c r="K407" s="12"/>
    </row>
    <row r="408" ht="19.5" customHeight="1">
      <c r="A408" s="12"/>
      <c r="C408" s="12"/>
      <c r="D408" s="13"/>
      <c r="F408" s="14"/>
      <c r="G408" s="14"/>
      <c r="H408" s="14"/>
      <c r="I408" s="14"/>
      <c r="J408" s="14"/>
      <c r="K408" s="12"/>
    </row>
    <row r="409" ht="19.5" customHeight="1">
      <c r="A409" s="12"/>
      <c r="C409" s="12"/>
      <c r="D409" s="13"/>
      <c r="F409" s="14"/>
      <c r="G409" s="14"/>
      <c r="H409" s="14"/>
      <c r="I409" s="14"/>
      <c r="J409" s="14"/>
      <c r="K409" s="12"/>
    </row>
    <row r="410" ht="19.5" customHeight="1">
      <c r="A410" s="12"/>
      <c r="C410" s="12"/>
      <c r="D410" s="13"/>
      <c r="F410" s="14"/>
      <c r="G410" s="14"/>
      <c r="H410" s="14"/>
      <c r="I410" s="14"/>
      <c r="J410" s="14"/>
      <c r="K410" s="12"/>
    </row>
    <row r="411" ht="19.5" customHeight="1">
      <c r="A411" s="12"/>
      <c r="C411" s="12"/>
      <c r="D411" s="13"/>
      <c r="F411" s="14"/>
      <c r="G411" s="14"/>
      <c r="H411" s="14"/>
      <c r="I411" s="14"/>
      <c r="J411" s="14"/>
      <c r="K411" s="12"/>
    </row>
    <row r="412" ht="19.5" customHeight="1">
      <c r="A412" s="12"/>
      <c r="C412" s="12"/>
      <c r="D412" s="13"/>
      <c r="F412" s="14"/>
      <c r="G412" s="14"/>
      <c r="H412" s="14"/>
      <c r="I412" s="14"/>
      <c r="J412" s="14"/>
      <c r="K412" s="12"/>
    </row>
    <row r="413" ht="19.5" customHeight="1">
      <c r="A413" s="12"/>
      <c r="C413" s="12"/>
      <c r="D413" s="13"/>
      <c r="F413" s="14"/>
      <c r="G413" s="14"/>
      <c r="H413" s="14"/>
      <c r="I413" s="14"/>
      <c r="J413" s="14"/>
      <c r="K413" s="12"/>
    </row>
    <row r="414" ht="19.5" customHeight="1">
      <c r="A414" s="12"/>
      <c r="C414" s="12"/>
      <c r="D414" s="13"/>
      <c r="F414" s="14"/>
      <c r="G414" s="14"/>
      <c r="H414" s="14"/>
      <c r="I414" s="14"/>
      <c r="J414" s="14"/>
      <c r="K414" s="12"/>
    </row>
    <row r="415" ht="19.5" customHeight="1">
      <c r="A415" s="12"/>
      <c r="C415" s="12"/>
      <c r="D415" s="13"/>
      <c r="F415" s="14"/>
      <c r="G415" s="14"/>
      <c r="H415" s="14"/>
      <c r="I415" s="14"/>
      <c r="J415" s="14"/>
      <c r="K415" s="12"/>
    </row>
    <row r="416" ht="19.5" customHeight="1">
      <c r="A416" s="12"/>
      <c r="C416" s="12"/>
      <c r="D416" s="13"/>
      <c r="F416" s="14"/>
      <c r="G416" s="14"/>
      <c r="H416" s="14"/>
      <c r="I416" s="14"/>
      <c r="J416" s="14"/>
      <c r="K416" s="12"/>
    </row>
    <row r="417" ht="19.5" customHeight="1">
      <c r="A417" s="12"/>
      <c r="C417" s="12"/>
      <c r="D417" s="13"/>
      <c r="F417" s="14"/>
      <c r="G417" s="14"/>
      <c r="H417" s="14"/>
      <c r="I417" s="14"/>
      <c r="J417" s="14"/>
      <c r="K417" s="12"/>
    </row>
    <row r="418" ht="19.5" customHeight="1">
      <c r="A418" s="12"/>
      <c r="C418" s="12"/>
      <c r="D418" s="13"/>
      <c r="F418" s="14"/>
      <c r="G418" s="14"/>
      <c r="H418" s="14"/>
      <c r="I418" s="14"/>
      <c r="J418" s="14"/>
      <c r="K418" s="12"/>
    </row>
    <row r="419" ht="19.5" customHeight="1">
      <c r="A419" s="12"/>
      <c r="C419" s="12"/>
      <c r="D419" s="13"/>
      <c r="F419" s="14"/>
      <c r="G419" s="14"/>
      <c r="H419" s="14"/>
      <c r="I419" s="14"/>
      <c r="J419" s="14"/>
      <c r="K419" s="12"/>
    </row>
    <row r="420" ht="19.5" customHeight="1">
      <c r="A420" s="12"/>
      <c r="C420" s="12"/>
      <c r="D420" s="13"/>
      <c r="F420" s="14"/>
      <c r="G420" s="14"/>
      <c r="H420" s="14"/>
      <c r="I420" s="14"/>
      <c r="J420" s="14"/>
      <c r="K420" s="12"/>
    </row>
    <row r="421" ht="19.5" customHeight="1">
      <c r="A421" s="12"/>
      <c r="C421" s="12"/>
      <c r="D421" s="13"/>
      <c r="F421" s="14"/>
      <c r="G421" s="14"/>
      <c r="H421" s="14"/>
      <c r="I421" s="14"/>
      <c r="J421" s="14"/>
      <c r="K421" s="12"/>
    </row>
    <row r="422" ht="19.5" customHeight="1">
      <c r="A422" s="12"/>
      <c r="C422" s="12"/>
      <c r="D422" s="13"/>
      <c r="F422" s="14"/>
      <c r="G422" s="14"/>
      <c r="H422" s="14"/>
      <c r="I422" s="14"/>
      <c r="J422" s="14"/>
      <c r="K422" s="12"/>
    </row>
    <row r="423" ht="19.5" customHeight="1">
      <c r="A423" s="12"/>
      <c r="C423" s="12"/>
      <c r="D423" s="13"/>
      <c r="F423" s="14"/>
      <c r="G423" s="14"/>
      <c r="H423" s="14"/>
      <c r="I423" s="14"/>
      <c r="J423" s="14"/>
      <c r="K423" s="12"/>
    </row>
    <row r="424" ht="19.5" customHeight="1">
      <c r="A424" s="12"/>
      <c r="C424" s="12"/>
      <c r="D424" s="13"/>
      <c r="F424" s="14"/>
      <c r="G424" s="14"/>
      <c r="H424" s="14"/>
      <c r="I424" s="14"/>
      <c r="J424" s="14"/>
      <c r="K424" s="12"/>
    </row>
    <row r="425" ht="19.5" customHeight="1">
      <c r="A425" s="12"/>
      <c r="C425" s="12"/>
      <c r="D425" s="13"/>
      <c r="F425" s="14"/>
      <c r="G425" s="14"/>
      <c r="H425" s="14"/>
      <c r="I425" s="14"/>
      <c r="J425" s="14"/>
      <c r="K425" s="12"/>
    </row>
    <row r="426" ht="19.5" customHeight="1">
      <c r="A426" s="12"/>
      <c r="C426" s="12"/>
      <c r="D426" s="13"/>
      <c r="F426" s="14"/>
      <c r="G426" s="14"/>
      <c r="H426" s="14"/>
      <c r="I426" s="14"/>
      <c r="J426" s="14"/>
      <c r="K426" s="12"/>
    </row>
    <row r="427" ht="19.5" customHeight="1">
      <c r="A427" s="12"/>
      <c r="C427" s="12"/>
      <c r="D427" s="13"/>
      <c r="F427" s="14"/>
      <c r="G427" s="14"/>
      <c r="H427" s="14"/>
      <c r="I427" s="14"/>
      <c r="J427" s="14"/>
      <c r="K427" s="12"/>
    </row>
    <row r="428" ht="19.5" customHeight="1">
      <c r="A428" s="12"/>
      <c r="C428" s="12"/>
      <c r="D428" s="13"/>
      <c r="F428" s="14"/>
      <c r="G428" s="14"/>
      <c r="H428" s="14"/>
      <c r="I428" s="14"/>
      <c r="J428" s="14"/>
      <c r="K428" s="12"/>
    </row>
    <row r="429" ht="19.5" customHeight="1">
      <c r="A429" s="12"/>
      <c r="C429" s="12"/>
      <c r="D429" s="13"/>
      <c r="F429" s="14"/>
      <c r="G429" s="14"/>
      <c r="H429" s="14"/>
      <c r="I429" s="14"/>
      <c r="J429" s="14"/>
      <c r="K429" s="12"/>
    </row>
    <row r="430" ht="19.5" customHeight="1">
      <c r="A430" s="12"/>
      <c r="C430" s="12"/>
      <c r="D430" s="13"/>
      <c r="F430" s="14"/>
      <c r="G430" s="14"/>
      <c r="H430" s="14"/>
      <c r="I430" s="14"/>
      <c r="J430" s="14"/>
      <c r="K430" s="12"/>
    </row>
    <row r="431" ht="19.5" customHeight="1">
      <c r="A431" s="12"/>
      <c r="C431" s="12"/>
      <c r="D431" s="13"/>
      <c r="F431" s="14"/>
      <c r="G431" s="14"/>
      <c r="H431" s="14"/>
      <c r="I431" s="14"/>
      <c r="J431" s="14"/>
      <c r="K431" s="12"/>
    </row>
    <row r="432" ht="19.5" customHeight="1">
      <c r="A432" s="12"/>
      <c r="C432" s="12"/>
      <c r="D432" s="13"/>
      <c r="F432" s="14"/>
      <c r="G432" s="14"/>
      <c r="H432" s="14"/>
      <c r="I432" s="14"/>
      <c r="J432" s="14"/>
      <c r="K432" s="12"/>
    </row>
    <row r="433" ht="19.5" customHeight="1">
      <c r="A433" s="12"/>
      <c r="C433" s="12"/>
      <c r="D433" s="13"/>
      <c r="F433" s="14"/>
      <c r="G433" s="14"/>
      <c r="H433" s="14"/>
      <c r="I433" s="14"/>
      <c r="J433" s="14"/>
      <c r="K433" s="12"/>
    </row>
    <row r="434" ht="19.5" customHeight="1">
      <c r="A434" s="12"/>
      <c r="C434" s="12"/>
      <c r="D434" s="13"/>
      <c r="F434" s="14"/>
      <c r="G434" s="14"/>
      <c r="H434" s="14"/>
      <c r="I434" s="14"/>
      <c r="J434" s="14"/>
      <c r="K434" s="12"/>
    </row>
    <row r="435" ht="19.5" customHeight="1">
      <c r="A435" s="12"/>
      <c r="C435" s="12"/>
      <c r="D435" s="13"/>
      <c r="F435" s="14"/>
      <c r="G435" s="14"/>
      <c r="H435" s="14"/>
      <c r="I435" s="14"/>
      <c r="J435" s="14"/>
      <c r="K435" s="12"/>
    </row>
    <row r="436" ht="19.5" customHeight="1">
      <c r="A436" s="12"/>
      <c r="C436" s="12"/>
      <c r="D436" s="13"/>
      <c r="F436" s="14"/>
      <c r="G436" s="14"/>
      <c r="H436" s="14"/>
      <c r="I436" s="14"/>
      <c r="J436" s="14"/>
      <c r="K436" s="12"/>
    </row>
    <row r="437" ht="19.5" customHeight="1">
      <c r="A437" s="12"/>
      <c r="C437" s="12"/>
      <c r="D437" s="13"/>
      <c r="F437" s="14"/>
      <c r="G437" s="14"/>
      <c r="H437" s="14"/>
      <c r="I437" s="14"/>
      <c r="J437" s="14"/>
      <c r="K437" s="12"/>
    </row>
    <row r="438" ht="19.5" customHeight="1">
      <c r="A438" s="12"/>
      <c r="C438" s="12"/>
      <c r="D438" s="13"/>
      <c r="F438" s="14"/>
      <c r="G438" s="14"/>
      <c r="H438" s="14"/>
      <c r="I438" s="14"/>
      <c r="J438" s="14"/>
      <c r="K438" s="12"/>
    </row>
    <row r="439" ht="19.5" customHeight="1">
      <c r="A439" s="12"/>
      <c r="C439" s="12"/>
      <c r="D439" s="13"/>
      <c r="F439" s="14"/>
      <c r="G439" s="14"/>
      <c r="H439" s="14"/>
      <c r="I439" s="14"/>
      <c r="J439" s="14"/>
      <c r="K439" s="12"/>
    </row>
    <row r="440" ht="19.5" customHeight="1">
      <c r="A440" s="12"/>
      <c r="C440" s="12"/>
      <c r="D440" s="13"/>
      <c r="F440" s="14"/>
      <c r="G440" s="14"/>
      <c r="H440" s="14"/>
      <c r="I440" s="14"/>
      <c r="J440" s="14"/>
      <c r="K440" s="12"/>
    </row>
    <row r="441" ht="19.5" customHeight="1">
      <c r="A441" s="12"/>
      <c r="C441" s="12"/>
      <c r="D441" s="13"/>
      <c r="F441" s="14"/>
      <c r="G441" s="14"/>
      <c r="H441" s="14"/>
      <c r="I441" s="14"/>
      <c r="J441" s="14"/>
      <c r="K441" s="12"/>
    </row>
    <row r="442" ht="19.5" customHeight="1">
      <c r="A442" s="12"/>
      <c r="C442" s="12"/>
      <c r="D442" s="13"/>
      <c r="F442" s="14"/>
      <c r="G442" s="14"/>
      <c r="H442" s="14"/>
      <c r="I442" s="14"/>
      <c r="J442" s="14"/>
      <c r="K442" s="12"/>
    </row>
    <row r="443" ht="19.5" customHeight="1">
      <c r="A443" s="12"/>
      <c r="C443" s="12"/>
      <c r="D443" s="13"/>
      <c r="F443" s="14"/>
      <c r="G443" s="14"/>
      <c r="H443" s="14"/>
      <c r="I443" s="14"/>
      <c r="J443" s="14"/>
      <c r="K443" s="12"/>
    </row>
    <row r="444" ht="19.5" customHeight="1">
      <c r="A444" s="12"/>
      <c r="C444" s="12"/>
      <c r="D444" s="13"/>
      <c r="F444" s="14"/>
      <c r="G444" s="14"/>
      <c r="H444" s="14"/>
      <c r="I444" s="14"/>
      <c r="J444" s="14"/>
      <c r="K444" s="12"/>
    </row>
    <row r="445" ht="19.5" customHeight="1">
      <c r="A445" s="12"/>
      <c r="C445" s="12"/>
      <c r="D445" s="13"/>
      <c r="F445" s="14"/>
      <c r="G445" s="14"/>
      <c r="H445" s="14"/>
      <c r="I445" s="14"/>
      <c r="J445" s="14"/>
      <c r="K445" s="12"/>
    </row>
    <row r="446" ht="19.5" customHeight="1">
      <c r="A446" s="12"/>
      <c r="C446" s="12"/>
      <c r="D446" s="13"/>
      <c r="F446" s="14"/>
      <c r="G446" s="14"/>
      <c r="H446" s="14"/>
      <c r="I446" s="14"/>
      <c r="J446" s="14"/>
      <c r="K446" s="12"/>
    </row>
    <row r="447" ht="19.5" customHeight="1">
      <c r="A447" s="12"/>
      <c r="C447" s="12"/>
      <c r="D447" s="13"/>
      <c r="F447" s="14"/>
      <c r="G447" s="14"/>
      <c r="H447" s="14"/>
      <c r="I447" s="14"/>
      <c r="J447" s="14"/>
      <c r="K447" s="12"/>
    </row>
    <row r="448" ht="19.5" customHeight="1">
      <c r="A448" s="12"/>
      <c r="C448" s="12"/>
      <c r="D448" s="13"/>
      <c r="F448" s="14"/>
      <c r="G448" s="14"/>
      <c r="H448" s="14"/>
      <c r="I448" s="14"/>
      <c r="J448" s="14"/>
      <c r="K448" s="12"/>
    </row>
    <row r="449" ht="19.5" customHeight="1">
      <c r="A449" s="12"/>
      <c r="C449" s="12"/>
      <c r="D449" s="13"/>
      <c r="F449" s="14"/>
      <c r="G449" s="14"/>
      <c r="H449" s="14"/>
      <c r="I449" s="14"/>
      <c r="J449" s="14"/>
      <c r="K449" s="12"/>
    </row>
    <row r="450" ht="19.5" customHeight="1">
      <c r="A450" s="12"/>
      <c r="C450" s="12"/>
      <c r="D450" s="13"/>
      <c r="F450" s="14"/>
      <c r="G450" s="14"/>
      <c r="H450" s="14"/>
      <c r="I450" s="14"/>
      <c r="J450" s="14"/>
      <c r="K450" s="12"/>
    </row>
    <row r="451" ht="19.5" customHeight="1">
      <c r="A451" s="12"/>
      <c r="C451" s="12"/>
      <c r="D451" s="13"/>
      <c r="F451" s="14"/>
      <c r="G451" s="14"/>
      <c r="H451" s="14"/>
      <c r="I451" s="14"/>
      <c r="J451" s="14"/>
      <c r="K451" s="12"/>
    </row>
    <row r="452" ht="19.5" customHeight="1">
      <c r="A452" s="12"/>
      <c r="C452" s="12"/>
      <c r="D452" s="13"/>
      <c r="F452" s="14"/>
      <c r="G452" s="14"/>
      <c r="H452" s="14"/>
      <c r="I452" s="14"/>
      <c r="J452" s="14"/>
      <c r="K452" s="12"/>
    </row>
    <row r="453" ht="19.5" customHeight="1">
      <c r="A453" s="12"/>
      <c r="C453" s="12"/>
      <c r="D453" s="13"/>
      <c r="F453" s="14"/>
      <c r="G453" s="14"/>
      <c r="H453" s="14"/>
      <c r="I453" s="14"/>
      <c r="J453" s="14"/>
      <c r="K453" s="12"/>
    </row>
    <row r="454" ht="19.5" customHeight="1">
      <c r="A454" s="12"/>
      <c r="C454" s="12"/>
      <c r="D454" s="13"/>
      <c r="F454" s="14"/>
      <c r="G454" s="14"/>
      <c r="H454" s="14"/>
      <c r="I454" s="14"/>
      <c r="J454" s="14"/>
      <c r="K454" s="12"/>
    </row>
    <row r="455" ht="19.5" customHeight="1">
      <c r="A455" s="12"/>
      <c r="C455" s="12"/>
      <c r="D455" s="13"/>
      <c r="F455" s="14"/>
      <c r="G455" s="14"/>
      <c r="H455" s="14"/>
      <c r="I455" s="14"/>
      <c r="J455" s="14"/>
      <c r="K455" s="12"/>
    </row>
    <row r="456" ht="19.5" customHeight="1">
      <c r="A456" s="12"/>
      <c r="C456" s="12"/>
      <c r="D456" s="13"/>
      <c r="F456" s="14"/>
      <c r="G456" s="14"/>
      <c r="H456" s="14"/>
      <c r="I456" s="14"/>
      <c r="J456" s="14"/>
      <c r="K456" s="12"/>
    </row>
    <row r="457" ht="19.5" customHeight="1">
      <c r="A457" s="12"/>
      <c r="C457" s="12"/>
      <c r="D457" s="13"/>
      <c r="F457" s="14"/>
      <c r="G457" s="14"/>
      <c r="H457" s="14"/>
      <c r="I457" s="14"/>
      <c r="J457" s="14"/>
      <c r="K457" s="12"/>
    </row>
    <row r="458" ht="19.5" customHeight="1">
      <c r="A458" s="12"/>
      <c r="C458" s="12"/>
      <c r="D458" s="13"/>
      <c r="F458" s="14"/>
      <c r="G458" s="14"/>
      <c r="H458" s="14"/>
      <c r="I458" s="14"/>
      <c r="J458" s="14"/>
      <c r="K458" s="12"/>
    </row>
    <row r="459" ht="19.5" customHeight="1">
      <c r="A459" s="12"/>
      <c r="C459" s="12"/>
      <c r="D459" s="13"/>
      <c r="F459" s="14"/>
      <c r="G459" s="14"/>
      <c r="H459" s="14"/>
      <c r="I459" s="14"/>
      <c r="J459" s="14"/>
      <c r="K459" s="12"/>
    </row>
    <row r="460" ht="19.5" customHeight="1">
      <c r="A460" s="12"/>
      <c r="C460" s="12"/>
      <c r="D460" s="13"/>
      <c r="F460" s="14"/>
      <c r="G460" s="14"/>
      <c r="H460" s="14"/>
      <c r="I460" s="14"/>
      <c r="J460" s="14"/>
      <c r="K460" s="12"/>
    </row>
    <row r="461" ht="19.5" customHeight="1">
      <c r="A461" s="12"/>
      <c r="C461" s="12"/>
      <c r="D461" s="13"/>
      <c r="F461" s="14"/>
      <c r="G461" s="14"/>
      <c r="H461" s="14"/>
      <c r="I461" s="14"/>
      <c r="J461" s="14"/>
      <c r="K461" s="12"/>
    </row>
    <row r="462" ht="19.5" customHeight="1">
      <c r="A462" s="12"/>
      <c r="C462" s="12"/>
      <c r="D462" s="13"/>
      <c r="F462" s="14"/>
      <c r="G462" s="14"/>
      <c r="H462" s="14"/>
      <c r="I462" s="14"/>
      <c r="J462" s="14"/>
      <c r="K462" s="12"/>
    </row>
    <row r="463" ht="19.5" customHeight="1">
      <c r="A463" s="12"/>
      <c r="C463" s="12"/>
      <c r="D463" s="13"/>
      <c r="F463" s="14"/>
      <c r="G463" s="14"/>
      <c r="H463" s="14"/>
      <c r="I463" s="14"/>
      <c r="J463" s="14"/>
      <c r="K463" s="12"/>
    </row>
    <row r="464" ht="19.5" customHeight="1">
      <c r="A464" s="12"/>
      <c r="C464" s="12"/>
      <c r="D464" s="13"/>
      <c r="F464" s="14"/>
      <c r="G464" s="14"/>
      <c r="H464" s="14"/>
      <c r="I464" s="14"/>
      <c r="J464" s="14"/>
      <c r="K464" s="12"/>
    </row>
    <row r="465" ht="19.5" customHeight="1">
      <c r="A465" s="12"/>
      <c r="C465" s="12"/>
      <c r="D465" s="13"/>
      <c r="F465" s="14"/>
      <c r="G465" s="14"/>
      <c r="H465" s="14"/>
      <c r="I465" s="14"/>
      <c r="J465" s="14"/>
      <c r="K465" s="12"/>
    </row>
    <row r="466" ht="19.5" customHeight="1">
      <c r="A466" s="12"/>
      <c r="C466" s="12"/>
      <c r="D466" s="13"/>
      <c r="F466" s="14"/>
      <c r="G466" s="14"/>
      <c r="H466" s="14"/>
      <c r="I466" s="14"/>
      <c r="J466" s="14"/>
      <c r="K466" s="12"/>
    </row>
    <row r="467" ht="19.5" customHeight="1">
      <c r="A467" s="12"/>
      <c r="C467" s="12"/>
      <c r="D467" s="13"/>
      <c r="F467" s="14"/>
      <c r="G467" s="14"/>
      <c r="H467" s="14"/>
      <c r="I467" s="14"/>
      <c r="J467" s="14"/>
      <c r="K467" s="12"/>
    </row>
    <row r="468" ht="19.5" customHeight="1">
      <c r="A468" s="12"/>
      <c r="C468" s="12"/>
      <c r="D468" s="13"/>
      <c r="F468" s="14"/>
      <c r="G468" s="14"/>
      <c r="H468" s="14"/>
      <c r="I468" s="14"/>
      <c r="J468" s="14"/>
      <c r="K468" s="12"/>
    </row>
    <row r="469" ht="19.5" customHeight="1">
      <c r="A469" s="12"/>
      <c r="C469" s="12"/>
      <c r="D469" s="13"/>
      <c r="F469" s="14"/>
      <c r="G469" s="14"/>
      <c r="H469" s="14"/>
      <c r="I469" s="14"/>
      <c r="J469" s="14"/>
      <c r="K469" s="12"/>
    </row>
    <row r="470" ht="19.5" customHeight="1">
      <c r="A470" s="12"/>
      <c r="C470" s="12"/>
      <c r="D470" s="13"/>
      <c r="F470" s="14"/>
      <c r="G470" s="14"/>
      <c r="H470" s="14"/>
      <c r="I470" s="14"/>
      <c r="J470" s="14"/>
      <c r="K470" s="12"/>
    </row>
    <row r="471" ht="19.5" customHeight="1">
      <c r="A471" s="12"/>
      <c r="C471" s="12"/>
      <c r="D471" s="13"/>
      <c r="F471" s="14"/>
      <c r="G471" s="14"/>
      <c r="H471" s="14"/>
      <c r="I471" s="14"/>
      <c r="J471" s="14"/>
      <c r="K471" s="12"/>
    </row>
    <row r="472" ht="19.5" customHeight="1">
      <c r="A472" s="12"/>
      <c r="C472" s="12"/>
      <c r="D472" s="13"/>
      <c r="F472" s="14"/>
      <c r="G472" s="14"/>
      <c r="H472" s="14"/>
      <c r="I472" s="14"/>
      <c r="J472" s="14"/>
      <c r="K472" s="12"/>
    </row>
    <row r="473" ht="19.5" customHeight="1">
      <c r="A473" s="12"/>
      <c r="C473" s="12"/>
      <c r="D473" s="13"/>
      <c r="F473" s="14"/>
      <c r="G473" s="14"/>
      <c r="H473" s="14"/>
      <c r="I473" s="14"/>
      <c r="J473" s="14"/>
      <c r="K473" s="12"/>
    </row>
    <row r="474" ht="19.5" customHeight="1">
      <c r="A474" s="12"/>
      <c r="C474" s="12"/>
      <c r="D474" s="13"/>
      <c r="F474" s="14"/>
      <c r="G474" s="14"/>
      <c r="H474" s="14"/>
      <c r="I474" s="14"/>
      <c r="J474" s="14"/>
      <c r="K474" s="12"/>
    </row>
    <row r="475" ht="19.5" customHeight="1">
      <c r="A475" s="12"/>
      <c r="C475" s="12"/>
      <c r="D475" s="13"/>
      <c r="F475" s="14"/>
      <c r="G475" s="14"/>
      <c r="H475" s="14"/>
      <c r="I475" s="14"/>
      <c r="J475" s="14"/>
      <c r="K475" s="12"/>
    </row>
    <row r="476" ht="19.5" customHeight="1">
      <c r="A476" s="12"/>
      <c r="C476" s="12"/>
      <c r="D476" s="13"/>
      <c r="F476" s="14"/>
      <c r="G476" s="14"/>
      <c r="H476" s="14"/>
      <c r="I476" s="14"/>
      <c r="J476" s="14"/>
      <c r="K476" s="12"/>
    </row>
    <row r="477" ht="19.5" customHeight="1">
      <c r="A477" s="12"/>
      <c r="C477" s="12"/>
      <c r="D477" s="13"/>
      <c r="F477" s="14"/>
      <c r="G477" s="14"/>
      <c r="H477" s="14"/>
      <c r="I477" s="14"/>
      <c r="J477" s="14"/>
      <c r="K477" s="12"/>
    </row>
    <row r="478" ht="19.5" customHeight="1">
      <c r="A478" s="12"/>
      <c r="C478" s="12"/>
      <c r="D478" s="13"/>
      <c r="F478" s="14"/>
      <c r="G478" s="14"/>
      <c r="H478" s="14"/>
      <c r="I478" s="14"/>
      <c r="J478" s="14"/>
      <c r="K478" s="12"/>
    </row>
    <row r="479" ht="19.5" customHeight="1">
      <c r="A479" s="12"/>
      <c r="C479" s="12"/>
      <c r="D479" s="13"/>
      <c r="F479" s="14"/>
      <c r="G479" s="14"/>
      <c r="H479" s="14"/>
      <c r="I479" s="14"/>
      <c r="J479" s="14"/>
      <c r="K479" s="12"/>
    </row>
    <row r="480" ht="19.5" customHeight="1">
      <c r="A480" s="12"/>
      <c r="C480" s="12"/>
      <c r="D480" s="13"/>
      <c r="F480" s="14"/>
      <c r="G480" s="14"/>
      <c r="H480" s="14"/>
      <c r="I480" s="14"/>
      <c r="J480" s="14"/>
      <c r="K480" s="12"/>
    </row>
    <row r="481" ht="19.5" customHeight="1">
      <c r="A481" s="12"/>
      <c r="C481" s="12"/>
      <c r="D481" s="13"/>
      <c r="F481" s="14"/>
      <c r="G481" s="14"/>
      <c r="H481" s="14"/>
      <c r="I481" s="14"/>
      <c r="J481" s="14"/>
      <c r="K481" s="12"/>
    </row>
    <row r="482" ht="19.5" customHeight="1">
      <c r="A482" s="12"/>
      <c r="C482" s="12"/>
      <c r="D482" s="13"/>
      <c r="F482" s="14"/>
      <c r="G482" s="14"/>
      <c r="H482" s="14"/>
      <c r="I482" s="14"/>
      <c r="J482" s="14"/>
      <c r="K482" s="12"/>
    </row>
    <row r="483" ht="19.5" customHeight="1">
      <c r="A483" s="12"/>
      <c r="C483" s="12"/>
      <c r="D483" s="13"/>
      <c r="F483" s="14"/>
      <c r="G483" s="14"/>
      <c r="H483" s="14"/>
      <c r="I483" s="14"/>
      <c r="J483" s="14"/>
      <c r="K483" s="12"/>
    </row>
    <row r="484" ht="19.5" customHeight="1">
      <c r="A484" s="12"/>
      <c r="C484" s="12"/>
      <c r="D484" s="13"/>
      <c r="F484" s="14"/>
      <c r="G484" s="14"/>
      <c r="H484" s="14"/>
      <c r="I484" s="14"/>
      <c r="J484" s="14"/>
      <c r="K484" s="12"/>
    </row>
    <row r="485" ht="19.5" customHeight="1">
      <c r="A485" s="12"/>
      <c r="C485" s="12"/>
      <c r="D485" s="13"/>
      <c r="F485" s="14"/>
      <c r="G485" s="14"/>
      <c r="H485" s="14"/>
      <c r="I485" s="14"/>
      <c r="J485" s="14"/>
      <c r="K485" s="12"/>
    </row>
    <row r="486" ht="19.5" customHeight="1">
      <c r="A486" s="12"/>
      <c r="C486" s="12"/>
      <c r="D486" s="13"/>
      <c r="F486" s="14"/>
      <c r="G486" s="14"/>
      <c r="H486" s="14"/>
      <c r="I486" s="14"/>
      <c r="J486" s="14"/>
      <c r="K486" s="12"/>
    </row>
    <row r="487" ht="19.5" customHeight="1">
      <c r="A487" s="12"/>
      <c r="C487" s="12"/>
      <c r="D487" s="13"/>
      <c r="F487" s="14"/>
      <c r="G487" s="14"/>
      <c r="H487" s="14"/>
      <c r="I487" s="14"/>
      <c r="J487" s="14"/>
      <c r="K487" s="12"/>
    </row>
    <row r="488" ht="19.5" customHeight="1">
      <c r="A488" s="12"/>
      <c r="C488" s="12"/>
      <c r="D488" s="13"/>
      <c r="F488" s="14"/>
      <c r="G488" s="14"/>
      <c r="H488" s="14"/>
      <c r="I488" s="14"/>
      <c r="J488" s="14"/>
      <c r="K488" s="12"/>
    </row>
    <row r="489" ht="19.5" customHeight="1">
      <c r="A489" s="12"/>
      <c r="C489" s="12"/>
      <c r="D489" s="13"/>
      <c r="F489" s="14"/>
      <c r="G489" s="14"/>
      <c r="H489" s="14"/>
      <c r="I489" s="14"/>
      <c r="J489" s="14"/>
      <c r="K489" s="12"/>
    </row>
    <row r="490" ht="19.5" customHeight="1">
      <c r="A490" s="12"/>
      <c r="C490" s="12"/>
      <c r="D490" s="13"/>
      <c r="F490" s="14"/>
      <c r="G490" s="14"/>
      <c r="H490" s="14"/>
      <c r="I490" s="14"/>
      <c r="J490" s="14"/>
      <c r="K490" s="12"/>
    </row>
    <row r="491" ht="19.5" customHeight="1">
      <c r="A491" s="12"/>
      <c r="C491" s="12"/>
      <c r="D491" s="13"/>
      <c r="F491" s="14"/>
      <c r="G491" s="14"/>
      <c r="H491" s="14"/>
      <c r="I491" s="14"/>
      <c r="J491" s="14"/>
      <c r="K491" s="12"/>
    </row>
    <row r="492" ht="19.5" customHeight="1">
      <c r="A492" s="12"/>
      <c r="C492" s="12"/>
      <c r="D492" s="13"/>
      <c r="F492" s="14"/>
      <c r="G492" s="14"/>
      <c r="H492" s="14"/>
      <c r="I492" s="14"/>
      <c r="J492" s="14"/>
      <c r="K492" s="12"/>
    </row>
    <row r="493" ht="19.5" customHeight="1">
      <c r="A493" s="12"/>
      <c r="C493" s="12"/>
      <c r="D493" s="13"/>
      <c r="F493" s="14"/>
      <c r="G493" s="14"/>
      <c r="H493" s="14"/>
      <c r="I493" s="14"/>
      <c r="J493" s="14"/>
      <c r="K493" s="12"/>
    </row>
    <row r="494" ht="19.5" customHeight="1">
      <c r="A494" s="12"/>
      <c r="C494" s="12"/>
      <c r="D494" s="13"/>
      <c r="F494" s="14"/>
      <c r="G494" s="14"/>
      <c r="H494" s="14"/>
      <c r="I494" s="14"/>
      <c r="J494" s="14"/>
      <c r="K494" s="12"/>
    </row>
    <row r="495" ht="19.5" customHeight="1">
      <c r="A495" s="12"/>
      <c r="C495" s="12"/>
      <c r="D495" s="13"/>
      <c r="F495" s="14"/>
      <c r="G495" s="14"/>
      <c r="H495" s="14"/>
      <c r="I495" s="14"/>
      <c r="J495" s="14"/>
      <c r="K495" s="12"/>
    </row>
    <row r="496" ht="19.5" customHeight="1">
      <c r="A496" s="12"/>
      <c r="C496" s="12"/>
      <c r="D496" s="13"/>
      <c r="F496" s="14"/>
      <c r="G496" s="14"/>
      <c r="H496" s="14"/>
      <c r="I496" s="14"/>
      <c r="J496" s="14"/>
      <c r="K496" s="12"/>
    </row>
    <row r="497" ht="19.5" customHeight="1">
      <c r="A497" s="12"/>
      <c r="C497" s="12"/>
      <c r="D497" s="13"/>
      <c r="F497" s="14"/>
      <c r="G497" s="14"/>
      <c r="H497" s="14"/>
      <c r="I497" s="14"/>
      <c r="J497" s="14"/>
      <c r="K497" s="12"/>
    </row>
    <row r="498" ht="19.5" customHeight="1">
      <c r="A498" s="12"/>
      <c r="C498" s="12"/>
      <c r="D498" s="13"/>
      <c r="F498" s="14"/>
      <c r="G498" s="14"/>
      <c r="H498" s="14"/>
      <c r="I498" s="14"/>
      <c r="J498" s="14"/>
      <c r="K498" s="12"/>
    </row>
    <row r="499" ht="19.5" customHeight="1">
      <c r="A499" s="12"/>
      <c r="C499" s="12"/>
      <c r="D499" s="13"/>
      <c r="F499" s="14"/>
      <c r="G499" s="14"/>
      <c r="H499" s="14"/>
      <c r="I499" s="14"/>
      <c r="J499" s="14"/>
      <c r="K499" s="12"/>
    </row>
    <row r="500" ht="19.5" customHeight="1">
      <c r="A500" s="12"/>
      <c r="C500" s="12"/>
      <c r="D500" s="13"/>
      <c r="F500" s="14"/>
      <c r="G500" s="14"/>
      <c r="H500" s="14"/>
      <c r="I500" s="14"/>
      <c r="J500" s="14"/>
      <c r="K500" s="12"/>
    </row>
    <row r="501" ht="19.5" customHeight="1">
      <c r="A501" s="12"/>
      <c r="C501" s="12"/>
      <c r="D501" s="13"/>
      <c r="F501" s="14"/>
      <c r="G501" s="14"/>
      <c r="H501" s="14"/>
      <c r="I501" s="14"/>
      <c r="J501" s="14"/>
      <c r="K501" s="12"/>
    </row>
    <row r="502" ht="19.5" customHeight="1">
      <c r="A502" s="12"/>
      <c r="C502" s="12"/>
      <c r="D502" s="13"/>
      <c r="F502" s="14"/>
      <c r="G502" s="14"/>
      <c r="H502" s="14"/>
      <c r="I502" s="14"/>
      <c r="J502" s="14"/>
      <c r="K502" s="12"/>
    </row>
    <row r="503" ht="19.5" customHeight="1">
      <c r="A503" s="12"/>
      <c r="C503" s="12"/>
      <c r="D503" s="13"/>
      <c r="F503" s="14"/>
      <c r="G503" s="14"/>
      <c r="H503" s="14"/>
      <c r="I503" s="14"/>
      <c r="J503" s="14"/>
      <c r="K503" s="12"/>
    </row>
    <row r="504" ht="19.5" customHeight="1">
      <c r="A504" s="12"/>
      <c r="C504" s="12"/>
      <c r="D504" s="13"/>
      <c r="F504" s="14"/>
      <c r="G504" s="14"/>
      <c r="H504" s="14"/>
      <c r="I504" s="14"/>
      <c r="J504" s="14"/>
      <c r="K504" s="12"/>
    </row>
    <row r="505" ht="19.5" customHeight="1">
      <c r="A505" s="12"/>
      <c r="C505" s="12"/>
      <c r="D505" s="13"/>
      <c r="F505" s="14"/>
      <c r="G505" s="14"/>
      <c r="H505" s="14"/>
      <c r="I505" s="14"/>
      <c r="J505" s="14"/>
      <c r="K505" s="12"/>
    </row>
    <row r="506" ht="19.5" customHeight="1">
      <c r="A506" s="12"/>
      <c r="C506" s="12"/>
      <c r="D506" s="13"/>
      <c r="F506" s="14"/>
      <c r="G506" s="14"/>
      <c r="H506" s="14"/>
      <c r="I506" s="14"/>
      <c r="J506" s="14"/>
      <c r="K506" s="12"/>
    </row>
    <row r="507" ht="19.5" customHeight="1">
      <c r="A507" s="12"/>
      <c r="C507" s="12"/>
      <c r="D507" s="13"/>
      <c r="F507" s="14"/>
      <c r="G507" s="14"/>
      <c r="H507" s="14"/>
      <c r="I507" s="14"/>
      <c r="J507" s="14"/>
      <c r="K507" s="12"/>
    </row>
    <row r="508" ht="19.5" customHeight="1">
      <c r="A508" s="12"/>
      <c r="C508" s="12"/>
      <c r="D508" s="13"/>
      <c r="F508" s="14"/>
      <c r="G508" s="14"/>
      <c r="H508" s="14"/>
      <c r="I508" s="14"/>
      <c r="J508" s="14"/>
      <c r="K508" s="12"/>
    </row>
    <row r="509" ht="19.5" customHeight="1">
      <c r="A509" s="12"/>
      <c r="C509" s="12"/>
      <c r="D509" s="13"/>
      <c r="F509" s="14"/>
      <c r="G509" s="14"/>
      <c r="H509" s="14"/>
      <c r="I509" s="14"/>
      <c r="J509" s="14"/>
      <c r="K509" s="12"/>
    </row>
    <row r="510" ht="19.5" customHeight="1">
      <c r="A510" s="12"/>
      <c r="C510" s="12"/>
      <c r="D510" s="13"/>
      <c r="F510" s="14"/>
      <c r="G510" s="14"/>
      <c r="H510" s="14"/>
      <c r="I510" s="14"/>
      <c r="J510" s="14"/>
      <c r="K510" s="12"/>
    </row>
    <row r="511" ht="19.5" customHeight="1">
      <c r="A511" s="12"/>
      <c r="C511" s="12"/>
      <c r="D511" s="13"/>
      <c r="F511" s="14"/>
      <c r="G511" s="14"/>
      <c r="H511" s="14"/>
      <c r="I511" s="14"/>
      <c r="J511" s="14"/>
      <c r="K511" s="12"/>
    </row>
    <row r="512" ht="19.5" customHeight="1">
      <c r="A512" s="12"/>
      <c r="C512" s="12"/>
      <c r="D512" s="13"/>
      <c r="F512" s="14"/>
      <c r="G512" s="14"/>
      <c r="H512" s="14"/>
      <c r="I512" s="14"/>
      <c r="J512" s="14"/>
      <c r="K512" s="12"/>
    </row>
    <row r="513" ht="19.5" customHeight="1">
      <c r="A513" s="12"/>
      <c r="C513" s="12"/>
      <c r="D513" s="13"/>
      <c r="F513" s="14"/>
      <c r="G513" s="14"/>
      <c r="H513" s="14"/>
      <c r="I513" s="14"/>
      <c r="J513" s="14"/>
      <c r="K513" s="12"/>
    </row>
    <row r="514" ht="19.5" customHeight="1">
      <c r="A514" s="12"/>
      <c r="C514" s="12"/>
      <c r="D514" s="13"/>
      <c r="F514" s="14"/>
      <c r="G514" s="14"/>
      <c r="H514" s="14"/>
      <c r="I514" s="14"/>
      <c r="J514" s="14"/>
      <c r="K514" s="12"/>
    </row>
    <row r="515" ht="19.5" customHeight="1">
      <c r="A515" s="12"/>
      <c r="C515" s="12"/>
      <c r="D515" s="13"/>
      <c r="F515" s="14"/>
      <c r="G515" s="14"/>
      <c r="H515" s="14"/>
      <c r="I515" s="14"/>
      <c r="J515" s="14"/>
      <c r="K515" s="12"/>
    </row>
    <row r="516" ht="19.5" customHeight="1">
      <c r="A516" s="12"/>
      <c r="C516" s="12"/>
      <c r="D516" s="13"/>
      <c r="F516" s="14"/>
      <c r="G516" s="14"/>
      <c r="H516" s="14"/>
      <c r="I516" s="14"/>
      <c r="J516" s="14"/>
      <c r="K516" s="12"/>
    </row>
    <row r="517" ht="19.5" customHeight="1">
      <c r="A517" s="12"/>
      <c r="C517" s="12"/>
      <c r="D517" s="13"/>
      <c r="F517" s="14"/>
      <c r="G517" s="14"/>
      <c r="H517" s="14"/>
      <c r="I517" s="14"/>
      <c r="J517" s="14"/>
      <c r="K517" s="12"/>
    </row>
    <row r="518" ht="19.5" customHeight="1">
      <c r="A518" s="12"/>
      <c r="C518" s="12"/>
      <c r="D518" s="13"/>
      <c r="F518" s="14"/>
      <c r="G518" s="14"/>
      <c r="H518" s="14"/>
      <c r="I518" s="14"/>
      <c r="J518" s="14"/>
      <c r="K518" s="12"/>
    </row>
    <row r="519" ht="19.5" customHeight="1">
      <c r="A519" s="12"/>
      <c r="C519" s="12"/>
      <c r="D519" s="13"/>
      <c r="F519" s="14"/>
      <c r="G519" s="14"/>
      <c r="H519" s="14"/>
      <c r="I519" s="14"/>
      <c r="J519" s="14"/>
      <c r="K519" s="12"/>
    </row>
    <row r="520" ht="19.5" customHeight="1">
      <c r="A520" s="12"/>
      <c r="C520" s="12"/>
      <c r="D520" s="13"/>
      <c r="F520" s="14"/>
      <c r="G520" s="14"/>
      <c r="H520" s="14"/>
      <c r="I520" s="14"/>
      <c r="J520" s="14"/>
      <c r="K520" s="12"/>
    </row>
    <row r="521" ht="19.5" customHeight="1">
      <c r="A521" s="12"/>
      <c r="C521" s="12"/>
      <c r="D521" s="13"/>
      <c r="F521" s="14"/>
      <c r="G521" s="14"/>
      <c r="H521" s="14"/>
      <c r="I521" s="14"/>
      <c r="J521" s="14"/>
      <c r="K521" s="12"/>
    </row>
    <row r="522" ht="19.5" customHeight="1">
      <c r="A522" s="12"/>
      <c r="C522" s="12"/>
      <c r="D522" s="13"/>
      <c r="F522" s="14"/>
      <c r="G522" s="14"/>
      <c r="H522" s="14"/>
      <c r="I522" s="14"/>
      <c r="J522" s="14"/>
      <c r="K522" s="12"/>
    </row>
    <row r="523" ht="19.5" customHeight="1">
      <c r="A523" s="12"/>
      <c r="C523" s="12"/>
      <c r="D523" s="13"/>
      <c r="F523" s="14"/>
      <c r="G523" s="14"/>
      <c r="H523" s="14"/>
      <c r="I523" s="14"/>
      <c r="J523" s="14"/>
      <c r="K523" s="12"/>
    </row>
    <row r="524" ht="19.5" customHeight="1">
      <c r="A524" s="12"/>
      <c r="C524" s="12"/>
      <c r="D524" s="13"/>
      <c r="F524" s="14"/>
      <c r="G524" s="14"/>
      <c r="H524" s="14"/>
      <c r="I524" s="14"/>
      <c r="J524" s="14"/>
      <c r="K524" s="12"/>
    </row>
    <row r="525" ht="19.5" customHeight="1">
      <c r="A525" s="12"/>
      <c r="C525" s="12"/>
      <c r="D525" s="13"/>
      <c r="F525" s="14"/>
      <c r="G525" s="14"/>
      <c r="H525" s="14"/>
      <c r="I525" s="14"/>
      <c r="J525" s="14"/>
      <c r="K525" s="12"/>
    </row>
    <row r="526" ht="19.5" customHeight="1">
      <c r="A526" s="12"/>
      <c r="C526" s="12"/>
      <c r="D526" s="13"/>
      <c r="F526" s="14"/>
      <c r="G526" s="14"/>
      <c r="H526" s="14"/>
      <c r="I526" s="14"/>
      <c r="J526" s="14"/>
      <c r="K526" s="12"/>
    </row>
    <row r="527" ht="19.5" customHeight="1">
      <c r="A527" s="12"/>
      <c r="C527" s="12"/>
      <c r="D527" s="13"/>
      <c r="F527" s="14"/>
      <c r="G527" s="14"/>
      <c r="H527" s="14"/>
      <c r="I527" s="14"/>
      <c r="J527" s="14"/>
      <c r="K527" s="12"/>
    </row>
    <row r="528" ht="19.5" customHeight="1">
      <c r="A528" s="12"/>
      <c r="C528" s="12"/>
      <c r="D528" s="13"/>
      <c r="F528" s="14"/>
      <c r="G528" s="14"/>
      <c r="H528" s="14"/>
      <c r="I528" s="14"/>
      <c r="J528" s="14"/>
      <c r="K528" s="12"/>
    </row>
    <row r="529" ht="19.5" customHeight="1">
      <c r="A529" s="12"/>
      <c r="C529" s="12"/>
      <c r="D529" s="13"/>
      <c r="F529" s="14"/>
      <c r="G529" s="14"/>
      <c r="H529" s="14"/>
      <c r="I529" s="14"/>
      <c r="J529" s="14"/>
      <c r="K529" s="12"/>
    </row>
    <row r="530" ht="19.5" customHeight="1">
      <c r="A530" s="12"/>
      <c r="C530" s="12"/>
      <c r="D530" s="13"/>
      <c r="F530" s="14"/>
      <c r="G530" s="14"/>
      <c r="H530" s="14"/>
      <c r="I530" s="14"/>
      <c r="J530" s="14"/>
      <c r="K530" s="12"/>
    </row>
    <row r="531" ht="19.5" customHeight="1">
      <c r="A531" s="12"/>
      <c r="C531" s="12"/>
      <c r="D531" s="13"/>
      <c r="F531" s="14"/>
      <c r="G531" s="14"/>
      <c r="H531" s="14"/>
      <c r="I531" s="14"/>
      <c r="J531" s="14"/>
      <c r="K531" s="12"/>
    </row>
    <row r="532" ht="19.5" customHeight="1">
      <c r="A532" s="12"/>
      <c r="C532" s="12"/>
      <c r="D532" s="13"/>
      <c r="F532" s="14"/>
      <c r="G532" s="14"/>
      <c r="H532" s="14"/>
      <c r="I532" s="14"/>
      <c r="J532" s="14"/>
      <c r="K532" s="12"/>
    </row>
    <row r="533" ht="19.5" customHeight="1">
      <c r="A533" s="12"/>
      <c r="C533" s="12"/>
      <c r="D533" s="13"/>
      <c r="F533" s="14"/>
      <c r="G533" s="14"/>
      <c r="H533" s="14"/>
      <c r="I533" s="14"/>
      <c r="J533" s="14"/>
      <c r="K533" s="12"/>
    </row>
    <row r="534" ht="19.5" customHeight="1">
      <c r="A534" s="12"/>
      <c r="C534" s="12"/>
      <c r="D534" s="13"/>
      <c r="F534" s="14"/>
      <c r="G534" s="14"/>
      <c r="H534" s="14"/>
      <c r="I534" s="14"/>
      <c r="J534" s="14"/>
      <c r="K534" s="12"/>
    </row>
    <row r="535" ht="19.5" customHeight="1">
      <c r="A535" s="12"/>
      <c r="C535" s="12"/>
      <c r="D535" s="13"/>
      <c r="F535" s="14"/>
      <c r="G535" s="14"/>
      <c r="H535" s="14"/>
      <c r="I535" s="14"/>
      <c r="J535" s="14"/>
      <c r="K535" s="12"/>
    </row>
    <row r="536" ht="19.5" customHeight="1">
      <c r="A536" s="12"/>
      <c r="C536" s="12"/>
      <c r="D536" s="13"/>
      <c r="F536" s="14"/>
      <c r="G536" s="14"/>
      <c r="H536" s="14"/>
      <c r="I536" s="14"/>
      <c r="J536" s="14"/>
      <c r="K536" s="12"/>
    </row>
    <row r="537" ht="19.5" customHeight="1">
      <c r="A537" s="12"/>
      <c r="C537" s="12"/>
      <c r="D537" s="13"/>
      <c r="F537" s="14"/>
      <c r="G537" s="14"/>
      <c r="H537" s="14"/>
      <c r="I537" s="14"/>
      <c r="J537" s="14"/>
      <c r="K537" s="12"/>
    </row>
    <row r="538" ht="19.5" customHeight="1">
      <c r="A538" s="12"/>
      <c r="C538" s="12"/>
      <c r="D538" s="13"/>
      <c r="F538" s="14"/>
      <c r="G538" s="14"/>
      <c r="H538" s="14"/>
      <c r="I538" s="14"/>
      <c r="J538" s="14"/>
      <c r="K538" s="12"/>
    </row>
    <row r="539" ht="19.5" customHeight="1">
      <c r="A539" s="12"/>
      <c r="C539" s="12"/>
      <c r="D539" s="13"/>
      <c r="F539" s="14"/>
      <c r="G539" s="14"/>
      <c r="H539" s="14"/>
      <c r="I539" s="14"/>
      <c r="J539" s="14"/>
      <c r="K539" s="12"/>
    </row>
    <row r="540" ht="19.5" customHeight="1">
      <c r="A540" s="12"/>
      <c r="C540" s="12"/>
      <c r="D540" s="13"/>
      <c r="F540" s="14"/>
      <c r="G540" s="14"/>
      <c r="H540" s="14"/>
      <c r="I540" s="14"/>
      <c r="J540" s="14"/>
      <c r="K540" s="12"/>
    </row>
    <row r="541" ht="19.5" customHeight="1">
      <c r="A541" s="12"/>
      <c r="C541" s="12"/>
      <c r="D541" s="13"/>
      <c r="F541" s="14"/>
      <c r="G541" s="14"/>
      <c r="H541" s="14"/>
      <c r="I541" s="14"/>
      <c r="J541" s="14"/>
      <c r="K541" s="12"/>
    </row>
    <row r="542" ht="19.5" customHeight="1">
      <c r="A542" s="12"/>
      <c r="C542" s="12"/>
      <c r="D542" s="13"/>
      <c r="F542" s="14"/>
      <c r="G542" s="14"/>
      <c r="H542" s="14"/>
      <c r="I542" s="14"/>
      <c r="J542" s="14"/>
      <c r="K542" s="12"/>
    </row>
    <row r="543" ht="19.5" customHeight="1">
      <c r="A543" s="12"/>
      <c r="C543" s="12"/>
      <c r="D543" s="13"/>
      <c r="F543" s="14"/>
      <c r="G543" s="14"/>
      <c r="H543" s="14"/>
      <c r="I543" s="14"/>
      <c r="J543" s="14"/>
      <c r="K543" s="12"/>
    </row>
    <row r="544" ht="19.5" customHeight="1">
      <c r="A544" s="12"/>
      <c r="C544" s="12"/>
      <c r="D544" s="13"/>
      <c r="F544" s="14"/>
      <c r="G544" s="14"/>
      <c r="H544" s="14"/>
      <c r="I544" s="14"/>
      <c r="J544" s="14"/>
      <c r="K544" s="12"/>
    </row>
    <row r="545" ht="19.5" customHeight="1">
      <c r="A545" s="12"/>
      <c r="C545" s="12"/>
      <c r="D545" s="13"/>
      <c r="F545" s="14"/>
      <c r="G545" s="14"/>
      <c r="H545" s="14"/>
      <c r="I545" s="14"/>
      <c r="J545" s="14"/>
      <c r="K545" s="12"/>
    </row>
    <row r="546" ht="19.5" customHeight="1">
      <c r="A546" s="12"/>
      <c r="C546" s="12"/>
      <c r="D546" s="13"/>
      <c r="F546" s="14"/>
      <c r="G546" s="14"/>
      <c r="H546" s="14"/>
      <c r="I546" s="14"/>
      <c r="J546" s="14"/>
      <c r="K546" s="12"/>
    </row>
    <row r="547" ht="19.5" customHeight="1">
      <c r="A547" s="12"/>
      <c r="C547" s="12"/>
      <c r="D547" s="13"/>
      <c r="F547" s="14"/>
      <c r="G547" s="14"/>
      <c r="H547" s="14"/>
      <c r="I547" s="14"/>
      <c r="J547" s="14"/>
      <c r="K547" s="12"/>
    </row>
    <row r="548" ht="19.5" customHeight="1">
      <c r="A548" s="12"/>
      <c r="C548" s="12"/>
      <c r="D548" s="13"/>
      <c r="F548" s="14"/>
      <c r="G548" s="14"/>
      <c r="H548" s="14"/>
      <c r="I548" s="14"/>
      <c r="J548" s="14"/>
      <c r="K548" s="12"/>
    </row>
    <row r="549" ht="19.5" customHeight="1">
      <c r="A549" s="12"/>
      <c r="C549" s="12"/>
      <c r="D549" s="13"/>
      <c r="F549" s="14"/>
      <c r="G549" s="14"/>
      <c r="H549" s="14"/>
      <c r="I549" s="14"/>
      <c r="J549" s="14"/>
      <c r="K549" s="12"/>
    </row>
    <row r="550" ht="19.5" customHeight="1">
      <c r="A550" s="12"/>
      <c r="C550" s="12"/>
      <c r="D550" s="13"/>
      <c r="F550" s="14"/>
      <c r="G550" s="14"/>
      <c r="H550" s="14"/>
      <c r="I550" s="14"/>
      <c r="J550" s="14"/>
      <c r="K550" s="12"/>
    </row>
    <row r="551" ht="19.5" customHeight="1">
      <c r="A551" s="12"/>
      <c r="C551" s="12"/>
      <c r="D551" s="13"/>
      <c r="F551" s="14"/>
      <c r="G551" s="14"/>
      <c r="H551" s="14"/>
      <c r="I551" s="14"/>
      <c r="J551" s="14"/>
      <c r="K551" s="12"/>
    </row>
    <row r="552" ht="19.5" customHeight="1">
      <c r="A552" s="12"/>
      <c r="C552" s="12"/>
      <c r="D552" s="13"/>
      <c r="F552" s="14"/>
      <c r="G552" s="14"/>
      <c r="H552" s="14"/>
      <c r="I552" s="14"/>
      <c r="J552" s="14"/>
      <c r="K552" s="12"/>
    </row>
    <row r="553" ht="19.5" customHeight="1">
      <c r="A553" s="12"/>
      <c r="C553" s="12"/>
      <c r="D553" s="13"/>
      <c r="F553" s="14"/>
      <c r="G553" s="14"/>
      <c r="H553" s="14"/>
      <c r="I553" s="14"/>
      <c r="J553" s="14"/>
      <c r="K553" s="12"/>
    </row>
    <row r="554" ht="19.5" customHeight="1">
      <c r="A554" s="12"/>
      <c r="C554" s="12"/>
      <c r="D554" s="13"/>
      <c r="F554" s="14"/>
      <c r="G554" s="14"/>
      <c r="H554" s="14"/>
      <c r="I554" s="14"/>
      <c r="J554" s="14"/>
      <c r="K554" s="12"/>
    </row>
    <row r="555" ht="19.5" customHeight="1">
      <c r="A555" s="12"/>
      <c r="C555" s="12"/>
      <c r="D555" s="13"/>
      <c r="F555" s="14"/>
      <c r="G555" s="14"/>
      <c r="H555" s="14"/>
      <c r="I555" s="14"/>
      <c r="J555" s="14"/>
      <c r="K555" s="12"/>
    </row>
    <row r="556" ht="19.5" customHeight="1">
      <c r="A556" s="12"/>
      <c r="C556" s="12"/>
      <c r="D556" s="13"/>
      <c r="F556" s="14"/>
      <c r="G556" s="14"/>
      <c r="H556" s="14"/>
      <c r="I556" s="14"/>
      <c r="J556" s="14"/>
      <c r="K556" s="12"/>
    </row>
    <row r="557" ht="19.5" customHeight="1">
      <c r="A557" s="12"/>
      <c r="C557" s="12"/>
      <c r="D557" s="13"/>
      <c r="F557" s="14"/>
      <c r="G557" s="14"/>
      <c r="H557" s="14"/>
      <c r="I557" s="14"/>
      <c r="J557" s="14"/>
      <c r="K557" s="12"/>
    </row>
    <row r="558" ht="19.5" customHeight="1">
      <c r="A558" s="12"/>
      <c r="C558" s="12"/>
      <c r="D558" s="13"/>
      <c r="F558" s="14"/>
      <c r="G558" s="14"/>
      <c r="H558" s="14"/>
      <c r="I558" s="14"/>
      <c r="J558" s="14"/>
      <c r="K558" s="12"/>
    </row>
    <row r="559" ht="19.5" customHeight="1">
      <c r="A559" s="12"/>
      <c r="C559" s="12"/>
      <c r="D559" s="13"/>
      <c r="F559" s="14"/>
      <c r="G559" s="14"/>
      <c r="H559" s="14"/>
      <c r="I559" s="14"/>
      <c r="J559" s="14"/>
      <c r="K559" s="12"/>
    </row>
    <row r="560" ht="19.5" customHeight="1">
      <c r="A560" s="12"/>
      <c r="C560" s="12"/>
      <c r="D560" s="13"/>
      <c r="F560" s="14"/>
      <c r="G560" s="14"/>
      <c r="H560" s="14"/>
      <c r="I560" s="14"/>
      <c r="J560" s="14"/>
      <c r="K560" s="12"/>
    </row>
    <row r="561" ht="19.5" customHeight="1">
      <c r="A561" s="12"/>
      <c r="C561" s="12"/>
      <c r="D561" s="13"/>
      <c r="F561" s="14"/>
      <c r="G561" s="14"/>
      <c r="H561" s="14"/>
      <c r="I561" s="14"/>
      <c r="J561" s="14"/>
      <c r="K561" s="12"/>
    </row>
    <row r="562" ht="19.5" customHeight="1">
      <c r="A562" s="12"/>
      <c r="C562" s="12"/>
      <c r="D562" s="13"/>
      <c r="F562" s="14"/>
      <c r="G562" s="14"/>
      <c r="H562" s="14"/>
      <c r="I562" s="14"/>
      <c r="J562" s="14"/>
      <c r="K562" s="12"/>
    </row>
    <row r="563" ht="19.5" customHeight="1">
      <c r="A563" s="12"/>
      <c r="C563" s="12"/>
      <c r="D563" s="13"/>
      <c r="F563" s="14"/>
      <c r="G563" s="14"/>
      <c r="H563" s="14"/>
      <c r="I563" s="14"/>
      <c r="J563" s="14"/>
      <c r="K563" s="12"/>
    </row>
    <row r="564" ht="19.5" customHeight="1">
      <c r="A564" s="12"/>
      <c r="C564" s="12"/>
      <c r="D564" s="13"/>
      <c r="F564" s="14"/>
      <c r="G564" s="14"/>
      <c r="H564" s="14"/>
      <c r="I564" s="14"/>
      <c r="J564" s="14"/>
      <c r="K564" s="12"/>
    </row>
    <row r="565" ht="19.5" customHeight="1">
      <c r="A565" s="12"/>
      <c r="C565" s="12"/>
      <c r="D565" s="13"/>
      <c r="F565" s="14"/>
      <c r="G565" s="14"/>
      <c r="H565" s="14"/>
      <c r="I565" s="14"/>
      <c r="J565" s="14"/>
      <c r="K565" s="12"/>
    </row>
    <row r="566" ht="19.5" customHeight="1">
      <c r="A566" s="12"/>
      <c r="C566" s="12"/>
      <c r="D566" s="13"/>
      <c r="F566" s="14"/>
      <c r="G566" s="14"/>
      <c r="H566" s="14"/>
      <c r="I566" s="14"/>
      <c r="J566" s="14"/>
      <c r="K566" s="12"/>
    </row>
    <row r="567" ht="19.5" customHeight="1">
      <c r="A567" s="12"/>
      <c r="C567" s="12"/>
      <c r="D567" s="13"/>
      <c r="F567" s="14"/>
      <c r="G567" s="14"/>
      <c r="H567" s="14"/>
      <c r="I567" s="14"/>
      <c r="J567" s="14"/>
      <c r="K567" s="12"/>
    </row>
    <row r="568" ht="19.5" customHeight="1">
      <c r="A568" s="12"/>
      <c r="C568" s="12"/>
      <c r="D568" s="13"/>
      <c r="F568" s="14"/>
      <c r="G568" s="14"/>
      <c r="H568" s="14"/>
      <c r="I568" s="14"/>
      <c r="J568" s="14"/>
      <c r="K568" s="12"/>
    </row>
    <row r="569" ht="19.5" customHeight="1">
      <c r="A569" s="12"/>
      <c r="C569" s="12"/>
      <c r="D569" s="13"/>
      <c r="F569" s="14"/>
      <c r="G569" s="14"/>
      <c r="H569" s="14"/>
      <c r="I569" s="14"/>
      <c r="J569" s="14"/>
      <c r="K569" s="12"/>
    </row>
    <row r="570" ht="19.5" customHeight="1">
      <c r="A570" s="12"/>
      <c r="C570" s="12"/>
      <c r="D570" s="13"/>
      <c r="F570" s="14"/>
      <c r="G570" s="14"/>
      <c r="H570" s="14"/>
      <c r="I570" s="14"/>
      <c r="J570" s="14"/>
      <c r="K570" s="12"/>
    </row>
    <row r="571" ht="19.5" customHeight="1">
      <c r="A571" s="12"/>
      <c r="C571" s="12"/>
      <c r="D571" s="13"/>
      <c r="F571" s="14"/>
      <c r="G571" s="14"/>
      <c r="H571" s="14"/>
      <c r="I571" s="14"/>
      <c r="J571" s="14"/>
      <c r="K571" s="12"/>
    </row>
    <row r="572" ht="19.5" customHeight="1">
      <c r="A572" s="12"/>
      <c r="C572" s="12"/>
      <c r="D572" s="13"/>
      <c r="F572" s="14"/>
      <c r="G572" s="14"/>
      <c r="H572" s="14"/>
      <c r="I572" s="14"/>
      <c r="J572" s="14"/>
      <c r="K572" s="12"/>
    </row>
    <row r="573" ht="19.5" customHeight="1">
      <c r="A573" s="12"/>
      <c r="C573" s="12"/>
      <c r="D573" s="13"/>
      <c r="F573" s="14"/>
      <c r="G573" s="14"/>
      <c r="H573" s="14"/>
      <c r="I573" s="14"/>
      <c r="J573" s="14"/>
      <c r="K573" s="12"/>
    </row>
    <row r="574" ht="19.5" customHeight="1">
      <c r="A574" s="12"/>
      <c r="C574" s="12"/>
      <c r="D574" s="13"/>
      <c r="F574" s="14"/>
      <c r="G574" s="14"/>
      <c r="H574" s="14"/>
      <c r="I574" s="14"/>
      <c r="J574" s="14"/>
      <c r="K574" s="12"/>
    </row>
    <row r="575" ht="19.5" customHeight="1">
      <c r="A575" s="12"/>
      <c r="C575" s="12"/>
      <c r="D575" s="13"/>
      <c r="F575" s="14"/>
      <c r="G575" s="14"/>
      <c r="H575" s="14"/>
      <c r="I575" s="14"/>
      <c r="J575" s="14"/>
      <c r="K575" s="12"/>
    </row>
    <row r="576" ht="19.5" customHeight="1">
      <c r="A576" s="12"/>
      <c r="C576" s="12"/>
      <c r="D576" s="13"/>
      <c r="F576" s="14"/>
      <c r="G576" s="14"/>
      <c r="H576" s="14"/>
      <c r="I576" s="14"/>
      <c r="J576" s="14"/>
      <c r="K576" s="12"/>
    </row>
    <row r="577" ht="19.5" customHeight="1">
      <c r="A577" s="12"/>
      <c r="C577" s="12"/>
      <c r="D577" s="13"/>
      <c r="F577" s="14"/>
      <c r="G577" s="14"/>
      <c r="H577" s="14"/>
      <c r="I577" s="14"/>
      <c r="J577" s="14"/>
      <c r="K577" s="12"/>
    </row>
    <row r="578" ht="19.5" customHeight="1">
      <c r="A578" s="12"/>
      <c r="C578" s="12"/>
      <c r="D578" s="13"/>
      <c r="F578" s="14"/>
      <c r="G578" s="14"/>
      <c r="H578" s="14"/>
      <c r="I578" s="14"/>
      <c r="J578" s="14"/>
      <c r="K578" s="12"/>
    </row>
    <row r="579" ht="19.5" customHeight="1">
      <c r="A579" s="12"/>
      <c r="C579" s="12"/>
      <c r="D579" s="13"/>
      <c r="F579" s="14"/>
      <c r="G579" s="14"/>
      <c r="H579" s="14"/>
      <c r="I579" s="14"/>
      <c r="J579" s="14"/>
      <c r="K579" s="12"/>
    </row>
    <row r="580" ht="19.5" customHeight="1">
      <c r="A580" s="12"/>
      <c r="C580" s="12"/>
      <c r="D580" s="13"/>
      <c r="F580" s="14"/>
      <c r="G580" s="14"/>
      <c r="H580" s="14"/>
      <c r="I580" s="14"/>
      <c r="J580" s="14"/>
      <c r="K580" s="12"/>
    </row>
    <row r="581" ht="19.5" customHeight="1">
      <c r="A581" s="12"/>
      <c r="C581" s="12"/>
      <c r="D581" s="13"/>
      <c r="F581" s="14"/>
      <c r="G581" s="14"/>
      <c r="H581" s="14"/>
      <c r="I581" s="14"/>
      <c r="J581" s="14"/>
      <c r="K581" s="12"/>
    </row>
    <row r="582" ht="19.5" customHeight="1">
      <c r="A582" s="12"/>
      <c r="C582" s="12"/>
      <c r="D582" s="13"/>
      <c r="F582" s="14"/>
      <c r="G582" s="14"/>
      <c r="H582" s="14"/>
      <c r="I582" s="14"/>
      <c r="J582" s="14"/>
      <c r="K582" s="12"/>
    </row>
    <row r="583" ht="19.5" customHeight="1">
      <c r="A583" s="12"/>
      <c r="C583" s="12"/>
      <c r="D583" s="13"/>
      <c r="F583" s="14"/>
      <c r="G583" s="14"/>
      <c r="H583" s="14"/>
      <c r="I583" s="14"/>
      <c r="J583" s="14"/>
      <c r="K583" s="12"/>
    </row>
    <row r="584" ht="19.5" customHeight="1">
      <c r="A584" s="12"/>
      <c r="C584" s="12"/>
      <c r="D584" s="13"/>
      <c r="F584" s="14"/>
      <c r="G584" s="14"/>
      <c r="H584" s="14"/>
      <c r="I584" s="14"/>
      <c r="J584" s="14"/>
      <c r="K584" s="12"/>
    </row>
    <row r="585" ht="19.5" customHeight="1">
      <c r="A585" s="12"/>
      <c r="C585" s="12"/>
      <c r="D585" s="13"/>
      <c r="F585" s="14"/>
      <c r="G585" s="14"/>
      <c r="H585" s="14"/>
      <c r="I585" s="14"/>
      <c r="J585" s="14"/>
      <c r="K585" s="12"/>
    </row>
    <row r="586" ht="19.5" customHeight="1">
      <c r="A586" s="12"/>
      <c r="C586" s="12"/>
      <c r="D586" s="13"/>
      <c r="F586" s="14"/>
      <c r="G586" s="14"/>
      <c r="H586" s="14"/>
      <c r="I586" s="14"/>
      <c r="J586" s="14"/>
      <c r="K586" s="12"/>
    </row>
    <row r="587" ht="19.5" customHeight="1">
      <c r="A587" s="12"/>
      <c r="C587" s="12"/>
      <c r="D587" s="13"/>
      <c r="F587" s="14"/>
      <c r="G587" s="14"/>
      <c r="H587" s="14"/>
      <c r="I587" s="14"/>
      <c r="J587" s="14"/>
      <c r="K587" s="12"/>
    </row>
    <row r="588" ht="19.5" customHeight="1">
      <c r="A588" s="12"/>
      <c r="C588" s="12"/>
      <c r="D588" s="13"/>
      <c r="F588" s="14"/>
      <c r="G588" s="14"/>
      <c r="H588" s="14"/>
      <c r="I588" s="14"/>
      <c r="J588" s="14"/>
      <c r="K588" s="12"/>
    </row>
    <row r="589" ht="19.5" customHeight="1">
      <c r="A589" s="12"/>
      <c r="C589" s="12"/>
      <c r="D589" s="13"/>
      <c r="F589" s="14"/>
      <c r="G589" s="14"/>
      <c r="H589" s="14"/>
      <c r="I589" s="14"/>
      <c r="J589" s="14"/>
      <c r="K589" s="12"/>
    </row>
    <row r="590" ht="19.5" customHeight="1">
      <c r="A590" s="12"/>
      <c r="C590" s="12"/>
      <c r="D590" s="13"/>
      <c r="F590" s="14"/>
      <c r="G590" s="14"/>
      <c r="H590" s="14"/>
      <c r="I590" s="14"/>
      <c r="J590" s="14"/>
      <c r="K590" s="12"/>
    </row>
    <row r="591" ht="19.5" customHeight="1">
      <c r="A591" s="12"/>
      <c r="C591" s="12"/>
      <c r="D591" s="13"/>
      <c r="F591" s="14"/>
      <c r="G591" s="14"/>
      <c r="H591" s="14"/>
      <c r="I591" s="14"/>
      <c r="J591" s="14"/>
      <c r="K591" s="12"/>
    </row>
    <row r="592" ht="19.5" customHeight="1">
      <c r="A592" s="12"/>
      <c r="C592" s="12"/>
      <c r="D592" s="13"/>
      <c r="F592" s="14"/>
      <c r="G592" s="14"/>
      <c r="H592" s="14"/>
      <c r="I592" s="14"/>
      <c r="J592" s="14"/>
      <c r="K592" s="12"/>
    </row>
    <row r="593" ht="19.5" customHeight="1">
      <c r="A593" s="12"/>
      <c r="C593" s="12"/>
      <c r="D593" s="13"/>
      <c r="F593" s="14"/>
      <c r="G593" s="14"/>
      <c r="H593" s="14"/>
      <c r="I593" s="14"/>
      <c r="J593" s="14"/>
      <c r="K593" s="12"/>
    </row>
    <row r="594" ht="19.5" customHeight="1">
      <c r="A594" s="12"/>
      <c r="C594" s="12"/>
      <c r="D594" s="13"/>
      <c r="F594" s="14"/>
      <c r="G594" s="14"/>
      <c r="H594" s="14"/>
      <c r="I594" s="14"/>
      <c r="J594" s="14"/>
      <c r="K594" s="12"/>
    </row>
    <row r="595" ht="19.5" customHeight="1">
      <c r="A595" s="12"/>
      <c r="C595" s="12"/>
      <c r="D595" s="13"/>
      <c r="F595" s="14"/>
      <c r="G595" s="14"/>
      <c r="H595" s="14"/>
      <c r="I595" s="14"/>
      <c r="J595" s="14"/>
      <c r="K595" s="12"/>
    </row>
    <row r="596" ht="19.5" customHeight="1">
      <c r="A596" s="12"/>
      <c r="C596" s="12"/>
      <c r="D596" s="13"/>
      <c r="F596" s="14"/>
      <c r="G596" s="14"/>
      <c r="H596" s="14"/>
      <c r="I596" s="14"/>
      <c r="J596" s="14"/>
      <c r="K596" s="12"/>
    </row>
    <row r="597" ht="19.5" customHeight="1">
      <c r="A597" s="12"/>
      <c r="C597" s="12"/>
      <c r="D597" s="13"/>
      <c r="F597" s="14"/>
      <c r="G597" s="14"/>
      <c r="H597" s="14"/>
      <c r="I597" s="14"/>
      <c r="J597" s="14"/>
      <c r="K597" s="12"/>
    </row>
    <row r="598" ht="19.5" customHeight="1">
      <c r="A598" s="12"/>
      <c r="C598" s="12"/>
      <c r="D598" s="13"/>
      <c r="F598" s="14"/>
      <c r="G598" s="14"/>
      <c r="H598" s="14"/>
      <c r="I598" s="14"/>
      <c r="J598" s="14"/>
      <c r="K598" s="12"/>
    </row>
    <row r="599" ht="19.5" customHeight="1">
      <c r="A599" s="12"/>
      <c r="C599" s="12"/>
      <c r="D599" s="13"/>
      <c r="F599" s="14"/>
      <c r="G599" s="14"/>
      <c r="H599" s="14"/>
      <c r="I599" s="14"/>
      <c r="J599" s="14"/>
      <c r="K599" s="12"/>
    </row>
    <row r="600" ht="19.5" customHeight="1">
      <c r="A600" s="12"/>
      <c r="C600" s="12"/>
      <c r="D600" s="13"/>
      <c r="F600" s="14"/>
      <c r="G600" s="14"/>
      <c r="H600" s="14"/>
      <c r="I600" s="14"/>
      <c r="J600" s="14"/>
      <c r="K600" s="12"/>
    </row>
    <row r="601" ht="19.5" customHeight="1">
      <c r="A601" s="12"/>
      <c r="C601" s="12"/>
      <c r="D601" s="13"/>
      <c r="F601" s="14"/>
      <c r="G601" s="14"/>
      <c r="H601" s="14"/>
      <c r="I601" s="14"/>
      <c r="J601" s="14"/>
      <c r="K601" s="12"/>
    </row>
    <row r="602" ht="19.5" customHeight="1">
      <c r="A602" s="12"/>
      <c r="C602" s="12"/>
      <c r="D602" s="13"/>
      <c r="F602" s="14"/>
      <c r="G602" s="14"/>
      <c r="H602" s="14"/>
      <c r="I602" s="14"/>
      <c r="J602" s="14"/>
      <c r="K602" s="12"/>
    </row>
    <row r="603" ht="19.5" customHeight="1">
      <c r="A603" s="12"/>
      <c r="C603" s="12"/>
      <c r="D603" s="13"/>
      <c r="F603" s="14"/>
      <c r="G603" s="14"/>
      <c r="H603" s="14"/>
      <c r="I603" s="14"/>
      <c r="J603" s="14"/>
      <c r="K603" s="12"/>
    </row>
    <row r="604" ht="19.5" customHeight="1">
      <c r="A604" s="12"/>
      <c r="C604" s="12"/>
      <c r="D604" s="13"/>
      <c r="F604" s="14"/>
      <c r="G604" s="14"/>
      <c r="H604" s="14"/>
      <c r="I604" s="14"/>
      <c r="J604" s="14"/>
      <c r="K604" s="12"/>
    </row>
    <row r="605" ht="19.5" customHeight="1">
      <c r="A605" s="12"/>
      <c r="C605" s="12"/>
      <c r="D605" s="13"/>
      <c r="F605" s="14"/>
      <c r="G605" s="14"/>
      <c r="H605" s="14"/>
      <c r="I605" s="14"/>
      <c r="J605" s="14"/>
      <c r="K605" s="12"/>
    </row>
    <row r="606" ht="19.5" customHeight="1">
      <c r="A606" s="12"/>
      <c r="C606" s="12"/>
      <c r="D606" s="13"/>
      <c r="F606" s="14"/>
      <c r="G606" s="14"/>
      <c r="H606" s="14"/>
      <c r="I606" s="14"/>
      <c r="J606" s="14"/>
      <c r="K606" s="12"/>
    </row>
    <row r="607" ht="19.5" customHeight="1">
      <c r="A607" s="12"/>
      <c r="C607" s="12"/>
      <c r="D607" s="13"/>
      <c r="F607" s="14"/>
      <c r="G607" s="14"/>
      <c r="H607" s="14"/>
      <c r="I607" s="14"/>
      <c r="J607" s="14"/>
      <c r="K607" s="12"/>
    </row>
    <row r="608" ht="19.5" customHeight="1">
      <c r="A608" s="12"/>
      <c r="C608" s="12"/>
      <c r="D608" s="13"/>
      <c r="F608" s="14"/>
      <c r="G608" s="14"/>
      <c r="H608" s="14"/>
      <c r="I608" s="14"/>
      <c r="J608" s="14"/>
      <c r="K608" s="12"/>
    </row>
    <row r="609" ht="19.5" customHeight="1">
      <c r="A609" s="12"/>
      <c r="C609" s="12"/>
      <c r="D609" s="13"/>
      <c r="F609" s="14"/>
      <c r="G609" s="14"/>
      <c r="H609" s="14"/>
      <c r="I609" s="14"/>
      <c r="J609" s="14"/>
      <c r="K609" s="12"/>
    </row>
    <row r="610" ht="19.5" customHeight="1">
      <c r="A610" s="12"/>
      <c r="C610" s="12"/>
      <c r="D610" s="13"/>
      <c r="F610" s="14"/>
      <c r="G610" s="14"/>
      <c r="H610" s="14"/>
      <c r="I610" s="14"/>
      <c r="J610" s="14"/>
      <c r="K610" s="12"/>
    </row>
    <row r="611" ht="19.5" customHeight="1">
      <c r="A611" s="12"/>
      <c r="C611" s="12"/>
      <c r="D611" s="13"/>
      <c r="F611" s="14"/>
      <c r="G611" s="14"/>
      <c r="H611" s="14"/>
      <c r="I611" s="14"/>
      <c r="J611" s="14"/>
      <c r="K611" s="12"/>
    </row>
    <row r="612" ht="19.5" customHeight="1">
      <c r="A612" s="12"/>
      <c r="C612" s="12"/>
      <c r="D612" s="13"/>
      <c r="F612" s="14"/>
      <c r="G612" s="14"/>
      <c r="H612" s="14"/>
      <c r="I612" s="14"/>
      <c r="J612" s="14"/>
      <c r="K612" s="12"/>
    </row>
    <row r="613" ht="19.5" customHeight="1">
      <c r="A613" s="12"/>
      <c r="C613" s="12"/>
      <c r="D613" s="13"/>
      <c r="F613" s="14"/>
      <c r="G613" s="14"/>
      <c r="H613" s="14"/>
      <c r="I613" s="14"/>
      <c r="J613" s="14"/>
      <c r="K613" s="12"/>
    </row>
    <row r="614" ht="19.5" customHeight="1">
      <c r="A614" s="12"/>
      <c r="C614" s="12"/>
      <c r="D614" s="13"/>
      <c r="F614" s="14"/>
      <c r="G614" s="14"/>
      <c r="H614" s="14"/>
      <c r="I614" s="14"/>
      <c r="J614" s="14"/>
      <c r="K614" s="12"/>
    </row>
    <row r="615" ht="19.5" customHeight="1">
      <c r="A615" s="12"/>
      <c r="C615" s="12"/>
      <c r="D615" s="13"/>
      <c r="F615" s="14"/>
      <c r="G615" s="14"/>
      <c r="H615" s="14"/>
      <c r="I615" s="14"/>
      <c r="J615" s="14"/>
      <c r="K615" s="12"/>
    </row>
    <row r="616" ht="19.5" customHeight="1">
      <c r="A616" s="12"/>
      <c r="C616" s="12"/>
      <c r="D616" s="13"/>
      <c r="F616" s="14"/>
      <c r="G616" s="14"/>
      <c r="H616" s="14"/>
      <c r="I616" s="14"/>
      <c r="J616" s="14"/>
      <c r="K616" s="12"/>
    </row>
    <row r="617" ht="19.5" customHeight="1">
      <c r="A617" s="12"/>
      <c r="C617" s="12"/>
      <c r="D617" s="13"/>
      <c r="F617" s="14"/>
      <c r="G617" s="14"/>
      <c r="H617" s="14"/>
      <c r="I617" s="14"/>
      <c r="J617" s="14"/>
      <c r="K617" s="12"/>
    </row>
    <row r="618" ht="19.5" customHeight="1">
      <c r="A618" s="12"/>
      <c r="C618" s="12"/>
      <c r="D618" s="13"/>
      <c r="F618" s="14"/>
      <c r="G618" s="14"/>
      <c r="H618" s="14"/>
      <c r="I618" s="14"/>
      <c r="J618" s="14"/>
      <c r="K618" s="12"/>
    </row>
    <row r="619" ht="19.5" customHeight="1">
      <c r="A619" s="12"/>
      <c r="C619" s="12"/>
      <c r="D619" s="13"/>
      <c r="F619" s="14"/>
      <c r="G619" s="14"/>
      <c r="H619" s="14"/>
      <c r="I619" s="14"/>
      <c r="J619" s="14"/>
      <c r="K619" s="12"/>
    </row>
    <row r="620" ht="19.5" customHeight="1">
      <c r="A620" s="12"/>
      <c r="C620" s="12"/>
      <c r="D620" s="13"/>
      <c r="F620" s="14"/>
      <c r="G620" s="14"/>
      <c r="H620" s="14"/>
      <c r="I620" s="14"/>
      <c r="J620" s="14"/>
      <c r="K620" s="12"/>
    </row>
    <row r="621" ht="19.5" customHeight="1">
      <c r="A621" s="12"/>
      <c r="C621" s="12"/>
      <c r="D621" s="13"/>
      <c r="F621" s="14"/>
      <c r="G621" s="14"/>
      <c r="H621" s="14"/>
      <c r="I621" s="14"/>
      <c r="J621" s="14"/>
      <c r="K621" s="12"/>
    </row>
    <row r="622" ht="19.5" customHeight="1">
      <c r="A622" s="12"/>
      <c r="C622" s="12"/>
      <c r="D622" s="13"/>
      <c r="F622" s="14"/>
      <c r="G622" s="14"/>
      <c r="H622" s="14"/>
      <c r="I622" s="14"/>
      <c r="J622" s="14"/>
      <c r="K622" s="12"/>
    </row>
    <row r="623" ht="19.5" customHeight="1">
      <c r="A623" s="12"/>
      <c r="C623" s="12"/>
      <c r="D623" s="13"/>
      <c r="F623" s="14"/>
      <c r="G623" s="14"/>
      <c r="H623" s="14"/>
      <c r="I623" s="14"/>
      <c r="J623" s="14"/>
      <c r="K623" s="12"/>
    </row>
    <row r="624" ht="19.5" customHeight="1">
      <c r="A624" s="12"/>
      <c r="C624" s="12"/>
      <c r="D624" s="13"/>
      <c r="F624" s="14"/>
      <c r="G624" s="14"/>
      <c r="H624" s="14"/>
      <c r="I624" s="14"/>
      <c r="J624" s="14"/>
      <c r="K624" s="12"/>
    </row>
    <row r="625" ht="19.5" customHeight="1">
      <c r="A625" s="12"/>
      <c r="C625" s="12"/>
      <c r="D625" s="13"/>
      <c r="F625" s="14"/>
      <c r="G625" s="14"/>
      <c r="H625" s="14"/>
      <c r="I625" s="14"/>
      <c r="J625" s="14"/>
      <c r="K625" s="12"/>
    </row>
    <row r="626" ht="19.5" customHeight="1">
      <c r="A626" s="12"/>
      <c r="C626" s="12"/>
      <c r="D626" s="13"/>
      <c r="F626" s="14"/>
      <c r="G626" s="14"/>
      <c r="H626" s="14"/>
      <c r="I626" s="14"/>
      <c r="J626" s="14"/>
      <c r="K626" s="12"/>
    </row>
    <row r="627" ht="19.5" customHeight="1">
      <c r="A627" s="12"/>
      <c r="C627" s="12"/>
      <c r="D627" s="13"/>
      <c r="F627" s="14"/>
      <c r="G627" s="14"/>
      <c r="H627" s="14"/>
      <c r="I627" s="14"/>
      <c r="J627" s="14"/>
      <c r="K627" s="12"/>
    </row>
    <row r="628" ht="19.5" customHeight="1">
      <c r="A628" s="12"/>
      <c r="C628" s="12"/>
      <c r="D628" s="13"/>
      <c r="F628" s="14"/>
      <c r="G628" s="14"/>
      <c r="H628" s="14"/>
      <c r="I628" s="14"/>
      <c r="J628" s="14"/>
      <c r="K628" s="12"/>
    </row>
    <row r="629" ht="19.5" customHeight="1">
      <c r="A629" s="12"/>
      <c r="C629" s="12"/>
      <c r="D629" s="13"/>
      <c r="F629" s="14"/>
      <c r="G629" s="14"/>
      <c r="H629" s="14"/>
      <c r="I629" s="14"/>
      <c r="J629" s="14"/>
      <c r="K629" s="12"/>
    </row>
    <row r="630" ht="19.5" customHeight="1">
      <c r="A630" s="12"/>
      <c r="C630" s="12"/>
      <c r="D630" s="13"/>
      <c r="F630" s="14"/>
      <c r="G630" s="14"/>
      <c r="H630" s="14"/>
      <c r="I630" s="14"/>
      <c r="J630" s="14"/>
      <c r="K630" s="12"/>
    </row>
    <row r="631" ht="19.5" customHeight="1">
      <c r="A631" s="12"/>
      <c r="C631" s="12"/>
      <c r="D631" s="13"/>
      <c r="F631" s="14"/>
      <c r="G631" s="14"/>
      <c r="H631" s="14"/>
      <c r="I631" s="14"/>
      <c r="J631" s="14"/>
      <c r="K631" s="12"/>
    </row>
    <row r="632" ht="19.5" customHeight="1">
      <c r="A632" s="12"/>
      <c r="C632" s="12"/>
      <c r="D632" s="13"/>
      <c r="F632" s="14"/>
      <c r="G632" s="14"/>
      <c r="H632" s="14"/>
      <c r="I632" s="14"/>
      <c r="J632" s="14"/>
      <c r="K632" s="12"/>
    </row>
    <row r="633" ht="19.5" customHeight="1">
      <c r="A633" s="12"/>
      <c r="C633" s="12"/>
      <c r="D633" s="13"/>
      <c r="F633" s="14"/>
      <c r="G633" s="14"/>
      <c r="H633" s="14"/>
      <c r="I633" s="14"/>
      <c r="J633" s="14"/>
      <c r="K633" s="12"/>
    </row>
    <row r="634" ht="19.5" customHeight="1">
      <c r="A634" s="12"/>
      <c r="C634" s="12"/>
      <c r="D634" s="13"/>
      <c r="F634" s="14"/>
      <c r="G634" s="14"/>
      <c r="H634" s="14"/>
      <c r="I634" s="14"/>
      <c r="J634" s="14"/>
      <c r="K634" s="12"/>
    </row>
    <row r="635" ht="19.5" customHeight="1">
      <c r="A635" s="12"/>
      <c r="C635" s="12"/>
      <c r="D635" s="13"/>
      <c r="F635" s="14"/>
      <c r="G635" s="14"/>
      <c r="H635" s="14"/>
      <c r="I635" s="14"/>
      <c r="J635" s="14"/>
      <c r="K635" s="12"/>
    </row>
    <row r="636" ht="19.5" customHeight="1">
      <c r="A636" s="12"/>
      <c r="C636" s="12"/>
      <c r="D636" s="13"/>
      <c r="F636" s="14"/>
      <c r="G636" s="14"/>
      <c r="H636" s="14"/>
      <c r="I636" s="14"/>
      <c r="J636" s="14"/>
      <c r="K636" s="12"/>
    </row>
    <row r="637" ht="19.5" customHeight="1">
      <c r="A637" s="12"/>
      <c r="C637" s="12"/>
      <c r="D637" s="13"/>
      <c r="F637" s="14"/>
      <c r="G637" s="14"/>
      <c r="H637" s="14"/>
      <c r="I637" s="14"/>
      <c r="J637" s="14"/>
      <c r="K637" s="12"/>
    </row>
    <row r="638" ht="19.5" customHeight="1">
      <c r="A638" s="12"/>
      <c r="C638" s="12"/>
      <c r="D638" s="13"/>
      <c r="F638" s="14"/>
      <c r="G638" s="14"/>
      <c r="H638" s="14"/>
      <c r="I638" s="14"/>
      <c r="J638" s="14"/>
      <c r="K638" s="12"/>
    </row>
    <row r="639" ht="19.5" customHeight="1">
      <c r="A639" s="12"/>
      <c r="C639" s="12"/>
      <c r="D639" s="13"/>
      <c r="F639" s="14"/>
      <c r="G639" s="14"/>
      <c r="H639" s="14"/>
      <c r="I639" s="14"/>
      <c r="J639" s="14"/>
      <c r="K639" s="12"/>
    </row>
    <row r="640" ht="19.5" customHeight="1">
      <c r="A640" s="12"/>
      <c r="C640" s="12"/>
      <c r="D640" s="13"/>
      <c r="F640" s="14"/>
      <c r="G640" s="14"/>
      <c r="H640" s="14"/>
      <c r="I640" s="14"/>
      <c r="J640" s="14"/>
      <c r="K640" s="12"/>
    </row>
    <row r="641" ht="19.5" customHeight="1">
      <c r="A641" s="12"/>
      <c r="C641" s="12"/>
      <c r="D641" s="13"/>
      <c r="F641" s="14"/>
      <c r="G641" s="14"/>
      <c r="H641" s="14"/>
      <c r="I641" s="14"/>
      <c r="J641" s="14"/>
      <c r="K641" s="12"/>
    </row>
    <row r="642" ht="19.5" customHeight="1">
      <c r="A642" s="12"/>
      <c r="C642" s="12"/>
      <c r="D642" s="13"/>
      <c r="F642" s="14"/>
      <c r="G642" s="14"/>
      <c r="H642" s="14"/>
      <c r="I642" s="14"/>
      <c r="J642" s="14"/>
      <c r="K642" s="12"/>
    </row>
    <row r="643" ht="19.5" customHeight="1">
      <c r="A643" s="12"/>
      <c r="C643" s="12"/>
      <c r="D643" s="13"/>
      <c r="F643" s="14"/>
      <c r="G643" s="14"/>
      <c r="H643" s="14"/>
      <c r="I643" s="14"/>
      <c r="J643" s="14"/>
      <c r="K643" s="12"/>
    </row>
    <row r="644" ht="19.5" customHeight="1">
      <c r="A644" s="12"/>
      <c r="C644" s="12"/>
      <c r="D644" s="13"/>
      <c r="F644" s="14"/>
      <c r="G644" s="14"/>
      <c r="H644" s="14"/>
      <c r="I644" s="14"/>
      <c r="J644" s="14"/>
      <c r="K644" s="12"/>
    </row>
    <row r="645" ht="19.5" customHeight="1">
      <c r="A645" s="12"/>
      <c r="C645" s="12"/>
      <c r="D645" s="13"/>
      <c r="F645" s="14"/>
      <c r="G645" s="14"/>
      <c r="H645" s="14"/>
      <c r="I645" s="14"/>
      <c r="J645" s="14"/>
      <c r="K645" s="12"/>
    </row>
    <row r="646" ht="19.5" customHeight="1">
      <c r="A646" s="12"/>
      <c r="C646" s="12"/>
      <c r="D646" s="13"/>
      <c r="F646" s="14"/>
      <c r="G646" s="14"/>
      <c r="H646" s="14"/>
      <c r="I646" s="14"/>
      <c r="J646" s="14"/>
      <c r="K646" s="12"/>
    </row>
    <row r="647" ht="19.5" customHeight="1">
      <c r="A647" s="12"/>
      <c r="C647" s="12"/>
      <c r="D647" s="13"/>
      <c r="F647" s="14"/>
      <c r="G647" s="14"/>
      <c r="H647" s="14"/>
      <c r="I647" s="14"/>
      <c r="J647" s="14"/>
      <c r="K647" s="12"/>
    </row>
    <row r="648" ht="19.5" customHeight="1">
      <c r="A648" s="12"/>
      <c r="C648" s="12"/>
      <c r="D648" s="13"/>
      <c r="F648" s="14"/>
      <c r="G648" s="14"/>
      <c r="H648" s="14"/>
      <c r="I648" s="14"/>
      <c r="J648" s="14"/>
      <c r="K648" s="12"/>
    </row>
    <row r="649" ht="19.5" customHeight="1">
      <c r="A649" s="12"/>
      <c r="C649" s="12"/>
      <c r="D649" s="13"/>
      <c r="F649" s="14"/>
      <c r="G649" s="14"/>
      <c r="H649" s="14"/>
      <c r="I649" s="14"/>
      <c r="J649" s="14"/>
      <c r="K649" s="12"/>
    </row>
    <row r="650" ht="19.5" customHeight="1">
      <c r="A650" s="12"/>
      <c r="C650" s="12"/>
      <c r="D650" s="13"/>
      <c r="F650" s="14"/>
      <c r="G650" s="14"/>
      <c r="H650" s="14"/>
      <c r="I650" s="14"/>
      <c r="J650" s="14"/>
      <c r="K650" s="12"/>
    </row>
    <row r="651" ht="19.5" customHeight="1">
      <c r="A651" s="12"/>
      <c r="C651" s="12"/>
      <c r="D651" s="13"/>
      <c r="F651" s="14"/>
      <c r="G651" s="14"/>
      <c r="H651" s="14"/>
      <c r="I651" s="14"/>
      <c r="J651" s="14"/>
      <c r="K651" s="12"/>
    </row>
    <row r="652" ht="19.5" customHeight="1">
      <c r="A652" s="12"/>
      <c r="C652" s="12"/>
      <c r="D652" s="13"/>
      <c r="F652" s="14"/>
      <c r="G652" s="14"/>
      <c r="H652" s="14"/>
      <c r="I652" s="14"/>
      <c r="J652" s="14"/>
      <c r="K652" s="12"/>
    </row>
    <row r="653" ht="19.5" customHeight="1">
      <c r="A653" s="12"/>
      <c r="C653" s="12"/>
      <c r="D653" s="13"/>
      <c r="F653" s="14"/>
      <c r="G653" s="14"/>
      <c r="H653" s="14"/>
      <c r="I653" s="14"/>
      <c r="J653" s="14"/>
      <c r="K653" s="12"/>
    </row>
    <row r="654" ht="19.5" customHeight="1">
      <c r="A654" s="12"/>
      <c r="C654" s="12"/>
      <c r="D654" s="13"/>
      <c r="F654" s="14"/>
      <c r="G654" s="14"/>
      <c r="H654" s="14"/>
      <c r="I654" s="14"/>
      <c r="J654" s="14"/>
      <c r="K654" s="12"/>
    </row>
    <row r="655" ht="19.5" customHeight="1">
      <c r="A655" s="12"/>
      <c r="C655" s="12"/>
      <c r="D655" s="13"/>
      <c r="F655" s="14"/>
      <c r="G655" s="14"/>
      <c r="H655" s="14"/>
      <c r="I655" s="14"/>
      <c r="J655" s="14"/>
      <c r="K655" s="12"/>
    </row>
    <row r="656" ht="19.5" customHeight="1">
      <c r="A656" s="12"/>
      <c r="C656" s="12"/>
      <c r="D656" s="13"/>
      <c r="F656" s="14"/>
      <c r="G656" s="14"/>
      <c r="H656" s="14"/>
      <c r="I656" s="14"/>
      <c r="J656" s="14"/>
      <c r="K656" s="12"/>
    </row>
    <row r="657" ht="19.5" customHeight="1">
      <c r="A657" s="12"/>
      <c r="C657" s="12"/>
      <c r="D657" s="13"/>
      <c r="F657" s="14"/>
      <c r="G657" s="14"/>
      <c r="H657" s="14"/>
      <c r="I657" s="14"/>
      <c r="J657" s="14"/>
      <c r="K657" s="12"/>
    </row>
    <row r="658" ht="19.5" customHeight="1">
      <c r="A658" s="12"/>
      <c r="C658" s="12"/>
      <c r="D658" s="13"/>
      <c r="F658" s="14"/>
      <c r="G658" s="14"/>
      <c r="H658" s="14"/>
      <c r="I658" s="14"/>
      <c r="J658" s="14"/>
      <c r="K658" s="12"/>
    </row>
    <row r="659" ht="19.5" customHeight="1">
      <c r="A659" s="12"/>
      <c r="C659" s="12"/>
      <c r="D659" s="13"/>
      <c r="F659" s="14"/>
      <c r="G659" s="14"/>
      <c r="H659" s="14"/>
      <c r="I659" s="14"/>
      <c r="J659" s="14"/>
      <c r="K659" s="12"/>
    </row>
    <row r="660" ht="19.5" customHeight="1">
      <c r="A660" s="12"/>
      <c r="C660" s="12"/>
      <c r="D660" s="13"/>
      <c r="F660" s="14"/>
      <c r="G660" s="14"/>
      <c r="H660" s="14"/>
      <c r="I660" s="14"/>
      <c r="J660" s="14"/>
      <c r="K660" s="12"/>
    </row>
    <row r="661" ht="19.5" customHeight="1">
      <c r="A661" s="12"/>
      <c r="C661" s="12"/>
      <c r="D661" s="13"/>
      <c r="F661" s="14"/>
      <c r="G661" s="14"/>
      <c r="H661" s="14"/>
      <c r="I661" s="14"/>
      <c r="J661" s="14"/>
      <c r="K661" s="12"/>
    </row>
    <row r="662" ht="19.5" customHeight="1">
      <c r="A662" s="12"/>
      <c r="C662" s="12"/>
      <c r="D662" s="13"/>
      <c r="F662" s="14"/>
      <c r="G662" s="14"/>
      <c r="H662" s="14"/>
      <c r="I662" s="14"/>
      <c r="J662" s="14"/>
      <c r="K662" s="12"/>
    </row>
    <row r="663" ht="19.5" customHeight="1">
      <c r="A663" s="12"/>
      <c r="C663" s="12"/>
      <c r="D663" s="13"/>
      <c r="F663" s="14"/>
      <c r="G663" s="14"/>
      <c r="H663" s="14"/>
      <c r="I663" s="14"/>
      <c r="J663" s="14"/>
      <c r="K663" s="12"/>
    </row>
    <row r="664" ht="19.5" customHeight="1">
      <c r="A664" s="12"/>
      <c r="C664" s="12"/>
      <c r="D664" s="13"/>
      <c r="F664" s="14"/>
      <c r="G664" s="14"/>
      <c r="H664" s="14"/>
      <c r="I664" s="14"/>
      <c r="J664" s="14"/>
      <c r="K664" s="12"/>
    </row>
    <row r="665" ht="19.5" customHeight="1">
      <c r="A665" s="12"/>
      <c r="C665" s="12"/>
      <c r="D665" s="13"/>
      <c r="F665" s="14"/>
      <c r="G665" s="14"/>
      <c r="H665" s="14"/>
      <c r="I665" s="14"/>
      <c r="J665" s="14"/>
      <c r="K665" s="12"/>
    </row>
    <row r="666" ht="19.5" customHeight="1">
      <c r="A666" s="12"/>
      <c r="C666" s="12"/>
      <c r="D666" s="13"/>
      <c r="F666" s="14"/>
      <c r="G666" s="14"/>
      <c r="H666" s="14"/>
      <c r="I666" s="14"/>
      <c r="J666" s="14"/>
      <c r="K666" s="12"/>
    </row>
    <row r="667" ht="19.5" customHeight="1">
      <c r="A667" s="12"/>
      <c r="C667" s="12"/>
      <c r="D667" s="13"/>
      <c r="F667" s="14"/>
      <c r="G667" s="14"/>
      <c r="H667" s="14"/>
      <c r="I667" s="14"/>
      <c r="J667" s="14"/>
      <c r="K667" s="12"/>
    </row>
    <row r="668" ht="19.5" customHeight="1">
      <c r="A668" s="12"/>
      <c r="C668" s="12"/>
      <c r="D668" s="13"/>
      <c r="F668" s="14"/>
      <c r="G668" s="14"/>
      <c r="H668" s="14"/>
      <c r="I668" s="14"/>
      <c r="J668" s="14"/>
      <c r="K668" s="12"/>
    </row>
    <row r="669" ht="19.5" customHeight="1">
      <c r="A669" s="12"/>
      <c r="C669" s="12"/>
      <c r="D669" s="13"/>
      <c r="F669" s="14"/>
      <c r="G669" s="14"/>
      <c r="H669" s="14"/>
      <c r="I669" s="14"/>
      <c r="J669" s="14"/>
      <c r="K669" s="12"/>
    </row>
    <row r="670" ht="19.5" customHeight="1">
      <c r="A670" s="12"/>
      <c r="C670" s="12"/>
      <c r="D670" s="13"/>
      <c r="F670" s="14"/>
      <c r="G670" s="14"/>
      <c r="H670" s="14"/>
      <c r="I670" s="14"/>
      <c r="J670" s="14"/>
      <c r="K670" s="12"/>
    </row>
    <row r="671" ht="19.5" customHeight="1">
      <c r="A671" s="12"/>
      <c r="C671" s="12"/>
      <c r="D671" s="13"/>
      <c r="F671" s="14"/>
      <c r="G671" s="14"/>
      <c r="H671" s="14"/>
      <c r="I671" s="14"/>
      <c r="J671" s="14"/>
      <c r="K671" s="12"/>
    </row>
    <row r="672" ht="19.5" customHeight="1">
      <c r="A672" s="12"/>
      <c r="C672" s="12"/>
      <c r="D672" s="13"/>
      <c r="F672" s="14"/>
      <c r="G672" s="14"/>
      <c r="H672" s="14"/>
      <c r="I672" s="14"/>
      <c r="J672" s="14"/>
      <c r="K672" s="12"/>
    </row>
    <row r="673" ht="19.5" customHeight="1">
      <c r="A673" s="12"/>
      <c r="C673" s="12"/>
      <c r="D673" s="13"/>
      <c r="F673" s="14"/>
      <c r="G673" s="14"/>
      <c r="H673" s="14"/>
      <c r="I673" s="14"/>
      <c r="J673" s="14"/>
      <c r="K673" s="12"/>
    </row>
    <row r="674" ht="19.5" customHeight="1">
      <c r="A674" s="12"/>
      <c r="C674" s="12"/>
      <c r="D674" s="13"/>
      <c r="F674" s="14"/>
      <c r="G674" s="14"/>
      <c r="H674" s="14"/>
      <c r="I674" s="14"/>
      <c r="J674" s="14"/>
      <c r="K674" s="12"/>
    </row>
    <row r="675" ht="19.5" customHeight="1">
      <c r="A675" s="12"/>
      <c r="C675" s="12"/>
      <c r="D675" s="13"/>
      <c r="F675" s="14"/>
      <c r="G675" s="14"/>
      <c r="H675" s="14"/>
      <c r="I675" s="14"/>
      <c r="J675" s="14"/>
      <c r="K675" s="12"/>
    </row>
    <row r="676" ht="19.5" customHeight="1">
      <c r="A676" s="12"/>
      <c r="C676" s="12"/>
      <c r="D676" s="13"/>
      <c r="F676" s="14"/>
      <c r="G676" s="14"/>
      <c r="H676" s="14"/>
      <c r="I676" s="14"/>
      <c r="J676" s="14"/>
      <c r="K676" s="12"/>
    </row>
    <row r="677" ht="19.5" customHeight="1">
      <c r="A677" s="12"/>
      <c r="C677" s="12"/>
      <c r="D677" s="13"/>
      <c r="F677" s="14"/>
      <c r="G677" s="14"/>
      <c r="H677" s="14"/>
      <c r="I677" s="14"/>
      <c r="J677" s="14"/>
      <c r="K677" s="12"/>
    </row>
    <row r="678" ht="19.5" customHeight="1">
      <c r="A678" s="12"/>
      <c r="C678" s="12"/>
      <c r="D678" s="13"/>
      <c r="F678" s="14"/>
      <c r="G678" s="14"/>
      <c r="H678" s="14"/>
      <c r="I678" s="14"/>
      <c r="J678" s="14"/>
      <c r="K678" s="12"/>
    </row>
    <row r="679" ht="19.5" customHeight="1">
      <c r="A679" s="12"/>
      <c r="C679" s="12"/>
      <c r="D679" s="13"/>
      <c r="F679" s="14"/>
      <c r="G679" s="14"/>
      <c r="H679" s="14"/>
      <c r="I679" s="14"/>
      <c r="J679" s="14"/>
      <c r="K679" s="12"/>
    </row>
    <row r="680" ht="19.5" customHeight="1">
      <c r="A680" s="12"/>
      <c r="C680" s="12"/>
      <c r="D680" s="13"/>
      <c r="F680" s="14"/>
      <c r="G680" s="14"/>
      <c r="H680" s="14"/>
      <c r="I680" s="14"/>
      <c r="J680" s="14"/>
      <c r="K680" s="12"/>
    </row>
    <row r="681" ht="19.5" customHeight="1">
      <c r="A681" s="12"/>
      <c r="C681" s="12"/>
      <c r="D681" s="13"/>
      <c r="F681" s="14"/>
      <c r="G681" s="14"/>
      <c r="H681" s="14"/>
      <c r="I681" s="14"/>
      <c r="J681" s="14"/>
      <c r="K681" s="12"/>
    </row>
    <row r="682" ht="19.5" customHeight="1">
      <c r="A682" s="12"/>
      <c r="C682" s="12"/>
      <c r="D682" s="13"/>
      <c r="F682" s="14"/>
      <c r="G682" s="14"/>
      <c r="H682" s="14"/>
      <c r="I682" s="14"/>
      <c r="J682" s="14"/>
      <c r="K682" s="12"/>
    </row>
    <row r="683" ht="19.5" customHeight="1">
      <c r="A683" s="12"/>
      <c r="C683" s="12"/>
      <c r="D683" s="13"/>
      <c r="F683" s="14"/>
      <c r="G683" s="14"/>
      <c r="H683" s="14"/>
      <c r="I683" s="14"/>
      <c r="J683" s="14"/>
      <c r="K683" s="12"/>
    </row>
    <row r="684" ht="19.5" customHeight="1">
      <c r="A684" s="12"/>
      <c r="C684" s="12"/>
      <c r="D684" s="13"/>
      <c r="F684" s="14"/>
      <c r="G684" s="14"/>
      <c r="H684" s="14"/>
      <c r="I684" s="14"/>
      <c r="J684" s="14"/>
      <c r="K684" s="12"/>
    </row>
    <row r="685" ht="19.5" customHeight="1">
      <c r="A685" s="12"/>
      <c r="C685" s="12"/>
      <c r="D685" s="13"/>
      <c r="F685" s="14"/>
      <c r="G685" s="14"/>
      <c r="H685" s="14"/>
      <c r="I685" s="14"/>
      <c r="J685" s="14"/>
      <c r="K685" s="12"/>
    </row>
    <row r="686" ht="19.5" customHeight="1">
      <c r="A686" s="12"/>
      <c r="C686" s="12"/>
      <c r="D686" s="13"/>
      <c r="F686" s="14"/>
      <c r="G686" s="14"/>
      <c r="H686" s="14"/>
      <c r="I686" s="14"/>
      <c r="J686" s="14"/>
      <c r="K686" s="12"/>
    </row>
    <row r="687" ht="19.5" customHeight="1">
      <c r="A687" s="12"/>
      <c r="C687" s="12"/>
      <c r="D687" s="13"/>
      <c r="F687" s="14"/>
      <c r="G687" s="14"/>
      <c r="H687" s="14"/>
      <c r="I687" s="14"/>
      <c r="J687" s="14"/>
      <c r="K687" s="12"/>
    </row>
    <row r="688" ht="19.5" customHeight="1">
      <c r="A688" s="12"/>
      <c r="C688" s="12"/>
      <c r="D688" s="13"/>
      <c r="F688" s="14"/>
      <c r="G688" s="14"/>
      <c r="H688" s="14"/>
      <c r="I688" s="14"/>
      <c r="J688" s="14"/>
      <c r="K688" s="12"/>
    </row>
    <row r="689" ht="19.5" customHeight="1">
      <c r="A689" s="12"/>
      <c r="C689" s="12"/>
      <c r="D689" s="13"/>
      <c r="F689" s="14"/>
      <c r="G689" s="14"/>
      <c r="H689" s="14"/>
      <c r="I689" s="14"/>
      <c r="J689" s="14"/>
      <c r="K689" s="12"/>
    </row>
    <row r="690" ht="19.5" customHeight="1">
      <c r="A690" s="12"/>
      <c r="C690" s="12"/>
      <c r="D690" s="13"/>
      <c r="F690" s="14"/>
      <c r="G690" s="14"/>
      <c r="H690" s="14"/>
      <c r="I690" s="14"/>
      <c r="J690" s="14"/>
      <c r="K690" s="12"/>
    </row>
    <row r="691" ht="19.5" customHeight="1">
      <c r="A691" s="12"/>
      <c r="C691" s="12"/>
      <c r="D691" s="13"/>
      <c r="F691" s="14"/>
      <c r="G691" s="14"/>
      <c r="H691" s="14"/>
      <c r="I691" s="14"/>
      <c r="J691" s="14"/>
      <c r="K691" s="12"/>
    </row>
    <row r="692" ht="19.5" customHeight="1">
      <c r="A692" s="12"/>
      <c r="C692" s="12"/>
      <c r="D692" s="13"/>
      <c r="F692" s="14"/>
      <c r="G692" s="14"/>
      <c r="H692" s="14"/>
      <c r="I692" s="14"/>
      <c r="J692" s="14"/>
      <c r="K692" s="12"/>
    </row>
    <row r="693" ht="19.5" customHeight="1">
      <c r="A693" s="12"/>
      <c r="C693" s="12"/>
      <c r="D693" s="13"/>
      <c r="F693" s="14"/>
      <c r="G693" s="14"/>
      <c r="H693" s="14"/>
      <c r="I693" s="14"/>
      <c r="J693" s="14"/>
      <c r="K693" s="12"/>
    </row>
    <row r="694" ht="19.5" customHeight="1">
      <c r="A694" s="12"/>
      <c r="C694" s="12"/>
      <c r="D694" s="13"/>
      <c r="F694" s="14"/>
      <c r="G694" s="14"/>
      <c r="H694" s="14"/>
      <c r="I694" s="14"/>
      <c r="J694" s="14"/>
      <c r="K694" s="12"/>
    </row>
    <row r="695" ht="19.5" customHeight="1">
      <c r="A695" s="12"/>
      <c r="C695" s="12"/>
      <c r="D695" s="13"/>
      <c r="F695" s="14"/>
      <c r="G695" s="14"/>
      <c r="H695" s="14"/>
      <c r="I695" s="14"/>
      <c r="J695" s="14"/>
      <c r="K695" s="12"/>
    </row>
    <row r="696" ht="19.5" customHeight="1">
      <c r="A696" s="12"/>
      <c r="C696" s="12"/>
      <c r="D696" s="13"/>
      <c r="F696" s="14"/>
      <c r="G696" s="14"/>
      <c r="H696" s="14"/>
      <c r="I696" s="14"/>
      <c r="J696" s="14"/>
      <c r="K696" s="12"/>
    </row>
    <row r="697" ht="19.5" customHeight="1">
      <c r="A697" s="12"/>
      <c r="C697" s="12"/>
      <c r="D697" s="13"/>
      <c r="F697" s="14"/>
      <c r="G697" s="14"/>
      <c r="H697" s="14"/>
      <c r="I697" s="14"/>
      <c r="J697" s="14"/>
      <c r="K697" s="12"/>
    </row>
    <row r="698" ht="19.5" customHeight="1">
      <c r="A698" s="12"/>
      <c r="C698" s="12"/>
      <c r="D698" s="13"/>
      <c r="F698" s="14"/>
      <c r="G698" s="14"/>
      <c r="H698" s="14"/>
      <c r="I698" s="14"/>
      <c r="J698" s="14"/>
      <c r="K698" s="12"/>
    </row>
    <row r="699" ht="19.5" customHeight="1">
      <c r="A699" s="12"/>
      <c r="C699" s="12"/>
      <c r="D699" s="13"/>
      <c r="F699" s="14"/>
      <c r="G699" s="14"/>
      <c r="H699" s="14"/>
      <c r="I699" s="14"/>
      <c r="J699" s="14"/>
      <c r="K699" s="12"/>
    </row>
    <row r="700" ht="19.5" customHeight="1">
      <c r="A700" s="12"/>
      <c r="C700" s="12"/>
      <c r="D700" s="13"/>
      <c r="F700" s="14"/>
      <c r="G700" s="14"/>
      <c r="H700" s="14"/>
      <c r="I700" s="14"/>
      <c r="J700" s="14"/>
      <c r="K700" s="12"/>
    </row>
    <row r="701" ht="19.5" customHeight="1">
      <c r="A701" s="12"/>
      <c r="C701" s="12"/>
      <c r="D701" s="13"/>
      <c r="F701" s="14"/>
      <c r="G701" s="14"/>
      <c r="H701" s="14"/>
      <c r="I701" s="14"/>
      <c r="J701" s="14"/>
      <c r="K701" s="12"/>
    </row>
    <row r="702" ht="19.5" customHeight="1">
      <c r="A702" s="12"/>
      <c r="C702" s="12"/>
      <c r="D702" s="13"/>
      <c r="F702" s="14"/>
      <c r="G702" s="14"/>
      <c r="H702" s="14"/>
      <c r="I702" s="14"/>
      <c r="J702" s="14"/>
      <c r="K702" s="12"/>
    </row>
    <row r="703" ht="19.5" customHeight="1">
      <c r="A703" s="12"/>
      <c r="C703" s="12"/>
      <c r="D703" s="13"/>
      <c r="F703" s="14"/>
      <c r="G703" s="14"/>
      <c r="H703" s="14"/>
      <c r="I703" s="14"/>
      <c r="J703" s="14"/>
      <c r="K703" s="12"/>
    </row>
    <row r="704" ht="19.5" customHeight="1">
      <c r="A704" s="12"/>
      <c r="C704" s="12"/>
      <c r="D704" s="13"/>
      <c r="F704" s="14"/>
      <c r="G704" s="14"/>
      <c r="H704" s="14"/>
      <c r="I704" s="14"/>
      <c r="J704" s="14"/>
      <c r="K704" s="12"/>
    </row>
    <row r="705" ht="19.5" customHeight="1">
      <c r="A705" s="12"/>
      <c r="C705" s="12"/>
      <c r="D705" s="13"/>
      <c r="F705" s="14"/>
      <c r="G705" s="14"/>
      <c r="H705" s="14"/>
      <c r="I705" s="14"/>
      <c r="J705" s="14"/>
      <c r="K705" s="12"/>
    </row>
    <row r="706" ht="19.5" customHeight="1">
      <c r="A706" s="12"/>
      <c r="C706" s="12"/>
      <c r="D706" s="13"/>
      <c r="F706" s="14"/>
      <c r="G706" s="14"/>
      <c r="H706" s="14"/>
      <c r="I706" s="14"/>
      <c r="J706" s="14"/>
      <c r="K706" s="12"/>
    </row>
    <row r="707" ht="19.5" customHeight="1">
      <c r="A707" s="12"/>
      <c r="C707" s="12"/>
      <c r="D707" s="13"/>
      <c r="F707" s="14"/>
      <c r="G707" s="14"/>
      <c r="H707" s="14"/>
      <c r="I707" s="14"/>
      <c r="J707" s="14"/>
      <c r="K707" s="12"/>
    </row>
    <row r="708" ht="19.5" customHeight="1">
      <c r="A708" s="12"/>
      <c r="C708" s="12"/>
      <c r="D708" s="13"/>
      <c r="F708" s="14"/>
      <c r="G708" s="14"/>
      <c r="H708" s="14"/>
      <c r="I708" s="14"/>
      <c r="J708" s="14"/>
      <c r="K708" s="12"/>
    </row>
    <row r="709" ht="19.5" customHeight="1">
      <c r="A709" s="12"/>
      <c r="C709" s="12"/>
      <c r="D709" s="13"/>
      <c r="F709" s="14"/>
      <c r="G709" s="14"/>
      <c r="H709" s="14"/>
      <c r="I709" s="14"/>
      <c r="J709" s="14"/>
      <c r="K709" s="12"/>
    </row>
    <row r="710" ht="19.5" customHeight="1">
      <c r="A710" s="12"/>
      <c r="C710" s="12"/>
      <c r="D710" s="13"/>
      <c r="F710" s="14"/>
      <c r="G710" s="14"/>
      <c r="H710" s="14"/>
      <c r="I710" s="14"/>
      <c r="J710" s="14"/>
      <c r="K710" s="12"/>
    </row>
    <row r="711" ht="19.5" customHeight="1">
      <c r="A711" s="12"/>
      <c r="C711" s="12"/>
      <c r="D711" s="13"/>
      <c r="F711" s="14"/>
      <c r="G711" s="14"/>
      <c r="H711" s="14"/>
      <c r="I711" s="14"/>
      <c r="J711" s="14"/>
      <c r="K711" s="12"/>
    </row>
    <row r="712" ht="19.5" customHeight="1">
      <c r="A712" s="12"/>
      <c r="C712" s="12"/>
      <c r="D712" s="13"/>
      <c r="F712" s="14"/>
      <c r="G712" s="14"/>
      <c r="H712" s="14"/>
      <c r="I712" s="14"/>
      <c r="J712" s="14"/>
      <c r="K712" s="12"/>
    </row>
    <row r="713" ht="19.5" customHeight="1">
      <c r="A713" s="12"/>
      <c r="C713" s="12"/>
      <c r="D713" s="13"/>
      <c r="F713" s="14"/>
      <c r="G713" s="14"/>
      <c r="H713" s="14"/>
      <c r="I713" s="14"/>
      <c r="J713" s="14"/>
      <c r="K713" s="12"/>
    </row>
    <row r="714" ht="19.5" customHeight="1">
      <c r="A714" s="12"/>
      <c r="C714" s="12"/>
      <c r="D714" s="13"/>
      <c r="F714" s="14"/>
      <c r="G714" s="14"/>
      <c r="H714" s="14"/>
      <c r="I714" s="14"/>
      <c r="J714" s="14"/>
      <c r="K714" s="12"/>
    </row>
    <row r="715" ht="19.5" customHeight="1">
      <c r="A715" s="12"/>
      <c r="C715" s="12"/>
      <c r="D715" s="13"/>
      <c r="F715" s="14"/>
      <c r="G715" s="14"/>
      <c r="H715" s="14"/>
      <c r="I715" s="14"/>
      <c r="J715" s="14"/>
      <c r="K715" s="12"/>
    </row>
    <row r="716" ht="19.5" customHeight="1">
      <c r="A716" s="12"/>
      <c r="C716" s="12"/>
      <c r="D716" s="13"/>
      <c r="F716" s="14"/>
      <c r="G716" s="14"/>
      <c r="H716" s="14"/>
      <c r="I716" s="14"/>
      <c r="J716" s="14"/>
      <c r="K716" s="12"/>
    </row>
    <row r="717" ht="19.5" customHeight="1">
      <c r="A717" s="12"/>
      <c r="C717" s="12"/>
      <c r="D717" s="13"/>
      <c r="F717" s="14"/>
      <c r="G717" s="14"/>
      <c r="H717" s="14"/>
      <c r="I717" s="14"/>
      <c r="J717" s="14"/>
      <c r="K717" s="12"/>
    </row>
    <row r="718" ht="19.5" customHeight="1">
      <c r="A718" s="12"/>
      <c r="C718" s="12"/>
      <c r="D718" s="13"/>
      <c r="F718" s="14"/>
      <c r="G718" s="14"/>
      <c r="H718" s="14"/>
      <c r="I718" s="14"/>
      <c r="J718" s="14"/>
      <c r="K718" s="12"/>
    </row>
    <row r="719" ht="19.5" customHeight="1">
      <c r="A719" s="12"/>
      <c r="C719" s="12"/>
      <c r="D719" s="13"/>
      <c r="F719" s="14"/>
      <c r="G719" s="14"/>
      <c r="H719" s="14"/>
      <c r="I719" s="14"/>
      <c r="J719" s="14"/>
      <c r="K719" s="12"/>
    </row>
    <row r="720" ht="19.5" customHeight="1">
      <c r="A720" s="12"/>
      <c r="C720" s="12"/>
      <c r="D720" s="13"/>
      <c r="F720" s="14"/>
      <c r="G720" s="14"/>
      <c r="H720" s="14"/>
      <c r="I720" s="14"/>
      <c r="J720" s="14"/>
      <c r="K720" s="12"/>
    </row>
    <row r="721" ht="19.5" customHeight="1">
      <c r="A721" s="12"/>
      <c r="C721" s="12"/>
      <c r="D721" s="13"/>
      <c r="F721" s="14"/>
      <c r="G721" s="14"/>
      <c r="H721" s="14"/>
      <c r="I721" s="14"/>
      <c r="J721" s="14"/>
      <c r="K721" s="12"/>
    </row>
    <row r="722" ht="19.5" customHeight="1">
      <c r="A722" s="12"/>
      <c r="C722" s="12"/>
      <c r="D722" s="13"/>
      <c r="F722" s="14"/>
      <c r="G722" s="14"/>
      <c r="H722" s="14"/>
      <c r="I722" s="14"/>
      <c r="J722" s="14"/>
      <c r="K722" s="12"/>
    </row>
    <row r="723" ht="19.5" customHeight="1">
      <c r="A723" s="12"/>
      <c r="C723" s="12"/>
      <c r="D723" s="13"/>
      <c r="F723" s="14"/>
      <c r="G723" s="14"/>
      <c r="H723" s="14"/>
      <c r="I723" s="14"/>
      <c r="J723" s="14"/>
      <c r="K723" s="12"/>
    </row>
    <row r="724" ht="19.5" customHeight="1">
      <c r="A724" s="12"/>
      <c r="C724" s="12"/>
      <c r="D724" s="13"/>
      <c r="F724" s="14"/>
      <c r="G724" s="14"/>
      <c r="H724" s="14"/>
      <c r="I724" s="14"/>
      <c r="J724" s="14"/>
      <c r="K724" s="12"/>
    </row>
    <row r="725" ht="19.5" customHeight="1">
      <c r="A725" s="12"/>
      <c r="C725" s="12"/>
      <c r="D725" s="13"/>
      <c r="F725" s="14"/>
      <c r="G725" s="14"/>
      <c r="H725" s="14"/>
      <c r="I725" s="14"/>
      <c r="J725" s="14"/>
      <c r="K725" s="12"/>
    </row>
    <row r="726" ht="19.5" customHeight="1">
      <c r="A726" s="12"/>
      <c r="C726" s="12"/>
      <c r="D726" s="13"/>
      <c r="F726" s="14"/>
      <c r="G726" s="14"/>
      <c r="H726" s="14"/>
      <c r="I726" s="14"/>
      <c r="J726" s="14"/>
      <c r="K726" s="12"/>
    </row>
    <row r="727" ht="19.5" customHeight="1">
      <c r="A727" s="12"/>
      <c r="C727" s="12"/>
      <c r="D727" s="13"/>
      <c r="F727" s="14"/>
      <c r="G727" s="14"/>
      <c r="H727" s="14"/>
      <c r="I727" s="14"/>
      <c r="J727" s="14"/>
      <c r="K727" s="12"/>
    </row>
    <row r="728" ht="19.5" customHeight="1">
      <c r="A728" s="12"/>
      <c r="C728" s="12"/>
      <c r="D728" s="13"/>
      <c r="F728" s="14"/>
      <c r="G728" s="14"/>
      <c r="H728" s="14"/>
      <c r="I728" s="14"/>
      <c r="J728" s="14"/>
      <c r="K728" s="12"/>
    </row>
    <row r="729" ht="19.5" customHeight="1">
      <c r="A729" s="12"/>
      <c r="C729" s="12"/>
      <c r="D729" s="13"/>
      <c r="F729" s="14"/>
      <c r="G729" s="14"/>
      <c r="H729" s="14"/>
      <c r="I729" s="14"/>
      <c r="J729" s="14"/>
      <c r="K729" s="12"/>
    </row>
    <row r="730" ht="19.5" customHeight="1">
      <c r="A730" s="12"/>
      <c r="C730" s="12"/>
      <c r="D730" s="13"/>
      <c r="F730" s="14"/>
      <c r="G730" s="14"/>
      <c r="H730" s="14"/>
      <c r="I730" s="14"/>
      <c r="J730" s="14"/>
      <c r="K730" s="12"/>
    </row>
    <row r="731" ht="19.5" customHeight="1">
      <c r="A731" s="12"/>
      <c r="C731" s="12"/>
      <c r="D731" s="13"/>
      <c r="F731" s="14"/>
      <c r="G731" s="14"/>
      <c r="H731" s="14"/>
      <c r="I731" s="14"/>
      <c r="J731" s="14"/>
      <c r="K731" s="12"/>
    </row>
    <row r="732" ht="19.5" customHeight="1">
      <c r="A732" s="12"/>
      <c r="C732" s="12"/>
      <c r="D732" s="13"/>
      <c r="F732" s="14"/>
      <c r="G732" s="14"/>
      <c r="H732" s="14"/>
      <c r="I732" s="14"/>
      <c r="J732" s="14"/>
      <c r="K732" s="12"/>
    </row>
    <row r="733" ht="19.5" customHeight="1">
      <c r="A733" s="12"/>
      <c r="C733" s="12"/>
      <c r="D733" s="13"/>
      <c r="F733" s="14"/>
      <c r="G733" s="14"/>
      <c r="H733" s="14"/>
      <c r="I733" s="14"/>
      <c r="J733" s="14"/>
      <c r="K733" s="12"/>
    </row>
    <row r="734" ht="19.5" customHeight="1">
      <c r="A734" s="12"/>
      <c r="C734" s="12"/>
      <c r="D734" s="13"/>
      <c r="F734" s="14"/>
      <c r="G734" s="14"/>
      <c r="H734" s="14"/>
      <c r="I734" s="14"/>
      <c r="J734" s="14"/>
      <c r="K734" s="12"/>
    </row>
    <row r="735" ht="19.5" customHeight="1">
      <c r="A735" s="12"/>
      <c r="C735" s="12"/>
      <c r="D735" s="13"/>
      <c r="F735" s="14"/>
      <c r="G735" s="14"/>
      <c r="H735" s="14"/>
      <c r="I735" s="14"/>
      <c r="J735" s="14"/>
      <c r="K735" s="12"/>
    </row>
    <row r="736" ht="19.5" customHeight="1">
      <c r="A736" s="12"/>
      <c r="C736" s="12"/>
      <c r="D736" s="13"/>
      <c r="F736" s="14"/>
      <c r="G736" s="14"/>
      <c r="H736" s="14"/>
      <c r="I736" s="14"/>
      <c r="J736" s="14"/>
      <c r="K736" s="12"/>
    </row>
    <row r="737" ht="19.5" customHeight="1">
      <c r="A737" s="12"/>
      <c r="C737" s="12"/>
      <c r="D737" s="13"/>
      <c r="F737" s="14"/>
      <c r="G737" s="14"/>
      <c r="H737" s="14"/>
      <c r="I737" s="14"/>
      <c r="J737" s="14"/>
      <c r="K737" s="12"/>
    </row>
    <row r="738" ht="19.5" customHeight="1">
      <c r="A738" s="12"/>
      <c r="C738" s="12"/>
      <c r="D738" s="13"/>
      <c r="F738" s="14"/>
      <c r="G738" s="14"/>
      <c r="H738" s="14"/>
      <c r="I738" s="14"/>
      <c r="J738" s="14"/>
      <c r="K738" s="12"/>
    </row>
    <row r="739" ht="19.5" customHeight="1">
      <c r="A739" s="12"/>
      <c r="C739" s="12"/>
      <c r="D739" s="13"/>
      <c r="F739" s="14"/>
      <c r="G739" s="14"/>
      <c r="H739" s="14"/>
      <c r="I739" s="14"/>
      <c r="J739" s="14"/>
      <c r="K739" s="12"/>
    </row>
    <row r="740" ht="19.5" customHeight="1">
      <c r="A740" s="12"/>
      <c r="C740" s="12"/>
      <c r="D740" s="13"/>
      <c r="F740" s="14"/>
      <c r="G740" s="14"/>
      <c r="H740" s="14"/>
      <c r="I740" s="14"/>
      <c r="J740" s="14"/>
      <c r="K740" s="12"/>
    </row>
    <row r="741" ht="19.5" customHeight="1">
      <c r="A741" s="12"/>
      <c r="C741" s="12"/>
      <c r="D741" s="13"/>
      <c r="F741" s="14"/>
      <c r="G741" s="14"/>
      <c r="H741" s="14"/>
      <c r="I741" s="14"/>
      <c r="J741" s="14"/>
      <c r="K741" s="12"/>
    </row>
    <row r="742" ht="19.5" customHeight="1">
      <c r="A742" s="12"/>
      <c r="C742" s="12"/>
      <c r="D742" s="13"/>
      <c r="F742" s="14"/>
      <c r="G742" s="14"/>
      <c r="H742" s="14"/>
      <c r="I742" s="14"/>
      <c r="J742" s="14"/>
      <c r="K742" s="12"/>
    </row>
    <row r="743" ht="19.5" customHeight="1">
      <c r="A743" s="12"/>
      <c r="C743" s="12"/>
      <c r="D743" s="13"/>
      <c r="F743" s="14"/>
      <c r="G743" s="14"/>
      <c r="H743" s="14"/>
      <c r="I743" s="14"/>
      <c r="J743" s="14"/>
      <c r="K743" s="12"/>
    </row>
    <row r="744" ht="19.5" customHeight="1">
      <c r="A744" s="12"/>
      <c r="C744" s="12"/>
      <c r="D744" s="13"/>
      <c r="F744" s="14"/>
      <c r="G744" s="14"/>
      <c r="H744" s="14"/>
      <c r="I744" s="14"/>
      <c r="J744" s="14"/>
      <c r="K744" s="12"/>
    </row>
    <row r="745" ht="19.5" customHeight="1">
      <c r="A745" s="12"/>
      <c r="C745" s="12"/>
      <c r="D745" s="13"/>
      <c r="F745" s="14"/>
      <c r="G745" s="14"/>
      <c r="H745" s="14"/>
      <c r="I745" s="14"/>
      <c r="J745" s="14"/>
      <c r="K745" s="12"/>
    </row>
    <row r="746" ht="19.5" customHeight="1">
      <c r="A746" s="12"/>
      <c r="C746" s="12"/>
      <c r="D746" s="13"/>
      <c r="F746" s="14"/>
      <c r="G746" s="14"/>
      <c r="H746" s="14"/>
      <c r="I746" s="14"/>
      <c r="J746" s="14"/>
      <c r="K746" s="12"/>
    </row>
    <row r="747" ht="19.5" customHeight="1">
      <c r="A747" s="12"/>
      <c r="C747" s="12"/>
      <c r="D747" s="13"/>
      <c r="F747" s="14"/>
      <c r="G747" s="14"/>
      <c r="H747" s="14"/>
      <c r="I747" s="14"/>
      <c r="J747" s="14"/>
      <c r="K747" s="12"/>
    </row>
    <row r="748" ht="19.5" customHeight="1">
      <c r="A748" s="12"/>
      <c r="C748" s="12"/>
      <c r="D748" s="13"/>
      <c r="F748" s="14"/>
      <c r="G748" s="14"/>
      <c r="H748" s="14"/>
      <c r="I748" s="14"/>
      <c r="J748" s="14"/>
      <c r="K748" s="12"/>
    </row>
    <row r="749" ht="19.5" customHeight="1">
      <c r="A749" s="12"/>
      <c r="C749" s="12"/>
      <c r="D749" s="13"/>
      <c r="F749" s="14"/>
      <c r="G749" s="14"/>
      <c r="H749" s="14"/>
      <c r="I749" s="14"/>
      <c r="J749" s="14"/>
      <c r="K749" s="12"/>
    </row>
    <row r="750" ht="19.5" customHeight="1">
      <c r="A750" s="12"/>
      <c r="C750" s="12"/>
      <c r="D750" s="13"/>
      <c r="F750" s="14"/>
      <c r="G750" s="14"/>
      <c r="H750" s="14"/>
      <c r="I750" s="14"/>
      <c r="J750" s="14"/>
      <c r="K750" s="12"/>
    </row>
    <row r="751" ht="19.5" customHeight="1">
      <c r="A751" s="12"/>
      <c r="C751" s="12"/>
      <c r="D751" s="13"/>
      <c r="F751" s="14"/>
      <c r="G751" s="14"/>
      <c r="H751" s="14"/>
      <c r="I751" s="14"/>
      <c r="J751" s="14"/>
      <c r="K751" s="12"/>
    </row>
    <row r="752" ht="19.5" customHeight="1">
      <c r="A752" s="12"/>
      <c r="C752" s="12"/>
      <c r="D752" s="13"/>
      <c r="F752" s="14"/>
      <c r="G752" s="14"/>
      <c r="H752" s="14"/>
      <c r="I752" s="14"/>
      <c r="J752" s="14"/>
      <c r="K752" s="12"/>
    </row>
    <row r="753" ht="19.5" customHeight="1">
      <c r="A753" s="12"/>
      <c r="C753" s="12"/>
      <c r="D753" s="13"/>
      <c r="F753" s="14"/>
      <c r="G753" s="14"/>
      <c r="H753" s="14"/>
      <c r="I753" s="14"/>
      <c r="J753" s="14"/>
      <c r="K753" s="12"/>
    </row>
    <row r="754" ht="19.5" customHeight="1">
      <c r="A754" s="12"/>
      <c r="C754" s="12"/>
      <c r="D754" s="13"/>
      <c r="F754" s="14"/>
      <c r="G754" s="14"/>
      <c r="H754" s="14"/>
      <c r="I754" s="14"/>
      <c r="J754" s="14"/>
      <c r="K754" s="12"/>
    </row>
    <row r="755" ht="19.5" customHeight="1">
      <c r="A755" s="12"/>
      <c r="C755" s="12"/>
      <c r="D755" s="13"/>
      <c r="F755" s="14"/>
      <c r="G755" s="14"/>
      <c r="H755" s="14"/>
      <c r="I755" s="14"/>
      <c r="J755" s="14"/>
      <c r="K755" s="12"/>
    </row>
    <row r="756" ht="19.5" customHeight="1">
      <c r="A756" s="12"/>
      <c r="C756" s="12"/>
      <c r="D756" s="13"/>
      <c r="F756" s="14"/>
      <c r="G756" s="14"/>
      <c r="H756" s="14"/>
      <c r="I756" s="14"/>
      <c r="J756" s="14"/>
      <c r="K756" s="12"/>
    </row>
    <row r="757" ht="19.5" customHeight="1">
      <c r="A757" s="12"/>
      <c r="C757" s="12"/>
      <c r="D757" s="13"/>
      <c r="F757" s="14"/>
      <c r="G757" s="14"/>
      <c r="H757" s="14"/>
      <c r="I757" s="14"/>
      <c r="J757" s="14"/>
      <c r="K757" s="12"/>
    </row>
    <row r="758" ht="19.5" customHeight="1">
      <c r="A758" s="12"/>
      <c r="C758" s="12"/>
      <c r="D758" s="13"/>
      <c r="F758" s="14"/>
      <c r="G758" s="14"/>
      <c r="H758" s="14"/>
      <c r="I758" s="14"/>
      <c r="J758" s="14"/>
      <c r="K758" s="12"/>
    </row>
    <row r="759" ht="19.5" customHeight="1">
      <c r="A759" s="12"/>
      <c r="C759" s="12"/>
      <c r="D759" s="13"/>
      <c r="F759" s="14"/>
      <c r="G759" s="14"/>
      <c r="H759" s="14"/>
      <c r="I759" s="14"/>
      <c r="J759" s="14"/>
      <c r="K759" s="12"/>
    </row>
    <row r="760" ht="19.5" customHeight="1">
      <c r="A760" s="12"/>
      <c r="C760" s="12"/>
      <c r="D760" s="13"/>
      <c r="F760" s="14"/>
      <c r="G760" s="14"/>
      <c r="H760" s="14"/>
      <c r="I760" s="14"/>
      <c r="J760" s="14"/>
      <c r="K760" s="12"/>
    </row>
    <row r="761" ht="19.5" customHeight="1">
      <c r="A761" s="12"/>
      <c r="C761" s="12"/>
      <c r="D761" s="13"/>
      <c r="F761" s="14"/>
      <c r="G761" s="14"/>
      <c r="H761" s="14"/>
      <c r="I761" s="14"/>
      <c r="J761" s="14"/>
      <c r="K761" s="12"/>
    </row>
    <row r="762" ht="19.5" customHeight="1">
      <c r="A762" s="12"/>
      <c r="C762" s="12"/>
      <c r="D762" s="13"/>
      <c r="F762" s="14"/>
      <c r="G762" s="14"/>
      <c r="H762" s="14"/>
      <c r="I762" s="14"/>
      <c r="J762" s="14"/>
      <c r="K762" s="12"/>
    </row>
    <row r="763" ht="19.5" customHeight="1">
      <c r="A763" s="12"/>
      <c r="C763" s="12"/>
      <c r="D763" s="13"/>
      <c r="F763" s="14"/>
      <c r="G763" s="14"/>
      <c r="H763" s="14"/>
      <c r="I763" s="14"/>
      <c r="J763" s="14"/>
      <c r="K763" s="12"/>
    </row>
    <row r="764" ht="19.5" customHeight="1">
      <c r="A764" s="12"/>
      <c r="C764" s="12"/>
      <c r="D764" s="13"/>
      <c r="F764" s="14"/>
      <c r="G764" s="14"/>
      <c r="H764" s="14"/>
      <c r="I764" s="14"/>
      <c r="J764" s="14"/>
      <c r="K764" s="12"/>
    </row>
    <row r="765" ht="19.5" customHeight="1">
      <c r="A765" s="12"/>
      <c r="C765" s="12"/>
      <c r="D765" s="13"/>
      <c r="F765" s="14"/>
      <c r="G765" s="14"/>
      <c r="H765" s="14"/>
      <c r="I765" s="14"/>
      <c r="J765" s="14"/>
      <c r="K765" s="12"/>
    </row>
    <row r="766" ht="19.5" customHeight="1">
      <c r="A766" s="12"/>
      <c r="C766" s="12"/>
      <c r="D766" s="13"/>
      <c r="F766" s="14"/>
      <c r="G766" s="14"/>
      <c r="H766" s="14"/>
      <c r="I766" s="14"/>
      <c r="J766" s="14"/>
      <c r="K766" s="12"/>
    </row>
    <row r="767" ht="19.5" customHeight="1">
      <c r="A767" s="12"/>
      <c r="C767" s="12"/>
      <c r="D767" s="13"/>
      <c r="F767" s="14"/>
      <c r="G767" s="14"/>
      <c r="H767" s="14"/>
      <c r="I767" s="14"/>
      <c r="J767" s="14"/>
      <c r="K767" s="12"/>
    </row>
    <row r="768" ht="19.5" customHeight="1">
      <c r="A768" s="12"/>
      <c r="C768" s="12"/>
      <c r="D768" s="13"/>
      <c r="F768" s="14"/>
      <c r="G768" s="14"/>
      <c r="H768" s="14"/>
      <c r="I768" s="14"/>
      <c r="J768" s="14"/>
      <c r="K768" s="12"/>
    </row>
    <row r="769" ht="19.5" customHeight="1">
      <c r="A769" s="12"/>
      <c r="C769" s="12"/>
      <c r="D769" s="13"/>
      <c r="F769" s="14"/>
      <c r="G769" s="14"/>
      <c r="H769" s="14"/>
      <c r="I769" s="14"/>
      <c r="J769" s="14"/>
      <c r="K769" s="12"/>
    </row>
    <row r="770" ht="19.5" customHeight="1">
      <c r="A770" s="12"/>
      <c r="C770" s="12"/>
      <c r="D770" s="13"/>
      <c r="F770" s="14"/>
      <c r="G770" s="14"/>
      <c r="H770" s="14"/>
      <c r="I770" s="14"/>
      <c r="J770" s="14"/>
      <c r="K770" s="12"/>
    </row>
    <row r="771" ht="19.5" customHeight="1">
      <c r="A771" s="12"/>
      <c r="C771" s="12"/>
      <c r="D771" s="13"/>
      <c r="F771" s="14"/>
      <c r="G771" s="14"/>
      <c r="H771" s="14"/>
      <c r="I771" s="14"/>
      <c r="J771" s="14"/>
      <c r="K771" s="12"/>
    </row>
    <row r="772" ht="19.5" customHeight="1">
      <c r="A772" s="12"/>
      <c r="C772" s="12"/>
      <c r="D772" s="13"/>
      <c r="F772" s="14"/>
      <c r="G772" s="14"/>
      <c r="H772" s="14"/>
      <c r="I772" s="14"/>
      <c r="J772" s="14"/>
      <c r="K772" s="12"/>
    </row>
    <row r="773" ht="19.5" customHeight="1">
      <c r="A773" s="12"/>
      <c r="C773" s="12"/>
      <c r="D773" s="13"/>
      <c r="F773" s="14"/>
      <c r="G773" s="14"/>
      <c r="H773" s="14"/>
      <c r="I773" s="14"/>
      <c r="J773" s="14"/>
      <c r="K773" s="12"/>
    </row>
    <row r="774" ht="19.5" customHeight="1">
      <c r="A774" s="12"/>
      <c r="C774" s="12"/>
      <c r="D774" s="13"/>
      <c r="F774" s="14"/>
      <c r="G774" s="14"/>
      <c r="H774" s="14"/>
      <c r="I774" s="14"/>
      <c r="J774" s="14"/>
      <c r="K774" s="12"/>
    </row>
    <row r="775" ht="19.5" customHeight="1">
      <c r="A775" s="12"/>
      <c r="C775" s="12"/>
      <c r="D775" s="13"/>
      <c r="F775" s="14"/>
      <c r="G775" s="14"/>
      <c r="H775" s="14"/>
      <c r="I775" s="14"/>
      <c r="J775" s="14"/>
      <c r="K775" s="12"/>
    </row>
    <row r="776" ht="19.5" customHeight="1">
      <c r="A776" s="12"/>
      <c r="C776" s="12"/>
      <c r="D776" s="13"/>
      <c r="F776" s="14"/>
      <c r="G776" s="14"/>
      <c r="H776" s="14"/>
      <c r="I776" s="14"/>
      <c r="J776" s="14"/>
      <c r="K776" s="12"/>
    </row>
    <row r="777" ht="19.5" customHeight="1">
      <c r="A777" s="12"/>
      <c r="C777" s="12"/>
      <c r="D777" s="13"/>
      <c r="F777" s="14"/>
      <c r="G777" s="14"/>
      <c r="H777" s="14"/>
      <c r="I777" s="14"/>
      <c r="J777" s="14"/>
      <c r="K777" s="12"/>
    </row>
    <row r="778" ht="19.5" customHeight="1">
      <c r="A778" s="12"/>
      <c r="C778" s="12"/>
      <c r="D778" s="13"/>
      <c r="F778" s="14"/>
      <c r="G778" s="14"/>
      <c r="H778" s="14"/>
      <c r="I778" s="14"/>
      <c r="J778" s="14"/>
      <c r="K778" s="12"/>
    </row>
    <row r="779" ht="19.5" customHeight="1">
      <c r="A779" s="12"/>
      <c r="C779" s="12"/>
      <c r="D779" s="13"/>
      <c r="F779" s="14"/>
      <c r="G779" s="14"/>
      <c r="H779" s="14"/>
      <c r="I779" s="14"/>
      <c r="J779" s="14"/>
      <c r="K779" s="12"/>
    </row>
    <row r="780" ht="19.5" customHeight="1">
      <c r="A780" s="12"/>
      <c r="C780" s="12"/>
      <c r="D780" s="13"/>
      <c r="F780" s="14"/>
      <c r="G780" s="14"/>
      <c r="H780" s="14"/>
      <c r="I780" s="14"/>
      <c r="J780" s="14"/>
      <c r="K780" s="12"/>
    </row>
    <row r="781" ht="19.5" customHeight="1">
      <c r="A781" s="12"/>
      <c r="C781" s="12"/>
      <c r="D781" s="13"/>
      <c r="F781" s="14"/>
      <c r="G781" s="14"/>
      <c r="H781" s="14"/>
      <c r="I781" s="14"/>
      <c r="J781" s="14"/>
      <c r="K781" s="12"/>
    </row>
    <row r="782" ht="19.5" customHeight="1">
      <c r="A782" s="12"/>
      <c r="C782" s="12"/>
      <c r="D782" s="13"/>
      <c r="F782" s="14"/>
      <c r="G782" s="14"/>
      <c r="H782" s="14"/>
      <c r="I782" s="14"/>
      <c r="J782" s="14"/>
      <c r="K782" s="12"/>
    </row>
    <row r="783" ht="19.5" customHeight="1">
      <c r="A783" s="12"/>
      <c r="C783" s="12"/>
      <c r="D783" s="13"/>
      <c r="F783" s="14"/>
      <c r="G783" s="14"/>
      <c r="H783" s="14"/>
      <c r="I783" s="14"/>
      <c r="J783" s="14"/>
      <c r="K783" s="12"/>
    </row>
    <row r="784" ht="19.5" customHeight="1">
      <c r="A784" s="12"/>
      <c r="C784" s="12"/>
      <c r="D784" s="13"/>
      <c r="F784" s="14"/>
      <c r="G784" s="14"/>
      <c r="H784" s="14"/>
      <c r="I784" s="14"/>
      <c r="J784" s="14"/>
      <c r="K784" s="12"/>
    </row>
    <row r="785" ht="19.5" customHeight="1">
      <c r="A785" s="12"/>
      <c r="C785" s="12"/>
      <c r="D785" s="13"/>
      <c r="F785" s="14"/>
      <c r="G785" s="14"/>
      <c r="H785" s="14"/>
      <c r="I785" s="14"/>
      <c r="J785" s="14"/>
      <c r="K785" s="12"/>
    </row>
    <row r="786" ht="19.5" customHeight="1">
      <c r="A786" s="12"/>
      <c r="C786" s="12"/>
      <c r="D786" s="13"/>
      <c r="F786" s="14"/>
      <c r="G786" s="14"/>
      <c r="H786" s="14"/>
      <c r="I786" s="14"/>
      <c r="J786" s="14"/>
      <c r="K786" s="12"/>
    </row>
    <row r="787" ht="19.5" customHeight="1">
      <c r="A787" s="12"/>
      <c r="C787" s="12"/>
      <c r="D787" s="13"/>
      <c r="F787" s="14"/>
      <c r="G787" s="14"/>
      <c r="H787" s="14"/>
      <c r="I787" s="14"/>
      <c r="J787" s="14"/>
      <c r="K787" s="12"/>
    </row>
    <row r="788" ht="19.5" customHeight="1">
      <c r="A788" s="12"/>
      <c r="C788" s="12"/>
      <c r="D788" s="13"/>
      <c r="F788" s="14"/>
      <c r="G788" s="14"/>
      <c r="H788" s="14"/>
      <c r="I788" s="14"/>
      <c r="J788" s="14"/>
      <c r="K788" s="12"/>
    </row>
    <row r="789" ht="19.5" customHeight="1">
      <c r="A789" s="12"/>
      <c r="C789" s="12"/>
      <c r="D789" s="13"/>
      <c r="F789" s="14"/>
      <c r="G789" s="14"/>
      <c r="H789" s="14"/>
      <c r="I789" s="14"/>
      <c r="J789" s="14"/>
      <c r="K789" s="12"/>
    </row>
    <row r="790" ht="19.5" customHeight="1">
      <c r="A790" s="12"/>
      <c r="C790" s="12"/>
      <c r="D790" s="13"/>
      <c r="F790" s="14"/>
      <c r="G790" s="14"/>
      <c r="H790" s="14"/>
      <c r="I790" s="14"/>
      <c r="J790" s="14"/>
      <c r="K790" s="12"/>
    </row>
    <row r="791" ht="19.5" customHeight="1">
      <c r="A791" s="12"/>
      <c r="C791" s="12"/>
      <c r="D791" s="13"/>
      <c r="F791" s="14"/>
      <c r="G791" s="14"/>
      <c r="H791" s="14"/>
      <c r="I791" s="14"/>
      <c r="J791" s="14"/>
      <c r="K791" s="12"/>
    </row>
    <row r="792" ht="19.5" customHeight="1">
      <c r="A792" s="12"/>
      <c r="C792" s="12"/>
      <c r="D792" s="13"/>
      <c r="F792" s="14"/>
      <c r="G792" s="14"/>
      <c r="H792" s="14"/>
      <c r="I792" s="14"/>
      <c r="J792" s="14"/>
      <c r="K792" s="12"/>
    </row>
    <row r="793" ht="19.5" customHeight="1">
      <c r="A793" s="12"/>
      <c r="C793" s="12"/>
      <c r="D793" s="13"/>
      <c r="F793" s="14"/>
      <c r="G793" s="14"/>
      <c r="H793" s="14"/>
      <c r="I793" s="14"/>
      <c r="J793" s="14"/>
      <c r="K793" s="12"/>
    </row>
    <row r="794" ht="19.5" customHeight="1">
      <c r="A794" s="12"/>
      <c r="C794" s="12"/>
      <c r="D794" s="13"/>
      <c r="F794" s="14"/>
      <c r="G794" s="14"/>
      <c r="H794" s="14"/>
      <c r="I794" s="14"/>
      <c r="J794" s="14"/>
      <c r="K794" s="12"/>
    </row>
    <row r="795" ht="19.5" customHeight="1">
      <c r="A795" s="12"/>
      <c r="C795" s="12"/>
      <c r="D795" s="13"/>
      <c r="F795" s="14"/>
      <c r="G795" s="14"/>
      <c r="H795" s="14"/>
      <c r="I795" s="14"/>
      <c r="J795" s="14"/>
      <c r="K795" s="12"/>
    </row>
    <row r="796" ht="19.5" customHeight="1">
      <c r="A796" s="12"/>
      <c r="C796" s="12"/>
      <c r="D796" s="13"/>
      <c r="F796" s="14"/>
      <c r="G796" s="14"/>
      <c r="H796" s="14"/>
      <c r="I796" s="14"/>
      <c r="J796" s="14"/>
      <c r="K796" s="12"/>
    </row>
    <row r="797" ht="19.5" customHeight="1">
      <c r="A797" s="12"/>
      <c r="C797" s="12"/>
      <c r="D797" s="13"/>
      <c r="F797" s="14"/>
      <c r="G797" s="14"/>
      <c r="H797" s="14"/>
      <c r="I797" s="14"/>
      <c r="J797" s="14"/>
      <c r="K797" s="12"/>
    </row>
    <row r="798" ht="19.5" customHeight="1">
      <c r="A798" s="12"/>
      <c r="C798" s="12"/>
      <c r="D798" s="13"/>
      <c r="F798" s="14"/>
      <c r="G798" s="14"/>
      <c r="H798" s="14"/>
      <c r="I798" s="14"/>
      <c r="J798" s="14"/>
      <c r="K798" s="12"/>
    </row>
    <row r="799" ht="19.5" customHeight="1">
      <c r="A799" s="12"/>
      <c r="C799" s="12"/>
      <c r="D799" s="13"/>
      <c r="F799" s="14"/>
      <c r="G799" s="14"/>
      <c r="H799" s="14"/>
      <c r="I799" s="14"/>
      <c r="J799" s="14"/>
      <c r="K799" s="12"/>
    </row>
    <row r="800" ht="19.5" customHeight="1">
      <c r="A800" s="12"/>
      <c r="C800" s="12"/>
      <c r="D800" s="13"/>
      <c r="F800" s="14"/>
      <c r="G800" s="14"/>
      <c r="H800" s="14"/>
      <c r="I800" s="14"/>
      <c r="J800" s="14"/>
      <c r="K800" s="12"/>
    </row>
    <row r="801" ht="19.5" customHeight="1">
      <c r="A801" s="12"/>
      <c r="C801" s="12"/>
      <c r="D801" s="13"/>
      <c r="F801" s="14"/>
      <c r="G801" s="14"/>
      <c r="H801" s="14"/>
      <c r="I801" s="14"/>
      <c r="J801" s="14"/>
      <c r="K801" s="12"/>
    </row>
    <row r="802" ht="19.5" customHeight="1">
      <c r="A802" s="12"/>
      <c r="C802" s="12"/>
      <c r="D802" s="13"/>
      <c r="F802" s="14"/>
      <c r="G802" s="14"/>
      <c r="H802" s="14"/>
      <c r="I802" s="14"/>
      <c r="J802" s="14"/>
      <c r="K802" s="12"/>
    </row>
    <row r="803" ht="19.5" customHeight="1">
      <c r="A803" s="12"/>
      <c r="C803" s="12"/>
      <c r="D803" s="13"/>
      <c r="F803" s="14"/>
      <c r="G803" s="14"/>
      <c r="H803" s="14"/>
      <c r="I803" s="14"/>
      <c r="J803" s="14"/>
      <c r="K803" s="12"/>
    </row>
    <row r="804" ht="19.5" customHeight="1">
      <c r="A804" s="12"/>
      <c r="C804" s="12"/>
      <c r="D804" s="13"/>
      <c r="F804" s="14"/>
      <c r="G804" s="14"/>
      <c r="H804" s="14"/>
      <c r="I804" s="14"/>
      <c r="J804" s="14"/>
      <c r="K804" s="12"/>
    </row>
    <row r="805" ht="19.5" customHeight="1">
      <c r="A805" s="12"/>
      <c r="C805" s="12"/>
      <c r="D805" s="13"/>
      <c r="F805" s="14"/>
      <c r="G805" s="14"/>
      <c r="H805" s="14"/>
      <c r="I805" s="14"/>
      <c r="J805" s="14"/>
      <c r="K805" s="12"/>
    </row>
    <row r="806" ht="19.5" customHeight="1">
      <c r="A806" s="12"/>
      <c r="C806" s="12"/>
      <c r="D806" s="13"/>
      <c r="F806" s="14"/>
      <c r="G806" s="14"/>
      <c r="H806" s="14"/>
      <c r="I806" s="14"/>
      <c r="J806" s="14"/>
      <c r="K806" s="12"/>
    </row>
    <row r="807" ht="19.5" customHeight="1">
      <c r="A807" s="12"/>
      <c r="C807" s="12"/>
      <c r="D807" s="13"/>
      <c r="F807" s="14"/>
      <c r="G807" s="14"/>
      <c r="H807" s="14"/>
      <c r="I807" s="14"/>
      <c r="J807" s="14"/>
      <c r="K807" s="12"/>
    </row>
    <row r="808" ht="19.5" customHeight="1">
      <c r="A808" s="12"/>
      <c r="C808" s="12"/>
      <c r="D808" s="13"/>
      <c r="F808" s="14"/>
      <c r="G808" s="14"/>
      <c r="H808" s="14"/>
      <c r="I808" s="14"/>
      <c r="J808" s="14"/>
      <c r="K808" s="12"/>
    </row>
    <row r="809" ht="19.5" customHeight="1">
      <c r="A809" s="12"/>
      <c r="C809" s="12"/>
      <c r="D809" s="13"/>
      <c r="F809" s="14"/>
      <c r="G809" s="14"/>
      <c r="H809" s="14"/>
      <c r="I809" s="14"/>
      <c r="J809" s="14"/>
      <c r="K809" s="12"/>
    </row>
    <row r="810" ht="19.5" customHeight="1">
      <c r="A810" s="12"/>
      <c r="C810" s="12"/>
      <c r="D810" s="13"/>
      <c r="F810" s="14"/>
      <c r="G810" s="14"/>
      <c r="H810" s="14"/>
      <c r="I810" s="14"/>
      <c r="J810" s="14"/>
      <c r="K810" s="12"/>
    </row>
    <row r="811" ht="19.5" customHeight="1">
      <c r="A811" s="12"/>
      <c r="C811" s="12"/>
      <c r="D811" s="13"/>
      <c r="F811" s="14"/>
      <c r="G811" s="14"/>
      <c r="H811" s="14"/>
      <c r="I811" s="14"/>
      <c r="J811" s="14"/>
      <c r="K811" s="12"/>
    </row>
    <row r="812" ht="19.5" customHeight="1">
      <c r="A812" s="12"/>
      <c r="C812" s="12"/>
      <c r="D812" s="13"/>
      <c r="F812" s="14"/>
      <c r="G812" s="14"/>
      <c r="H812" s="14"/>
      <c r="I812" s="14"/>
      <c r="J812" s="14"/>
      <c r="K812" s="12"/>
    </row>
    <row r="813" ht="19.5" customHeight="1">
      <c r="A813" s="12"/>
      <c r="C813" s="12"/>
      <c r="D813" s="13"/>
      <c r="F813" s="14"/>
      <c r="G813" s="14"/>
      <c r="H813" s="14"/>
      <c r="I813" s="14"/>
      <c r="J813" s="14"/>
      <c r="K813" s="12"/>
    </row>
    <row r="814" ht="19.5" customHeight="1">
      <c r="A814" s="12"/>
      <c r="C814" s="12"/>
      <c r="D814" s="13"/>
      <c r="F814" s="14"/>
      <c r="G814" s="14"/>
      <c r="H814" s="14"/>
      <c r="I814" s="14"/>
      <c r="J814" s="14"/>
      <c r="K814" s="12"/>
    </row>
    <row r="815" ht="19.5" customHeight="1">
      <c r="A815" s="12"/>
      <c r="C815" s="12"/>
      <c r="D815" s="13"/>
      <c r="F815" s="14"/>
      <c r="G815" s="14"/>
      <c r="H815" s="14"/>
      <c r="I815" s="14"/>
      <c r="J815" s="14"/>
      <c r="K815" s="12"/>
    </row>
    <row r="816" ht="19.5" customHeight="1">
      <c r="A816" s="12"/>
      <c r="C816" s="12"/>
      <c r="D816" s="13"/>
      <c r="F816" s="14"/>
      <c r="G816" s="14"/>
      <c r="H816" s="14"/>
      <c r="I816" s="14"/>
      <c r="J816" s="14"/>
      <c r="K816" s="12"/>
    </row>
    <row r="817" ht="19.5" customHeight="1">
      <c r="A817" s="12"/>
      <c r="C817" s="12"/>
      <c r="D817" s="13"/>
      <c r="F817" s="14"/>
      <c r="G817" s="14"/>
      <c r="H817" s="14"/>
      <c r="I817" s="14"/>
      <c r="J817" s="14"/>
      <c r="K817" s="12"/>
    </row>
    <row r="818" ht="19.5" customHeight="1">
      <c r="A818" s="12"/>
      <c r="C818" s="12"/>
      <c r="D818" s="13"/>
      <c r="F818" s="14"/>
      <c r="G818" s="14"/>
      <c r="H818" s="14"/>
      <c r="I818" s="14"/>
      <c r="J818" s="14"/>
      <c r="K818" s="12"/>
    </row>
    <row r="819" ht="19.5" customHeight="1">
      <c r="A819" s="12"/>
      <c r="C819" s="12"/>
      <c r="D819" s="13"/>
      <c r="F819" s="14"/>
      <c r="G819" s="14"/>
      <c r="H819" s="14"/>
      <c r="I819" s="14"/>
      <c r="J819" s="14"/>
      <c r="K819" s="12"/>
    </row>
    <row r="820" ht="19.5" customHeight="1">
      <c r="A820" s="12"/>
      <c r="C820" s="12"/>
      <c r="D820" s="13"/>
      <c r="F820" s="14"/>
      <c r="G820" s="14"/>
      <c r="H820" s="14"/>
      <c r="I820" s="14"/>
      <c r="J820" s="14"/>
      <c r="K820" s="12"/>
    </row>
    <row r="821" ht="19.5" customHeight="1">
      <c r="A821" s="12"/>
      <c r="C821" s="12"/>
      <c r="D821" s="13"/>
      <c r="F821" s="14"/>
      <c r="G821" s="14"/>
      <c r="H821" s="14"/>
      <c r="I821" s="14"/>
      <c r="J821" s="14"/>
      <c r="K821" s="12"/>
    </row>
    <row r="822" ht="19.5" customHeight="1">
      <c r="A822" s="12"/>
      <c r="C822" s="12"/>
      <c r="D822" s="13"/>
      <c r="F822" s="14"/>
      <c r="G822" s="14"/>
      <c r="H822" s="14"/>
      <c r="I822" s="14"/>
      <c r="J822" s="14"/>
      <c r="K822" s="12"/>
    </row>
    <row r="823" ht="19.5" customHeight="1">
      <c r="A823" s="12"/>
      <c r="C823" s="12"/>
      <c r="D823" s="13"/>
      <c r="F823" s="14"/>
      <c r="G823" s="14"/>
      <c r="H823" s="14"/>
      <c r="I823" s="14"/>
      <c r="J823" s="14"/>
      <c r="K823" s="12"/>
    </row>
    <row r="824" ht="19.5" customHeight="1">
      <c r="A824" s="12"/>
      <c r="C824" s="12"/>
      <c r="D824" s="13"/>
      <c r="F824" s="14"/>
      <c r="G824" s="14"/>
      <c r="H824" s="14"/>
      <c r="I824" s="14"/>
      <c r="J824" s="14"/>
      <c r="K824" s="12"/>
    </row>
    <row r="825" ht="19.5" customHeight="1">
      <c r="A825" s="12"/>
      <c r="C825" s="12"/>
      <c r="D825" s="13"/>
      <c r="F825" s="14"/>
      <c r="G825" s="14"/>
      <c r="H825" s="14"/>
      <c r="I825" s="14"/>
      <c r="J825" s="14"/>
      <c r="K825" s="12"/>
    </row>
    <row r="826" ht="19.5" customHeight="1">
      <c r="A826" s="12"/>
      <c r="C826" s="12"/>
      <c r="D826" s="13"/>
      <c r="F826" s="14"/>
      <c r="G826" s="14"/>
      <c r="H826" s="14"/>
      <c r="I826" s="14"/>
      <c r="J826" s="14"/>
      <c r="K826" s="12"/>
    </row>
    <row r="827" ht="19.5" customHeight="1">
      <c r="A827" s="12"/>
      <c r="C827" s="12"/>
      <c r="D827" s="13"/>
      <c r="F827" s="14"/>
      <c r="G827" s="14"/>
      <c r="H827" s="14"/>
      <c r="I827" s="14"/>
      <c r="J827" s="14"/>
      <c r="K827" s="12"/>
    </row>
    <row r="828" ht="19.5" customHeight="1">
      <c r="A828" s="12"/>
      <c r="C828" s="12"/>
      <c r="D828" s="13"/>
      <c r="F828" s="14"/>
      <c r="G828" s="14"/>
      <c r="H828" s="14"/>
      <c r="I828" s="14"/>
      <c r="J828" s="14"/>
      <c r="K828" s="12"/>
    </row>
    <row r="829" ht="19.5" customHeight="1">
      <c r="A829" s="12"/>
      <c r="C829" s="12"/>
      <c r="D829" s="13"/>
      <c r="F829" s="14"/>
      <c r="G829" s="14"/>
      <c r="H829" s="14"/>
      <c r="I829" s="14"/>
      <c r="J829" s="14"/>
      <c r="K829" s="12"/>
    </row>
    <row r="830" ht="19.5" customHeight="1">
      <c r="A830" s="12"/>
      <c r="C830" s="12"/>
      <c r="D830" s="13"/>
      <c r="F830" s="14"/>
      <c r="G830" s="14"/>
      <c r="H830" s="14"/>
      <c r="I830" s="14"/>
      <c r="J830" s="14"/>
      <c r="K830" s="12"/>
    </row>
    <row r="831" ht="19.5" customHeight="1">
      <c r="A831" s="12"/>
      <c r="C831" s="12"/>
      <c r="D831" s="13"/>
      <c r="F831" s="14"/>
      <c r="G831" s="14"/>
      <c r="H831" s="14"/>
      <c r="I831" s="14"/>
      <c r="J831" s="14"/>
      <c r="K831" s="12"/>
    </row>
    <row r="832" ht="19.5" customHeight="1">
      <c r="A832" s="12"/>
      <c r="C832" s="12"/>
      <c r="D832" s="13"/>
      <c r="F832" s="14"/>
      <c r="G832" s="14"/>
      <c r="H832" s="14"/>
      <c r="I832" s="14"/>
      <c r="J832" s="14"/>
      <c r="K832" s="12"/>
    </row>
    <row r="833" ht="19.5" customHeight="1">
      <c r="A833" s="12"/>
      <c r="C833" s="12"/>
      <c r="D833" s="13"/>
      <c r="F833" s="14"/>
      <c r="G833" s="14"/>
      <c r="H833" s="14"/>
      <c r="I833" s="14"/>
      <c r="J833" s="14"/>
      <c r="K833" s="12"/>
    </row>
    <row r="834" ht="19.5" customHeight="1">
      <c r="A834" s="12"/>
      <c r="C834" s="12"/>
      <c r="D834" s="13"/>
      <c r="F834" s="14"/>
      <c r="G834" s="14"/>
      <c r="H834" s="14"/>
      <c r="I834" s="14"/>
      <c r="J834" s="14"/>
      <c r="K834" s="12"/>
    </row>
    <row r="835" ht="19.5" customHeight="1">
      <c r="A835" s="12"/>
      <c r="C835" s="12"/>
      <c r="D835" s="13"/>
      <c r="F835" s="14"/>
      <c r="G835" s="14"/>
      <c r="H835" s="14"/>
      <c r="I835" s="14"/>
      <c r="J835" s="14"/>
      <c r="K835" s="12"/>
    </row>
    <row r="836" ht="19.5" customHeight="1">
      <c r="A836" s="12"/>
      <c r="C836" s="12"/>
      <c r="D836" s="13"/>
      <c r="F836" s="14"/>
      <c r="G836" s="14"/>
      <c r="H836" s="14"/>
      <c r="I836" s="14"/>
      <c r="J836" s="14"/>
      <c r="K836" s="12"/>
    </row>
    <row r="837" ht="19.5" customHeight="1">
      <c r="A837" s="12"/>
      <c r="C837" s="12"/>
      <c r="D837" s="13"/>
      <c r="F837" s="14"/>
      <c r="G837" s="14"/>
      <c r="H837" s="14"/>
      <c r="I837" s="14"/>
      <c r="J837" s="14"/>
      <c r="K837" s="12"/>
    </row>
    <row r="838" ht="19.5" customHeight="1">
      <c r="A838" s="12"/>
      <c r="C838" s="12"/>
      <c r="D838" s="13"/>
      <c r="F838" s="14"/>
      <c r="G838" s="14"/>
      <c r="H838" s="14"/>
      <c r="I838" s="14"/>
      <c r="J838" s="14"/>
      <c r="K838" s="12"/>
    </row>
    <row r="839" ht="19.5" customHeight="1">
      <c r="A839" s="12"/>
      <c r="C839" s="12"/>
      <c r="D839" s="13"/>
      <c r="F839" s="14"/>
      <c r="G839" s="14"/>
      <c r="H839" s="14"/>
      <c r="I839" s="14"/>
      <c r="J839" s="14"/>
      <c r="K839" s="12"/>
    </row>
    <row r="840" ht="19.5" customHeight="1">
      <c r="A840" s="12"/>
      <c r="C840" s="12"/>
      <c r="D840" s="13"/>
      <c r="F840" s="14"/>
      <c r="G840" s="14"/>
      <c r="H840" s="14"/>
      <c r="I840" s="14"/>
      <c r="J840" s="14"/>
      <c r="K840" s="12"/>
    </row>
    <row r="841" ht="19.5" customHeight="1">
      <c r="A841" s="12"/>
      <c r="C841" s="12"/>
      <c r="D841" s="13"/>
      <c r="F841" s="14"/>
      <c r="G841" s="14"/>
      <c r="H841" s="14"/>
      <c r="I841" s="14"/>
      <c r="J841" s="14"/>
      <c r="K841" s="12"/>
    </row>
    <row r="842" ht="19.5" customHeight="1">
      <c r="A842" s="12"/>
      <c r="C842" s="12"/>
      <c r="D842" s="13"/>
      <c r="F842" s="14"/>
      <c r="G842" s="14"/>
      <c r="H842" s="14"/>
      <c r="I842" s="14"/>
      <c r="J842" s="14"/>
      <c r="K842" s="12"/>
    </row>
    <row r="843" ht="19.5" customHeight="1">
      <c r="A843" s="12"/>
      <c r="C843" s="12"/>
      <c r="D843" s="13"/>
      <c r="F843" s="14"/>
      <c r="G843" s="14"/>
      <c r="H843" s="14"/>
      <c r="I843" s="14"/>
      <c r="J843" s="14"/>
      <c r="K843" s="12"/>
    </row>
    <row r="844" ht="19.5" customHeight="1">
      <c r="A844" s="12"/>
      <c r="C844" s="12"/>
      <c r="D844" s="13"/>
      <c r="F844" s="14"/>
      <c r="G844" s="14"/>
      <c r="H844" s="14"/>
      <c r="I844" s="14"/>
      <c r="J844" s="14"/>
      <c r="K844" s="12"/>
    </row>
    <row r="845" ht="19.5" customHeight="1">
      <c r="A845" s="12"/>
      <c r="C845" s="12"/>
      <c r="D845" s="13"/>
      <c r="F845" s="14"/>
      <c r="G845" s="14"/>
      <c r="H845" s="14"/>
      <c r="I845" s="14"/>
      <c r="J845" s="14"/>
      <c r="K845" s="12"/>
    </row>
    <row r="846" ht="19.5" customHeight="1">
      <c r="A846" s="12"/>
      <c r="C846" s="12"/>
      <c r="D846" s="13"/>
      <c r="F846" s="14"/>
      <c r="G846" s="14"/>
      <c r="H846" s="14"/>
      <c r="I846" s="14"/>
      <c r="J846" s="14"/>
      <c r="K846" s="12"/>
    </row>
    <row r="847" ht="19.5" customHeight="1">
      <c r="A847" s="12"/>
      <c r="C847" s="12"/>
      <c r="D847" s="13"/>
      <c r="F847" s="14"/>
      <c r="G847" s="14"/>
      <c r="H847" s="14"/>
      <c r="I847" s="14"/>
      <c r="J847" s="14"/>
      <c r="K847" s="12"/>
    </row>
    <row r="848" ht="19.5" customHeight="1">
      <c r="A848" s="12"/>
      <c r="C848" s="12"/>
      <c r="D848" s="13"/>
      <c r="F848" s="14"/>
      <c r="G848" s="14"/>
      <c r="H848" s="14"/>
      <c r="I848" s="14"/>
      <c r="J848" s="14"/>
      <c r="K848" s="12"/>
    </row>
    <row r="849" ht="19.5" customHeight="1">
      <c r="A849" s="12"/>
      <c r="C849" s="12"/>
      <c r="D849" s="13"/>
      <c r="F849" s="14"/>
      <c r="G849" s="14"/>
      <c r="H849" s="14"/>
      <c r="I849" s="14"/>
      <c r="J849" s="14"/>
      <c r="K849" s="12"/>
    </row>
    <row r="850" ht="19.5" customHeight="1">
      <c r="A850" s="12"/>
      <c r="C850" s="12"/>
      <c r="D850" s="13"/>
      <c r="F850" s="14"/>
      <c r="G850" s="14"/>
      <c r="H850" s="14"/>
      <c r="I850" s="14"/>
      <c r="J850" s="14"/>
      <c r="K850" s="12"/>
    </row>
    <row r="851" ht="19.5" customHeight="1">
      <c r="A851" s="12"/>
      <c r="C851" s="12"/>
      <c r="D851" s="13"/>
      <c r="F851" s="14"/>
      <c r="G851" s="14"/>
      <c r="H851" s="14"/>
      <c r="I851" s="14"/>
      <c r="J851" s="14"/>
      <c r="K851" s="12"/>
    </row>
    <row r="852" ht="19.5" customHeight="1">
      <c r="A852" s="12"/>
      <c r="C852" s="12"/>
      <c r="D852" s="13"/>
      <c r="F852" s="14"/>
      <c r="G852" s="14"/>
      <c r="H852" s="14"/>
      <c r="I852" s="14"/>
      <c r="J852" s="14"/>
      <c r="K852" s="12"/>
    </row>
    <row r="853" ht="19.5" customHeight="1">
      <c r="A853" s="12"/>
      <c r="C853" s="12"/>
      <c r="D853" s="13"/>
      <c r="F853" s="14"/>
      <c r="G853" s="14"/>
      <c r="H853" s="14"/>
      <c r="I853" s="14"/>
      <c r="J853" s="14"/>
      <c r="K853" s="12"/>
    </row>
    <row r="854" ht="19.5" customHeight="1">
      <c r="A854" s="12"/>
      <c r="C854" s="12"/>
      <c r="D854" s="13"/>
      <c r="F854" s="14"/>
      <c r="G854" s="14"/>
      <c r="H854" s="14"/>
      <c r="I854" s="14"/>
      <c r="J854" s="14"/>
      <c r="K854" s="12"/>
    </row>
    <row r="855" ht="19.5" customHeight="1">
      <c r="A855" s="12"/>
      <c r="C855" s="12"/>
      <c r="D855" s="13"/>
      <c r="F855" s="14"/>
      <c r="G855" s="14"/>
      <c r="H855" s="14"/>
      <c r="I855" s="14"/>
      <c r="J855" s="14"/>
      <c r="K855" s="12"/>
    </row>
    <row r="856" ht="19.5" customHeight="1">
      <c r="A856" s="12"/>
      <c r="C856" s="12"/>
      <c r="D856" s="13"/>
      <c r="F856" s="14"/>
      <c r="G856" s="14"/>
      <c r="H856" s="14"/>
      <c r="I856" s="14"/>
      <c r="J856" s="14"/>
      <c r="K856" s="12"/>
    </row>
    <row r="857" ht="19.5" customHeight="1">
      <c r="A857" s="12"/>
      <c r="C857" s="12"/>
      <c r="D857" s="13"/>
      <c r="F857" s="14"/>
      <c r="G857" s="14"/>
      <c r="H857" s="14"/>
      <c r="I857" s="14"/>
      <c r="J857" s="14"/>
      <c r="K857" s="12"/>
    </row>
    <row r="858" ht="19.5" customHeight="1">
      <c r="A858" s="12"/>
      <c r="C858" s="12"/>
      <c r="D858" s="13"/>
      <c r="F858" s="14"/>
      <c r="G858" s="14"/>
      <c r="H858" s="14"/>
      <c r="I858" s="14"/>
      <c r="J858" s="14"/>
      <c r="K858" s="12"/>
    </row>
    <row r="859" ht="19.5" customHeight="1">
      <c r="A859" s="12"/>
      <c r="C859" s="12"/>
      <c r="D859" s="13"/>
      <c r="F859" s="14"/>
      <c r="G859" s="14"/>
      <c r="H859" s="14"/>
      <c r="I859" s="14"/>
      <c r="J859" s="14"/>
      <c r="K859" s="12"/>
    </row>
    <row r="860" ht="19.5" customHeight="1">
      <c r="A860" s="12"/>
      <c r="C860" s="12"/>
      <c r="D860" s="13"/>
      <c r="F860" s="14"/>
      <c r="G860" s="14"/>
      <c r="H860" s="14"/>
      <c r="I860" s="14"/>
      <c r="J860" s="14"/>
      <c r="K860" s="12"/>
    </row>
    <row r="861" ht="19.5" customHeight="1">
      <c r="A861" s="12"/>
      <c r="C861" s="12"/>
      <c r="D861" s="13"/>
      <c r="F861" s="14"/>
      <c r="G861" s="14"/>
      <c r="H861" s="14"/>
      <c r="I861" s="14"/>
      <c r="J861" s="14"/>
      <c r="K861" s="12"/>
    </row>
    <row r="862" ht="19.5" customHeight="1">
      <c r="A862" s="12"/>
      <c r="C862" s="12"/>
      <c r="D862" s="13"/>
      <c r="F862" s="14"/>
      <c r="G862" s="14"/>
      <c r="H862" s="14"/>
      <c r="I862" s="14"/>
      <c r="J862" s="14"/>
      <c r="K862" s="12"/>
    </row>
    <row r="863" ht="19.5" customHeight="1">
      <c r="A863" s="12"/>
      <c r="C863" s="12"/>
      <c r="D863" s="13"/>
      <c r="F863" s="14"/>
      <c r="G863" s="14"/>
      <c r="H863" s="14"/>
      <c r="I863" s="14"/>
      <c r="J863" s="14"/>
      <c r="K863" s="12"/>
    </row>
    <row r="864" ht="19.5" customHeight="1">
      <c r="A864" s="12"/>
      <c r="C864" s="12"/>
      <c r="D864" s="13"/>
      <c r="F864" s="14"/>
      <c r="G864" s="14"/>
      <c r="H864" s="14"/>
      <c r="I864" s="14"/>
      <c r="J864" s="14"/>
      <c r="K864" s="12"/>
    </row>
    <row r="865" ht="19.5" customHeight="1">
      <c r="A865" s="12"/>
      <c r="C865" s="12"/>
      <c r="D865" s="13"/>
      <c r="F865" s="14"/>
      <c r="G865" s="14"/>
      <c r="H865" s="14"/>
      <c r="I865" s="14"/>
      <c r="J865" s="14"/>
      <c r="K865" s="12"/>
    </row>
    <row r="866" ht="19.5" customHeight="1">
      <c r="A866" s="12"/>
      <c r="C866" s="12"/>
      <c r="D866" s="13"/>
      <c r="F866" s="14"/>
      <c r="G866" s="14"/>
      <c r="H866" s="14"/>
      <c r="I866" s="14"/>
      <c r="J866" s="14"/>
      <c r="K866" s="12"/>
    </row>
    <row r="867" ht="19.5" customHeight="1">
      <c r="A867" s="12"/>
      <c r="C867" s="12"/>
      <c r="D867" s="13"/>
      <c r="F867" s="14"/>
      <c r="G867" s="14"/>
      <c r="H867" s="14"/>
      <c r="I867" s="14"/>
      <c r="J867" s="14"/>
      <c r="K867" s="12"/>
    </row>
    <row r="868" ht="19.5" customHeight="1">
      <c r="A868" s="12"/>
      <c r="C868" s="12"/>
      <c r="D868" s="13"/>
      <c r="F868" s="14"/>
      <c r="G868" s="14"/>
      <c r="H868" s="14"/>
      <c r="I868" s="14"/>
      <c r="J868" s="14"/>
      <c r="K868" s="12"/>
    </row>
    <row r="869" ht="19.5" customHeight="1">
      <c r="A869" s="12"/>
      <c r="C869" s="12"/>
      <c r="D869" s="13"/>
      <c r="F869" s="14"/>
      <c r="G869" s="14"/>
      <c r="H869" s="14"/>
      <c r="I869" s="14"/>
      <c r="J869" s="14"/>
      <c r="K869" s="12"/>
    </row>
    <row r="870" ht="19.5" customHeight="1">
      <c r="A870" s="12"/>
      <c r="C870" s="12"/>
      <c r="D870" s="13"/>
      <c r="F870" s="14"/>
      <c r="G870" s="14"/>
      <c r="H870" s="14"/>
      <c r="I870" s="14"/>
      <c r="J870" s="14"/>
      <c r="K870" s="12"/>
    </row>
    <row r="871" ht="19.5" customHeight="1">
      <c r="A871" s="12"/>
      <c r="C871" s="12"/>
      <c r="D871" s="13"/>
      <c r="F871" s="14"/>
      <c r="G871" s="14"/>
      <c r="H871" s="14"/>
      <c r="I871" s="14"/>
      <c r="J871" s="14"/>
      <c r="K871" s="12"/>
    </row>
    <row r="872" ht="19.5" customHeight="1">
      <c r="A872" s="12"/>
      <c r="C872" s="12"/>
      <c r="D872" s="13"/>
      <c r="F872" s="14"/>
      <c r="G872" s="14"/>
      <c r="H872" s="14"/>
      <c r="I872" s="14"/>
      <c r="J872" s="14"/>
      <c r="K872" s="12"/>
    </row>
    <row r="873" ht="19.5" customHeight="1">
      <c r="A873" s="12"/>
      <c r="C873" s="12"/>
      <c r="D873" s="13"/>
      <c r="F873" s="14"/>
      <c r="G873" s="14"/>
      <c r="H873" s="14"/>
      <c r="I873" s="14"/>
      <c r="J873" s="14"/>
      <c r="K873" s="12"/>
    </row>
    <row r="874" ht="19.5" customHeight="1">
      <c r="A874" s="12"/>
      <c r="C874" s="12"/>
      <c r="D874" s="13"/>
      <c r="F874" s="14"/>
      <c r="G874" s="14"/>
      <c r="H874" s="14"/>
      <c r="I874" s="14"/>
      <c r="J874" s="14"/>
      <c r="K874" s="12"/>
    </row>
    <row r="875" ht="19.5" customHeight="1">
      <c r="A875" s="12"/>
      <c r="C875" s="12"/>
      <c r="D875" s="13"/>
      <c r="F875" s="14"/>
      <c r="G875" s="14"/>
      <c r="H875" s="14"/>
      <c r="I875" s="14"/>
      <c r="J875" s="14"/>
      <c r="K875" s="12"/>
    </row>
    <row r="876" ht="19.5" customHeight="1">
      <c r="A876" s="12"/>
      <c r="C876" s="12"/>
      <c r="D876" s="13"/>
      <c r="F876" s="14"/>
      <c r="G876" s="14"/>
      <c r="H876" s="14"/>
      <c r="I876" s="14"/>
      <c r="J876" s="14"/>
      <c r="K876" s="12"/>
    </row>
    <row r="877" ht="19.5" customHeight="1">
      <c r="A877" s="12"/>
      <c r="C877" s="12"/>
      <c r="D877" s="13"/>
      <c r="F877" s="14"/>
      <c r="G877" s="14"/>
      <c r="H877" s="14"/>
      <c r="I877" s="14"/>
      <c r="J877" s="14"/>
      <c r="K877" s="12"/>
    </row>
    <row r="878" ht="19.5" customHeight="1">
      <c r="A878" s="12"/>
      <c r="C878" s="12"/>
      <c r="D878" s="13"/>
      <c r="F878" s="14"/>
      <c r="G878" s="14"/>
      <c r="H878" s="14"/>
      <c r="I878" s="14"/>
      <c r="J878" s="14"/>
      <c r="K878" s="12"/>
    </row>
    <row r="879" ht="19.5" customHeight="1">
      <c r="A879" s="12"/>
      <c r="C879" s="12"/>
      <c r="D879" s="13"/>
      <c r="F879" s="14"/>
      <c r="G879" s="14"/>
      <c r="H879" s="14"/>
      <c r="I879" s="14"/>
      <c r="J879" s="14"/>
      <c r="K879" s="12"/>
    </row>
    <row r="880" ht="19.5" customHeight="1">
      <c r="A880" s="12"/>
      <c r="C880" s="12"/>
      <c r="D880" s="13"/>
      <c r="F880" s="14"/>
      <c r="G880" s="14"/>
      <c r="H880" s="14"/>
      <c r="I880" s="14"/>
      <c r="J880" s="14"/>
      <c r="K880" s="12"/>
    </row>
    <row r="881" ht="19.5" customHeight="1">
      <c r="A881" s="12"/>
      <c r="C881" s="12"/>
      <c r="D881" s="13"/>
      <c r="F881" s="14"/>
      <c r="G881" s="14"/>
      <c r="H881" s="14"/>
      <c r="I881" s="14"/>
      <c r="J881" s="14"/>
      <c r="K881" s="12"/>
    </row>
    <row r="882" ht="19.5" customHeight="1">
      <c r="A882" s="12"/>
      <c r="C882" s="12"/>
      <c r="D882" s="13"/>
      <c r="F882" s="14"/>
      <c r="G882" s="14"/>
      <c r="H882" s="14"/>
      <c r="I882" s="14"/>
      <c r="J882" s="14"/>
      <c r="K882" s="12"/>
    </row>
    <row r="883" ht="19.5" customHeight="1">
      <c r="A883" s="12"/>
      <c r="C883" s="12"/>
      <c r="D883" s="13"/>
      <c r="F883" s="14"/>
      <c r="G883" s="14"/>
      <c r="H883" s="14"/>
      <c r="I883" s="14"/>
      <c r="J883" s="14"/>
      <c r="K883" s="12"/>
    </row>
    <row r="884" ht="19.5" customHeight="1">
      <c r="A884" s="12"/>
      <c r="C884" s="12"/>
      <c r="D884" s="13"/>
      <c r="F884" s="14"/>
      <c r="G884" s="14"/>
      <c r="H884" s="14"/>
      <c r="I884" s="14"/>
      <c r="J884" s="14"/>
      <c r="K884" s="12"/>
    </row>
    <row r="885" ht="19.5" customHeight="1">
      <c r="A885" s="12"/>
      <c r="C885" s="12"/>
      <c r="D885" s="13"/>
      <c r="F885" s="14"/>
      <c r="G885" s="14"/>
      <c r="H885" s="14"/>
      <c r="I885" s="14"/>
      <c r="J885" s="14"/>
      <c r="K885" s="12"/>
    </row>
    <row r="886" ht="19.5" customHeight="1">
      <c r="A886" s="12"/>
      <c r="C886" s="12"/>
      <c r="D886" s="13"/>
      <c r="F886" s="14"/>
      <c r="G886" s="14"/>
      <c r="H886" s="14"/>
      <c r="I886" s="14"/>
      <c r="J886" s="14"/>
      <c r="K886" s="12"/>
    </row>
    <row r="887" ht="19.5" customHeight="1">
      <c r="A887" s="12"/>
      <c r="C887" s="12"/>
      <c r="D887" s="13"/>
      <c r="F887" s="14"/>
      <c r="G887" s="14"/>
      <c r="H887" s="14"/>
      <c r="I887" s="14"/>
      <c r="J887" s="14"/>
      <c r="K887" s="12"/>
    </row>
    <row r="888" ht="19.5" customHeight="1">
      <c r="A888" s="12"/>
      <c r="C888" s="12"/>
      <c r="D888" s="13"/>
      <c r="F888" s="14"/>
      <c r="G888" s="14"/>
      <c r="H888" s="14"/>
      <c r="I888" s="14"/>
      <c r="J888" s="14"/>
      <c r="K888" s="12"/>
    </row>
    <row r="889" ht="19.5" customHeight="1">
      <c r="A889" s="12"/>
      <c r="C889" s="12"/>
      <c r="D889" s="13"/>
      <c r="F889" s="14"/>
      <c r="G889" s="14"/>
      <c r="H889" s="14"/>
      <c r="I889" s="14"/>
      <c r="J889" s="14"/>
      <c r="K889" s="12"/>
    </row>
    <row r="890" ht="19.5" customHeight="1">
      <c r="A890" s="12"/>
      <c r="C890" s="12"/>
      <c r="D890" s="13"/>
      <c r="F890" s="14"/>
      <c r="G890" s="14"/>
      <c r="H890" s="14"/>
      <c r="I890" s="14"/>
      <c r="J890" s="14"/>
      <c r="K890" s="12"/>
    </row>
    <row r="891" ht="19.5" customHeight="1">
      <c r="A891" s="12"/>
      <c r="C891" s="12"/>
      <c r="D891" s="13"/>
      <c r="F891" s="14"/>
      <c r="G891" s="14"/>
      <c r="H891" s="14"/>
      <c r="I891" s="14"/>
      <c r="J891" s="14"/>
      <c r="K891" s="12"/>
    </row>
    <row r="892" ht="19.5" customHeight="1">
      <c r="A892" s="12"/>
      <c r="C892" s="12"/>
      <c r="D892" s="13"/>
      <c r="F892" s="14"/>
      <c r="G892" s="14"/>
      <c r="H892" s="14"/>
      <c r="I892" s="14"/>
      <c r="J892" s="14"/>
      <c r="K892" s="12"/>
    </row>
    <row r="893" ht="19.5" customHeight="1">
      <c r="A893" s="12"/>
      <c r="C893" s="12"/>
      <c r="D893" s="13"/>
      <c r="F893" s="14"/>
      <c r="G893" s="14"/>
      <c r="H893" s="14"/>
      <c r="I893" s="14"/>
      <c r="J893" s="14"/>
      <c r="K893" s="12"/>
    </row>
    <row r="894" ht="19.5" customHeight="1">
      <c r="A894" s="12"/>
      <c r="C894" s="12"/>
      <c r="D894" s="13"/>
      <c r="F894" s="14"/>
      <c r="G894" s="14"/>
      <c r="H894" s="14"/>
      <c r="I894" s="14"/>
      <c r="J894" s="14"/>
      <c r="K894" s="12"/>
    </row>
    <row r="895" ht="19.5" customHeight="1">
      <c r="A895" s="12"/>
      <c r="C895" s="12"/>
      <c r="D895" s="13"/>
      <c r="F895" s="14"/>
      <c r="G895" s="14"/>
      <c r="H895" s="14"/>
      <c r="I895" s="14"/>
      <c r="J895" s="14"/>
      <c r="K895" s="12"/>
    </row>
    <row r="896" ht="19.5" customHeight="1">
      <c r="A896" s="12"/>
      <c r="C896" s="12"/>
      <c r="D896" s="13"/>
      <c r="F896" s="14"/>
      <c r="G896" s="14"/>
      <c r="H896" s="14"/>
      <c r="I896" s="14"/>
      <c r="J896" s="14"/>
      <c r="K896" s="12"/>
    </row>
    <row r="897" ht="19.5" customHeight="1">
      <c r="A897" s="12"/>
      <c r="C897" s="12"/>
      <c r="D897" s="13"/>
      <c r="F897" s="14"/>
      <c r="G897" s="14"/>
      <c r="H897" s="14"/>
      <c r="I897" s="14"/>
      <c r="J897" s="14"/>
      <c r="K897" s="12"/>
    </row>
    <row r="898" ht="19.5" customHeight="1">
      <c r="A898" s="12"/>
      <c r="C898" s="12"/>
      <c r="D898" s="13"/>
      <c r="F898" s="14"/>
      <c r="G898" s="14"/>
      <c r="H898" s="14"/>
      <c r="I898" s="14"/>
      <c r="J898" s="14"/>
      <c r="K898" s="12"/>
    </row>
    <row r="899" ht="19.5" customHeight="1">
      <c r="A899" s="12"/>
      <c r="C899" s="12"/>
      <c r="D899" s="13"/>
      <c r="F899" s="14"/>
      <c r="G899" s="14"/>
      <c r="H899" s="14"/>
      <c r="I899" s="14"/>
      <c r="J899" s="14"/>
      <c r="K899" s="12"/>
    </row>
    <row r="900" ht="19.5" customHeight="1">
      <c r="A900" s="12"/>
      <c r="C900" s="12"/>
      <c r="D900" s="13"/>
      <c r="F900" s="14"/>
      <c r="G900" s="14"/>
      <c r="H900" s="14"/>
      <c r="I900" s="14"/>
      <c r="J900" s="14"/>
      <c r="K900" s="12"/>
    </row>
    <row r="901" ht="19.5" customHeight="1">
      <c r="A901" s="12"/>
      <c r="C901" s="12"/>
      <c r="D901" s="13"/>
      <c r="F901" s="14"/>
      <c r="G901" s="14"/>
      <c r="H901" s="14"/>
      <c r="I901" s="14"/>
      <c r="J901" s="14"/>
      <c r="K901" s="12"/>
    </row>
    <row r="902" ht="19.5" customHeight="1">
      <c r="A902" s="12"/>
      <c r="C902" s="12"/>
      <c r="D902" s="13"/>
      <c r="F902" s="14"/>
      <c r="G902" s="14"/>
      <c r="H902" s="14"/>
      <c r="I902" s="14"/>
      <c r="J902" s="14"/>
      <c r="K902" s="12"/>
    </row>
    <row r="903" ht="19.5" customHeight="1">
      <c r="A903" s="12"/>
      <c r="C903" s="12"/>
      <c r="D903" s="13"/>
      <c r="F903" s="14"/>
      <c r="G903" s="14"/>
      <c r="H903" s="14"/>
      <c r="I903" s="14"/>
      <c r="J903" s="14"/>
      <c r="K903" s="12"/>
    </row>
    <row r="904" ht="19.5" customHeight="1">
      <c r="A904" s="12"/>
      <c r="C904" s="12"/>
      <c r="D904" s="13"/>
      <c r="F904" s="14"/>
      <c r="G904" s="14"/>
      <c r="H904" s="14"/>
      <c r="I904" s="14"/>
      <c r="J904" s="14"/>
      <c r="K904" s="12"/>
    </row>
    <row r="905" ht="19.5" customHeight="1">
      <c r="A905" s="12"/>
      <c r="C905" s="12"/>
      <c r="D905" s="13"/>
      <c r="F905" s="14"/>
      <c r="G905" s="14"/>
      <c r="H905" s="14"/>
      <c r="I905" s="14"/>
      <c r="J905" s="14"/>
      <c r="K905" s="12"/>
    </row>
    <row r="906" ht="19.5" customHeight="1">
      <c r="A906" s="12"/>
      <c r="C906" s="12"/>
      <c r="D906" s="13"/>
      <c r="F906" s="14"/>
      <c r="G906" s="14"/>
      <c r="H906" s="14"/>
      <c r="I906" s="14"/>
      <c r="J906" s="14"/>
      <c r="K906" s="12"/>
    </row>
    <row r="907" ht="19.5" customHeight="1">
      <c r="A907" s="12"/>
      <c r="C907" s="12"/>
      <c r="D907" s="13"/>
      <c r="F907" s="14"/>
      <c r="G907" s="14"/>
      <c r="H907" s="14"/>
      <c r="I907" s="14"/>
      <c r="J907" s="14"/>
      <c r="K907" s="12"/>
    </row>
    <row r="908" ht="19.5" customHeight="1">
      <c r="A908" s="12"/>
      <c r="C908" s="12"/>
      <c r="D908" s="13"/>
      <c r="F908" s="14"/>
      <c r="G908" s="14"/>
      <c r="H908" s="14"/>
      <c r="I908" s="14"/>
      <c r="J908" s="14"/>
      <c r="K908" s="12"/>
    </row>
    <row r="909" ht="19.5" customHeight="1">
      <c r="A909" s="12"/>
      <c r="C909" s="12"/>
      <c r="D909" s="13"/>
      <c r="F909" s="14"/>
      <c r="G909" s="14"/>
      <c r="H909" s="14"/>
      <c r="I909" s="14"/>
      <c r="J909" s="14"/>
      <c r="K909" s="12"/>
    </row>
    <row r="910" ht="19.5" customHeight="1">
      <c r="A910" s="12"/>
      <c r="C910" s="12"/>
      <c r="D910" s="13"/>
      <c r="F910" s="14"/>
      <c r="G910" s="14"/>
      <c r="H910" s="14"/>
      <c r="I910" s="14"/>
      <c r="J910" s="14"/>
      <c r="K910" s="12"/>
    </row>
    <row r="911" ht="19.5" customHeight="1">
      <c r="A911" s="12"/>
      <c r="C911" s="12"/>
      <c r="D911" s="13"/>
      <c r="F911" s="14"/>
      <c r="G911" s="14"/>
      <c r="H911" s="14"/>
      <c r="I911" s="14"/>
      <c r="J911" s="14"/>
      <c r="K911" s="12"/>
    </row>
    <row r="912" ht="19.5" customHeight="1">
      <c r="A912" s="12"/>
      <c r="C912" s="12"/>
      <c r="D912" s="13"/>
      <c r="F912" s="14"/>
      <c r="G912" s="14"/>
      <c r="H912" s="14"/>
      <c r="I912" s="14"/>
      <c r="J912" s="14"/>
      <c r="K912" s="12"/>
    </row>
    <row r="913" ht="19.5" customHeight="1">
      <c r="A913" s="12"/>
      <c r="C913" s="12"/>
      <c r="D913" s="13"/>
      <c r="F913" s="14"/>
      <c r="G913" s="14"/>
      <c r="H913" s="14"/>
      <c r="I913" s="14"/>
      <c r="J913" s="14"/>
      <c r="K913" s="12"/>
    </row>
    <row r="914" ht="19.5" customHeight="1">
      <c r="A914" s="12"/>
      <c r="C914" s="12"/>
      <c r="D914" s="13"/>
      <c r="F914" s="14"/>
      <c r="G914" s="14"/>
      <c r="H914" s="14"/>
      <c r="I914" s="14"/>
      <c r="J914" s="14"/>
      <c r="K914" s="12"/>
    </row>
    <row r="915" ht="19.5" customHeight="1">
      <c r="A915" s="12"/>
      <c r="C915" s="12"/>
      <c r="D915" s="13"/>
      <c r="F915" s="14"/>
      <c r="G915" s="14"/>
      <c r="H915" s="14"/>
      <c r="I915" s="14"/>
      <c r="J915" s="14"/>
      <c r="K915" s="12"/>
    </row>
    <row r="916" ht="19.5" customHeight="1">
      <c r="A916" s="12"/>
      <c r="C916" s="12"/>
      <c r="D916" s="13"/>
      <c r="F916" s="14"/>
      <c r="G916" s="14"/>
      <c r="H916" s="14"/>
      <c r="I916" s="14"/>
      <c r="J916" s="14"/>
      <c r="K916" s="12"/>
    </row>
    <row r="917" ht="19.5" customHeight="1">
      <c r="A917" s="12"/>
      <c r="C917" s="12"/>
      <c r="D917" s="13"/>
      <c r="F917" s="14"/>
      <c r="G917" s="14"/>
      <c r="H917" s="14"/>
      <c r="I917" s="14"/>
      <c r="J917" s="14"/>
      <c r="K917" s="12"/>
    </row>
    <row r="918" ht="19.5" customHeight="1">
      <c r="A918" s="12"/>
      <c r="C918" s="12"/>
      <c r="D918" s="13"/>
      <c r="F918" s="14"/>
      <c r="G918" s="14"/>
      <c r="H918" s="14"/>
      <c r="I918" s="14"/>
      <c r="J918" s="14"/>
      <c r="K918" s="12"/>
    </row>
    <row r="919" ht="19.5" customHeight="1">
      <c r="A919" s="12"/>
      <c r="C919" s="12"/>
      <c r="D919" s="13"/>
      <c r="F919" s="14"/>
      <c r="G919" s="14"/>
      <c r="H919" s="14"/>
      <c r="I919" s="14"/>
      <c r="J919" s="14"/>
      <c r="K919" s="12"/>
    </row>
    <row r="920" ht="19.5" customHeight="1">
      <c r="A920" s="12"/>
      <c r="C920" s="12"/>
      <c r="D920" s="13"/>
      <c r="F920" s="14"/>
      <c r="G920" s="14"/>
      <c r="H920" s="14"/>
      <c r="I920" s="14"/>
      <c r="J920" s="14"/>
      <c r="K920" s="12"/>
    </row>
    <row r="921" ht="19.5" customHeight="1">
      <c r="A921" s="12"/>
      <c r="C921" s="12"/>
      <c r="D921" s="13"/>
      <c r="F921" s="14"/>
      <c r="G921" s="14"/>
      <c r="H921" s="14"/>
      <c r="I921" s="14"/>
      <c r="J921" s="14"/>
      <c r="K921" s="12"/>
    </row>
    <row r="922" ht="19.5" customHeight="1">
      <c r="A922" s="12"/>
      <c r="C922" s="12"/>
      <c r="D922" s="13"/>
      <c r="F922" s="14"/>
      <c r="G922" s="14"/>
      <c r="H922" s="14"/>
      <c r="I922" s="14"/>
      <c r="J922" s="14"/>
      <c r="K922" s="12"/>
    </row>
    <row r="923" ht="19.5" customHeight="1">
      <c r="A923" s="12"/>
      <c r="C923" s="12"/>
      <c r="D923" s="13"/>
      <c r="F923" s="14"/>
      <c r="G923" s="14"/>
      <c r="H923" s="14"/>
      <c r="I923" s="14"/>
      <c r="J923" s="14"/>
      <c r="K923" s="12"/>
    </row>
    <row r="924" ht="19.5" customHeight="1">
      <c r="A924" s="12"/>
      <c r="C924" s="12"/>
      <c r="D924" s="13"/>
      <c r="F924" s="14"/>
      <c r="G924" s="14"/>
      <c r="H924" s="14"/>
      <c r="I924" s="14"/>
      <c r="J924" s="14"/>
      <c r="K924" s="12"/>
    </row>
    <row r="925" ht="19.5" customHeight="1">
      <c r="A925" s="12"/>
      <c r="C925" s="12"/>
      <c r="D925" s="13"/>
      <c r="F925" s="14"/>
      <c r="G925" s="14"/>
      <c r="H925" s="14"/>
      <c r="I925" s="14"/>
      <c r="J925" s="14"/>
      <c r="K925" s="12"/>
    </row>
    <row r="926" ht="19.5" customHeight="1">
      <c r="A926" s="12"/>
      <c r="C926" s="12"/>
      <c r="D926" s="13"/>
      <c r="F926" s="14"/>
      <c r="G926" s="14"/>
      <c r="H926" s="14"/>
      <c r="I926" s="14"/>
      <c r="J926" s="14"/>
      <c r="K926" s="12"/>
    </row>
    <row r="927" ht="19.5" customHeight="1">
      <c r="A927" s="12"/>
      <c r="C927" s="12"/>
      <c r="D927" s="13"/>
      <c r="F927" s="14"/>
      <c r="G927" s="14"/>
      <c r="H927" s="14"/>
      <c r="I927" s="14"/>
      <c r="J927" s="14"/>
      <c r="K927" s="12"/>
    </row>
    <row r="928" ht="19.5" customHeight="1">
      <c r="A928" s="12"/>
      <c r="C928" s="12"/>
      <c r="D928" s="13"/>
      <c r="F928" s="14"/>
      <c r="G928" s="14"/>
      <c r="H928" s="14"/>
      <c r="I928" s="14"/>
      <c r="J928" s="14"/>
      <c r="K928" s="12"/>
    </row>
    <row r="929" ht="19.5" customHeight="1">
      <c r="A929" s="12"/>
      <c r="C929" s="12"/>
      <c r="D929" s="13"/>
      <c r="F929" s="14"/>
      <c r="G929" s="14"/>
      <c r="H929" s="14"/>
      <c r="I929" s="14"/>
      <c r="J929" s="14"/>
      <c r="K929" s="12"/>
    </row>
    <row r="930" ht="19.5" customHeight="1">
      <c r="A930" s="12"/>
      <c r="C930" s="12"/>
      <c r="D930" s="13"/>
      <c r="F930" s="14"/>
      <c r="G930" s="14"/>
      <c r="H930" s="14"/>
      <c r="I930" s="14"/>
      <c r="J930" s="14"/>
      <c r="K930" s="12"/>
    </row>
    <row r="931" ht="19.5" customHeight="1">
      <c r="A931" s="12"/>
      <c r="C931" s="12"/>
      <c r="D931" s="13"/>
      <c r="F931" s="14"/>
      <c r="G931" s="14"/>
      <c r="H931" s="14"/>
      <c r="I931" s="14"/>
      <c r="J931" s="14"/>
      <c r="K931" s="12"/>
    </row>
    <row r="932" ht="19.5" customHeight="1">
      <c r="A932" s="12"/>
      <c r="C932" s="12"/>
      <c r="D932" s="13"/>
      <c r="F932" s="14"/>
      <c r="G932" s="14"/>
      <c r="H932" s="14"/>
      <c r="I932" s="14"/>
      <c r="J932" s="14"/>
      <c r="K932" s="12"/>
    </row>
    <row r="933" ht="19.5" customHeight="1">
      <c r="A933" s="12"/>
      <c r="C933" s="12"/>
      <c r="D933" s="13"/>
      <c r="F933" s="14"/>
      <c r="G933" s="14"/>
      <c r="H933" s="14"/>
      <c r="I933" s="14"/>
      <c r="J933" s="14"/>
      <c r="K933" s="12"/>
    </row>
    <row r="934" ht="19.5" customHeight="1">
      <c r="A934" s="12"/>
      <c r="C934" s="12"/>
      <c r="D934" s="13"/>
      <c r="F934" s="14"/>
      <c r="G934" s="14"/>
      <c r="H934" s="14"/>
      <c r="I934" s="14"/>
      <c r="J934" s="14"/>
      <c r="K934" s="12"/>
    </row>
    <row r="935" ht="19.5" customHeight="1">
      <c r="A935" s="12"/>
      <c r="C935" s="12"/>
      <c r="D935" s="13"/>
      <c r="F935" s="14"/>
      <c r="G935" s="14"/>
      <c r="H935" s="14"/>
      <c r="I935" s="14"/>
      <c r="J935" s="14"/>
      <c r="K935" s="12"/>
    </row>
    <row r="936" ht="19.5" customHeight="1">
      <c r="A936" s="12"/>
      <c r="C936" s="12"/>
      <c r="D936" s="13"/>
      <c r="F936" s="14"/>
      <c r="G936" s="14"/>
      <c r="H936" s="14"/>
      <c r="I936" s="14"/>
      <c r="J936" s="14"/>
      <c r="K936" s="12"/>
    </row>
    <row r="937" ht="19.5" customHeight="1">
      <c r="A937" s="12"/>
      <c r="C937" s="12"/>
      <c r="D937" s="13"/>
      <c r="F937" s="14"/>
      <c r="G937" s="14"/>
      <c r="H937" s="14"/>
      <c r="I937" s="14"/>
      <c r="J937" s="14"/>
      <c r="K937" s="12"/>
    </row>
    <row r="938" ht="19.5" customHeight="1">
      <c r="A938" s="12"/>
      <c r="C938" s="12"/>
      <c r="D938" s="13"/>
      <c r="F938" s="14"/>
      <c r="G938" s="14"/>
      <c r="H938" s="14"/>
      <c r="I938" s="14"/>
      <c r="J938" s="14"/>
      <c r="K938" s="12"/>
    </row>
    <row r="939" ht="19.5" customHeight="1">
      <c r="A939" s="12"/>
      <c r="C939" s="12"/>
      <c r="D939" s="13"/>
      <c r="F939" s="14"/>
      <c r="G939" s="14"/>
      <c r="H939" s="14"/>
      <c r="I939" s="14"/>
      <c r="J939" s="14"/>
      <c r="K939" s="12"/>
    </row>
    <row r="940" ht="19.5" customHeight="1">
      <c r="A940" s="12"/>
      <c r="C940" s="12"/>
      <c r="D940" s="13"/>
      <c r="F940" s="14"/>
      <c r="G940" s="14"/>
      <c r="H940" s="14"/>
      <c r="I940" s="14"/>
      <c r="J940" s="14"/>
      <c r="K940" s="12"/>
    </row>
    <row r="941" ht="19.5" customHeight="1">
      <c r="A941" s="12"/>
      <c r="C941" s="12"/>
      <c r="D941" s="13"/>
      <c r="F941" s="14"/>
      <c r="G941" s="14"/>
      <c r="H941" s="14"/>
      <c r="I941" s="14"/>
      <c r="J941" s="14"/>
      <c r="K941" s="12"/>
    </row>
    <row r="942" ht="19.5" customHeight="1">
      <c r="A942" s="12"/>
      <c r="C942" s="12"/>
      <c r="D942" s="13"/>
      <c r="F942" s="14"/>
      <c r="G942" s="14"/>
      <c r="H942" s="14"/>
      <c r="I942" s="14"/>
      <c r="J942" s="14"/>
      <c r="K942" s="12"/>
    </row>
    <row r="943" ht="19.5" customHeight="1">
      <c r="A943" s="12"/>
      <c r="C943" s="12"/>
      <c r="D943" s="13"/>
      <c r="F943" s="14"/>
      <c r="G943" s="14"/>
      <c r="H943" s="14"/>
      <c r="I943" s="14"/>
      <c r="J943" s="14"/>
      <c r="K943" s="12"/>
    </row>
    <row r="944" ht="19.5" customHeight="1">
      <c r="A944" s="12"/>
      <c r="C944" s="12"/>
      <c r="D944" s="13"/>
      <c r="F944" s="14"/>
      <c r="G944" s="14"/>
      <c r="H944" s="14"/>
      <c r="I944" s="14"/>
      <c r="J944" s="14"/>
      <c r="K944" s="12"/>
    </row>
    <row r="945" ht="19.5" customHeight="1">
      <c r="A945" s="12"/>
      <c r="C945" s="12"/>
      <c r="D945" s="13"/>
      <c r="F945" s="14"/>
      <c r="G945" s="14"/>
      <c r="H945" s="14"/>
      <c r="I945" s="14"/>
      <c r="J945" s="14"/>
      <c r="K945" s="12"/>
    </row>
    <row r="946" ht="19.5" customHeight="1">
      <c r="A946" s="12"/>
      <c r="C946" s="12"/>
      <c r="D946" s="13"/>
      <c r="F946" s="14"/>
      <c r="G946" s="14"/>
      <c r="H946" s="14"/>
      <c r="I946" s="14"/>
      <c r="J946" s="14"/>
      <c r="K946" s="12"/>
    </row>
    <row r="947" ht="19.5" customHeight="1">
      <c r="A947" s="12"/>
      <c r="C947" s="12"/>
      <c r="D947" s="13"/>
      <c r="F947" s="14"/>
      <c r="G947" s="14"/>
      <c r="H947" s="14"/>
      <c r="I947" s="14"/>
      <c r="J947" s="14"/>
      <c r="K947" s="12"/>
    </row>
    <row r="948" ht="19.5" customHeight="1">
      <c r="A948" s="12"/>
      <c r="C948" s="12"/>
      <c r="D948" s="13"/>
      <c r="F948" s="14"/>
      <c r="G948" s="14"/>
      <c r="H948" s="14"/>
      <c r="I948" s="14"/>
      <c r="J948" s="14"/>
      <c r="K948" s="12"/>
    </row>
    <row r="949" ht="19.5" customHeight="1">
      <c r="A949" s="12"/>
      <c r="C949" s="12"/>
      <c r="D949" s="13"/>
      <c r="F949" s="14"/>
      <c r="G949" s="14"/>
      <c r="H949" s="14"/>
      <c r="I949" s="14"/>
      <c r="J949" s="14"/>
      <c r="K949" s="12"/>
    </row>
    <row r="950" ht="19.5" customHeight="1">
      <c r="A950" s="12"/>
      <c r="C950" s="12"/>
      <c r="D950" s="13"/>
      <c r="F950" s="14"/>
      <c r="G950" s="14"/>
      <c r="H950" s="14"/>
      <c r="I950" s="14"/>
      <c r="J950" s="14"/>
      <c r="K950" s="12"/>
    </row>
    <row r="951" ht="19.5" customHeight="1">
      <c r="A951" s="12"/>
      <c r="C951" s="12"/>
      <c r="D951" s="13"/>
      <c r="F951" s="14"/>
      <c r="G951" s="14"/>
      <c r="H951" s="14"/>
      <c r="I951" s="14"/>
      <c r="J951" s="14"/>
      <c r="K951" s="12"/>
    </row>
    <row r="952" ht="19.5" customHeight="1">
      <c r="A952" s="12"/>
      <c r="C952" s="12"/>
      <c r="D952" s="13"/>
      <c r="F952" s="14"/>
      <c r="G952" s="14"/>
      <c r="H952" s="14"/>
      <c r="I952" s="14"/>
      <c r="J952" s="14"/>
      <c r="K952" s="12"/>
    </row>
    <row r="953" ht="19.5" customHeight="1">
      <c r="A953" s="12"/>
      <c r="C953" s="12"/>
      <c r="D953" s="13"/>
      <c r="F953" s="14"/>
      <c r="G953" s="14"/>
      <c r="H953" s="14"/>
      <c r="I953" s="14"/>
      <c r="J953" s="14"/>
      <c r="K953" s="12"/>
    </row>
    <row r="954" ht="19.5" customHeight="1">
      <c r="A954" s="12"/>
      <c r="C954" s="12"/>
      <c r="D954" s="13"/>
      <c r="F954" s="14"/>
      <c r="G954" s="14"/>
      <c r="H954" s="14"/>
      <c r="I954" s="14"/>
      <c r="J954" s="14"/>
      <c r="K954" s="12"/>
    </row>
    <row r="955" ht="19.5" customHeight="1">
      <c r="A955" s="12"/>
      <c r="C955" s="12"/>
      <c r="D955" s="13"/>
      <c r="F955" s="14"/>
      <c r="G955" s="14"/>
      <c r="H955" s="14"/>
      <c r="I955" s="14"/>
      <c r="J955" s="14"/>
      <c r="K955" s="12"/>
    </row>
    <row r="956" ht="19.5" customHeight="1">
      <c r="A956" s="12"/>
      <c r="C956" s="12"/>
      <c r="D956" s="13"/>
      <c r="F956" s="14"/>
      <c r="G956" s="14"/>
      <c r="H956" s="14"/>
      <c r="I956" s="14"/>
      <c r="J956" s="14"/>
      <c r="K956" s="12"/>
    </row>
    <row r="957" ht="19.5" customHeight="1">
      <c r="A957" s="12"/>
      <c r="C957" s="12"/>
      <c r="D957" s="13"/>
      <c r="F957" s="14"/>
      <c r="G957" s="14"/>
      <c r="H957" s="14"/>
      <c r="I957" s="14"/>
      <c r="J957" s="14"/>
      <c r="K957" s="12"/>
    </row>
    <row r="958" ht="19.5" customHeight="1">
      <c r="A958" s="12"/>
      <c r="C958" s="12"/>
      <c r="D958" s="13"/>
      <c r="F958" s="14"/>
      <c r="G958" s="14"/>
      <c r="H958" s="14"/>
      <c r="I958" s="14"/>
      <c r="J958" s="14"/>
      <c r="K958" s="12"/>
    </row>
    <row r="959" ht="19.5" customHeight="1">
      <c r="A959" s="12"/>
      <c r="C959" s="12"/>
      <c r="D959" s="13"/>
      <c r="F959" s="14"/>
      <c r="G959" s="14"/>
      <c r="H959" s="14"/>
      <c r="I959" s="14"/>
      <c r="J959" s="14"/>
      <c r="K959" s="12"/>
    </row>
    <row r="960" ht="19.5" customHeight="1">
      <c r="A960" s="12"/>
      <c r="C960" s="12"/>
      <c r="D960" s="13"/>
      <c r="F960" s="14"/>
      <c r="G960" s="14"/>
      <c r="H960" s="14"/>
      <c r="I960" s="14"/>
      <c r="J960" s="14"/>
      <c r="K960" s="12"/>
    </row>
    <row r="961" ht="19.5" customHeight="1">
      <c r="A961" s="12"/>
      <c r="C961" s="12"/>
      <c r="D961" s="13"/>
      <c r="F961" s="14"/>
      <c r="G961" s="14"/>
      <c r="H961" s="14"/>
      <c r="I961" s="14"/>
      <c r="J961" s="14"/>
      <c r="K961" s="12"/>
    </row>
    <row r="962" ht="19.5" customHeight="1">
      <c r="A962" s="12"/>
      <c r="C962" s="12"/>
      <c r="D962" s="13"/>
      <c r="F962" s="14"/>
      <c r="G962" s="14"/>
      <c r="H962" s="14"/>
      <c r="I962" s="14"/>
      <c r="J962" s="14"/>
      <c r="K962" s="12"/>
    </row>
    <row r="963" ht="19.5" customHeight="1">
      <c r="A963" s="12"/>
      <c r="C963" s="12"/>
      <c r="D963" s="13"/>
      <c r="F963" s="14"/>
      <c r="G963" s="14"/>
      <c r="H963" s="14"/>
      <c r="I963" s="14"/>
      <c r="J963" s="14"/>
      <c r="K963" s="12"/>
    </row>
    <row r="964" ht="19.5" customHeight="1">
      <c r="A964" s="12"/>
      <c r="C964" s="12"/>
      <c r="D964" s="13"/>
      <c r="F964" s="14"/>
      <c r="G964" s="14"/>
      <c r="H964" s="14"/>
      <c r="I964" s="14"/>
      <c r="J964" s="14"/>
      <c r="K964" s="12"/>
    </row>
    <row r="965" ht="19.5" customHeight="1">
      <c r="A965" s="12"/>
      <c r="C965" s="12"/>
      <c r="D965" s="13"/>
      <c r="F965" s="14"/>
      <c r="G965" s="14"/>
      <c r="H965" s="14"/>
      <c r="I965" s="14"/>
      <c r="J965" s="14"/>
      <c r="K965" s="12"/>
    </row>
    <row r="966" ht="19.5" customHeight="1">
      <c r="A966" s="12"/>
      <c r="C966" s="12"/>
      <c r="D966" s="13"/>
      <c r="F966" s="14"/>
      <c r="G966" s="14"/>
      <c r="H966" s="14"/>
      <c r="I966" s="14"/>
      <c r="J966" s="14"/>
      <c r="K966" s="12"/>
    </row>
    <row r="967" ht="19.5" customHeight="1">
      <c r="A967" s="12"/>
      <c r="C967" s="12"/>
      <c r="D967" s="13"/>
      <c r="F967" s="14"/>
      <c r="G967" s="14"/>
      <c r="H967" s="14"/>
      <c r="I967" s="14"/>
      <c r="J967" s="14"/>
      <c r="K967" s="12"/>
    </row>
    <row r="968" ht="19.5" customHeight="1">
      <c r="A968" s="12"/>
      <c r="C968" s="12"/>
      <c r="D968" s="13"/>
      <c r="F968" s="14"/>
      <c r="G968" s="14"/>
      <c r="H968" s="14"/>
      <c r="I968" s="14"/>
      <c r="J968" s="14"/>
      <c r="K968" s="12"/>
    </row>
    <row r="969" ht="19.5" customHeight="1">
      <c r="A969" s="12"/>
      <c r="C969" s="12"/>
      <c r="D969" s="13"/>
      <c r="F969" s="14"/>
      <c r="G969" s="14"/>
      <c r="H969" s="14"/>
      <c r="I969" s="14"/>
      <c r="J969" s="14"/>
      <c r="K969" s="12"/>
    </row>
    <row r="970" ht="19.5" customHeight="1">
      <c r="A970" s="12"/>
      <c r="C970" s="12"/>
      <c r="D970" s="13"/>
      <c r="F970" s="14"/>
      <c r="G970" s="14"/>
      <c r="H970" s="14"/>
      <c r="I970" s="14"/>
      <c r="J970" s="14"/>
      <c r="K970" s="12"/>
    </row>
    <row r="971" ht="19.5" customHeight="1">
      <c r="A971" s="12"/>
      <c r="C971" s="12"/>
      <c r="D971" s="13"/>
      <c r="F971" s="14"/>
      <c r="G971" s="14"/>
      <c r="H971" s="14"/>
      <c r="I971" s="14"/>
      <c r="J971" s="14"/>
      <c r="K971" s="12"/>
    </row>
    <row r="972" ht="19.5" customHeight="1">
      <c r="A972" s="12"/>
      <c r="C972" s="12"/>
      <c r="D972" s="13"/>
      <c r="F972" s="14"/>
      <c r="G972" s="14"/>
      <c r="H972" s="14"/>
      <c r="I972" s="14"/>
      <c r="J972" s="14"/>
      <c r="K972" s="12"/>
    </row>
    <row r="973" ht="19.5" customHeight="1">
      <c r="A973" s="12"/>
      <c r="C973" s="12"/>
      <c r="D973" s="13"/>
      <c r="F973" s="14"/>
      <c r="G973" s="14"/>
      <c r="H973" s="14"/>
      <c r="I973" s="14"/>
      <c r="J973" s="14"/>
      <c r="K973" s="12"/>
    </row>
    <row r="974" ht="19.5" customHeight="1">
      <c r="A974" s="12"/>
      <c r="C974" s="12"/>
      <c r="D974" s="13"/>
      <c r="F974" s="14"/>
      <c r="G974" s="14"/>
      <c r="H974" s="14"/>
      <c r="I974" s="14"/>
      <c r="J974" s="14"/>
      <c r="K974" s="12"/>
    </row>
    <row r="975" ht="19.5" customHeight="1">
      <c r="A975" s="12"/>
      <c r="C975" s="12"/>
      <c r="D975" s="13"/>
      <c r="F975" s="14"/>
      <c r="G975" s="14"/>
      <c r="H975" s="14"/>
      <c r="I975" s="14"/>
      <c r="J975" s="14"/>
      <c r="K975" s="12"/>
    </row>
    <row r="976" ht="19.5" customHeight="1">
      <c r="A976" s="12"/>
      <c r="C976" s="12"/>
      <c r="D976" s="13"/>
      <c r="F976" s="14"/>
      <c r="G976" s="14"/>
      <c r="H976" s="14"/>
      <c r="I976" s="14"/>
      <c r="J976" s="14"/>
      <c r="K976" s="12"/>
    </row>
    <row r="977" ht="19.5" customHeight="1">
      <c r="A977" s="12"/>
      <c r="C977" s="12"/>
      <c r="D977" s="13"/>
      <c r="F977" s="14"/>
      <c r="G977" s="14"/>
      <c r="H977" s="14"/>
      <c r="I977" s="14"/>
      <c r="J977" s="14"/>
      <c r="K977" s="12"/>
    </row>
    <row r="978" ht="19.5" customHeight="1">
      <c r="A978" s="12"/>
      <c r="C978" s="12"/>
      <c r="D978" s="13"/>
      <c r="F978" s="14"/>
      <c r="G978" s="14"/>
      <c r="H978" s="14"/>
      <c r="I978" s="14"/>
      <c r="J978" s="14"/>
      <c r="K978" s="12"/>
    </row>
    <row r="979" ht="19.5" customHeight="1">
      <c r="A979" s="12"/>
      <c r="C979" s="12"/>
      <c r="D979" s="13"/>
      <c r="F979" s="14"/>
      <c r="G979" s="14"/>
      <c r="H979" s="14"/>
      <c r="I979" s="14"/>
      <c r="J979" s="14"/>
      <c r="K979" s="12"/>
    </row>
    <row r="980" ht="19.5" customHeight="1">
      <c r="A980" s="12"/>
      <c r="C980" s="12"/>
      <c r="D980" s="13"/>
      <c r="F980" s="14"/>
      <c r="G980" s="14"/>
      <c r="H980" s="14"/>
      <c r="I980" s="14"/>
      <c r="J980" s="14"/>
      <c r="K980" s="12"/>
    </row>
    <row r="981" ht="19.5" customHeight="1">
      <c r="A981" s="12"/>
      <c r="C981" s="12"/>
      <c r="D981" s="13"/>
      <c r="F981" s="14"/>
      <c r="G981" s="14"/>
      <c r="H981" s="14"/>
      <c r="I981" s="14"/>
      <c r="J981" s="14"/>
      <c r="K981" s="12"/>
    </row>
    <row r="982" ht="19.5" customHeight="1">
      <c r="A982" s="12"/>
      <c r="C982" s="12"/>
      <c r="D982" s="13"/>
      <c r="F982" s="14"/>
      <c r="G982" s="14"/>
      <c r="H982" s="14"/>
      <c r="I982" s="14"/>
      <c r="J982" s="14"/>
      <c r="K982" s="12"/>
    </row>
    <row r="983" ht="19.5" customHeight="1">
      <c r="A983" s="12"/>
      <c r="C983" s="12"/>
      <c r="D983" s="13"/>
      <c r="F983" s="14"/>
      <c r="G983" s="14"/>
      <c r="H983" s="14"/>
      <c r="I983" s="14"/>
      <c r="J983" s="14"/>
      <c r="K983" s="12"/>
    </row>
    <row r="984" ht="19.5" customHeight="1">
      <c r="A984" s="12"/>
      <c r="C984" s="12"/>
      <c r="D984" s="13"/>
      <c r="F984" s="14"/>
      <c r="G984" s="14"/>
      <c r="H984" s="14"/>
      <c r="I984" s="14"/>
      <c r="J984" s="14"/>
      <c r="K984" s="12"/>
    </row>
    <row r="985" ht="19.5" customHeight="1">
      <c r="A985" s="12"/>
      <c r="C985" s="12"/>
      <c r="D985" s="13"/>
      <c r="F985" s="14"/>
      <c r="G985" s="14"/>
      <c r="H985" s="14"/>
      <c r="I985" s="14"/>
      <c r="J985" s="14"/>
      <c r="K985" s="12"/>
    </row>
    <row r="986" ht="19.5" customHeight="1">
      <c r="A986" s="12"/>
      <c r="C986" s="12"/>
      <c r="D986" s="13"/>
      <c r="F986" s="14"/>
      <c r="G986" s="14"/>
      <c r="H986" s="14"/>
      <c r="I986" s="14"/>
      <c r="J986" s="14"/>
      <c r="K986" s="12"/>
    </row>
    <row r="987" ht="19.5" customHeight="1">
      <c r="A987" s="12"/>
      <c r="C987" s="12"/>
      <c r="D987" s="13"/>
      <c r="F987" s="14"/>
      <c r="G987" s="14"/>
      <c r="H987" s="14"/>
      <c r="I987" s="14"/>
      <c r="J987" s="14"/>
      <c r="K987" s="12"/>
    </row>
    <row r="988" ht="19.5" customHeight="1">
      <c r="A988" s="12"/>
      <c r="C988" s="12"/>
      <c r="D988" s="13"/>
      <c r="F988" s="14"/>
      <c r="G988" s="14"/>
      <c r="H988" s="14"/>
      <c r="I988" s="14"/>
      <c r="J988" s="14"/>
      <c r="K988" s="12"/>
    </row>
    <row r="989" ht="19.5" customHeight="1">
      <c r="A989" s="12"/>
      <c r="C989" s="12"/>
      <c r="D989" s="13"/>
      <c r="F989" s="14"/>
      <c r="G989" s="14"/>
      <c r="H989" s="14"/>
      <c r="I989" s="14"/>
      <c r="J989" s="14"/>
      <c r="K989" s="12"/>
    </row>
    <row r="990" ht="19.5" customHeight="1">
      <c r="A990" s="12"/>
      <c r="C990" s="12"/>
      <c r="D990" s="13"/>
      <c r="F990" s="14"/>
      <c r="G990" s="14"/>
      <c r="H990" s="14"/>
      <c r="I990" s="14"/>
      <c r="J990" s="14"/>
      <c r="K990" s="12"/>
    </row>
    <row r="991" ht="19.5" customHeight="1">
      <c r="A991" s="12"/>
      <c r="C991" s="12"/>
      <c r="D991" s="13"/>
      <c r="F991" s="14"/>
      <c r="G991" s="14"/>
      <c r="H991" s="14"/>
      <c r="I991" s="14"/>
      <c r="J991" s="14"/>
      <c r="K991" s="12"/>
    </row>
    <row r="992" ht="19.5" customHeight="1">
      <c r="A992" s="12"/>
      <c r="C992" s="12"/>
      <c r="D992" s="13"/>
      <c r="F992" s="14"/>
      <c r="G992" s="14"/>
      <c r="H992" s="14"/>
      <c r="I992" s="14"/>
      <c r="J992" s="14"/>
      <c r="K992" s="12"/>
    </row>
    <row r="993" ht="19.5" customHeight="1">
      <c r="A993" s="12"/>
      <c r="C993" s="12"/>
      <c r="D993" s="13"/>
      <c r="F993" s="14"/>
      <c r="G993" s="14"/>
      <c r="H993" s="14"/>
      <c r="I993" s="14"/>
      <c r="J993" s="14"/>
      <c r="K993" s="12"/>
    </row>
    <row r="994" ht="19.5" customHeight="1">
      <c r="A994" s="12"/>
      <c r="C994" s="12"/>
      <c r="D994" s="13"/>
      <c r="F994" s="14"/>
      <c r="G994" s="14"/>
      <c r="H994" s="14"/>
      <c r="I994" s="14"/>
      <c r="J994" s="14"/>
      <c r="K994" s="12"/>
    </row>
    <row r="995" ht="19.5" customHeight="1">
      <c r="A995" s="12"/>
      <c r="C995" s="12"/>
      <c r="D995" s="13"/>
      <c r="F995" s="14"/>
      <c r="G995" s="14"/>
      <c r="H995" s="14"/>
      <c r="I995" s="14"/>
      <c r="J995" s="14"/>
      <c r="K995" s="12"/>
    </row>
    <row r="996" ht="19.5" customHeight="1">
      <c r="A996" s="12"/>
      <c r="C996" s="12"/>
      <c r="D996" s="13"/>
      <c r="F996" s="14"/>
      <c r="G996" s="14"/>
      <c r="H996" s="14"/>
      <c r="I996" s="14"/>
      <c r="J996" s="14"/>
      <c r="K996" s="12"/>
    </row>
    <row r="997" ht="19.5" customHeight="1">
      <c r="A997" s="12"/>
      <c r="C997" s="12"/>
      <c r="D997" s="13"/>
      <c r="F997" s="14"/>
      <c r="G997" s="14"/>
      <c r="H997" s="14"/>
      <c r="I997" s="14"/>
      <c r="J997" s="14"/>
      <c r="K997" s="12"/>
    </row>
    <row r="998" ht="19.5" customHeight="1">
      <c r="A998" s="12"/>
      <c r="C998" s="12"/>
      <c r="D998" s="13"/>
      <c r="F998" s="14"/>
      <c r="G998" s="14"/>
      <c r="H998" s="14"/>
      <c r="I998" s="14"/>
      <c r="J998" s="14"/>
      <c r="K998" s="12"/>
    </row>
    <row r="999" ht="19.5" customHeight="1">
      <c r="A999" s="12"/>
      <c r="C999" s="12"/>
      <c r="D999" s="13"/>
      <c r="F999" s="14"/>
      <c r="G999" s="14"/>
      <c r="H999" s="14"/>
      <c r="I999" s="14"/>
      <c r="J999" s="14"/>
      <c r="K999" s="12"/>
    </row>
    <row r="1000" ht="19.5" customHeight="1">
      <c r="A1000" s="12"/>
      <c r="C1000" s="12"/>
      <c r="D1000" s="13"/>
      <c r="F1000" s="14"/>
      <c r="G1000" s="14"/>
      <c r="H1000" s="14"/>
      <c r="I1000" s="14"/>
      <c r="J1000" s="14"/>
      <c r="K1000" s="12"/>
    </row>
  </sheetData>
  <mergeCells count="12">
    <mergeCell ref="E9:G9"/>
    <mergeCell ref="J9:J10"/>
    <mergeCell ref="J15:J16"/>
    <mergeCell ref="J80:J81"/>
    <mergeCell ref="A6:K6"/>
    <mergeCell ref="A7:K7"/>
    <mergeCell ref="A8:K8"/>
    <mergeCell ref="A9:A10"/>
    <mergeCell ref="B9:B10"/>
    <mergeCell ref="C9:C10"/>
    <mergeCell ref="D9:D10"/>
    <mergeCell ref="K9:K10"/>
  </mergeCells>
  <printOptions/>
  <pageMargins bottom="0.787401575" footer="0.0" header="0.0" left="0.511811024" right="0.511811024" top="0.787401575"/>
  <pageSetup paperSize="9" scale="60" orientation="landscape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42.13"/>
    <col customWidth="1" min="3" max="3" width="9.13"/>
    <col customWidth="1" min="4" max="4" width="16.25"/>
    <col customWidth="1" min="5" max="5" width="19.13"/>
    <col customWidth="1" min="6" max="6" width="17.75"/>
    <col customWidth="1" min="7" max="7" width="21.88"/>
    <col customWidth="1" min="8" max="8" width="20.13"/>
    <col customWidth="1" min="9" max="9" width="16.13"/>
    <col customWidth="1" min="10" max="10" width="18.25"/>
    <col customWidth="1" min="11" max="11" width="32.38"/>
    <col customWidth="1" min="12" max="26" width="8.63"/>
  </cols>
  <sheetData>
    <row r="1" ht="19.5" customHeight="1">
      <c r="A1" s="4"/>
      <c r="B1" s="5"/>
      <c r="C1" s="6"/>
      <c r="D1" s="86"/>
      <c r="E1" s="5"/>
      <c r="F1" s="8"/>
      <c r="G1" s="8"/>
      <c r="H1" s="8"/>
      <c r="I1" s="8"/>
      <c r="J1" s="8"/>
      <c r="K1" s="9"/>
    </row>
    <row r="2" ht="19.5" customHeight="1">
      <c r="A2" s="10" t="s">
        <v>83</v>
      </c>
      <c r="B2" s="11" t="s">
        <v>84</v>
      </c>
      <c r="C2" s="12"/>
      <c r="D2" s="87"/>
      <c r="F2" s="14"/>
      <c r="G2" s="14"/>
      <c r="H2" s="14"/>
      <c r="I2" s="14"/>
      <c r="J2" s="17" t="s">
        <v>144</v>
      </c>
      <c r="K2" s="18"/>
    </row>
    <row r="3" ht="19.5" customHeight="1">
      <c r="A3" s="10" t="s">
        <v>86</v>
      </c>
      <c r="B3" s="11" t="s">
        <v>87</v>
      </c>
      <c r="C3" s="12"/>
      <c r="D3" s="87"/>
      <c r="F3" s="14"/>
      <c r="G3" s="14"/>
      <c r="H3" s="14"/>
      <c r="I3" s="14"/>
      <c r="J3" s="14"/>
      <c r="K3" s="18"/>
    </row>
    <row r="4" ht="19.5" customHeight="1">
      <c r="A4" s="19"/>
      <c r="C4" s="12"/>
      <c r="D4" s="87"/>
      <c r="F4" s="14"/>
      <c r="G4" s="14"/>
      <c r="H4" s="14"/>
      <c r="I4" s="14"/>
      <c r="J4" s="14"/>
      <c r="K4" s="18"/>
    </row>
    <row r="5" ht="19.5" customHeight="1">
      <c r="A5" s="19"/>
      <c r="C5" s="12"/>
      <c r="D5" s="87"/>
      <c r="F5" s="14"/>
      <c r="G5" s="14"/>
      <c r="H5" s="14"/>
      <c r="I5" s="14"/>
      <c r="J5" s="14"/>
      <c r="K5" s="18"/>
    </row>
    <row r="6" ht="200.25" customHeight="1">
      <c r="A6" s="20" t="s">
        <v>1346</v>
      </c>
      <c r="K6" s="21"/>
    </row>
    <row r="7" ht="64.5" customHeight="1">
      <c r="A7" s="22" t="s">
        <v>1347</v>
      </c>
      <c r="K7" s="21"/>
    </row>
    <row r="8" ht="37.5" customHeight="1">
      <c r="A8" s="88" t="s">
        <v>90</v>
      </c>
      <c r="B8" s="24"/>
      <c r="C8" s="24"/>
      <c r="D8" s="24"/>
      <c r="E8" s="24"/>
      <c r="F8" s="24"/>
      <c r="G8" s="24"/>
      <c r="H8" s="24"/>
      <c r="I8" s="24"/>
      <c r="J8" s="24"/>
      <c r="K8" s="25"/>
    </row>
    <row r="9" ht="19.5" customHeight="1">
      <c r="A9" s="26" t="s">
        <v>1</v>
      </c>
      <c r="B9" s="26" t="s">
        <v>91</v>
      </c>
      <c r="C9" s="26" t="s">
        <v>92</v>
      </c>
      <c r="D9" s="31" t="s">
        <v>93</v>
      </c>
      <c r="E9" s="27" t="s">
        <v>94</v>
      </c>
      <c r="F9" s="28"/>
      <c r="G9" s="29"/>
      <c r="H9" s="30"/>
      <c r="I9" s="30"/>
      <c r="J9" s="31" t="s">
        <v>95</v>
      </c>
      <c r="K9" s="26" t="s">
        <v>96</v>
      </c>
    </row>
    <row r="10" ht="19.5" customHeight="1">
      <c r="A10" s="32"/>
      <c r="B10" s="32"/>
      <c r="C10" s="32"/>
      <c r="D10" s="32"/>
      <c r="E10" s="33" t="s">
        <v>97</v>
      </c>
      <c r="F10" s="34" t="s">
        <v>121</v>
      </c>
      <c r="G10" s="34" t="s">
        <v>99</v>
      </c>
      <c r="H10" s="35" t="s">
        <v>100</v>
      </c>
      <c r="I10" s="35" t="s">
        <v>101</v>
      </c>
      <c r="J10" s="32"/>
      <c r="K10" s="32"/>
    </row>
    <row r="11" ht="19.5" customHeight="1">
      <c r="A11" s="46">
        <v>1.0</v>
      </c>
      <c r="B11" s="37" t="s">
        <v>147</v>
      </c>
      <c r="C11" s="46" t="s">
        <v>148</v>
      </c>
      <c r="D11" s="78">
        <v>8.0</v>
      </c>
      <c r="E11" s="37">
        <v>1.1</v>
      </c>
      <c r="F11" s="40">
        <v>1.2</v>
      </c>
      <c r="G11" s="40">
        <v>1.1</v>
      </c>
      <c r="H11" s="40">
        <f>G11*F11*E11*D11</f>
        <v>11.616</v>
      </c>
      <c r="I11" s="42"/>
      <c r="J11" s="43">
        <f>H11-I11</f>
        <v>11.616</v>
      </c>
      <c r="K11" s="46"/>
    </row>
    <row r="12" ht="19.5" customHeight="1">
      <c r="A12" s="74" t="s">
        <v>1</v>
      </c>
      <c r="B12" s="74" t="s">
        <v>91</v>
      </c>
      <c r="C12" s="74" t="s">
        <v>92</v>
      </c>
      <c r="D12" s="76" t="s">
        <v>93</v>
      </c>
      <c r="E12" s="50" t="s">
        <v>97</v>
      </c>
      <c r="F12" s="53" t="s">
        <v>121</v>
      </c>
      <c r="G12" s="53" t="s">
        <v>99</v>
      </c>
      <c r="H12" s="75" t="s">
        <v>100</v>
      </c>
      <c r="I12" s="75" t="s">
        <v>101</v>
      </c>
      <c r="J12" s="76" t="s">
        <v>95</v>
      </c>
      <c r="K12" s="74" t="s">
        <v>96</v>
      </c>
    </row>
    <row r="13" ht="19.5" customHeight="1">
      <c r="A13" s="46">
        <v>1.0</v>
      </c>
      <c r="B13" s="37" t="s">
        <v>150</v>
      </c>
      <c r="C13" s="46" t="s">
        <v>148</v>
      </c>
      <c r="D13" s="78">
        <v>2.0</v>
      </c>
      <c r="E13" s="37"/>
      <c r="F13" s="40">
        <v>16.75</v>
      </c>
      <c r="G13" s="40">
        <v>16.75</v>
      </c>
      <c r="H13" s="40">
        <f>(G13+F13)*D13</f>
        <v>67</v>
      </c>
      <c r="I13" s="42"/>
      <c r="J13" s="64">
        <f>H13</f>
        <v>67</v>
      </c>
      <c r="K13" s="46"/>
    </row>
    <row r="14" ht="19.5" customHeight="1">
      <c r="A14" s="74" t="s">
        <v>1</v>
      </c>
      <c r="B14" s="74" t="s">
        <v>91</v>
      </c>
      <c r="C14" s="74" t="s">
        <v>92</v>
      </c>
      <c r="D14" s="76" t="s">
        <v>93</v>
      </c>
      <c r="E14" s="50" t="s">
        <v>97</v>
      </c>
      <c r="F14" s="53" t="s">
        <v>121</v>
      </c>
      <c r="G14" s="53" t="s">
        <v>99</v>
      </c>
      <c r="H14" s="75" t="s">
        <v>100</v>
      </c>
      <c r="I14" s="75" t="s">
        <v>101</v>
      </c>
      <c r="J14" s="76" t="s">
        <v>95</v>
      </c>
      <c r="K14" s="74" t="s">
        <v>96</v>
      </c>
    </row>
    <row r="15" ht="19.5" customHeight="1">
      <c r="A15" s="46">
        <v>1.0</v>
      </c>
      <c r="B15" s="37" t="s">
        <v>332</v>
      </c>
      <c r="C15" s="46" t="s">
        <v>148</v>
      </c>
      <c r="D15" s="78">
        <f>D11</f>
        <v>8</v>
      </c>
      <c r="E15" s="37"/>
      <c r="F15" s="40">
        <f t="shared" ref="F15:G15" si="1">F11</f>
        <v>1.2</v>
      </c>
      <c r="G15" s="40">
        <f t="shared" si="1"/>
        <v>1.1</v>
      </c>
      <c r="H15" s="40">
        <f>G15*F15*D15</f>
        <v>10.56</v>
      </c>
      <c r="I15" s="42"/>
      <c r="J15" s="64">
        <f>H15</f>
        <v>10.56</v>
      </c>
      <c r="K15" s="46"/>
    </row>
    <row r="16" ht="19.5" customHeight="1">
      <c r="A16" s="74" t="s">
        <v>1</v>
      </c>
      <c r="B16" s="74" t="s">
        <v>91</v>
      </c>
      <c r="C16" s="74" t="s">
        <v>92</v>
      </c>
      <c r="D16" s="76" t="s">
        <v>93</v>
      </c>
      <c r="E16" s="50" t="s">
        <v>97</v>
      </c>
      <c r="F16" s="53" t="s">
        <v>121</v>
      </c>
      <c r="G16" s="53" t="s">
        <v>99</v>
      </c>
      <c r="H16" s="75">
        <v>8.0</v>
      </c>
      <c r="I16" s="75" t="s">
        <v>101</v>
      </c>
      <c r="J16" s="76" t="s">
        <v>95</v>
      </c>
      <c r="K16" s="74" t="s">
        <v>96</v>
      </c>
    </row>
    <row r="17" ht="19.5" customHeight="1">
      <c r="A17" s="46">
        <v>1.0</v>
      </c>
      <c r="B17" s="37" t="s">
        <v>333</v>
      </c>
      <c r="C17" s="46" t="s">
        <v>148</v>
      </c>
      <c r="D17" s="78">
        <f>D15</f>
        <v>8</v>
      </c>
      <c r="E17" s="37">
        <v>0.05</v>
      </c>
      <c r="F17" s="40">
        <f t="shared" ref="F17:G17" si="2">F15</f>
        <v>1.2</v>
      </c>
      <c r="G17" s="40">
        <f t="shared" si="2"/>
        <v>1.1</v>
      </c>
      <c r="H17" s="40">
        <f>G17*F17*E17*D17</f>
        <v>0.528</v>
      </c>
      <c r="I17" s="42"/>
      <c r="J17" s="64">
        <f>H17</f>
        <v>0.528</v>
      </c>
      <c r="K17" s="46"/>
    </row>
    <row r="18" ht="19.5" customHeight="1">
      <c r="A18" s="74" t="s">
        <v>1</v>
      </c>
      <c r="B18" s="74" t="s">
        <v>91</v>
      </c>
      <c r="C18" s="74" t="s">
        <v>92</v>
      </c>
      <c r="D18" s="76" t="s">
        <v>93</v>
      </c>
      <c r="E18" s="50" t="s">
        <v>97</v>
      </c>
      <c r="F18" s="53" t="s">
        <v>121</v>
      </c>
      <c r="G18" s="53" t="s">
        <v>99</v>
      </c>
      <c r="H18" s="75" t="s">
        <v>100</v>
      </c>
      <c r="I18" s="75" t="s">
        <v>101</v>
      </c>
      <c r="J18" s="76" t="s">
        <v>95</v>
      </c>
      <c r="K18" s="74" t="s">
        <v>96</v>
      </c>
    </row>
    <row r="19" ht="19.5" customHeight="1">
      <c r="A19" s="46">
        <v>1.0</v>
      </c>
      <c r="B19" s="37" t="s">
        <v>334</v>
      </c>
      <c r="C19" s="46" t="s">
        <v>148</v>
      </c>
      <c r="D19" s="78">
        <f>D17</f>
        <v>8</v>
      </c>
      <c r="E19" s="37">
        <v>0.7</v>
      </c>
      <c r="F19" s="40">
        <v>0.25</v>
      </c>
      <c r="G19" s="40">
        <v>0.3</v>
      </c>
      <c r="H19" s="40">
        <f>G19*F19*E19*D19</f>
        <v>0.42</v>
      </c>
      <c r="I19" s="42"/>
      <c r="J19" s="43">
        <f>H19-I19</f>
        <v>0.42</v>
      </c>
      <c r="K19" s="46"/>
    </row>
    <row r="20" ht="19.5" customHeight="1">
      <c r="A20" s="74" t="s">
        <v>1</v>
      </c>
      <c r="B20" s="74" t="s">
        <v>91</v>
      </c>
      <c r="C20" s="74" t="s">
        <v>92</v>
      </c>
      <c r="D20" s="76" t="s">
        <v>93</v>
      </c>
      <c r="E20" s="50" t="s">
        <v>97</v>
      </c>
      <c r="F20" s="53" t="s">
        <v>121</v>
      </c>
      <c r="G20" s="53" t="s">
        <v>99</v>
      </c>
      <c r="H20" s="75" t="s">
        <v>100</v>
      </c>
      <c r="I20" s="75" t="s">
        <v>101</v>
      </c>
      <c r="J20" s="76" t="s">
        <v>95</v>
      </c>
      <c r="K20" s="74" t="s">
        <v>96</v>
      </c>
    </row>
    <row r="21" ht="19.5" customHeight="1">
      <c r="A21" s="46">
        <v>1.0</v>
      </c>
      <c r="B21" s="37" t="s">
        <v>1348</v>
      </c>
      <c r="C21" s="46" t="s">
        <v>148</v>
      </c>
      <c r="D21" s="78">
        <v>8.0</v>
      </c>
      <c r="E21" s="37">
        <v>5.0</v>
      </c>
      <c r="F21" s="40">
        <v>0.6</v>
      </c>
      <c r="G21" s="40">
        <v>0.3</v>
      </c>
      <c r="H21" s="40">
        <f>G21*F21*E21*D21</f>
        <v>7.2</v>
      </c>
      <c r="I21" s="42"/>
      <c r="J21" s="107"/>
      <c r="K21" s="46"/>
    </row>
    <row r="22" ht="19.5" customHeight="1">
      <c r="A22" s="46"/>
      <c r="B22" s="37"/>
      <c r="C22" s="46"/>
      <c r="D22" s="78"/>
      <c r="E22" s="37"/>
      <c r="F22" s="40"/>
      <c r="G22" s="40"/>
      <c r="H22" s="40"/>
      <c r="I22" s="42"/>
      <c r="J22" s="96">
        <f>SUM(H21:H22)</f>
        <v>7.2</v>
      </c>
      <c r="K22" s="79"/>
    </row>
    <row r="23" ht="19.5" customHeight="1">
      <c r="A23" s="74" t="s">
        <v>1</v>
      </c>
      <c r="B23" s="74" t="s">
        <v>91</v>
      </c>
      <c r="C23" s="74" t="s">
        <v>92</v>
      </c>
      <c r="D23" s="76" t="s">
        <v>93</v>
      </c>
      <c r="E23" s="50" t="s">
        <v>97</v>
      </c>
      <c r="F23" s="53" t="s">
        <v>121</v>
      </c>
      <c r="G23" s="53" t="s">
        <v>99</v>
      </c>
      <c r="H23" s="75" t="s">
        <v>100</v>
      </c>
      <c r="I23" s="75" t="s">
        <v>101</v>
      </c>
      <c r="J23" s="76" t="s">
        <v>95</v>
      </c>
      <c r="K23" s="74" t="s">
        <v>96</v>
      </c>
    </row>
    <row r="24" ht="19.5" customHeight="1">
      <c r="A24" s="46">
        <v>1.0</v>
      </c>
      <c r="B24" s="37" t="s">
        <v>337</v>
      </c>
      <c r="C24" s="46" t="s">
        <v>148</v>
      </c>
      <c r="D24" s="78">
        <f>D19</f>
        <v>8</v>
      </c>
      <c r="E24" s="37">
        <v>0.25</v>
      </c>
      <c r="F24" s="40">
        <f t="shared" ref="F24:G24" si="3">F17</f>
        <v>1.2</v>
      </c>
      <c r="G24" s="40">
        <f t="shared" si="3"/>
        <v>1.1</v>
      </c>
      <c r="H24" s="40">
        <f>G24*F24*E24*D24</f>
        <v>2.64</v>
      </c>
      <c r="I24" s="42"/>
      <c r="J24" s="40"/>
      <c r="K24" s="46"/>
    </row>
    <row r="25" ht="19.5" customHeight="1">
      <c r="A25" s="46">
        <v>2.0</v>
      </c>
      <c r="B25" s="37" t="s">
        <v>337</v>
      </c>
      <c r="C25" s="46" t="s">
        <v>148</v>
      </c>
      <c r="D25" s="78"/>
      <c r="E25" s="37"/>
      <c r="F25" s="40"/>
      <c r="G25" s="40"/>
      <c r="H25" s="40"/>
      <c r="I25" s="42"/>
      <c r="J25" s="43">
        <f>SUM(H24:H25)</f>
        <v>2.64</v>
      </c>
      <c r="K25" s="79"/>
    </row>
    <row r="26" ht="19.5" customHeight="1">
      <c r="A26" s="74" t="s">
        <v>1</v>
      </c>
      <c r="B26" s="74" t="s">
        <v>91</v>
      </c>
      <c r="C26" s="74" t="s">
        <v>92</v>
      </c>
      <c r="D26" s="76" t="s">
        <v>93</v>
      </c>
      <c r="E26" s="50" t="s">
        <v>97</v>
      </c>
      <c r="F26" s="53" t="s">
        <v>121</v>
      </c>
      <c r="G26" s="53" t="s">
        <v>99</v>
      </c>
      <c r="H26" s="75" t="s">
        <v>100</v>
      </c>
      <c r="I26" s="75" t="s">
        <v>101</v>
      </c>
      <c r="J26" s="76" t="s">
        <v>95</v>
      </c>
      <c r="K26" s="74" t="s">
        <v>96</v>
      </c>
    </row>
    <row r="27" ht="19.5" customHeight="1">
      <c r="A27" s="46">
        <v>1.0</v>
      </c>
      <c r="B27" s="37" t="s">
        <v>338</v>
      </c>
      <c r="C27" s="46" t="s">
        <v>148</v>
      </c>
      <c r="D27" s="78">
        <v>4.0</v>
      </c>
      <c r="E27" s="37">
        <v>0.3</v>
      </c>
      <c r="F27" s="78">
        <v>14.75</v>
      </c>
      <c r="G27" s="40">
        <v>0.14</v>
      </c>
      <c r="H27" s="40">
        <f t="shared" ref="H27:H30" si="4">G27*F27*E27*D27</f>
        <v>2.478</v>
      </c>
      <c r="I27" s="42"/>
      <c r="J27" s="40"/>
      <c r="K27" s="46"/>
    </row>
    <row r="28" ht="19.5" customHeight="1">
      <c r="A28" s="46">
        <v>2.0</v>
      </c>
      <c r="B28" s="37" t="s">
        <v>338</v>
      </c>
      <c r="C28" s="46" t="s">
        <v>148</v>
      </c>
      <c r="D28" s="78">
        <v>2.0</v>
      </c>
      <c r="E28" s="37">
        <v>0.3</v>
      </c>
      <c r="F28" s="78">
        <v>5.0</v>
      </c>
      <c r="G28" s="40">
        <v>0.14</v>
      </c>
      <c r="H28" s="40">
        <f t="shared" si="4"/>
        <v>0.42</v>
      </c>
      <c r="I28" s="42"/>
      <c r="J28" s="107"/>
      <c r="K28" s="46"/>
      <c r="L28" s="14">
        <f>J28+J21</f>
        <v>0</v>
      </c>
    </row>
    <row r="29" ht="19.5" customHeight="1">
      <c r="A29" s="46">
        <v>3.0</v>
      </c>
      <c r="B29" s="37" t="s">
        <v>338</v>
      </c>
      <c r="C29" s="46" t="s">
        <v>148</v>
      </c>
      <c r="D29" s="78">
        <v>1.0</v>
      </c>
      <c r="E29" s="37">
        <v>0.3</v>
      </c>
      <c r="F29" s="78">
        <v>1.65</v>
      </c>
      <c r="G29" s="40">
        <v>0.14</v>
      </c>
      <c r="H29" s="40">
        <f t="shared" si="4"/>
        <v>0.0693</v>
      </c>
      <c r="I29" s="42"/>
      <c r="J29" s="107"/>
      <c r="K29" s="79"/>
      <c r="L29" s="14"/>
    </row>
    <row r="30" ht="19.5" customHeight="1">
      <c r="A30" s="46">
        <v>4.0</v>
      </c>
      <c r="B30" s="37" t="s">
        <v>338</v>
      </c>
      <c r="C30" s="46" t="s">
        <v>148</v>
      </c>
      <c r="D30" s="78">
        <v>1.0</v>
      </c>
      <c r="E30" s="37">
        <v>0.3</v>
      </c>
      <c r="F30" s="78">
        <v>2.55</v>
      </c>
      <c r="G30" s="40">
        <v>0.14</v>
      </c>
      <c r="H30" s="40">
        <f t="shared" si="4"/>
        <v>0.1071</v>
      </c>
      <c r="I30" s="42"/>
      <c r="J30" s="107"/>
      <c r="K30" s="79"/>
      <c r="L30" s="14"/>
    </row>
    <row r="31" ht="19.5" customHeight="1">
      <c r="A31" s="46"/>
      <c r="B31" s="37"/>
      <c r="C31" s="46"/>
      <c r="D31" s="78"/>
      <c r="E31" s="37"/>
      <c r="F31" s="78"/>
      <c r="G31" s="40"/>
      <c r="H31" s="40"/>
      <c r="I31" s="42"/>
      <c r="J31" s="43">
        <f>SUM(H27:H31)</f>
        <v>3.0744</v>
      </c>
      <c r="K31" s="79"/>
      <c r="L31" s="14">
        <f>J31+J19</f>
        <v>3.4944</v>
      </c>
    </row>
    <row r="32" ht="19.5" customHeight="1">
      <c r="A32" s="74" t="s">
        <v>1</v>
      </c>
      <c r="B32" s="74" t="s">
        <v>91</v>
      </c>
      <c r="C32" s="74" t="s">
        <v>92</v>
      </c>
      <c r="D32" s="76" t="s">
        <v>93</v>
      </c>
      <c r="E32" s="50" t="s">
        <v>97</v>
      </c>
      <c r="F32" s="53" t="s">
        <v>121</v>
      </c>
      <c r="G32" s="53" t="s">
        <v>99</v>
      </c>
      <c r="H32" s="75" t="s">
        <v>100</v>
      </c>
      <c r="I32" s="75" t="s">
        <v>101</v>
      </c>
      <c r="J32" s="76" t="s">
        <v>95</v>
      </c>
      <c r="K32" s="74" t="s">
        <v>96</v>
      </c>
    </row>
    <row r="33" ht="19.5" customHeight="1">
      <c r="A33" s="46">
        <v>1.0</v>
      </c>
      <c r="B33" s="37" t="s">
        <v>339</v>
      </c>
      <c r="C33" s="46" t="s">
        <v>148</v>
      </c>
      <c r="D33" s="78">
        <f>H11</f>
        <v>11.616</v>
      </c>
      <c r="E33" s="37"/>
      <c r="F33" s="78"/>
      <c r="G33" s="40"/>
      <c r="H33" s="40">
        <f>D33</f>
        <v>11.616</v>
      </c>
      <c r="I33" s="42"/>
      <c r="J33" s="43">
        <f>H33</f>
        <v>11.616</v>
      </c>
      <c r="K33" s="46"/>
    </row>
    <row r="34" ht="19.5" customHeight="1">
      <c r="A34" s="46">
        <v>2.0</v>
      </c>
      <c r="B34" s="37" t="s">
        <v>340</v>
      </c>
      <c r="C34" s="46" t="s">
        <v>148</v>
      </c>
      <c r="D34" s="78">
        <v>1.0</v>
      </c>
      <c r="E34" s="37">
        <v>0.3</v>
      </c>
      <c r="F34" s="78">
        <v>14.75</v>
      </c>
      <c r="G34" s="40">
        <v>14.75</v>
      </c>
      <c r="H34" s="40">
        <f>(G34*F34*E34)-H33</f>
        <v>53.65275</v>
      </c>
      <c r="I34" s="42"/>
      <c r="J34" s="43">
        <f>H34*1.5</f>
        <v>80.479125</v>
      </c>
      <c r="K34" s="46" t="s">
        <v>341</v>
      </c>
    </row>
    <row r="35" ht="19.5" customHeight="1">
      <c r="A35" s="74" t="s">
        <v>1</v>
      </c>
      <c r="B35" s="74" t="s">
        <v>91</v>
      </c>
      <c r="C35" s="74" t="s">
        <v>92</v>
      </c>
      <c r="D35" s="76" t="s">
        <v>93</v>
      </c>
      <c r="E35" s="50" t="s">
        <v>97</v>
      </c>
      <c r="F35" s="53" t="s">
        <v>121</v>
      </c>
      <c r="G35" s="53" t="s">
        <v>99</v>
      </c>
      <c r="H35" s="75" t="s">
        <v>100</v>
      </c>
      <c r="I35" s="75" t="s">
        <v>101</v>
      </c>
      <c r="J35" s="76" t="s">
        <v>95</v>
      </c>
      <c r="K35" s="74" t="s">
        <v>96</v>
      </c>
      <c r="L35" s="14">
        <f>J21+J49</f>
        <v>2.562</v>
      </c>
    </row>
    <row r="36" ht="19.5" customHeight="1">
      <c r="A36" s="46">
        <v>1.0</v>
      </c>
      <c r="B36" s="37" t="s">
        <v>172</v>
      </c>
      <c r="C36" s="46" t="s">
        <v>148</v>
      </c>
      <c r="D36" s="78">
        <v>1.0</v>
      </c>
      <c r="E36" s="37">
        <v>0.05</v>
      </c>
      <c r="F36" s="78">
        <f t="shared" ref="F36:G36" si="5">F34</f>
        <v>14.75</v>
      </c>
      <c r="G36" s="40">
        <f t="shared" si="5"/>
        <v>14.75</v>
      </c>
      <c r="H36" s="40">
        <f>G36*F36*E36*D36</f>
        <v>10.878125</v>
      </c>
      <c r="I36" s="42"/>
      <c r="J36" s="43">
        <f t="shared" ref="J36:J38" si="7">H36</f>
        <v>10.878125</v>
      </c>
      <c r="K36" s="46"/>
    </row>
    <row r="37" ht="19.5" customHeight="1">
      <c r="A37" s="46">
        <v>2.0</v>
      </c>
      <c r="B37" s="37" t="s">
        <v>342</v>
      </c>
      <c r="C37" s="46" t="s">
        <v>103</v>
      </c>
      <c r="D37" s="78">
        <v>1.0</v>
      </c>
      <c r="E37" s="37">
        <v>0.05</v>
      </c>
      <c r="F37" s="78">
        <f t="shared" ref="F37:G37" si="6">F36</f>
        <v>14.75</v>
      </c>
      <c r="G37" s="78">
        <f t="shared" si="6"/>
        <v>14.75</v>
      </c>
      <c r="H37" s="40">
        <f>G37*F37</f>
        <v>217.5625</v>
      </c>
      <c r="I37" s="42"/>
      <c r="J37" s="43">
        <f t="shared" si="7"/>
        <v>217.5625</v>
      </c>
      <c r="K37" s="46"/>
    </row>
    <row r="38" ht="19.5" customHeight="1">
      <c r="A38" s="46">
        <v>3.0</v>
      </c>
      <c r="B38" s="37" t="s">
        <v>1349</v>
      </c>
      <c r="C38" s="46" t="s">
        <v>103</v>
      </c>
      <c r="D38" s="78">
        <v>1.0</v>
      </c>
      <c r="E38" s="37">
        <v>1.0</v>
      </c>
      <c r="F38" s="78">
        <f t="shared" ref="F38:G38" si="8">F37</f>
        <v>14.75</v>
      </c>
      <c r="G38" s="78">
        <f t="shared" si="8"/>
        <v>14.75</v>
      </c>
      <c r="H38" s="40">
        <f>G38*F38*E38</f>
        <v>217.5625</v>
      </c>
      <c r="I38" s="42"/>
      <c r="J38" s="43">
        <f t="shared" si="7"/>
        <v>217.5625</v>
      </c>
      <c r="K38" s="46" t="s">
        <v>344</v>
      </c>
    </row>
    <row r="39" ht="19.5" customHeight="1">
      <c r="A39" s="74" t="s">
        <v>1</v>
      </c>
      <c r="B39" s="74" t="s">
        <v>91</v>
      </c>
      <c r="C39" s="74" t="s">
        <v>92</v>
      </c>
      <c r="D39" s="76" t="s">
        <v>93</v>
      </c>
      <c r="E39" s="50" t="s">
        <v>97</v>
      </c>
      <c r="F39" s="53" t="s">
        <v>121</v>
      </c>
      <c r="G39" s="53" t="s">
        <v>99</v>
      </c>
      <c r="H39" s="75" t="s">
        <v>100</v>
      </c>
      <c r="I39" s="75" t="s">
        <v>101</v>
      </c>
      <c r="J39" s="76" t="s">
        <v>95</v>
      </c>
      <c r="K39" s="74" t="s">
        <v>96</v>
      </c>
    </row>
    <row r="40" ht="19.5" customHeight="1">
      <c r="A40" s="46">
        <v>1.0</v>
      </c>
      <c r="B40" s="37" t="s">
        <v>345</v>
      </c>
      <c r="C40" s="46" t="s">
        <v>148</v>
      </c>
      <c r="D40" s="78">
        <f t="shared" ref="D40:D43" si="9">D27</f>
        <v>4</v>
      </c>
      <c r="E40" s="37">
        <v>0.3</v>
      </c>
      <c r="F40" s="78">
        <f t="shared" ref="F40:F43" si="10">F27</f>
        <v>14.75</v>
      </c>
      <c r="G40" s="40">
        <v>0.14</v>
      </c>
      <c r="H40" s="40">
        <f t="shared" ref="H40:H43" si="11">G40*F40*E40*D40</f>
        <v>2.478</v>
      </c>
      <c r="I40" s="42"/>
      <c r="J40" s="40"/>
      <c r="K40" s="46"/>
    </row>
    <row r="41" ht="19.5" customHeight="1">
      <c r="A41" s="46">
        <v>2.0</v>
      </c>
      <c r="B41" s="37" t="s">
        <v>345</v>
      </c>
      <c r="C41" s="46" t="s">
        <v>148</v>
      </c>
      <c r="D41" s="78">
        <f t="shared" si="9"/>
        <v>2</v>
      </c>
      <c r="E41" s="37">
        <v>0.3</v>
      </c>
      <c r="F41" s="78">
        <f t="shared" si="10"/>
        <v>5</v>
      </c>
      <c r="G41" s="40">
        <v>0.14</v>
      </c>
      <c r="H41" s="40">
        <f t="shared" si="11"/>
        <v>0.42</v>
      </c>
      <c r="I41" s="42"/>
      <c r="J41" s="107"/>
      <c r="K41" s="46"/>
    </row>
    <row r="42" ht="19.5" customHeight="1">
      <c r="A42" s="46">
        <v>3.0</v>
      </c>
      <c r="B42" s="37" t="s">
        <v>345</v>
      </c>
      <c r="C42" s="46" t="s">
        <v>148</v>
      </c>
      <c r="D42" s="78">
        <f t="shared" si="9"/>
        <v>1</v>
      </c>
      <c r="E42" s="37">
        <v>0.3</v>
      </c>
      <c r="F42" s="78">
        <f t="shared" si="10"/>
        <v>1.65</v>
      </c>
      <c r="G42" s="40">
        <v>0.14</v>
      </c>
      <c r="H42" s="40">
        <f t="shared" si="11"/>
        <v>0.0693</v>
      </c>
      <c r="I42" s="42"/>
      <c r="J42" s="107"/>
      <c r="K42" s="79"/>
    </row>
    <row r="43" ht="19.5" customHeight="1">
      <c r="A43" s="46">
        <v>4.0</v>
      </c>
      <c r="B43" s="37" t="s">
        <v>345</v>
      </c>
      <c r="C43" s="46" t="s">
        <v>148</v>
      </c>
      <c r="D43" s="78">
        <f t="shared" si="9"/>
        <v>1</v>
      </c>
      <c r="E43" s="37">
        <v>0.3</v>
      </c>
      <c r="F43" s="78">
        <f t="shared" si="10"/>
        <v>2.55</v>
      </c>
      <c r="G43" s="40">
        <v>0.14</v>
      </c>
      <c r="H43" s="40">
        <f t="shared" si="11"/>
        <v>0.1071</v>
      </c>
      <c r="I43" s="42"/>
      <c r="J43" s="64">
        <f>SUM(H40:H43)</f>
        <v>3.0744</v>
      </c>
      <c r="K43" s="79"/>
    </row>
    <row r="44" ht="19.5" customHeight="1">
      <c r="A44" s="74" t="s">
        <v>1</v>
      </c>
      <c r="B44" s="74" t="s">
        <v>91</v>
      </c>
      <c r="C44" s="74" t="s">
        <v>92</v>
      </c>
      <c r="D44" s="76" t="s">
        <v>93</v>
      </c>
      <c r="E44" s="50" t="s">
        <v>97</v>
      </c>
      <c r="F44" s="53" t="s">
        <v>121</v>
      </c>
      <c r="G44" s="53" t="s">
        <v>99</v>
      </c>
      <c r="H44" s="75" t="s">
        <v>100</v>
      </c>
      <c r="I44" s="75" t="s">
        <v>101</v>
      </c>
      <c r="J44" s="76" t="s">
        <v>95</v>
      </c>
      <c r="K44" s="74" t="s">
        <v>96</v>
      </c>
    </row>
    <row r="45" ht="19.5" customHeight="1">
      <c r="A45" s="46">
        <v>1.0</v>
      </c>
      <c r="B45" s="37" t="s">
        <v>346</v>
      </c>
      <c r="C45" s="46" t="s">
        <v>148</v>
      </c>
      <c r="D45" s="78">
        <v>4.0</v>
      </c>
      <c r="E45" s="37">
        <v>0.25</v>
      </c>
      <c r="F45" s="40">
        <f t="shared" ref="F45:F48" si="12">F40</f>
        <v>14.75</v>
      </c>
      <c r="G45" s="40">
        <v>0.14</v>
      </c>
      <c r="H45" s="40">
        <f t="shared" ref="H45:H48" si="13">G45*F45*E45*D45</f>
        <v>2.065</v>
      </c>
      <c r="I45" s="42"/>
      <c r="J45" s="40"/>
      <c r="K45" s="46"/>
    </row>
    <row r="46" ht="19.5" customHeight="1">
      <c r="A46" s="46">
        <v>2.0</v>
      </c>
      <c r="B46" s="37" t="s">
        <v>346</v>
      </c>
      <c r="C46" s="46" t="s">
        <v>148</v>
      </c>
      <c r="D46" s="78">
        <v>2.0</v>
      </c>
      <c r="E46" s="37">
        <v>0.25</v>
      </c>
      <c r="F46" s="40">
        <f t="shared" si="12"/>
        <v>5</v>
      </c>
      <c r="G46" s="40">
        <v>0.14</v>
      </c>
      <c r="H46" s="40">
        <f t="shared" si="13"/>
        <v>0.35</v>
      </c>
      <c r="I46" s="42"/>
      <c r="J46" s="107"/>
      <c r="K46" s="46"/>
      <c r="L46" s="14">
        <f>J46+J21+J28</f>
        <v>0</v>
      </c>
    </row>
    <row r="47" ht="19.5" customHeight="1">
      <c r="A47" s="46">
        <v>3.0</v>
      </c>
      <c r="B47" s="37" t="s">
        <v>346</v>
      </c>
      <c r="C47" s="46" t="s">
        <v>148</v>
      </c>
      <c r="D47" s="78">
        <v>1.0</v>
      </c>
      <c r="E47" s="37">
        <v>0.25</v>
      </c>
      <c r="F47" s="40">
        <f t="shared" si="12"/>
        <v>1.65</v>
      </c>
      <c r="G47" s="40">
        <v>0.14</v>
      </c>
      <c r="H47" s="40">
        <f t="shared" si="13"/>
        <v>0.05775</v>
      </c>
      <c r="I47" s="42"/>
      <c r="J47" s="107"/>
      <c r="K47" s="79"/>
      <c r="L47" s="14"/>
    </row>
    <row r="48" ht="19.5" customHeight="1">
      <c r="A48" s="46">
        <v>4.0</v>
      </c>
      <c r="B48" s="37" t="s">
        <v>346</v>
      </c>
      <c r="C48" s="46" t="s">
        <v>148</v>
      </c>
      <c r="D48" s="78">
        <v>1.0</v>
      </c>
      <c r="E48" s="37">
        <v>0.25</v>
      </c>
      <c r="F48" s="40">
        <f t="shared" si="12"/>
        <v>2.55</v>
      </c>
      <c r="G48" s="40">
        <v>0.14</v>
      </c>
      <c r="H48" s="40">
        <f t="shared" si="13"/>
        <v>0.08925</v>
      </c>
      <c r="I48" s="42"/>
      <c r="J48" s="107"/>
      <c r="K48" s="79"/>
      <c r="L48" s="14"/>
    </row>
    <row r="49" ht="19.5" customHeight="1">
      <c r="A49" s="46"/>
      <c r="B49" s="37"/>
      <c r="C49" s="46"/>
      <c r="D49" s="78"/>
      <c r="E49" s="37"/>
      <c r="F49" s="40"/>
      <c r="G49" s="40"/>
      <c r="H49" s="40"/>
      <c r="I49" s="42"/>
      <c r="J49" s="96">
        <f>SUM(H45:H48)</f>
        <v>2.562</v>
      </c>
      <c r="K49" s="79"/>
      <c r="L49" s="14"/>
    </row>
    <row r="50" ht="19.5" customHeight="1">
      <c r="A50" s="74" t="s">
        <v>1</v>
      </c>
      <c r="B50" s="74" t="s">
        <v>91</v>
      </c>
      <c r="C50" s="74" t="s">
        <v>92</v>
      </c>
      <c r="D50" s="76" t="s">
        <v>93</v>
      </c>
      <c r="E50" s="50" t="s">
        <v>97</v>
      </c>
      <c r="F50" s="53" t="s">
        <v>121</v>
      </c>
      <c r="G50" s="53" t="s">
        <v>99</v>
      </c>
      <c r="H50" s="75" t="s">
        <v>100</v>
      </c>
      <c r="I50" s="75" t="s">
        <v>101</v>
      </c>
      <c r="J50" s="76" t="s">
        <v>95</v>
      </c>
      <c r="K50" s="74" t="s">
        <v>96</v>
      </c>
    </row>
    <row r="51" ht="19.5" customHeight="1">
      <c r="A51" s="46">
        <v>1.0</v>
      </c>
      <c r="B51" s="37" t="s">
        <v>176</v>
      </c>
      <c r="C51" s="46" t="s">
        <v>103</v>
      </c>
      <c r="D51" s="78"/>
      <c r="E51" s="37"/>
      <c r="F51" s="40"/>
      <c r="G51" s="40"/>
      <c r="H51" s="40"/>
      <c r="I51" s="42"/>
      <c r="J51" s="43" t="str">
        <f>H51</f>
        <v/>
      </c>
      <c r="K51" s="47"/>
    </row>
    <row r="52" ht="19.5" customHeight="1">
      <c r="A52" s="74" t="s">
        <v>1</v>
      </c>
      <c r="B52" s="74" t="s">
        <v>91</v>
      </c>
      <c r="C52" s="74" t="s">
        <v>92</v>
      </c>
      <c r="D52" s="76" t="s">
        <v>93</v>
      </c>
      <c r="E52" s="50" t="s">
        <v>148</v>
      </c>
      <c r="F52" s="53" t="s">
        <v>347</v>
      </c>
      <c r="G52" s="53" t="s">
        <v>348</v>
      </c>
      <c r="H52" s="75" t="s">
        <v>100</v>
      </c>
      <c r="I52" s="75" t="s">
        <v>101</v>
      </c>
      <c r="J52" s="76" t="s">
        <v>95</v>
      </c>
      <c r="K52" s="74" t="s">
        <v>96</v>
      </c>
    </row>
    <row r="53" ht="20.25" customHeight="1">
      <c r="A53" s="46">
        <v>1.0</v>
      </c>
      <c r="B53" s="37" t="s">
        <v>349</v>
      </c>
      <c r="C53" s="46" t="s">
        <v>103</v>
      </c>
      <c r="D53" s="123">
        <v>1.0</v>
      </c>
      <c r="E53" s="40">
        <f>J25</f>
        <v>2.64</v>
      </c>
      <c r="F53" s="40">
        <v>10.0</v>
      </c>
      <c r="G53" s="40">
        <f t="shared" ref="G53:G55" si="14">E53/4</f>
        <v>0.66</v>
      </c>
      <c r="H53" s="40">
        <f t="shared" ref="H53:H55" si="15">G53*F53</f>
        <v>6.6</v>
      </c>
      <c r="I53" s="42"/>
      <c r="J53" s="107"/>
      <c r="K53" s="127" t="s">
        <v>1350</v>
      </c>
    </row>
    <row r="54" ht="18.75" customHeight="1">
      <c r="A54" s="46">
        <v>2.0</v>
      </c>
      <c r="B54" s="37" t="s">
        <v>351</v>
      </c>
      <c r="C54" s="46" t="s">
        <v>103</v>
      </c>
      <c r="D54" s="128">
        <v>1.0</v>
      </c>
      <c r="E54" s="40">
        <f>J19+J31</f>
        <v>3.4944</v>
      </c>
      <c r="F54" s="40">
        <v>12.0</v>
      </c>
      <c r="G54" s="40">
        <f t="shared" si="14"/>
        <v>0.8736</v>
      </c>
      <c r="H54" s="59">
        <f t="shared" si="15"/>
        <v>10.4832</v>
      </c>
      <c r="I54" s="93"/>
      <c r="J54" s="107"/>
      <c r="K54" s="129"/>
    </row>
    <row r="55" ht="18.0" customHeight="1">
      <c r="A55" s="46">
        <v>3.0</v>
      </c>
      <c r="B55" s="37" t="s">
        <v>352</v>
      </c>
      <c r="C55" s="46" t="s">
        <v>103</v>
      </c>
      <c r="D55" s="128">
        <v>1.0</v>
      </c>
      <c r="E55" s="40">
        <f>J49+J21</f>
        <v>2.562</v>
      </c>
      <c r="F55" s="40">
        <v>12.0</v>
      </c>
      <c r="G55" s="40">
        <f t="shared" si="14"/>
        <v>0.6405</v>
      </c>
      <c r="H55" s="59">
        <f t="shared" si="15"/>
        <v>7.686</v>
      </c>
      <c r="I55" s="93"/>
      <c r="J55" s="107">
        <f>SUM(H53:H55)</f>
        <v>24.7692</v>
      </c>
      <c r="K55" s="130"/>
    </row>
    <row r="56" ht="19.5" customHeight="1">
      <c r="A56" s="74" t="s">
        <v>1</v>
      </c>
      <c r="B56" s="74" t="s">
        <v>91</v>
      </c>
      <c r="C56" s="74" t="s">
        <v>92</v>
      </c>
      <c r="D56" s="76" t="s">
        <v>93</v>
      </c>
      <c r="E56" s="50" t="s">
        <v>97</v>
      </c>
      <c r="F56" s="53" t="s">
        <v>121</v>
      </c>
      <c r="G56" s="53" t="s">
        <v>99</v>
      </c>
      <c r="H56" s="75" t="s">
        <v>100</v>
      </c>
      <c r="I56" s="75" t="s">
        <v>101</v>
      </c>
      <c r="J56" s="76" t="s">
        <v>95</v>
      </c>
      <c r="K56" s="74" t="s">
        <v>96</v>
      </c>
    </row>
    <row r="57" ht="19.5" customHeight="1">
      <c r="A57" s="46">
        <v>1.0</v>
      </c>
      <c r="B57" s="37" t="s">
        <v>177</v>
      </c>
      <c r="C57" s="46" t="s">
        <v>103</v>
      </c>
      <c r="D57" s="78">
        <v>4.0</v>
      </c>
      <c r="E57" s="37">
        <v>4.0</v>
      </c>
      <c r="F57" s="78">
        <v>5.0</v>
      </c>
      <c r="G57" s="40">
        <v>0.09</v>
      </c>
      <c r="H57" s="40">
        <f t="shared" ref="H57:H59" si="16">F57*E57*D57</f>
        <v>80</v>
      </c>
      <c r="I57" s="42"/>
      <c r="J57" s="40">
        <f t="shared" ref="J57:J59" si="17">H57-I57</f>
        <v>80</v>
      </c>
      <c r="K57" s="46"/>
    </row>
    <row r="58" ht="19.5" customHeight="1">
      <c r="A58" s="46">
        <v>2.0</v>
      </c>
      <c r="B58" s="37" t="s">
        <v>177</v>
      </c>
      <c r="C58" s="46" t="s">
        <v>103</v>
      </c>
      <c r="D58" s="78">
        <v>1.0</v>
      </c>
      <c r="E58" s="37">
        <v>4.0</v>
      </c>
      <c r="F58" s="78">
        <v>1.65</v>
      </c>
      <c r="G58" s="40">
        <v>0.09</v>
      </c>
      <c r="H58" s="40">
        <f t="shared" si="16"/>
        <v>6.6</v>
      </c>
      <c r="I58" s="42"/>
      <c r="J58" s="40">
        <f t="shared" si="17"/>
        <v>6.6</v>
      </c>
      <c r="K58" s="46"/>
    </row>
    <row r="59" ht="19.5" customHeight="1">
      <c r="A59" s="46">
        <v>3.0</v>
      </c>
      <c r="B59" s="37" t="s">
        <v>177</v>
      </c>
      <c r="C59" s="79" t="s">
        <v>103</v>
      </c>
      <c r="D59" s="92">
        <v>1.0</v>
      </c>
      <c r="E59" s="37">
        <v>4.0</v>
      </c>
      <c r="F59" s="78">
        <v>2.55</v>
      </c>
      <c r="G59" s="40">
        <v>0.09</v>
      </c>
      <c r="H59" s="40">
        <f t="shared" si="16"/>
        <v>10.2</v>
      </c>
      <c r="I59" s="93"/>
      <c r="J59" s="40">
        <f t="shared" si="17"/>
        <v>10.2</v>
      </c>
      <c r="K59" s="79"/>
    </row>
    <row r="60" ht="19.5" customHeight="1">
      <c r="A60" s="79"/>
      <c r="B60" s="95"/>
      <c r="C60" s="79"/>
      <c r="D60" s="92"/>
      <c r="E60" s="37"/>
      <c r="F60" s="78"/>
      <c r="G60" s="40"/>
      <c r="H60" s="59"/>
      <c r="I60" s="93"/>
      <c r="J60" s="96">
        <f>SUM(J57:J59)</f>
        <v>96.8</v>
      </c>
      <c r="K60" s="79"/>
    </row>
    <row r="61" ht="19.5" customHeight="1">
      <c r="A61" s="74" t="s">
        <v>1</v>
      </c>
      <c r="B61" s="74" t="s">
        <v>91</v>
      </c>
      <c r="C61" s="74" t="s">
        <v>92</v>
      </c>
      <c r="D61" s="76" t="s">
        <v>93</v>
      </c>
      <c r="E61" s="50" t="s">
        <v>97</v>
      </c>
      <c r="F61" s="53" t="s">
        <v>121</v>
      </c>
      <c r="G61" s="53" t="s">
        <v>99</v>
      </c>
      <c r="H61" s="75" t="s">
        <v>100</v>
      </c>
      <c r="I61" s="75" t="s">
        <v>101</v>
      </c>
      <c r="J61" s="76" t="s">
        <v>95</v>
      </c>
      <c r="K61" s="74" t="s">
        <v>96</v>
      </c>
    </row>
    <row r="62" ht="19.5" customHeight="1">
      <c r="A62" s="46">
        <v>1.0</v>
      </c>
      <c r="B62" s="37" t="s">
        <v>182</v>
      </c>
      <c r="C62" s="46" t="s">
        <v>103</v>
      </c>
      <c r="D62" s="78" t="str">
        <f>J51</f>
        <v/>
      </c>
      <c r="E62" s="37"/>
      <c r="F62" s="40"/>
      <c r="G62" s="40"/>
      <c r="H62" s="40" t="str">
        <f>D62</f>
        <v/>
      </c>
      <c r="I62" s="42"/>
      <c r="J62" s="43">
        <f>H62-I62</f>
        <v>0</v>
      </c>
      <c r="K62" s="46" t="s">
        <v>183</v>
      </c>
    </row>
    <row r="63" ht="19.5" customHeight="1">
      <c r="A63" s="74" t="s">
        <v>1</v>
      </c>
      <c r="B63" s="74" t="s">
        <v>91</v>
      </c>
      <c r="C63" s="74" t="s">
        <v>92</v>
      </c>
      <c r="D63" s="76" t="s">
        <v>93</v>
      </c>
      <c r="E63" s="50" t="s">
        <v>187</v>
      </c>
      <c r="F63" s="53"/>
      <c r="G63" s="53" t="s">
        <v>353</v>
      </c>
      <c r="H63" s="75" t="s">
        <v>100</v>
      </c>
      <c r="I63" s="75" t="s">
        <v>101</v>
      </c>
      <c r="J63" s="76" t="s">
        <v>95</v>
      </c>
      <c r="K63" s="74" t="s">
        <v>96</v>
      </c>
    </row>
    <row r="64" ht="19.5" customHeight="1">
      <c r="A64" s="46">
        <v>1.0</v>
      </c>
      <c r="B64" s="37" t="s">
        <v>354</v>
      </c>
      <c r="C64" s="46" t="s">
        <v>158</v>
      </c>
      <c r="D64" s="78">
        <f>J25</f>
        <v>2.64</v>
      </c>
      <c r="E64" s="37">
        <v>80.0</v>
      </c>
      <c r="F64" s="40"/>
      <c r="G64" s="40">
        <f t="shared" ref="G64:G66" si="18">E64*D64</f>
        <v>211.2</v>
      </c>
      <c r="H64" s="40">
        <f t="shared" ref="H64:H66" si="19">E64*D64</f>
        <v>211.2</v>
      </c>
      <c r="I64" s="42"/>
      <c r="J64" s="107"/>
      <c r="K64" s="46" t="s">
        <v>355</v>
      </c>
    </row>
    <row r="65" ht="19.5" customHeight="1">
      <c r="A65" s="46">
        <v>2.0</v>
      </c>
      <c r="B65" s="37" t="s">
        <v>356</v>
      </c>
      <c r="C65" s="46" t="s">
        <v>158</v>
      </c>
      <c r="D65" s="78">
        <f>J19+J31</f>
        <v>3.4944</v>
      </c>
      <c r="E65" s="37">
        <v>90.0</v>
      </c>
      <c r="F65" s="40"/>
      <c r="G65" s="40">
        <f t="shared" si="18"/>
        <v>314.496</v>
      </c>
      <c r="H65" s="40">
        <f t="shared" si="19"/>
        <v>314.496</v>
      </c>
      <c r="I65" s="42"/>
      <c r="J65" s="121"/>
      <c r="K65" s="79"/>
    </row>
    <row r="66" ht="19.5" customHeight="1">
      <c r="A66" s="46">
        <v>3.0</v>
      </c>
      <c r="B66" s="37" t="s">
        <v>357</v>
      </c>
      <c r="C66" s="46" t="s">
        <v>158</v>
      </c>
      <c r="D66" s="78">
        <f>J49+J25</f>
        <v>5.202</v>
      </c>
      <c r="E66" s="37">
        <v>100.0</v>
      </c>
      <c r="F66" s="40"/>
      <c r="G66" s="40">
        <f t="shared" si="18"/>
        <v>520.2</v>
      </c>
      <c r="H66" s="40">
        <f t="shared" si="19"/>
        <v>520.2</v>
      </c>
      <c r="I66" s="42"/>
      <c r="J66" s="121"/>
      <c r="K66" s="79"/>
    </row>
    <row r="67" ht="19.5" customHeight="1">
      <c r="A67" s="46">
        <v>4.0</v>
      </c>
      <c r="B67" s="37" t="s">
        <v>358</v>
      </c>
      <c r="C67" s="46" t="s">
        <v>158</v>
      </c>
      <c r="D67" s="78"/>
      <c r="E67" s="37"/>
      <c r="F67" s="40"/>
      <c r="G67" s="40"/>
      <c r="H67" s="40"/>
      <c r="I67" s="42"/>
      <c r="J67" s="96">
        <f>SUM(H64:H67)</f>
        <v>1045.896</v>
      </c>
      <c r="K67" s="79"/>
    </row>
    <row r="68" ht="19.5" customHeight="1">
      <c r="A68" s="74" t="s">
        <v>1</v>
      </c>
      <c r="B68" s="74" t="s">
        <v>91</v>
      </c>
      <c r="C68" s="74" t="s">
        <v>92</v>
      </c>
      <c r="D68" s="76" t="s">
        <v>93</v>
      </c>
      <c r="E68" s="50" t="s">
        <v>97</v>
      </c>
      <c r="F68" s="53" t="s">
        <v>121</v>
      </c>
      <c r="G68" s="53" t="s">
        <v>99</v>
      </c>
      <c r="H68" s="75" t="s">
        <v>100</v>
      </c>
      <c r="I68" s="75" t="s">
        <v>101</v>
      </c>
      <c r="J68" s="76" t="s">
        <v>95</v>
      </c>
      <c r="K68" s="74" t="s">
        <v>96</v>
      </c>
    </row>
    <row r="69" ht="19.5" customHeight="1">
      <c r="A69" s="46">
        <v>1.0</v>
      </c>
      <c r="B69" s="37" t="s">
        <v>184</v>
      </c>
      <c r="C69" s="46" t="s">
        <v>108</v>
      </c>
      <c r="D69" s="78"/>
      <c r="E69" s="37"/>
      <c r="F69" s="40"/>
      <c r="G69" s="40"/>
      <c r="H69" s="40"/>
      <c r="I69" s="42"/>
      <c r="J69" s="77"/>
      <c r="K69" s="46"/>
    </row>
    <row r="70" ht="19.5" customHeight="1">
      <c r="A70" s="46">
        <v>2.0</v>
      </c>
      <c r="B70" s="37" t="s">
        <v>185</v>
      </c>
      <c r="C70" s="46" t="s">
        <v>108</v>
      </c>
      <c r="D70" s="78">
        <v>4.0</v>
      </c>
      <c r="E70" s="37"/>
      <c r="F70" s="40">
        <v>10.5</v>
      </c>
      <c r="G70" s="40"/>
      <c r="H70" s="40">
        <f>F70*D70+F69</f>
        <v>42</v>
      </c>
      <c r="I70" s="42"/>
      <c r="J70" s="43">
        <f>H70+H69</f>
        <v>42</v>
      </c>
      <c r="K70" s="46" t="s">
        <v>186</v>
      </c>
    </row>
    <row r="71" ht="19.5" customHeight="1">
      <c r="A71" s="74" t="s">
        <v>1</v>
      </c>
      <c r="B71" s="74" t="s">
        <v>91</v>
      </c>
      <c r="C71" s="74" t="s">
        <v>92</v>
      </c>
      <c r="D71" s="76" t="s">
        <v>93</v>
      </c>
      <c r="E71" s="50" t="s">
        <v>187</v>
      </c>
      <c r="F71" s="53" t="s">
        <v>99</v>
      </c>
      <c r="G71" s="53" t="s">
        <v>121</v>
      </c>
      <c r="H71" s="75" t="s">
        <v>100</v>
      </c>
      <c r="I71" s="75" t="s">
        <v>101</v>
      </c>
      <c r="J71" s="76" t="s">
        <v>95</v>
      </c>
      <c r="K71" s="74" t="s">
        <v>96</v>
      </c>
    </row>
    <row r="72" ht="19.5" customHeight="1">
      <c r="A72" s="46">
        <v>1.0</v>
      </c>
      <c r="B72" s="37" t="s">
        <v>188</v>
      </c>
      <c r="C72" s="46" t="s">
        <v>103</v>
      </c>
      <c r="D72" s="78">
        <v>1.0</v>
      </c>
      <c r="E72" s="37">
        <v>12.0</v>
      </c>
      <c r="F72" s="40">
        <v>16.75</v>
      </c>
      <c r="G72" s="40">
        <v>14.75</v>
      </c>
      <c r="H72" s="40">
        <f>G72*F72</f>
        <v>247.0625</v>
      </c>
      <c r="I72" s="42"/>
      <c r="J72" s="43">
        <f>H72-I72</f>
        <v>247.0625</v>
      </c>
      <c r="K72" s="46" t="s">
        <v>359</v>
      </c>
    </row>
    <row r="73" ht="19.5" customHeight="1">
      <c r="A73" s="74" t="s">
        <v>1</v>
      </c>
      <c r="B73" s="74" t="s">
        <v>91</v>
      </c>
      <c r="C73" s="74" t="s">
        <v>92</v>
      </c>
      <c r="D73" s="76" t="s">
        <v>93</v>
      </c>
      <c r="E73" s="50" t="s">
        <v>187</v>
      </c>
      <c r="F73" s="53" t="s">
        <v>99</v>
      </c>
      <c r="G73" s="53" t="s">
        <v>121</v>
      </c>
      <c r="H73" s="75" t="s">
        <v>100</v>
      </c>
      <c r="I73" s="75" t="s">
        <v>101</v>
      </c>
      <c r="J73" s="76" t="s">
        <v>95</v>
      </c>
      <c r="K73" s="74" t="s">
        <v>96</v>
      </c>
    </row>
    <row r="74" ht="19.5" customHeight="1">
      <c r="A74" s="46">
        <v>1.0</v>
      </c>
      <c r="B74" s="37" t="s">
        <v>189</v>
      </c>
      <c r="C74" s="46" t="s">
        <v>103</v>
      </c>
      <c r="D74" s="78">
        <v>1.0</v>
      </c>
      <c r="E74" s="37">
        <v>6.0</v>
      </c>
      <c r="F74" s="40">
        <f t="shared" ref="F74:G74" si="20">F72</f>
        <v>16.75</v>
      </c>
      <c r="G74" s="40">
        <f t="shared" si="20"/>
        <v>14.75</v>
      </c>
      <c r="H74" s="40">
        <f>G74*F74</f>
        <v>247.0625</v>
      </c>
      <c r="I74" s="42"/>
      <c r="J74" s="43">
        <f>H74-I74</f>
        <v>247.0625</v>
      </c>
      <c r="K74" s="46"/>
    </row>
    <row r="75" ht="19.5" customHeight="1">
      <c r="A75" s="74" t="s">
        <v>1</v>
      </c>
      <c r="B75" s="74" t="s">
        <v>91</v>
      </c>
      <c r="C75" s="74" t="s">
        <v>92</v>
      </c>
      <c r="D75" s="76" t="s">
        <v>93</v>
      </c>
      <c r="E75" s="50" t="s">
        <v>99</v>
      </c>
      <c r="F75" s="53" t="s">
        <v>121</v>
      </c>
      <c r="G75" s="53" t="s">
        <v>97</v>
      </c>
      <c r="H75" s="75" t="s">
        <v>100</v>
      </c>
      <c r="I75" s="75" t="s">
        <v>101</v>
      </c>
      <c r="J75" s="76" t="s">
        <v>95</v>
      </c>
      <c r="K75" s="74" t="s">
        <v>96</v>
      </c>
    </row>
    <row r="76" ht="19.5" customHeight="1">
      <c r="A76" s="46">
        <v>1.0</v>
      </c>
      <c r="B76" s="37" t="s">
        <v>360</v>
      </c>
      <c r="C76" s="46" t="s">
        <v>103</v>
      </c>
      <c r="D76" s="78"/>
      <c r="E76" s="37"/>
      <c r="F76" s="40"/>
      <c r="G76" s="40"/>
      <c r="H76" s="40"/>
      <c r="I76" s="42"/>
      <c r="J76" s="43">
        <f>H76-I76</f>
        <v>0</v>
      </c>
      <c r="K76" s="46"/>
    </row>
    <row r="77" ht="19.5" customHeight="1">
      <c r="A77" s="74" t="s">
        <v>1</v>
      </c>
      <c r="B77" s="74" t="s">
        <v>91</v>
      </c>
      <c r="C77" s="74" t="s">
        <v>92</v>
      </c>
      <c r="D77" s="76" t="s">
        <v>93</v>
      </c>
      <c r="E77" s="50" t="s">
        <v>193</v>
      </c>
      <c r="F77" s="53" t="s">
        <v>121</v>
      </c>
      <c r="G77" s="53" t="s">
        <v>194</v>
      </c>
      <c r="H77" s="75" t="s">
        <v>100</v>
      </c>
      <c r="I77" s="75" t="s">
        <v>101</v>
      </c>
      <c r="J77" s="76" t="s">
        <v>95</v>
      </c>
      <c r="K77" s="74" t="s">
        <v>96</v>
      </c>
    </row>
    <row r="78" ht="19.5" customHeight="1">
      <c r="A78" s="46">
        <v>1.0</v>
      </c>
      <c r="B78" s="37" t="s">
        <v>361</v>
      </c>
      <c r="C78" s="46" t="s">
        <v>103</v>
      </c>
      <c r="D78" s="78"/>
      <c r="E78" s="37"/>
      <c r="F78" s="40"/>
      <c r="G78" s="40"/>
      <c r="H78" s="40"/>
      <c r="I78" s="42"/>
      <c r="J78" s="107"/>
      <c r="K78" s="46"/>
    </row>
    <row r="79" ht="19.5" customHeight="1">
      <c r="A79" s="46">
        <v>2.0</v>
      </c>
      <c r="B79" s="37" t="s">
        <v>923</v>
      </c>
      <c r="C79" s="46" t="s">
        <v>103</v>
      </c>
      <c r="D79" s="78">
        <v>1.0</v>
      </c>
      <c r="E79" s="37">
        <v>5.0</v>
      </c>
      <c r="F79" s="40"/>
      <c r="G79" s="40"/>
      <c r="H79" s="40">
        <f>E79*D79</f>
        <v>5</v>
      </c>
      <c r="I79" s="42"/>
      <c r="J79" s="43">
        <f>H79-I79</f>
        <v>5</v>
      </c>
      <c r="K79" s="79"/>
    </row>
    <row r="80" ht="19.5" customHeight="1">
      <c r="A80" s="46">
        <v>3.0</v>
      </c>
      <c r="B80" s="37" t="s">
        <v>362</v>
      </c>
      <c r="C80" s="46" t="s">
        <v>103</v>
      </c>
      <c r="D80" s="78">
        <v>5.0</v>
      </c>
      <c r="E80" s="37">
        <v>0.8</v>
      </c>
      <c r="F80" s="40">
        <f t="shared" ref="F80:F83" si="21">F45</f>
        <v>14.75</v>
      </c>
      <c r="G80" s="40"/>
      <c r="H80" s="40">
        <f t="shared" ref="H80:H83" si="22">F80*E80*D80</f>
        <v>59</v>
      </c>
      <c r="I80" s="42"/>
      <c r="J80" s="107"/>
      <c r="K80" s="79"/>
    </row>
    <row r="81" ht="19.5" customHeight="1">
      <c r="A81" s="46">
        <v>4.0</v>
      </c>
      <c r="B81" s="37" t="s">
        <v>362</v>
      </c>
      <c r="C81" s="46" t="s">
        <v>103</v>
      </c>
      <c r="D81" s="78">
        <v>3.0</v>
      </c>
      <c r="E81" s="37">
        <v>0.8</v>
      </c>
      <c r="F81" s="40">
        <f t="shared" si="21"/>
        <v>5</v>
      </c>
      <c r="G81" s="40"/>
      <c r="H81" s="40">
        <f t="shared" si="22"/>
        <v>12</v>
      </c>
      <c r="I81" s="42"/>
      <c r="J81" s="121"/>
      <c r="K81" s="79"/>
    </row>
    <row r="82" ht="19.5" customHeight="1">
      <c r="A82" s="46">
        <v>5.0</v>
      </c>
      <c r="B82" s="37" t="s">
        <v>362</v>
      </c>
      <c r="C82" s="46" t="s">
        <v>103</v>
      </c>
      <c r="D82" s="78">
        <v>1.0</v>
      </c>
      <c r="E82" s="37">
        <v>0.8</v>
      </c>
      <c r="F82" s="40">
        <f t="shared" si="21"/>
        <v>1.65</v>
      </c>
      <c r="G82" s="40"/>
      <c r="H82" s="40">
        <f t="shared" si="22"/>
        <v>1.32</v>
      </c>
      <c r="I82" s="42"/>
      <c r="J82" s="121"/>
      <c r="K82" s="79"/>
    </row>
    <row r="83" ht="19.5" customHeight="1">
      <c r="A83" s="46">
        <v>6.0</v>
      </c>
      <c r="B83" s="37" t="s">
        <v>362</v>
      </c>
      <c r="C83" s="46" t="s">
        <v>103</v>
      </c>
      <c r="D83" s="78">
        <v>1.0</v>
      </c>
      <c r="E83" s="37">
        <v>0.8</v>
      </c>
      <c r="F83" s="40">
        <f t="shared" si="21"/>
        <v>2.55</v>
      </c>
      <c r="G83" s="40"/>
      <c r="H83" s="40">
        <f t="shared" si="22"/>
        <v>2.04</v>
      </c>
      <c r="I83" s="42"/>
      <c r="J83" s="121"/>
      <c r="K83" s="79"/>
    </row>
    <row r="84" ht="19.5" customHeight="1">
      <c r="A84" s="46">
        <v>7.0</v>
      </c>
      <c r="B84" s="37"/>
      <c r="C84" s="46"/>
      <c r="D84" s="78"/>
      <c r="E84" s="37"/>
      <c r="F84" s="40"/>
      <c r="G84" s="40"/>
      <c r="H84" s="40"/>
      <c r="I84" s="42"/>
      <c r="J84" s="96">
        <f>SUM(H80:H84)</f>
        <v>74.36</v>
      </c>
      <c r="K84" s="79"/>
    </row>
    <row r="85" ht="19.5" customHeight="1">
      <c r="A85" s="74" t="s">
        <v>1</v>
      </c>
      <c r="B85" s="74" t="s">
        <v>91</v>
      </c>
      <c r="C85" s="74" t="s">
        <v>92</v>
      </c>
      <c r="D85" s="76" t="s">
        <v>93</v>
      </c>
      <c r="E85" s="50" t="s">
        <v>161</v>
      </c>
      <c r="F85" s="53" t="s">
        <v>99</v>
      </c>
      <c r="G85" s="53" t="s">
        <v>121</v>
      </c>
      <c r="H85" s="75" t="s">
        <v>100</v>
      </c>
      <c r="I85" s="75" t="s">
        <v>101</v>
      </c>
      <c r="J85" s="76" t="s">
        <v>95</v>
      </c>
      <c r="K85" s="74" t="s">
        <v>96</v>
      </c>
    </row>
    <row r="86" ht="19.5" customHeight="1">
      <c r="A86" s="46">
        <v>1.0</v>
      </c>
      <c r="B86" s="37" t="s">
        <v>930</v>
      </c>
      <c r="C86" s="46" t="s">
        <v>103</v>
      </c>
      <c r="D86" s="78">
        <f>D72</f>
        <v>1</v>
      </c>
      <c r="E86" s="37">
        <v>1.0</v>
      </c>
      <c r="F86" s="40">
        <v>5.0</v>
      </c>
      <c r="G86" s="40">
        <v>5.0</v>
      </c>
      <c r="H86" s="40">
        <f>G86*F86</f>
        <v>25</v>
      </c>
      <c r="I86" s="42"/>
      <c r="J86" s="43">
        <f>H86-I86</f>
        <v>25</v>
      </c>
      <c r="K86" s="46"/>
    </row>
    <row r="87" ht="19.5" customHeight="1">
      <c r="A87" s="74" t="s">
        <v>1</v>
      </c>
      <c r="B87" s="74" t="s">
        <v>91</v>
      </c>
      <c r="C87" s="74" t="s">
        <v>92</v>
      </c>
      <c r="D87" s="76" t="s">
        <v>93</v>
      </c>
      <c r="E87" s="50" t="s">
        <v>97</v>
      </c>
      <c r="F87" s="53" t="s">
        <v>121</v>
      </c>
      <c r="G87" s="53" t="s">
        <v>198</v>
      </c>
      <c r="H87" s="75" t="s">
        <v>100</v>
      </c>
      <c r="I87" s="75" t="s">
        <v>101</v>
      </c>
      <c r="J87" s="76" t="s">
        <v>95</v>
      </c>
      <c r="K87" s="74" t="s">
        <v>96</v>
      </c>
    </row>
    <row r="88" ht="19.5" customHeight="1">
      <c r="A88" s="46">
        <v>1.0</v>
      </c>
      <c r="B88" s="37" t="s">
        <v>363</v>
      </c>
      <c r="C88" s="46" t="s">
        <v>103</v>
      </c>
      <c r="D88" s="78">
        <f t="shared" ref="D88:D90" si="23">D57</f>
        <v>4</v>
      </c>
      <c r="E88" s="37">
        <v>4.0</v>
      </c>
      <c r="F88" s="78">
        <f t="shared" ref="F88:F90" si="24">F57</f>
        <v>5</v>
      </c>
      <c r="G88" s="40">
        <v>2.0</v>
      </c>
      <c r="H88" s="40">
        <f t="shared" ref="H88:H91" si="25">G88*F88*E88*D88</f>
        <v>160</v>
      </c>
      <c r="I88" s="42"/>
      <c r="J88" s="40">
        <f t="shared" ref="J88:J91" si="26">H88-I88</f>
        <v>160</v>
      </c>
      <c r="K88" s="46"/>
    </row>
    <row r="89" ht="19.5" customHeight="1">
      <c r="A89" s="46">
        <v>2.0</v>
      </c>
      <c r="B89" s="37" t="s">
        <v>363</v>
      </c>
      <c r="C89" s="46" t="s">
        <v>103</v>
      </c>
      <c r="D89" s="78">
        <f t="shared" si="23"/>
        <v>1</v>
      </c>
      <c r="E89" s="37">
        <v>4.0</v>
      </c>
      <c r="F89" s="78">
        <f t="shared" si="24"/>
        <v>1.65</v>
      </c>
      <c r="G89" s="40">
        <v>2.0</v>
      </c>
      <c r="H89" s="40">
        <f t="shared" si="25"/>
        <v>13.2</v>
      </c>
      <c r="I89" s="42"/>
      <c r="J89" s="40">
        <f t="shared" si="26"/>
        <v>13.2</v>
      </c>
      <c r="K89" s="46"/>
    </row>
    <row r="90" ht="19.5" customHeight="1">
      <c r="A90" s="46">
        <v>3.0</v>
      </c>
      <c r="B90" s="37" t="s">
        <v>363</v>
      </c>
      <c r="C90" s="46" t="s">
        <v>103</v>
      </c>
      <c r="D90" s="78">
        <f t="shared" si="23"/>
        <v>1</v>
      </c>
      <c r="E90" s="37">
        <v>4.0</v>
      </c>
      <c r="F90" s="78">
        <f t="shared" si="24"/>
        <v>2.55</v>
      </c>
      <c r="G90" s="40">
        <v>2.0</v>
      </c>
      <c r="H90" s="40">
        <f t="shared" si="25"/>
        <v>20.4</v>
      </c>
      <c r="I90" s="42"/>
      <c r="J90" s="40">
        <f t="shared" si="26"/>
        <v>20.4</v>
      </c>
      <c r="K90" s="79"/>
    </row>
    <row r="91" ht="19.5" customHeight="1">
      <c r="A91" s="46">
        <v>4.0</v>
      </c>
      <c r="B91" s="37" t="s">
        <v>363</v>
      </c>
      <c r="C91" s="46" t="s">
        <v>103</v>
      </c>
      <c r="D91" s="78">
        <v>32.0</v>
      </c>
      <c r="E91" s="37">
        <v>5.0</v>
      </c>
      <c r="F91" s="78">
        <v>0.6</v>
      </c>
      <c r="G91" s="40">
        <v>0.3</v>
      </c>
      <c r="H91" s="40">
        <f t="shared" si="25"/>
        <v>28.8</v>
      </c>
      <c r="I91" s="42"/>
      <c r="J91" s="40">
        <f t="shared" si="26"/>
        <v>28.8</v>
      </c>
      <c r="K91" s="79"/>
    </row>
    <row r="92" ht="19.5" customHeight="1">
      <c r="A92" s="79"/>
      <c r="B92" s="95"/>
      <c r="C92" s="79"/>
      <c r="D92" s="92"/>
      <c r="E92" s="37"/>
      <c r="F92" s="78"/>
      <c r="G92" s="40"/>
      <c r="H92" s="59"/>
      <c r="I92" s="93"/>
      <c r="J92" s="96">
        <f>SUM(J88:J91)</f>
        <v>222.4</v>
      </c>
      <c r="K92" s="79"/>
    </row>
    <row r="93" ht="19.5" customHeight="1">
      <c r="A93" s="74" t="s">
        <v>1</v>
      </c>
      <c r="B93" s="74" t="s">
        <v>91</v>
      </c>
      <c r="C93" s="74" t="s">
        <v>92</v>
      </c>
      <c r="D93" s="76" t="s">
        <v>93</v>
      </c>
      <c r="E93" s="50" t="s">
        <v>97</v>
      </c>
      <c r="F93" s="53" t="s">
        <v>121</v>
      </c>
      <c r="G93" s="53" t="s">
        <v>198</v>
      </c>
      <c r="H93" s="75" t="s">
        <v>100</v>
      </c>
      <c r="I93" s="75" t="s">
        <v>101</v>
      </c>
      <c r="J93" s="76" t="s">
        <v>95</v>
      </c>
      <c r="K93" s="74" t="s">
        <v>96</v>
      </c>
    </row>
    <row r="94" ht="19.5" customHeight="1">
      <c r="A94" s="46">
        <v>1.0</v>
      </c>
      <c r="B94" s="37" t="s">
        <v>204</v>
      </c>
      <c r="C94" s="46" t="s">
        <v>103</v>
      </c>
      <c r="D94" s="78">
        <f t="shared" ref="D94:F94" si="27">D88</f>
        <v>4</v>
      </c>
      <c r="E94" s="37">
        <f t="shared" si="27"/>
        <v>4</v>
      </c>
      <c r="F94" s="78">
        <f t="shared" si="27"/>
        <v>5</v>
      </c>
      <c r="G94" s="40">
        <v>1.0</v>
      </c>
      <c r="H94" s="40">
        <f t="shared" ref="H94:H97" si="29">G94*F94*E94*D94</f>
        <v>80</v>
      </c>
      <c r="I94" s="42"/>
      <c r="J94" s="40"/>
      <c r="K94" s="46"/>
    </row>
    <row r="95" ht="19.5" customHeight="1">
      <c r="A95" s="46">
        <v>2.0</v>
      </c>
      <c r="B95" s="37" t="s">
        <v>204</v>
      </c>
      <c r="C95" s="46" t="s">
        <v>103</v>
      </c>
      <c r="D95" s="78">
        <f t="shared" ref="D95:F95" si="28">D89</f>
        <v>1</v>
      </c>
      <c r="E95" s="37">
        <f t="shared" si="28"/>
        <v>4</v>
      </c>
      <c r="F95" s="78">
        <f t="shared" si="28"/>
        <v>1.65</v>
      </c>
      <c r="G95" s="40">
        <v>2.0</v>
      </c>
      <c r="H95" s="40">
        <f t="shared" si="29"/>
        <v>13.2</v>
      </c>
      <c r="I95" s="42"/>
      <c r="J95" s="40"/>
      <c r="K95" s="46"/>
    </row>
    <row r="96" ht="19.5" customHeight="1">
      <c r="A96" s="46">
        <v>3.0</v>
      </c>
      <c r="B96" s="37" t="s">
        <v>204</v>
      </c>
      <c r="C96" s="46" t="s">
        <v>103</v>
      </c>
      <c r="D96" s="78">
        <f t="shared" ref="D96:F96" si="30">D90</f>
        <v>1</v>
      </c>
      <c r="E96" s="37">
        <f t="shared" si="30"/>
        <v>4</v>
      </c>
      <c r="F96" s="78">
        <f t="shared" si="30"/>
        <v>2.55</v>
      </c>
      <c r="G96" s="40">
        <v>4.0</v>
      </c>
      <c r="H96" s="40">
        <f t="shared" si="29"/>
        <v>40.8</v>
      </c>
      <c r="I96" s="42"/>
      <c r="J96" s="40"/>
      <c r="K96" s="46"/>
    </row>
    <row r="97" ht="19.5" customHeight="1">
      <c r="A97" s="46"/>
      <c r="B97" s="37" t="s">
        <v>204</v>
      </c>
      <c r="C97" s="46" t="s">
        <v>103</v>
      </c>
      <c r="D97" s="78">
        <f t="shared" ref="D97:F97" si="31">D91</f>
        <v>32</v>
      </c>
      <c r="E97" s="37">
        <f t="shared" si="31"/>
        <v>5</v>
      </c>
      <c r="F97" s="78">
        <f t="shared" si="31"/>
        <v>0.6</v>
      </c>
      <c r="G97" s="40">
        <v>0.3</v>
      </c>
      <c r="H97" s="40">
        <f t="shared" si="29"/>
        <v>28.8</v>
      </c>
      <c r="I97" s="93"/>
      <c r="J97" s="96">
        <f>SUM(H94:H97)</f>
        <v>162.8</v>
      </c>
      <c r="K97" s="46"/>
    </row>
    <row r="98" ht="19.5" customHeight="1">
      <c r="A98" s="74" t="s">
        <v>1</v>
      </c>
      <c r="B98" s="74" t="s">
        <v>91</v>
      </c>
      <c r="C98" s="74" t="s">
        <v>92</v>
      </c>
      <c r="D98" s="76" t="s">
        <v>93</v>
      </c>
      <c r="E98" s="50" t="s">
        <v>97</v>
      </c>
      <c r="F98" s="53" t="s">
        <v>121</v>
      </c>
      <c r="G98" s="53" t="s">
        <v>198</v>
      </c>
      <c r="H98" s="75" t="s">
        <v>100</v>
      </c>
      <c r="I98" s="75" t="s">
        <v>101</v>
      </c>
      <c r="J98" s="76" t="s">
        <v>95</v>
      </c>
      <c r="K98" s="74" t="s">
        <v>96</v>
      </c>
    </row>
    <row r="99" ht="19.5" customHeight="1">
      <c r="A99" s="46">
        <v>1.0</v>
      </c>
      <c r="B99" s="37" t="s">
        <v>364</v>
      </c>
      <c r="C99" s="46" t="s">
        <v>103</v>
      </c>
      <c r="D99" s="78">
        <v>32.0</v>
      </c>
      <c r="E99" s="37">
        <v>5.0</v>
      </c>
      <c r="F99" s="78">
        <v>0.6</v>
      </c>
      <c r="G99" s="40">
        <v>0.3</v>
      </c>
      <c r="H99" s="40">
        <f t="shared" ref="H99:H100" si="32">F99*E99*D99*G99</f>
        <v>28.8</v>
      </c>
      <c r="I99" s="42"/>
      <c r="J99" s="107"/>
      <c r="K99" s="131"/>
    </row>
    <row r="100" ht="19.5" customHeight="1">
      <c r="A100" s="46">
        <v>2.0</v>
      </c>
      <c r="B100" s="37" t="s">
        <v>364</v>
      </c>
      <c r="C100" s="46" t="s">
        <v>103</v>
      </c>
      <c r="D100" s="78">
        <v>4.0</v>
      </c>
      <c r="E100" s="37">
        <v>4.0</v>
      </c>
      <c r="F100" s="78">
        <v>5.0</v>
      </c>
      <c r="G100" s="40">
        <v>1.0</v>
      </c>
      <c r="H100" s="40">
        <f t="shared" si="32"/>
        <v>80</v>
      </c>
      <c r="I100" s="42"/>
      <c r="J100" s="107"/>
      <c r="K100" s="46"/>
    </row>
    <row r="101" ht="19.5" customHeight="1">
      <c r="A101" s="46">
        <v>3.0</v>
      </c>
      <c r="B101" s="37"/>
      <c r="C101" s="46"/>
      <c r="D101" s="78"/>
      <c r="E101" s="37"/>
      <c r="F101" s="78"/>
      <c r="G101" s="40"/>
      <c r="H101" s="40"/>
      <c r="I101" s="42"/>
      <c r="J101" s="64">
        <f>SUM(H99:H101)-I99-I100</f>
        <v>108.8</v>
      </c>
      <c r="K101" s="46"/>
    </row>
    <row r="102" ht="19.5" customHeight="1">
      <c r="A102" s="46">
        <v>4.0</v>
      </c>
      <c r="B102" s="37" t="s">
        <v>208</v>
      </c>
      <c r="C102" s="46" t="s">
        <v>103</v>
      </c>
      <c r="D102" s="78">
        <v>1.0</v>
      </c>
      <c r="E102" s="37">
        <v>3.0</v>
      </c>
      <c r="F102" s="78">
        <v>1.65</v>
      </c>
      <c r="G102" s="40">
        <v>1.0</v>
      </c>
      <c r="H102" s="40">
        <f>F102*E102*D102*G102</f>
        <v>4.95</v>
      </c>
      <c r="I102" s="42"/>
      <c r="J102" s="40"/>
      <c r="K102" s="46"/>
    </row>
    <row r="103" ht="19.5" customHeight="1">
      <c r="A103" s="46">
        <v>5.0</v>
      </c>
      <c r="B103" s="37" t="s">
        <v>208</v>
      </c>
      <c r="C103" s="46" t="s">
        <v>103</v>
      </c>
      <c r="D103" s="78">
        <v>1.0</v>
      </c>
      <c r="E103" s="37">
        <v>3.0</v>
      </c>
      <c r="F103" s="78">
        <v>2.5</v>
      </c>
      <c r="G103" s="40">
        <v>1.0</v>
      </c>
      <c r="H103" s="40">
        <f>F103*E103*D103</f>
        <v>7.5</v>
      </c>
      <c r="I103" s="42"/>
      <c r="J103" s="77"/>
      <c r="K103" s="46"/>
    </row>
    <row r="104" ht="19.5" customHeight="1">
      <c r="A104" s="46">
        <v>6.0</v>
      </c>
      <c r="B104" s="37" t="s">
        <v>208</v>
      </c>
      <c r="C104" s="46" t="s">
        <v>103</v>
      </c>
      <c r="D104" s="78">
        <v>1.0</v>
      </c>
      <c r="E104" s="37">
        <v>4.0</v>
      </c>
      <c r="F104" s="78">
        <v>5.0</v>
      </c>
      <c r="G104" s="40">
        <v>4.0</v>
      </c>
      <c r="H104" s="40">
        <f>F104*E104*D104*4</f>
        <v>80</v>
      </c>
      <c r="I104" s="93"/>
      <c r="J104" s="107"/>
      <c r="K104" s="79" t="s">
        <v>95</v>
      </c>
    </row>
    <row r="105" ht="19.5" customHeight="1">
      <c r="A105" s="46"/>
      <c r="B105" s="37"/>
      <c r="C105" s="46"/>
      <c r="D105" s="78"/>
      <c r="E105" s="37"/>
      <c r="F105" s="78"/>
      <c r="G105" s="40"/>
      <c r="H105" s="40"/>
      <c r="I105" s="93"/>
      <c r="J105" s="64">
        <f>SUM(H102:H105)-I103</f>
        <v>92.45</v>
      </c>
      <c r="K105" s="132">
        <f>J105+J100</f>
        <v>92.45</v>
      </c>
    </row>
    <row r="106" ht="19.5" customHeight="1">
      <c r="A106" s="74" t="s">
        <v>1</v>
      </c>
      <c r="B106" s="74" t="s">
        <v>91</v>
      </c>
      <c r="C106" s="74" t="s">
        <v>92</v>
      </c>
      <c r="D106" s="76" t="s">
        <v>93</v>
      </c>
      <c r="E106" s="50" t="s">
        <v>97</v>
      </c>
      <c r="F106" s="53" t="s">
        <v>121</v>
      </c>
      <c r="G106" s="53" t="s">
        <v>206</v>
      </c>
      <c r="H106" s="75" t="s">
        <v>100</v>
      </c>
      <c r="I106" s="75" t="s">
        <v>101</v>
      </c>
      <c r="J106" s="76" t="s">
        <v>95</v>
      </c>
      <c r="K106" s="74" t="s">
        <v>96</v>
      </c>
    </row>
    <row r="107" ht="19.5" customHeight="1">
      <c r="A107" s="46">
        <v>1.0</v>
      </c>
      <c r="B107" s="37" t="s">
        <v>365</v>
      </c>
      <c r="C107" s="46" t="s">
        <v>103</v>
      </c>
      <c r="D107" s="78">
        <v>1.0</v>
      </c>
      <c r="E107" s="37">
        <v>3.0</v>
      </c>
      <c r="F107" s="78">
        <v>1.65</v>
      </c>
      <c r="G107" s="40">
        <v>1.0</v>
      </c>
      <c r="H107" s="40">
        <f t="shared" ref="H107:H108" si="33">G107*F107*E107*D107</f>
        <v>4.95</v>
      </c>
      <c r="I107" s="42"/>
      <c r="J107" s="417"/>
      <c r="K107" s="46"/>
    </row>
    <row r="108" ht="19.5" customHeight="1">
      <c r="A108" s="46">
        <v>2.0</v>
      </c>
      <c r="B108" s="37" t="s">
        <v>365</v>
      </c>
      <c r="C108" s="46" t="s">
        <v>103</v>
      </c>
      <c r="D108" s="78">
        <v>1.0</v>
      </c>
      <c r="E108" s="37">
        <v>3.0</v>
      </c>
      <c r="F108" s="78">
        <v>2.55</v>
      </c>
      <c r="G108" s="40">
        <v>4.0</v>
      </c>
      <c r="H108" s="40">
        <f t="shared" si="33"/>
        <v>30.6</v>
      </c>
      <c r="I108" s="42"/>
      <c r="J108" s="64">
        <f>SUM(H107:H108)</f>
        <v>35.55</v>
      </c>
      <c r="K108" s="46"/>
    </row>
    <row r="109" ht="19.5" customHeight="1">
      <c r="A109" s="79">
        <v>7.0</v>
      </c>
      <c r="B109" s="95" t="s">
        <v>366</v>
      </c>
      <c r="C109" s="79" t="s">
        <v>103</v>
      </c>
      <c r="D109" s="92"/>
      <c r="E109" s="37"/>
      <c r="F109" s="78"/>
      <c r="G109" s="40"/>
      <c r="H109" s="59"/>
      <c r="I109" s="93"/>
      <c r="J109" s="133">
        <f>SUM(J107:J108)</f>
        <v>35.55</v>
      </c>
      <c r="K109" s="79"/>
    </row>
    <row r="110" ht="19.5" customHeight="1">
      <c r="A110" s="74" t="s">
        <v>1</v>
      </c>
      <c r="B110" s="74" t="s">
        <v>91</v>
      </c>
      <c r="C110" s="74" t="s">
        <v>92</v>
      </c>
      <c r="D110" s="76" t="s">
        <v>93</v>
      </c>
      <c r="E110" s="50" t="s">
        <v>97</v>
      </c>
      <c r="F110" s="53" t="s">
        <v>121</v>
      </c>
      <c r="G110" s="53" t="s">
        <v>99</v>
      </c>
      <c r="H110" s="75" t="s">
        <v>100</v>
      </c>
      <c r="I110" s="75" t="s">
        <v>101</v>
      </c>
      <c r="J110" s="76" t="s">
        <v>95</v>
      </c>
      <c r="K110" s="74" t="s">
        <v>96</v>
      </c>
    </row>
    <row r="111" ht="19.5" customHeight="1">
      <c r="A111" s="46">
        <v>1.0</v>
      </c>
      <c r="B111" s="37" t="s">
        <v>367</v>
      </c>
      <c r="C111" s="46" t="s">
        <v>103</v>
      </c>
      <c r="D111" s="78">
        <v>1.0</v>
      </c>
      <c r="E111" s="37">
        <v>2.1</v>
      </c>
      <c r="F111" s="78"/>
      <c r="G111" s="40">
        <v>0.9</v>
      </c>
      <c r="H111" s="40">
        <f>G111*E111*D111</f>
        <v>1.89</v>
      </c>
      <c r="I111" s="42"/>
      <c r="J111" s="64">
        <f>H111+H113+H114</f>
        <v>3.47</v>
      </c>
      <c r="K111" s="46"/>
    </row>
    <row r="112" ht="19.5" customHeight="1">
      <c r="A112" s="46">
        <v>2.0</v>
      </c>
      <c r="B112" s="37" t="s">
        <v>368</v>
      </c>
      <c r="C112" s="46" t="s">
        <v>103</v>
      </c>
      <c r="D112" s="78"/>
      <c r="E112" s="37"/>
      <c r="F112" s="78"/>
      <c r="G112" s="40"/>
      <c r="H112" s="40"/>
      <c r="I112" s="42"/>
      <c r="J112" s="64"/>
      <c r="K112" s="46"/>
    </row>
    <row r="113" ht="19.5" customHeight="1">
      <c r="A113" s="46">
        <v>3.0</v>
      </c>
      <c r="B113" s="37" t="s">
        <v>1351</v>
      </c>
      <c r="C113" s="46" t="s">
        <v>103</v>
      </c>
      <c r="D113" s="78">
        <v>1.0</v>
      </c>
      <c r="E113" s="37">
        <v>0.4</v>
      </c>
      <c r="F113" s="78">
        <v>0.8</v>
      </c>
      <c r="G113" s="40"/>
      <c r="H113" s="40">
        <f>F113*E113*D113</f>
        <v>0.32</v>
      </c>
      <c r="I113" s="42"/>
      <c r="J113" s="64">
        <f t="shared" ref="J113:J114" si="34">H113+H115+H116</f>
        <v>2.32</v>
      </c>
      <c r="K113" s="46"/>
    </row>
    <row r="114" ht="19.5" customHeight="1">
      <c r="A114" s="46">
        <v>4.0</v>
      </c>
      <c r="B114" s="37" t="s">
        <v>370</v>
      </c>
      <c r="C114" s="46" t="s">
        <v>103</v>
      </c>
      <c r="D114" s="78">
        <v>1.0</v>
      </c>
      <c r="E114" s="37">
        <v>2.1</v>
      </c>
      <c r="F114" s="78"/>
      <c r="G114" s="40">
        <v>0.6</v>
      </c>
      <c r="H114" s="40">
        <f>G114*E114*D114</f>
        <v>1.26</v>
      </c>
      <c r="I114" s="42"/>
      <c r="J114" s="64">
        <f t="shared" si="34"/>
        <v>1.26</v>
      </c>
      <c r="K114" s="46"/>
    </row>
    <row r="115" ht="19.5" customHeight="1">
      <c r="A115" s="46">
        <v>5.0</v>
      </c>
      <c r="B115" s="37" t="s">
        <v>371</v>
      </c>
      <c r="C115" s="46" t="s">
        <v>103</v>
      </c>
      <c r="D115" s="78">
        <v>1.0</v>
      </c>
      <c r="E115" s="37">
        <v>1.0</v>
      </c>
      <c r="F115" s="78">
        <v>2.0</v>
      </c>
      <c r="G115" s="40"/>
      <c r="H115" s="40">
        <f>F115*E115*D115</f>
        <v>2</v>
      </c>
      <c r="I115" s="42"/>
      <c r="J115" s="64">
        <f>H115</f>
        <v>2</v>
      </c>
      <c r="K115" s="46"/>
    </row>
    <row r="116" ht="19.5" customHeight="1">
      <c r="A116" s="46">
        <v>6.0</v>
      </c>
      <c r="B116" s="37" t="s">
        <v>372</v>
      </c>
      <c r="C116" s="46" t="s">
        <v>103</v>
      </c>
      <c r="D116" s="78"/>
      <c r="E116" s="37"/>
      <c r="F116" s="78"/>
      <c r="G116" s="40"/>
      <c r="H116" s="40"/>
      <c r="I116" s="42"/>
      <c r="J116" s="77"/>
      <c r="K116" s="46"/>
    </row>
    <row r="117" ht="19.5" customHeight="1">
      <c r="A117" s="46">
        <v>7.0</v>
      </c>
      <c r="B117" s="37" t="s">
        <v>373</v>
      </c>
      <c r="C117" s="46" t="s">
        <v>103</v>
      </c>
      <c r="D117" s="78"/>
      <c r="E117" s="37"/>
      <c r="F117" s="78"/>
      <c r="G117" s="40"/>
      <c r="H117" s="40"/>
      <c r="I117" s="42"/>
      <c r="J117" s="77"/>
      <c r="K117" s="79"/>
    </row>
    <row r="118" ht="19.5" customHeight="1">
      <c r="A118" s="74" t="s">
        <v>1</v>
      </c>
      <c r="B118" s="74" t="s">
        <v>91</v>
      </c>
      <c r="C118" s="74" t="s">
        <v>92</v>
      </c>
      <c r="D118" s="76" t="s">
        <v>93</v>
      </c>
      <c r="E118" s="50" t="s">
        <v>161</v>
      </c>
      <c r="F118" s="53" t="s">
        <v>121</v>
      </c>
      <c r="G118" s="53" t="s">
        <v>99</v>
      </c>
      <c r="H118" s="75" t="s">
        <v>100</v>
      </c>
      <c r="I118" s="75" t="s">
        <v>101</v>
      </c>
      <c r="J118" s="76" t="s">
        <v>95</v>
      </c>
      <c r="K118" s="74" t="s">
        <v>96</v>
      </c>
    </row>
    <row r="119" ht="19.5" customHeight="1">
      <c r="A119" s="46">
        <v>1.0</v>
      </c>
      <c r="B119" s="37" t="s">
        <v>162</v>
      </c>
      <c r="C119" s="46" t="s">
        <v>103</v>
      </c>
      <c r="D119" s="78">
        <v>1.0</v>
      </c>
      <c r="E119" s="37">
        <v>4.0</v>
      </c>
      <c r="F119" s="78">
        <v>16.75</v>
      </c>
      <c r="G119" s="40">
        <v>14.75</v>
      </c>
      <c r="H119" s="40">
        <f>G119*E119*D119</f>
        <v>59</v>
      </c>
      <c r="I119" s="42"/>
      <c r="J119" s="40"/>
      <c r="K119" s="46"/>
    </row>
    <row r="120" ht="19.5" customHeight="1">
      <c r="A120" s="46">
        <v>2.0</v>
      </c>
      <c r="B120" s="37" t="s">
        <v>162</v>
      </c>
      <c r="C120" s="46" t="s">
        <v>103</v>
      </c>
      <c r="D120" s="78"/>
      <c r="E120" s="37"/>
      <c r="F120" s="78"/>
      <c r="G120" s="40"/>
      <c r="H120" s="40"/>
      <c r="I120" s="42"/>
      <c r="J120" s="64">
        <f>SUM(H119:H120)</f>
        <v>59</v>
      </c>
      <c r="K120" s="46"/>
    </row>
    <row r="121" ht="19.5" customHeight="1">
      <c r="A121" s="74" t="s">
        <v>1</v>
      </c>
      <c r="B121" s="74" t="s">
        <v>91</v>
      </c>
      <c r="C121" s="74" t="s">
        <v>92</v>
      </c>
      <c r="D121" s="76" t="s">
        <v>93</v>
      </c>
      <c r="E121" s="50" t="s">
        <v>161</v>
      </c>
      <c r="F121" s="53" t="s">
        <v>121</v>
      </c>
      <c r="G121" s="53" t="s">
        <v>99</v>
      </c>
      <c r="H121" s="75" t="s">
        <v>100</v>
      </c>
      <c r="I121" s="75" t="s">
        <v>101</v>
      </c>
      <c r="J121" s="76" t="s">
        <v>95</v>
      </c>
      <c r="K121" s="74" t="s">
        <v>96</v>
      </c>
    </row>
    <row r="122" ht="19.5" customHeight="1">
      <c r="A122" s="46">
        <v>1.0</v>
      </c>
      <c r="B122" s="37" t="s">
        <v>1352</v>
      </c>
      <c r="C122" s="46" t="s">
        <v>106</v>
      </c>
      <c r="D122" s="78">
        <v>1.0</v>
      </c>
      <c r="E122" s="37">
        <v>1.0</v>
      </c>
      <c r="F122" s="78"/>
      <c r="G122" s="40">
        <v>1.0</v>
      </c>
      <c r="H122" s="40">
        <f>G122*E122*D122</f>
        <v>1</v>
      </c>
      <c r="I122" s="42"/>
      <c r="J122" s="40"/>
      <c r="K122" s="46"/>
    </row>
    <row r="123" ht="19.5" customHeight="1">
      <c r="A123" s="46">
        <v>2.0</v>
      </c>
      <c r="B123" s="37" t="s">
        <v>375</v>
      </c>
      <c r="C123" s="46" t="s">
        <v>106</v>
      </c>
      <c r="D123" s="78"/>
      <c r="E123" s="37"/>
      <c r="F123" s="78"/>
      <c r="G123" s="40"/>
      <c r="H123" s="40"/>
      <c r="I123" s="42"/>
      <c r="J123" s="64">
        <f>SUM(H122:H123)</f>
        <v>1</v>
      </c>
      <c r="K123" s="46"/>
    </row>
    <row r="124" ht="19.5" customHeight="1">
      <c r="A124" s="46">
        <v>3.0</v>
      </c>
      <c r="B124" s="37" t="s">
        <v>376</v>
      </c>
      <c r="C124" s="46" t="s">
        <v>106</v>
      </c>
      <c r="D124" s="78">
        <v>10.0</v>
      </c>
      <c r="E124" s="37">
        <v>1.0</v>
      </c>
      <c r="F124" s="78"/>
      <c r="G124" s="40">
        <v>1.0</v>
      </c>
      <c r="H124" s="40">
        <f>G124*E124*D124</f>
        <v>10</v>
      </c>
      <c r="I124" s="42"/>
      <c r="J124" s="64">
        <f>H124</f>
        <v>10</v>
      </c>
      <c r="K124" s="79"/>
    </row>
    <row r="125" ht="19.5" customHeight="1">
      <c r="A125" s="74" t="s">
        <v>1</v>
      </c>
      <c r="B125" s="74" t="s">
        <v>91</v>
      </c>
      <c r="C125" s="74" t="s">
        <v>92</v>
      </c>
      <c r="D125" s="76" t="s">
        <v>93</v>
      </c>
      <c r="E125" s="50" t="s">
        <v>161</v>
      </c>
      <c r="F125" s="53" t="s">
        <v>121</v>
      </c>
      <c r="G125" s="53" t="s">
        <v>99</v>
      </c>
      <c r="H125" s="75" t="s">
        <v>100</v>
      </c>
      <c r="I125" s="75" t="s">
        <v>101</v>
      </c>
      <c r="J125" s="76" t="s">
        <v>95</v>
      </c>
      <c r="K125" s="74" t="s">
        <v>96</v>
      </c>
    </row>
    <row r="126" ht="19.5" customHeight="1">
      <c r="A126" s="46">
        <v>1.0</v>
      </c>
      <c r="B126" s="37" t="s">
        <v>856</v>
      </c>
      <c r="C126" s="46" t="s">
        <v>103</v>
      </c>
      <c r="D126" s="78">
        <v>1.0</v>
      </c>
      <c r="E126" s="37">
        <v>1.0</v>
      </c>
      <c r="F126" s="78">
        <v>1.0</v>
      </c>
      <c r="G126" s="40">
        <v>0.6</v>
      </c>
      <c r="H126" s="40">
        <f>G126*F126*E126*D126</f>
        <v>0.6</v>
      </c>
      <c r="I126" s="42"/>
      <c r="J126" s="40"/>
      <c r="K126" s="46"/>
    </row>
    <row r="127" ht="19.5" customHeight="1">
      <c r="A127" s="46"/>
      <c r="B127" s="37"/>
      <c r="C127" s="46"/>
      <c r="D127" s="78"/>
      <c r="E127" s="37"/>
      <c r="F127" s="78"/>
      <c r="G127" s="40"/>
      <c r="H127" s="40"/>
      <c r="I127" s="93"/>
      <c r="J127" s="64">
        <f>SUM(H126:H127)</f>
        <v>0.6</v>
      </c>
      <c r="K127" s="79"/>
    </row>
    <row r="128" ht="19.5" customHeight="1">
      <c r="A128" s="74" t="s">
        <v>1</v>
      </c>
      <c r="B128" s="74" t="s">
        <v>91</v>
      </c>
      <c r="C128" s="74" t="s">
        <v>92</v>
      </c>
      <c r="D128" s="76" t="s">
        <v>93</v>
      </c>
      <c r="E128" s="50" t="s">
        <v>161</v>
      </c>
      <c r="F128" s="53" t="s">
        <v>121</v>
      </c>
      <c r="G128" s="53" t="s">
        <v>97</v>
      </c>
      <c r="H128" s="75" t="s">
        <v>100</v>
      </c>
      <c r="I128" s="75" t="s">
        <v>101</v>
      </c>
      <c r="J128" s="76" t="s">
        <v>95</v>
      </c>
      <c r="K128" s="74" t="s">
        <v>96</v>
      </c>
    </row>
    <row r="129" ht="19.5" customHeight="1">
      <c r="A129" s="46">
        <v>1.0</v>
      </c>
      <c r="B129" s="37" t="s">
        <v>244</v>
      </c>
      <c r="C129" s="46" t="s">
        <v>103</v>
      </c>
      <c r="D129" s="78"/>
      <c r="E129" s="37"/>
      <c r="F129" s="78"/>
      <c r="G129" s="40"/>
      <c r="H129" s="40"/>
      <c r="I129" s="42"/>
      <c r="J129" s="40"/>
      <c r="K129" s="46"/>
    </row>
    <row r="130" ht="19.5" customHeight="1">
      <c r="A130" s="46">
        <v>2.0</v>
      </c>
      <c r="B130" s="37" t="s">
        <v>244</v>
      </c>
      <c r="C130" s="46" t="s">
        <v>103</v>
      </c>
      <c r="D130" s="78"/>
      <c r="E130" s="37"/>
      <c r="F130" s="78"/>
      <c r="G130" s="40"/>
      <c r="H130" s="40"/>
      <c r="I130" s="42"/>
      <c r="J130" s="64">
        <f>SUM(H129:H130)</f>
        <v>0</v>
      </c>
      <c r="K130" s="46"/>
    </row>
    <row r="131" ht="19.5" customHeight="1">
      <c r="A131" s="74" t="s">
        <v>1</v>
      </c>
      <c r="B131" s="74" t="s">
        <v>91</v>
      </c>
      <c r="C131" s="74" t="s">
        <v>92</v>
      </c>
      <c r="D131" s="76" t="s">
        <v>93</v>
      </c>
      <c r="E131" s="50" t="s">
        <v>161</v>
      </c>
      <c r="F131" s="53"/>
      <c r="G131" s="53"/>
      <c r="H131" s="75" t="s">
        <v>100</v>
      </c>
      <c r="I131" s="75" t="s">
        <v>101</v>
      </c>
      <c r="J131" s="76" t="s">
        <v>95</v>
      </c>
      <c r="K131" s="74" t="s">
        <v>96</v>
      </c>
    </row>
    <row r="132" ht="19.5" customHeight="1">
      <c r="A132" s="46">
        <v>1.0</v>
      </c>
      <c r="B132" s="37" t="s">
        <v>245</v>
      </c>
      <c r="C132" s="46" t="s">
        <v>106</v>
      </c>
      <c r="D132" s="78">
        <v>4.0</v>
      </c>
      <c r="E132" s="37">
        <v>6.0</v>
      </c>
      <c r="F132" s="78"/>
      <c r="G132" s="40"/>
      <c r="H132" s="40">
        <f>E132*D132+6</f>
        <v>30</v>
      </c>
      <c r="I132" s="42"/>
      <c r="J132" s="64">
        <f t="shared" ref="J132:J150" si="35">H132</f>
        <v>30</v>
      </c>
      <c r="K132" s="46"/>
    </row>
    <row r="133" ht="19.5" customHeight="1">
      <c r="A133" s="46">
        <v>2.0</v>
      </c>
      <c r="B133" s="37" t="s">
        <v>245</v>
      </c>
      <c r="C133" s="46" t="s">
        <v>106</v>
      </c>
      <c r="D133" s="78">
        <v>1.0</v>
      </c>
      <c r="E133" s="37">
        <v>1.0</v>
      </c>
      <c r="F133" s="78"/>
      <c r="G133" s="40"/>
      <c r="H133" s="40">
        <f t="shared" ref="H133:H150" si="36">E133*D133</f>
        <v>1</v>
      </c>
      <c r="I133" s="42"/>
      <c r="J133" s="64">
        <f t="shared" si="35"/>
        <v>1</v>
      </c>
      <c r="K133" s="46"/>
    </row>
    <row r="134" ht="19.5" customHeight="1">
      <c r="A134" s="46">
        <v>3.0</v>
      </c>
      <c r="B134" s="37" t="s">
        <v>246</v>
      </c>
      <c r="C134" s="46" t="s">
        <v>106</v>
      </c>
      <c r="D134" s="78">
        <v>12.0</v>
      </c>
      <c r="E134" s="37">
        <v>1.0</v>
      </c>
      <c r="F134" s="78"/>
      <c r="G134" s="40"/>
      <c r="H134" s="40">
        <f t="shared" si="36"/>
        <v>12</v>
      </c>
      <c r="I134" s="42"/>
      <c r="J134" s="64">
        <f t="shared" si="35"/>
        <v>12</v>
      </c>
      <c r="K134" s="46"/>
    </row>
    <row r="135" ht="19.5" customHeight="1">
      <c r="A135" s="46">
        <v>4.0</v>
      </c>
      <c r="B135" s="37" t="s">
        <v>246</v>
      </c>
      <c r="C135" s="46" t="s">
        <v>106</v>
      </c>
      <c r="D135" s="78"/>
      <c r="E135" s="37"/>
      <c r="F135" s="78"/>
      <c r="G135" s="40"/>
      <c r="H135" s="40">
        <f t="shared" si="36"/>
        <v>0</v>
      </c>
      <c r="I135" s="42"/>
      <c r="J135" s="64">
        <f t="shared" si="35"/>
        <v>0</v>
      </c>
      <c r="K135" s="46"/>
    </row>
    <row r="136" ht="19.5" customHeight="1">
      <c r="A136" s="46">
        <v>5.0</v>
      </c>
      <c r="B136" s="37" t="s">
        <v>247</v>
      </c>
      <c r="C136" s="46" t="s">
        <v>106</v>
      </c>
      <c r="D136" s="78">
        <v>2.0</v>
      </c>
      <c r="E136" s="37">
        <v>1.0</v>
      </c>
      <c r="F136" s="78"/>
      <c r="G136" s="40"/>
      <c r="H136" s="40">
        <f t="shared" si="36"/>
        <v>2</v>
      </c>
      <c r="I136" s="42"/>
      <c r="J136" s="64">
        <f t="shared" si="35"/>
        <v>2</v>
      </c>
      <c r="K136" s="46"/>
    </row>
    <row r="137" ht="19.5" customHeight="1">
      <c r="A137" s="46">
        <v>6.0</v>
      </c>
      <c r="B137" s="37" t="s">
        <v>248</v>
      </c>
      <c r="C137" s="46" t="s">
        <v>106</v>
      </c>
      <c r="D137" s="78"/>
      <c r="E137" s="37"/>
      <c r="F137" s="78"/>
      <c r="G137" s="40"/>
      <c r="H137" s="40">
        <f t="shared" si="36"/>
        <v>0</v>
      </c>
      <c r="I137" s="42"/>
      <c r="J137" s="64">
        <f t="shared" si="35"/>
        <v>0</v>
      </c>
      <c r="K137" s="46"/>
    </row>
    <row r="138" ht="19.5" customHeight="1">
      <c r="A138" s="46">
        <v>7.0</v>
      </c>
      <c r="B138" s="37" t="s">
        <v>249</v>
      </c>
      <c r="C138" s="46" t="s">
        <v>106</v>
      </c>
      <c r="D138" s="78">
        <v>4.0</v>
      </c>
      <c r="E138" s="37">
        <v>1.0</v>
      </c>
      <c r="F138" s="78"/>
      <c r="G138" s="40"/>
      <c r="H138" s="40">
        <f t="shared" si="36"/>
        <v>4</v>
      </c>
      <c r="I138" s="42"/>
      <c r="J138" s="64">
        <f t="shared" si="35"/>
        <v>4</v>
      </c>
      <c r="K138" s="46"/>
    </row>
    <row r="139" ht="19.5" customHeight="1">
      <c r="A139" s="46">
        <v>8.0</v>
      </c>
      <c r="B139" s="37" t="s">
        <v>250</v>
      </c>
      <c r="C139" s="46" t="s">
        <v>106</v>
      </c>
      <c r="D139" s="123">
        <f>H138+H137+H136+H135+H134</f>
        <v>18</v>
      </c>
      <c r="E139" s="37">
        <v>1.0</v>
      </c>
      <c r="F139" s="40"/>
      <c r="G139" s="40"/>
      <c r="H139" s="40">
        <f t="shared" si="36"/>
        <v>18</v>
      </c>
      <c r="I139" s="40"/>
      <c r="J139" s="64">
        <f t="shared" si="35"/>
        <v>18</v>
      </c>
      <c r="K139" s="46"/>
    </row>
    <row r="140" ht="19.5" customHeight="1">
      <c r="A140" s="46">
        <v>9.0</v>
      </c>
      <c r="B140" s="37" t="s">
        <v>251</v>
      </c>
      <c r="C140" s="46" t="s">
        <v>106</v>
      </c>
      <c r="D140" s="123">
        <f>H133+H132</f>
        <v>31</v>
      </c>
      <c r="E140" s="37">
        <v>1.0</v>
      </c>
      <c r="F140" s="40"/>
      <c r="G140" s="40"/>
      <c r="H140" s="40">
        <f t="shared" si="36"/>
        <v>31</v>
      </c>
      <c r="I140" s="40"/>
      <c r="J140" s="64">
        <f t="shared" si="35"/>
        <v>31</v>
      </c>
      <c r="K140" s="46"/>
    </row>
    <row r="141" ht="19.5" customHeight="1">
      <c r="A141" s="46">
        <v>10.0</v>
      </c>
      <c r="B141" s="37" t="s">
        <v>252</v>
      </c>
      <c r="C141" s="46" t="s">
        <v>108</v>
      </c>
      <c r="D141" s="123"/>
      <c r="E141" s="37"/>
      <c r="F141" s="40"/>
      <c r="G141" s="40"/>
      <c r="H141" s="40">
        <f t="shared" si="36"/>
        <v>0</v>
      </c>
      <c r="I141" s="40"/>
      <c r="J141" s="64">
        <f t="shared" si="35"/>
        <v>0</v>
      </c>
      <c r="K141" s="46"/>
    </row>
    <row r="142" ht="19.5" customHeight="1">
      <c r="A142" s="46">
        <v>11.0</v>
      </c>
      <c r="B142" s="37" t="s">
        <v>253</v>
      </c>
      <c r="C142" s="46" t="s">
        <v>108</v>
      </c>
      <c r="D142" s="123">
        <v>400.0</v>
      </c>
      <c r="E142" s="37">
        <v>1.0</v>
      </c>
      <c r="F142" s="40"/>
      <c r="G142" s="40"/>
      <c r="H142" s="40">
        <f t="shared" si="36"/>
        <v>400</v>
      </c>
      <c r="I142" s="40"/>
      <c r="J142" s="64">
        <f t="shared" si="35"/>
        <v>400</v>
      </c>
      <c r="K142" s="46"/>
    </row>
    <row r="143" ht="19.5" customHeight="1">
      <c r="A143" s="46">
        <v>12.0</v>
      </c>
      <c r="B143" s="37" t="s">
        <v>254</v>
      </c>
      <c r="C143" s="46" t="s">
        <v>108</v>
      </c>
      <c r="D143" s="123">
        <v>1200.0</v>
      </c>
      <c r="E143" s="37">
        <v>1.0</v>
      </c>
      <c r="F143" s="40"/>
      <c r="G143" s="40"/>
      <c r="H143" s="40">
        <f t="shared" si="36"/>
        <v>1200</v>
      </c>
      <c r="I143" s="40"/>
      <c r="J143" s="64">
        <f t="shared" si="35"/>
        <v>1200</v>
      </c>
      <c r="K143" s="46"/>
    </row>
    <row r="144" ht="19.5" customHeight="1">
      <c r="A144" s="46">
        <f t="shared" ref="A144:A150" si="37">A143+1</f>
        <v>13</v>
      </c>
      <c r="B144" s="37" t="s">
        <v>255</v>
      </c>
      <c r="C144" s="46" t="s">
        <v>108</v>
      </c>
      <c r="D144" s="123">
        <v>60.0</v>
      </c>
      <c r="E144" s="37">
        <v>19.0</v>
      </c>
      <c r="F144" s="40"/>
      <c r="G144" s="40"/>
      <c r="H144" s="40">
        <f t="shared" si="36"/>
        <v>1140</v>
      </c>
      <c r="I144" s="40"/>
      <c r="J144" s="64">
        <f t="shared" si="35"/>
        <v>1140</v>
      </c>
      <c r="K144" s="46"/>
    </row>
    <row r="145" ht="19.5" customHeight="1">
      <c r="A145" s="46">
        <f t="shared" si="37"/>
        <v>14</v>
      </c>
      <c r="B145" s="37" t="s">
        <v>256</v>
      </c>
      <c r="C145" s="46" t="s">
        <v>108</v>
      </c>
      <c r="D145" s="123">
        <v>100.0</v>
      </c>
      <c r="E145" s="37">
        <v>1.0</v>
      </c>
      <c r="F145" s="40"/>
      <c r="G145" s="40"/>
      <c r="H145" s="40">
        <f t="shared" si="36"/>
        <v>100</v>
      </c>
      <c r="I145" s="40"/>
      <c r="J145" s="64">
        <f t="shared" si="35"/>
        <v>100</v>
      </c>
      <c r="K145" s="46"/>
    </row>
    <row r="146" ht="19.5" customHeight="1">
      <c r="A146" s="46">
        <f t="shared" si="37"/>
        <v>15</v>
      </c>
      <c r="B146" s="37" t="s">
        <v>257</v>
      </c>
      <c r="C146" s="46" t="s">
        <v>106</v>
      </c>
      <c r="D146" s="123">
        <v>1.0</v>
      </c>
      <c r="E146" s="37">
        <v>1.0</v>
      </c>
      <c r="F146" s="40"/>
      <c r="G146" s="40"/>
      <c r="H146" s="40">
        <f t="shared" si="36"/>
        <v>1</v>
      </c>
      <c r="I146" s="40"/>
      <c r="J146" s="64">
        <f t="shared" si="35"/>
        <v>1</v>
      </c>
      <c r="K146" s="46"/>
    </row>
    <row r="147" ht="19.5" customHeight="1">
      <c r="A147" s="46">
        <f t="shared" si="37"/>
        <v>16</v>
      </c>
      <c r="B147" s="37" t="s">
        <v>258</v>
      </c>
      <c r="C147" s="46" t="s">
        <v>106</v>
      </c>
      <c r="D147" s="123">
        <v>8.0</v>
      </c>
      <c r="E147" s="37">
        <v>1.0</v>
      </c>
      <c r="F147" s="40"/>
      <c r="G147" s="40"/>
      <c r="H147" s="40">
        <f t="shared" si="36"/>
        <v>8</v>
      </c>
      <c r="I147" s="40"/>
      <c r="J147" s="64">
        <f t="shared" si="35"/>
        <v>8</v>
      </c>
      <c r="K147" s="46"/>
    </row>
    <row r="148" ht="19.5" customHeight="1">
      <c r="A148" s="46">
        <f t="shared" si="37"/>
        <v>17</v>
      </c>
      <c r="B148" s="37" t="s">
        <v>259</v>
      </c>
      <c r="C148" s="46" t="s">
        <v>108</v>
      </c>
      <c r="D148" s="123"/>
      <c r="E148" s="37">
        <v>1.0</v>
      </c>
      <c r="F148" s="40"/>
      <c r="G148" s="40"/>
      <c r="H148" s="40">
        <f t="shared" si="36"/>
        <v>0</v>
      </c>
      <c r="I148" s="40"/>
      <c r="J148" s="64">
        <f t="shared" si="35"/>
        <v>0</v>
      </c>
      <c r="K148" s="46"/>
    </row>
    <row r="149" ht="19.5" customHeight="1">
      <c r="A149" s="46">
        <f t="shared" si="37"/>
        <v>18</v>
      </c>
      <c r="B149" s="37" t="s">
        <v>260</v>
      </c>
      <c r="C149" s="46" t="s">
        <v>108</v>
      </c>
      <c r="D149" s="123"/>
      <c r="E149" s="37">
        <v>1.0</v>
      </c>
      <c r="F149" s="40"/>
      <c r="G149" s="40"/>
      <c r="H149" s="40">
        <f t="shared" si="36"/>
        <v>0</v>
      </c>
      <c r="I149" s="40"/>
      <c r="J149" s="64">
        <f t="shared" si="35"/>
        <v>0</v>
      </c>
      <c r="K149" s="46"/>
    </row>
    <row r="150" ht="19.5" customHeight="1">
      <c r="A150" s="46">
        <f t="shared" si="37"/>
        <v>19</v>
      </c>
      <c r="B150" s="37" t="s">
        <v>261</v>
      </c>
      <c r="C150" s="46" t="s">
        <v>106</v>
      </c>
      <c r="D150" s="123">
        <v>2.0</v>
      </c>
      <c r="E150" s="37">
        <v>1.0</v>
      </c>
      <c r="F150" s="40"/>
      <c r="G150" s="40"/>
      <c r="H150" s="40">
        <f t="shared" si="36"/>
        <v>2</v>
      </c>
      <c r="I150" s="40"/>
      <c r="J150" s="64">
        <f t="shared" si="35"/>
        <v>2</v>
      </c>
      <c r="K150" s="46"/>
    </row>
    <row r="151" ht="19.5" customHeight="1">
      <c r="A151" s="12"/>
      <c r="C151" s="12"/>
      <c r="D151" s="87"/>
      <c r="F151" s="14"/>
      <c r="G151" s="14"/>
      <c r="H151" s="14"/>
      <c r="I151" s="14"/>
      <c r="J151" s="14"/>
      <c r="K151" s="12"/>
    </row>
    <row r="152" ht="19.5" customHeight="1">
      <c r="A152" s="74" t="s">
        <v>1</v>
      </c>
      <c r="B152" s="74" t="s">
        <v>91</v>
      </c>
      <c r="C152" s="74" t="s">
        <v>92</v>
      </c>
      <c r="D152" s="76" t="s">
        <v>93</v>
      </c>
      <c r="E152" s="50" t="s">
        <v>161</v>
      </c>
      <c r="F152" s="53" t="s">
        <v>121</v>
      </c>
      <c r="G152" s="53" t="s">
        <v>99</v>
      </c>
      <c r="H152" s="53" t="s">
        <v>100</v>
      </c>
      <c r="I152" s="53" t="s">
        <v>101</v>
      </c>
      <c r="J152" s="76" t="s">
        <v>95</v>
      </c>
      <c r="K152" s="74" t="s">
        <v>96</v>
      </c>
    </row>
    <row r="153" ht="19.5" customHeight="1">
      <c r="A153" s="46">
        <v>1.0</v>
      </c>
      <c r="B153" s="37" t="s">
        <v>262</v>
      </c>
      <c r="C153" s="46" t="s">
        <v>108</v>
      </c>
      <c r="D153" s="78">
        <v>50.0</v>
      </c>
      <c r="E153" s="37">
        <v>1.0</v>
      </c>
      <c r="F153" s="78"/>
      <c r="G153" s="40"/>
      <c r="H153" s="40">
        <f t="shared" ref="H153:H176" si="38">E153*D153</f>
        <v>50</v>
      </c>
      <c r="I153" s="42"/>
      <c r="J153" s="64">
        <f t="shared" ref="J153:J176" si="39">H153</f>
        <v>50</v>
      </c>
      <c r="K153" s="46"/>
    </row>
    <row r="154" ht="19.5" customHeight="1">
      <c r="A154" s="46">
        <f t="shared" ref="A154:A176" si="40">A153+1</f>
        <v>2</v>
      </c>
      <c r="B154" s="37" t="s">
        <v>263</v>
      </c>
      <c r="C154" s="46" t="s">
        <v>108</v>
      </c>
      <c r="D154" s="123">
        <v>12.0</v>
      </c>
      <c r="E154" s="37">
        <v>1.0</v>
      </c>
      <c r="F154" s="40"/>
      <c r="G154" s="40"/>
      <c r="H154" s="40">
        <f t="shared" si="38"/>
        <v>12</v>
      </c>
      <c r="I154" s="40"/>
      <c r="J154" s="64">
        <f t="shared" si="39"/>
        <v>12</v>
      </c>
      <c r="K154" s="46"/>
    </row>
    <row r="155" ht="19.5" customHeight="1">
      <c r="A155" s="46">
        <f t="shared" si="40"/>
        <v>3</v>
      </c>
      <c r="B155" s="37" t="s">
        <v>264</v>
      </c>
      <c r="C155" s="46" t="s">
        <v>108</v>
      </c>
      <c r="D155" s="123">
        <v>12.0</v>
      </c>
      <c r="E155" s="37">
        <v>1.0</v>
      </c>
      <c r="F155" s="40"/>
      <c r="G155" s="40"/>
      <c r="H155" s="40">
        <f t="shared" si="38"/>
        <v>12</v>
      </c>
      <c r="I155" s="40"/>
      <c r="J155" s="64">
        <f t="shared" si="39"/>
        <v>12</v>
      </c>
      <c r="K155" s="46"/>
    </row>
    <row r="156" ht="19.5" customHeight="1">
      <c r="A156" s="46">
        <f t="shared" si="40"/>
        <v>4</v>
      </c>
      <c r="B156" s="37" t="s">
        <v>265</v>
      </c>
      <c r="C156" s="46" t="s">
        <v>106</v>
      </c>
      <c r="D156" s="123">
        <v>2.0</v>
      </c>
      <c r="E156" s="37">
        <v>1.0</v>
      </c>
      <c r="F156" s="40"/>
      <c r="G156" s="40"/>
      <c r="H156" s="40">
        <f t="shared" si="38"/>
        <v>2</v>
      </c>
      <c r="I156" s="40"/>
      <c r="J156" s="64">
        <f t="shared" si="39"/>
        <v>2</v>
      </c>
      <c r="K156" s="46"/>
    </row>
    <row r="157" ht="19.5" customHeight="1">
      <c r="A157" s="46">
        <f t="shared" si="40"/>
        <v>5</v>
      </c>
      <c r="B157" s="37" t="s">
        <v>266</v>
      </c>
      <c r="C157" s="46" t="s">
        <v>106</v>
      </c>
      <c r="D157" s="123">
        <v>2.0</v>
      </c>
      <c r="E157" s="37">
        <v>1.0</v>
      </c>
      <c r="F157" s="40"/>
      <c r="G157" s="40"/>
      <c r="H157" s="40">
        <f t="shared" si="38"/>
        <v>2</v>
      </c>
      <c r="I157" s="40"/>
      <c r="J157" s="64">
        <f t="shared" si="39"/>
        <v>2</v>
      </c>
      <c r="K157" s="46"/>
    </row>
    <row r="158" ht="19.5" customHeight="1">
      <c r="A158" s="46">
        <f t="shared" si="40"/>
        <v>6</v>
      </c>
      <c r="B158" s="37" t="s">
        <v>267</v>
      </c>
      <c r="C158" s="46" t="s">
        <v>106</v>
      </c>
      <c r="D158" s="123">
        <v>2.0</v>
      </c>
      <c r="E158" s="37">
        <v>1.0</v>
      </c>
      <c r="F158" s="40"/>
      <c r="G158" s="40"/>
      <c r="H158" s="40">
        <f t="shared" si="38"/>
        <v>2</v>
      </c>
      <c r="I158" s="40"/>
      <c r="J158" s="64">
        <f t="shared" si="39"/>
        <v>2</v>
      </c>
      <c r="K158" s="46"/>
    </row>
    <row r="159" ht="19.5" customHeight="1">
      <c r="A159" s="46">
        <f t="shared" si="40"/>
        <v>7</v>
      </c>
      <c r="B159" s="37" t="s">
        <v>268</v>
      </c>
      <c r="C159" s="46" t="s">
        <v>106</v>
      </c>
      <c r="D159" s="123">
        <v>2.0</v>
      </c>
      <c r="E159" s="37">
        <v>1.0</v>
      </c>
      <c r="F159" s="40"/>
      <c r="G159" s="40"/>
      <c r="H159" s="40">
        <f t="shared" si="38"/>
        <v>2</v>
      </c>
      <c r="I159" s="40"/>
      <c r="J159" s="64">
        <f t="shared" si="39"/>
        <v>2</v>
      </c>
      <c r="K159" s="46"/>
    </row>
    <row r="160" ht="19.5" customHeight="1">
      <c r="A160" s="46">
        <f t="shared" si="40"/>
        <v>8</v>
      </c>
      <c r="B160" s="37" t="s">
        <v>269</v>
      </c>
      <c r="C160" s="46" t="s">
        <v>106</v>
      </c>
      <c r="D160" s="123">
        <v>2.0</v>
      </c>
      <c r="E160" s="37">
        <v>1.0</v>
      </c>
      <c r="F160" s="40"/>
      <c r="G160" s="40"/>
      <c r="H160" s="40">
        <f t="shared" si="38"/>
        <v>2</v>
      </c>
      <c r="I160" s="40"/>
      <c r="J160" s="64">
        <f t="shared" si="39"/>
        <v>2</v>
      </c>
      <c r="K160" s="46"/>
    </row>
    <row r="161" ht="19.5" customHeight="1">
      <c r="A161" s="46">
        <f t="shared" si="40"/>
        <v>9</v>
      </c>
      <c r="B161" s="37" t="s">
        <v>270</v>
      </c>
      <c r="C161" s="46" t="s">
        <v>106</v>
      </c>
      <c r="D161" s="123">
        <v>2.0</v>
      </c>
      <c r="E161" s="37">
        <v>1.0</v>
      </c>
      <c r="F161" s="40"/>
      <c r="G161" s="40"/>
      <c r="H161" s="40">
        <f t="shared" si="38"/>
        <v>2</v>
      </c>
      <c r="I161" s="40"/>
      <c r="J161" s="64">
        <f t="shared" si="39"/>
        <v>2</v>
      </c>
      <c r="K161" s="46"/>
    </row>
    <row r="162" ht="19.5" customHeight="1">
      <c r="A162" s="46">
        <f t="shared" si="40"/>
        <v>10</v>
      </c>
      <c r="B162" s="37" t="s">
        <v>271</v>
      </c>
      <c r="C162" s="46" t="s">
        <v>106</v>
      </c>
      <c r="D162" s="123">
        <v>2.0</v>
      </c>
      <c r="E162" s="37">
        <v>1.0</v>
      </c>
      <c r="F162" s="40"/>
      <c r="G162" s="40"/>
      <c r="H162" s="40">
        <f t="shared" si="38"/>
        <v>2</v>
      </c>
      <c r="I162" s="40"/>
      <c r="J162" s="64">
        <f t="shared" si="39"/>
        <v>2</v>
      </c>
      <c r="K162" s="46"/>
    </row>
    <row r="163" ht="19.5" customHeight="1">
      <c r="A163" s="46">
        <f t="shared" si="40"/>
        <v>11</v>
      </c>
      <c r="B163" s="37" t="s">
        <v>272</v>
      </c>
      <c r="C163" s="46" t="s">
        <v>106</v>
      </c>
      <c r="D163" s="123">
        <v>2.0</v>
      </c>
      <c r="E163" s="37">
        <v>1.0</v>
      </c>
      <c r="F163" s="40"/>
      <c r="G163" s="40"/>
      <c r="H163" s="40">
        <f t="shared" si="38"/>
        <v>2</v>
      </c>
      <c r="I163" s="40"/>
      <c r="J163" s="64">
        <f t="shared" si="39"/>
        <v>2</v>
      </c>
      <c r="K163" s="46"/>
    </row>
    <row r="164" ht="19.5" customHeight="1">
      <c r="A164" s="46">
        <f t="shared" si="40"/>
        <v>12</v>
      </c>
      <c r="B164" s="37" t="s">
        <v>273</v>
      </c>
      <c r="C164" s="46" t="s">
        <v>106</v>
      </c>
      <c r="D164" s="123">
        <v>2.0</v>
      </c>
      <c r="E164" s="37">
        <v>1.0</v>
      </c>
      <c r="F164" s="40"/>
      <c r="G164" s="40"/>
      <c r="H164" s="40">
        <f t="shared" si="38"/>
        <v>2</v>
      </c>
      <c r="I164" s="40"/>
      <c r="J164" s="64">
        <f t="shared" si="39"/>
        <v>2</v>
      </c>
      <c r="K164" s="46"/>
    </row>
    <row r="165" ht="19.5" customHeight="1">
      <c r="A165" s="46">
        <f t="shared" si="40"/>
        <v>13</v>
      </c>
      <c r="B165" s="37" t="s">
        <v>274</v>
      </c>
      <c r="C165" s="46" t="s">
        <v>106</v>
      </c>
      <c r="D165" s="123">
        <v>1.0</v>
      </c>
      <c r="E165" s="37">
        <v>1.0</v>
      </c>
      <c r="F165" s="40"/>
      <c r="G165" s="40"/>
      <c r="H165" s="40">
        <f t="shared" si="38"/>
        <v>1</v>
      </c>
      <c r="I165" s="40"/>
      <c r="J165" s="64">
        <f t="shared" si="39"/>
        <v>1</v>
      </c>
      <c r="K165" s="46"/>
    </row>
    <row r="166" ht="19.5" customHeight="1">
      <c r="A166" s="46">
        <f t="shared" si="40"/>
        <v>14</v>
      </c>
      <c r="B166" s="37" t="s">
        <v>275</v>
      </c>
      <c r="C166" s="46" t="s">
        <v>106</v>
      </c>
      <c r="D166" s="123">
        <v>1.0</v>
      </c>
      <c r="E166" s="37">
        <v>1.0</v>
      </c>
      <c r="F166" s="40"/>
      <c r="G166" s="40"/>
      <c r="H166" s="40">
        <f t="shared" si="38"/>
        <v>1</v>
      </c>
      <c r="I166" s="40"/>
      <c r="J166" s="64">
        <f t="shared" si="39"/>
        <v>1</v>
      </c>
      <c r="K166" s="46"/>
    </row>
    <row r="167" ht="19.5" customHeight="1">
      <c r="A167" s="46">
        <f t="shared" si="40"/>
        <v>15</v>
      </c>
      <c r="B167" s="37" t="s">
        <v>276</v>
      </c>
      <c r="C167" s="46" t="s">
        <v>106</v>
      </c>
      <c r="D167" s="123">
        <v>1.0</v>
      </c>
      <c r="E167" s="37">
        <v>1.0</v>
      </c>
      <c r="F167" s="40"/>
      <c r="G167" s="40"/>
      <c r="H167" s="40">
        <f t="shared" si="38"/>
        <v>1</v>
      </c>
      <c r="I167" s="40"/>
      <c r="J167" s="64">
        <f t="shared" si="39"/>
        <v>1</v>
      </c>
      <c r="K167" s="46"/>
    </row>
    <row r="168" ht="19.5" customHeight="1">
      <c r="A168" s="46">
        <f t="shared" si="40"/>
        <v>16</v>
      </c>
      <c r="B168" s="37" t="s">
        <v>277</v>
      </c>
      <c r="C168" s="46" t="s">
        <v>106</v>
      </c>
      <c r="D168" s="123">
        <v>1.0</v>
      </c>
      <c r="E168" s="37">
        <v>1.0</v>
      </c>
      <c r="F168" s="40"/>
      <c r="G168" s="40"/>
      <c r="H168" s="40">
        <f t="shared" si="38"/>
        <v>1</v>
      </c>
      <c r="I168" s="40"/>
      <c r="J168" s="64">
        <f t="shared" si="39"/>
        <v>1</v>
      </c>
      <c r="K168" s="46"/>
    </row>
    <row r="169" ht="19.5" customHeight="1">
      <c r="A169" s="46">
        <f t="shared" si="40"/>
        <v>17</v>
      </c>
      <c r="B169" s="37" t="s">
        <v>278</v>
      </c>
      <c r="C169" s="46" t="s">
        <v>106</v>
      </c>
      <c r="D169" s="123">
        <v>1.0</v>
      </c>
      <c r="E169" s="37">
        <v>1.0</v>
      </c>
      <c r="F169" s="40"/>
      <c r="G169" s="40"/>
      <c r="H169" s="40">
        <f t="shared" si="38"/>
        <v>1</v>
      </c>
      <c r="I169" s="40"/>
      <c r="J169" s="64">
        <f t="shared" si="39"/>
        <v>1</v>
      </c>
      <c r="K169" s="46"/>
    </row>
    <row r="170" ht="19.5" customHeight="1">
      <c r="A170" s="46">
        <f t="shared" si="40"/>
        <v>18</v>
      </c>
      <c r="B170" s="37" t="s">
        <v>279</v>
      </c>
      <c r="C170" s="46" t="s">
        <v>106</v>
      </c>
      <c r="D170" s="123">
        <v>1.0</v>
      </c>
      <c r="E170" s="37">
        <v>1.0</v>
      </c>
      <c r="F170" s="40"/>
      <c r="G170" s="40"/>
      <c r="H170" s="40">
        <f t="shared" si="38"/>
        <v>1</v>
      </c>
      <c r="I170" s="40"/>
      <c r="J170" s="64">
        <f t="shared" si="39"/>
        <v>1</v>
      </c>
      <c r="K170" s="46"/>
    </row>
    <row r="171" ht="19.5" customHeight="1">
      <c r="A171" s="46">
        <f t="shared" si="40"/>
        <v>19</v>
      </c>
      <c r="B171" s="37" t="s">
        <v>280</v>
      </c>
      <c r="C171" s="46" t="s">
        <v>106</v>
      </c>
      <c r="D171" s="123">
        <v>1.0</v>
      </c>
      <c r="E171" s="37">
        <v>1.0</v>
      </c>
      <c r="F171" s="40"/>
      <c r="G171" s="40"/>
      <c r="H171" s="40">
        <f t="shared" si="38"/>
        <v>1</v>
      </c>
      <c r="I171" s="40"/>
      <c r="J171" s="64">
        <f t="shared" si="39"/>
        <v>1</v>
      </c>
      <c r="K171" s="46"/>
    </row>
    <row r="172" ht="19.5" customHeight="1">
      <c r="A172" s="46">
        <f t="shared" si="40"/>
        <v>20</v>
      </c>
      <c r="B172" s="37" t="s">
        <v>281</v>
      </c>
      <c r="C172" s="46" t="s">
        <v>106</v>
      </c>
      <c r="D172" s="123">
        <v>1.0</v>
      </c>
      <c r="E172" s="37">
        <v>1.0</v>
      </c>
      <c r="F172" s="40"/>
      <c r="G172" s="40"/>
      <c r="H172" s="40">
        <f t="shared" si="38"/>
        <v>1</v>
      </c>
      <c r="I172" s="40"/>
      <c r="J172" s="64">
        <f t="shared" si="39"/>
        <v>1</v>
      </c>
      <c r="K172" s="46"/>
    </row>
    <row r="173" ht="19.5" customHeight="1">
      <c r="A173" s="46">
        <f t="shared" si="40"/>
        <v>21</v>
      </c>
      <c r="B173" s="37" t="s">
        <v>378</v>
      </c>
      <c r="C173" s="46" t="s">
        <v>106</v>
      </c>
      <c r="D173" s="123"/>
      <c r="E173" s="37">
        <v>1.0</v>
      </c>
      <c r="F173" s="40"/>
      <c r="G173" s="40"/>
      <c r="H173" s="40">
        <f t="shared" si="38"/>
        <v>0</v>
      </c>
      <c r="I173" s="40"/>
      <c r="J173" s="64">
        <f t="shared" si="39"/>
        <v>0</v>
      </c>
      <c r="K173" s="46"/>
    </row>
    <row r="174" ht="19.5" customHeight="1">
      <c r="A174" s="46">
        <f t="shared" si="40"/>
        <v>22</v>
      </c>
      <c r="B174" s="37" t="s">
        <v>284</v>
      </c>
      <c r="C174" s="46" t="s">
        <v>106</v>
      </c>
      <c r="D174" s="123">
        <v>1.0</v>
      </c>
      <c r="E174" s="37">
        <v>1.0</v>
      </c>
      <c r="F174" s="40"/>
      <c r="G174" s="40"/>
      <c r="H174" s="40">
        <f t="shared" si="38"/>
        <v>1</v>
      </c>
      <c r="I174" s="40"/>
      <c r="J174" s="64">
        <f t="shared" si="39"/>
        <v>1</v>
      </c>
      <c r="K174" s="46"/>
    </row>
    <row r="175" ht="19.5" customHeight="1">
      <c r="A175" s="46">
        <f t="shared" si="40"/>
        <v>23</v>
      </c>
      <c r="B175" s="37" t="s">
        <v>285</v>
      </c>
      <c r="C175" s="46" t="s">
        <v>106</v>
      </c>
      <c r="D175" s="123"/>
      <c r="E175" s="37">
        <v>1.0</v>
      </c>
      <c r="F175" s="40"/>
      <c r="G175" s="40"/>
      <c r="H175" s="40">
        <f t="shared" si="38"/>
        <v>0</v>
      </c>
      <c r="I175" s="40"/>
      <c r="J175" s="64">
        <f t="shared" si="39"/>
        <v>0</v>
      </c>
      <c r="K175" s="79"/>
    </row>
    <row r="176" ht="19.5" customHeight="1">
      <c r="A176" s="46">
        <f t="shared" si="40"/>
        <v>24</v>
      </c>
      <c r="B176" s="37" t="s">
        <v>286</v>
      </c>
      <c r="C176" s="46" t="s">
        <v>106</v>
      </c>
      <c r="D176" s="123"/>
      <c r="E176" s="37">
        <v>1.0</v>
      </c>
      <c r="F176" s="40"/>
      <c r="G176" s="40"/>
      <c r="H176" s="40">
        <f t="shared" si="38"/>
        <v>0</v>
      </c>
      <c r="I176" s="40"/>
      <c r="J176" s="64">
        <f t="shared" si="39"/>
        <v>0</v>
      </c>
      <c r="K176" s="79"/>
    </row>
    <row r="177" ht="19.5" customHeight="1">
      <c r="A177" s="74" t="s">
        <v>1</v>
      </c>
      <c r="B177" s="74" t="s">
        <v>91</v>
      </c>
      <c r="C177" s="74" t="s">
        <v>92</v>
      </c>
      <c r="D177" s="76" t="s">
        <v>93</v>
      </c>
      <c r="E177" s="50" t="s">
        <v>161</v>
      </c>
      <c r="F177" s="53" t="s">
        <v>121</v>
      </c>
      <c r="G177" s="53" t="s">
        <v>99</v>
      </c>
      <c r="H177" s="53" t="s">
        <v>100</v>
      </c>
      <c r="I177" s="53" t="s">
        <v>101</v>
      </c>
      <c r="J177" s="76" t="s">
        <v>95</v>
      </c>
      <c r="K177" s="74" t="s">
        <v>96</v>
      </c>
    </row>
    <row r="178" ht="19.5" customHeight="1">
      <c r="A178" s="46">
        <v>1.0</v>
      </c>
      <c r="B178" s="37" t="s">
        <v>287</v>
      </c>
      <c r="C178" s="46" t="s">
        <v>108</v>
      </c>
      <c r="D178" s="78">
        <v>0.0</v>
      </c>
      <c r="E178" s="37">
        <v>1.0</v>
      </c>
      <c r="F178" s="78"/>
      <c r="G178" s="40"/>
      <c r="H178" s="40">
        <f t="shared" ref="H178:H218" si="41">E178*D178</f>
        <v>0</v>
      </c>
      <c r="I178" s="42"/>
      <c r="J178" s="64">
        <f t="shared" ref="J178:J218" si="42">H178</f>
        <v>0</v>
      </c>
      <c r="K178" s="46"/>
    </row>
    <row r="179" ht="19.5" customHeight="1">
      <c r="A179" s="46">
        <f t="shared" ref="A179:A218" si="43">A178+1</f>
        <v>2</v>
      </c>
      <c r="B179" s="37" t="s">
        <v>288</v>
      </c>
      <c r="C179" s="46" t="s">
        <v>108</v>
      </c>
      <c r="D179" s="78"/>
      <c r="E179" s="37">
        <v>1.0</v>
      </c>
      <c r="F179" s="78"/>
      <c r="G179" s="40"/>
      <c r="H179" s="40">
        <f t="shared" si="41"/>
        <v>0</v>
      </c>
      <c r="I179" s="42"/>
      <c r="J179" s="64">
        <f t="shared" si="42"/>
        <v>0</v>
      </c>
      <c r="K179" s="46"/>
    </row>
    <row r="180" ht="19.5" customHeight="1">
      <c r="A180" s="46">
        <f t="shared" si="43"/>
        <v>3</v>
      </c>
      <c r="B180" s="37" t="s">
        <v>289</v>
      </c>
      <c r="C180" s="46" t="s">
        <v>108</v>
      </c>
      <c r="D180" s="78"/>
      <c r="E180" s="37">
        <v>1.0</v>
      </c>
      <c r="F180" s="78"/>
      <c r="G180" s="40"/>
      <c r="H180" s="40">
        <f t="shared" si="41"/>
        <v>0</v>
      </c>
      <c r="I180" s="42"/>
      <c r="J180" s="64">
        <f t="shared" si="42"/>
        <v>0</v>
      </c>
      <c r="K180" s="46"/>
    </row>
    <row r="181" ht="19.5" customHeight="1">
      <c r="A181" s="46">
        <f t="shared" si="43"/>
        <v>4</v>
      </c>
      <c r="B181" s="37" t="s">
        <v>263</v>
      </c>
      <c r="C181" s="46" t="s">
        <v>108</v>
      </c>
      <c r="D181" s="78"/>
      <c r="E181" s="37">
        <v>1.0</v>
      </c>
      <c r="F181" s="78"/>
      <c r="G181" s="40"/>
      <c r="H181" s="40">
        <f t="shared" si="41"/>
        <v>0</v>
      </c>
      <c r="I181" s="42"/>
      <c r="J181" s="64">
        <f t="shared" si="42"/>
        <v>0</v>
      </c>
      <c r="K181" s="46"/>
    </row>
    <row r="182" ht="19.5" customHeight="1">
      <c r="A182" s="46">
        <f t="shared" si="43"/>
        <v>5</v>
      </c>
      <c r="B182" s="37" t="s">
        <v>264</v>
      </c>
      <c r="C182" s="46" t="s">
        <v>108</v>
      </c>
      <c r="D182" s="123">
        <v>60.0</v>
      </c>
      <c r="E182" s="37">
        <v>1.0</v>
      </c>
      <c r="F182" s="40"/>
      <c r="G182" s="40"/>
      <c r="H182" s="40">
        <f t="shared" si="41"/>
        <v>60</v>
      </c>
      <c r="I182" s="40"/>
      <c r="J182" s="64">
        <f t="shared" si="42"/>
        <v>60</v>
      </c>
      <c r="K182" s="46"/>
    </row>
    <row r="183" ht="19.5" customHeight="1">
      <c r="A183" s="46">
        <f t="shared" si="43"/>
        <v>6</v>
      </c>
      <c r="B183" s="37" t="s">
        <v>290</v>
      </c>
      <c r="C183" s="46" t="s">
        <v>108</v>
      </c>
      <c r="D183" s="123">
        <v>24.0</v>
      </c>
      <c r="E183" s="37">
        <v>1.0</v>
      </c>
      <c r="F183" s="40"/>
      <c r="G183" s="40"/>
      <c r="H183" s="40">
        <f t="shared" si="41"/>
        <v>24</v>
      </c>
      <c r="I183" s="40"/>
      <c r="J183" s="64">
        <f t="shared" si="42"/>
        <v>24</v>
      </c>
      <c r="K183" s="46"/>
    </row>
    <row r="184" ht="19.5" customHeight="1">
      <c r="A184" s="46">
        <f t="shared" si="43"/>
        <v>7</v>
      </c>
      <c r="B184" s="37" t="s">
        <v>291</v>
      </c>
      <c r="C184" s="46" t="s">
        <v>108</v>
      </c>
      <c r="D184" s="123">
        <v>12.0</v>
      </c>
      <c r="E184" s="37">
        <v>1.0</v>
      </c>
      <c r="F184" s="40"/>
      <c r="G184" s="40"/>
      <c r="H184" s="40">
        <f t="shared" si="41"/>
        <v>12</v>
      </c>
      <c r="I184" s="40"/>
      <c r="J184" s="64">
        <f t="shared" si="42"/>
        <v>12</v>
      </c>
      <c r="K184" s="46"/>
    </row>
    <row r="185" ht="19.5" customHeight="1">
      <c r="A185" s="46">
        <f t="shared" si="43"/>
        <v>8</v>
      </c>
      <c r="B185" s="37" t="s">
        <v>292</v>
      </c>
      <c r="C185" s="46" t="s">
        <v>106</v>
      </c>
      <c r="D185" s="123">
        <v>0.0</v>
      </c>
      <c r="E185" s="37">
        <v>1.0</v>
      </c>
      <c r="F185" s="40"/>
      <c r="G185" s="40"/>
      <c r="H185" s="40">
        <f t="shared" si="41"/>
        <v>0</v>
      </c>
      <c r="I185" s="40"/>
      <c r="J185" s="64">
        <f t="shared" si="42"/>
        <v>0</v>
      </c>
      <c r="K185" s="46"/>
    </row>
    <row r="186" ht="19.5" customHeight="1">
      <c r="A186" s="46">
        <f t="shared" si="43"/>
        <v>9</v>
      </c>
      <c r="B186" s="37" t="s">
        <v>293</v>
      </c>
      <c r="C186" s="46" t="s">
        <v>106</v>
      </c>
      <c r="D186" s="123"/>
      <c r="E186" s="37">
        <v>1.0</v>
      </c>
      <c r="F186" s="40"/>
      <c r="G186" s="40"/>
      <c r="H186" s="40">
        <f t="shared" si="41"/>
        <v>0</v>
      </c>
      <c r="I186" s="40"/>
      <c r="J186" s="64">
        <f t="shared" si="42"/>
        <v>0</v>
      </c>
      <c r="K186" s="46"/>
    </row>
    <row r="187" ht="19.5" customHeight="1">
      <c r="A187" s="46">
        <f t="shared" si="43"/>
        <v>10</v>
      </c>
      <c r="B187" s="37" t="s">
        <v>294</v>
      </c>
      <c r="C187" s="46" t="s">
        <v>106</v>
      </c>
      <c r="D187" s="123"/>
      <c r="E187" s="37">
        <v>1.0</v>
      </c>
      <c r="F187" s="40"/>
      <c r="G187" s="40"/>
      <c r="H187" s="40">
        <f t="shared" si="41"/>
        <v>0</v>
      </c>
      <c r="I187" s="40"/>
      <c r="J187" s="64">
        <f t="shared" si="42"/>
        <v>0</v>
      </c>
      <c r="K187" s="46"/>
    </row>
    <row r="188" ht="19.5" customHeight="1">
      <c r="A188" s="46">
        <f t="shared" si="43"/>
        <v>11</v>
      </c>
      <c r="B188" s="37" t="s">
        <v>295</v>
      </c>
      <c r="C188" s="46" t="s">
        <v>106</v>
      </c>
      <c r="D188" s="123"/>
      <c r="E188" s="37">
        <v>1.0</v>
      </c>
      <c r="F188" s="40"/>
      <c r="G188" s="40"/>
      <c r="H188" s="40">
        <f t="shared" si="41"/>
        <v>0</v>
      </c>
      <c r="I188" s="40"/>
      <c r="J188" s="64">
        <f t="shared" si="42"/>
        <v>0</v>
      </c>
      <c r="K188" s="46"/>
    </row>
    <row r="189" ht="19.5" customHeight="1">
      <c r="A189" s="46">
        <f t="shared" si="43"/>
        <v>12</v>
      </c>
      <c r="B189" s="37" t="s">
        <v>270</v>
      </c>
      <c r="C189" s="46" t="s">
        <v>106</v>
      </c>
      <c r="D189" s="123">
        <v>2.0</v>
      </c>
      <c r="E189" s="37">
        <v>1.0</v>
      </c>
      <c r="F189" s="40"/>
      <c r="G189" s="40"/>
      <c r="H189" s="40">
        <f t="shared" si="41"/>
        <v>2</v>
      </c>
      <c r="I189" s="40"/>
      <c r="J189" s="64">
        <f t="shared" si="42"/>
        <v>2</v>
      </c>
      <c r="K189" s="46"/>
    </row>
    <row r="190" ht="19.5" customHeight="1">
      <c r="A190" s="46">
        <f t="shared" si="43"/>
        <v>13</v>
      </c>
      <c r="B190" s="37" t="s">
        <v>296</v>
      </c>
      <c r="C190" s="46" t="s">
        <v>106</v>
      </c>
      <c r="D190" s="123">
        <v>2.0</v>
      </c>
      <c r="E190" s="37">
        <v>2.0</v>
      </c>
      <c r="F190" s="40"/>
      <c r="G190" s="40"/>
      <c r="H190" s="40">
        <f t="shared" si="41"/>
        <v>4</v>
      </c>
      <c r="I190" s="40"/>
      <c r="J190" s="64">
        <f t="shared" si="42"/>
        <v>4</v>
      </c>
      <c r="K190" s="46"/>
    </row>
    <row r="191" ht="19.5" customHeight="1">
      <c r="A191" s="46">
        <f t="shared" si="43"/>
        <v>14</v>
      </c>
      <c r="B191" s="37" t="s">
        <v>297</v>
      </c>
      <c r="C191" s="46" t="s">
        <v>106</v>
      </c>
      <c r="D191" s="123">
        <v>4.0</v>
      </c>
      <c r="E191" s="37">
        <v>2.0</v>
      </c>
      <c r="F191" s="40"/>
      <c r="G191" s="40"/>
      <c r="H191" s="40">
        <f t="shared" si="41"/>
        <v>8</v>
      </c>
      <c r="I191" s="40"/>
      <c r="J191" s="64">
        <f t="shared" si="42"/>
        <v>8</v>
      </c>
      <c r="K191" s="46"/>
    </row>
    <row r="192" ht="19.5" customHeight="1">
      <c r="A192" s="46">
        <f t="shared" si="43"/>
        <v>15</v>
      </c>
      <c r="B192" s="37" t="s">
        <v>298</v>
      </c>
      <c r="C192" s="46" t="s">
        <v>106</v>
      </c>
      <c r="D192" s="123"/>
      <c r="E192" s="37">
        <v>1.0</v>
      </c>
      <c r="F192" s="40"/>
      <c r="G192" s="40"/>
      <c r="H192" s="40">
        <f t="shared" si="41"/>
        <v>0</v>
      </c>
      <c r="I192" s="40"/>
      <c r="J192" s="64">
        <f t="shared" si="42"/>
        <v>0</v>
      </c>
      <c r="K192" s="46"/>
    </row>
    <row r="193" ht="19.5" customHeight="1">
      <c r="A193" s="46">
        <f t="shared" si="43"/>
        <v>16</v>
      </c>
      <c r="B193" s="37" t="s">
        <v>299</v>
      </c>
      <c r="C193" s="46" t="s">
        <v>106</v>
      </c>
      <c r="D193" s="123"/>
      <c r="E193" s="37">
        <v>1.0</v>
      </c>
      <c r="F193" s="40"/>
      <c r="G193" s="40"/>
      <c r="H193" s="40">
        <f t="shared" si="41"/>
        <v>0</v>
      </c>
      <c r="I193" s="40"/>
      <c r="J193" s="64">
        <f t="shared" si="42"/>
        <v>0</v>
      </c>
      <c r="K193" s="46"/>
    </row>
    <row r="194" ht="19.5" customHeight="1">
      <c r="A194" s="46">
        <f t="shared" si="43"/>
        <v>17</v>
      </c>
      <c r="B194" s="37" t="s">
        <v>300</v>
      </c>
      <c r="C194" s="46" t="s">
        <v>106</v>
      </c>
      <c r="D194" s="123"/>
      <c r="E194" s="37">
        <v>1.0</v>
      </c>
      <c r="F194" s="40"/>
      <c r="G194" s="40"/>
      <c r="H194" s="40">
        <f t="shared" si="41"/>
        <v>0</v>
      </c>
      <c r="I194" s="40"/>
      <c r="J194" s="64">
        <f t="shared" si="42"/>
        <v>0</v>
      </c>
      <c r="K194" s="46"/>
    </row>
    <row r="195" ht="19.5" customHeight="1">
      <c r="A195" s="46">
        <f t="shared" si="43"/>
        <v>18</v>
      </c>
      <c r="B195" s="37" t="s">
        <v>301</v>
      </c>
      <c r="C195" s="46" t="s">
        <v>106</v>
      </c>
      <c r="D195" s="123"/>
      <c r="E195" s="37">
        <v>1.0</v>
      </c>
      <c r="F195" s="40"/>
      <c r="G195" s="40"/>
      <c r="H195" s="40">
        <f t="shared" si="41"/>
        <v>0</v>
      </c>
      <c r="I195" s="40"/>
      <c r="J195" s="64">
        <f t="shared" si="42"/>
        <v>0</v>
      </c>
      <c r="K195" s="46"/>
    </row>
    <row r="196" ht="19.5" customHeight="1">
      <c r="A196" s="46">
        <f t="shared" si="43"/>
        <v>19</v>
      </c>
      <c r="B196" s="37" t="s">
        <v>302</v>
      </c>
      <c r="C196" s="46" t="s">
        <v>106</v>
      </c>
      <c r="D196" s="123">
        <v>2.0</v>
      </c>
      <c r="E196" s="37">
        <v>1.0</v>
      </c>
      <c r="F196" s="40"/>
      <c r="G196" s="40"/>
      <c r="H196" s="40">
        <f t="shared" si="41"/>
        <v>2</v>
      </c>
      <c r="I196" s="40"/>
      <c r="J196" s="64">
        <f t="shared" si="42"/>
        <v>2</v>
      </c>
      <c r="K196" s="46"/>
    </row>
    <row r="197" ht="19.5" customHeight="1">
      <c r="A197" s="46">
        <f t="shared" si="43"/>
        <v>20</v>
      </c>
      <c r="B197" s="37" t="s">
        <v>303</v>
      </c>
      <c r="C197" s="46" t="s">
        <v>106</v>
      </c>
      <c r="D197" s="123">
        <v>1.0</v>
      </c>
      <c r="E197" s="37">
        <v>1.0</v>
      </c>
      <c r="F197" s="40"/>
      <c r="G197" s="40"/>
      <c r="H197" s="40">
        <f t="shared" si="41"/>
        <v>1</v>
      </c>
      <c r="I197" s="40"/>
      <c r="J197" s="64">
        <f t="shared" si="42"/>
        <v>1</v>
      </c>
      <c r="K197" s="46"/>
    </row>
    <row r="198" ht="19.5" customHeight="1">
      <c r="A198" s="46">
        <f t="shared" si="43"/>
        <v>21</v>
      </c>
      <c r="B198" s="37" t="s">
        <v>304</v>
      </c>
      <c r="C198" s="46" t="s">
        <v>106</v>
      </c>
      <c r="D198" s="123">
        <v>4.0</v>
      </c>
      <c r="E198" s="37">
        <v>1.0</v>
      </c>
      <c r="F198" s="40"/>
      <c r="G198" s="40"/>
      <c r="H198" s="40">
        <f t="shared" si="41"/>
        <v>4</v>
      </c>
      <c r="I198" s="40"/>
      <c r="J198" s="64">
        <f t="shared" si="42"/>
        <v>4</v>
      </c>
      <c r="K198" s="46"/>
    </row>
    <row r="199" ht="19.5" customHeight="1">
      <c r="A199" s="46">
        <f t="shared" si="43"/>
        <v>22</v>
      </c>
      <c r="B199" s="37" t="s">
        <v>305</v>
      </c>
      <c r="C199" s="46" t="s">
        <v>106</v>
      </c>
      <c r="D199" s="123"/>
      <c r="E199" s="37">
        <v>1.0</v>
      </c>
      <c r="F199" s="40"/>
      <c r="G199" s="40"/>
      <c r="H199" s="40">
        <f t="shared" si="41"/>
        <v>0</v>
      </c>
      <c r="I199" s="40"/>
      <c r="J199" s="64">
        <f t="shared" si="42"/>
        <v>0</v>
      </c>
      <c r="K199" s="46"/>
    </row>
    <row r="200" ht="19.5" customHeight="1">
      <c r="A200" s="46">
        <f t="shared" si="43"/>
        <v>23</v>
      </c>
      <c r="B200" s="37" t="s">
        <v>306</v>
      </c>
      <c r="C200" s="46" t="s">
        <v>106</v>
      </c>
      <c r="D200" s="123"/>
      <c r="E200" s="37">
        <v>1.0</v>
      </c>
      <c r="F200" s="40"/>
      <c r="G200" s="40"/>
      <c r="H200" s="40">
        <f t="shared" si="41"/>
        <v>0</v>
      </c>
      <c r="I200" s="40"/>
      <c r="J200" s="64">
        <f t="shared" si="42"/>
        <v>0</v>
      </c>
      <c r="K200" s="46"/>
    </row>
    <row r="201" ht="19.5" customHeight="1">
      <c r="A201" s="46">
        <f t="shared" si="43"/>
        <v>24</v>
      </c>
      <c r="B201" s="37" t="s">
        <v>307</v>
      </c>
      <c r="C201" s="46" t="s">
        <v>106</v>
      </c>
      <c r="D201" s="123"/>
      <c r="E201" s="37">
        <v>1.0</v>
      </c>
      <c r="F201" s="40"/>
      <c r="G201" s="40"/>
      <c r="H201" s="40">
        <f t="shared" si="41"/>
        <v>0</v>
      </c>
      <c r="I201" s="40"/>
      <c r="J201" s="64">
        <f t="shared" si="42"/>
        <v>0</v>
      </c>
      <c r="K201" s="46"/>
    </row>
    <row r="202" ht="19.5" customHeight="1">
      <c r="A202" s="46">
        <f t="shared" si="43"/>
        <v>25</v>
      </c>
      <c r="B202" s="37" t="s">
        <v>308</v>
      </c>
      <c r="C202" s="46" t="s">
        <v>106</v>
      </c>
      <c r="D202" s="123"/>
      <c r="E202" s="37">
        <v>1.0</v>
      </c>
      <c r="F202" s="40"/>
      <c r="G202" s="40"/>
      <c r="H202" s="40">
        <f t="shared" si="41"/>
        <v>0</v>
      </c>
      <c r="I202" s="40"/>
      <c r="J202" s="64">
        <f t="shared" si="42"/>
        <v>0</v>
      </c>
      <c r="K202" s="46"/>
    </row>
    <row r="203" ht="19.5" customHeight="1">
      <c r="A203" s="46">
        <f t="shared" si="43"/>
        <v>26</v>
      </c>
      <c r="B203" s="37" t="s">
        <v>309</v>
      </c>
      <c r="C203" s="46" t="s">
        <v>106</v>
      </c>
      <c r="D203" s="123">
        <v>4.0</v>
      </c>
      <c r="E203" s="37">
        <v>1.0</v>
      </c>
      <c r="F203" s="40"/>
      <c r="G203" s="40"/>
      <c r="H203" s="40">
        <f t="shared" si="41"/>
        <v>4</v>
      </c>
      <c r="I203" s="40"/>
      <c r="J203" s="64">
        <f t="shared" si="42"/>
        <v>4</v>
      </c>
      <c r="K203" s="46"/>
    </row>
    <row r="204" ht="19.5" customHeight="1">
      <c r="A204" s="46">
        <f t="shared" si="43"/>
        <v>27</v>
      </c>
      <c r="B204" s="37" t="s">
        <v>310</v>
      </c>
      <c r="C204" s="46" t="s">
        <v>106</v>
      </c>
      <c r="D204" s="123">
        <v>2.0</v>
      </c>
      <c r="E204" s="37">
        <v>1.0</v>
      </c>
      <c r="F204" s="40"/>
      <c r="G204" s="40"/>
      <c r="H204" s="40">
        <f t="shared" si="41"/>
        <v>2</v>
      </c>
      <c r="I204" s="40"/>
      <c r="J204" s="64">
        <f t="shared" si="42"/>
        <v>2</v>
      </c>
      <c r="K204" s="46"/>
    </row>
    <row r="205" ht="19.5" customHeight="1">
      <c r="A205" s="46">
        <f t="shared" si="43"/>
        <v>28</v>
      </c>
      <c r="B205" s="37" t="s">
        <v>311</v>
      </c>
      <c r="C205" s="46" t="s">
        <v>106</v>
      </c>
      <c r="D205" s="123">
        <v>4.0</v>
      </c>
      <c r="E205" s="37">
        <v>1.0</v>
      </c>
      <c r="F205" s="40"/>
      <c r="G205" s="40"/>
      <c r="H205" s="40">
        <f t="shared" si="41"/>
        <v>4</v>
      </c>
      <c r="I205" s="40"/>
      <c r="J205" s="64">
        <f t="shared" si="42"/>
        <v>4</v>
      </c>
      <c r="K205" s="46"/>
    </row>
    <row r="206" ht="19.5" customHeight="1">
      <c r="A206" s="46">
        <f t="shared" si="43"/>
        <v>29</v>
      </c>
      <c r="B206" s="37" t="s">
        <v>312</v>
      </c>
      <c r="C206" s="46" t="s">
        <v>106</v>
      </c>
      <c r="D206" s="123">
        <v>2.0</v>
      </c>
      <c r="E206" s="37">
        <v>1.0</v>
      </c>
      <c r="F206" s="40"/>
      <c r="G206" s="40"/>
      <c r="H206" s="40">
        <f t="shared" si="41"/>
        <v>2</v>
      </c>
      <c r="I206" s="40"/>
      <c r="J206" s="64">
        <f t="shared" si="42"/>
        <v>2</v>
      </c>
      <c r="K206" s="46"/>
    </row>
    <row r="207" ht="19.5" customHeight="1">
      <c r="A207" s="46">
        <f t="shared" si="43"/>
        <v>30</v>
      </c>
      <c r="B207" s="37" t="s">
        <v>313</v>
      </c>
      <c r="C207" s="46" t="s">
        <v>106</v>
      </c>
      <c r="D207" s="123">
        <v>2.0</v>
      </c>
      <c r="E207" s="37">
        <v>1.0</v>
      </c>
      <c r="F207" s="40"/>
      <c r="G207" s="40"/>
      <c r="H207" s="40">
        <f t="shared" si="41"/>
        <v>2</v>
      </c>
      <c r="I207" s="40"/>
      <c r="J207" s="64">
        <f t="shared" si="42"/>
        <v>2</v>
      </c>
      <c r="K207" s="46"/>
    </row>
    <row r="208" ht="19.5" customHeight="1">
      <c r="A208" s="46">
        <f t="shared" si="43"/>
        <v>31</v>
      </c>
      <c r="B208" s="37" t="s">
        <v>314</v>
      </c>
      <c r="C208" s="46" t="s">
        <v>106</v>
      </c>
      <c r="D208" s="123">
        <v>2.0</v>
      </c>
      <c r="E208" s="37">
        <v>1.0</v>
      </c>
      <c r="F208" s="40"/>
      <c r="G208" s="40"/>
      <c r="H208" s="40">
        <f t="shared" si="41"/>
        <v>2</v>
      </c>
      <c r="I208" s="40"/>
      <c r="J208" s="64">
        <f t="shared" si="42"/>
        <v>2</v>
      </c>
      <c r="K208" s="46"/>
    </row>
    <row r="209" ht="19.5" customHeight="1">
      <c r="A209" s="46">
        <f t="shared" si="43"/>
        <v>32</v>
      </c>
      <c r="B209" s="37" t="s">
        <v>315</v>
      </c>
      <c r="C209" s="46" t="s">
        <v>106</v>
      </c>
      <c r="D209" s="123">
        <v>2.0</v>
      </c>
      <c r="E209" s="37">
        <v>1.0</v>
      </c>
      <c r="F209" s="40"/>
      <c r="G209" s="40"/>
      <c r="H209" s="40">
        <f t="shared" si="41"/>
        <v>2</v>
      </c>
      <c r="I209" s="40"/>
      <c r="J209" s="64">
        <f t="shared" si="42"/>
        <v>2</v>
      </c>
      <c r="K209" s="46"/>
    </row>
    <row r="210" ht="19.5" customHeight="1">
      <c r="A210" s="46">
        <f t="shared" si="43"/>
        <v>33</v>
      </c>
      <c r="B210" s="37" t="s">
        <v>316</v>
      </c>
      <c r="C210" s="46" t="s">
        <v>106</v>
      </c>
      <c r="D210" s="123">
        <v>1.0</v>
      </c>
      <c r="E210" s="37">
        <v>1.0</v>
      </c>
      <c r="F210" s="40"/>
      <c r="G210" s="40"/>
      <c r="H210" s="40">
        <f t="shared" si="41"/>
        <v>1</v>
      </c>
      <c r="I210" s="40"/>
      <c r="J210" s="64">
        <f t="shared" si="42"/>
        <v>1</v>
      </c>
      <c r="K210" s="46"/>
    </row>
    <row r="211" ht="19.5" customHeight="1">
      <c r="A211" s="46">
        <f t="shared" si="43"/>
        <v>34</v>
      </c>
      <c r="B211" s="37" t="s">
        <v>317</v>
      </c>
      <c r="C211" s="46" t="s">
        <v>106</v>
      </c>
      <c r="D211" s="123">
        <v>1.0</v>
      </c>
      <c r="E211" s="37">
        <v>1.0</v>
      </c>
      <c r="F211" s="40"/>
      <c r="G211" s="40"/>
      <c r="H211" s="40">
        <f t="shared" si="41"/>
        <v>1</v>
      </c>
      <c r="I211" s="40"/>
      <c r="J211" s="64">
        <f t="shared" si="42"/>
        <v>1</v>
      </c>
      <c r="K211" s="46"/>
    </row>
    <row r="212" ht="19.5" customHeight="1">
      <c r="A212" s="46">
        <f t="shared" si="43"/>
        <v>35</v>
      </c>
      <c r="B212" s="37" t="s">
        <v>318</v>
      </c>
      <c r="C212" s="46" t="s">
        <v>106</v>
      </c>
      <c r="D212" s="123">
        <v>1.0</v>
      </c>
      <c r="E212" s="37">
        <v>1.0</v>
      </c>
      <c r="F212" s="40"/>
      <c r="G212" s="40"/>
      <c r="H212" s="40">
        <f t="shared" si="41"/>
        <v>1</v>
      </c>
      <c r="I212" s="40"/>
      <c r="J212" s="64">
        <f t="shared" si="42"/>
        <v>1</v>
      </c>
      <c r="K212" s="46"/>
    </row>
    <row r="213" ht="19.5" customHeight="1">
      <c r="A213" s="46">
        <f t="shared" si="43"/>
        <v>36</v>
      </c>
      <c r="B213" s="37" t="s">
        <v>319</v>
      </c>
      <c r="C213" s="46" t="s">
        <v>106</v>
      </c>
      <c r="D213" s="123">
        <v>2.0</v>
      </c>
      <c r="E213" s="37">
        <v>1.0</v>
      </c>
      <c r="F213" s="40"/>
      <c r="G213" s="40"/>
      <c r="H213" s="40">
        <f t="shared" si="41"/>
        <v>2</v>
      </c>
      <c r="I213" s="40"/>
      <c r="J213" s="64">
        <f t="shared" si="42"/>
        <v>2</v>
      </c>
      <c r="K213" s="46"/>
    </row>
    <row r="214" ht="19.5" customHeight="1">
      <c r="A214" s="46">
        <f t="shared" si="43"/>
        <v>37</v>
      </c>
      <c r="B214" s="37" t="s">
        <v>320</v>
      </c>
      <c r="C214" s="46" t="s">
        <v>106</v>
      </c>
      <c r="D214" s="123">
        <v>2.0</v>
      </c>
      <c r="E214" s="37">
        <v>1.0</v>
      </c>
      <c r="F214" s="40"/>
      <c r="G214" s="40"/>
      <c r="H214" s="40">
        <f t="shared" si="41"/>
        <v>2</v>
      </c>
      <c r="I214" s="40"/>
      <c r="J214" s="64">
        <f t="shared" si="42"/>
        <v>2</v>
      </c>
      <c r="K214" s="46"/>
    </row>
    <row r="215" ht="19.5" customHeight="1">
      <c r="A215" s="46">
        <f t="shared" si="43"/>
        <v>38</v>
      </c>
      <c r="B215" s="37" t="s">
        <v>321</v>
      </c>
      <c r="C215" s="46" t="s">
        <v>106</v>
      </c>
      <c r="D215" s="123">
        <v>1.0</v>
      </c>
      <c r="E215" s="37">
        <v>1.0</v>
      </c>
      <c r="F215" s="40"/>
      <c r="G215" s="40"/>
      <c r="H215" s="40">
        <f t="shared" si="41"/>
        <v>1</v>
      </c>
      <c r="I215" s="40"/>
      <c r="J215" s="64">
        <f t="shared" si="42"/>
        <v>1</v>
      </c>
      <c r="K215" s="46"/>
    </row>
    <row r="216" ht="19.5" customHeight="1">
      <c r="A216" s="46">
        <f t="shared" si="43"/>
        <v>39</v>
      </c>
      <c r="B216" s="37" t="s">
        <v>322</v>
      </c>
      <c r="C216" s="46" t="s">
        <v>106</v>
      </c>
      <c r="D216" s="123">
        <v>1.0</v>
      </c>
      <c r="E216" s="37">
        <v>1.0</v>
      </c>
      <c r="F216" s="40"/>
      <c r="G216" s="40"/>
      <c r="H216" s="40">
        <f t="shared" si="41"/>
        <v>1</v>
      </c>
      <c r="I216" s="40"/>
      <c r="J216" s="64">
        <f t="shared" si="42"/>
        <v>1</v>
      </c>
      <c r="K216" s="46"/>
    </row>
    <row r="217" ht="19.5" customHeight="1">
      <c r="A217" s="46">
        <f t="shared" si="43"/>
        <v>40</v>
      </c>
      <c r="B217" s="37" t="s">
        <v>323</v>
      </c>
      <c r="C217" s="46" t="s">
        <v>108</v>
      </c>
      <c r="D217" s="123">
        <v>20.0</v>
      </c>
      <c r="E217" s="37">
        <v>1.0</v>
      </c>
      <c r="F217" s="40"/>
      <c r="G217" s="40"/>
      <c r="H217" s="40">
        <f t="shared" si="41"/>
        <v>20</v>
      </c>
      <c r="I217" s="40"/>
      <c r="J217" s="64">
        <f t="shared" si="42"/>
        <v>20</v>
      </c>
      <c r="K217" s="46"/>
    </row>
    <row r="218" ht="19.5" customHeight="1">
      <c r="A218" s="46">
        <f t="shared" si="43"/>
        <v>41</v>
      </c>
      <c r="B218" s="37" t="s">
        <v>324</v>
      </c>
      <c r="C218" s="46" t="s">
        <v>325</v>
      </c>
      <c r="D218" s="123">
        <v>1.0</v>
      </c>
      <c r="E218" s="37">
        <v>1.0</v>
      </c>
      <c r="F218" s="40"/>
      <c r="G218" s="40"/>
      <c r="H218" s="40">
        <f t="shared" si="41"/>
        <v>1</v>
      </c>
      <c r="I218" s="40"/>
      <c r="J218" s="64">
        <f t="shared" si="42"/>
        <v>1</v>
      </c>
      <c r="K218" s="46"/>
    </row>
    <row r="219" ht="19.5" customHeight="1">
      <c r="A219" s="12"/>
      <c r="C219" s="12"/>
      <c r="D219" s="87"/>
      <c r="F219" s="14"/>
      <c r="G219" s="14"/>
      <c r="H219" s="14"/>
      <c r="I219" s="14"/>
      <c r="J219" s="14"/>
      <c r="K219" s="12"/>
    </row>
    <row r="220" ht="19.5" customHeight="1">
      <c r="A220" s="74" t="s">
        <v>1</v>
      </c>
      <c r="B220" s="74" t="s">
        <v>91</v>
      </c>
      <c r="C220" s="74" t="s">
        <v>92</v>
      </c>
      <c r="D220" s="76" t="s">
        <v>93</v>
      </c>
      <c r="E220" s="50" t="s">
        <v>161</v>
      </c>
      <c r="F220" s="53" t="s">
        <v>121</v>
      </c>
      <c r="G220" s="53" t="s">
        <v>99</v>
      </c>
      <c r="H220" s="53" t="s">
        <v>100</v>
      </c>
      <c r="I220" s="53" t="s">
        <v>101</v>
      </c>
      <c r="J220" s="76" t="s">
        <v>95</v>
      </c>
      <c r="K220" s="74" t="s">
        <v>96</v>
      </c>
    </row>
    <row r="221" ht="19.5" customHeight="1">
      <c r="A221" s="46">
        <v>1.0</v>
      </c>
      <c r="B221" s="37" t="s">
        <v>326</v>
      </c>
      <c r="C221" s="46" t="s">
        <v>106</v>
      </c>
      <c r="D221" s="78">
        <v>1.0</v>
      </c>
      <c r="E221" s="37">
        <v>1.0</v>
      </c>
      <c r="F221" s="78"/>
      <c r="G221" s="40"/>
      <c r="H221" s="40">
        <f t="shared" ref="H221:H224" si="44">E221*D221</f>
        <v>1</v>
      </c>
      <c r="I221" s="42"/>
      <c r="J221" s="43">
        <f t="shared" ref="J221:J224" si="45">H221</f>
        <v>1</v>
      </c>
      <c r="K221" s="46"/>
    </row>
    <row r="222" ht="19.5" customHeight="1">
      <c r="A222" s="46">
        <v>2.0</v>
      </c>
      <c r="B222" s="37" t="s">
        <v>327</v>
      </c>
      <c r="C222" s="46" t="s">
        <v>106</v>
      </c>
      <c r="D222" s="123">
        <v>1.0</v>
      </c>
      <c r="E222" s="37">
        <v>1.0</v>
      </c>
      <c r="F222" s="40"/>
      <c r="G222" s="40"/>
      <c r="H222" s="40">
        <f t="shared" si="44"/>
        <v>1</v>
      </c>
      <c r="I222" s="40"/>
      <c r="J222" s="43">
        <f t="shared" si="45"/>
        <v>1</v>
      </c>
      <c r="K222" s="46"/>
    </row>
    <row r="223" ht="19.5" customHeight="1">
      <c r="A223" s="46">
        <v>3.0</v>
      </c>
      <c r="B223" s="37" t="s">
        <v>379</v>
      </c>
      <c r="C223" s="46" t="s">
        <v>106</v>
      </c>
      <c r="D223" s="123">
        <v>1.0</v>
      </c>
      <c r="E223" s="37">
        <v>1.0</v>
      </c>
      <c r="F223" s="40"/>
      <c r="G223" s="40"/>
      <c r="H223" s="40">
        <f t="shared" si="44"/>
        <v>1</v>
      </c>
      <c r="I223" s="40"/>
      <c r="J223" s="43">
        <f t="shared" si="45"/>
        <v>1</v>
      </c>
      <c r="K223" s="46"/>
    </row>
    <row r="224" ht="19.5" customHeight="1">
      <c r="A224" s="46">
        <v>4.0</v>
      </c>
      <c r="B224" s="37" t="s">
        <v>330</v>
      </c>
      <c r="C224" s="46" t="s">
        <v>103</v>
      </c>
      <c r="D224" s="123">
        <v>1.0</v>
      </c>
      <c r="E224" s="37">
        <v>1.0</v>
      </c>
      <c r="F224" s="40"/>
      <c r="G224" s="40"/>
      <c r="H224" s="40">
        <f t="shared" si="44"/>
        <v>1</v>
      </c>
      <c r="I224" s="40"/>
      <c r="J224" s="43">
        <f t="shared" si="45"/>
        <v>1</v>
      </c>
      <c r="K224" s="46"/>
    </row>
    <row r="225" ht="19.5" customHeight="1">
      <c r="A225" s="12"/>
      <c r="C225" s="12"/>
      <c r="D225" s="87"/>
      <c r="F225" s="14"/>
      <c r="G225" s="14"/>
      <c r="H225" s="14"/>
      <c r="I225" s="14"/>
      <c r="J225" s="14"/>
      <c r="K225" s="12"/>
    </row>
    <row r="226" ht="19.5" customHeight="1">
      <c r="A226" s="12"/>
      <c r="C226" s="12"/>
      <c r="D226" s="87"/>
      <c r="F226" s="14"/>
      <c r="G226" s="14"/>
      <c r="H226" s="14"/>
      <c r="I226" s="14"/>
      <c r="J226" s="14"/>
      <c r="K226" s="12"/>
    </row>
    <row r="227" ht="19.5" customHeight="1">
      <c r="A227" s="12"/>
      <c r="C227" s="12"/>
      <c r="D227" s="87"/>
      <c r="F227" s="14"/>
      <c r="G227" s="14"/>
      <c r="H227" s="14"/>
      <c r="I227" s="14"/>
      <c r="J227" s="14"/>
      <c r="K227" s="12"/>
    </row>
    <row r="228" ht="19.5" customHeight="1">
      <c r="A228" s="12"/>
      <c r="C228" s="12"/>
      <c r="D228" s="87"/>
      <c r="F228" s="14"/>
      <c r="G228" s="14"/>
      <c r="H228" s="14"/>
      <c r="I228" s="14"/>
      <c r="J228" s="14"/>
      <c r="K228" s="12"/>
    </row>
    <row r="229" ht="19.5" customHeight="1">
      <c r="A229" s="12"/>
      <c r="C229" s="12"/>
      <c r="D229" s="87"/>
      <c r="F229" s="14"/>
      <c r="G229" s="14"/>
      <c r="H229" s="14"/>
      <c r="I229" s="14"/>
      <c r="J229" s="14"/>
      <c r="K229" s="12"/>
    </row>
    <row r="230" ht="19.5" customHeight="1">
      <c r="A230" s="12"/>
      <c r="C230" s="12"/>
      <c r="D230" s="87"/>
      <c r="F230" s="14"/>
      <c r="G230" s="14"/>
      <c r="H230" s="14"/>
      <c r="I230" s="14"/>
      <c r="J230" s="14"/>
      <c r="K230" s="12"/>
    </row>
    <row r="231" ht="19.5" customHeight="1">
      <c r="A231" s="12"/>
      <c r="C231" s="12"/>
      <c r="D231" s="87"/>
      <c r="F231" s="14"/>
      <c r="G231" s="14"/>
      <c r="H231" s="14"/>
      <c r="I231" s="14"/>
      <c r="J231" s="14"/>
      <c r="K231" s="12"/>
    </row>
    <row r="232" ht="19.5" customHeight="1">
      <c r="A232" s="12"/>
      <c r="C232" s="12"/>
      <c r="D232" s="87"/>
      <c r="F232" s="14"/>
      <c r="G232" s="14"/>
      <c r="H232" s="14"/>
      <c r="I232" s="14"/>
      <c r="J232" s="14"/>
      <c r="K232" s="12"/>
    </row>
    <row r="233" ht="19.5" customHeight="1">
      <c r="A233" s="12"/>
      <c r="C233" s="12"/>
      <c r="D233" s="87"/>
      <c r="F233" s="14"/>
      <c r="G233" s="14"/>
      <c r="H233" s="14"/>
      <c r="I233" s="14"/>
      <c r="J233" s="14"/>
      <c r="K233" s="12"/>
    </row>
    <row r="234" ht="19.5" customHeight="1">
      <c r="A234" s="12"/>
      <c r="C234" s="12"/>
      <c r="D234" s="87"/>
      <c r="F234" s="14"/>
      <c r="G234" s="14"/>
      <c r="H234" s="14"/>
      <c r="I234" s="14"/>
      <c r="J234" s="14"/>
      <c r="K234" s="12"/>
    </row>
    <row r="235" ht="19.5" customHeight="1">
      <c r="A235" s="12"/>
      <c r="C235" s="12"/>
      <c r="D235" s="87"/>
      <c r="F235" s="14"/>
      <c r="G235" s="14"/>
      <c r="H235" s="14"/>
      <c r="I235" s="14"/>
      <c r="J235" s="14"/>
      <c r="K235" s="12"/>
    </row>
    <row r="236" ht="19.5" customHeight="1">
      <c r="A236" s="12"/>
      <c r="C236" s="12"/>
      <c r="D236" s="87"/>
      <c r="F236" s="14"/>
      <c r="G236" s="14"/>
      <c r="H236" s="14"/>
      <c r="I236" s="14"/>
      <c r="J236" s="14"/>
      <c r="K236" s="12"/>
    </row>
    <row r="237" ht="19.5" customHeight="1">
      <c r="A237" s="12"/>
      <c r="C237" s="12"/>
      <c r="D237" s="87"/>
      <c r="F237" s="14"/>
      <c r="G237" s="14"/>
      <c r="H237" s="14"/>
      <c r="I237" s="14"/>
      <c r="J237" s="14"/>
      <c r="K237" s="12"/>
    </row>
    <row r="238" ht="19.5" customHeight="1">
      <c r="A238" s="12"/>
      <c r="C238" s="12"/>
      <c r="D238" s="87"/>
      <c r="F238" s="14"/>
      <c r="G238" s="14"/>
      <c r="H238" s="14"/>
      <c r="I238" s="14"/>
      <c r="J238" s="14"/>
      <c r="K238" s="12"/>
    </row>
    <row r="239" ht="19.5" customHeight="1">
      <c r="A239" s="12"/>
      <c r="C239" s="12"/>
      <c r="D239" s="87"/>
      <c r="F239" s="14"/>
      <c r="G239" s="14"/>
      <c r="H239" s="14"/>
      <c r="I239" s="14"/>
      <c r="J239" s="14"/>
      <c r="K239" s="12"/>
    </row>
    <row r="240" ht="19.5" customHeight="1">
      <c r="A240" s="12"/>
      <c r="C240" s="12"/>
      <c r="D240" s="87"/>
      <c r="F240" s="14"/>
      <c r="G240" s="14"/>
      <c r="H240" s="14"/>
      <c r="I240" s="14"/>
      <c r="J240" s="14"/>
      <c r="K240" s="12"/>
    </row>
    <row r="241" ht="19.5" customHeight="1">
      <c r="A241" s="12"/>
      <c r="C241" s="12"/>
      <c r="D241" s="87"/>
      <c r="F241" s="14"/>
      <c r="G241" s="14"/>
      <c r="H241" s="14"/>
      <c r="I241" s="14"/>
      <c r="J241" s="14"/>
      <c r="K241" s="12"/>
    </row>
    <row r="242" ht="19.5" customHeight="1">
      <c r="A242" s="12"/>
      <c r="C242" s="12"/>
      <c r="D242" s="87"/>
      <c r="F242" s="14"/>
      <c r="G242" s="14"/>
      <c r="H242" s="14"/>
      <c r="I242" s="14"/>
      <c r="J242" s="14"/>
      <c r="K242" s="12"/>
    </row>
    <row r="243" ht="19.5" customHeight="1">
      <c r="A243" s="12"/>
      <c r="C243" s="12"/>
      <c r="D243" s="87"/>
      <c r="F243" s="14"/>
      <c r="G243" s="14"/>
      <c r="H243" s="14"/>
      <c r="I243" s="14"/>
      <c r="J243" s="14"/>
      <c r="K243" s="12"/>
    </row>
    <row r="244" ht="19.5" customHeight="1">
      <c r="A244" s="12"/>
      <c r="C244" s="12"/>
      <c r="D244" s="87"/>
      <c r="F244" s="14"/>
      <c r="G244" s="14"/>
      <c r="H244" s="14"/>
      <c r="I244" s="14"/>
      <c r="J244" s="14"/>
      <c r="K244" s="12"/>
    </row>
    <row r="245" ht="19.5" customHeight="1">
      <c r="A245" s="12"/>
      <c r="C245" s="12"/>
      <c r="D245" s="87"/>
      <c r="F245" s="14"/>
      <c r="G245" s="14"/>
      <c r="H245" s="14"/>
      <c r="I245" s="14"/>
      <c r="J245" s="14"/>
      <c r="K245" s="12"/>
    </row>
    <row r="246" ht="19.5" customHeight="1">
      <c r="A246" s="12"/>
      <c r="C246" s="12"/>
      <c r="D246" s="87"/>
      <c r="F246" s="14"/>
      <c r="G246" s="14"/>
      <c r="H246" s="14"/>
      <c r="I246" s="14"/>
      <c r="J246" s="14"/>
      <c r="K246" s="12"/>
    </row>
    <row r="247" ht="19.5" customHeight="1">
      <c r="A247" s="12"/>
      <c r="C247" s="12"/>
      <c r="D247" s="87"/>
      <c r="F247" s="14"/>
      <c r="G247" s="14"/>
      <c r="H247" s="14"/>
      <c r="I247" s="14"/>
      <c r="J247" s="14"/>
      <c r="K247" s="12"/>
    </row>
    <row r="248" ht="19.5" customHeight="1">
      <c r="A248" s="12"/>
      <c r="C248" s="12"/>
      <c r="D248" s="87"/>
      <c r="F248" s="14"/>
      <c r="G248" s="14"/>
      <c r="H248" s="14"/>
      <c r="I248" s="14"/>
      <c r="J248" s="14"/>
      <c r="K248" s="12"/>
    </row>
    <row r="249" ht="19.5" customHeight="1">
      <c r="A249" s="12"/>
      <c r="C249" s="12"/>
      <c r="D249" s="87"/>
      <c r="F249" s="14"/>
      <c r="G249" s="14"/>
      <c r="H249" s="14"/>
      <c r="I249" s="14"/>
      <c r="J249" s="14"/>
      <c r="K249" s="12"/>
    </row>
    <row r="250" ht="19.5" customHeight="1">
      <c r="A250" s="12"/>
      <c r="C250" s="12"/>
      <c r="D250" s="87"/>
      <c r="F250" s="14"/>
      <c r="G250" s="14"/>
      <c r="H250" s="14"/>
      <c r="I250" s="14"/>
      <c r="J250" s="14"/>
      <c r="K250" s="12"/>
    </row>
    <row r="251" ht="19.5" customHeight="1">
      <c r="A251" s="12"/>
      <c r="C251" s="12"/>
      <c r="D251" s="87"/>
      <c r="F251" s="14"/>
      <c r="G251" s="14"/>
      <c r="H251" s="14"/>
      <c r="I251" s="14"/>
      <c r="J251" s="14"/>
      <c r="K251" s="12"/>
    </row>
    <row r="252" ht="19.5" customHeight="1">
      <c r="A252" s="12"/>
      <c r="C252" s="12"/>
      <c r="D252" s="87"/>
      <c r="F252" s="14"/>
      <c r="G252" s="14"/>
      <c r="H252" s="14"/>
      <c r="I252" s="14"/>
      <c r="J252" s="14"/>
      <c r="K252" s="12"/>
    </row>
    <row r="253" ht="19.5" customHeight="1">
      <c r="A253" s="12"/>
      <c r="C253" s="12"/>
      <c r="D253" s="87"/>
      <c r="F253" s="14"/>
      <c r="G253" s="14"/>
      <c r="H253" s="14"/>
      <c r="I253" s="14"/>
      <c r="J253" s="14"/>
      <c r="K253" s="12"/>
    </row>
    <row r="254" ht="19.5" customHeight="1">
      <c r="A254" s="12"/>
      <c r="C254" s="12"/>
      <c r="D254" s="87"/>
      <c r="F254" s="14"/>
      <c r="G254" s="14"/>
      <c r="H254" s="14"/>
      <c r="I254" s="14"/>
      <c r="J254" s="14"/>
      <c r="K254" s="12"/>
    </row>
    <row r="255" ht="19.5" customHeight="1">
      <c r="A255" s="12"/>
      <c r="C255" s="12"/>
      <c r="D255" s="87"/>
      <c r="F255" s="14"/>
      <c r="G255" s="14"/>
      <c r="H255" s="14"/>
      <c r="I255" s="14"/>
      <c r="J255" s="14"/>
      <c r="K255" s="12"/>
    </row>
    <row r="256" ht="19.5" customHeight="1">
      <c r="A256" s="12"/>
      <c r="C256" s="12"/>
      <c r="D256" s="87"/>
      <c r="F256" s="14"/>
      <c r="G256" s="14"/>
      <c r="H256" s="14"/>
      <c r="I256" s="14"/>
      <c r="J256" s="14"/>
      <c r="K256" s="12"/>
    </row>
    <row r="257" ht="19.5" customHeight="1">
      <c r="A257" s="12"/>
      <c r="C257" s="12"/>
      <c r="D257" s="87"/>
      <c r="F257" s="14"/>
      <c r="G257" s="14"/>
      <c r="H257" s="14"/>
      <c r="I257" s="14"/>
      <c r="J257" s="14"/>
      <c r="K257" s="12"/>
    </row>
    <row r="258" ht="19.5" customHeight="1">
      <c r="A258" s="12"/>
      <c r="C258" s="12"/>
      <c r="D258" s="87"/>
      <c r="F258" s="14"/>
      <c r="G258" s="14"/>
      <c r="H258" s="14"/>
      <c r="I258" s="14"/>
      <c r="J258" s="14"/>
      <c r="K258" s="12"/>
    </row>
    <row r="259" ht="19.5" customHeight="1">
      <c r="A259" s="12"/>
      <c r="C259" s="12"/>
      <c r="D259" s="87"/>
      <c r="F259" s="14"/>
      <c r="G259" s="14"/>
      <c r="H259" s="14"/>
      <c r="I259" s="14"/>
      <c r="J259" s="14"/>
      <c r="K259" s="12"/>
    </row>
    <row r="260" ht="19.5" customHeight="1">
      <c r="A260" s="12"/>
      <c r="C260" s="12"/>
      <c r="D260" s="87"/>
      <c r="F260" s="14"/>
      <c r="G260" s="14"/>
      <c r="H260" s="14"/>
      <c r="I260" s="14"/>
      <c r="J260" s="14"/>
      <c r="K260" s="12"/>
    </row>
    <row r="261" ht="19.5" customHeight="1">
      <c r="A261" s="12"/>
      <c r="C261" s="12"/>
      <c r="D261" s="87"/>
      <c r="F261" s="14"/>
      <c r="G261" s="14"/>
      <c r="H261" s="14"/>
      <c r="I261" s="14"/>
      <c r="J261" s="14"/>
      <c r="K261" s="12"/>
    </row>
    <row r="262" ht="19.5" customHeight="1">
      <c r="A262" s="12"/>
      <c r="C262" s="12"/>
      <c r="D262" s="87"/>
      <c r="F262" s="14"/>
      <c r="G262" s="14"/>
      <c r="H262" s="14"/>
      <c r="I262" s="14"/>
      <c r="J262" s="14"/>
      <c r="K262" s="12"/>
    </row>
    <row r="263" ht="19.5" customHeight="1">
      <c r="A263" s="12"/>
      <c r="C263" s="12"/>
      <c r="D263" s="87"/>
      <c r="F263" s="14"/>
      <c r="G263" s="14"/>
      <c r="H263" s="14"/>
      <c r="I263" s="14"/>
      <c r="J263" s="14"/>
      <c r="K263" s="12"/>
    </row>
    <row r="264" ht="19.5" customHeight="1">
      <c r="A264" s="12"/>
      <c r="C264" s="12"/>
      <c r="D264" s="87"/>
      <c r="F264" s="14"/>
      <c r="G264" s="14"/>
      <c r="H264" s="14"/>
      <c r="I264" s="14"/>
      <c r="J264" s="14"/>
      <c r="K264" s="12"/>
    </row>
    <row r="265" ht="19.5" customHeight="1">
      <c r="A265" s="12"/>
      <c r="C265" s="12"/>
      <c r="D265" s="87"/>
      <c r="F265" s="14"/>
      <c r="G265" s="14"/>
      <c r="H265" s="14"/>
      <c r="I265" s="14"/>
      <c r="J265" s="14"/>
      <c r="K265" s="12"/>
    </row>
    <row r="266" ht="19.5" customHeight="1">
      <c r="A266" s="12"/>
      <c r="C266" s="12"/>
      <c r="D266" s="87"/>
      <c r="F266" s="14"/>
      <c r="G266" s="14"/>
      <c r="H266" s="14"/>
      <c r="I266" s="14"/>
      <c r="J266" s="14"/>
      <c r="K266" s="12"/>
    </row>
    <row r="267" ht="19.5" customHeight="1">
      <c r="A267" s="12"/>
      <c r="C267" s="12"/>
      <c r="D267" s="87"/>
      <c r="F267" s="14"/>
      <c r="G267" s="14"/>
      <c r="H267" s="14"/>
      <c r="I267" s="14"/>
      <c r="J267" s="14"/>
      <c r="K267" s="12"/>
    </row>
    <row r="268" ht="19.5" customHeight="1">
      <c r="A268" s="12"/>
      <c r="C268" s="12"/>
      <c r="D268" s="87"/>
      <c r="F268" s="14"/>
      <c r="G268" s="14"/>
      <c r="H268" s="14"/>
      <c r="I268" s="14"/>
      <c r="J268" s="14"/>
      <c r="K268" s="12"/>
    </row>
    <row r="269" ht="19.5" customHeight="1">
      <c r="A269" s="12"/>
      <c r="C269" s="12"/>
      <c r="D269" s="87"/>
      <c r="F269" s="14"/>
      <c r="G269" s="14"/>
      <c r="H269" s="14"/>
      <c r="I269" s="14"/>
      <c r="J269" s="14"/>
      <c r="K269" s="12"/>
    </row>
    <row r="270" ht="19.5" customHeight="1">
      <c r="A270" s="12"/>
      <c r="C270" s="12"/>
      <c r="D270" s="87"/>
      <c r="F270" s="14"/>
      <c r="G270" s="14"/>
      <c r="H270" s="14"/>
      <c r="I270" s="14"/>
      <c r="J270" s="14"/>
      <c r="K270" s="12"/>
    </row>
    <row r="271" ht="19.5" customHeight="1">
      <c r="A271" s="12"/>
      <c r="C271" s="12"/>
      <c r="D271" s="87"/>
      <c r="F271" s="14"/>
      <c r="G271" s="14"/>
      <c r="H271" s="14"/>
      <c r="I271" s="14"/>
      <c r="J271" s="14"/>
      <c r="K271" s="12"/>
    </row>
    <row r="272" ht="19.5" customHeight="1">
      <c r="A272" s="12"/>
      <c r="C272" s="12"/>
      <c r="D272" s="87"/>
      <c r="F272" s="14"/>
      <c r="G272" s="14"/>
      <c r="H272" s="14"/>
      <c r="I272" s="14"/>
      <c r="J272" s="14"/>
      <c r="K272" s="12"/>
    </row>
    <row r="273" ht="19.5" customHeight="1">
      <c r="A273" s="12"/>
      <c r="C273" s="12"/>
      <c r="D273" s="87"/>
      <c r="F273" s="14"/>
      <c r="G273" s="14"/>
      <c r="H273" s="14"/>
      <c r="I273" s="14"/>
      <c r="J273" s="14"/>
      <c r="K273" s="12"/>
    </row>
    <row r="274" ht="19.5" customHeight="1">
      <c r="A274" s="12"/>
      <c r="C274" s="12"/>
      <c r="D274" s="87"/>
      <c r="F274" s="14"/>
      <c r="G274" s="14"/>
      <c r="H274" s="14"/>
      <c r="I274" s="14"/>
      <c r="J274" s="14"/>
      <c r="K274" s="12"/>
    </row>
    <row r="275" ht="19.5" customHeight="1">
      <c r="A275" s="12"/>
      <c r="C275" s="12"/>
      <c r="D275" s="87"/>
      <c r="F275" s="14"/>
      <c r="G275" s="14"/>
      <c r="H275" s="14"/>
      <c r="I275" s="14"/>
      <c r="J275" s="14"/>
      <c r="K275" s="12"/>
    </row>
    <row r="276" ht="19.5" customHeight="1">
      <c r="A276" s="12"/>
      <c r="C276" s="12"/>
      <c r="D276" s="87"/>
      <c r="F276" s="14"/>
      <c r="G276" s="14"/>
      <c r="H276" s="14"/>
      <c r="I276" s="14"/>
      <c r="J276" s="14"/>
      <c r="K276" s="12"/>
    </row>
    <row r="277" ht="19.5" customHeight="1">
      <c r="A277" s="12"/>
      <c r="C277" s="12"/>
      <c r="D277" s="87"/>
      <c r="F277" s="14"/>
      <c r="G277" s="14"/>
      <c r="H277" s="14"/>
      <c r="I277" s="14"/>
      <c r="J277" s="14"/>
      <c r="K277" s="12"/>
    </row>
    <row r="278" ht="19.5" customHeight="1">
      <c r="A278" s="12"/>
      <c r="C278" s="12"/>
      <c r="D278" s="87"/>
      <c r="F278" s="14"/>
      <c r="G278" s="14"/>
      <c r="H278" s="14"/>
      <c r="I278" s="14"/>
      <c r="J278" s="14"/>
      <c r="K278" s="12"/>
    </row>
    <row r="279" ht="19.5" customHeight="1">
      <c r="A279" s="12"/>
      <c r="C279" s="12"/>
      <c r="D279" s="87"/>
      <c r="F279" s="14"/>
      <c r="G279" s="14"/>
      <c r="H279" s="14"/>
      <c r="I279" s="14"/>
      <c r="J279" s="14"/>
      <c r="K279" s="12"/>
    </row>
    <row r="280" ht="19.5" customHeight="1">
      <c r="A280" s="12"/>
      <c r="C280" s="12"/>
      <c r="D280" s="87"/>
      <c r="F280" s="14"/>
      <c r="G280" s="14"/>
      <c r="H280" s="14"/>
      <c r="I280" s="14"/>
      <c r="J280" s="14"/>
      <c r="K280" s="12"/>
    </row>
    <row r="281" ht="19.5" customHeight="1">
      <c r="A281" s="12"/>
      <c r="C281" s="12"/>
      <c r="D281" s="87"/>
      <c r="F281" s="14"/>
      <c r="G281" s="14"/>
      <c r="H281" s="14"/>
      <c r="I281" s="14"/>
      <c r="J281" s="14"/>
      <c r="K281" s="12"/>
    </row>
    <row r="282" ht="19.5" customHeight="1">
      <c r="A282" s="12"/>
      <c r="C282" s="12"/>
      <c r="D282" s="87"/>
      <c r="F282" s="14"/>
      <c r="G282" s="14"/>
      <c r="H282" s="14"/>
      <c r="I282" s="14"/>
      <c r="J282" s="14"/>
      <c r="K282" s="12"/>
    </row>
    <row r="283" ht="19.5" customHeight="1">
      <c r="A283" s="12"/>
      <c r="C283" s="12"/>
      <c r="D283" s="87"/>
      <c r="F283" s="14"/>
      <c r="G283" s="14"/>
      <c r="H283" s="14"/>
      <c r="I283" s="14"/>
      <c r="J283" s="14"/>
      <c r="K283" s="12"/>
    </row>
    <row r="284" ht="19.5" customHeight="1">
      <c r="A284" s="12"/>
      <c r="C284" s="12"/>
      <c r="D284" s="87"/>
      <c r="F284" s="14"/>
      <c r="G284" s="14"/>
      <c r="H284" s="14"/>
      <c r="I284" s="14"/>
      <c r="J284" s="14"/>
      <c r="K284" s="12"/>
    </row>
    <row r="285" ht="19.5" customHeight="1">
      <c r="A285" s="12"/>
      <c r="C285" s="12"/>
      <c r="D285" s="87"/>
      <c r="F285" s="14"/>
      <c r="G285" s="14"/>
      <c r="H285" s="14"/>
      <c r="I285" s="14"/>
      <c r="J285" s="14"/>
      <c r="K285" s="12"/>
    </row>
    <row r="286" ht="19.5" customHeight="1">
      <c r="A286" s="12"/>
      <c r="C286" s="12"/>
      <c r="D286" s="87"/>
      <c r="F286" s="14"/>
      <c r="G286" s="14"/>
      <c r="H286" s="14"/>
      <c r="I286" s="14"/>
      <c r="J286" s="14"/>
      <c r="K286" s="12"/>
    </row>
    <row r="287" ht="19.5" customHeight="1">
      <c r="A287" s="12"/>
      <c r="C287" s="12"/>
      <c r="D287" s="87"/>
      <c r="F287" s="14"/>
      <c r="G287" s="14"/>
      <c r="H287" s="14"/>
      <c r="I287" s="14"/>
      <c r="J287" s="14"/>
      <c r="K287" s="12"/>
    </row>
    <row r="288" ht="19.5" customHeight="1">
      <c r="A288" s="12"/>
      <c r="C288" s="12"/>
      <c r="D288" s="87"/>
      <c r="F288" s="14"/>
      <c r="G288" s="14"/>
      <c r="H288" s="14"/>
      <c r="I288" s="14"/>
      <c r="J288" s="14"/>
      <c r="K288" s="12"/>
    </row>
    <row r="289" ht="19.5" customHeight="1">
      <c r="A289" s="12"/>
      <c r="C289" s="12"/>
      <c r="D289" s="87"/>
      <c r="F289" s="14"/>
      <c r="G289" s="14"/>
      <c r="H289" s="14"/>
      <c r="I289" s="14"/>
      <c r="J289" s="14"/>
      <c r="K289" s="12"/>
    </row>
    <row r="290" ht="19.5" customHeight="1">
      <c r="A290" s="12"/>
      <c r="C290" s="12"/>
      <c r="D290" s="87"/>
      <c r="F290" s="14"/>
      <c r="G290" s="14"/>
      <c r="H290" s="14"/>
      <c r="I290" s="14"/>
      <c r="J290" s="14"/>
      <c r="K290" s="12"/>
    </row>
    <row r="291" ht="19.5" customHeight="1">
      <c r="A291" s="12"/>
      <c r="C291" s="12"/>
      <c r="D291" s="87"/>
      <c r="F291" s="14"/>
      <c r="G291" s="14"/>
      <c r="H291" s="14"/>
      <c r="I291" s="14"/>
      <c r="J291" s="14"/>
      <c r="K291" s="12"/>
    </row>
    <row r="292" ht="19.5" customHeight="1">
      <c r="A292" s="12"/>
      <c r="C292" s="12"/>
      <c r="D292" s="87"/>
      <c r="F292" s="14"/>
      <c r="G292" s="14"/>
      <c r="H292" s="14"/>
      <c r="I292" s="14"/>
      <c r="J292" s="14"/>
      <c r="K292" s="12"/>
    </row>
    <row r="293" ht="19.5" customHeight="1">
      <c r="A293" s="12"/>
      <c r="C293" s="12"/>
      <c r="D293" s="87"/>
      <c r="F293" s="14"/>
      <c r="G293" s="14"/>
      <c r="H293" s="14"/>
      <c r="I293" s="14"/>
      <c r="J293" s="14"/>
      <c r="K293" s="12"/>
    </row>
    <row r="294" ht="19.5" customHeight="1">
      <c r="A294" s="12"/>
      <c r="C294" s="12"/>
      <c r="D294" s="87"/>
      <c r="F294" s="14"/>
      <c r="G294" s="14"/>
      <c r="H294" s="14"/>
      <c r="I294" s="14"/>
      <c r="J294" s="14"/>
      <c r="K294" s="12"/>
    </row>
    <row r="295" ht="19.5" customHeight="1">
      <c r="A295" s="12"/>
      <c r="C295" s="12"/>
      <c r="D295" s="87"/>
      <c r="F295" s="14"/>
      <c r="G295" s="14"/>
      <c r="H295" s="14"/>
      <c r="I295" s="14"/>
      <c r="J295" s="14"/>
      <c r="K295" s="12"/>
    </row>
    <row r="296" ht="19.5" customHeight="1">
      <c r="A296" s="12"/>
      <c r="C296" s="12"/>
      <c r="D296" s="87"/>
      <c r="F296" s="14"/>
      <c r="G296" s="14"/>
      <c r="H296" s="14"/>
      <c r="I296" s="14"/>
      <c r="J296" s="14"/>
      <c r="K296" s="12"/>
    </row>
    <row r="297" ht="19.5" customHeight="1">
      <c r="A297" s="12"/>
      <c r="C297" s="12"/>
      <c r="D297" s="87"/>
      <c r="F297" s="14"/>
      <c r="G297" s="14"/>
      <c r="H297" s="14"/>
      <c r="I297" s="14"/>
      <c r="J297" s="14"/>
      <c r="K297" s="12"/>
    </row>
    <row r="298" ht="19.5" customHeight="1">
      <c r="A298" s="12"/>
      <c r="C298" s="12"/>
      <c r="D298" s="87"/>
      <c r="F298" s="14"/>
      <c r="G298" s="14"/>
      <c r="H298" s="14"/>
      <c r="I298" s="14"/>
      <c r="J298" s="14"/>
      <c r="K298" s="12"/>
    </row>
    <row r="299" ht="19.5" customHeight="1">
      <c r="A299" s="12"/>
      <c r="C299" s="12"/>
      <c r="D299" s="87"/>
      <c r="F299" s="14"/>
      <c r="G299" s="14"/>
      <c r="H299" s="14"/>
      <c r="I299" s="14"/>
      <c r="J299" s="14"/>
      <c r="K299" s="12"/>
    </row>
    <row r="300" ht="19.5" customHeight="1">
      <c r="A300" s="12"/>
      <c r="C300" s="12"/>
      <c r="D300" s="87"/>
      <c r="F300" s="14"/>
      <c r="G300" s="14"/>
      <c r="H300" s="14"/>
      <c r="I300" s="14"/>
      <c r="J300" s="14"/>
      <c r="K300" s="12"/>
    </row>
    <row r="301" ht="19.5" customHeight="1">
      <c r="A301" s="12"/>
      <c r="C301" s="12"/>
      <c r="D301" s="87"/>
      <c r="F301" s="14"/>
      <c r="G301" s="14"/>
      <c r="H301" s="14"/>
      <c r="I301" s="14"/>
      <c r="J301" s="14"/>
      <c r="K301" s="12"/>
    </row>
    <row r="302" ht="19.5" customHeight="1">
      <c r="A302" s="12"/>
      <c r="C302" s="12"/>
      <c r="D302" s="87"/>
      <c r="F302" s="14"/>
      <c r="G302" s="14"/>
      <c r="H302" s="14"/>
      <c r="I302" s="14"/>
      <c r="J302" s="14"/>
      <c r="K302" s="12"/>
    </row>
    <row r="303" ht="19.5" customHeight="1">
      <c r="A303" s="12"/>
      <c r="C303" s="12"/>
      <c r="D303" s="87"/>
      <c r="F303" s="14"/>
      <c r="G303" s="14"/>
      <c r="H303" s="14"/>
      <c r="I303" s="14"/>
      <c r="J303" s="14"/>
      <c r="K303" s="12"/>
    </row>
    <row r="304" ht="19.5" customHeight="1">
      <c r="A304" s="12"/>
      <c r="C304" s="12"/>
      <c r="D304" s="87"/>
      <c r="F304" s="14"/>
      <c r="G304" s="14"/>
      <c r="H304" s="14"/>
      <c r="I304" s="14"/>
      <c r="J304" s="14"/>
      <c r="K304" s="12"/>
    </row>
    <row r="305" ht="19.5" customHeight="1">
      <c r="A305" s="12"/>
      <c r="C305" s="12"/>
      <c r="D305" s="87"/>
      <c r="F305" s="14"/>
      <c r="G305" s="14"/>
      <c r="H305" s="14"/>
      <c r="I305" s="14"/>
      <c r="J305" s="14"/>
      <c r="K305" s="12"/>
    </row>
    <row r="306" ht="19.5" customHeight="1">
      <c r="A306" s="12"/>
      <c r="C306" s="12"/>
      <c r="D306" s="87"/>
      <c r="F306" s="14"/>
      <c r="G306" s="14"/>
      <c r="H306" s="14"/>
      <c r="I306" s="14"/>
      <c r="J306" s="14"/>
      <c r="K306" s="12"/>
    </row>
    <row r="307" ht="19.5" customHeight="1">
      <c r="A307" s="12"/>
      <c r="C307" s="12"/>
      <c r="D307" s="87"/>
      <c r="F307" s="14"/>
      <c r="G307" s="14"/>
      <c r="H307" s="14"/>
      <c r="I307" s="14"/>
      <c r="J307" s="14"/>
      <c r="K307" s="12"/>
    </row>
    <row r="308" ht="19.5" customHeight="1">
      <c r="A308" s="12"/>
      <c r="C308" s="12"/>
      <c r="D308" s="87"/>
      <c r="F308" s="14"/>
      <c r="G308" s="14"/>
      <c r="H308" s="14"/>
      <c r="I308" s="14"/>
      <c r="J308" s="14"/>
      <c r="K308" s="12"/>
    </row>
    <row r="309" ht="19.5" customHeight="1">
      <c r="A309" s="12"/>
      <c r="C309" s="12"/>
      <c r="D309" s="87"/>
      <c r="F309" s="14"/>
      <c r="G309" s="14"/>
      <c r="H309" s="14"/>
      <c r="I309" s="14"/>
      <c r="J309" s="14"/>
      <c r="K309" s="12"/>
    </row>
    <row r="310" ht="19.5" customHeight="1">
      <c r="A310" s="12"/>
      <c r="C310" s="12"/>
      <c r="D310" s="87"/>
      <c r="F310" s="14"/>
      <c r="G310" s="14"/>
      <c r="H310" s="14"/>
      <c r="I310" s="14"/>
      <c r="J310" s="14"/>
      <c r="K310" s="12"/>
    </row>
    <row r="311" ht="19.5" customHeight="1">
      <c r="A311" s="12"/>
      <c r="C311" s="12"/>
      <c r="D311" s="87"/>
      <c r="F311" s="14"/>
      <c r="G311" s="14"/>
      <c r="H311" s="14"/>
      <c r="I311" s="14"/>
      <c r="J311" s="14"/>
      <c r="K311" s="12"/>
    </row>
    <row r="312" ht="19.5" customHeight="1">
      <c r="A312" s="12"/>
      <c r="C312" s="12"/>
      <c r="D312" s="87"/>
      <c r="F312" s="14"/>
      <c r="G312" s="14"/>
      <c r="H312" s="14"/>
      <c r="I312" s="14"/>
      <c r="J312" s="14"/>
      <c r="K312" s="12"/>
    </row>
    <row r="313" ht="19.5" customHeight="1">
      <c r="A313" s="12"/>
      <c r="C313" s="12"/>
      <c r="D313" s="87"/>
      <c r="F313" s="14"/>
      <c r="G313" s="14"/>
      <c r="H313" s="14"/>
      <c r="I313" s="14"/>
      <c r="J313" s="14"/>
      <c r="K313" s="12"/>
    </row>
    <row r="314" ht="19.5" customHeight="1">
      <c r="A314" s="12"/>
      <c r="C314" s="12"/>
      <c r="D314" s="87"/>
      <c r="F314" s="14"/>
      <c r="G314" s="14"/>
      <c r="H314" s="14"/>
      <c r="I314" s="14"/>
      <c r="J314" s="14"/>
      <c r="K314" s="12"/>
    </row>
    <row r="315" ht="19.5" customHeight="1">
      <c r="A315" s="12"/>
      <c r="C315" s="12"/>
      <c r="D315" s="87"/>
      <c r="F315" s="14"/>
      <c r="G315" s="14"/>
      <c r="H315" s="14"/>
      <c r="I315" s="14"/>
      <c r="J315" s="14"/>
      <c r="K315" s="12"/>
    </row>
    <row r="316" ht="19.5" customHeight="1">
      <c r="A316" s="12"/>
      <c r="C316" s="12"/>
      <c r="D316" s="87"/>
      <c r="F316" s="14"/>
      <c r="G316" s="14"/>
      <c r="H316" s="14"/>
      <c r="I316" s="14"/>
      <c r="J316" s="14"/>
      <c r="K316" s="12"/>
    </row>
    <row r="317" ht="19.5" customHeight="1">
      <c r="A317" s="12"/>
      <c r="C317" s="12"/>
      <c r="D317" s="87"/>
      <c r="F317" s="14"/>
      <c r="G317" s="14"/>
      <c r="H317" s="14"/>
      <c r="I317" s="14"/>
      <c r="J317" s="14"/>
      <c r="K317" s="12"/>
    </row>
    <row r="318" ht="19.5" customHeight="1">
      <c r="A318" s="12"/>
      <c r="C318" s="12"/>
      <c r="D318" s="87"/>
      <c r="F318" s="14"/>
      <c r="G318" s="14"/>
      <c r="H318" s="14"/>
      <c r="I318" s="14"/>
      <c r="J318" s="14"/>
      <c r="K318" s="12"/>
    </row>
    <row r="319" ht="19.5" customHeight="1">
      <c r="A319" s="12"/>
      <c r="C319" s="12"/>
      <c r="D319" s="87"/>
      <c r="F319" s="14"/>
      <c r="G319" s="14"/>
      <c r="H319" s="14"/>
      <c r="I319" s="14"/>
      <c r="J319" s="14"/>
      <c r="K319" s="12"/>
    </row>
    <row r="320" ht="19.5" customHeight="1">
      <c r="A320" s="12"/>
      <c r="C320" s="12"/>
      <c r="D320" s="87"/>
      <c r="F320" s="14"/>
      <c r="G320" s="14"/>
      <c r="H320" s="14"/>
      <c r="I320" s="14"/>
      <c r="J320" s="14"/>
      <c r="K320" s="12"/>
    </row>
    <row r="321" ht="19.5" customHeight="1">
      <c r="A321" s="12"/>
      <c r="C321" s="12"/>
      <c r="D321" s="87"/>
      <c r="F321" s="14"/>
      <c r="G321" s="14"/>
      <c r="H321" s="14"/>
      <c r="I321" s="14"/>
      <c r="J321" s="14"/>
      <c r="K321" s="12"/>
    </row>
    <row r="322" ht="19.5" customHeight="1">
      <c r="A322" s="12"/>
      <c r="C322" s="12"/>
      <c r="D322" s="87"/>
      <c r="F322" s="14"/>
      <c r="G322" s="14"/>
      <c r="H322" s="14"/>
      <c r="I322" s="14"/>
      <c r="J322" s="14"/>
      <c r="K322" s="12"/>
    </row>
    <row r="323" ht="19.5" customHeight="1">
      <c r="A323" s="12"/>
      <c r="C323" s="12"/>
      <c r="D323" s="87"/>
      <c r="F323" s="14"/>
      <c r="G323" s="14"/>
      <c r="H323" s="14"/>
      <c r="I323" s="14"/>
      <c r="J323" s="14"/>
      <c r="K323" s="12"/>
    </row>
    <row r="324" ht="19.5" customHeight="1">
      <c r="A324" s="12"/>
      <c r="C324" s="12"/>
      <c r="D324" s="87"/>
      <c r="F324" s="14"/>
      <c r="G324" s="14"/>
      <c r="H324" s="14"/>
      <c r="I324" s="14"/>
      <c r="J324" s="14"/>
      <c r="K324" s="12"/>
    </row>
    <row r="325" ht="19.5" customHeight="1">
      <c r="A325" s="12"/>
      <c r="C325" s="12"/>
      <c r="D325" s="87"/>
      <c r="F325" s="14"/>
      <c r="G325" s="14"/>
      <c r="H325" s="14"/>
      <c r="I325" s="14"/>
      <c r="J325" s="14"/>
      <c r="K325" s="12"/>
    </row>
    <row r="326" ht="19.5" customHeight="1">
      <c r="A326" s="12"/>
      <c r="C326" s="12"/>
      <c r="D326" s="87"/>
      <c r="F326" s="14"/>
      <c r="G326" s="14"/>
      <c r="H326" s="14"/>
      <c r="I326" s="14"/>
      <c r="J326" s="14"/>
      <c r="K326" s="12"/>
    </row>
    <row r="327" ht="19.5" customHeight="1">
      <c r="A327" s="12"/>
      <c r="C327" s="12"/>
      <c r="D327" s="87"/>
      <c r="F327" s="14"/>
      <c r="G327" s="14"/>
      <c r="H327" s="14"/>
      <c r="I327" s="14"/>
      <c r="J327" s="14"/>
      <c r="K327" s="12"/>
    </row>
    <row r="328" ht="19.5" customHeight="1">
      <c r="A328" s="12"/>
      <c r="C328" s="12"/>
      <c r="D328" s="87"/>
      <c r="F328" s="14"/>
      <c r="G328" s="14"/>
      <c r="H328" s="14"/>
      <c r="I328" s="14"/>
      <c r="J328" s="14"/>
      <c r="K328" s="12"/>
    </row>
    <row r="329" ht="19.5" customHeight="1">
      <c r="A329" s="12"/>
      <c r="C329" s="12"/>
      <c r="D329" s="87"/>
      <c r="F329" s="14"/>
      <c r="G329" s="14"/>
      <c r="H329" s="14"/>
      <c r="I329" s="14"/>
      <c r="J329" s="14"/>
      <c r="K329" s="12"/>
    </row>
    <row r="330" ht="19.5" customHeight="1">
      <c r="A330" s="12"/>
      <c r="C330" s="12"/>
      <c r="D330" s="87"/>
      <c r="F330" s="14"/>
      <c r="G330" s="14"/>
      <c r="H330" s="14"/>
      <c r="I330" s="14"/>
      <c r="J330" s="14"/>
      <c r="K330" s="12"/>
    </row>
    <row r="331" ht="19.5" customHeight="1">
      <c r="A331" s="12"/>
      <c r="C331" s="12"/>
      <c r="D331" s="87"/>
      <c r="F331" s="14"/>
      <c r="G331" s="14"/>
      <c r="H331" s="14"/>
      <c r="I331" s="14"/>
      <c r="J331" s="14"/>
      <c r="K331" s="12"/>
    </row>
    <row r="332" ht="19.5" customHeight="1">
      <c r="A332" s="12"/>
      <c r="C332" s="12"/>
      <c r="D332" s="87"/>
      <c r="F332" s="14"/>
      <c r="G332" s="14"/>
      <c r="H332" s="14"/>
      <c r="I332" s="14"/>
      <c r="J332" s="14"/>
      <c r="K332" s="12"/>
    </row>
    <row r="333" ht="19.5" customHeight="1">
      <c r="A333" s="12"/>
      <c r="C333" s="12"/>
      <c r="D333" s="87"/>
      <c r="F333" s="14"/>
      <c r="G333" s="14"/>
      <c r="H333" s="14"/>
      <c r="I333" s="14"/>
      <c r="J333" s="14"/>
      <c r="K333" s="12"/>
    </row>
    <row r="334" ht="19.5" customHeight="1">
      <c r="A334" s="12"/>
      <c r="C334" s="12"/>
      <c r="D334" s="87"/>
      <c r="F334" s="14"/>
      <c r="G334" s="14"/>
      <c r="H334" s="14"/>
      <c r="I334" s="14"/>
      <c r="J334" s="14"/>
      <c r="K334" s="12"/>
    </row>
    <row r="335" ht="19.5" customHeight="1">
      <c r="A335" s="12"/>
      <c r="C335" s="12"/>
      <c r="D335" s="87"/>
      <c r="F335" s="14"/>
      <c r="G335" s="14"/>
      <c r="H335" s="14"/>
      <c r="I335" s="14"/>
      <c r="J335" s="14"/>
      <c r="K335" s="12"/>
    </row>
    <row r="336" ht="19.5" customHeight="1">
      <c r="A336" s="12"/>
      <c r="C336" s="12"/>
      <c r="D336" s="87"/>
      <c r="F336" s="14"/>
      <c r="G336" s="14"/>
      <c r="H336" s="14"/>
      <c r="I336" s="14"/>
      <c r="J336" s="14"/>
      <c r="K336" s="12"/>
    </row>
    <row r="337" ht="19.5" customHeight="1">
      <c r="A337" s="12"/>
      <c r="C337" s="12"/>
      <c r="D337" s="87"/>
      <c r="F337" s="14"/>
      <c r="G337" s="14"/>
      <c r="H337" s="14"/>
      <c r="I337" s="14"/>
      <c r="J337" s="14"/>
      <c r="K337" s="12"/>
    </row>
    <row r="338" ht="19.5" customHeight="1">
      <c r="A338" s="12"/>
      <c r="C338" s="12"/>
      <c r="D338" s="87"/>
      <c r="F338" s="14"/>
      <c r="G338" s="14"/>
      <c r="H338" s="14"/>
      <c r="I338" s="14"/>
      <c r="J338" s="14"/>
      <c r="K338" s="12"/>
    </row>
    <row r="339" ht="19.5" customHeight="1">
      <c r="A339" s="12"/>
      <c r="C339" s="12"/>
      <c r="D339" s="87"/>
      <c r="F339" s="14"/>
      <c r="G339" s="14"/>
      <c r="H339" s="14"/>
      <c r="I339" s="14"/>
      <c r="J339" s="14"/>
      <c r="K339" s="12"/>
    </row>
    <row r="340" ht="19.5" customHeight="1">
      <c r="A340" s="12"/>
      <c r="C340" s="12"/>
      <c r="D340" s="87"/>
      <c r="F340" s="14"/>
      <c r="G340" s="14"/>
      <c r="H340" s="14"/>
      <c r="I340" s="14"/>
      <c r="J340" s="14"/>
      <c r="K340" s="12"/>
    </row>
    <row r="341" ht="19.5" customHeight="1">
      <c r="A341" s="12"/>
      <c r="C341" s="12"/>
      <c r="D341" s="87"/>
      <c r="F341" s="14"/>
      <c r="G341" s="14"/>
      <c r="H341" s="14"/>
      <c r="I341" s="14"/>
      <c r="J341" s="14"/>
      <c r="K341" s="12"/>
    </row>
    <row r="342" ht="19.5" customHeight="1">
      <c r="A342" s="12"/>
      <c r="C342" s="12"/>
      <c r="D342" s="87"/>
      <c r="F342" s="14"/>
      <c r="G342" s="14"/>
      <c r="H342" s="14"/>
      <c r="I342" s="14"/>
      <c r="J342" s="14"/>
      <c r="K342" s="12"/>
    </row>
    <row r="343" ht="19.5" customHeight="1">
      <c r="A343" s="12"/>
      <c r="C343" s="12"/>
      <c r="D343" s="87"/>
      <c r="F343" s="14"/>
      <c r="G343" s="14"/>
      <c r="H343" s="14"/>
      <c r="I343" s="14"/>
      <c r="J343" s="14"/>
      <c r="K343" s="12"/>
    </row>
    <row r="344" ht="19.5" customHeight="1">
      <c r="A344" s="12"/>
      <c r="C344" s="12"/>
      <c r="D344" s="87"/>
      <c r="F344" s="14"/>
      <c r="G344" s="14"/>
      <c r="H344" s="14"/>
      <c r="I344" s="14"/>
      <c r="J344" s="14"/>
      <c r="K344" s="12"/>
    </row>
    <row r="345" ht="19.5" customHeight="1">
      <c r="A345" s="12"/>
      <c r="C345" s="12"/>
      <c r="D345" s="87"/>
      <c r="F345" s="14"/>
      <c r="G345" s="14"/>
      <c r="H345" s="14"/>
      <c r="I345" s="14"/>
      <c r="J345" s="14"/>
      <c r="K345" s="12"/>
    </row>
    <row r="346" ht="19.5" customHeight="1">
      <c r="A346" s="12"/>
      <c r="C346" s="12"/>
      <c r="D346" s="87"/>
      <c r="F346" s="14"/>
      <c r="G346" s="14"/>
      <c r="H346" s="14"/>
      <c r="I346" s="14"/>
      <c r="J346" s="14"/>
      <c r="K346" s="12"/>
    </row>
    <row r="347" ht="19.5" customHeight="1">
      <c r="A347" s="12"/>
      <c r="C347" s="12"/>
      <c r="D347" s="87"/>
      <c r="F347" s="14"/>
      <c r="G347" s="14"/>
      <c r="H347" s="14"/>
      <c r="I347" s="14"/>
      <c r="J347" s="14"/>
      <c r="K347" s="12"/>
    </row>
    <row r="348" ht="19.5" customHeight="1">
      <c r="A348" s="12"/>
      <c r="C348" s="12"/>
      <c r="D348" s="87"/>
      <c r="F348" s="14"/>
      <c r="G348" s="14"/>
      <c r="H348" s="14"/>
      <c r="I348" s="14"/>
      <c r="J348" s="14"/>
      <c r="K348" s="12"/>
    </row>
    <row r="349" ht="19.5" customHeight="1">
      <c r="A349" s="12"/>
      <c r="C349" s="12"/>
      <c r="D349" s="87"/>
      <c r="F349" s="14"/>
      <c r="G349" s="14"/>
      <c r="H349" s="14"/>
      <c r="I349" s="14"/>
      <c r="J349" s="14"/>
      <c r="K349" s="12"/>
    </row>
    <row r="350" ht="19.5" customHeight="1">
      <c r="A350" s="12"/>
      <c r="C350" s="12"/>
      <c r="D350" s="87"/>
      <c r="F350" s="14"/>
      <c r="G350" s="14"/>
      <c r="H350" s="14"/>
      <c r="I350" s="14"/>
      <c r="J350" s="14"/>
      <c r="K350" s="12"/>
    </row>
    <row r="351" ht="19.5" customHeight="1">
      <c r="A351" s="12"/>
      <c r="C351" s="12"/>
      <c r="D351" s="87"/>
      <c r="F351" s="14"/>
      <c r="G351" s="14"/>
      <c r="H351" s="14"/>
      <c r="I351" s="14"/>
      <c r="J351" s="14"/>
      <c r="K351" s="12"/>
    </row>
    <row r="352" ht="19.5" customHeight="1">
      <c r="A352" s="12"/>
      <c r="C352" s="12"/>
      <c r="D352" s="87"/>
      <c r="F352" s="14"/>
      <c r="G352" s="14"/>
      <c r="H352" s="14"/>
      <c r="I352" s="14"/>
      <c r="J352" s="14"/>
      <c r="K352" s="12"/>
    </row>
    <row r="353" ht="19.5" customHeight="1">
      <c r="A353" s="12"/>
      <c r="C353" s="12"/>
      <c r="D353" s="87"/>
      <c r="F353" s="14"/>
      <c r="G353" s="14"/>
      <c r="H353" s="14"/>
      <c r="I353" s="14"/>
      <c r="J353" s="14"/>
      <c r="K353" s="12"/>
    </row>
    <row r="354" ht="19.5" customHeight="1">
      <c r="A354" s="12"/>
      <c r="C354" s="12"/>
      <c r="D354" s="87"/>
      <c r="F354" s="14"/>
      <c r="G354" s="14"/>
      <c r="H354" s="14"/>
      <c r="I354" s="14"/>
      <c r="J354" s="14"/>
      <c r="K354" s="12"/>
    </row>
    <row r="355" ht="19.5" customHeight="1">
      <c r="A355" s="12"/>
      <c r="C355" s="12"/>
      <c r="D355" s="87"/>
      <c r="F355" s="14"/>
      <c r="G355" s="14"/>
      <c r="H355" s="14"/>
      <c r="I355" s="14"/>
      <c r="J355" s="14"/>
      <c r="K355" s="12"/>
    </row>
    <row r="356" ht="19.5" customHeight="1">
      <c r="A356" s="12"/>
      <c r="C356" s="12"/>
      <c r="D356" s="87"/>
      <c r="F356" s="14"/>
      <c r="G356" s="14"/>
      <c r="H356" s="14"/>
      <c r="I356" s="14"/>
      <c r="J356" s="14"/>
      <c r="K356" s="12"/>
    </row>
    <row r="357" ht="19.5" customHeight="1">
      <c r="A357" s="12"/>
      <c r="C357" s="12"/>
      <c r="D357" s="87"/>
      <c r="F357" s="14"/>
      <c r="G357" s="14"/>
      <c r="H357" s="14"/>
      <c r="I357" s="14"/>
      <c r="J357" s="14"/>
      <c r="K357" s="12"/>
    </row>
    <row r="358" ht="19.5" customHeight="1">
      <c r="A358" s="12"/>
      <c r="C358" s="12"/>
      <c r="D358" s="87"/>
      <c r="F358" s="14"/>
      <c r="G358" s="14"/>
      <c r="H358" s="14"/>
      <c r="I358" s="14"/>
      <c r="J358" s="14"/>
      <c r="K358" s="12"/>
    </row>
    <row r="359" ht="19.5" customHeight="1">
      <c r="A359" s="12"/>
      <c r="C359" s="12"/>
      <c r="D359" s="87"/>
      <c r="F359" s="14"/>
      <c r="G359" s="14"/>
      <c r="H359" s="14"/>
      <c r="I359" s="14"/>
      <c r="J359" s="14"/>
      <c r="K359" s="12"/>
    </row>
    <row r="360" ht="19.5" customHeight="1">
      <c r="A360" s="12"/>
      <c r="C360" s="12"/>
      <c r="D360" s="87"/>
      <c r="F360" s="14"/>
      <c r="G360" s="14"/>
      <c r="H360" s="14"/>
      <c r="I360" s="14"/>
      <c r="J360" s="14"/>
      <c r="K360" s="12"/>
    </row>
    <row r="361" ht="19.5" customHeight="1">
      <c r="A361" s="12"/>
      <c r="C361" s="12"/>
      <c r="D361" s="87"/>
      <c r="F361" s="14"/>
      <c r="G361" s="14"/>
      <c r="H361" s="14"/>
      <c r="I361" s="14"/>
      <c r="J361" s="14"/>
      <c r="K361" s="12"/>
    </row>
    <row r="362" ht="19.5" customHeight="1">
      <c r="A362" s="12"/>
      <c r="C362" s="12"/>
      <c r="D362" s="87"/>
      <c r="F362" s="14"/>
      <c r="G362" s="14"/>
      <c r="H362" s="14"/>
      <c r="I362" s="14"/>
      <c r="J362" s="14"/>
      <c r="K362" s="12"/>
    </row>
    <row r="363" ht="19.5" customHeight="1">
      <c r="A363" s="12"/>
      <c r="C363" s="12"/>
      <c r="D363" s="87"/>
      <c r="F363" s="14"/>
      <c r="G363" s="14"/>
      <c r="H363" s="14"/>
      <c r="I363" s="14"/>
      <c r="J363" s="14"/>
      <c r="K363" s="12"/>
    </row>
    <row r="364" ht="19.5" customHeight="1">
      <c r="A364" s="12"/>
      <c r="C364" s="12"/>
      <c r="D364" s="87"/>
      <c r="F364" s="14"/>
      <c r="G364" s="14"/>
      <c r="H364" s="14"/>
      <c r="I364" s="14"/>
      <c r="J364" s="14"/>
      <c r="K364" s="12"/>
    </row>
    <row r="365" ht="19.5" customHeight="1">
      <c r="A365" s="12"/>
      <c r="C365" s="12"/>
      <c r="D365" s="87"/>
      <c r="F365" s="14"/>
      <c r="G365" s="14"/>
      <c r="H365" s="14"/>
      <c r="I365" s="14"/>
      <c r="J365" s="14"/>
      <c r="K365" s="12"/>
    </row>
    <row r="366" ht="19.5" customHeight="1">
      <c r="A366" s="12"/>
      <c r="C366" s="12"/>
      <c r="D366" s="87"/>
      <c r="F366" s="14"/>
      <c r="G366" s="14"/>
      <c r="H366" s="14"/>
      <c r="I366" s="14"/>
      <c r="J366" s="14"/>
      <c r="K366" s="12"/>
    </row>
    <row r="367" ht="19.5" customHeight="1">
      <c r="A367" s="12"/>
      <c r="C367" s="12"/>
      <c r="D367" s="87"/>
      <c r="F367" s="14"/>
      <c r="G367" s="14"/>
      <c r="H367" s="14"/>
      <c r="I367" s="14"/>
      <c r="J367" s="14"/>
      <c r="K367" s="12"/>
    </row>
    <row r="368" ht="19.5" customHeight="1">
      <c r="A368" s="12"/>
      <c r="C368" s="12"/>
      <c r="D368" s="87"/>
      <c r="F368" s="14"/>
      <c r="G368" s="14"/>
      <c r="H368" s="14"/>
      <c r="I368" s="14"/>
      <c r="J368" s="14"/>
      <c r="K368" s="12"/>
    </row>
    <row r="369" ht="19.5" customHeight="1">
      <c r="A369" s="12"/>
      <c r="C369" s="12"/>
      <c r="D369" s="87"/>
      <c r="F369" s="14"/>
      <c r="G369" s="14"/>
      <c r="H369" s="14"/>
      <c r="I369" s="14"/>
      <c r="J369" s="14"/>
      <c r="K369" s="12"/>
    </row>
    <row r="370" ht="19.5" customHeight="1">
      <c r="A370" s="12"/>
      <c r="C370" s="12"/>
      <c r="D370" s="87"/>
      <c r="F370" s="14"/>
      <c r="G370" s="14"/>
      <c r="H370" s="14"/>
      <c r="I370" s="14"/>
      <c r="J370" s="14"/>
      <c r="K370" s="12"/>
    </row>
    <row r="371" ht="19.5" customHeight="1">
      <c r="A371" s="12"/>
      <c r="C371" s="12"/>
      <c r="D371" s="87"/>
      <c r="F371" s="14"/>
      <c r="G371" s="14"/>
      <c r="H371" s="14"/>
      <c r="I371" s="14"/>
      <c r="J371" s="14"/>
      <c r="K371" s="12"/>
    </row>
    <row r="372" ht="19.5" customHeight="1">
      <c r="A372" s="12"/>
      <c r="C372" s="12"/>
      <c r="D372" s="87"/>
      <c r="F372" s="14"/>
      <c r="G372" s="14"/>
      <c r="H372" s="14"/>
      <c r="I372" s="14"/>
      <c r="J372" s="14"/>
      <c r="K372" s="12"/>
    </row>
    <row r="373" ht="19.5" customHeight="1">
      <c r="A373" s="12"/>
      <c r="C373" s="12"/>
      <c r="D373" s="87"/>
      <c r="F373" s="14"/>
      <c r="G373" s="14"/>
      <c r="H373" s="14"/>
      <c r="I373" s="14"/>
      <c r="J373" s="14"/>
      <c r="K373" s="12"/>
    </row>
    <row r="374" ht="19.5" customHeight="1">
      <c r="A374" s="12"/>
      <c r="C374" s="12"/>
      <c r="D374" s="87"/>
      <c r="F374" s="14"/>
      <c r="G374" s="14"/>
      <c r="H374" s="14"/>
      <c r="I374" s="14"/>
      <c r="J374" s="14"/>
      <c r="K374" s="12"/>
    </row>
    <row r="375" ht="19.5" customHeight="1">
      <c r="A375" s="12"/>
      <c r="C375" s="12"/>
      <c r="D375" s="87"/>
      <c r="F375" s="14"/>
      <c r="G375" s="14"/>
      <c r="H375" s="14"/>
      <c r="I375" s="14"/>
      <c r="J375" s="14"/>
      <c r="K375" s="12"/>
    </row>
    <row r="376" ht="19.5" customHeight="1">
      <c r="A376" s="12"/>
      <c r="C376" s="12"/>
      <c r="D376" s="87"/>
      <c r="F376" s="14"/>
      <c r="G376" s="14"/>
      <c r="H376" s="14"/>
      <c r="I376" s="14"/>
      <c r="J376" s="14"/>
      <c r="K376" s="12"/>
    </row>
    <row r="377" ht="19.5" customHeight="1">
      <c r="A377" s="12"/>
      <c r="C377" s="12"/>
      <c r="D377" s="87"/>
      <c r="F377" s="14"/>
      <c r="G377" s="14"/>
      <c r="H377" s="14"/>
      <c r="I377" s="14"/>
      <c r="J377" s="14"/>
      <c r="K377" s="12"/>
    </row>
    <row r="378" ht="19.5" customHeight="1">
      <c r="A378" s="12"/>
      <c r="C378" s="12"/>
      <c r="D378" s="87"/>
      <c r="F378" s="14"/>
      <c r="G378" s="14"/>
      <c r="H378" s="14"/>
      <c r="I378" s="14"/>
      <c r="J378" s="14"/>
      <c r="K378" s="12"/>
    </row>
    <row r="379" ht="19.5" customHeight="1">
      <c r="A379" s="12"/>
      <c r="C379" s="12"/>
      <c r="D379" s="87"/>
      <c r="F379" s="14"/>
      <c r="G379" s="14"/>
      <c r="H379" s="14"/>
      <c r="I379" s="14"/>
      <c r="J379" s="14"/>
      <c r="K379" s="12"/>
    </row>
    <row r="380" ht="19.5" customHeight="1">
      <c r="A380" s="12"/>
      <c r="C380" s="12"/>
      <c r="D380" s="87"/>
      <c r="F380" s="14"/>
      <c r="G380" s="14"/>
      <c r="H380" s="14"/>
      <c r="I380" s="14"/>
      <c r="J380" s="14"/>
      <c r="K380" s="12"/>
    </row>
    <row r="381" ht="19.5" customHeight="1">
      <c r="A381" s="12"/>
      <c r="C381" s="12"/>
      <c r="D381" s="87"/>
      <c r="F381" s="14"/>
      <c r="G381" s="14"/>
      <c r="H381" s="14"/>
      <c r="I381" s="14"/>
      <c r="J381" s="14"/>
      <c r="K381" s="12"/>
    </row>
    <row r="382" ht="19.5" customHeight="1">
      <c r="A382" s="12"/>
      <c r="C382" s="12"/>
      <c r="D382" s="87"/>
      <c r="F382" s="14"/>
      <c r="G382" s="14"/>
      <c r="H382" s="14"/>
      <c r="I382" s="14"/>
      <c r="J382" s="14"/>
      <c r="K382" s="12"/>
    </row>
    <row r="383" ht="19.5" customHeight="1">
      <c r="A383" s="12"/>
      <c r="C383" s="12"/>
      <c r="D383" s="87"/>
      <c r="F383" s="14"/>
      <c r="G383" s="14"/>
      <c r="H383" s="14"/>
      <c r="I383" s="14"/>
      <c r="J383" s="14"/>
      <c r="K383" s="12"/>
    </row>
    <row r="384" ht="19.5" customHeight="1">
      <c r="A384" s="12"/>
      <c r="C384" s="12"/>
      <c r="D384" s="87"/>
      <c r="F384" s="14"/>
      <c r="G384" s="14"/>
      <c r="H384" s="14"/>
      <c r="I384" s="14"/>
      <c r="J384" s="14"/>
      <c r="K384" s="12"/>
    </row>
    <row r="385" ht="19.5" customHeight="1">
      <c r="A385" s="12"/>
      <c r="C385" s="12"/>
      <c r="D385" s="87"/>
      <c r="F385" s="14"/>
      <c r="G385" s="14"/>
      <c r="H385" s="14"/>
      <c r="I385" s="14"/>
      <c r="J385" s="14"/>
      <c r="K385" s="12"/>
    </row>
    <row r="386" ht="19.5" customHeight="1">
      <c r="A386" s="12"/>
      <c r="C386" s="12"/>
      <c r="D386" s="87"/>
      <c r="F386" s="14"/>
      <c r="G386" s="14"/>
      <c r="H386" s="14"/>
      <c r="I386" s="14"/>
      <c r="J386" s="14"/>
      <c r="K386" s="12"/>
    </row>
    <row r="387" ht="19.5" customHeight="1">
      <c r="A387" s="12"/>
      <c r="C387" s="12"/>
      <c r="D387" s="87"/>
      <c r="F387" s="14"/>
      <c r="G387" s="14"/>
      <c r="H387" s="14"/>
      <c r="I387" s="14"/>
      <c r="J387" s="14"/>
      <c r="K387" s="12"/>
    </row>
    <row r="388" ht="19.5" customHeight="1">
      <c r="A388" s="12"/>
      <c r="C388" s="12"/>
      <c r="D388" s="87"/>
      <c r="F388" s="14"/>
      <c r="G388" s="14"/>
      <c r="H388" s="14"/>
      <c r="I388" s="14"/>
      <c r="J388" s="14"/>
      <c r="K388" s="12"/>
    </row>
    <row r="389" ht="19.5" customHeight="1">
      <c r="A389" s="12"/>
      <c r="C389" s="12"/>
      <c r="D389" s="87"/>
      <c r="F389" s="14"/>
      <c r="G389" s="14"/>
      <c r="H389" s="14"/>
      <c r="I389" s="14"/>
      <c r="J389" s="14"/>
      <c r="K389" s="12"/>
    </row>
    <row r="390" ht="19.5" customHeight="1">
      <c r="A390" s="12"/>
      <c r="C390" s="12"/>
      <c r="D390" s="87"/>
      <c r="F390" s="14"/>
      <c r="G390" s="14"/>
      <c r="H390" s="14"/>
      <c r="I390" s="14"/>
      <c r="J390" s="14"/>
      <c r="K390" s="12"/>
    </row>
    <row r="391" ht="19.5" customHeight="1">
      <c r="A391" s="12"/>
      <c r="C391" s="12"/>
      <c r="D391" s="87"/>
      <c r="F391" s="14"/>
      <c r="G391" s="14"/>
      <c r="H391" s="14"/>
      <c r="I391" s="14"/>
      <c r="J391" s="14"/>
      <c r="K391" s="12"/>
    </row>
    <row r="392" ht="19.5" customHeight="1">
      <c r="A392" s="12"/>
      <c r="C392" s="12"/>
      <c r="D392" s="87"/>
      <c r="F392" s="14"/>
      <c r="G392" s="14"/>
      <c r="H392" s="14"/>
      <c r="I392" s="14"/>
      <c r="J392" s="14"/>
      <c r="K392" s="12"/>
    </row>
    <row r="393" ht="19.5" customHeight="1">
      <c r="A393" s="12"/>
      <c r="C393" s="12"/>
      <c r="D393" s="87"/>
      <c r="F393" s="14"/>
      <c r="G393" s="14"/>
      <c r="H393" s="14"/>
      <c r="I393" s="14"/>
      <c r="J393" s="14"/>
      <c r="K393" s="12"/>
    </row>
    <row r="394" ht="19.5" customHeight="1">
      <c r="A394" s="12"/>
      <c r="C394" s="12"/>
      <c r="D394" s="87"/>
      <c r="F394" s="14"/>
      <c r="G394" s="14"/>
      <c r="H394" s="14"/>
      <c r="I394" s="14"/>
      <c r="J394" s="14"/>
      <c r="K394" s="12"/>
    </row>
    <row r="395" ht="19.5" customHeight="1">
      <c r="A395" s="12"/>
      <c r="C395" s="12"/>
      <c r="D395" s="87"/>
      <c r="F395" s="14"/>
      <c r="G395" s="14"/>
      <c r="H395" s="14"/>
      <c r="I395" s="14"/>
      <c r="J395" s="14"/>
      <c r="K395" s="12"/>
    </row>
    <row r="396" ht="19.5" customHeight="1">
      <c r="A396" s="12"/>
      <c r="C396" s="12"/>
      <c r="D396" s="87"/>
      <c r="F396" s="14"/>
      <c r="G396" s="14"/>
      <c r="H396" s="14"/>
      <c r="I396" s="14"/>
      <c r="J396" s="14"/>
      <c r="K396" s="12"/>
    </row>
    <row r="397" ht="19.5" customHeight="1">
      <c r="A397" s="12"/>
      <c r="C397" s="12"/>
      <c r="D397" s="87"/>
      <c r="F397" s="14"/>
      <c r="G397" s="14"/>
      <c r="H397" s="14"/>
      <c r="I397" s="14"/>
      <c r="J397" s="14"/>
      <c r="K397" s="12"/>
    </row>
    <row r="398" ht="19.5" customHeight="1">
      <c r="A398" s="12"/>
      <c r="C398" s="12"/>
      <c r="D398" s="87"/>
      <c r="F398" s="14"/>
      <c r="G398" s="14"/>
      <c r="H398" s="14"/>
      <c r="I398" s="14"/>
      <c r="J398" s="14"/>
      <c r="K398" s="12"/>
    </row>
    <row r="399" ht="19.5" customHeight="1">
      <c r="A399" s="12"/>
      <c r="C399" s="12"/>
      <c r="D399" s="87"/>
      <c r="F399" s="14"/>
      <c r="G399" s="14"/>
      <c r="H399" s="14"/>
      <c r="I399" s="14"/>
      <c r="J399" s="14"/>
      <c r="K399" s="12"/>
    </row>
    <row r="400" ht="19.5" customHeight="1">
      <c r="A400" s="12"/>
      <c r="C400" s="12"/>
      <c r="D400" s="87"/>
      <c r="F400" s="14"/>
      <c r="G400" s="14"/>
      <c r="H400" s="14"/>
      <c r="I400" s="14"/>
      <c r="J400" s="14"/>
      <c r="K400" s="12"/>
    </row>
    <row r="401" ht="19.5" customHeight="1">
      <c r="A401" s="12"/>
      <c r="C401" s="12"/>
      <c r="D401" s="87"/>
      <c r="F401" s="14"/>
      <c r="G401" s="14"/>
      <c r="H401" s="14"/>
      <c r="I401" s="14"/>
      <c r="J401" s="14"/>
      <c r="K401" s="12"/>
    </row>
    <row r="402" ht="19.5" customHeight="1">
      <c r="A402" s="12"/>
      <c r="C402" s="12"/>
      <c r="D402" s="87"/>
      <c r="F402" s="14"/>
      <c r="G402" s="14"/>
      <c r="H402" s="14"/>
      <c r="I402" s="14"/>
      <c r="J402" s="14"/>
      <c r="K402" s="12"/>
    </row>
    <row r="403" ht="19.5" customHeight="1">
      <c r="A403" s="12"/>
      <c r="C403" s="12"/>
      <c r="D403" s="87"/>
      <c r="F403" s="14"/>
      <c r="G403" s="14"/>
      <c r="H403" s="14"/>
      <c r="I403" s="14"/>
      <c r="J403" s="14"/>
      <c r="K403" s="12"/>
    </row>
    <row r="404" ht="19.5" customHeight="1">
      <c r="A404" s="12"/>
      <c r="C404" s="12"/>
      <c r="D404" s="87"/>
      <c r="F404" s="14"/>
      <c r="G404" s="14"/>
      <c r="H404" s="14"/>
      <c r="I404" s="14"/>
      <c r="J404" s="14"/>
      <c r="K404" s="12"/>
    </row>
    <row r="405" ht="19.5" customHeight="1">
      <c r="A405" s="12"/>
      <c r="C405" s="12"/>
      <c r="D405" s="87"/>
      <c r="F405" s="14"/>
      <c r="G405" s="14"/>
      <c r="H405" s="14"/>
      <c r="I405" s="14"/>
      <c r="J405" s="14"/>
      <c r="K405" s="12"/>
    </row>
    <row r="406" ht="19.5" customHeight="1">
      <c r="A406" s="12"/>
      <c r="C406" s="12"/>
      <c r="D406" s="87"/>
      <c r="F406" s="14"/>
      <c r="G406" s="14"/>
      <c r="H406" s="14"/>
      <c r="I406" s="14"/>
      <c r="J406" s="14"/>
      <c r="K406" s="12"/>
    </row>
    <row r="407" ht="19.5" customHeight="1">
      <c r="A407" s="12"/>
      <c r="C407" s="12"/>
      <c r="D407" s="87"/>
      <c r="F407" s="14"/>
      <c r="G407" s="14"/>
      <c r="H407" s="14"/>
      <c r="I407" s="14"/>
      <c r="J407" s="14"/>
      <c r="K407" s="12"/>
    </row>
    <row r="408" ht="19.5" customHeight="1">
      <c r="A408" s="12"/>
      <c r="C408" s="12"/>
      <c r="D408" s="87"/>
      <c r="F408" s="14"/>
      <c r="G408" s="14"/>
      <c r="H408" s="14"/>
      <c r="I408" s="14"/>
      <c r="J408" s="14"/>
      <c r="K408" s="12"/>
    </row>
    <row r="409" ht="19.5" customHeight="1">
      <c r="A409" s="12"/>
      <c r="C409" s="12"/>
      <c r="D409" s="87"/>
      <c r="F409" s="14"/>
      <c r="G409" s="14"/>
      <c r="H409" s="14"/>
      <c r="I409" s="14"/>
      <c r="J409" s="14"/>
      <c r="K409" s="12"/>
    </row>
    <row r="410" ht="19.5" customHeight="1">
      <c r="A410" s="12"/>
      <c r="C410" s="12"/>
      <c r="D410" s="87"/>
      <c r="F410" s="14"/>
      <c r="G410" s="14"/>
      <c r="H410" s="14"/>
      <c r="I410" s="14"/>
      <c r="J410" s="14"/>
      <c r="K410" s="12"/>
    </row>
    <row r="411" ht="19.5" customHeight="1">
      <c r="A411" s="12"/>
      <c r="C411" s="12"/>
      <c r="D411" s="87"/>
      <c r="F411" s="14"/>
      <c r="G411" s="14"/>
      <c r="H411" s="14"/>
      <c r="I411" s="14"/>
      <c r="J411" s="14"/>
      <c r="K411" s="12"/>
    </row>
    <row r="412" ht="19.5" customHeight="1">
      <c r="A412" s="12"/>
      <c r="C412" s="12"/>
      <c r="D412" s="87"/>
      <c r="F412" s="14"/>
      <c r="G412" s="14"/>
      <c r="H412" s="14"/>
      <c r="I412" s="14"/>
      <c r="J412" s="14"/>
      <c r="K412" s="12"/>
    </row>
    <row r="413" ht="19.5" customHeight="1">
      <c r="A413" s="12"/>
      <c r="C413" s="12"/>
      <c r="D413" s="87"/>
      <c r="F413" s="14"/>
      <c r="G413" s="14"/>
      <c r="H413" s="14"/>
      <c r="I413" s="14"/>
      <c r="J413" s="14"/>
      <c r="K413" s="12"/>
    </row>
    <row r="414" ht="19.5" customHeight="1">
      <c r="A414" s="12"/>
      <c r="C414" s="12"/>
      <c r="D414" s="87"/>
      <c r="F414" s="14"/>
      <c r="G414" s="14"/>
      <c r="H414" s="14"/>
      <c r="I414" s="14"/>
      <c r="J414" s="14"/>
      <c r="K414" s="12"/>
    </row>
    <row r="415" ht="19.5" customHeight="1">
      <c r="A415" s="12"/>
      <c r="C415" s="12"/>
      <c r="D415" s="87"/>
      <c r="F415" s="14"/>
      <c r="G415" s="14"/>
      <c r="H415" s="14"/>
      <c r="I415" s="14"/>
      <c r="J415" s="14"/>
      <c r="K415" s="12"/>
    </row>
    <row r="416" ht="19.5" customHeight="1">
      <c r="A416" s="12"/>
      <c r="C416" s="12"/>
      <c r="D416" s="87"/>
      <c r="F416" s="14"/>
      <c r="G416" s="14"/>
      <c r="H416" s="14"/>
      <c r="I416" s="14"/>
      <c r="J416" s="14"/>
      <c r="K416" s="12"/>
    </row>
    <row r="417" ht="19.5" customHeight="1">
      <c r="A417" s="12"/>
      <c r="C417" s="12"/>
      <c r="D417" s="87"/>
      <c r="F417" s="14"/>
      <c r="G417" s="14"/>
      <c r="H417" s="14"/>
      <c r="I417" s="14"/>
      <c r="J417" s="14"/>
      <c r="K417" s="12"/>
    </row>
    <row r="418" ht="19.5" customHeight="1">
      <c r="A418" s="12"/>
      <c r="C418" s="12"/>
      <c r="D418" s="87"/>
      <c r="F418" s="14"/>
      <c r="G418" s="14"/>
      <c r="H418" s="14"/>
      <c r="I418" s="14"/>
      <c r="J418" s="14"/>
      <c r="K418" s="12"/>
    </row>
    <row r="419" ht="19.5" customHeight="1">
      <c r="A419" s="12"/>
      <c r="C419" s="12"/>
      <c r="D419" s="87"/>
      <c r="F419" s="14"/>
      <c r="G419" s="14"/>
      <c r="H419" s="14"/>
      <c r="I419" s="14"/>
      <c r="J419" s="14"/>
      <c r="K419" s="12"/>
    </row>
    <row r="420" ht="19.5" customHeight="1">
      <c r="A420" s="12"/>
      <c r="C420" s="12"/>
      <c r="D420" s="87"/>
      <c r="F420" s="14"/>
      <c r="G420" s="14"/>
      <c r="H420" s="14"/>
      <c r="I420" s="14"/>
      <c r="J420" s="14"/>
      <c r="K420" s="12"/>
    </row>
    <row r="421" ht="19.5" customHeight="1">
      <c r="A421" s="12"/>
      <c r="C421" s="12"/>
      <c r="D421" s="87"/>
      <c r="F421" s="14"/>
      <c r="G421" s="14"/>
      <c r="H421" s="14"/>
      <c r="I421" s="14"/>
      <c r="J421" s="14"/>
      <c r="K421" s="12"/>
    </row>
    <row r="422" ht="19.5" customHeight="1">
      <c r="A422" s="12"/>
      <c r="C422" s="12"/>
      <c r="D422" s="87"/>
      <c r="F422" s="14"/>
      <c r="G422" s="14"/>
      <c r="H422" s="14"/>
      <c r="I422" s="14"/>
      <c r="J422" s="14"/>
      <c r="K422" s="12"/>
    </row>
    <row r="423" ht="19.5" customHeight="1">
      <c r="A423" s="12"/>
      <c r="C423" s="12"/>
      <c r="D423" s="87"/>
      <c r="F423" s="14"/>
      <c r="G423" s="14"/>
      <c r="H423" s="14"/>
      <c r="I423" s="14"/>
      <c r="J423" s="14"/>
      <c r="K423" s="12"/>
    </row>
    <row r="424" ht="19.5" customHeight="1">
      <c r="A424" s="12"/>
      <c r="C424" s="12"/>
      <c r="D424" s="87"/>
      <c r="F424" s="14"/>
      <c r="G424" s="14"/>
      <c r="H424" s="14"/>
      <c r="I424" s="14"/>
      <c r="J424" s="14"/>
      <c r="K424" s="12"/>
    </row>
    <row r="425" ht="19.5" customHeight="1">
      <c r="A425" s="12"/>
      <c r="C425" s="12"/>
      <c r="D425" s="87"/>
      <c r="F425" s="14"/>
      <c r="G425" s="14"/>
      <c r="H425" s="14"/>
      <c r="I425" s="14"/>
      <c r="J425" s="14"/>
      <c r="K425" s="12"/>
    </row>
    <row r="426" ht="19.5" customHeight="1">
      <c r="A426" s="12"/>
      <c r="C426" s="12"/>
      <c r="D426" s="87"/>
      <c r="F426" s="14"/>
      <c r="G426" s="14"/>
      <c r="H426" s="14"/>
      <c r="I426" s="14"/>
      <c r="J426" s="14"/>
      <c r="K426" s="12"/>
    </row>
    <row r="427" ht="19.5" customHeight="1">
      <c r="A427" s="12"/>
      <c r="C427" s="12"/>
      <c r="D427" s="87"/>
      <c r="F427" s="14"/>
      <c r="G427" s="14"/>
      <c r="H427" s="14"/>
      <c r="I427" s="14"/>
      <c r="J427" s="14"/>
      <c r="K427" s="12"/>
    </row>
    <row r="428" ht="19.5" customHeight="1">
      <c r="A428" s="12"/>
      <c r="C428" s="12"/>
      <c r="D428" s="87"/>
      <c r="F428" s="14"/>
      <c r="G428" s="14"/>
      <c r="H428" s="14"/>
      <c r="I428" s="14"/>
      <c r="J428" s="14"/>
      <c r="K428" s="12"/>
    </row>
    <row r="429" ht="19.5" customHeight="1">
      <c r="A429" s="12"/>
      <c r="C429" s="12"/>
      <c r="D429" s="87"/>
      <c r="F429" s="14"/>
      <c r="G429" s="14"/>
      <c r="H429" s="14"/>
      <c r="I429" s="14"/>
      <c r="J429" s="14"/>
      <c r="K429" s="12"/>
    </row>
    <row r="430" ht="19.5" customHeight="1">
      <c r="A430" s="12"/>
      <c r="C430" s="12"/>
      <c r="D430" s="87"/>
      <c r="F430" s="14"/>
      <c r="G430" s="14"/>
      <c r="H430" s="14"/>
      <c r="I430" s="14"/>
      <c r="J430" s="14"/>
      <c r="K430" s="12"/>
    </row>
    <row r="431" ht="19.5" customHeight="1">
      <c r="A431" s="12"/>
      <c r="C431" s="12"/>
      <c r="D431" s="87"/>
      <c r="F431" s="14"/>
      <c r="G431" s="14"/>
      <c r="H431" s="14"/>
      <c r="I431" s="14"/>
      <c r="J431" s="14"/>
      <c r="K431" s="12"/>
    </row>
    <row r="432" ht="19.5" customHeight="1">
      <c r="A432" s="12"/>
      <c r="C432" s="12"/>
      <c r="D432" s="87"/>
      <c r="F432" s="14"/>
      <c r="G432" s="14"/>
      <c r="H432" s="14"/>
      <c r="I432" s="14"/>
      <c r="J432" s="14"/>
      <c r="K432" s="12"/>
    </row>
    <row r="433" ht="19.5" customHeight="1">
      <c r="A433" s="12"/>
      <c r="C433" s="12"/>
      <c r="D433" s="87"/>
      <c r="F433" s="14"/>
      <c r="G433" s="14"/>
      <c r="H433" s="14"/>
      <c r="I433" s="14"/>
      <c r="J433" s="14"/>
      <c r="K433" s="12"/>
    </row>
    <row r="434" ht="19.5" customHeight="1">
      <c r="A434" s="12"/>
      <c r="C434" s="12"/>
      <c r="D434" s="87"/>
      <c r="F434" s="14"/>
      <c r="G434" s="14"/>
      <c r="H434" s="14"/>
      <c r="I434" s="14"/>
      <c r="J434" s="14"/>
      <c r="K434" s="12"/>
    </row>
    <row r="435" ht="19.5" customHeight="1">
      <c r="A435" s="12"/>
      <c r="C435" s="12"/>
      <c r="D435" s="87"/>
      <c r="F435" s="14"/>
      <c r="G435" s="14"/>
      <c r="H435" s="14"/>
      <c r="I435" s="14"/>
      <c r="J435" s="14"/>
      <c r="K435" s="12"/>
    </row>
    <row r="436" ht="19.5" customHeight="1">
      <c r="A436" s="12"/>
      <c r="C436" s="12"/>
      <c r="D436" s="87"/>
      <c r="F436" s="14"/>
      <c r="G436" s="14"/>
      <c r="H436" s="14"/>
      <c r="I436" s="14"/>
      <c r="J436" s="14"/>
      <c r="K436" s="12"/>
    </row>
    <row r="437" ht="19.5" customHeight="1">
      <c r="A437" s="12"/>
      <c r="C437" s="12"/>
      <c r="D437" s="87"/>
      <c r="F437" s="14"/>
      <c r="G437" s="14"/>
      <c r="H437" s="14"/>
      <c r="I437" s="14"/>
      <c r="J437" s="14"/>
      <c r="K437" s="12"/>
    </row>
    <row r="438" ht="19.5" customHeight="1">
      <c r="A438" s="12"/>
      <c r="C438" s="12"/>
      <c r="D438" s="87"/>
      <c r="F438" s="14"/>
      <c r="G438" s="14"/>
      <c r="H438" s="14"/>
      <c r="I438" s="14"/>
      <c r="J438" s="14"/>
      <c r="K438" s="12"/>
    </row>
    <row r="439" ht="19.5" customHeight="1">
      <c r="A439" s="12"/>
      <c r="C439" s="12"/>
      <c r="D439" s="87"/>
      <c r="F439" s="14"/>
      <c r="G439" s="14"/>
      <c r="H439" s="14"/>
      <c r="I439" s="14"/>
      <c r="J439" s="14"/>
      <c r="K439" s="12"/>
    </row>
    <row r="440" ht="19.5" customHeight="1">
      <c r="A440" s="12"/>
      <c r="C440" s="12"/>
      <c r="D440" s="87"/>
      <c r="F440" s="14"/>
      <c r="G440" s="14"/>
      <c r="H440" s="14"/>
      <c r="I440" s="14"/>
      <c r="J440" s="14"/>
      <c r="K440" s="12"/>
    </row>
    <row r="441" ht="19.5" customHeight="1">
      <c r="A441" s="12"/>
      <c r="C441" s="12"/>
      <c r="D441" s="87"/>
      <c r="F441" s="14"/>
      <c r="G441" s="14"/>
      <c r="H441" s="14"/>
      <c r="I441" s="14"/>
      <c r="J441" s="14"/>
      <c r="K441" s="12"/>
    </row>
    <row r="442" ht="19.5" customHeight="1">
      <c r="A442" s="12"/>
      <c r="C442" s="12"/>
      <c r="D442" s="87"/>
      <c r="F442" s="14"/>
      <c r="G442" s="14"/>
      <c r="H442" s="14"/>
      <c r="I442" s="14"/>
      <c r="J442" s="14"/>
      <c r="K442" s="12"/>
    </row>
    <row r="443" ht="19.5" customHeight="1">
      <c r="A443" s="12"/>
      <c r="C443" s="12"/>
      <c r="D443" s="87"/>
      <c r="F443" s="14"/>
      <c r="G443" s="14"/>
      <c r="H443" s="14"/>
      <c r="I443" s="14"/>
      <c r="J443" s="14"/>
      <c r="K443" s="12"/>
    </row>
    <row r="444" ht="19.5" customHeight="1">
      <c r="A444" s="12"/>
      <c r="C444" s="12"/>
      <c r="D444" s="87"/>
      <c r="F444" s="14"/>
      <c r="G444" s="14"/>
      <c r="H444" s="14"/>
      <c r="I444" s="14"/>
      <c r="J444" s="14"/>
      <c r="K444" s="12"/>
    </row>
    <row r="445" ht="19.5" customHeight="1">
      <c r="A445" s="12"/>
      <c r="C445" s="12"/>
      <c r="D445" s="87"/>
      <c r="F445" s="14"/>
      <c r="G445" s="14"/>
      <c r="H445" s="14"/>
      <c r="I445" s="14"/>
      <c r="J445" s="14"/>
      <c r="K445" s="12"/>
    </row>
    <row r="446" ht="19.5" customHeight="1">
      <c r="A446" s="12"/>
      <c r="C446" s="12"/>
      <c r="D446" s="87"/>
      <c r="F446" s="14"/>
      <c r="G446" s="14"/>
      <c r="H446" s="14"/>
      <c r="I446" s="14"/>
      <c r="J446" s="14"/>
      <c r="K446" s="12"/>
    </row>
    <row r="447" ht="19.5" customHeight="1">
      <c r="A447" s="12"/>
      <c r="C447" s="12"/>
      <c r="D447" s="87"/>
      <c r="F447" s="14"/>
      <c r="G447" s="14"/>
      <c r="H447" s="14"/>
      <c r="I447" s="14"/>
      <c r="J447" s="14"/>
      <c r="K447" s="12"/>
    </row>
    <row r="448" ht="19.5" customHeight="1">
      <c r="A448" s="12"/>
      <c r="C448" s="12"/>
      <c r="D448" s="87"/>
      <c r="F448" s="14"/>
      <c r="G448" s="14"/>
      <c r="H448" s="14"/>
      <c r="I448" s="14"/>
      <c r="J448" s="14"/>
      <c r="K448" s="12"/>
    </row>
    <row r="449" ht="19.5" customHeight="1">
      <c r="A449" s="12"/>
      <c r="C449" s="12"/>
      <c r="D449" s="87"/>
      <c r="F449" s="14"/>
      <c r="G449" s="14"/>
      <c r="H449" s="14"/>
      <c r="I449" s="14"/>
      <c r="J449" s="14"/>
      <c r="K449" s="12"/>
    </row>
    <row r="450" ht="19.5" customHeight="1">
      <c r="A450" s="12"/>
      <c r="C450" s="12"/>
      <c r="D450" s="87"/>
      <c r="F450" s="14"/>
      <c r="G450" s="14"/>
      <c r="H450" s="14"/>
      <c r="I450" s="14"/>
      <c r="J450" s="14"/>
      <c r="K450" s="12"/>
    </row>
    <row r="451" ht="19.5" customHeight="1">
      <c r="A451" s="12"/>
      <c r="C451" s="12"/>
      <c r="D451" s="87"/>
      <c r="F451" s="14"/>
      <c r="G451" s="14"/>
      <c r="H451" s="14"/>
      <c r="I451" s="14"/>
      <c r="J451" s="14"/>
      <c r="K451" s="12"/>
    </row>
    <row r="452" ht="19.5" customHeight="1">
      <c r="A452" s="12"/>
      <c r="C452" s="12"/>
      <c r="D452" s="87"/>
      <c r="F452" s="14"/>
      <c r="G452" s="14"/>
      <c r="H452" s="14"/>
      <c r="I452" s="14"/>
      <c r="J452" s="14"/>
      <c r="K452" s="12"/>
    </row>
    <row r="453" ht="19.5" customHeight="1">
      <c r="A453" s="12"/>
      <c r="C453" s="12"/>
      <c r="D453" s="87"/>
      <c r="F453" s="14"/>
      <c r="G453" s="14"/>
      <c r="H453" s="14"/>
      <c r="I453" s="14"/>
      <c r="J453" s="14"/>
      <c r="K453" s="12"/>
    </row>
    <row r="454" ht="19.5" customHeight="1">
      <c r="A454" s="12"/>
      <c r="C454" s="12"/>
      <c r="D454" s="87"/>
      <c r="F454" s="14"/>
      <c r="G454" s="14"/>
      <c r="H454" s="14"/>
      <c r="I454" s="14"/>
      <c r="J454" s="14"/>
      <c r="K454" s="12"/>
    </row>
    <row r="455" ht="19.5" customHeight="1">
      <c r="A455" s="12"/>
      <c r="C455" s="12"/>
      <c r="D455" s="87"/>
      <c r="F455" s="14"/>
      <c r="G455" s="14"/>
      <c r="H455" s="14"/>
      <c r="I455" s="14"/>
      <c r="J455" s="14"/>
      <c r="K455" s="12"/>
    </row>
    <row r="456" ht="19.5" customHeight="1">
      <c r="A456" s="12"/>
      <c r="C456" s="12"/>
      <c r="D456" s="87"/>
      <c r="F456" s="14"/>
      <c r="G456" s="14"/>
      <c r="H456" s="14"/>
      <c r="I456" s="14"/>
      <c r="J456" s="14"/>
      <c r="K456" s="12"/>
    </row>
    <row r="457" ht="19.5" customHeight="1">
      <c r="A457" s="12"/>
      <c r="C457" s="12"/>
      <c r="D457" s="87"/>
      <c r="F457" s="14"/>
      <c r="G457" s="14"/>
      <c r="H457" s="14"/>
      <c r="I457" s="14"/>
      <c r="J457" s="14"/>
      <c r="K457" s="12"/>
    </row>
    <row r="458" ht="19.5" customHeight="1">
      <c r="A458" s="12"/>
      <c r="C458" s="12"/>
      <c r="D458" s="87"/>
      <c r="F458" s="14"/>
      <c r="G458" s="14"/>
      <c r="H458" s="14"/>
      <c r="I458" s="14"/>
      <c r="J458" s="14"/>
      <c r="K458" s="12"/>
    </row>
    <row r="459" ht="19.5" customHeight="1">
      <c r="A459" s="12"/>
      <c r="C459" s="12"/>
      <c r="D459" s="87"/>
      <c r="F459" s="14"/>
      <c r="G459" s="14"/>
      <c r="H459" s="14"/>
      <c r="I459" s="14"/>
      <c r="J459" s="14"/>
      <c r="K459" s="12"/>
    </row>
    <row r="460" ht="19.5" customHeight="1">
      <c r="A460" s="12"/>
      <c r="C460" s="12"/>
      <c r="D460" s="87"/>
      <c r="F460" s="14"/>
      <c r="G460" s="14"/>
      <c r="H460" s="14"/>
      <c r="I460" s="14"/>
      <c r="J460" s="14"/>
      <c r="K460" s="12"/>
    </row>
    <row r="461" ht="19.5" customHeight="1">
      <c r="A461" s="12"/>
      <c r="C461" s="12"/>
      <c r="D461" s="87"/>
      <c r="F461" s="14"/>
      <c r="G461" s="14"/>
      <c r="H461" s="14"/>
      <c r="I461" s="14"/>
      <c r="J461" s="14"/>
      <c r="K461" s="12"/>
    </row>
    <row r="462" ht="19.5" customHeight="1">
      <c r="A462" s="12"/>
      <c r="C462" s="12"/>
      <c r="D462" s="87"/>
      <c r="F462" s="14"/>
      <c r="G462" s="14"/>
      <c r="H462" s="14"/>
      <c r="I462" s="14"/>
      <c r="J462" s="14"/>
      <c r="K462" s="12"/>
    </row>
    <row r="463" ht="19.5" customHeight="1">
      <c r="A463" s="12"/>
      <c r="C463" s="12"/>
      <c r="D463" s="87"/>
      <c r="F463" s="14"/>
      <c r="G463" s="14"/>
      <c r="H463" s="14"/>
      <c r="I463" s="14"/>
      <c r="J463" s="14"/>
      <c r="K463" s="12"/>
    </row>
    <row r="464" ht="19.5" customHeight="1">
      <c r="A464" s="12"/>
      <c r="C464" s="12"/>
      <c r="D464" s="87"/>
      <c r="F464" s="14"/>
      <c r="G464" s="14"/>
      <c r="H464" s="14"/>
      <c r="I464" s="14"/>
      <c r="J464" s="14"/>
      <c r="K464" s="12"/>
    </row>
    <row r="465" ht="19.5" customHeight="1">
      <c r="A465" s="12"/>
      <c r="C465" s="12"/>
      <c r="D465" s="87"/>
      <c r="F465" s="14"/>
      <c r="G465" s="14"/>
      <c r="H465" s="14"/>
      <c r="I465" s="14"/>
      <c r="J465" s="14"/>
      <c r="K465" s="12"/>
    </row>
    <row r="466" ht="19.5" customHeight="1">
      <c r="A466" s="12"/>
      <c r="C466" s="12"/>
      <c r="D466" s="87"/>
      <c r="F466" s="14"/>
      <c r="G466" s="14"/>
      <c r="H466" s="14"/>
      <c r="I466" s="14"/>
      <c r="J466" s="14"/>
      <c r="K466" s="12"/>
    </row>
    <row r="467" ht="19.5" customHeight="1">
      <c r="A467" s="12"/>
      <c r="C467" s="12"/>
      <c r="D467" s="87"/>
      <c r="F467" s="14"/>
      <c r="G467" s="14"/>
      <c r="H467" s="14"/>
      <c r="I467" s="14"/>
      <c r="J467" s="14"/>
      <c r="K467" s="12"/>
    </row>
    <row r="468" ht="19.5" customHeight="1">
      <c r="A468" s="12"/>
      <c r="C468" s="12"/>
      <c r="D468" s="87"/>
      <c r="F468" s="14"/>
      <c r="G468" s="14"/>
      <c r="H468" s="14"/>
      <c r="I468" s="14"/>
      <c r="J468" s="14"/>
      <c r="K468" s="12"/>
    </row>
    <row r="469" ht="19.5" customHeight="1">
      <c r="A469" s="12"/>
      <c r="C469" s="12"/>
      <c r="D469" s="87"/>
      <c r="F469" s="14"/>
      <c r="G469" s="14"/>
      <c r="H469" s="14"/>
      <c r="I469" s="14"/>
      <c r="J469" s="14"/>
      <c r="K469" s="12"/>
    </row>
    <row r="470" ht="19.5" customHeight="1">
      <c r="A470" s="12"/>
      <c r="C470" s="12"/>
      <c r="D470" s="87"/>
      <c r="F470" s="14"/>
      <c r="G470" s="14"/>
      <c r="H470" s="14"/>
      <c r="I470" s="14"/>
      <c r="J470" s="14"/>
      <c r="K470" s="12"/>
    </row>
    <row r="471" ht="19.5" customHeight="1">
      <c r="A471" s="12"/>
      <c r="C471" s="12"/>
      <c r="D471" s="87"/>
      <c r="F471" s="14"/>
      <c r="G471" s="14"/>
      <c r="H471" s="14"/>
      <c r="I471" s="14"/>
      <c r="J471" s="14"/>
      <c r="K471" s="12"/>
    </row>
    <row r="472" ht="19.5" customHeight="1">
      <c r="A472" s="12"/>
      <c r="C472" s="12"/>
      <c r="D472" s="87"/>
      <c r="F472" s="14"/>
      <c r="G472" s="14"/>
      <c r="H472" s="14"/>
      <c r="I472" s="14"/>
      <c r="J472" s="14"/>
      <c r="K472" s="12"/>
    </row>
    <row r="473" ht="19.5" customHeight="1">
      <c r="A473" s="12"/>
      <c r="C473" s="12"/>
      <c r="D473" s="87"/>
      <c r="F473" s="14"/>
      <c r="G473" s="14"/>
      <c r="H473" s="14"/>
      <c r="I473" s="14"/>
      <c r="J473" s="14"/>
      <c r="K473" s="12"/>
    </row>
    <row r="474" ht="19.5" customHeight="1">
      <c r="A474" s="12"/>
      <c r="C474" s="12"/>
      <c r="D474" s="87"/>
      <c r="F474" s="14"/>
      <c r="G474" s="14"/>
      <c r="H474" s="14"/>
      <c r="I474" s="14"/>
      <c r="J474" s="14"/>
      <c r="K474" s="12"/>
    </row>
    <row r="475" ht="19.5" customHeight="1">
      <c r="A475" s="12"/>
      <c r="C475" s="12"/>
      <c r="D475" s="87"/>
      <c r="F475" s="14"/>
      <c r="G475" s="14"/>
      <c r="H475" s="14"/>
      <c r="I475" s="14"/>
      <c r="J475" s="14"/>
      <c r="K475" s="12"/>
    </row>
    <row r="476" ht="19.5" customHeight="1">
      <c r="A476" s="12"/>
      <c r="C476" s="12"/>
      <c r="D476" s="87"/>
      <c r="F476" s="14"/>
      <c r="G476" s="14"/>
      <c r="H476" s="14"/>
      <c r="I476" s="14"/>
      <c r="J476" s="14"/>
      <c r="K476" s="12"/>
    </row>
    <row r="477" ht="19.5" customHeight="1">
      <c r="A477" s="12"/>
      <c r="C477" s="12"/>
      <c r="D477" s="87"/>
      <c r="F477" s="14"/>
      <c r="G477" s="14"/>
      <c r="H477" s="14"/>
      <c r="I477" s="14"/>
      <c r="J477" s="14"/>
      <c r="K477" s="12"/>
    </row>
    <row r="478" ht="19.5" customHeight="1">
      <c r="A478" s="12"/>
      <c r="C478" s="12"/>
      <c r="D478" s="87"/>
      <c r="F478" s="14"/>
      <c r="G478" s="14"/>
      <c r="H478" s="14"/>
      <c r="I478" s="14"/>
      <c r="J478" s="14"/>
      <c r="K478" s="12"/>
    </row>
    <row r="479" ht="19.5" customHeight="1">
      <c r="A479" s="12"/>
      <c r="C479" s="12"/>
      <c r="D479" s="87"/>
      <c r="F479" s="14"/>
      <c r="G479" s="14"/>
      <c r="H479" s="14"/>
      <c r="I479" s="14"/>
      <c r="J479" s="14"/>
      <c r="K479" s="12"/>
    </row>
    <row r="480" ht="19.5" customHeight="1">
      <c r="A480" s="12"/>
      <c r="C480" s="12"/>
      <c r="D480" s="87"/>
      <c r="F480" s="14"/>
      <c r="G480" s="14"/>
      <c r="H480" s="14"/>
      <c r="I480" s="14"/>
      <c r="J480" s="14"/>
      <c r="K480" s="12"/>
    </row>
    <row r="481" ht="19.5" customHeight="1">
      <c r="A481" s="12"/>
      <c r="C481" s="12"/>
      <c r="D481" s="87"/>
      <c r="F481" s="14"/>
      <c r="G481" s="14"/>
      <c r="H481" s="14"/>
      <c r="I481" s="14"/>
      <c r="J481" s="14"/>
      <c r="K481" s="12"/>
    </row>
    <row r="482" ht="19.5" customHeight="1">
      <c r="A482" s="12"/>
      <c r="C482" s="12"/>
      <c r="D482" s="87"/>
      <c r="F482" s="14"/>
      <c r="G482" s="14"/>
      <c r="H482" s="14"/>
      <c r="I482" s="14"/>
      <c r="J482" s="14"/>
      <c r="K482" s="12"/>
    </row>
    <row r="483" ht="19.5" customHeight="1">
      <c r="A483" s="12"/>
      <c r="C483" s="12"/>
      <c r="D483" s="87"/>
      <c r="F483" s="14"/>
      <c r="G483" s="14"/>
      <c r="H483" s="14"/>
      <c r="I483" s="14"/>
      <c r="J483" s="14"/>
      <c r="K483" s="12"/>
    </row>
    <row r="484" ht="19.5" customHeight="1">
      <c r="A484" s="12"/>
      <c r="C484" s="12"/>
      <c r="D484" s="87"/>
      <c r="F484" s="14"/>
      <c r="G484" s="14"/>
      <c r="H484" s="14"/>
      <c r="I484" s="14"/>
      <c r="J484" s="14"/>
      <c r="K484" s="12"/>
    </row>
    <row r="485" ht="19.5" customHeight="1">
      <c r="A485" s="12"/>
      <c r="C485" s="12"/>
      <c r="D485" s="87"/>
      <c r="F485" s="14"/>
      <c r="G485" s="14"/>
      <c r="H485" s="14"/>
      <c r="I485" s="14"/>
      <c r="J485" s="14"/>
      <c r="K485" s="12"/>
    </row>
    <row r="486" ht="19.5" customHeight="1">
      <c r="A486" s="12"/>
      <c r="C486" s="12"/>
      <c r="D486" s="87"/>
      <c r="F486" s="14"/>
      <c r="G486" s="14"/>
      <c r="H486" s="14"/>
      <c r="I486" s="14"/>
      <c r="J486" s="14"/>
      <c r="K486" s="12"/>
    </row>
    <row r="487" ht="19.5" customHeight="1">
      <c r="A487" s="12"/>
      <c r="C487" s="12"/>
      <c r="D487" s="87"/>
      <c r="F487" s="14"/>
      <c r="G487" s="14"/>
      <c r="H487" s="14"/>
      <c r="I487" s="14"/>
      <c r="J487" s="14"/>
      <c r="K487" s="12"/>
    </row>
    <row r="488" ht="19.5" customHeight="1">
      <c r="A488" s="12"/>
      <c r="C488" s="12"/>
      <c r="D488" s="87"/>
      <c r="F488" s="14"/>
      <c r="G488" s="14"/>
      <c r="H488" s="14"/>
      <c r="I488" s="14"/>
      <c r="J488" s="14"/>
      <c r="K488" s="12"/>
    </row>
    <row r="489" ht="19.5" customHeight="1">
      <c r="A489" s="12"/>
      <c r="C489" s="12"/>
      <c r="D489" s="87"/>
      <c r="F489" s="14"/>
      <c r="G489" s="14"/>
      <c r="H489" s="14"/>
      <c r="I489" s="14"/>
      <c r="J489" s="14"/>
      <c r="K489" s="12"/>
    </row>
    <row r="490" ht="19.5" customHeight="1">
      <c r="A490" s="12"/>
      <c r="C490" s="12"/>
      <c r="D490" s="87"/>
      <c r="F490" s="14"/>
      <c r="G490" s="14"/>
      <c r="H490" s="14"/>
      <c r="I490" s="14"/>
      <c r="J490" s="14"/>
      <c r="K490" s="12"/>
    </row>
    <row r="491" ht="19.5" customHeight="1">
      <c r="A491" s="12"/>
      <c r="C491" s="12"/>
      <c r="D491" s="87"/>
      <c r="F491" s="14"/>
      <c r="G491" s="14"/>
      <c r="H491" s="14"/>
      <c r="I491" s="14"/>
      <c r="J491" s="14"/>
      <c r="K491" s="12"/>
    </row>
    <row r="492" ht="19.5" customHeight="1">
      <c r="A492" s="12"/>
      <c r="C492" s="12"/>
      <c r="D492" s="87"/>
      <c r="F492" s="14"/>
      <c r="G492" s="14"/>
      <c r="H492" s="14"/>
      <c r="I492" s="14"/>
      <c r="J492" s="14"/>
      <c r="K492" s="12"/>
    </row>
    <row r="493" ht="19.5" customHeight="1">
      <c r="A493" s="12"/>
      <c r="C493" s="12"/>
      <c r="D493" s="87"/>
      <c r="F493" s="14"/>
      <c r="G493" s="14"/>
      <c r="H493" s="14"/>
      <c r="I493" s="14"/>
      <c r="J493" s="14"/>
      <c r="K493" s="12"/>
    </row>
    <row r="494" ht="19.5" customHeight="1">
      <c r="A494" s="12"/>
      <c r="C494" s="12"/>
      <c r="D494" s="87"/>
      <c r="F494" s="14"/>
      <c r="G494" s="14"/>
      <c r="H494" s="14"/>
      <c r="I494" s="14"/>
      <c r="J494" s="14"/>
      <c r="K494" s="12"/>
    </row>
    <row r="495" ht="19.5" customHeight="1">
      <c r="A495" s="12"/>
      <c r="C495" s="12"/>
      <c r="D495" s="87"/>
      <c r="F495" s="14"/>
      <c r="G495" s="14"/>
      <c r="H495" s="14"/>
      <c r="I495" s="14"/>
      <c r="J495" s="14"/>
      <c r="K495" s="12"/>
    </row>
    <row r="496" ht="19.5" customHeight="1">
      <c r="A496" s="12"/>
      <c r="C496" s="12"/>
      <c r="D496" s="87"/>
      <c r="F496" s="14"/>
      <c r="G496" s="14"/>
      <c r="H496" s="14"/>
      <c r="I496" s="14"/>
      <c r="J496" s="14"/>
      <c r="K496" s="12"/>
    </row>
    <row r="497" ht="19.5" customHeight="1">
      <c r="A497" s="12"/>
      <c r="C497" s="12"/>
      <c r="D497" s="87"/>
      <c r="F497" s="14"/>
      <c r="G497" s="14"/>
      <c r="H497" s="14"/>
      <c r="I497" s="14"/>
      <c r="J497" s="14"/>
      <c r="K497" s="12"/>
    </row>
    <row r="498" ht="19.5" customHeight="1">
      <c r="A498" s="12"/>
      <c r="C498" s="12"/>
      <c r="D498" s="87"/>
      <c r="F498" s="14"/>
      <c r="G498" s="14"/>
      <c r="H498" s="14"/>
      <c r="I498" s="14"/>
      <c r="J498" s="14"/>
      <c r="K498" s="12"/>
    </row>
    <row r="499" ht="19.5" customHeight="1">
      <c r="A499" s="12"/>
      <c r="C499" s="12"/>
      <c r="D499" s="87"/>
      <c r="F499" s="14"/>
      <c r="G499" s="14"/>
      <c r="H499" s="14"/>
      <c r="I499" s="14"/>
      <c r="J499" s="14"/>
      <c r="K499" s="12"/>
    </row>
    <row r="500" ht="19.5" customHeight="1">
      <c r="A500" s="12"/>
      <c r="C500" s="12"/>
      <c r="D500" s="87"/>
      <c r="F500" s="14"/>
      <c r="G500" s="14"/>
      <c r="H500" s="14"/>
      <c r="I500" s="14"/>
      <c r="J500" s="14"/>
      <c r="K500" s="12"/>
    </row>
    <row r="501" ht="19.5" customHeight="1">
      <c r="A501" s="12"/>
      <c r="C501" s="12"/>
      <c r="D501" s="87"/>
      <c r="F501" s="14"/>
      <c r="G501" s="14"/>
      <c r="H501" s="14"/>
      <c r="I501" s="14"/>
      <c r="J501" s="14"/>
      <c r="K501" s="12"/>
    </row>
    <row r="502" ht="19.5" customHeight="1">
      <c r="A502" s="12"/>
      <c r="C502" s="12"/>
      <c r="D502" s="87"/>
      <c r="F502" s="14"/>
      <c r="G502" s="14"/>
      <c r="H502" s="14"/>
      <c r="I502" s="14"/>
      <c r="J502" s="14"/>
      <c r="K502" s="12"/>
    </row>
    <row r="503" ht="19.5" customHeight="1">
      <c r="A503" s="12"/>
      <c r="C503" s="12"/>
      <c r="D503" s="87"/>
      <c r="F503" s="14"/>
      <c r="G503" s="14"/>
      <c r="H503" s="14"/>
      <c r="I503" s="14"/>
      <c r="J503" s="14"/>
      <c r="K503" s="12"/>
    </row>
    <row r="504" ht="19.5" customHeight="1">
      <c r="A504" s="12"/>
      <c r="C504" s="12"/>
      <c r="D504" s="87"/>
      <c r="F504" s="14"/>
      <c r="G504" s="14"/>
      <c r="H504" s="14"/>
      <c r="I504" s="14"/>
      <c r="J504" s="14"/>
      <c r="K504" s="12"/>
    </row>
    <row r="505" ht="19.5" customHeight="1">
      <c r="A505" s="12"/>
      <c r="C505" s="12"/>
      <c r="D505" s="87"/>
      <c r="F505" s="14"/>
      <c r="G505" s="14"/>
      <c r="H505" s="14"/>
      <c r="I505" s="14"/>
      <c r="J505" s="14"/>
      <c r="K505" s="12"/>
    </row>
    <row r="506" ht="19.5" customHeight="1">
      <c r="A506" s="12"/>
      <c r="C506" s="12"/>
      <c r="D506" s="87"/>
      <c r="F506" s="14"/>
      <c r="G506" s="14"/>
      <c r="H506" s="14"/>
      <c r="I506" s="14"/>
      <c r="J506" s="14"/>
      <c r="K506" s="12"/>
    </row>
    <row r="507" ht="19.5" customHeight="1">
      <c r="A507" s="12"/>
      <c r="C507" s="12"/>
      <c r="D507" s="87"/>
      <c r="F507" s="14"/>
      <c r="G507" s="14"/>
      <c r="H507" s="14"/>
      <c r="I507" s="14"/>
      <c r="J507" s="14"/>
      <c r="K507" s="12"/>
    </row>
    <row r="508" ht="19.5" customHeight="1">
      <c r="A508" s="12"/>
      <c r="C508" s="12"/>
      <c r="D508" s="87"/>
      <c r="F508" s="14"/>
      <c r="G508" s="14"/>
      <c r="H508" s="14"/>
      <c r="I508" s="14"/>
      <c r="J508" s="14"/>
      <c r="K508" s="12"/>
    </row>
    <row r="509" ht="19.5" customHeight="1">
      <c r="A509" s="12"/>
      <c r="C509" s="12"/>
      <c r="D509" s="87"/>
      <c r="F509" s="14"/>
      <c r="G509" s="14"/>
      <c r="H509" s="14"/>
      <c r="I509" s="14"/>
      <c r="J509" s="14"/>
      <c r="K509" s="12"/>
    </row>
    <row r="510" ht="19.5" customHeight="1">
      <c r="A510" s="12"/>
      <c r="C510" s="12"/>
      <c r="D510" s="87"/>
      <c r="F510" s="14"/>
      <c r="G510" s="14"/>
      <c r="H510" s="14"/>
      <c r="I510" s="14"/>
      <c r="J510" s="14"/>
      <c r="K510" s="12"/>
    </row>
    <row r="511" ht="19.5" customHeight="1">
      <c r="A511" s="12"/>
      <c r="C511" s="12"/>
      <c r="D511" s="87"/>
      <c r="F511" s="14"/>
      <c r="G511" s="14"/>
      <c r="H511" s="14"/>
      <c r="I511" s="14"/>
      <c r="J511" s="14"/>
      <c r="K511" s="12"/>
    </row>
    <row r="512" ht="19.5" customHeight="1">
      <c r="A512" s="12"/>
      <c r="C512" s="12"/>
      <c r="D512" s="87"/>
      <c r="F512" s="14"/>
      <c r="G512" s="14"/>
      <c r="H512" s="14"/>
      <c r="I512" s="14"/>
      <c r="J512" s="14"/>
      <c r="K512" s="12"/>
    </row>
    <row r="513" ht="19.5" customHeight="1">
      <c r="A513" s="12"/>
      <c r="C513" s="12"/>
      <c r="D513" s="87"/>
      <c r="F513" s="14"/>
      <c r="G513" s="14"/>
      <c r="H513" s="14"/>
      <c r="I513" s="14"/>
      <c r="J513" s="14"/>
      <c r="K513" s="12"/>
    </row>
    <row r="514" ht="19.5" customHeight="1">
      <c r="A514" s="12"/>
      <c r="C514" s="12"/>
      <c r="D514" s="87"/>
      <c r="F514" s="14"/>
      <c r="G514" s="14"/>
      <c r="H514" s="14"/>
      <c r="I514" s="14"/>
      <c r="J514" s="14"/>
      <c r="K514" s="12"/>
    </row>
    <row r="515" ht="19.5" customHeight="1">
      <c r="A515" s="12"/>
      <c r="C515" s="12"/>
      <c r="D515" s="87"/>
      <c r="F515" s="14"/>
      <c r="G515" s="14"/>
      <c r="H515" s="14"/>
      <c r="I515" s="14"/>
      <c r="J515" s="14"/>
      <c r="K515" s="12"/>
    </row>
    <row r="516" ht="19.5" customHeight="1">
      <c r="A516" s="12"/>
      <c r="C516" s="12"/>
      <c r="D516" s="87"/>
      <c r="F516" s="14"/>
      <c r="G516" s="14"/>
      <c r="H516" s="14"/>
      <c r="I516" s="14"/>
      <c r="J516" s="14"/>
      <c r="K516" s="12"/>
    </row>
    <row r="517" ht="19.5" customHeight="1">
      <c r="A517" s="12"/>
      <c r="C517" s="12"/>
      <c r="D517" s="87"/>
      <c r="F517" s="14"/>
      <c r="G517" s="14"/>
      <c r="H517" s="14"/>
      <c r="I517" s="14"/>
      <c r="J517" s="14"/>
      <c r="K517" s="12"/>
    </row>
    <row r="518" ht="19.5" customHeight="1">
      <c r="A518" s="12"/>
      <c r="C518" s="12"/>
      <c r="D518" s="87"/>
      <c r="F518" s="14"/>
      <c r="G518" s="14"/>
      <c r="H518" s="14"/>
      <c r="I518" s="14"/>
      <c r="J518" s="14"/>
      <c r="K518" s="12"/>
    </row>
    <row r="519" ht="19.5" customHeight="1">
      <c r="A519" s="12"/>
      <c r="C519" s="12"/>
      <c r="D519" s="87"/>
      <c r="F519" s="14"/>
      <c r="G519" s="14"/>
      <c r="H519" s="14"/>
      <c r="I519" s="14"/>
      <c r="J519" s="14"/>
      <c r="K519" s="12"/>
    </row>
    <row r="520" ht="19.5" customHeight="1">
      <c r="A520" s="12"/>
      <c r="C520" s="12"/>
      <c r="D520" s="87"/>
      <c r="F520" s="14"/>
      <c r="G520" s="14"/>
      <c r="H520" s="14"/>
      <c r="I520" s="14"/>
      <c r="J520" s="14"/>
      <c r="K520" s="12"/>
    </row>
    <row r="521" ht="19.5" customHeight="1">
      <c r="A521" s="12"/>
      <c r="C521" s="12"/>
      <c r="D521" s="87"/>
      <c r="F521" s="14"/>
      <c r="G521" s="14"/>
      <c r="H521" s="14"/>
      <c r="I521" s="14"/>
      <c r="J521" s="14"/>
      <c r="K521" s="12"/>
    </row>
    <row r="522" ht="19.5" customHeight="1">
      <c r="A522" s="12"/>
      <c r="C522" s="12"/>
      <c r="D522" s="87"/>
      <c r="F522" s="14"/>
      <c r="G522" s="14"/>
      <c r="H522" s="14"/>
      <c r="I522" s="14"/>
      <c r="J522" s="14"/>
      <c r="K522" s="12"/>
    </row>
    <row r="523" ht="19.5" customHeight="1">
      <c r="A523" s="12"/>
      <c r="C523" s="12"/>
      <c r="D523" s="87"/>
      <c r="F523" s="14"/>
      <c r="G523" s="14"/>
      <c r="H523" s="14"/>
      <c r="I523" s="14"/>
      <c r="J523" s="14"/>
      <c r="K523" s="12"/>
    </row>
    <row r="524" ht="19.5" customHeight="1">
      <c r="A524" s="12"/>
      <c r="C524" s="12"/>
      <c r="D524" s="87"/>
      <c r="F524" s="14"/>
      <c r="G524" s="14"/>
      <c r="H524" s="14"/>
      <c r="I524" s="14"/>
      <c r="J524" s="14"/>
      <c r="K524" s="12"/>
    </row>
    <row r="525" ht="19.5" customHeight="1">
      <c r="A525" s="12"/>
      <c r="C525" s="12"/>
      <c r="D525" s="87"/>
      <c r="F525" s="14"/>
      <c r="G525" s="14"/>
      <c r="H525" s="14"/>
      <c r="I525" s="14"/>
      <c r="J525" s="14"/>
      <c r="K525" s="12"/>
    </row>
    <row r="526" ht="19.5" customHeight="1">
      <c r="A526" s="12"/>
      <c r="C526" s="12"/>
      <c r="D526" s="87"/>
      <c r="F526" s="14"/>
      <c r="G526" s="14"/>
      <c r="H526" s="14"/>
      <c r="I526" s="14"/>
      <c r="J526" s="14"/>
      <c r="K526" s="12"/>
    </row>
    <row r="527" ht="19.5" customHeight="1">
      <c r="A527" s="12"/>
      <c r="C527" s="12"/>
      <c r="D527" s="87"/>
      <c r="F527" s="14"/>
      <c r="G527" s="14"/>
      <c r="H527" s="14"/>
      <c r="I527" s="14"/>
      <c r="J527" s="14"/>
      <c r="K527" s="12"/>
    </row>
    <row r="528" ht="19.5" customHeight="1">
      <c r="A528" s="12"/>
      <c r="C528" s="12"/>
      <c r="D528" s="87"/>
      <c r="F528" s="14"/>
      <c r="G528" s="14"/>
      <c r="H528" s="14"/>
      <c r="I528" s="14"/>
      <c r="J528" s="14"/>
      <c r="K528" s="12"/>
    </row>
    <row r="529" ht="19.5" customHeight="1">
      <c r="A529" s="12"/>
      <c r="C529" s="12"/>
      <c r="D529" s="87"/>
      <c r="F529" s="14"/>
      <c r="G529" s="14"/>
      <c r="H529" s="14"/>
      <c r="I529" s="14"/>
      <c r="J529" s="14"/>
      <c r="K529" s="12"/>
    </row>
    <row r="530" ht="19.5" customHeight="1">
      <c r="A530" s="12"/>
      <c r="C530" s="12"/>
      <c r="D530" s="87"/>
      <c r="F530" s="14"/>
      <c r="G530" s="14"/>
      <c r="H530" s="14"/>
      <c r="I530" s="14"/>
      <c r="J530" s="14"/>
      <c r="K530" s="12"/>
    </row>
    <row r="531" ht="19.5" customHeight="1">
      <c r="A531" s="12"/>
      <c r="C531" s="12"/>
      <c r="D531" s="87"/>
      <c r="F531" s="14"/>
      <c r="G531" s="14"/>
      <c r="H531" s="14"/>
      <c r="I531" s="14"/>
      <c r="J531" s="14"/>
      <c r="K531" s="12"/>
    </row>
    <row r="532" ht="19.5" customHeight="1">
      <c r="A532" s="12"/>
      <c r="C532" s="12"/>
      <c r="D532" s="87"/>
      <c r="F532" s="14"/>
      <c r="G532" s="14"/>
      <c r="H532" s="14"/>
      <c r="I532" s="14"/>
      <c r="J532" s="14"/>
      <c r="K532" s="12"/>
    </row>
    <row r="533" ht="19.5" customHeight="1">
      <c r="A533" s="12"/>
      <c r="C533" s="12"/>
      <c r="D533" s="87"/>
      <c r="F533" s="14"/>
      <c r="G533" s="14"/>
      <c r="H533" s="14"/>
      <c r="I533" s="14"/>
      <c r="J533" s="14"/>
      <c r="K533" s="12"/>
    </row>
    <row r="534" ht="19.5" customHeight="1">
      <c r="A534" s="12"/>
      <c r="C534" s="12"/>
      <c r="D534" s="87"/>
      <c r="F534" s="14"/>
      <c r="G534" s="14"/>
      <c r="H534" s="14"/>
      <c r="I534" s="14"/>
      <c r="J534" s="14"/>
      <c r="K534" s="12"/>
    </row>
    <row r="535" ht="19.5" customHeight="1">
      <c r="A535" s="12"/>
      <c r="C535" s="12"/>
      <c r="D535" s="87"/>
      <c r="F535" s="14"/>
      <c r="G535" s="14"/>
      <c r="H535" s="14"/>
      <c r="I535" s="14"/>
      <c r="J535" s="14"/>
      <c r="K535" s="12"/>
    </row>
    <row r="536" ht="19.5" customHeight="1">
      <c r="A536" s="12"/>
      <c r="C536" s="12"/>
      <c r="D536" s="87"/>
      <c r="F536" s="14"/>
      <c r="G536" s="14"/>
      <c r="H536" s="14"/>
      <c r="I536" s="14"/>
      <c r="J536" s="14"/>
      <c r="K536" s="12"/>
    </row>
    <row r="537" ht="19.5" customHeight="1">
      <c r="A537" s="12"/>
      <c r="C537" s="12"/>
      <c r="D537" s="87"/>
      <c r="F537" s="14"/>
      <c r="G537" s="14"/>
      <c r="H537" s="14"/>
      <c r="I537" s="14"/>
      <c r="J537" s="14"/>
      <c r="K537" s="12"/>
    </row>
    <row r="538" ht="19.5" customHeight="1">
      <c r="A538" s="12"/>
      <c r="C538" s="12"/>
      <c r="D538" s="87"/>
      <c r="F538" s="14"/>
      <c r="G538" s="14"/>
      <c r="H538" s="14"/>
      <c r="I538" s="14"/>
      <c r="J538" s="14"/>
      <c r="K538" s="12"/>
    </row>
    <row r="539" ht="19.5" customHeight="1">
      <c r="A539" s="12"/>
      <c r="C539" s="12"/>
      <c r="D539" s="87"/>
      <c r="F539" s="14"/>
      <c r="G539" s="14"/>
      <c r="H539" s="14"/>
      <c r="I539" s="14"/>
      <c r="J539" s="14"/>
      <c r="K539" s="12"/>
    </row>
    <row r="540" ht="19.5" customHeight="1">
      <c r="A540" s="12"/>
      <c r="C540" s="12"/>
      <c r="D540" s="87"/>
      <c r="F540" s="14"/>
      <c r="G540" s="14"/>
      <c r="H540" s="14"/>
      <c r="I540" s="14"/>
      <c r="J540" s="14"/>
      <c r="K540" s="12"/>
    </row>
    <row r="541" ht="19.5" customHeight="1">
      <c r="A541" s="12"/>
      <c r="C541" s="12"/>
      <c r="D541" s="87"/>
      <c r="F541" s="14"/>
      <c r="G541" s="14"/>
      <c r="H541" s="14"/>
      <c r="I541" s="14"/>
      <c r="J541" s="14"/>
      <c r="K541" s="12"/>
    </row>
    <row r="542" ht="19.5" customHeight="1">
      <c r="A542" s="12"/>
      <c r="C542" s="12"/>
      <c r="D542" s="87"/>
      <c r="F542" s="14"/>
      <c r="G542" s="14"/>
      <c r="H542" s="14"/>
      <c r="I542" s="14"/>
      <c r="J542" s="14"/>
      <c r="K542" s="12"/>
    </row>
    <row r="543" ht="19.5" customHeight="1">
      <c r="A543" s="12"/>
      <c r="C543" s="12"/>
      <c r="D543" s="87"/>
      <c r="F543" s="14"/>
      <c r="G543" s="14"/>
      <c r="H543" s="14"/>
      <c r="I543" s="14"/>
      <c r="J543" s="14"/>
      <c r="K543" s="12"/>
    </row>
    <row r="544" ht="19.5" customHeight="1">
      <c r="A544" s="12"/>
      <c r="C544" s="12"/>
      <c r="D544" s="87"/>
      <c r="F544" s="14"/>
      <c r="G544" s="14"/>
      <c r="H544" s="14"/>
      <c r="I544" s="14"/>
      <c r="J544" s="14"/>
      <c r="K544" s="12"/>
    </row>
    <row r="545" ht="19.5" customHeight="1">
      <c r="A545" s="12"/>
      <c r="C545" s="12"/>
      <c r="D545" s="87"/>
      <c r="F545" s="14"/>
      <c r="G545" s="14"/>
      <c r="H545" s="14"/>
      <c r="I545" s="14"/>
      <c r="J545" s="14"/>
      <c r="K545" s="12"/>
    </row>
    <row r="546" ht="19.5" customHeight="1">
      <c r="A546" s="12"/>
      <c r="C546" s="12"/>
      <c r="D546" s="87"/>
      <c r="F546" s="14"/>
      <c r="G546" s="14"/>
      <c r="H546" s="14"/>
      <c r="I546" s="14"/>
      <c r="J546" s="14"/>
      <c r="K546" s="12"/>
    </row>
    <row r="547" ht="19.5" customHeight="1">
      <c r="A547" s="12"/>
      <c r="C547" s="12"/>
      <c r="D547" s="87"/>
      <c r="F547" s="14"/>
      <c r="G547" s="14"/>
      <c r="H547" s="14"/>
      <c r="I547" s="14"/>
      <c r="J547" s="14"/>
      <c r="K547" s="12"/>
    </row>
    <row r="548" ht="19.5" customHeight="1">
      <c r="A548" s="12"/>
      <c r="C548" s="12"/>
      <c r="D548" s="87"/>
      <c r="F548" s="14"/>
      <c r="G548" s="14"/>
      <c r="H548" s="14"/>
      <c r="I548" s="14"/>
      <c r="J548" s="14"/>
      <c r="K548" s="12"/>
    </row>
    <row r="549" ht="19.5" customHeight="1">
      <c r="A549" s="12"/>
      <c r="C549" s="12"/>
      <c r="D549" s="87"/>
      <c r="F549" s="14"/>
      <c r="G549" s="14"/>
      <c r="H549" s="14"/>
      <c r="I549" s="14"/>
      <c r="J549" s="14"/>
      <c r="K549" s="12"/>
    </row>
    <row r="550" ht="19.5" customHeight="1">
      <c r="A550" s="12"/>
      <c r="C550" s="12"/>
      <c r="D550" s="87"/>
      <c r="F550" s="14"/>
      <c r="G550" s="14"/>
      <c r="H550" s="14"/>
      <c r="I550" s="14"/>
      <c r="J550" s="14"/>
      <c r="K550" s="12"/>
    </row>
    <row r="551" ht="19.5" customHeight="1">
      <c r="A551" s="12"/>
      <c r="C551" s="12"/>
      <c r="D551" s="87"/>
      <c r="F551" s="14"/>
      <c r="G551" s="14"/>
      <c r="H551" s="14"/>
      <c r="I551" s="14"/>
      <c r="J551" s="14"/>
      <c r="K551" s="12"/>
    </row>
    <row r="552" ht="19.5" customHeight="1">
      <c r="A552" s="12"/>
      <c r="C552" s="12"/>
      <c r="D552" s="87"/>
      <c r="F552" s="14"/>
      <c r="G552" s="14"/>
      <c r="H552" s="14"/>
      <c r="I552" s="14"/>
      <c r="J552" s="14"/>
      <c r="K552" s="12"/>
    </row>
    <row r="553" ht="19.5" customHeight="1">
      <c r="A553" s="12"/>
      <c r="C553" s="12"/>
      <c r="D553" s="87"/>
      <c r="F553" s="14"/>
      <c r="G553" s="14"/>
      <c r="H553" s="14"/>
      <c r="I553" s="14"/>
      <c r="J553" s="14"/>
      <c r="K553" s="12"/>
    </row>
    <row r="554" ht="19.5" customHeight="1">
      <c r="A554" s="12"/>
      <c r="C554" s="12"/>
      <c r="D554" s="87"/>
      <c r="F554" s="14"/>
      <c r="G554" s="14"/>
      <c r="H554" s="14"/>
      <c r="I554" s="14"/>
      <c r="J554" s="14"/>
      <c r="K554" s="12"/>
    </row>
    <row r="555" ht="19.5" customHeight="1">
      <c r="A555" s="12"/>
      <c r="C555" s="12"/>
      <c r="D555" s="87"/>
      <c r="F555" s="14"/>
      <c r="G555" s="14"/>
      <c r="H555" s="14"/>
      <c r="I555" s="14"/>
      <c r="J555" s="14"/>
      <c r="K555" s="12"/>
    </row>
    <row r="556" ht="19.5" customHeight="1">
      <c r="A556" s="12"/>
      <c r="C556" s="12"/>
      <c r="D556" s="87"/>
      <c r="F556" s="14"/>
      <c r="G556" s="14"/>
      <c r="H556" s="14"/>
      <c r="I556" s="14"/>
      <c r="J556" s="14"/>
      <c r="K556" s="12"/>
    </row>
    <row r="557" ht="19.5" customHeight="1">
      <c r="A557" s="12"/>
      <c r="C557" s="12"/>
      <c r="D557" s="87"/>
      <c r="F557" s="14"/>
      <c r="G557" s="14"/>
      <c r="H557" s="14"/>
      <c r="I557" s="14"/>
      <c r="J557" s="14"/>
      <c r="K557" s="12"/>
    </row>
    <row r="558" ht="19.5" customHeight="1">
      <c r="A558" s="12"/>
      <c r="C558" s="12"/>
      <c r="D558" s="87"/>
      <c r="F558" s="14"/>
      <c r="G558" s="14"/>
      <c r="H558" s="14"/>
      <c r="I558" s="14"/>
      <c r="J558" s="14"/>
      <c r="K558" s="12"/>
    </row>
    <row r="559" ht="19.5" customHeight="1">
      <c r="A559" s="12"/>
      <c r="C559" s="12"/>
      <c r="D559" s="87"/>
      <c r="F559" s="14"/>
      <c r="G559" s="14"/>
      <c r="H559" s="14"/>
      <c r="I559" s="14"/>
      <c r="J559" s="14"/>
      <c r="K559" s="12"/>
    </row>
    <row r="560" ht="19.5" customHeight="1">
      <c r="A560" s="12"/>
      <c r="C560" s="12"/>
      <c r="D560" s="87"/>
      <c r="F560" s="14"/>
      <c r="G560" s="14"/>
      <c r="H560" s="14"/>
      <c r="I560" s="14"/>
      <c r="J560" s="14"/>
      <c r="K560" s="12"/>
    </row>
    <row r="561" ht="19.5" customHeight="1">
      <c r="A561" s="12"/>
      <c r="C561" s="12"/>
      <c r="D561" s="87"/>
      <c r="F561" s="14"/>
      <c r="G561" s="14"/>
      <c r="H561" s="14"/>
      <c r="I561" s="14"/>
      <c r="J561" s="14"/>
      <c r="K561" s="12"/>
    </row>
    <row r="562" ht="19.5" customHeight="1">
      <c r="A562" s="12"/>
      <c r="C562" s="12"/>
      <c r="D562" s="87"/>
      <c r="F562" s="14"/>
      <c r="G562" s="14"/>
      <c r="H562" s="14"/>
      <c r="I562" s="14"/>
      <c r="J562" s="14"/>
      <c r="K562" s="12"/>
    </row>
    <row r="563" ht="19.5" customHeight="1">
      <c r="A563" s="12"/>
      <c r="C563" s="12"/>
      <c r="D563" s="87"/>
      <c r="F563" s="14"/>
      <c r="G563" s="14"/>
      <c r="H563" s="14"/>
      <c r="I563" s="14"/>
      <c r="J563" s="14"/>
      <c r="K563" s="12"/>
    </row>
    <row r="564" ht="19.5" customHeight="1">
      <c r="A564" s="12"/>
      <c r="C564" s="12"/>
      <c r="D564" s="87"/>
      <c r="F564" s="14"/>
      <c r="G564" s="14"/>
      <c r="H564" s="14"/>
      <c r="I564" s="14"/>
      <c r="J564" s="14"/>
      <c r="K564" s="12"/>
    </row>
    <row r="565" ht="19.5" customHeight="1">
      <c r="A565" s="12"/>
      <c r="C565" s="12"/>
      <c r="D565" s="87"/>
      <c r="F565" s="14"/>
      <c r="G565" s="14"/>
      <c r="H565" s="14"/>
      <c r="I565" s="14"/>
      <c r="J565" s="14"/>
      <c r="K565" s="12"/>
    </row>
    <row r="566" ht="19.5" customHeight="1">
      <c r="A566" s="12"/>
      <c r="C566" s="12"/>
      <c r="D566" s="87"/>
      <c r="F566" s="14"/>
      <c r="G566" s="14"/>
      <c r="H566" s="14"/>
      <c r="I566" s="14"/>
      <c r="J566" s="14"/>
      <c r="K566" s="12"/>
    </row>
    <row r="567" ht="19.5" customHeight="1">
      <c r="A567" s="12"/>
      <c r="C567" s="12"/>
      <c r="D567" s="87"/>
      <c r="F567" s="14"/>
      <c r="G567" s="14"/>
      <c r="H567" s="14"/>
      <c r="I567" s="14"/>
      <c r="J567" s="14"/>
      <c r="K567" s="12"/>
    </row>
    <row r="568" ht="19.5" customHeight="1">
      <c r="A568" s="12"/>
      <c r="C568" s="12"/>
      <c r="D568" s="87"/>
      <c r="F568" s="14"/>
      <c r="G568" s="14"/>
      <c r="H568" s="14"/>
      <c r="I568" s="14"/>
      <c r="J568" s="14"/>
      <c r="K568" s="12"/>
    </row>
    <row r="569" ht="19.5" customHeight="1">
      <c r="A569" s="12"/>
      <c r="C569" s="12"/>
      <c r="D569" s="87"/>
      <c r="F569" s="14"/>
      <c r="G569" s="14"/>
      <c r="H569" s="14"/>
      <c r="I569" s="14"/>
      <c r="J569" s="14"/>
      <c r="K569" s="12"/>
    </row>
    <row r="570" ht="19.5" customHeight="1">
      <c r="A570" s="12"/>
      <c r="C570" s="12"/>
      <c r="D570" s="87"/>
      <c r="F570" s="14"/>
      <c r="G570" s="14"/>
      <c r="H570" s="14"/>
      <c r="I570" s="14"/>
      <c r="J570" s="14"/>
      <c r="K570" s="12"/>
    </row>
    <row r="571" ht="19.5" customHeight="1">
      <c r="A571" s="12"/>
      <c r="C571" s="12"/>
      <c r="D571" s="87"/>
      <c r="F571" s="14"/>
      <c r="G571" s="14"/>
      <c r="H571" s="14"/>
      <c r="I571" s="14"/>
      <c r="J571" s="14"/>
      <c r="K571" s="12"/>
    </row>
    <row r="572" ht="19.5" customHeight="1">
      <c r="A572" s="12"/>
      <c r="C572" s="12"/>
      <c r="D572" s="87"/>
      <c r="F572" s="14"/>
      <c r="G572" s="14"/>
      <c r="H572" s="14"/>
      <c r="I572" s="14"/>
      <c r="J572" s="14"/>
      <c r="K572" s="12"/>
    </row>
    <row r="573" ht="19.5" customHeight="1">
      <c r="A573" s="12"/>
      <c r="C573" s="12"/>
      <c r="D573" s="87"/>
      <c r="F573" s="14"/>
      <c r="G573" s="14"/>
      <c r="H573" s="14"/>
      <c r="I573" s="14"/>
      <c r="J573" s="14"/>
      <c r="K573" s="12"/>
    </row>
    <row r="574" ht="19.5" customHeight="1">
      <c r="A574" s="12"/>
      <c r="C574" s="12"/>
      <c r="D574" s="87"/>
      <c r="F574" s="14"/>
      <c r="G574" s="14"/>
      <c r="H574" s="14"/>
      <c r="I574" s="14"/>
      <c r="J574" s="14"/>
      <c r="K574" s="12"/>
    </row>
    <row r="575" ht="19.5" customHeight="1">
      <c r="A575" s="12"/>
      <c r="C575" s="12"/>
      <c r="D575" s="87"/>
      <c r="F575" s="14"/>
      <c r="G575" s="14"/>
      <c r="H575" s="14"/>
      <c r="I575" s="14"/>
      <c r="J575" s="14"/>
      <c r="K575" s="12"/>
    </row>
    <row r="576" ht="19.5" customHeight="1">
      <c r="A576" s="12"/>
      <c r="C576" s="12"/>
      <c r="D576" s="87"/>
      <c r="F576" s="14"/>
      <c r="G576" s="14"/>
      <c r="H576" s="14"/>
      <c r="I576" s="14"/>
      <c r="J576" s="14"/>
      <c r="K576" s="12"/>
    </row>
    <row r="577" ht="19.5" customHeight="1">
      <c r="A577" s="12"/>
      <c r="C577" s="12"/>
      <c r="D577" s="87"/>
      <c r="F577" s="14"/>
      <c r="G577" s="14"/>
      <c r="H577" s="14"/>
      <c r="I577" s="14"/>
      <c r="J577" s="14"/>
      <c r="K577" s="12"/>
    </row>
    <row r="578" ht="19.5" customHeight="1">
      <c r="A578" s="12"/>
      <c r="C578" s="12"/>
      <c r="D578" s="87"/>
      <c r="F578" s="14"/>
      <c r="G578" s="14"/>
      <c r="H578" s="14"/>
      <c r="I578" s="14"/>
      <c r="J578" s="14"/>
      <c r="K578" s="12"/>
    </row>
    <row r="579" ht="19.5" customHeight="1">
      <c r="A579" s="12"/>
      <c r="C579" s="12"/>
      <c r="D579" s="87"/>
      <c r="F579" s="14"/>
      <c r="G579" s="14"/>
      <c r="H579" s="14"/>
      <c r="I579" s="14"/>
      <c r="J579" s="14"/>
      <c r="K579" s="12"/>
    </row>
    <row r="580" ht="19.5" customHeight="1">
      <c r="A580" s="12"/>
      <c r="C580" s="12"/>
      <c r="D580" s="87"/>
      <c r="F580" s="14"/>
      <c r="G580" s="14"/>
      <c r="H580" s="14"/>
      <c r="I580" s="14"/>
      <c r="J580" s="14"/>
      <c r="K580" s="12"/>
    </row>
    <row r="581" ht="19.5" customHeight="1">
      <c r="A581" s="12"/>
      <c r="C581" s="12"/>
      <c r="D581" s="87"/>
      <c r="F581" s="14"/>
      <c r="G581" s="14"/>
      <c r="H581" s="14"/>
      <c r="I581" s="14"/>
      <c r="J581" s="14"/>
      <c r="K581" s="12"/>
    </row>
    <row r="582" ht="19.5" customHeight="1">
      <c r="A582" s="12"/>
      <c r="C582" s="12"/>
      <c r="D582" s="87"/>
      <c r="F582" s="14"/>
      <c r="G582" s="14"/>
      <c r="H582" s="14"/>
      <c r="I582" s="14"/>
      <c r="J582" s="14"/>
      <c r="K582" s="12"/>
    </row>
    <row r="583" ht="19.5" customHeight="1">
      <c r="A583" s="12"/>
      <c r="C583" s="12"/>
      <c r="D583" s="87"/>
      <c r="F583" s="14"/>
      <c r="G583" s="14"/>
      <c r="H583" s="14"/>
      <c r="I583" s="14"/>
      <c r="J583" s="14"/>
      <c r="K583" s="12"/>
    </row>
    <row r="584" ht="19.5" customHeight="1">
      <c r="A584" s="12"/>
      <c r="C584" s="12"/>
      <c r="D584" s="87"/>
      <c r="F584" s="14"/>
      <c r="G584" s="14"/>
      <c r="H584" s="14"/>
      <c r="I584" s="14"/>
      <c r="J584" s="14"/>
      <c r="K584" s="12"/>
    </row>
    <row r="585" ht="19.5" customHeight="1">
      <c r="A585" s="12"/>
      <c r="C585" s="12"/>
      <c r="D585" s="87"/>
      <c r="F585" s="14"/>
      <c r="G585" s="14"/>
      <c r="H585" s="14"/>
      <c r="I585" s="14"/>
      <c r="J585" s="14"/>
      <c r="K585" s="12"/>
    </row>
    <row r="586" ht="19.5" customHeight="1">
      <c r="A586" s="12"/>
      <c r="C586" s="12"/>
      <c r="D586" s="87"/>
      <c r="F586" s="14"/>
      <c r="G586" s="14"/>
      <c r="H586" s="14"/>
      <c r="I586" s="14"/>
      <c r="J586" s="14"/>
      <c r="K586" s="12"/>
    </row>
    <row r="587" ht="19.5" customHeight="1">
      <c r="A587" s="12"/>
      <c r="C587" s="12"/>
      <c r="D587" s="87"/>
      <c r="F587" s="14"/>
      <c r="G587" s="14"/>
      <c r="H587" s="14"/>
      <c r="I587" s="14"/>
      <c r="J587" s="14"/>
      <c r="K587" s="12"/>
    </row>
    <row r="588" ht="19.5" customHeight="1">
      <c r="A588" s="12"/>
      <c r="C588" s="12"/>
      <c r="D588" s="87"/>
      <c r="F588" s="14"/>
      <c r="G588" s="14"/>
      <c r="H588" s="14"/>
      <c r="I588" s="14"/>
      <c r="J588" s="14"/>
      <c r="K588" s="12"/>
    </row>
    <row r="589" ht="19.5" customHeight="1">
      <c r="A589" s="12"/>
      <c r="C589" s="12"/>
      <c r="D589" s="87"/>
      <c r="F589" s="14"/>
      <c r="G589" s="14"/>
      <c r="H589" s="14"/>
      <c r="I589" s="14"/>
      <c r="J589" s="14"/>
      <c r="K589" s="12"/>
    </row>
    <row r="590" ht="19.5" customHeight="1">
      <c r="A590" s="12"/>
      <c r="C590" s="12"/>
      <c r="D590" s="87"/>
      <c r="F590" s="14"/>
      <c r="G590" s="14"/>
      <c r="H590" s="14"/>
      <c r="I590" s="14"/>
      <c r="J590" s="14"/>
      <c r="K590" s="12"/>
    </row>
    <row r="591" ht="19.5" customHeight="1">
      <c r="A591" s="12"/>
      <c r="C591" s="12"/>
      <c r="D591" s="87"/>
      <c r="F591" s="14"/>
      <c r="G591" s="14"/>
      <c r="H591" s="14"/>
      <c r="I591" s="14"/>
      <c r="J591" s="14"/>
      <c r="K591" s="12"/>
    </row>
    <row r="592" ht="19.5" customHeight="1">
      <c r="A592" s="12"/>
      <c r="C592" s="12"/>
      <c r="D592" s="87"/>
      <c r="F592" s="14"/>
      <c r="G592" s="14"/>
      <c r="H592" s="14"/>
      <c r="I592" s="14"/>
      <c r="J592" s="14"/>
      <c r="K592" s="12"/>
    </row>
    <row r="593" ht="19.5" customHeight="1">
      <c r="A593" s="12"/>
      <c r="C593" s="12"/>
      <c r="D593" s="87"/>
      <c r="F593" s="14"/>
      <c r="G593" s="14"/>
      <c r="H593" s="14"/>
      <c r="I593" s="14"/>
      <c r="J593" s="14"/>
      <c r="K593" s="12"/>
    </row>
    <row r="594" ht="19.5" customHeight="1">
      <c r="A594" s="12"/>
      <c r="C594" s="12"/>
      <c r="D594" s="87"/>
      <c r="F594" s="14"/>
      <c r="G594" s="14"/>
      <c r="H594" s="14"/>
      <c r="I594" s="14"/>
      <c r="J594" s="14"/>
      <c r="K594" s="12"/>
    </row>
    <row r="595" ht="19.5" customHeight="1">
      <c r="A595" s="12"/>
      <c r="C595" s="12"/>
      <c r="D595" s="87"/>
      <c r="F595" s="14"/>
      <c r="G595" s="14"/>
      <c r="H595" s="14"/>
      <c r="I595" s="14"/>
      <c r="J595" s="14"/>
      <c r="K595" s="12"/>
    </row>
    <row r="596" ht="19.5" customHeight="1">
      <c r="A596" s="12"/>
      <c r="C596" s="12"/>
      <c r="D596" s="87"/>
      <c r="F596" s="14"/>
      <c r="G596" s="14"/>
      <c r="H596" s="14"/>
      <c r="I596" s="14"/>
      <c r="J596" s="14"/>
      <c r="K596" s="12"/>
    </row>
    <row r="597" ht="19.5" customHeight="1">
      <c r="A597" s="12"/>
      <c r="C597" s="12"/>
      <c r="D597" s="87"/>
      <c r="F597" s="14"/>
      <c r="G597" s="14"/>
      <c r="H597" s="14"/>
      <c r="I597" s="14"/>
      <c r="J597" s="14"/>
      <c r="K597" s="12"/>
    </row>
    <row r="598" ht="19.5" customHeight="1">
      <c r="A598" s="12"/>
      <c r="C598" s="12"/>
      <c r="D598" s="87"/>
      <c r="F598" s="14"/>
      <c r="G598" s="14"/>
      <c r="H598" s="14"/>
      <c r="I598" s="14"/>
      <c r="J598" s="14"/>
      <c r="K598" s="12"/>
    </row>
    <row r="599" ht="19.5" customHeight="1">
      <c r="A599" s="12"/>
      <c r="C599" s="12"/>
      <c r="D599" s="87"/>
      <c r="F599" s="14"/>
      <c r="G599" s="14"/>
      <c r="H599" s="14"/>
      <c r="I599" s="14"/>
      <c r="J599" s="14"/>
      <c r="K599" s="12"/>
    </row>
    <row r="600" ht="19.5" customHeight="1">
      <c r="A600" s="12"/>
      <c r="C600" s="12"/>
      <c r="D600" s="87"/>
      <c r="F600" s="14"/>
      <c r="G600" s="14"/>
      <c r="H600" s="14"/>
      <c r="I600" s="14"/>
      <c r="J600" s="14"/>
      <c r="K600" s="12"/>
    </row>
    <row r="601" ht="19.5" customHeight="1">
      <c r="A601" s="12"/>
      <c r="C601" s="12"/>
      <c r="D601" s="87"/>
      <c r="F601" s="14"/>
      <c r="G601" s="14"/>
      <c r="H601" s="14"/>
      <c r="I601" s="14"/>
      <c r="J601" s="14"/>
      <c r="K601" s="12"/>
    </row>
    <row r="602" ht="19.5" customHeight="1">
      <c r="A602" s="12"/>
      <c r="C602" s="12"/>
      <c r="D602" s="87"/>
      <c r="F602" s="14"/>
      <c r="G602" s="14"/>
      <c r="H602" s="14"/>
      <c r="I602" s="14"/>
      <c r="J602" s="14"/>
      <c r="K602" s="12"/>
    </row>
    <row r="603" ht="19.5" customHeight="1">
      <c r="A603" s="12"/>
      <c r="C603" s="12"/>
      <c r="D603" s="87"/>
      <c r="F603" s="14"/>
      <c r="G603" s="14"/>
      <c r="H603" s="14"/>
      <c r="I603" s="14"/>
      <c r="J603" s="14"/>
      <c r="K603" s="12"/>
    </row>
    <row r="604" ht="19.5" customHeight="1">
      <c r="A604" s="12"/>
      <c r="C604" s="12"/>
      <c r="D604" s="87"/>
      <c r="F604" s="14"/>
      <c r="G604" s="14"/>
      <c r="H604" s="14"/>
      <c r="I604" s="14"/>
      <c r="J604" s="14"/>
      <c r="K604" s="12"/>
    </row>
    <row r="605" ht="19.5" customHeight="1">
      <c r="A605" s="12"/>
      <c r="C605" s="12"/>
      <c r="D605" s="87"/>
      <c r="F605" s="14"/>
      <c r="G605" s="14"/>
      <c r="H605" s="14"/>
      <c r="I605" s="14"/>
      <c r="J605" s="14"/>
      <c r="K605" s="12"/>
    </row>
    <row r="606" ht="19.5" customHeight="1">
      <c r="A606" s="12"/>
      <c r="C606" s="12"/>
      <c r="D606" s="87"/>
      <c r="F606" s="14"/>
      <c r="G606" s="14"/>
      <c r="H606" s="14"/>
      <c r="I606" s="14"/>
      <c r="J606" s="14"/>
      <c r="K606" s="12"/>
    </row>
    <row r="607" ht="19.5" customHeight="1">
      <c r="A607" s="12"/>
      <c r="C607" s="12"/>
      <c r="D607" s="87"/>
      <c r="F607" s="14"/>
      <c r="G607" s="14"/>
      <c r="H607" s="14"/>
      <c r="I607" s="14"/>
      <c r="J607" s="14"/>
      <c r="K607" s="12"/>
    </row>
    <row r="608" ht="19.5" customHeight="1">
      <c r="A608" s="12"/>
      <c r="C608" s="12"/>
      <c r="D608" s="87"/>
      <c r="F608" s="14"/>
      <c r="G608" s="14"/>
      <c r="H608" s="14"/>
      <c r="I608" s="14"/>
      <c r="J608" s="14"/>
      <c r="K608" s="12"/>
    </row>
    <row r="609" ht="19.5" customHeight="1">
      <c r="A609" s="12"/>
      <c r="C609" s="12"/>
      <c r="D609" s="87"/>
      <c r="F609" s="14"/>
      <c r="G609" s="14"/>
      <c r="H609" s="14"/>
      <c r="I609" s="14"/>
      <c r="J609" s="14"/>
      <c r="K609" s="12"/>
    </row>
    <row r="610" ht="19.5" customHeight="1">
      <c r="A610" s="12"/>
      <c r="C610" s="12"/>
      <c r="D610" s="87"/>
      <c r="F610" s="14"/>
      <c r="G610" s="14"/>
      <c r="H610" s="14"/>
      <c r="I610" s="14"/>
      <c r="J610" s="14"/>
      <c r="K610" s="12"/>
    </row>
    <row r="611" ht="19.5" customHeight="1">
      <c r="A611" s="12"/>
      <c r="C611" s="12"/>
      <c r="D611" s="87"/>
      <c r="F611" s="14"/>
      <c r="G611" s="14"/>
      <c r="H611" s="14"/>
      <c r="I611" s="14"/>
      <c r="J611" s="14"/>
      <c r="K611" s="12"/>
    </row>
    <row r="612" ht="19.5" customHeight="1">
      <c r="A612" s="12"/>
      <c r="C612" s="12"/>
      <c r="D612" s="87"/>
      <c r="F612" s="14"/>
      <c r="G612" s="14"/>
      <c r="H612" s="14"/>
      <c r="I612" s="14"/>
      <c r="J612" s="14"/>
      <c r="K612" s="12"/>
    </row>
    <row r="613" ht="19.5" customHeight="1">
      <c r="A613" s="12"/>
      <c r="C613" s="12"/>
      <c r="D613" s="87"/>
      <c r="F613" s="14"/>
      <c r="G613" s="14"/>
      <c r="H613" s="14"/>
      <c r="I613" s="14"/>
      <c r="J613" s="14"/>
      <c r="K613" s="12"/>
    </row>
    <row r="614" ht="19.5" customHeight="1">
      <c r="A614" s="12"/>
      <c r="C614" s="12"/>
      <c r="D614" s="87"/>
      <c r="F614" s="14"/>
      <c r="G614" s="14"/>
      <c r="H614" s="14"/>
      <c r="I614" s="14"/>
      <c r="J614" s="14"/>
      <c r="K614" s="12"/>
    </row>
    <row r="615" ht="19.5" customHeight="1">
      <c r="A615" s="12"/>
      <c r="C615" s="12"/>
      <c r="D615" s="87"/>
      <c r="F615" s="14"/>
      <c r="G615" s="14"/>
      <c r="H615" s="14"/>
      <c r="I615" s="14"/>
      <c r="J615" s="14"/>
      <c r="K615" s="12"/>
    </row>
    <row r="616" ht="19.5" customHeight="1">
      <c r="A616" s="12"/>
      <c r="C616" s="12"/>
      <c r="D616" s="87"/>
      <c r="F616" s="14"/>
      <c r="G616" s="14"/>
      <c r="H616" s="14"/>
      <c r="I616" s="14"/>
      <c r="J616" s="14"/>
      <c r="K616" s="12"/>
    </row>
    <row r="617" ht="19.5" customHeight="1">
      <c r="A617" s="12"/>
      <c r="C617" s="12"/>
      <c r="D617" s="87"/>
      <c r="F617" s="14"/>
      <c r="G617" s="14"/>
      <c r="H617" s="14"/>
      <c r="I617" s="14"/>
      <c r="J617" s="14"/>
      <c r="K617" s="12"/>
    </row>
    <row r="618" ht="19.5" customHeight="1">
      <c r="A618" s="12"/>
      <c r="C618" s="12"/>
      <c r="D618" s="87"/>
      <c r="F618" s="14"/>
      <c r="G618" s="14"/>
      <c r="H618" s="14"/>
      <c r="I618" s="14"/>
      <c r="J618" s="14"/>
      <c r="K618" s="12"/>
    </row>
    <row r="619" ht="19.5" customHeight="1">
      <c r="A619" s="12"/>
      <c r="C619" s="12"/>
      <c r="D619" s="87"/>
      <c r="F619" s="14"/>
      <c r="G619" s="14"/>
      <c r="H619" s="14"/>
      <c r="I619" s="14"/>
      <c r="J619" s="14"/>
      <c r="K619" s="12"/>
    </row>
    <row r="620" ht="19.5" customHeight="1">
      <c r="A620" s="12"/>
      <c r="C620" s="12"/>
      <c r="D620" s="87"/>
      <c r="F620" s="14"/>
      <c r="G620" s="14"/>
      <c r="H620" s="14"/>
      <c r="I620" s="14"/>
      <c r="J620" s="14"/>
      <c r="K620" s="12"/>
    </row>
    <row r="621" ht="19.5" customHeight="1">
      <c r="A621" s="12"/>
      <c r="C621" s="12"/>
      <c r="D621" s="87"/>
      <c r="F621" s="14"/>
      <c r="G621" s="14"/>
      <c r="H621" s="14"/>
      <c r="I621" s="14"/>
      <c r="J621" s="14"/>
      <c r="K621" s="12"/>
    </row>
    <row r="622" ht="19.5" customHeight="1">
      <c r="A622" s="12"/>
      <c r="C622" s="12"/>
      <c r="D622" s="87"/>
      <c r="F622" s="14"/>
      <c r="G622" s="14"/>
      <c r="H622" s="14"/>
      <c r="I622" s="14"/>
      <c r="J622" s="14"/>
      <c r="K622" s="12"/>
    </row>
    <row r="623" ht="19.5" customHeight="1">
      <c r="A623" s="12"/>
      <c r="C623" s="12"/>
      <c r="D623" s="87"/>
      <c r="F623" s="14"/>
      <c r="G623" s="14"/>
      <c r="H623" s="14"/>
      <c r="I623" s="14"/>
      <c r="J623" s="14"/>
      <c r="K623" s="12"/>
    </row>
    <row r="624" ht="19.5" customHeight="1">
      <c r="A624" s="12"/>
      <c r="C624" s="12"/>
      <c r="D624" s="87"/>
      <c r="F624" s="14"/>
      <c r="G624" s="14"/>
      <c r="H624" s="14"/>
      <c r="I624" s="14"/>
      <c r="J624" s="14"/>
      <c r="K624" s="12"/>
    </row>
    <row r="625" ht="19.5" customHeight="1">
      <c r="A625" s="12"/>
      <c r="C625" s="12"/>
      <c r="D625" s="87"/>
      <c r="F625" s="14"/>
      <c r="G625" s="14"/>
      <c r="H625" s="14"/>
      <c r="I625" s="14"/>
      <c r="J625" s="14"/>
      <c r="K625" s="12"/>
    </row>
    <row r="626" ht="19.5" customHeight="1">
      <c r="A626" s="12"/>
      <c r="C626" s="12"/>
      <c r="D626" s="87"/>
      <c r="F626" s="14"/>
      <c r="G626" s="14"/>
      <c r="H626" s="14"/>
      <c r="I626" s="14"/>
      <c r="J626" s="14"/>
      <c r="K626" s="12"/>
    </row>
    <row r="627" ht="19.5" customHeight="1">
      <c r="A627" s="12"/>
      <c r="C627" s="12"/>
      <c r="D627" s="87"/>
      <c r="F627" s="14"/>
      <c r="G627" s="14"/>
      <c r="H627" s="14"/>
      <c r="I627" s="14"/>
      <c r="J627" s="14"/>
      <c r="K627" s="12"/>
    </row>
    <row r="628" ht="19.5" customHeight="1">
      <c r="A628" s="12"/>
      <c r="C628" s="12"/>
      <c r="D628" s="87"/>
      <c r="F628" s="14"/>
      <c r="G628" s="14"/>
      <c r="H628" s="14"/>
      <c r="I628" s="14"/>
      <c r="J628" s="14"/>
      <c r="K628" s="12"/>
    </row>
    <row r="629" ht="19.5" customHeight="1">
      <c r="A629" s="12"/>
      <c r="C629" s="12"/>
      <c r="D629" s="87"/>
      <c r="F629" s="14"/>
      <c r="G629" s="14"/>
      <c r="H629" s="14"/>
      <c r="I629" s="14"/>
      <c r="J629" s="14"/>
      <c r="K629" s="12"/>
    </row>
    <row r="630" ht="19.5" customHeight="1">
      <c r="A630" s="12"/>
      <c r="C630" s="12"/>
      <c r="D630" s="87"/>
      <c r="F630" s="14"/>
      <c r="G630" s="14"/>
      <c r="H630" s="14"/>
      <c r="I630" s="14"/>
      <c r="J630" s="14"/>
      <c r="K630" s="12"/>
    </row>
    <row r="631" ht="19.5" customHeight="1">
      <c r="A631" s="12"/>
      <c r="C631" s="12"/>
      <c r="D631" s="87"/>
      <c r="F631" s="14"/>
      <c r="G631" s="14"/>
      <c r="H631" s="14"/>
      <c r="I631" s="14"/>
      <c r="J631" s="14"/>
      <c r="K631" s="12"/>
    </row>
    <row r="632" ht="19.5" customHeight="1">
      <c r="A632" s="12"/>
      <c r="C632" s="12"/>
      <c r="D632" s="87"/>
      <c r="F632" s="14"/>
      <c r="G632" s="14"/>
      <c r="H632" s="14"/>
      <c r="I632" s="14"/>
      <c r="J632" s="14"/>
      <c r="K632" s="12"/>
    </row>
    <row r="633" ht="19.5" customHeight="1">
      <c r="A633" s="12"/>
      <c r="C633" s="12"/>
      <c r="D633" s="87"/>
      <c r="F633" s="14"/>
      <c r="G633" s="14"/>
      <c r="H633" s="14"/>
      <c r="I633" s="14"/>
      <c r="J633" s="14"/>
      <c r="K633" s="12"/>
    </row>
    <row r="634" ht="19.5" customHeight="1">
      <c r="A634" s="12"/>
      <c r="C634" s="12"/>
      <c r="D634" s="87"/>
      <c r="F634" s="14"/>
      <c r="G634" s="14"/>
      <c r="H634" s="14"/>
      <c r="I634" s="14"/>
      <c r="J634" s="14"/>
      <c r="K634" s="12"/>
    </row>
    <row r="635" ht="19.5" customHeight="1">
      <c r="A635" s="12"/>
      <c r="C635" s="12"/>
      <c r="D635" s="87"/>
      <c r="F635" s="14"/>
      <c r="G635" s="14"/>
      <c r="H635" s="14"/>
      <c r="I635" s="14"/>
      <c r="J635" s="14"/>
      <c r="K635" s="12"/>
    </row>
    <row r="636" ht="19.5" customHeight="1">
      <c r="A636" s="12"/>
      <c r="C636" s="12"/>
      <c r="D636" s="87"/>
      <c r="F636" s="14"/>
      <c r="G636" s="14"/>
      <c r="H636" s="14"/>
      <c r="I636" s="14"/>
      <c r="J636" s="14"/>
      <c r="K636" s="12"/>
    </row>
    <row r="637" ht="19.5" customHeight="1">
      <c r="A637" s="12"/>
      <c r="C637" s="12"/>
      <c r="D637" s="87"/>
      <c r="F637" s="14"/>
      <c r="G637" s="14"/>
      <c r="H637" s="14"/>
      <c r="I637" s="14"/>
      <c r="J637" s="14"/>
      <c r="K637" s="12"/>
    </row>
    <row r="638" ht="19.5" customHeight="1">
      <c r="A638" s="12"/>
      <c r="C638" s="12"/>
      <c r="D638" s="87"/>
      <c r="F638" s="14"/>
      <c r="G638" s="14"/>
      <c r="H638" s="14"/>
      <c r="I638" s="14"/>
      <c r="J638" s="14"/>
      <c r="K638" s="12"/>
    </row>
    <row r="639" ht="19.5" customHeight="1">
      <c r="A639" s="12"/>
      <c r="C639" s="12"/>
      <c r="D639" s="87"/>
      <c r="F639" s="14"/>
      <c r="G639" s="14"/>
      <c r="H639" s="14"/>
      <c r="I639" s="14"/>
      <c r="J639" s="14"/>
      <c r="K639" s="12"/>
    </row>
    <row r="640" ht="19.5" customHeight="1">
      <c r="A640" s="12"/>
      <c r="C640" s="12"/>
      <c r="D640" s="87"/>
      <c r="F640" s="14"/>
      <c r="G640" s="14"/>
      <c r="H640" s="14"/>
      <c r="I640" s="14"/>
      <c r="J640" s="14"/>
      <c r="K640" s="12"/>
    </row>
    <row r="641" ht="19.5" customHeight="1">
      <c r="A641" s="12"/>
      <c r="C641" s="12"/>
      <c r="D641" s="87"/>
      <c r="F641" s="14"/>
      <c r="G641" s="14"/>
      <c r="H641" s="14"/>
      <c r="I641" s="14"/>
      <c r="J641" s="14"/>
      <c r="K641" s="12"/>
    </row>
    <row r="642" ht="19.5" customHeight="1">
      <c r="A642" s="12"/>
      <c r="C642" s="12"/>
      <c r="D642" s="87"/>
      <c r="F642" s="14"/>
      <c r="G642" s="14"/>
      <c r="H642" s="14"/>
      <c r="I642" s="14"/>
      <c r="J642" s="14"/>
      <c r="K642" s="12"/>
    </row>
    <row r="643" ht="19.5" customHeight="1">
      <c r="A643" s="12"/>
      <c r="C643" s="12"/>
      <c r="D643" s="87"/>
      <c r="F643" s="14"/>
      <c r="G643" s="14"/>
      <c r="H643" s="14"/>
      <c r="I643" s="14"/>
      <c r="J643" s="14"/>
      <c r="K643" s="12"/>
    </row>
    <row r="644" ht="19.5" customHeight="1">
      <c r="A644" s="12"/>
      <c r="C644" s="12"/>
      <c r="D644" s="87"/>
      <c r="F644" s="14"/>
      <c r="G644" s="14"/>
      <c r="H644" s="14"/>
      <c r="I644" s="14"/>
      <c r="J644" s="14"/>
      <c r="K644" s="12"/>
    </row>
    <row r="645" ht="19.5" customHeight="1">
      <c r="A645" s="12"/>
      <c r="C645" s="12"/>
      <c r="D645" s="87"/>
      <c r="F645" s="14"/>
      <c r="G645" s="14"/>
      <c r="H645" s="14"/>
      <c r="I645" s="14"/>
      <c r="J645" s="14"/>
      <c r="K645" s="12"/>
    </row>
    <row r="646" ht="19.5" customHeight="1">
      <c r="A646" s="12"/>
      <c r="C646" s="12"/>
      <c r="D646" s="87"/>
      <c r="F646" s="14"/>
      <c r="G646" s="14"/>
      <c r="H646" s="14"/>
      <c r="I646" s="14"/>
      <c r="J646" s="14"/>
      <c r="K646" s="12"/>
    </row>
    <row r="647" ht="19.5" customHeight="1">
      <c r="A647" s="12"/>
      <c r="C647" s="12"/>
      <c r="D647" s="87"/>
      <c r="F647" s="14"/>
      <c r="G647" s="14"/>
      <c r="H647" s="14"/>
      <c r="I647" s="14"/>
      <c r="J647" s="14"/>
      <c r="K647" s="12"/>
    </row>
    <row r="648" ht="19.5" customHeight="1">
      <c r="A648" s="12"/>
      <c r="C648" s="12"/>
      <c r="D648" s="87"/>
      <c r="F648" s="14"/>
      <c r="G648" s="14"/>
      <c r="H648" s="14"/>
      <c r="I648" s="14"/>
      <c r="J648" s="14"/>
      <c r="K648" s="12"/>
    </row>
    <row r="649" ht="19.5" customHeight="1">
      <c r="A649" s="12"/>
      <c r="C649" s="12"/>
      <c r="D649" s="87"/>
      <c r="F649" s="14"/>
      <c r="G649" s="14"/>
      <c r="H649" s="14"/>
      <c r="I649" s="14"/>
      <c r="J649" s="14"/>
      <c r="K649" s="12"/>
    </row>
    <row r="650" ht="19.5" customHeight="1">
      <c r="A650" s="12"/>
      <c r="C650" s="12"/>
      <c r="D650" s="87"/>
      <c r="F650" s="14"/>
      <c r="G650" s="14"/>
      <c r="H650" s="14"/>
      <c r="I650" s="14"/>
      <c r="J650" s="14"/>
      <c r="K650" s="12"/>
    </row>
    <row r="651" ht="19.5" customHeight="1">
      <c r="A651" s="12"/>
      <c r="C651" s="12"/>
      <c r="D651" s="87"/>
      <c r="F651" s="14"/>
      <c r="G651" s="14"/>
      <c r="H651" s="14"/>
      <c r="I651" s="14"/>
      <c r="J651" s="14"/>
      <c r="K651" s="12"/>
    </row>
    <row r="652" ht="19.5" customHeight="1">
      <c r="A652" s="12"/>
      <c r="C652" s="12"/>
      <c r="D652" s="87"/>
      <c r="F652" s="14"/>
      <c r="G652" s="14"/>
      <c r="H652" s="14"/>
      <c r="I652" s="14"/>
      <c r="J652" s="14"/>
      <c r="K652" s="12"/>
    </row>
    <row r="653" ht="19.5" customHeight="1">
      <c r="A653" s="12"/>
      <c r="C653" s="12"/>
      <c r="D653" s="87"/>
      <c r="F653" s="14"/>
      <c r="G653" s="14"/>
      <c r="H653" s="14"/>
      <c r="I653" s="14"/>
      <c r="J653" s="14"/>
      <c r="K653" s="12"/>
    </row>
    <row r="654" ht="19.5" customHeight="1">
      <c r="A654" s="12"/>
      <c r="C654" s="12"/>
      <c r="D654" s="87"/>
      <c r="F654" s="14"/>
      <c r="G654" s="14"/>
      <c r="H654" s="14"/>
      <c r="I654" s="14"/>
      <c r="J654" s="14"/>
      <c r="K654" s="12"/>
    </row>
    <row r="655" ht="19.5" customHeight="1">
      <c r="A655" s="12"/>
      <c r="C655" s="12"/>
      <c r="D655" s="87"/>
      <c r="F655" s="14"/>
      <c r="G655" s="14"/>
      <c r="H655" s="14"/>
      <c r="I655" s="14"/>
      <c r="J655" s="14"/>
      <c r="K655" s="12"/>
    </row>
    <row r="656" ht="19.5" customHeight="1">
      <c r="A656" s="12"/>
      <c r="C656" s="12"/>
      <c r="D656" s="87"/>
      <c r="F656" s="14"/>
      <c r="G656" s="14"/>
      <c r="H656" s="14"/>
      <c r="I656" s="14"/>
      <c r="J656" s="14"/>
      <c r="K656" s="12"/>
    </row>
    <row r="657" ht="19.5" customHeight="1">
      <c r="A657" s="12"/>
      <c r="C657" s="12"/>
      <c r="D657" s="87"/>
      <c r="F657" s="14"/>
      <c r="G657" s="14"/>
      <c r="H657" s="14"/>
      <c r="I657" s="14"/>
      <c r="J657" s="14"/>
      <c r="K657" s="12"/>
    </row>
    <row r="658" ht="19.5" customHeight="1">
      <c r="A658" s="12"/>
      <c r="C658" s="12"/>
      <c r="D658" s="87"/>
      <c r="F658" s="14"/>
      <c r="G658" s="14"/>
      <c r="H658" s="14"/>
      <c r="I658" s="14"/>
      <c r="J658" s="14"/>
      <c r="K658" s="12"/>
    </row>
    <row r="659" ht="19.5" customHeight="1">
      <c r="A659" s="12"/>
      <c r="C659" s="12"/>
      <c r="D659" s="87"/>
      <c r="F659" s="14"/>
      <c r="G659" s="14"/>
      <c r="H659" s="14"/>
      <c r="I659" s="14"/>
      <c r="J659" s="14"/>
      <c r="K659" s="12"/>
    </row>
    <row r="660" ht="19.5" customHeight="1">
      <c r="A660" s="12"/>
      <c r="C660" s="12"/>
      <c r="D660" s="87"/>
      <c r="F660" s="14"/>
      <c r="G660" s="14"/>
      <c r="H660" s="14"/>
      <c r="I660" s="14"/>
      <c r="J660" s="14"/>
      <c r="K660" s="12"/>
    </row>
    <row r="661" ht="19.5" customHeight="1">
      <c r="A661" s="12"/>
      <c r="C661" s="12"/>
      <c r="D661" s="87"/>
      <c r="F661" s="14"/>
      <c r="G661" s="14"/>
      <c r="H661" s="14"/>
      <c r="I661" s="14"/>
      <c r="J661" s="14"/>
      <c r="K661" s="12"/>
    </row>
    <row r="662" ht="19.5" customHeight="1">
      <c r="A662" s="12"/>
      <c r="C662" s="12"/>
      <c r="D662" s="87"/>
      <c r="F662" s="14"/>
      <c r="G662" s="14"/>
      <c r="H662" s="14"/>
      <c r="I662" s="14"/>
      <c r="J662" s="14"/>
      <c r="K662" s="12"/>
    </row>
    <row r="663" ht="19.5" customHeight="1">
      <c r="A663" s="12"/>
      <c r="C663" s="12"/>
      <c r="D663" s="87"/>
      <c r="F663" s="14"/>
      <c r="G663" s="14"/>
      <c r="H663" s="14"/>
      <c r="I663" s="14"/>
      <c r="J663" s="14"/>
      <c r="K663" s="12"/>
    </row>
    <row r="664" ht="19.5" customHeight="1">
      <c r="A664" s="12"/>
      <c r="C664" s="12"/>
      <c r="D664" s="87"/>
      <c r="F664" s="14"/>
      <c r="G664" s="14"/>
      <c r="H664" s="14"/>
      <c r="I664" s="14"/>
      <c r="J664" s="14"/>
      <c r="K664" s="12"/>
    </row>
    <row r="665" ht="19.5" customHeight="1">
      <c r="A665" s="12"/>
      <c r="C665" s="12"/>
      <c r="D665" s="87"/>
      <c r="F665" s="14"/>
      <c r="G665" s="14"/>
      <c r="H665" s="14"/>
      <c r="I665" s="14"/>
      <c r="J665" s="14"/>
      <c r="K665" s="12"/>
    </row>
    <row r="666" ht="19.5" customHeight="1">
      <c r="A666" s="12"/>
      <c r="C666" s="12"/>
      <c r="D666" s="87"/>
      <c r="F666" s="14"/>
      <c r="G666" s="14"/>
      <c r="H666" s="14"/>
      <c r="I666" s="14"/>
      <c r="J666" s="14"/>
      <c r="K666" s="12"/>
    </row>
    <row r="667" ht="19.5" customHeight="1">
      <c r="A667" s="12"/>
      <c r="C667" s="12"/>
      <c r="D667" s="87"/>
      <c r="F667" s="14"/>
      <c r="G667" s="14"/>
      <c r="H667" s="14"/>
      <c r="I667" s="14"/>
      <c r="J667" s="14"/>
      <c r="K667" s="12"/>
    </row>
    <row r="668" ht="19.5" customHeight="1">
      <c r="A668" s="12"/>
      <c r="C668" s="12"/>
      <c r="D668" s="87"/>
      <c r="F668" s="14"/>
      <c r="G668" s="14"/>
      <c r="H668" s="14"/>
      <c r="I668" s="14"/>
      <c r="J668" s="14"/>
      <c r="K668" s="12"/>
    </row>
    <row r="669" ht="19.5" customHeight="1">
      <c r="A669" s="12"/>
      <c r="C669" s="12"/>
      <c r="D669" s="87"/>
      <c r="F669" s="14"/>
      <c r="G669" s="14"/>
      <c r="H669" s="14"/>
      <c r="I669" s="14"/>
      <c r="J669" s="14"/>
      <c r="K669" s="12"/>
    </row>
    <row r="670" ht="19.5" customHeight="1">
      <c r="A670" s="12"/>
      <c r="C670" s="12"/>
      <c r="D670" s="87"/>
      <c r="F670" s="14"/>
      <c r="G670" s="14"/>
      <c r="H670" s="14"/>
      <c r="I670" s="14"/>
      <c r="J670" s="14"/>
      <c r="K670" s="12"/>
    </row>
    <row r="671" ht="19.5" customHeight="1">
      <c r="A671" s="12"/>
      <c r="C671" s="12"/>
      <c r="D671" s="87"/>
      <c r="F671" s="14"/>
      <c r="G671" s="14"/>
      <c r="H671" s="14"/>
      <c r="I671" s="14"/>
      <c r="J671" s="14"/>
      <c r="K671" s="12"/>
    </row>
    <row r="672" ht="19.5" customHeight="1">
      <c r="A672" s="12"/>
      <c r="C672" s="12"/>
      <c r="D672" s="87"/>
      <c r="F672" s="14"/>
      <c r="G672" s="14"/>
      <c r="H672" s="14"/>
      <c r="I672" s="14"/>
      <c r="J672" s="14"/>
      <c r="K672" s="12"/>
    </row>
    <row r="673" ht="19.5" customHeight="1">
      <c r="A673" s="12"/>
      <c r="C673" s="12"/>
      <c r="D673" s="87"/>
      <c r="F673" s="14"/>
      <c r="G673" s="14"/>
      <c r="H673" s="14"/>
      <c r="I673" s="14"/>
      <c r="J673" s="14"/>
      <c r="K673" s="12"/>
    </row>
    <row r="674" ht="19.5" customHeight="1">
      <c r="A674" s="12"/>
      <c r="C674" s="12"/>
      <c r="D674" s="87"/>
      <c r="F674" s="14"/>
      <c r="G674" s="14"/>
      <c r="H674" s="14"/>
      <c r="I674" s="14"/>
      <c r="J674" s="14"/>
      <c r="K674" s="12"/>
    </row>
    <row r="675" ht="19.5" customHeight="1">
      <c r="A675" s="12"/>
      <c r="C675" s="12"/>
      <c r="D675" s="87"/>
      <c r="F675" s="14"/>
      <c r="G675" s="14"/>
      <c r="H675" s="14"/>
      <c r="I675" s="14"/>
      <c r="J675" s="14"/>
      <c r="K675" s="12"/>
    </row>
    <row r="676" ht="19.5" customHeight="1">
      <c r="A676" s="12"/>
      <c r="C676" s="12"/>
      <c r="D676" s="87"/>
      <c r="F676" s="14"/>
      <c r="G676" s="14"/>
      <c r="H676" s="14"/>
      <c r="I676" s="14"/>
      <c r="J676" s="14"/>
      <c r="K676" s="12"/>
    </row>
    <row r="677" ht="19.5" customHeight="1">
      <c r="A677" s="12"/>
      <c r="C677" s="12"/>
      <c r="D677" s="87"/>
      <c r="F677" s="14"/>
      <c r="G677" s="14"/>
      <c r="H677" s="14"/>
      <c r="I677" s="14"/>
      <c r="J677" s="14"/>
      <c r="K677" s="12"/>
    </row>
    <row r="678" ht="19.5" customHeight="1">
      <c r="A678" s="12"/>
      <c r="C678" s="12"/>
      <c r="D678" s="87"/>
      <c r="F678" s="14"/>
      <c r="G678" s="14"/>
      <c r="H678" s="14"/>
      <c r="I678" s="14"/>
      <c r="J678" s="14"/>
      <c r="K678" s="12"/>
    </row>
    <row r="679" ht="19.5" customHeight="1">
      <c r="A679" s="12"/>
      <c r="C679" s="12"/>
      <c r="D679" s="87"/>
      <c r="F679" s="14"/>
      <c r="G679" s="14"/>
      <c r="H679" s="14"/>
      <c r="I679" s="14"/>
      <c r="J679" s="14"/>
      <c r="K679" s="12"/>
    </row>
    <row r="680" ht="19.5" customHeight="1">
      <c r="A680" s="12"/>
      <c r="C680" s="12"/>
      <c r="D680" s="87"/>
      <c r="F680" s="14"/>
      <c r="G680" s="14"/>
      <c r="H680" s="14"/>
      <c r="I680" s="14"/>
      <c r="J680" s="14"/>
      <c r="K680" s="12"/>
    </row>
    <row r="681" ht="19.5" customHeight="1">
      <c r="A681" s="12"/>
      <c r="C681" s="12"/>
      <c r="D681" s="87"/>
      <c r="F681" s="14"/>
      <c r="G681" s="14"/>
      <c r="H681" s="14"/>
      <c r="I681" s="14"/>
      <c r="J681" s="14"/>
      <c r="K681" s="12"/>
    </row>
    <row r="682" ht="19.5" customHeight="1">
      <c r="A682" s="12"/>
      <c r="C682" s="12"/>
      <c r="D682" s="87"/>
      <c r="F682" s="14"/>
      <c r="G682" s="14"/>
      <c r="H682" s="14"/>
      <c r="I682" s="14"/>
      <c r="J682" s="14"/>
      <c r="K682" s="12"/>
    </row>
    <row r="683" ht="19.5" customHeight="1">
      <c r="A683" s="12"/>
      <c r="C683" s="12"/>
      <c r="D683" s="87"/>
      <c r="F683" s="14"/>
      <c r="G683" s="14"/>
      <c r="H683" s="14"/>
      <c r="I683" s="14"/>
      <c r="J683" s="14"/>
      <c r="K683" s="12"/>
    </row>
    <row r="684" ht="19.5" customHeight="1">
      <c r="A684" s="12"/>
      <c r="C684" s="12"/>
      <c r="D684" s="87"/>
      <c r="F684" s="14"/>
      <c r="G684" s="14"/>
      <c r="H684" s="14"/>
      <c r="I684" s="14"/>
      <c r="J684" s="14"/>
      <c r="K684" s="12"/>
    </row>
    <row r="685" ht="19.5" customHeight="1">
      <c r="A685" s="12"/>
      <c r="C685" s="12"/>
      <c r="D685" s="87"/>
      <c r="F685" s="14"/>
      <c r="G685" s="14"/>
      <c r="H685" s="14"/>
      <c r="I685" s="14"/>
      <c r="J685" s="14"/>
      <c r="K685" s="12"/>
    </row>
    <row r="686" ht="19.5" customHeight="1">
      <c r="A686" s="12"/>
      <c r="C686" s="12"/>
      <c r="D686" s="87"/>
      <c r="F686" s="14"/>
      <c r="G686" s="14"/>
      <c r="H686" s="14"/>
      <c r="I686" s="14"/>
      <c r="J686" s="14"/>
      <c r="K686" s="12"/>
    </row>
    <row r="687" ht="19.5" customHeight="1">
      <c r="A687" s="12"/>
      <c r="C687" s="12"/>
      <c r="D687" s="87"/>
      <c r="F687" s="14"/>
      <c r="G687" s="14"/>
      <c r="H687" s="14"/>
      <c r="I687" s="14"/>
      <c r="J687" s="14"/>
      <c r="K687" s="12"/>
    </row>
    <row r="688" ht="19.5" customHeight="1">
      <c r="A688" s="12"/>
      <c r="C688" s="12"/>
      <c r="D688" s="87"/>
      <c r="F688" s="14"/>
      <c r="G688" s="14"/>
      <c r="H688" s="14"/>
      <c r="I688" s="14"/>
      <c r="J688" s="14"/>
      <c r="K688" s="12"/>
    </row>
    <row r="689" ht="19.5" customHeight="1">
      <c r="A689" s="12"/>
      <c r="C689" s="12"/>
      <c r="D689" s="87"/>
      <c r="F689" s="14"/>
      <c r="G689" s="14"/>
      <c r="H689" s="14"/>
      <c r="I689" s="14"/>
      <c r="J689" s="14"/>
      <c r="K689" s="12"/>
    </row>
    <row r="690" ht="19.5" customHeight="1">
      <c r="A690" s="12"/>
      <c r="C690" s="12"/>
      <c r="D690" s="87"/>
      <c r="F690" s="14"/>
      <c r="G690" s="14"/>
      <c r="H690" s="14"/>
      <c r="I690" s="14"/>
      <c r="J690" s="14"/>
      <c r="K690" s="12"/>
    </row>
    <row r="691" ht="19.5" customHeight="1">
      <c r="A691" s="12"/>
      <c r="C691" s="12"/>
      <c r="D691" s="87"/>
      <c r="F691" s="14"/>
      <c r="G691" s="14"/>
      <c r="H691" s="14"/>
      <c r="I691" s="14"/>
      <c r="J691" s="14"/>
      <c r="K691" s="12"/>
    </row>
    <row r="692" ht="19.5" customHeight="1">
      <c r="A692" s="12"/>
      <c r="C692" s="12"/>
      <c r="D692" s="87"/>
      <c r="F692" s="14"/>
      <c r="G692" s="14"/>
      <c r="H692" s="14"/>
      <c r="I692" s="14"/>
      <c r="J692" s="14"/>
      <c r="K692" s="12"/>
    </row>
    <row r="693" ht="19.5" customHeight="1">
      <c r="A693" s="12"/>
      <c r="C693" s="12"/>
      <c r="D693" s="87"/>
      <c r="F693" s="14"/>
      <c r="G693" s="14"/>
      <c r="H693" s="14"/>
      <c r="I693" s="14"/>
      <c r="J693" s="14"/>
      <c r="K693" s="12"/>
    </row>
    <row r="694" ht="19.5" customHeight="1">
      <c r="A694" s="12"/>
      <c r="C694" s="12"/>
      <c r="D694" s="87"/>
      <c r="F694" s="14"/>
      <c r="G694" s="14"/>
      <c r="H694" s="14"/>
      <c r="I694" s="14"/>
      <c r="J694" s="14"/>
      <c r="K694" s="12"/>
    </row>
    <row r="695" ht="19.5" customHeight="1">
      <c r="A695" s="12"/>
      <c r="C695" s="12"/>
      <c r="D695" s="87"/>
      <c r="F695" s="14"/>
      <c r="G695" s="14"/>
      <c r="H695" s="14"/>
      <c r="I695" s="14"/>
      <c r="J695" s="14"/>
      <c r="K695" s="12"/>
    </row>
    <row r="696" ht="19.5" customHeight="1">
      <c r="A696" s="12"/>
      <c r="C696" s="12"/>
      <c r="D696" s="87"/>
      <c r="F696" s="14"/>
      <c r="G696" s="14"/>
      <c r="H696" s="14"/>
      <c r="I696" s="14"/>
      <c r="J696" s="14"/>
      <c r="K696" s="12"/>
    </row>
    <row r="697" ht="19.5" customHeight="1">
      <c r="A697" s="12"/>
      <c r="C697" s="12"/>
      <c r="D697" s="87"/>
      <c r="F697" s="14"/>
      <c r="G697" s="14"/>
      <c r="H697" s="14"/>
      <c r="I697" s="14"/>
      <c r="J697" s="14"/>
      <c r="K697" s="12"/>
    </row>
    <row r="698" ht="19.5" customHeight="1">
      <c r="A698" s="12"/>
      <c r="C698" s="12"/>
      <c r="D698" s="87"/>
      <c r="F698" s="14"/>
      <c r="G698" s="14"/>
      <c r="H698" s="14"/>
      <c r="I698" s="14"/>
      <c r="J698" s="14"/>
      <c r="K698" s="12"/>
    </row>
    <row r="699" ht="19.5" customHeight="1">
      <c r="A699" s="12"/>
      <c r="C699" s="12"/>
      <c r="D699" s="87"/>
      <c r="F699" s="14"/>
      <c r="G699" s="14"/>
      <c r="H699" s="14"/>
      <c r="I699" s="14"/>
      <c r="J699" s="14"/>
      <c r="K699" s="12"/>
    </row>
    <row r="700" ht="19.5" customHeight="1">
      <c r="A700" s="12"/>
      <c r="C700" s="12"/>
      <c r="D700" s="87"/>
      <c r="F700" s="14"/>
      <c r="G700" s="14"/>
      <c r="H700" s="14"/>
      <c r="I700" s="14"/>
      <c r="J700" s="14"/>
      <c r="K700" s="12"/>
    </row>
    <row r="701" ht="19.5" customHeight="1">
      <c r="A701" s="12"/>
      <c r="C701" s="12"/>
      <c r="D701" s="87"/>
      <c r="F701" s="14"/>
      <c r="G701" s="14"/>
      <c r="H701" s="14"/>
      <c r="I701" s="14"/>
      <c r="J701" s="14"/>
      <c r="K701" s="12"/>
    </row>
    <row r="702" ht="19.5" customHeight="1">
      <c r="A702" s="12"/>
      <c r="C702" s="12"/>
      <c r="D702" s="87"/>
      <c r="F702" s="14"/>
      <c r="G702" s="14"/>
      <c r="H702" s="14"/>
      <c r="I702" s="14"/>
      <c r="J702" s="14"/>
      <c r="K702" s="12"/>
    </row>
    <row r="703" ht="19.5" customHeight="1">
      <c r="A703" s="12"/>
      <c r="C703" s="12"/>
      <c r="D703" s="87"/>
      <c r="F703" s="14"/>
      <c r="G703" s="14"/>
      <c r="H703" s="14"/>
      <c r="I703" s="14"/>
      <c r="J703" s="14"/>
      <c r="K703" s="12"/>
    </row>
    <row r="704" ht="19.5" customHeight="1">
      <c r="A704" s="12"/>
      <c r="C704" s="12"/>
      <c r="D704" s="87"/>
      <c r="F704" s="14"/>
      <c r="G704" s="14"/>
      <c r="H704" s="14"/>
      <c r="I704" s="14"/>
      <c r="J704" s="14"/>
      <c r="K704" s="12"/>
    </row>
    <row r="705" ht="19.5" customHeight="1">
      <c r="A705" s="12"/>
      <c r="C705" s="12"/>
      <c r="D705" s="87"/>
      <c r="F705" s="14"/>
      <c r="G705" s="14"/>
      <c r="H705" s="14"/>
      <c r="I705" s="14"/>
      <c r="J705" s="14"/>
      <c r="K705" s="12"/>
    </row>
    <row r="706" ht="19.5" customHeight="1">
      <c r="A706" s="12"/>
      <c r="C706" s="12"/>
      <c r="D706" s="87"/>
      <c r="F706" s="14"/>
      <c r="G706" s="14"/>
      <c r="H706" s="14"/>
      <c r="I706" s="14"/>
      <c r="J706" s="14"/>
      <c r="K706" s="12"/>
    </row>
    <row r="707" ht="19.5" customHeight="1">
      <c r="A707" s="12"/>
      <c r="C707" s="12"/>
      <c r="D707" s="87"/>
      <c r="F707" s="14"/>
      <c r="G707" s="14"/>
      <c r="H707" s="14"/>
      <c r="I707" s="14"/>
      <c r="J707" s="14"/>
      <c r="K707" s="12"/>
    </row>
    <row r="708" ht="19.5" customHeight="1">
      <c r="A708" s="12"/>
      <c r="C708" s="12"/>
      <c r="D708" s="87"/>
      <c r="F708" s="14"/>
      <c r="G708" s="14"/>
      <c r="H708" s="14"/>
      <c r="I708" s="14"/>
      <c r="J708" s="14"/>
      <c r="K708" s="12"/>
    </row>
    <row r="709" ht="19.5" customHeight="1">
      <c r="A709" s="12"/>
      <c r="C709" s="12"/>
      <c r="D709" s="87"/>
      <c r="F709" s="14"/>
      <c r="G709" s="14"/>
      <c r="H709" s="14"/>
      <c r="I709" s="14"/>
      <c r="J709" s="14"/>
      <c r="K709" s="12"/>
    </row>
    <row r="710" ht="19.5" customHeight="1">
      <c r="A710" s="12"/>
      <c r="C710" s="12"/>
      <c r="D710" s="87"/>
      <c r="F710" s="14"/>
      <c r="G710" s="14"/>
      <c r="H710" s="14"/>
      <c r="I710" s="14"/>
      <c r="J710" s="14"/>
      <c r="K710" s="12"/>
    </row>
    <row r="711" ht="19.5" customHeight="1">
      <c r="A711" s="12"/>
      <c r="C711" s="12"/>
      <c r="D711" s="87"/>
      <c r="F711" s="14"/>
      <c r="G711" s="14"/>
      <c r="H711" s="14"/>
      <c r="I711" s="14"/>
      <c r="J711" s="14"/>
      <c r="K711" s="12"/>
    </row>
    <row r="712" ht="19.5" customHeight="1">
      <c r="A712" s="12"/>
      <c r="C712" s="12"/>
      <c r="D712" s="87"/>
      <c r="F712" s="14"/>
      <c r="G712" s="14"/>
      <c r="H712" s="14"/>
      <c r="I712" s="14"/>
      <c r="J712" s="14"/>
      <c r="K712" s="12"/>
    </row>
    <row r="713" ht="19.5" customHeight="1">
      <c r="A713" s="12"/>
      <c r="C713" s="12"/>
      <c r="D713" s="87"/>
      <c r="F713" s="14"/>
      <c r="G713" s="14"/>
      <c r="H713" s="14"/>
      <c r="I713" s="14"/>
      <c r="J713" s="14"/>
      <c r="K713" s="12"/>
    </row>
    <row r="714" ht="19.5" customHeight="1">
      <c r="A714" s="12"/>
      <c r="C714" s="12"/>
      <c r="D714" s="87"/>
      <c r="F714" s="14"/>
      <c r="G714" s="14"/>
      <c r="H714" s="14"/>
      <c r="I714" s="14"/>
      <c r="J714" s="14"/>
      <c r="K714" s="12"/>
    </row>
    <row r="715" ht="19.5" customHeight="1">
      <c r="A715" s="12"/>
      <c r="C715" s="12"/>
      <c r="D715" s="87"/>
      <c r="F715" s="14"/>
      <c r="G715" s="14"/>
      <c r="H715" s="14"/>
      <c r="I715" s="14"/>
      <c r="J715" s="14"/>
      <c r="K715" s="12"/>
    </row>
    <row r="716" ht="19.5" customHeight="1">
      <c r="A716" s="12"/>
      <c r="C716" s="12"/>
      <c r="D716" s="87"/>
      <c r="F716" s="14"/>
      <c r="G716" s="14"/>
      <c r="H716" s="14"/>
      <c r="I716" s="14"/>
      <c r="J716" s="14"/>
      <c r="K716" s="12"/>
    </row>
    <row r="717" ht="19.5" customHeight="1">
      <c r="A717" s="12"/>
      <c r="C717" s="12"/>
      <c r="D717" s="87"/>
      <c r="F717" s="14"/>
      <c r="G717" s="14"/>
      <c r="H717" s="14"/>
      <c r="I717" s="14"/>
      <c r="J717" s="14"/>
      <c r="K717" s="12"/>
    </row>
    <row r="718" ht="19.5" customHeight="1">
      <c r="A718" s="12"/>
      <c r="C718" s="12"/>
      <c r="D718" s="87"/>
      <c r="F718" s="14"/>
      <c r="G718" s="14"/>
      <c r="H718" s="14"/>
      <c r="I718" s="14"/>
      <c r="J718" s="14"/>
      <c r="K718" s="12"/>
    </row>
    <row r="719" ht="19.5" customHeight="1">
      <c r="A719" s="12"/>
      <c r="C719" s="12"/>
      <c r="D719" s="87"/>
      <c r="F719" s="14"/>
      <c r="G719" s="14"/>
      <c r="H719" s="14"/>
      <c r="I719" s="14"/>
      <c r="J719" s="14"/>
      <c r="K719" s="12"/>
    </row>
    <row r="720" ht="19.5" customHeight="1">
      <c r="A720" s="12"/>
      <c r="C720" s="12"/>
      <c r="D720" s="87"/>
      <c r="F720" s="14"/>
      <c r="G720" s="14"/>
      <c r="H720" s="14"/>
      <c r="I720" s="14"/>
      <c r="J720" s="14"/>
      <c r="K720" s="12"/>
    </row>
    <row r="721" ht="19.5" customHeight="1">
      <c r="A721" s="12"/>
      <c r="C721" s="12"/>
      <c r="D721" s="87"/>
      <c r="F721" s="14"/>
      <c r="G721" s="14"/>
      <c r="H721" s="14"/>
      <c r="I721" s="14"/>
      <c r="J721" s="14"/>
      <c r="K721" s="12"/>
    </row>
    <row r="722" ht="19.5" customHeight="1">
      <c r="A722" s="12"/>
      <c r="C722" s="12"/>
      <c r="D722" s="87"/>
      <c r="F722" s="14"/>
      <c r="G722" s="14"/>
      <c r="H722" s="14"/>
      <c r="I722" s="14"/>
      <c r="J722" s="14"/>
      <c r="K722" s="12"/>
    </row>
    <row r="723" ht="19.5" customHeight="1">
      <c r="A723" s="12"/>
      <c r="C723" s="12"/>
      <c r="D723" s="87"/>
      <c r="F723" s="14"/>
      <c r="G723" s="14"/>
      <c r="H723" s="14"/>
      <c r="I723" s="14"/>
      <c r="J723" s="14"/>
      <c r="K723" s="12"/>
    </row>
    <row r="724" ht="19.5" customHeight="1">
      <c r="A724" s="12"/>
      <c r="C724" s="12"/>
      <c r="D724" s="87"/>
      <c r="F724" s="14"/>
      <c r="G724" s="14"/>
      <c r="H724" s="14"/>
      <c r="I724" s="14"/>
      <c r="J724" s="14"/>
      <c r="K724" s="12"/>
    </row>
    <row r="725" ht="19.5" customHeight="1">
      <c r="A725" s="12"/>
      <c r="C725" s="12"/>
      <c r="D725" s="87"/>
      <c r="F725" s="14"/>
      <c r="G725" s="14"/>
      <c r="H725" s="14"/>
      <c r="I725" s="14"/>
      <c r="J725" s="14"/>
      <c r="K725" s="12"/>
    </row>
    <row r="726" ht="19.5" customHeight="1">
      <c r="A726" s="12"/>
      <c r="C726" s="12"/>
      <c r="D726" s="87"/>
      <c r="F726" s="14"/>
      <c r="G726" s="14"/>
      <c r="H726" s="14"/>
      <c r="I726" s="14"/>
      <c r="J726" s="14"/>
      <c r="K726" s="12"/>
    </row>
    <row r="727" ht="19.5" customHeight="1">
      <c r="A727" s="12"/>
      <c r="C727" s="12"/>
      <c r="D727" s="87"/>
      <c r="F727" s="14"/>
      <c r="G727" s="14"/>
      <c r="H727" s="14"/>
      <c r="I727" s="14"/>
      <c r="J727" s="14"/>
      <c r="K727" s="12"/>
    </row>
    <row r="728" ht="19.5" customHeight="1">
      <c r="A728" s="12"/>
      <c r="C728" s="12"/>
      <c r="D728" s="87"/>
      <c r="F728" s="14"/>
      <c r="G728" s="14"/>
      <c r="H728" s="14"/>
      <c r="I728" s="14"/>
      <c r="J728" s="14"/>
      <c r="K728" s="12"/>
    </row>
    <row r="729" ht="19.5" customHeight="1">
      <c r="A729" s="12"/>
      <c r="C729" s="12"/>
      <c r="D729" s="87"/>
      <c r="F729" s="14"/>
      <c r="G729" s="14"/>
      <c r="H729" s="14"/>
      <c r="I729" s="14"/>
      <c r="J729" s="14"/>
      <c r="K729" s="12"/>
    </row>
    <row r="730" ht="19.5" customHeight="1">
      <c r="A730" s="12"/>
      <c r="C730" s="12"/>
      <c r="D730" s="87"/>
      <c r="F730" s="14"/>
      <c r="G730" s="14"/>
      <c r="H730" s="14"/>
      <c r="I730" s="14"/>
      <c r="J730" s="14"/>
      <c r="K730" s="12"/>
    </row>
    <row r="731" ht="19.5" customHeight="1">
      <c r="A731" s="12"/>
      <c r="C731" s="12"/>
      <c r="D731" s="87"/>
      <c r="F731" s="14"/>
      <c r="G731" s="14"/>
      <c r="H731" s="14"/>
      <c r="I731" s="14"/>
      <c r="J731" s="14"/>
      <c r="K731" s="12"/>
    </row>
    <row r="732" ht="19.5" customHeight="1">
      <c r="A732" s="12"/>
      <c r="C732" s="12"/>
      <c r="D732" s="87"/>
      <c r="F732" s="14"/>
      <c r="G732" s="14"/>
      <c r="H732" s="14"/>
      <c r="I732" s="14"/>
      <c r="J732" s="14"/>
      <c r="K732" s="12"/>
    </row>
    <row r="733" ht="19.5" customHeight="1">
      <c r="A733" s="12"/>
      <c r="C733" s="12"/>
      <c r="D733" s="87"/>
      <c r="F733" s="14"/>
      <c r="G733" s="14"/>
      <c r="H733" s="14"/>
      <c r="I733" s="14"/>
      <c r="J733" s="14"/>
      <c r="K733" s="12"/>
    </row>
    <row r="734" ht="19.5" customHeight="1">
      <c r="A734" s="12"/>
      <c r="C734" s="12"/>
      <c r="D734" s="87"/>
      <c r="F734" s="14"/>
      <c r="G734" s="14"/>
      <c r="H734" s="14"/>
      <c r="I734" s="14"/>
      <c r="J734" s="14"/>
      <c r="K734" s="12"/>
    </row>
    <row r="735" ht="19.5" customHeight="1">
      <c r="A735" s="12"/>
      <c r="C735" s="12"/>
      <c r="D735" s="87"/>
      <c r="F735" s="14"/>
      <c r="G735" s="14"/>
      <c r="H735" s="14"/>
      <c r="I735" s="14"/>
      <c r="J735" s="14"/>
      <c r="K735" s="12"/>
    </row>
    <row r="736" ht="19.5" customHeight="1">
      <c r="A736" s="12"/>
      <c r="C736" s="12"/>
      <c r="D736" s="87"/>
      <c r="F736" s="14"/>
      <c r="G736" s="14"/>
      <c r="H736" s="14"/>
      <c r="I736" s="14"/>
      <c r="J736" s="14"/>
      <c r="K736" s="12"/>
    </row>
    <row r="737" ht="19.5" customHeight="1">
      <c r="A737" s="12"/>
      <c r="C737" s="12"/>
      <c r="D737" s="87"/>
      <c r="F737" s="14"/>
      <c r="G737" s="14"/>
      <c r="H737" s="14"/>
      <c r="I737" s="14"/>
      <c r="J737" s="14"/>
      <c r="K737" s="12"/>
    </row>
    <row r="738" ht="19.5" customHeight="1">
      <c r="A738" s="12"/>
      <c r="C738" s="12"/>
      <c r="D738" s="87"/>
      <c r="F738" s="14"/>
      <c r="G738" s="14"/>
      <c r="H738" s="14"/>
      <c r="I738" s="14"/>
      <c r="J738" s="14"/>
      <c r="K738" s="12"/>
    </row>
    <row r="739" ht="19.5" customHeight="1">
      <c r="A739" s="12"/>
      <c r="C739" s="12"/>
      <c r="D739" s="87"/>
      <c r="F739" s="14"/>
      <c r="G739" s="14"/>
      <c r="H739" s="14"/>
      <c r="I739" s="14"/>
      <c r="J739" s="14"/>
      <c r="K739" s="12"/>
    </row>
    <row r="740" ht="19.5" customHeight="1">
      <c r="A740" s="12"/>
      <c r="C740" s="12"/>
      <c r="D740" s="87"/>
      <c r="F740" s="14"/>
      <c r="G740" s="14"/>
      <c r="H740" s="14"/>
      <c r="I740" s="14"/>
      <c r="J740" s="14"/>
      <c r="K740" s="12"/>
    </row>
    <row r="741" ht="19.5" customHeight="1">
      <c r="A741" s="12"/>
      <c r="C741" s="12"/>
      <c r="D741" s="87"/>
      <c r="F741" s="14"/>
      <c r="G741" s="14"/>
      <c r="H741" s="14"/>
      <c r="I741" s="14"/>
      <c r="J741" s="14"/>
      <c r="K741" s="12"/>
    </row>
    <row r="742" ht="19.5" customHeight="1">
      <c r="A742" s="12"/>
      <c r="C742" s="12"/>
      <c r="D742" s="87"/>
      <c r="F742" s="14"/>
      <c r="G742" s="14"/>
      <c r="H742" s="14"/>
      <c r="I742" s="14"/>
      <c r="J742" s="14"/>
      <c r="K742" s="12"/>
    </row>
    <row r="743" ht="19.5" customHeight="1">
      <c r="A743" s="12"/>
      <c r="C743" s="12"/>
      <c r="D743" s="87"/>
      <c r="F743" s="14"/>
      <c r="G743" s="14"/>
      <c r="H743" s="14"/>
      <c r="I743" s="14"/>
      <c r="J743" s="14"/>
      <c r="K743" s="12"/>
    </row>
    <row r="744" ht="19.5" customHeight="1">
      <c r="A744" s="12"/>
      <c r="C744" s="12"/>
      <c r="D744" s="87"/>
      <c r="F744" s="14"/>
      <c r="G744" s="14"/>
      <c r="H744" s="14"/>
      <c r="I744" s="14"/>
      <c r="J744" s="14"/>
      <c r="K744" s="12"/>
    </row>
    <row r="745" ht="19.5" customHeight="1">
      <c r="A745" s="12"/>
      <c r="C745" s="12"/>
      <c r="D745" s="87"/>
      <c r="F745" s="14"/>
      <c r="G745" s="14"/>
      <c r="H745" s="14"/>
      <c r="I745" s="14"/>
      <c r="J745" s="14"/>
      <c r="K745" s="12"/>
    </row>
    <row r="746" ht="19.5" customHeight="1">
      <c r="A746" s="12"/>
      <c r="C746" s="12"/>
      <c r="D746" s="87"/>
      <c r="F746" s="14"/>
      <c r="G746" s="14"/>
      <c r="H746" s="14"/>
      <c r="I746" s="14"/>
      <c r="J746" s="14"/>
      <c r="K746" s="12"/>
    </row>
    <row r="747" ht="19.5" customHeight="1">
      <c r="A747" s="12"/>
      <c r="C747" s="12"/>
      <c r="D747" s="87"/>
      <c r="F747" s="14"/>
      <c r="G747" s="14"/>
      <c r="H747" s="14"/>
      <c r="I747" s="14"/>
      <c r="J747" s="14"/>
      <c r="K747" s="12"/>
    </row>
    <row r="748" ht="19.5" customHeight="1">
      <c r="A748" s="12"/>
      <c r="C748" s="12"/>
      <c r="D748" s="87"/>
      <c r="F748" s="14"/>
      <c r="G748" s="14"/>
      <c r="H748" s="14"/>
      <c r="I748" s="14"/>
      <c r="J748" s="14"/>
      <c r="K748" s="12"/>
    </row>
    <row r="749" ht="19.5" customHeight="1">
      <c r="A749" s="12"/>
      <c r="C749" s="12"/>
      <c r="D749" s="87"/>
      <c r="F749" s="14"/>
      <c r="G749" s="14"/>
      <c r="H749" s="14"/>
      <c r="I749" s="14"/>
      <c r="J749" s="14"/>
      <c r="K749" s="12"/>
    </row>
    <row r="750" ht="19.5" customHeight="1">
      <c r="A750" s="12"/>
      <c r="C750" s="12"/>
      <c r="D750" s="87"/>
      <c r="F750" s="14"/>
      <c r="G750" s="14"/>
      <c r="H750" s="14"/>
      <c r="I750" s="14"/>
      <c r="J750" s="14"/>
      <c r="K750" s="12"/>
    </row>
    <row r="751" ht="19.5" customHeight="1">
      <c r="A751" s="12"/>
      <c r="C751" s="12"/>
      <c r="D751" s="87"/>
      <c r="F751" s="14"/>
      <c r="G751" s="14"/>
      <c r="H751" s="14"/>
      <c r="I751" s="14"/>
      <c r="J751" s="14"/>
      <c r="K751" s="12"/>
    </row>
    <row r="752" ht="19.5" customHeight="1">
      <c r="A752" s="12"/>
      <c r="C752" s="12"/>
      <c r="D752" s="87"/>
      <c r="F752" s="14"/>
      <c r="G752" s="14"/>
      <c r="H752" s="14"/>
      <c r="I752" s="14"/>
      <c r="J752" s="14"/>
      <c r="K752" s="12"/>
    </row>
    <row r="753" ht="19.5" customHeight="1">
      <c r="A753" s="12"/>
      <c r="C753" s="12"/>
      <c r="D753" s="87"/>
      <c r="F753" s="14"/>
      <c r="G753" s="14"/>
      <c r="H753" s="14"/>
      <c r="I753" s="14"/>
      <c r="J753" s="14"/>
      <c r="K753" s="12"/>
    </row>
    <row r="754" ht="19.5" customHeight="1">
      <c r="A754" s="12"/>
      <c r="C754" s="12"/>
      <c r="D754" s="87"/>
      <c r="F754" s="14"/>
      <c r="G754" s="14"/>
      <c r="H754" s="14"/>
      <c r="I754" s="14"/>
      <c r="J754" s="14"/>
      <c r="K754" s="12"/>
    </row>
    <row r="755" ht="19.5" customHeight="1">
      <c r="A755" s="12"/>
      <c r="C755" s="12"/>
      <c r="D755" s="87"/>
      <c r="F755" s="14"/>
      <c r="G755" s="14"/>
      <c r="H755" s="14"/>
      <c r="I755" s="14"/>
      <c r="J755" s="14"/>
      <c r="K755" s="12"/>
    </row>
    <row r="756" ht="19.5" customHeight="1">
      <c r="A756" s="12"/>
      <c r="C756" s="12"/>
      <c r="D756" s="87"/>
      <c r="F756" s="14"/>
      <c r="G756" s="14"/>
      <c r="H756" s="14"/>
      <c r="I756" s="14"/>
      <c r="J756" s="14"/>
      <c r="K756" s="12"/>
    </row>
    <row r="757" ht="19.5" customHeight="1">
      <c r="A757" s="12"/>
      <c r="C757" s="12"/>
      <c r="D757" s="87"/>
      <c r="F757" s="14"/>
      <c r="G757" s="14"/>
      <c r="H757" s="14"/>
      <c r="I757" s="14"/>
      <c r="J757" s="14"/>
      <c r="K757" s="12"/>
    </row>
    <row r="758" ht="19.5" customHeight="1">
      <c r="A758" s="12"/>
      <c r="C758" s="12"/>
      <c r="D758" s="87"/>
      <c r="F758" s="14"/>
      <c r="G758" s="14"/>
      <c r="H758" s="14"/>
      <c r="I758" s="14"/>
      <c r="J758" s="14"/>
      <c r="K758" s="12"/>
    </row>
    <row r="759" ht="19.5" customHeight="1">
      <c r="A759" s="12"/>
      <c r="C759" s="12"/>
      <c r="D759" s="87"/>
      <c r="F759" s="14"/>
      <c r="G759" s="14"/>
      <c r="H759" s="14"/>
      <c r="I759" s="14"/>
      <c r="J759" s="14"/>
      <c r="K759" s="12"/>
    </row>
    <row r="760" ht="19.5" customHeight="1">
      <c r="A760" s="12"/>
      <c r="C760" s="12"/>
      <c r="D760" s="87"/>
      <c r="F760" s="14"/>
      <c r="G760" s="14"/>
      <c r="H760" s="14"/>
      <c r="I760" s="14"/>
      <c r="J760" s="14"/>
      <c r="K760" s="12"/>
    </row>
    <row r="761" ht="19.5" customHeight="1">
      <c r="A761" s="12"/>
      <c r="C761" s="12"/>
      <c r="D761" s="87"/>
      <c r="F761" s="14"/>
      <c r="G761" s="14"/>
      <c r="H761" s="14"/>
      <c r="I761" s="14"/>
      <c r="J761" s="14"/>
      <c r="K761" s="12"/>
    </row>
    <row r="762" ht="19.5" customHeight="1">
      <c r="A762" s="12"/>
      <c r="C762" s="12"/>
      <c r="D762" s="87"/>
      <c r="F762" s="14"/>
      <c r="G762" s="14"/>
      <c r="H762" s="14"/>
      <c r="I762" s="14"/>
      <c r="J762" s="14"/>
      <c r="K762" s="12"/>
    </row>
    <row r="763" ht="19.5" customHeight="1">
      <c r="A763" s="12"/>
      <c r="C763" s="12"/>
      <c r="D763" s="87"/>
      <c r="F763" s="14"/>
      <c r="G763" s="14"/>
      <c r="H763" s="14"/>
      <c r="I763" s="14"/>
      <c r="J763" s="14"/>
      <c r="K763" s="12"/>
    </row>
    <row r="764" ht="19.5" customHeight="1">
      <c r="A764" s="12"/>
      <c r="C764" s="12"/>
      <c r="D764" s="87"/>
      <c r="F764" s="14"/>
      <c r="G764" s="14"/>
      <c r="H764" s="14"/>
      <c r="I764" s="14"/>
      <c r="J764" s="14"/>
      <c r="K764" s="12"/>
    </row>
    <row r="765" ht="19.5" customHeight="1">
      <c r="A765" s="12"/>
      <c r="C765" s="12"/>
      <c r="D765" s="87"/>
      <c r="F765" s="14"/>
      <c r="G765" s="14"/>
      <c r="H765" s="14"/>
      <c r="I765" s="14"/>
      <c r="J765" s="14"/>
      <c r="K765" s="12"/>
    </row>
    <row r="766" ht="19.5" customHeight="1">
      <c r="A766" s="12"/>
      <c r="C766" s="12"/>
      <c r="D766" s="87"/>
      <c r="F766" s="14"/>
      <c r="G766" s="14"/>
      <c r="H766" s="14"/>
      <c r="I766" s="14"/>
      <c r="J766" s="14"/>
      <c r="K766" s="12"/>
    </row>
    <row r="767" ht="19.5" customHeight="1">
      <c r="A767" s="12"/>
      <c r="C767" s="12"/>
      <c r="D767" s="87"/>
      <c r="F767" s="14"/>
      <c r="G767" s="14"/>
      <c r="H767" s="14"/>
      <c r="I767" s="14"/>
      <c r="J767" s="14"/>
      <c r="K767" s="12"/>
    </row>
    <row r="768" ht="19.5" customHeight="1">
      <c r="A768" s="12"/>
      <c r="C768" s="12"/>
      <c r="D768" s="87"/>
      <c r="F768" s="14"/>
      <c r="G768" s="14"/>
      <c r="H768" s="14"/>
      <c r="I768" s="14"/>
      <c r="J768" s="14"/>
      <c r="K768" s="12"/>
    </row>
    <row r="769" ht="19.5" customHeight="1">
      <c r="A769" s="12"/>
      <c r="C769" s="12"/>
      <c r="D769" s="87"/>
      <c r="F769" s="14"/>
      <c r="G769" s="14"/>
      <c r="H769" s="14"/>
      <c r="I769" s="14"/>
      <c r="J769" s="14"/>
      <c r="K769" s="12"/>
    </row>
    <row r="770" ht="19.5" customHeight="1">
      <c r="A770" s="12"/>
      <c r="C770" s="12"/>
      <c r="D770" s="87"/>
      <c r="F770" s="14"/>
      <c r="G770" s="14"/>
      <c r="H770" s="14"/>
      <c r="I770" s="14"/>
      <c r="J770" s="14"/>
      <c r="K770" s="12"/>
    </row>
    <row r="771" ht="19.5" customHeight="1">
      <c r="A771" s="12"/>
      <c r="C771" s="12"/>
      <c r="D771" s="87"/>
      <c r="F771" s="14"/>
      <c r="G771" s="14"/>
      <c r="H771" s="14"/>
      <c r="I771" s="14"/>
      <c r="J771" s="14"/>
      <c r="K771" s="12"/>
    </row>
    <row r="772" ht="19.5" customHeight="1">
      <c r="A772" s="12"/>
      <c r="C772" s="12"/>
      <c r="D772" s="87"/>
      <c r="F772" s="14"/>
      <c r="G772" s="14"/>
      <c r="H772" s="14"/>
      <c r="I772" s="14"/>
      <c r="J772" s="14"/>
      <c r="K772" s="12"/>
    </row>
    <row r="773" ht="19.5" customHeight="1">
      <c r="A773" s="12"/>
      <c r="C773" s="12"/>
      <c r="D773" s="87"/>
      <c r="F773" s="14"/>
      <c r="G773" s="14"/>
      <c r="H773" s="14"/>
      <c r="I773" s="14"/>
      <c r="J773" s="14"/>
      <c r="K773" s="12"/>
    </row>
    <row r="774" ht="19.5" customHeight="1">
      <c r="A774" s="12"/>
      <c r="C774" s="12"/>
      <c r="D774" s="87"/>
      <c r="F774" s="14"/>
      <c r="G774" s="14"/>
      <c r="H774" s="14"/>
      <c r="I774" s="14"/>
      <c r="J774" s="14"/>
      <c r="K774" s="12"/>
    </row>
    <row r="775" ht="19.5" customHeight="1">
      <c r="A775" s="12"/>
      <c r="C775" s="12"/>
      <c r="D775" s="87"/>
      <c r="F775" s="14"/>
      <c r="G775" s="14"/>
      <c r="H775" s="14"/>
      <c r="I775" s="14"/>
      <c r="J775" s="14"/>
      <c r="K775" s="12"/>
    </row>
    <row r="776" ht="19.5" customHeight="1">
      <c r="A776" s="12"/>
      <c r="C776" s="12"/>
      <c r="D776" s="87"/>
      <c r="F776" s="14"/>
      <c r="G776" s="14"/>
      <c r="H776" s="14"/>
      <c r="I776" s="14"/>
      <c r="J776" s="14"/>
      <c r="K776" s="12"/>
    </row>
    <row r="777" ht="19.5" customHeight="1">
      <c r="A777" s="12"/>
      <c r="C777" s="12"/>
      <c r="D777" s="87"/>
      <c r="F777" s="14"/>
      <c r="G777" s="14"/>
      <c r="H777" s="14"/>
      <c r="I777" s="14"/>
      <c r="J777" s="14"/>
      <c r="K777" s="12"/>
    </row>
    <row r="778" ht="19.5" customHeight="1">
      <c r="A778" s="12"/>
      <c r="C778" s="12"/>
      <c r="D778" s="87"/>
      <c r="F778" s="14"/>
      <c r="G778" s="14"/>
      <c r="H778" s="14"/>
      <c r="I778" s="14"/>
      <c r="J778" s="14"/>
      <c r="K778" s="12"/>
    </row>
    <row r="779" ht="19.5" customHeight="1">
      <c r="A779" s="12"/>
      <c r="C779" s="12"/>
      <c r="D779" s="87"/>
      <c r="F779" s="14"/>
      <c r="G779" s="14"/>
      <c r="H779" s="14"/>
      <c r="I779" s="14"/>
      <c r="J779" s="14"/>
      <c r="K779" s="12"/>
    </row>
    <row r="780" ht="19.5" customHeight="1">
      <c r="A780" s="12"/>
      <c r="C780" s="12"/>
      <c r="D780" s="87"/>
      <c r="F780" s="14"/>
      <c r="G780" s="14"/>
      <c r="H780" s="14"/>
      <c r="I780" s="14"/>
      <c r="J780" s="14"/>
      <c r="K780" s="12"/>
    </row>
    <row r="781" ht="19.5" customHeight="1">
      <c r="A781" s="12"/>
      <c r="C781" s="12"/>
      <c r="D781" s="87"/>
      <c r="F781" s="14"/>
      <c r="G781" s="14"/>
      <c r="H781" s="14"/>
      <c r="I781" s="14"/>
      <c r="J781" s="14"/>
      <c r="K781" s="12"/>
    </row>
    <row r="782" ht="19.5" customHeight="1">
      <c r="A782" s="12"/>
      <c r="C782" s="12"/>
      <c r="D782" s="87"/>
      <c r="F782" s="14"/>
      <c r="G782" s="14"/>
      <c r="H782" s="14"/>
      <c r="I782" s="14"/>
      <c r="J782" s="14"/>
      <c r="K782" s="12"/>
    </row>
    <row r="783" ht="19.5" customHeight="1">
      <c r="A783" s="12"/>
      <c r="C783" s="12"/>
      <c r="D783" s="87"/>
      <c r="F783" s="14"/>
      <c r="G783" s="14"/>
      <c r="H783" s="14"/>
      <c r="I783" s="14"/>
      <c r="J783" s="14"/>
      <c r="K783" s="12"/>
    </row>
    <row r="784" ht="19.5" customHeight="1">
      <c r="A784" s="12"/>
      <c r="C784" s="12"/>
      <c r="D784" s="87"/>
      <c r="F784" s="14"/>
      <c r="G784" s="14"/>
      <c r="H784" s="14"/>
      <c r="I784" s="14"/>
      <c r="J784" s="14"/>
      <c r="K784" s="12"/>
    </row>
    <row r="785" ht="19.5" customHeight="1">
      <c r="A785" s="12"/>
      <c r="C785" s="12"/>
      <c r="D785" s="87"/>
      <c r="F785" s="14"/>
      <c r="G785" s="14"/>
      <c r="H785" s="14"/>
      <c r="I785" s="14"/>
      <c r="J785" s="14"/>
      <c r="K785" s="12"/>
    </row>
    <row r="786" ht="19.5" customHeight="1">
      <c r="A786" s="12"/>
      <c r="C786" s="12"/>
      <c r="D786" s="87"/>
      <c r="F786" s="14"/>
      <c r="G786" s="14"/>
      <c r="H786" s="14"/>
      <c r="I786" s="14"/>
      <c r="J786" s="14"/>
      <c r="K786" s="12"/>
    </row>
    <row r="787" ht="19.5" customHeight="1">
      <c r="A787" s="12"/>
      <c r="C787" s="12"/>
      <c r="D787" s="87"/>
      <c r="F787" s="14"/>
      <c r="G787" s="14"/>
      <c r="H787" s="14"/>
      <c r="I787" s="14"/>
      <c r="J787" s="14"/>
      <c r="K787" s="12"/>
    </row>
    <row r="788" ht="19.5" customHeight="1">
      <c r="A788" s="12"/>
      <c r="C788" s="12"/>
      <c r="D788" s="87"/>
      <c r="F788" s="14"/>
      <c r="G788" s="14"/>
      <c r="H788" s="14"/>
      <c r="I788" s="14"/>
      <c r="J788" s="14"/>
      <c r="K788" s="12"/>
    </row>
    <row r="789" ht="19.5" customHeight="1">
      <c r="A789" s="12"/>
      <c r="C789" s="12"/>
      <c r="D789" s="87"/>
      <c r="F789" s="14"/>
      <c r="G789" s="14"/>
      <c r="H789" s="14"/>
      <c r="I789" s="14"/>
      <c r="J789" s="14"/>
      <c r="K789" s="12"/>
    </row>
    <row r="790" ht="19.5" customHeight="1">
      <c r="A790" s="12"/>
      <c r="C790" s="12"/>
      <c r="D790" s="87"/>
      <c r="F790" s="14"/>
      <c r="G790" s="14"/>
      <c r="H790" s="14"/>
      <c r="I790" s="14"/>
      <c r="J790" s="14"/>
      <c r="K790" s="12"/>
    </row>
    <row r="791" ht="19.5" customHeight="1">
      <c r="A791" s="12"/>
      <c r="C791" s="12"/>
      <c r="D791" s="87"/>
      <c r="F791" s="14"/>
      <c r="G791" s="14"/>
      <c r="H791" s="14"/>
      <c r="I791" s="14"/>
      <c r="J791" s="14"/>
      <c r="K791" s="12"/>
    </row>
    <row r="792" ht="19.5" customHeight="1">
      <c r="A792" s="12"/>
      <c r="C792" s="12"/>
      <c r="D792" s="87"/>
      <c r="F792" s="14"/>
      <c r="G792" s="14"/>
      <c r="H792" s="14"/>
      <c r="I792" s="14"/>
      <c r="J792" s="14"/>
      <c r="K792" s="12"/>
    </row>
    <row r="793" ht="19.5" customHeight="1">
      <c r="A793" s="12"/>
      <c r="C793" s="12"/>
      <c r="D793" s="87"/>
      <c r="F793" s="14"/>
      <c r="G793" s="14"/>
      <c r="H793" s="14"/>
      <c r="I793" s="14"/>
      <c r="J793" s="14"/>
      <c r="K793" s="12"/>
    </row>
    <row r="794" ht="19.5" customHeight="1">
      <c r="A794" s="12"/>
      <c r="C794" s="12"/>
      <c r="D794" s="87"/>
      <c r="F794" s="14"/>
      <c r="G794" s="14"/>
      <c r="H794" s="14"/>
      <c r="I794" s="14"/>
      <c r="J794" s="14"/>
      <c r="K794" s="12"/>
    </row>
    <row r="795" ht="19.5" customHeight="1">
      <c r="A795" s="12"/>
      <c r="C795" s="12"/>
      <c r="D795" s="87"/>
      <c r="F795" s="14"/>
      <c r="G795" s="14"/>
      <c r="H795" s="14"/>
      <c r="I795" s="14"/>
      <c r="J795" s="14"/>
      <c r="K795" s="12"/>
    </row>
    <row r="796" ht="19.5" customHeight="1">
      <c r="A796" s="12"/>
      <c r="C796" s="12"/>
      <c r="D796" s="87"/>
      <c r="F796" s="14"/>
      <c r="G796" s="14"/>
      <c r="H796" s="14"/>
      <c r="I796" s="14"/>
      <c r="J796" s="14"/>
      <c r="K796" s="12"/>
    </row>
    <row r="797" ht="19.5" customHeight="1">
      <c r="A797" s="12"/>
      <c r="C797" s="12"/>
      <c r="D797" s="87"/>
      <c r="F797" s="14"/>
      <c r="G797" s="14"/>
      <c r="H797" s="14"/>
      <c r="I797" s="14"/>
      <c r="J797" s="14"/>
      <c r="K797" s="12"/>
    </row>
    <row r="798" ht="19.5" customHeight="1">
      <c r="A798" s="12"/>
      <c r="C798" s="12"/>
      <c r="D798" s="87"/>
      <c r="F798" s="14"/>
      <c r="G798" s="14"/>
      <c r="H798" s="14"/>
      <c r="I798" s="14"/>
      <c r="J798" s="14"/>
      <c r="K798" s="12"/>
    </row>
    <row r="799" ht="19.5" customHeight="1">
      <c r="A799" s="12"/>
      <c r="C799" s="12"/>
      <c r="D799" s="87"/>
      <c r="F799" s="14"/>
      <c r="G799" s="14"/>
      <c r="H799" s="14"/>
      <c r="I799" s="14"/>
      <c r="J799" s="14"/>
      <c r="K799" s="12"/>
    </row>
    <row r="800" ht="19.5" customHeight="1">
      <c r="A800" s="12"/>
      <c r="C800" s="12"/>
      <c r="D800" s="87"/>
      <c r="F800" s="14"/>
      <c r="G800" s="14"/>
      <c r="H800" s="14"/>
      <c r="I800" s="14"/>
      <c r="J800" s="14"/>
      <c r="K800" s="12"/>
    </row>
    <row r="801" ht="19.5" customHeight="1">
      <c r="A801" s="12"/>
      <c r="C801" s="12"/>
      <c r="D801" s="87"/>
      <c r="F801" s="14"/>
      <c r="G801" s="14"/>
      <c r="H801" s="14"/>
      <c r="I801" s="14"/>
      <c r="J801" s="14"/>
      <c r="K801" s="12"/>
    </row>
    <row r="802" ht="19.5" customHeight="1">
      <c r="A802" s="12"/>
      <c r="C802" s="12"/>
      <c r="D802" s="87"/>
      <c r="F802" s="14"/>
      <c r="G802" s="14"/>
      <c r="H802" s="14"/>
      <c r="I802" s="14"/>
      <c r="J802" s="14"/>
      <c r="K802" s="12"/>
    </row>
    <row r="803" ht="19.5" customHeight="1">
      <c r="A803" s="12"/>
      <c r="C803" s="12"/>
      <c r="D803" s="87"/>
      <c r="F803" s="14"/>
      <c r="G803" s="14"/>
      <c r="H803" s="14"/>
      <c r="I803" s="14"/>
      <c r="J803" s="14"/>
      <c r="K803" s="12"/>
    </row>
    <row r="804" ht="19.5" customHeight="1">
      <c r="A804" s="12"/>
      <c r="C804" s="12"/>
      <c r="D804" s="87"/>
      <c r="F804" s="14"/>
      <c r="G804" s="14"/>
      <c r="H804" s="14"/>
      <c r="I804" s="14"/>
      <c r="J804" s="14"/>
      <c r="K804" s="12"/>
    </row>
    <row r="805" ht="19.5" customHeight="1">
      <c r="A805" s="12"/>
      <c r="C805" s="12"/>
      <c r="D805" s="87"/>
      <c r="F805" s="14"/>
      <c r="G805" s="14"/>
      <c r="H805" s="14"/>
      <c r="I805" s="14"/>
      <c r="J805" s="14"/>
      <c r="K805" s="12"/>
    </row>
    <row r="806" ht="19.5" customHeight="1">
      <c r="A806" s="12"/>
      <c r="C806" s="12"/>
      <c r="D806" s="87"/>
      <c r="F806" s="14"/>
      <c r="G806" s="14"/>
      <c r="H806" s="14"/>
      <c r="I806" s="14"/>
      <c r="J806" s="14"/>
      <c r="K806" s="12"/>
    </row>
    <row r="807" ht="19.5" customHeight="1">
      <c r="A807" s="12"/>
      <c r="C807" s="12"/>
      <c r="D807" s="87"/>
      <c r="F807" s="14"/>
      <c r="G807" s="14"/>
      <c r="H807" s="14"/>
      <c r="I807" s="14"/>
      <c r="J807" s="14"/>
      <c r="K807" s="12"/>
    </row>
    <row r="808" ht="19.5" customHeight="1">
      <c r="A808" s="12"/>
      <c r="C808" s="12"/>
      <c r="D808" s="87"/>
      <c r="F808" s="14"/>
      <c r="G808" s="14"/>
      <c r="H808" s="14"/>
      <c r="I808" s="14"/>
      <c r="J808" s="14"/>
      <c r="K808" s="12"/>
    </row>
    <row r="809" ht="19.5" customHeight="1">
      <c r="A809" s="12"/>
      <c r="C809" s="12"/>
      <c r="D809" s="87"/>
      <c r="F809" s="14"/>
      <c r="G809" s="14"/>
      <c r="H809" s="14"/>
      <c r="I809" s="14"/>
      <c r="J809" s="14"/>
      <c r="K809" s="12"/>
    </row>
    <row r="810" ht="19.5" customHeight="1">
      <c r="A810" s="12"/>
      <c r="C810" s="12"/>
      <c r="D810" s="87"/>
      <c r="F810" s="14"/>
      <c r="G810" s="14"/>
      <c r="H810" s="14"/>
      <c r="I810" s="14"/>
      <c r="J810" s="14"/>
      <c r="K810" s="12"/>
    </row>
    <row r="811" ht="19.5" customHeight="1">
      <c r="A811" s="12"/>
      <c r="C811" s="12"/>
      <c r="D811" s="87"/>
      <c r="F811" s="14"/>
      <c r="G811" s="14"/>
      <c r="H811" s="14"/>
      <c r="I811" s="14"/>
      <c r="J811" s="14"/>
      <c r="K811" s="12"/>
    </row>
    <row r="812" ht="19.5" customHeight="1">
      <c r="A812" s="12"/>
      <c r="C812" s="12"/>
      <c r="D812" s="87"/>
      <c r="F812" s="14"/>
      <c r="G812" s="14"/>
      <c r="H812" s="14"/>
      <c r="I812" s="14"/>
      <c r="J812" s="14"/>
      <c r="K812" s="12"/>
    </row>
    <row r="813" ht="19.5" customHeight="1">
      <c r="A813" s="12"/>
      <c r="C813" s="12"/>
      <c r="D813" s="87"/>
      <c r="F813" s="14"/>
      <c r="G813" s="14"/>
      <c r="H813" s="14"/>
      <c r="I813" s="14"/>
      <c r="J813" s="14"/>
      <c r="K813" s="12"/>
    </row>
    <row r="814" ht="19.5" customHeight="1">
      <c r="A814" s="12"/>
      <c r="C814" s="12"/>
      <c r="D814" s="87"/>
      <c r="F814" s="14"/>
      <c r="G814" s="14"/>
      <c r="H814" s="14"/>
      <c r="I814" s="14"/>
      <c r="J814" s="14"/>
      <c r="K814" s="12"/>
    </row>
    <row r="815" ht="19.5" customHeight="1">
      <c r="A815" s="12"/>
      <c r="C815" s="12"/>
      <c r="D815" s="87"/>
      <c r="F815" s="14"/>
      <c r="G815" s="14"/>
      <c r="H815" s="14"/>
      <c r="I815" s="14"/>
      <c r="J815" s="14"/>
      <c r="K815" s="12"/>
    </row>
    <row r="816" ht="19.5" customHeight="1">
      <c r="A816" s="12"/>
      <c r="C816" s="12"/>
      <c r="D816" s="87"/>
      <c r="F816" s="14"/>
      <c r="G816" s="14"/>
      <c r="H816" s="14"/>
      <c r="I816" s="14"/>
      <c r="J816" s="14"/>
      <c r="K816" s="12"/>
    </row>
    <row r="817" ht="19.5" customHeight="1">
      <c r="A817" s="12"/>
      <c r="C817" s="12"/>
      <c r="D817" s="87"/>
      <c r="F817" s="14"/>
      <c r="G817" s="14"/>
      <c r="H817" s="14"/>
      <c r="I817" s="14"/>
      <c r="J817" s="14"/>
      <c r="K817" s="12"/>
    </row>
    <row r="818" ht="19.5" customHeight="1">
      <c r="A818" s="12"/>
      <c r="C818" s="12"/>
      <c r="D818" s="87"/>
      <c r="F818" s="14"/>
      <c r="G818" s="14"/>
      <c r="H818" s="14"/>
      <c r="I818" s="14"/>
      <c r="J818" s="14"/>
      <c r="K818" s="12"/>
    </row>
    <row r="819" ht="19.5" customHeight="1">
      <c r="A819" s="12"/>
      <c r="C819" s="12"/>
      <c r="D819" s="87"/>
      <c r="F819" s="14"/>
      <c r="G819" s="14"/>
      <c r="H819" s="14"/>
      <c r="I819" s="14"/>
      <c r="J819" s="14"/>
      <c r="K819" s="12"/>
    </row>
    <row r="820" ht="19.5" customHeight="1">
      <c r="A820" s="12"/>
      <c r="C820" s="12"/>
      <c r="D820" s="87"/>
      <c r="F820" s="14"/>
      <c r="G820" s="14"/>
      <c r="H820" s="14"/>
      <c r="I820" s="14"/>
      <c r="J820" s="14"/>
      <c r="K820" s="12"/>
    </row>
    <row r="821" ht="19.5" customHeight="1">
      <c r="A821" s="12"/>
      <c r="C821" s="12"/>
      <c r="D821" s="87"/>
      <c r="F821" s="14"/>
      <c r="G821" s="14"/>
      <c r="H821" s="14"/>
      <c r="I821" s="14"/>
      <c r="J821" s="14"/>
      <c r="K821" s="12"/>
    </row>
    <row r="822" ht="19.5" customHeight="1">
      <c r="A822" s="12"/>
      <c r="C822" s="12"/>
      <c r="D822" s="87"/>
      <c r="F822" s="14"/>
      <c r="G822" s="14"/>
      <c r="H822" s="14"/>
      <c r="I822" s="14"/>
      <c r="J822" s="14"/>
      <c r="K822" s="12"/>
    </row>
    <row r="823" ht="19.5" customHeight="1">
      <c r="A823" s="12"/>
      <c r="C823" s="12"/>
      <c r="D823" s="87"/>
      <c r="F823" s="14"/>
      <c r="G823" s="14"/>
      <c r="H823" s="14"/>
      <c r="I823" s="14"/>
      <c r="J823" s="14"/>
      <c r="K823" s="12"/>
    </row>
    <row r="824" ht="19.5" customHeight="1">
      <c r="A824" s="12"/>
      <c r="C824" s="12"/>
      <c r="D824" s="87"/>
      <c r="F824" s="14"/>
      <c r="G824" s="14"/>
      <c r="H824" s="14"/>
      <c r="I824" s="14"/>
      <c r="J824" s="14"/>
      <c r="K824" s="12"/>
    </row>
    <row r="825" ht="19.5" customHeight="1">
      <c r="A825" s="12"/>
      <c r="C825" s="12"/>
      <c r="D825" s="87"/>
      <c r="F825" s="14"/>
      <c r="G825" s="14"/>
      <c r="H825" s="14"/>
      <c r="I825" s="14"/>
      <c r="J825" s="14"/>
      <c r="K825" s="12"/>
    </row>
    <row r="826" ht="19.5" customHeight="1">
      <c r="A826" s="12"/>
      <c r="C826" s="12"/>
      <c r="D826" s="87"/>
      <c r="F826" s="14"/>
      <c r="G826" s="14"/>
      <c r="H826" s="14"/>
      <c r="I826" s="14"/>
      <c r="J826" s="14"/>
      <c r="K826" s="12"/>
    </row>
    <row r="827" ht="19.5" customHeight="1">
      <c r="A827" s="12"/>
      <c r="C827" s="12"/>
      <c r="D827" s="87"/>
      <c r="F827" s="14"/>
      <c r="G827" s="14"/>
      <c r="H827" s="14"/>
      <c r="I827" s="14"/>
      <c r="J827" s="14"/>
      <c r="K827" s="12"/>
    </row>
    <row r="828" ht="19.5" customHeight="1">
      <c r="A828" s="12"/>
      <c r="C828" s="12"/>
      <c r="D828" s="87"/>
      <c r="F828" s="14"/>
      <c r="G828" s="14"/>
      <c r="H828" s="14"/>
      <c r="I828" s="14"/>
      <c r="J828" s="14"/>
      <c r="K828" s="12"/>
    </row>
    <row r="829" ht="19.5" customHeight="1">
      <c r="A829" s="12"/>
      <c r="C829" s="12"/>
      <c r="D829" s="87"/>
      <c r="F829" s="14"/>
      <c r="G829" s="14"/>
      <c r="H829" s="14"/>
      <c r="I829" s="14"/>
      <c r="J829" s="14"/>
      <c r="K829" s="12"/>
    </row>
    <row r="830" ht="19.5" customHeight="1">
      <c r="A830" s="12"/>
      <c r="C830" s="12"/>
      <c r="D830" s="87"/>
      <c r="F830" s="14"/>
      <c r="G830" s="14"/>
      <c r="H830" s="14"/>
      <c r="I830" s="14"/>
      <c r="J830" s="14"/>
      <c r="K830" s="12"/>
    </row>
    <row r="831" ht="19.5" customHeight="1">
      <c r="A831" s="12"/>
      <c r="C831" s="12"/>
      <c r="D831" s="87"/>
      <c r="F831" s="14"/>
      <c r="G831" s="14"/>
      <c r="H831" s="14"/>
      <c r="I831" s="14"/>
      <c r="J831" s="14"/>
      <c r="K831" s="12"/>
    </row>
    <row r="832" ht="19.5" customHeight="1">
      <c r="A832" s="12"/>
      <c r="C832" s="12"/>
      <c r="D832" s="87"/>
      <c r="F832" s="14"/>
      <c r="G832" s="14"/>
      <c r="H832" s="14"/>
      <c r="I832" s="14"/>
      <c r="J832" s="14"/>
      <c r="K832" s="12"/>
    </row>
    <row r="833" ht="19.5" customHeight="1">
      <c r="A833" s="12"/>
      <c r="C833" s="12"/>
      <c r="D833" s="87"/>
      <c r="F833" s="14"/>
      <c r="G833" s="14"/>
      <c r="H833" s="14"/>
      <c r="I833" s="14"/>
      <c r="J833" s="14"/>
      <c r="K833" s="12"/>
    </row>
    <row r="834" ht="19.5" customHeight="1">
      <c r="A834" s="12"/>
      <c r="C834" s="12"/>
      <c r="D834" s="87"/>
      <c r="F834" s="14"/>
      <c r="G834" s="14"/>
      <c r="H834" s="14"/>
      <c r="I834" s="14"/>
      <c r="J834" s="14"/>
      <c r="K834" s="12"/>
    </row>
    <row r="835" ht="19.5" customHeight="1">
      <c r="A835" s="12"/>
      <c r="C835" s="12"/>
      <c r="D835" s="87"/>
      <c r="F835" s="14"/>
      <c r="G835" s="14"/>
      <c r="H835" s="14"/>
      <c r="I835" s="14"/>
      <c r="J835" s="14"/>
      <c r="K835" s="12"/>
    </row>
    <row r="836" ht="19.5" customHeight="1">
      <c r="A836" s="12"/>
      <c r="C836" s="12"/>
      <c r="D836" s="87"/>
      <c r="F836" s="14"/>
      <c r="G836" s="14"/>
      <c r="H836" s="14"/>
      <c r="I836" s="14"/>
      <c r="J836" s="14"/>
      <c r="K836" s="12"/>
    </row>
    <row r="837" ht="19.5" customHeight="1">
      <c r="A837" s="12"/>
      <c r="C837" s="12"/>
      <c r="D837" s="87"/>
      <c r="F837" s="14"/>
      <c r="G837" s="14"/>
      <c r="H837" s="14"/>
      <c r="I837" s="14"/>
      <c r="J837" s="14"/>
      <c r="K837" s="12"/>
    </row>
    <row r="838" ht="19.5" customHeight="1">
      <c r="A838" s="12"/>
      <c r="C838" s="12"/>
      <c r="D838" s="87"/>
      <c r="F838" s="14"/>
      <c r="G838" s="14"/>
      <c r="H838" s="14"/>
      <c r="I838" s="14"/>
      <c r="J838" s="14"/>
      <c r="K838" s="12"/>
    </row>
    <row r="839" ht="19.5" customHeight="1">
      <c r="A839" s="12"/>
      <c r="C839" s="12"/>
      <c r="D839" s="87"/>
      <c r="F839" s="14"/>
      <c r="G839" s="14"/>
      <c r="H839" s="14"/>
      <c r="I839" s="14"/>
      <c r="J839" s="14"/>
      <c r="K839" s="12"/>
    </row>
    <row r="840" ht="19.5" customHeight="1">
      <c r="A840" s="12"/>
      <c r="C840" s="12"/>
      <c r="D840" s="87"/>
      <c r="F840" s="14"/>
      <c r="G840" s="14"/>
      <c r="H840" s="14"/>
      <c r="I840" s="14"/>
      <c r="J840" s="14"/>
      <c r="K840" s="12"/>
    </row>
    <row r="841" ht="19.5" customHeight="1">
      <c r="A841" s="12"/>
      <c r="C841" s="12"/>
      <c r="D841" s="87"/>
      <c r="F841" s="14"/>
      <c r="G841" s="14"/>
      <c r="H841" s="14"/>
      <c r="I841" s="14"/>
      <c r="J841" s="14"/>
      <c r="K841" s="12"/>
    </row>
    <row r="842" ht="19.5" customHeight="1">
      <c r="A842" s="12"/>
      <c r="C842" s="12"/>
      <c r="D842" s="87"/>
      <c r="F842" s="14"/>
      <c r="G842" s="14"/>
      <c r="H842" s="14"/>
      <c r="I842" s="14"/>
      <c r="J842" s="14"/>
      <c r="K842" s="12"/>
    </row>
    <row r="843" ht="19.5" customHeight="1">
      <c r="A843" s="12"/>
      <c r="C843" s="12"/>
      <c r="D843" s="87"/>
      <c r="F843" s="14"/>
      <c r="G843" s="14"/>
      <c r="H843" s="14"/>
      <c r="I843" s="14"/>
      <c r="J843" s="14"/>
      <c r="K843" s="12"/>
    </row>
    <row r="844" ht="19.5" customHeight="1">
      <c r="A844" s="12"/>
      <c r="C844" s="12"/>
      <c r="D844" s="87"/>
      <c r="F844" s="14"/>
      <c r="G844" s="14"/>
      <c r="H844" s="14"/>
      <c r="I844" s="14"/>
      <c r="J844" s="14"/>
      <c r="K844" s="12"/>
    </row>
    <row r="845" ht="19.5" customHeight="1">
      <c r="A845" s="12"/>
      <c r="C845" s="12"/>
      <c r="D845" s="87"/>
      <c r="F845" s="14"/>
      <c r="G845" s="14"/>
      <c r="H845" s="14"/>
      <c r="I845" s="14"/>
      <c r="J845" s="14"/>
      <c r="K845" s="12"/>
    </row>
    <row r="846" ht="19.5" customHeight="1">
      <c r="A846" s="12"/>
      <c r="C846" s="12"/>
      <c r="D846" s="87"/>
      <c r="F846" s="14"/>
      <c r="G846" s="14"/>
      <c r="H846" s="14"/>
      <c r="I846" s="14"/>
      <c r="J846" s="14"/>
      <c r="K846" s="12"/>
    </row>
    <row r="847" ht="19.5" customHeight="1">
      <c r="A847" s="12"/>
      <c r="C847" s="12"/>
      <c r="D847" s="87"/>
      <c r="F847" s="14"/>
      <c r="G847" s="14"/>
      <c r="H847" s="14"/>
      <c r="I847" s="14"/>
      <c r="J847" s="14"/>
      <c r="K847" s="12"/>
    </row>
    <row r="848" ht="19.5" customHeight="1">
      <c r="A848" s="12"/>
      <c r="C848" s="12"/>
      <c r="D848" s="87"/>
      <c r="F848" s="14"/>
      <c r="G848" s="14"/>
      <c r="H848" s="14"/>
      <c r="I848" s="14"/>
      <c r="J848" s="14"/>
      <c r="K848" s="12"/>
    </row>
    <row r="849" ht="19.5" customHeight="1">
      <c r="A849" s="12"/>
      <c r="C849" s="12"/>
      <c r="D849" s="87"/>
      <c r="F849" s="14"/>
      <c r="G849" s="14"/>
      <c r="H849" s="14"/>
      <c r="I849" s="14"/>
      <c r="J849" s="14"/>
      <c r="K849" s="12"/>
    </row>
    <row r="850" ht="19.5" customHeight="1">
      <c r="A850" s="12"/>
      <c r="C850" s="12"/>
      <c r="D850" s="87"/>
      <c r="F850" s="14"/>
      <c r="G850" s="14"/>
      <c r="H850" s="14"/>
      <c r="I850" s="14"/>
      <c r="J850" s="14"/>
      <c r="K850" s="12"/>
    </row>
    <row r="851" ht="19.5" customHeight="1">
      <c r="A851" s="12"/>
      <c r="C851" s="12"/>
      <c r="D851" s="87"/>
      <c r="F851" s="14"/>
      <c r="G851" s="14"/>
      <c r="H851" s="14"/>
      <c r="I851" s="14"/>
      <c r="J851" s="14"/>
      <c r="K851" s="12"/>
    </row>
    <row r="852" ht="19.5" customHeight="1">
      <c r="A852" s="12"/>
      <c r="C852" s="12"/>
      <c r="D852" s="87"/>
      <c r="F852" s="14"/>
      <c r="G852" s="14"/>
      <c r="H852" s="14"/>
      <c r="I852" s="14"/>
      <c r="J852" s="14"/>
      <c r="K852" s="12"/>
    </row>
    <row r="853" ht="19.5" customHeight="1">
      <c r="A853" s="12"/>
      <c r="C853" s="12"/>
      <c r="D853" s="87"/>
      <c r="F853" s="14"/>
      <c r="G853" s="14"/>
      <c r="H853" s="14"/>
      <c r="I853" s="14"/>
      <c r="J853" s="14"/>
      <c r="K853" s="12"/>
    </row>
    <row r="854" ht="19.5" customHeight="1">
      <c r="A854" s="12"/>
      <c r="C854" s="12"/>
      <c r="D854" s="87"/>
      <c r="F854" s="14"/>
      <c r="G854" s="14"/>
      <c r="H854" s="14"/>
      <c r="I854" s="14"/>
      <c r="J854" s="14"/>
      <c r="K854" s="12"/>
    </row>
    <row r="855" ht="19.5" customHeight="1">
      <c r="A855" s="12"/>
      <c r="C855" s="12"/>
      <c r="D855" s="87"/>
      <c r="F855" s="14"/>
      <c r="G855" s="14"/>
      <c r="H855" s="14"/>
      <c r="I855" s="14"/>
      <c r="J855" s="14"/>
      <c r="K855" s="12"/>
    </row>
    <row r="856" ht="19.5" customHeight="1">
      <c r="A856" s="12"/>
      <c r="C856" s="12"/>
      <c r="D856" s="87"/>
      <c r="F856" s="14"/>
      <c r="G856" s="14"/>
      <c r="H856" s="14"/>
      <c r="I856" s="14"/>
      <c r="J856" s="14"/>
      <c r="K856" s="12"/>
    </row>
    <row r="857" ht="19.5" customHeight="1">
      <c r="A857" s="12"/>
      <c r="C857" s="12"/>
      <c r="D857" s="87"/>
      <c r="F857" s="14"/>
      <c r="G857" s="14"/>
      <c r="H857" s="14"/>
      <c r="I857" s="14"/>
      <c r="J857" s="14"/>
      <c r="K857" s="12"/>
    </row>
    <row r="858" ht="19.5" customHeight="1">
      <c r="A858" s="12"/>
      <c r="C858" s="12"/>
      <c r="D858" s="87"/>
      <c r="F858" s="14"/>
      <c r="G858" s="14"/>
      <c r="H858" s="14"/>
      <c r="I858" s="14"/>
      <c r="J858" s="14"/>
      <c r="K858" s="12"/>
    </row>
    <row r="859" ht="19.5" customHeight="1">
      <c r="A859" s="12"/>
      <c r="C859" s="12"/>
      <c r="D859" s="87"/>
      <c r="F859" s="14"/>
      <c r="G859" s="14"/>
      <c r="H859" s="14"/>
      <c r="I859" s="14"/>
      <c r="J859" s="14"/>
      <c r="K859" s="12"/>
    </row>
    <row r="860" ht="19.5" customHeight="1">
      <c r="A860" s="12"/>
      <c r="C860" s="12"/>
      <c r="D860" s="87"/>
      <c r="F860" s="14"/>
      <c r="G860" s="14"/>
      <c r="H860" s="14"/>
      <c r="I860" s="14"/>
      <c r="J860" s="14"/>
      <c r="K860" s="12"/>
    </row>
    <row r="861" ht="19.5" customHeight="1">
      <c r="A861" s="12"/>
      <c r="C861" s="12"/>
      <c r="D861" s="87"/>
      <c r="F861" s="14"/>
      <c r="G861" s="14"/>
      <c r="H861" s="14"/>
      <c r="I861" s="14"/>
      <c r="J861" s="14"/>
      <c r="K861" s="12"/>
    </row>
    <row r="862" ht="19.5" customHeight="1">
      <c r="A862" s="12"/>
      <c r="C862" s="12"/>
      <c r="D862" s="87"/>
      <c r="F862" s="14"/>
      <c r="G862" s="14"/>
      <c r="H862" s="14"/>
      <c r="I862" s="14"/>
      <c r="J862" s="14"/>
      <c r="K862" s="12"/>
    </row>
    <row r="863" ht="19.5" customHeight="1">
      <c r="A863" s="12"/>
      <c r="C863" s="12"/>
      <c r="D863" s="87"/>
      <c r="F863" s="14"/>
      <c r="G863" s="14"/>
      <c r="H863" s="14"/>
      <c r="I863" s="14"/>
      <c r="J863" s="14"/>
      <c r="K863" s="12"/>
    </row>
    <row r="864" ht="19.5" customHeight="1">
      <c r="A864" s="12"/>
      <c r="C864" s="12"/>
      <c r="D864" s="87"/>
      <c r="F864" s="14"/>
      <c r="G864" s="14"/>
      <c r="H864" s="14"/>
      <c r="I864" s="14"/>
      <c r="J864" s="14"/>
      <c r="K864" s="12"/>
    </row>
    <row r="865" ht="19.5" customHeight="1">
      <c r="A865" s="12"/>
      <c r="C865" s="12"/>
      <c r="D865" s="87"/>
      <c r="F865" s="14"/>
      <c r="G865" s="14"/>
      <c r="H865" s="14"/>
      <c r="I865" s="14"/>
      <c r="J865" s="14"/>
      <c r="K865" s="12"/>
    </row>
    <row r="866" ht="19.5" customHeight="1">
      <c r="A866" s="12"/>
      <c r="C866" s="12"/>
      <c r="D866" s="87"/>
      <c r="F866" s="14"/>
      <c r="G866" s="14"/>
      <c r="H866" s="14"/>
      <c r="I866" s="14"/>
      <c r="J866" s="14"/>
      <c r="K866" s="12"/>
    </row>
    <row r="867" ht="19.5" customHeight="1">
      <c r="A867" s="12"/>
      <c r="C867" s="12"/>
      <c r="D867" s="87"/>
      <c r="F867" s="14"/>
      <c r="G867" s="14"/>
      <c r="H867" s="14"/>
      <c r="I867" s="14"/>
      <c r="J867" s="14"/>
      <c r="K867" s="12"/>
    </row>
    <row r="868" ht="19.5" customHeight="1">
      <c r="A868" s="12"/>
      <c r="C868" s="12"/>
      <c r="D868" s="87"/>
      <c r="F868" s="14"/>
      <c r="G868" s="14"/>
      <c r="H868" s="14"/>
      <c r="I868" s="14"/>
      <c r="J868" s="14"/>
      <c r="K868" s="12"/>
    </row>
    <row r="869" ht="19.5" customHeight="1">
      <c r="A869" s="12"/>
      <c r="C869" s="12"/>
      <c r="D869" s="87"/>
      <c r="F869" s="14"/>
      <c r="G869" s="14"/>
      <c r="H869" s="14"/>
      <c r="I869" s="14"/>
      <c r="J869" s="14"/>
      <c r="K869" s="12"/>
    </row>
    <row r="870" ht="19.5" customHeight="1">
      <c r="A870" s="12"/>
      <c r="C870" s="12"/>
      <c r="D870" s="87"/>
      <c r="F870" s="14"/>
      <c r="G870" s="14"/>
      <c r="H870" s="14"/>
      <c r="I870" s="14"/>
      <c r="J870" s="14"/>
      <c r="K870" s="12"/>
    </row>
    <row r="871" ht="19.5" customHeight="1">
      <c r="A871" s="12"/>
      <c r="C871" s="12"/>
      <c r="D871" s="87"/>
      <c r="F871" s="14"/>
      <c r="G871" s="14"/>
      <c r="H871" s="14"/>
      <c r="I871" s="14"/>
      <c r="J871" s="14"/>
      <c r="K871" s="12"/>
    </row>
    <row r="872" ht="19.5" customHeight="1">
      <c r="A872" s="12"/>
      <c r="C872" s="12"/>
      <c r="D872" s="87"/>
      <c r="F872" s="14"/>
      <c r="G872" s="14"/>
      <c r="H872" s="14"/>
      <c r="I872" s="14"/>
      <c r="J872" s="14"/>
      <c r="K872" s="12"/>
    </row>
    <row r="873" ht="19.5" customHeight="1">
      <c r="A873" s="12"/>
      <c r="C873" s="12"/>
      <c r="D873" s="87"/>
      <c r="F873" s="14"/>
      <c r="G873" s="14"/>
      <c r="H873" s="14"/>
      <c r="I873" s="14"/>
      <c r="J873" s="14"/>
      <c r="K873" s="12"/>
    </row>
    <row r="874" ht="19.5" customHeight="1">
      <c r="A874" s="12"/>
      <c r="C874" s="12"/>
      <c r="D874" s="87"/>
      <c r="F874" s="14"/>
      <c r="G874" s="14"/>
      <c r="H874" s="14"/>
      <c r="I874" s="14"/>
      <c r="J874" s="14"/>
      <c r="K874" s="12"/>
    </row>
    <row r="875" ht="19.5" customHeight="1">
      <c r="A875" s="12"/>
      <c r="C875" s="12"/>
      <c r="D875" s="87"/>
      <c r="F875" s="14"/>
      <c r="G875" s="14"/>
      <c r="H875" s="14"/>
      <c r="I875" s="14"/>
      <c r="J875" s="14"/>
      <c r="K875" s="12"/>
    </row>
    <row r="876" ht="19.5" customHeight="1">
      <c r="A876" s="12"/>
      <c r="C876" s="12"/>
      <c r="D876" s="87"/>
      <c r="F876" s="14"/>
      <c r="G876" s="14"/>
      <c r="H876" s="14"/>
      <c r="I876" s="14"/>
      <c r="J876" s="14"/>
      <c r="K876" s="12"/>
    </row>
    <row r="877" ht="19.5" customHeight="1">
      <c r="A877" s="12"/>
      <c r="C877" s="12"/>
      <c r="D877" s="87"/>
      <c r="F877" s="14"/>
      <c r="G877" s="14"/>
      <c r="H877" s="14"/>
      <c r="I877" s="14"/>
      <c r="J877" s="14"/>
      <c r="K877" s="12"/>
    </row>
    <row r="878" ht="19.5" customHeight="1">
      <c r="A878" s="12"/>
      <c r="C878" s="12"/>
      <c r="D878" s="87"/>
      <c r="F878" s="14"/>
      <c r="G878" s="14"/>
      <c r="H878" s="14"/>
      <c r="I878" s="14"/>
      <c r="J878" s="14"/>
      <c r="K878" s="12"/>
    </row>
    <row r="879" ht="19.5" customHeight="1">
      <c r="A879" s="12"/>
      <c r="C879" s="12"/>
      <c r="D879" s="87"/>
      <c r="F879" s="14"/>
      <c r="G879" s="14"/>
      <c r="H879" s="14"/>
      <c r="I879" s="14"/>
      <c r="J879" s="14"/>
      <c r="K879" s="12"/>
    </row>
    <row r="880" ht="19.5" customHeight="1">
      <c r="A880" s="12"/>
      <c r="C880" s="12"/>
      <c r="D880" s="87"/>
      <c r="F880" s="14"/>
      <c r="G880" s="14"/>
      <c r="H880" s="14"/>
      <c r="I880" s="14"/>
      <c r="J880" s="14"/>
      <c r="K880" s="12"/>
    </row>
    <row r="881" ht="19.5" customHeight="1">
      <c r="A881" s="12"/>
      <c r="C881" s="12"/>
      <c r="D881" s="87"/>
      <c r="F881" s="14"/>
      <c r="G881" s="14"/>
      <c r="H881" s="14"/>
      <c r="I881" s="14"/>
      <c r="J881" s="14"/>
      <c r="K881" s="12"/>
    </row>
    <row r="882" ht="19.5" customHeight="1">
      <c r="A882" s="12"/>
      <c r="C882" s="12"/>
      <c r="D882" s="87"/>
      <c r="F882" s="14"/>
      <c r="G882" s="14"/>
      <c r="H882" s="14"/>
      <c r="I882" s="14"/>
      <c r="J882" s="14"/>
      <c r="K882" s="12"/>
    </row>
    <row r="883" ht="19.5" customHeight="1">
      <c r="A883" s="12"/>
      <c r="C883" s="12"/>
      <c r="D883" s="87"/>
      <c r="F883" s="14"/>
      <c r="G883" s="14"/>
      <c r="H883" s="14"/>
      <c r="I883" s="14"/>
      <c r="J883" s="14"/>
      <c r="K883" s="12"/>
    </row>
    <row r="884" ht="19.5" customHeight="1">
      <c r="A884" s="12"/>
      <c r="C884" s="12"/>
      <c r="D884" s="87"/>
      <c r="F884" s="14"/>
      <c r="G884" s="14"/>
      <c r="H884" s="14"/>
      <c r="I884" s="14"/>
      <c r="J884" s="14"/>
      <c r="K884" s="12"/>
    </row>
    <row r="885" ht="19.5" customHeight="1">
      <c r="A885" s="12"/>
      <c r="C885" s="12"/>
      <c r="D885" s="87"/>
      <c r="F885" s="14"/>
      <c r="G885" s="14"/>
      <c r="H885" s="14"/>
      <c r="I885" s="14"/>
      <c r="J885" s="14"/>
      <c r="K885" s="12"/>
    </row>
    <row r="886" ht="19.5" customHeight="1">
      <c r="A886" s="12"/>
      <c r="C886" s="12"/>
      <c r="D886" s="87"/>
      <c r="F886" s="14"/>
      <c r="G886" s="14"/>
      <c r="H886" s="14"/>
      <c r="I886" s="14"/>
      <c r="J886" s="14"/>
      <c r="K886" s="12"/>
    </row>
    <row r="887" ht="19.5" customHeight="1">
      <c r="A887" s="12"/>
      <c r="C887" s="12"/>
      <c r="D887" s="87"/>
      <c r="F887" s="14"/>
      <c r="G887" s="14"/>
      <c r="H887" s="14"/>
      <c r="I887" s="14"/>
      <c r="J887" s="14"/>
      <c r="K887" s="12"/>
    </row>
    <row r="888" ht="19.5" customHeight="1">
      <c r="A888" s="12"/>
      <c r="C888" s="12"/>
      <c r="D888" s="87"/>
      <c r="F888" s="14"/>
      <c r="G888" s="14"/>
      <c r="H888" s="14"/>
      <c r="I888" s="14"/>
      <c r="J888" s="14"/>
      <c r="K888" s="12"/>
    </row>
    <row r="889" ht="19.5" customHeight="1">
      <c r="A889" s="12"/>
      <c r="C889" s="12"/>
      <c r="D889" s="87"/>
      <c r="F889" s="14"/>
      <c r="G889" s="14"/>
      <c r="H889" s="14"/>
      <c r="I889" s="14"/>
      <c r="J889" s="14"/>
      <c r="K889" s="12"/>
    </row>
    <row r="890" ht="19.5" customHeight="1">
      <c r="A890" s="12"/>
      <c r="C890" s="12"/>
      <c r="D890" s="87"/>
      <c r="F890" s="14"/>
      <c r="G890" s="14"/>
      <c r="H890" s="14"/>
      <c r="I890" s="14"/>
      <c r="J890" s="14"/>
      <c r="K890" s="12"/>
    </row>
    <row r="891" ht="19.5" customHeight="1">
      <c r="A891" s="12"/>
      <c r="C891" s="12"/>
      <c r="D891" s="87"/>
      <c r="F891" s="14"/>
      <c r="G891" s="14"/>
      <c r="H891" s="14"/>
      <c r="I891" s="14"/>
      <c r="J891" s="14"/>
      <c r="K891" s="12"/>
    </row>
    <row r="892" ht="19.5" customHeight="1">
      <c r="A892" s="12"/>
      <c r="C892" s="12"/>
      <c r="D892" s="87"/>
      <c r="F892" s="14"/>
      <c r="G892" s="14"/>
      <c r="H892" s="14"/>
      <c r="I892" s="14"/>
      <c r="J892" s="14"/>
      <c r="K892" s="12"/>
    </row>
    <row r="893" ht="19.5" customHeight="1">
      <c r="A893" s="12"/>
      <c r="C893" s="12"/>
      <c r="D893" s="87"/>
      <c r="F893" s="14"/>
      <c r="G893" s="14"/>
      <c r="H893" s="14"/>
      <c r="I893" s="14"/>
      <c r="J893" s="14"/>
      <c r="K893" s="12"/>
    </row>
    <row r="894" ht="19.5" customHeight="1">
      <c r="A894" s="12"/>
      <c r="C894" s="12"/>
      <c r="D894" s="87"/>
      <c r="F894" s="14"/>
      <c r="G894" s="14"/>
      <c r="H894" s="14"/>
      <c r="I894" s="14"/>
      <c r="J894" s="14"/>
      <c r="K894" s="12"/>
    </row>
    <row r="895" ht="19.5" customHeight="1">
      <c r="A895" s="12"/>
      <c r="C895" s="12"/>
      <c r="D895" s="87"/>
      <c r="F895" s="14"/>
      <c r="G895" s="14"/>
      <c r="H895" s="14"/>
      <c r="I895" s="14"/>
      <c r="J895" s="14"/>
      <c r="K895" s="12"/>
    </row>
    <row r="896" ht="19.5" customHeight="1">
      <c r="A896" s="12"/>
      <c r="C896" s="12"/>
      <c r="D896" s="87"/>
      <c r="F896" s="14"/>
      <c r="G896" s="14"/>
      <c r="H896" s="14"/>
      <c r="I896" s="14"/>
      <c r="J896" s="14"/>
      <c r="K896" s="12"/>
    </row>
    <row r="897" ht="19.5" customHeight="1">
      <c r="A897" s="12"/>
      <c r="C897" s="12"/>
      <c r="D897" s="87"/>
      <c r="F897" s="14"/>
      <c r="G897" s="14"/>
      <c r="H897" s="14"/>
      <c r="I897" s="14"/>
      <c r="J897" s="14"/>
      <c r="K897" s="12"/>
    </row>
    <row r="898" ht="19.5" customHeight="1">
      <c r="A898" s="12"/>
      <c r="C898" s="12"/>
      <c r="D898" s="87"/>
      <c r="F898" s="14"/>
      <c r="G898" s="14"/>
      <c r="H898" s="14"/>
      <c r="I898" s="14"/>
      <c r="J898" s="14"/>
      <c r="K898" s="12"/>
    </row>
    <row r="899" ht="19.5" customHeight="1">
      <c r="A899" s="12"/>
      <c r="C899" s="12"/>
      <c r="D899" s="87"/>
      <c r="F899" s="14"/>
      <c r="G899" s="14"/>
      <c r="H899" s="14"/>
      <c r="I899" s="14"/>
      <c r="J899" s="14"/>
      <c r="K899" s="12"/>
    </row>
    <row r="900" ht="19.5" customHeight="1">
      <c r="A900" s="12"/>
      <c r="C900" s="12"/>
      <c r="D900" s="87"/>
      <c r="F900" s="14"/>
      <c r="G900" s="14"/>
      <c r="H900" s="14"/>
      <c r="I900" s="14"/>
      <c r="J900" s="14"/>
      <c r="K900" s="12"/>
    </row>
    <row r="901" ht="19.5" customHeight="1">
      <c r="A901" s="12"/>
      <c r="C901" s="12"/>
      <c r="D901" s="87"/>
      <c r="F901" s="14"/>
      <c r="G901" s="14"/>
      <c r="H901" s="14"/>
      <c r="I901" s="14"/>
      <c r="J901" s="14"/>
      <c r="K901" s="12"/>
    </row>
    <row r="902" ht="19.5" customHeight="1">
      <c r="A902" s="12"/>
      <c r="C902" s="12"/>
      <c r="D902" s="87"/>
      <c r="F902" s="14"/>
      <c r="G902" s="14"/>
      <c r="H902" s="14"/>
      <c r="I902" s="14"/>
      <c r="J902" s="14"/>
      <c r="K902" s="12"/>
    </row>
    <row r="903" ht="19.5" customHeight="1">
      <c r="A903" s="12"/>
      <c r="C903" s="12"/>
      <c r="D903" s="87"/>
      <c r="F903" s="14"/>
      <c r="G903" s="14"/>
      <c r="H903" s="14"/>
      <c r="I903" s="14"/>
      <c r="J903" s="14"/>
      <c r="K903" s="12"/>
    </row>
    <row r="904" ht="19.5" customHeight="1">
      <c r="A904" s="12"/>
      <c r="C904" s="12"/>
      <c r="D904" s="87"/>
      <c r="F904" s="14"/>
      <c r="G904" s="14"/>
      <c r="H904" s="14"/>
      <c r="I904" s="14"/>
      <c r="J904" s="14"/>
      <c r="K904" s="12"/>
    </row>
    <row r="905" ht="19.5" customHeight="1">
      <c r="A905" s="12"/>
      <c r="C905" s="12"/>
      <c r="D905" s="87"/>
      <c r="F905" s="14"/>
      <c r="G905" s="14"/>
      <c r="H905" s="14"/>
      <c r="I905" s="14"/>
      <c r="J905" s="14"/>
      <c r="K905" s="12"/>
    </row>
    <row r="906" ht="19.5" customHeight="1">
      <c r="A906" s="12"/>
      <c r="C906" s="12"/>
      <c r="D906" s="87"/>
      <c r="F906" s="14"/>
      <c r="G906" s="14"/>
      <c r="H906" s="14"/>
      <c r="I906" s="14"/>
      <c r="J906" s="14"/>
      <c r="K906" s="12"/>
    </row>
    <row r="907" ht="19.5" customHeight="1">
      <c r="A907" s="12"/>
      <c r="C907" s="12"/>
      <c r="D907" s="87"/>
      <c r="F907" s="14"/>
      <c r="G907" s="14"/>
      <c r="H907" s="14"/>
      <c r="I907" s="14"/>
      <c r="J907" s="14"/>
      <c r="K907" s="12"/>
    </row>
    <row r="908" ht="19.5" customHeight="1">
      <c r="A908" s="12"/>
      <c r="C908" s="12"/>
      <c r="D908" s="87"/>
      <c r="F908" s="14"/>
      <c r="G908" s="14"/>
      <c r="H908" s="14"/>
      <c r="I908" s="14"/>
      <c r="J908" s="14"/>
      <c r="K908" s="12"/>
    </row>
    <row r="909" ht="19.5" customHeight="1">
      <c r="A909" s="12"/>
      <c r="C909" s="12"/>
      <c r="D909" s="87"/>
      <c r="F909" s="14"/>
      <c r="G909" s="14"/>
      <c r="H909" s="14"/>
      <c r="I909" s="14"/>
      <c r="J909" s="14"/>
      <c r="K909" s="12"/>
    </row>
    <row r="910" ht="19.5" customHeight="1">
      <c r="A910" s="12"/>
      <c r="C910" s="12"/>
      <c r="D910" s="87"/>
      <c r="F910" s="14"/>
      <c r="G910" s="14"/>
      <c r="H910" s="14"/>
      <c r="I910" s="14"/>
      <c r="J910" s="14"/>
      <c r="K910" s="12"/>
    </row>
    <row r="911" ht="19.5" customHeight="1">
      <c r="A911" s="12"/>
      <c r="C911" s="12"/>
      <c r="D911" s="87"/>
      <c r="F911" s="14"/>
      <c r="G911" s="14"/>
      <c r="H911" s="14"/>
      <c r="I911" s="14"/>
      <c r="J911" s="14"/>
      <c r="K911" s="12"/>
    </row>
    <row r="912" ht="19.5" customHeight="1">
      <c r="A912" s="12"/>
      <c r="C912" s="12"/>
      <c r="D912" s="87"/>
      <c r="F912" s="14"/>
      <c r="G912" s="14"/>
      <c r="H912" s="14"/>
      <c r="I912" s="14"/>
      <c r="J912" s="14"/>
      <c r="K912" s="12"/>
    </row>
    <row r="913" ht="19.5" customHeight="1">
      <c r="A913" s="12"/>
      <c r="C913" s="12"/>
      <c r="D913" s="87"/>
      <c r="F913" s="14"/>
      <c r="G913" s="14"/>
      <c r="H913" s="14"/>
      <c r="I913" s="14"/>
      <c r="J913" s="14"/>
      <c r="K913" s="12"/>
    </row>
    <row r="914" ht="19.5" customHeight="1">
      <c r="A914" s="12"/>
      <c r="C914" s="12"/>
      <c r="D914" s="87"/>
      <c r="F914" s="14"/>
      <c r="G914" s="14"/>
      <c r="H914" s="14"/>
      <c r="I914" s="14"/>
      <c r="J914" s="14"/>
      <c r="K914" s="12"/>
    </row>
    <row r="915" ht="19.5" customHeight="1">
      <c r="A915" s="12"/>
      <c r="C915" s="12"/>
      <c r="D915" s="87"/>
      <c r="F915" s="14"/>
      <c r="G915" s="14"/>
      <c r="H915" s="14"/>
      <c r="I915" s="14"/>
      <c r="J915" s="14"/>
      <c r="K915" s="12"/>
    </row>
    <row r="916" ht="19.5" customHeight="1">
      <c r="A916" s="12"/>
      <c r="C916" s="12"/>
      <c r="D916" s="87"/>
      <c r="F916" s="14"/>
      <c r="G916" s="14"/>
      <c r="H916" s="14"/>
      <c r="I916" s="14"/>
      <c r="J916" s="14"/>
      <c r="K916" s="12"/>
    </row>
    <row r="917" ht="19.5" customHeight="1">
      <c r="A917" s="12"/>
      <c r="C917" s="12"/>
      <c r="D917" s="87"/>
      <c r="F917" s="14"/>
      <c r="G917" s="14"/>
      <c r="H917" s="14"/>
      <c r="I917" s="14"/>
      <c r="J917" s="14"/>
      <c r="K917" s="12"/>
    </row>
    <row r="918" ht="19.5" customHeight="1">
      <c r="A918" s="12"/>
      <c r="C918" s="12"/>
      <c r="D918" s="87"/>
      <c r="F918" s="14"/>
      <c r="G918" s="14"/>
      <c r="H918" s="14"/>
      <c r="I918" s="14"/>
      <c r="J918" s="14"/>
      <c r="K918" s="12"/>
    </row>
    <row r="919" ht="19.5" customHeight="1">
      <c r="A919" s="12"/>
      <c r="C919" s="12"/>
      <c r="D919" s="87"/>
      <c r="F919" s="14"/>
      <c r="G919" s="14"/>
      <c r="H919" s="14"/>
      <c r="I919" s="14"/>
      <c r="J919" s="14"/>
      <c r="K919" s="12"/>
    </row>
    <row r="920" ht="19.5" customHeight="1">
      <c r="A920" s="12"/>
      <c r="C920" s="12"/>
      <c r="D920" s="87"/>
      <c r="F920" s="14"/>
      <c r="G920" s="14"/>
      <c r="H920" s="14"/>
      <c r="I920" s="14"/>
      <c r="J920" s="14"/>
      <c r="K920" s="12"/>
    </row>
    <row r="921" ht="19.5" customHeight="1">
      <c r="A921" s="12"/>
      <c r="C921" s="12"/>
      <c r="D921" s="87"/>
      <c r="F921" s="14"/>
      <c r="G921" s="14"/>
      <c r="H921" s="14"/>
      <c r="I921" s="14"/>
      <c r="J921" s="14"/>
      <c r="K921" s="12"/>
    </row>
    <row r="922" ht="19.5" customHeight="1">
      <c r="A922" s="12"/>
      <c r="C922" s="12"/>
      <c r="D922" s="87"/>
      <c r="F922" s="14"/>
      <c r="G922" s="14"/>
      <c r="H922" s="14"/>
      <c r="I922" s="14"/>
      <c r="J922" s="14"/>
      <c r="K922" s="12"/>
    </row>
    <row r="923" ht="19.5" customHeight="1">
      <c r="A923" s="12"/>
      <c r="C923" s="12"/>
      <c r="D923" s="87"/>
      <c r="F923" s="14"/>
      <c r="G923" s="14"/>
      <c r="H923" s="14"/>
      <c r="I923" s="14"/>
      <c r="J923" s="14"/>
      <c r="K923" s="12"/>
    </row>
    <row r="924" ht="19.5" customHeight="1">
      <c r="A924" s="12"/>
      <c r="C924" s="12"/>
      <c r="D924" s="87"/>
      <c r="F924" s="14"/>
      <c r="G924" s="14"/>
      <c r="H924" s="14"/>
      <c r="I924" s="14"/>
      <c r="J924" s="14"/>
      <c r="K924" s="12"/>
    </row>
    <row r="925" ht="19.5" customHeight="1">
      <c r="A925" s="12"/>
      <c r="C925" s="12"/>
      <c r="D925" s="87"/>
      <c r="F925" s="14"/>
      <c r="G925" s="14"/>
      <c r="H925" s="14"/>
      <c r="I925" s="14"/>
      <c r="J925" s="14"/>
      <c r="K925" s="12"/>
    </row>
    <row r="926" ht="19.5" customHeight="1">
      <c r="A926" s="12"/>
      <c r="C926" s="12"/>
      <c r="D926" s="87"/>
      <c r="F926" s="14"/>
      <c r="G926" s="14"/>
      <c r="H926" s="14"/>
      <c r="I926" s="14"/>
      <c r="J926" s="14"/>
      <c r="K926" s="12"/>
    </row>
    <row r="927" ht="19.5" customHeight="1">
      <c r="A927" s="12"/>
      <c r="C927" s="12"/>
      <c r="D927" s="87"/>
      <c r="F927" s="14"/>
      <c r="G927" s="14"/>
      <c r="H927" s="14"/>
      <c r="I927" s="14"/>
      <c r="J927" s="14"/>
      <c r="K927" s="12"/>
    </row>
    <row r="928" ht="19.5" customHeight="1">
      <c r="A928" s="12"/>
      <c r="C928" s="12"/>
      <c r="D928" s="87"/>
      <c r="F928" s="14"/>
      <c r="G928" s="14"/>
      <c r="H928" s="14"/>
      <c r="I928" s="14"/>
      <c r="J928" s="14"/>
      <c r="K928" s="12"/>
    </row>
    <row r="929" ht="19.5" customHeight="1">
      <c r="A929" s="12"/>
      <c r="C929" s="12"/>
      <c r="D929" s="87"/>
      <c r="F929" s="14"/>
      <c r="G929" s="14"/>
      <c r="H929" s="14"/>
      <c r="I929" s="14"/>
      <c r="J929" s="14"/>
      <c r="K929" s="12"/>
    </row>
    <row r="930" ht="19.5" customHeight="1">
      <c r="A930" s="12"/>
      <c r="C930" s="12"/>
      <c r="D930" s="87"/>
      <c r="F930" s="14"/>
      <c r="G930" s="14"/>
      <c r="H930" s="14"/>
      <c r="I930" s="14"/>
      <c r="J930" s="14"/>
      <c r="K930" s="12"/>
    </row>
    <row r="931" ht="19.5" customHeight="1">
      <c r="A931" s="12"/>
      <c r="C931" s="12"/>
      <c r="D931" s="87"/>
      <c r="F931" s="14"/>
      <c r="G931" s="14"/>
      <c r="H931" s="14"/>
      <c r="I931" s="14"/>
      <c r="J931" s="14"/>
      <c r="K931" s="12"/>
    </row>
    <row r="932" ht="19.5" customHeight="1">
      <c r="A932" s="12"/>
      <c r="C932" s="12"/>
      <c r="D932" s="87"/>
      <c r="F932" s="14"/>
      <c r="G932" s="14"/>
      <c r="H932" s="14"/>
      <c r="I932" s="14"/>
      <c r="J932" s="14"/>
      <c r="K932" s="12"/>
    </row>
    <row r="933" ht="19.5" customHeight="1">
      <c r="A933" s="12"/>
      <c r="C933" s="12"/>
      <c r="D933" s="87"/>
      <c r="F933" s="14"/>
      <c r="G933" s="14"/>
      <c r="H933" s="14"/>
      <c r="I933" s="14"/>
      <c r="J933" s="14"/>
      <c r="K933" s="12"/>
    </row>
    <row r="934" ht="19.5" customHeight="1">
      <c r="A934" s="12"/>
      <c r="C934" s="12"/>
      <c r="D934" s="87"/>
      <c r="F934" s="14"/>
      <c r="G934" s="14"/>
      <c r="H934" s="14"/>
      <c r="I934" s="14"/>
      <c r="J934" s="14"/>
      <c r="K934" s="12"/>
    </row>
    <row r="935" ht="19.5" customHeight="1">
      <c r="A935" s="12"/>
      <c r="C935" s="12"/>
      <c r="D935" s="87"/>
      <c r="F935" s="14"/>
      <c r="G935" s="14"/>
      <c r="H935" s="14"/>
      <c r="I935" s="14"/>
      <c r="J935" s="14"/>
      <c r="K935" s="12"/>
    </row>
    <row r="936" ht="19.5" customHeight="1">
      <c r="A936" s="12"/>
      <c r="C936" s="12"/>
      <c r="D936" s="87"/>
      <c r="F936" s="14"/>
      <c r="G936" s="14"/>
      <c r="H936" s="14"/>
      <c r="I936" s="14"/>
      <c r="J936" s="14"/>
      <c r="K936" s="12"/>
    </row>
    <row r="937" ht="19.5" customHeight="1">
      <c r="A937" s="12"/>
      <c r="C937" s="12"/>
      <c r="D937" s="87"/>
      <c r="F937" s="14"/>
      <c r="G937" s="14"/>
      <c r="H937" s="14"/>
      <c r="I937" s="14"/>
      <c r="J937" s="14"/>
      <c r="K937" s="12"/>
    </row>
    <row r="938" ht="19.5" customHeight="1">
      <c r="A938" s="12"/>
      <c r="C938" s="12"/>
      <c r="D938" s="87"/>
      <c r="F938" s="14"/>
      <c r="G938" s="14"/>
      <c r="H938" s="14"/>
      <c r="I938" s="14"/>
      <c r="J938" s="14"/>
      <c r="K938" s="12"/>
    </row>
    <row r="939" ht="19.5" customHeight="1">
      <c r="A939" s="12"/>
      <c r="C939" s="12"/>
      <c r="D939" s="87"/>
      <c r="F939" s="14"/>
      <c r="G939" s="14"/>
      <c r="H939" s="14"/>
      <c r="I939" s="14"/>
      <c r="J939" s="14"/>
      <c r="K939" s="12"/>
    </row>
    <row r="940" ht="19.5" customHeight="1">
      <c r="A940" s="12"/>
      <c r="C940" s="12"/>
      <c r="D940" s="87"/>
      <c r="F940" s="14"/>
      <c r="G940" s="14"/>
      <c r="H940" s="14"/>
      <c r="I940" s="14"/>
      <c r="J940" s="14"/>
      <c r="K940" s="12"/>
    </row>
    <row r="941" ht="19.5" customHeight="1">
      <c r="A941" s="12"/>
      <c r="C941" s="12"/>
      <c r="D941" s="87"/>
      <c r="F941" s="14"/>
      <c r="G941" s="14"/>
      <c r="H941" s="14"/>
      <c r="I941" s="14"/>
      <c r="J941" s="14"/>
      <c r="K941" s="12"/>
    </row>
    <row r="942" ht="19.5" customHeight="1">
      <c r="A942" s="12"/>
      <c r="C942" s="12"/>
      <c r="D942" s="87"/>
      <c r="F942" s="14"/>
      <c r="G942" s="14"/>
      <c r="H942" s="14"/>
      <c r="I942" s="14"/>
      <c r="J942" s="14"/>
      <c r="K942" s="12"/>
    </row>
    <row r="943" ht="19.5" customHeight="1">
      <c r="A943" s="12"/>
      <c r="C943" s="12"/>
      <c r="D943" s="87"/>
      <c r="F943" s="14"/>
      <c r="G943" s="14"/>
      <c r="H943" s="14"/>
      <c r="I943" s="14"/>
      <c r="J943" s="14"/>
      <c r="K943" s="12"/>
    </row>
    <row r="944" ht="19.5" customHeight="1">
      <c r="A944" s="12"/>
      <c r="C944" s="12"/>
      <c r="D944" s="87"/>
      <c r="F944" s="14"/>
      <c r="G944" s="14"/>
      <c r="H944" s="14"/>
      <c r="I944" s="14"/>
      <c r="J944" s="14"/>
      <c r="K944" s="12"/>
    </row>
    <row r="945" ht="19.5" customHeight="1">
      <c r="A945" s="12"/>
      <c r="C945" s="12"/>
      <c r="D945" s="87"/>
      <c r="F945" s="14"/>
      <c r="G945" s="14"/>
      <c r="H945" s="14"/>
      <c r="I945" s="14"/>
      <c r="J945" s="14"/>
      <c r="K945" s="12"/>
    </row>
    <row r="946" ht="19.5" customHeight="1">
      <c r="A946" s="12"/>
      <c r="C946" s="12"/>
      <c r="D946" s="87"/>
      <c r="F946" s="14"/>
      <c r="G946" s="14"/>
      <c r="H946" s="14"/>
      <c r="I946" s="14"/>
      <c r="J946" s="14"/>
      <c r="K946" s="12"/>
    </row>
    <row r="947" ht="19.5" customHeight="1">
      <c r="A947" s="12"/>
      <c r="C947" s="12"/>
      <c r="D947" s="87"/>
      <c r="F947" s="14"/>
      <c r="G947" s="14"/>
      <c r="H947" s="14"/>
      <c r="I947" s="14"/>
      <c r="J947" s="14"/>
      <c r="K947" s="12"/>
    </row>
    <row r="948" ht="19.5" customHeight="1">
      <c r="A948" s="12"/>
      <c r="C948" s="12"/>
      <c r="D948" s="87"/>
      <c r="F948" s="14"/>
      <c r="G948" s="14"/>
      <c r="H948" s="14"/>
      <c r="I948" s="14"/>
      <c r="J948" s="14"/>
      <c r="K948" s="12"/>
    </row>
    <row r="949" ht="19.5" customHeight="1">
      <c r="A949" s="12"/>
      <c r="C949" s="12"/>
      <c r="D949" s="87"/>
      <c r="F949" s="14"/>
      <c r="G949" s="14"/>
      <c r="H949" s="14"/>
      <c r="I949" s="14"/>
      <c r="J949" s="14"/>
      <c r="K949" s="12"/>
    </row>
    <row r="950" ht="19.5" customHeight="1">
      <c r="A950" s="12"/>
      <c r="C950" s="12"/>
      <c r="D950" s="87"/>
      <c r="F950" s="14"/>
      <c r="G950" s="14"/>
      <c r="H950" s="14"/>
      <c r="I950" s="14"/>
      <c r="J950" s="14"/>
      <c r="K950" s="12"/>
    </row>
    <row r="951" ht="19.5" customHeight="1">
      <c r="A951" s="12"/>
      <c r="C951" s="12"/>
      <c r="D951" s="87"/>
      <c r="F951" s="14"/>
      <c r="G951" s="14"/>
      <c r="H951" s="14"/>
      <c r="I951" s="14"/>
      <c r="J951" s="14"/>
      <c r="K951" s="12"/>
    </row>
    <row r="952" ht="19.5" customHeight="1">
      <c r="A952" s="12"/>
      <c r="C952" s="12"/>
      <c r="D952" s="87"/>
      <c r="F952" s="14"/>
      <c r="G952" s="14"/>
      <c r="H952" s="14"/>
      <c r="I952" s="14"/>
      <c r="J952" s="14"/>
      <c r="K952" s="12"/>
    </row>
    <row r="953" ht="19.5" customHeight="1">
      <c r="A953" s="12"/>
      <c r="C953" s="12"/>
      <c r="D953" s="87"/>
      <c r="F953" s="14"/>
      <c r="G953" s="14"/>
      <c r="H953" s="14"/>
      <c r="I953" s="14"/>
      <c r="J953" s="14"/>
      <c r="K953" s="12"/>
    </row>
    <row r="954" ht="19.5" customHeight="1">
      <c r="A954" s="12"/>
      <c r="C954" s="12"/>
      <c r="D954" s="87"/>
      <c r="F954" s="14"/>
      <c r="G954" s="14"/>
      <c r="H954" s="14"/>
      <c r="I954" s="14"/>
      <c r="J954" s="14"/>
      <c r="K954" s="12"/>
    </row>
    <row r="955" ht="19.5" customHeight="1">
      <c r="A955" s="12"/>
      <c r="C955" s="12"/>
      <c r="D955" s="87"/>
      <c r="F955" s="14"/>
      <c r="G955" s="14"/>
      <c r="H955" s="14"/>
      <c r="I955" s="14"/>
      <c r="J955" s="14"/>
      <c r="K955" s="12"/>
    </row>
    <row r="956" ht="19.5" customHeight="1">
      <c r="A956" s="12"/>
      <c r="C956" s="12"/>
      <c r="D956" s="87"/>
      <c r="F956" s="14"/>
      <c r="G956" s="14"/>
      <c r="H956" s="14"/>
      <c r="I956" s="14"/>
      <c r="J956" s="14"/>
      <c r="K956" s="12"/>
    </row>
    <row r="957" ht="19.5" customHeight="1">
      <c r="A957" s="12"/>
      <c r="C957" s="12"/>
      <c r="D957" s="87"/>
      <c r="F957" s="14"/>
      <c r="G957" s="14"/>
      <c r="H957" s="14"/>
      <c r="I957" s="14"/>
      <c r="J957" s="14"/>
      <c r="K957" s="12"/>
    </row>
    <row r="958" ht="19.5" customHeight="1">
      <c r="A958" s="12"/>
      <c r="C958" s="12"/>
      <c r="D958" s="87"/>
      <c r="F958" s="14"/>
      <c r="G958" s="14"/>
      <c r="H958" s="14"/>
      <c r="I958" s="14"/>
      <c r="J958" s="14"/>
      <c r="K958" s="12"/>
    </row>
    <row r="959" ht="19.5" customHeight="1">
      <c r="A959" s="12"/>
      <c r="C959" s="12"/>
      <c r="D959" s="87"/>
      <c r="F959" s="14"/>
      <c r="G959" s="14"/>
      <c r="H959" s="14"/>
      <c r="I959" s="14"/>
      <c r="J959" s="14"/>
      <c r="K959" s="12"/>
    </row>
    <row r="960" ht="19.5" customHeight="1">
      <c r="A960" s="12"/>
      <c r="C960" s="12"/>
      <c r="D960" s="87"/>
      <c r="F960" s="14"/>
      <c r="G960" s="14"/>
      <c r="H960" s="14"/>
      <c r="I960" s="14"/>
      <c r="J960" s="14"/>
      <c r="K960" s="12"/>
    </row>
    <row r="961" ht="19.5" customHeight="1">
      <c r="A961" s="12"/>
      <c r="C961" s="12"/>
      <c r="D961" s="87"/>
      <c r="F961" s="14"/>
      <c r="G961" s="14"/>
      <c r="H961" s="14"/>
      <c r="I961" s="14"/>
      <c r="J961" s="14"/>
      <c r="K961" s="12"/>
    </row>
    <row r="962" ht="19.5" customHeight="1">
      <c r="A962" s="12"/>
      <c r="C962" s="12"/>
      <c r="D962" s="87"/>
      <c r="F962" s="14"/>
      <c r="G962" s="14"/>
      <c r="H962" s="14"/>
      <c r="I962" s="14"/>
      <c r="J962" s="14"/>
      <c r="K962" s="12"/>
    </row>
    <row r="963" ht="19.5" customHeight="1">
      <c r="A963" s="12"/>
      <c r="C963" s="12"/>
      <c r="D963" s="87"/>
      <c r="F963" s="14"/>
      <c r="G963" s="14"/>
      <c r="H963" s="14"/>
      <c r="I963" s="14"/>
      <c r="J963" s="14"/>
      <c r="K963" s="12"/>
    </row>
    <row r="964" ht="19.5" customHeight="1">
      <c r="A964" s="12"/>
      <c r="C964" s="12"/>
      <c r="D964" s="87"/>
      <c r="F964" s="14"/>
      <c r="G964" s="14"/>
      <c r="H964" s="14"/>
      <c r="I964" s="14"/>
      <c r="J964" s="14"/>
      <c r="K964" s="12"/>
    </row>
    <row r="965" ht="19.5" customHeight="1">
      <c r="A965" s="12"/>
      <c r="C965" s="12"/>
      <c r="D965" s="87"/>
      <c r="F965" s="14"/>
      <c r="G965" s="14"/>
      <c r="H965" s="14"/>
      <c r="I965" s="14"/>
      <c r="J965" s="14"/>
      <c r="K965" s="12"/>
    </row>
    <row r="966" ht="19.5" customHeight="1">
      <c r="A966" s="12"/>
      <c r="C966" s="12"/>
      <c r="D966" s="87"/>
      <c r="F966" s="14"/>
      <c r="G966" s="14"/>
      <c r="H966" s="14"/>
      <c r="I966" s="14"/>
      <c r="J966" s="14"/>
      <c r="K966" s="12"/>
    </row>
    <row r="967" ht="19.5" customHeight="1">
      <c r="A967" s="12"/>
      <c r="C967" s="12"/>
      <c r="D967" s="87"/>
      <c r="F967" s="14"/>
      <c r="G967" s="14"/>
      <c r="H967" s="14"/>
      <c r="I967" s="14"/>
      <c r="J967" s="14"/>
      <c r="K967" s="12"/>
    </row>
    <row r="968" ht="19.5" customHeight="1">
      <c r="A968" s="12"/>
      <c r="C968" s="12"/>
      <c r="D968" s="87"/>
      <c r="F968" s="14"/>
      <c r="G968" s="14"/>
      <c r="H968" s="14"/>
      <c r="I968" s="14"/>
      <c r="J968" s="14"/>
      <c r="K968" s="12"/>
    </row>
    <row r="969" ht="19.5" customHeight="1">
      <c r="A969" s="12"/>
      <c r="C969" s="12"/>
      <c r="D969" s="87"/>
      <c r="F969" s="14"/>
      <c r="G969" s="14"/>
      <c r="H969" s="14"/>
      <c r="I969" s="14"/>
      <c r="J969" s="14"/>
      <c r="K969" s="12"/>
    </row>
    <row r="970" ht="19.5" customHeight="1">
      <c r="A970" s="12"/>
      <c r="C970" s="12"/>
      <c r="D970" s="87"/>
      <c r="F970" s="14"/>
      <c r="G970" s="14"/>
      <c r="H970" s="14"/>
      <c r="I970" s="14"/>
      <c r="J970" s="14"/>
      <c r="K970" s="12"/>
    </row>
    <row r="971" ht="19.5" customHeight="1">
      <c r="A971" s="12"/>
      <c r="C971" s="12"/>
      <c r="D971" s="87"/>
      <c r="F971" s="14"/>
      <c r="G971" s="14"/>
      <c r="H971" s="14"/>
      <c r="I971" s="14"/>
      <c r="J971" s="14"/>
      <c r="K971" s="12"/>
    </row>
    <row r="972" ht="19.5" customHeight="1">
      <c r="A972" s="12"/>
      <c r="C972" s="12"/>
      <c r="D972" s="87"/>
      <c r="F972" s="14"/>
      <c r="G972" s="14"/>
      <c r="H972" s="14"/>
      <c r="I972" s="14"/>
      <c r="J972" s="14"/>
      <c r="K972" s="12"/>
    </row>
    <row r="973" ht="19.5" customHeight="1">
      <c r="A973" s="12"/>
      <c r="C973" s="12"/>
      <c r="D973" s="87"/>
      <c r="F973" s="14"/>
      <c r="G973" s="14"/>
      <c r="H973" s="14"/>
      <c r="I973" s="14"/>
      <c r="J973" s="14"/>
      <c r="K973" s="12"/>
    </row>
    <row r="974" ht="19.5" customHeight="1">
      <c r="A974" s="12"/>
      <c r="C974" s="12"/>
      <c r="D974" s="87"/>
      <c r="F974" s="14"/>
      <c r="G974" s="14"/>
      <c r="H974" s="14"/>
      <c r="I974" s="14"/>
      <c r="J974" s="14"/>
      <c r="K974" s="12"/>
    </row>
    <row r="975" ht="19.5" customHeight="1">
      <c r="A975" s="12"/>
      <c r="C975" s="12"/>
      <c r="D975" s="87"/>
      <c r="F975" s="14"/>
      <c r="G975" s="14"/>
      <c r="H975" s="14"/>
      <c r="I975" s="14"/>
      <c r="J975" s="14"/>
      <c r="K975" s="12"/>
    </row>
    <row r="976" ht="19.5" customHeight="1">
      <c r="A976" s="12"/>
      <c r="C976" s="12"/>
      <c r="D976" s="87"/>
      <c r="F976" s="14"/>
      <c r="G976" s="14"/>
      <c r="H976" s="14"/>
      <c r="I976" s="14"/>
      <c r="J976" s="14"/>
      <c r="K976" s="12"/>
    </row>
    <row r="977" ht="19.5" customHeight="1">
      <c r="A977" s="12"/>
      <c r="C977" s="12"/>
      <c r="D977" s="87"/>
      <c r="F977" s="14"/>
      <c r="G977" s="14"/>
      <c r="H977" s="14"/>
      <c r="I977" s="14"/>
      <c r="J977" s="14"/>
      <c r="K977" s="12"/>
    </row>
    <row r="978" ht="19.5" customHeight="1">
      <c r="A978" s="12"/>
      <c r="C978" s="12"/>
      <c r="D978" s="87"/>
      <c r="F978" s="14"/>
      <c r="G978" s="14"/>
      <c r="H978" s="14"/>
      <c r="I978" s="14"/>
      <c r="J978" s="14"/>
      <c r="K978" s="12"/>
    </row>
    <row r="979" ht="19.5" customHeight="1">
      <c r="A979" s="12"/>
      <c r="C979" s="12"/>
      <c r="D979" s="87"/>
      <c r="F979" s="14"/>
      <c r="G979" s="14"/>
      <c r="H979" s="14"/>
      <c r="I979" s="14"/>
      <c r="J979" s="14"/>
      <c r="K979" s="12"/>
    </row>
    <row r="980" ht="19.5" customHeight="1">
      <c r="A980" s="12"/>
      <c r="C980" s="12"/>
      <c r="D980" s="87"/>
      <c r="F980" s="14"/>
      <c r="G980" s="14"/>
      <c r="H980" s="14"/>
      <c r="I980" s="14"/>
      <c r="J980" s="14"/>
      <c r="K980" s="12"/>
    </row>
    <row r="981" ht="19.5" customHeight="1">
      <c r="A981" s="12"/>
      <c r="C981" s="12"/>
      <c r="D981" s="87"/>
      <c r="F981" s="14"/>
      <c r="G981" s="14"/>
      <c r="H981" s="14"/>
      <c r="I981" s="14"/>
      <c r="J981" s="14"/>
      <c r="K981" s="12"/>
    </row>
    <row r="982" ht="19.5" customHeight="1">
      <c r="A982" s="12"/>
      <c r="C982" s="12"/>
      <c r="D982" s="87"/>
      <c r="F982" s="14"/>
      <c r="G982" s="14"/>
      <c r="H982" s="14"/>
      <c r="I982" s="14"/>
      <c r="J982" s="14"/>
      <c r="K982" s="12"/>
    </row>
    <row r="983" ht="19.5" customHeight="1">
      <c r="A983" s="12"/>
      <c r="C983" s="12"/>
      <c r="D983" s="87"/>
      <c r="F983" s="14"/>
      <c r="G983" s="14"/>
      <c r="H983" s="14"/>
      <c r="I983" s="14"/>
      <c r="J983" s="14"/>
      <c r="K983" s="12"/>
    </row>
    <row r="984" ht="19.5" customHeight="1">
      <c r="A984" s="12"/>
      <c r="C984" s="12"/>
      <c r="D984" s="87"/>
      <c r="F984" s="14"/>
      <c r="G984" s="14"/>
      <c r="H984" s="14"/>
      <c r="I984" s="14"/>
      <c r="J984" s="14"/>
      <c r="K984" s="12"/>
    </row>
    <row r="985" ht="19.5" customHeight="1">
      <c r="A985" s="12"/>
      <c r="C985" s="12"/>
      <c r="D985" s="87"/>
      <c r="F985" s="14"/>
      <c r="G985" s="14"/>
      <c r="H985" s="14"/>
      <c r="I985" s="14"/>
      <c r="J985" s="14"/>
      <c r="K985" s="12"/>
    </row>
    <row r="986" ht="19.5" customHeight="1">
      <c r="A986" s="12"/>
      <c r="C986" s="12"/>
      <c r="D986" s="87"/>
      <c r="F986" s="14"/>
      <c r="G986" s="14"/>
      <c r="H986" s="14"/>
      <c r="I986" s="14"/>
      <c r="J986" s="14"/>
      <c r="K986" s="12"/>
    </row>
    <row r="987" ht="19.5" customHeight="1">
      <c r="A987" s="12"/>
      <c r="C987" s="12"/>
      <c r="D987" s="87"/>
      <c r="F987" s="14"/>
      <c r="G987" s="14"/>
      <c r="H987" s="14"/>
      <c r="I987" s="14"/>
      <c r="J987" s="14"/>
      <c r="K987" s="12"/>
    </row>
    <row r="988" ht="19.5" customHeight="1">
      <c r="A988" s="12"/>
      <c r="C988" s="12"/>
      <c r="D988" s="87"/>
      <c r="F988" s="14"/>
      <c r="G988" s="14"/>
      <c r="H988" s="14"/>
      <c r="I988" s="14"/>
      <c r="J988" s="14"/>
      <c r="K988" s="12"/>
    </row>
    <row r="989" ht="19.5" customHeight="1">
      <c r="A989" s="12"/>
      <c r="C989" s="12"/>
      <c r="D989" s="87"/>
      <c r="F989" s="14"/>
      <c r="G989" s="14"/>
      <c r="H989" s="14"/>
      <c r="I989" s="14"/>
      <c r="J989" s="14"/>
      <c r="K989" s="12"/>
    </row>
    <row r="990" ht="19.5" customHeight="1">
      <c r="A990" s="12"/>
      <c r="C990" s="12"/>
      <c r="D990" s="87"/>
      <c r="F990" s="14"/>
      <c r="G990" s="14"/>
      <c r="H990" s="14"/>
      <c r="I990" s="14"/>
      <c r="J990" s="14"/>
      <c r="K990" s="12"/>
    </row>
    <row r="991" ht="19.5" customHeight="1">
      <c r="A991" s="12"/>
      <c r="C991" s="12"/>
      <c r="D991" s="87"/>
      <c r="F991" s="14"/>
      <c r="G991" s="14"/>
      <c r="H991" s="14"/>
      <c r="I991" s="14"/>
      <c r="J991" s="14"/>
      <c r="K991" s="12"/>
    </row>
    <row r="992" ht="19.5" customHeight="1">
      <c r="A992" s="12"/>
      <c r="C992" s="12"/>
      <c r="D992" s="87"/>
      <c r="F992" s="14"/>
      <c r="G992" s="14"/>
      <c r="H992" s="14"/>
      <c r="I992" s="14"/>
      <c r="J992" s="14"/>
      <c r="K992" s="12"/>
    </row>
    <row r="993" ht="19.5" customHeight="1">
      <c r="A993" s="12"/>
      <c r="C993" s="12"/>
      <c r="D993" s="87"/>
      <c r="F993" s="14"/>
      <c r="G993" s="14"/>
      <c r="H993" s="14"/>
      <c r="I993" s="14"/>
      <c r="J993" s="14"/>
      <c r="K993" s="12"/>
    </row>
    <row r="994" ht="19.5" customHeight="1">
      <c r="A994" s="12"/>
      <c r="C994" s="12"/>
      <c r="D994" s="87"/>
      <c r="F994" s="14"/>
      <c r="G994" s="14"/>
      <c r="H994" s="14"/>
      <c r="I994" s="14"/>
      <c r="J994" s="14"/>
      <c r="K994" s="12"/>
    </row>
    <row r="995" ht="19.5" customHeight="1">
      <c r="A995" s="12"/>
      <c r="C995" s="12"/>
      <c r="D995" s="87"/>
      <c r="F995" s="14"/>
      <c r="G995" s="14"/>
      <c r="H995" s="14"/>
      <c r="I995" s="14"/>
      <c r="J995" s="14"/>
      <c r="K995" s="12"/>
    </row>
    <row r="996" ht="19.5" customHeight="1">
      <c r="A996" s="12"/>
      <c r="C996" s="12"/>
      <c r="D996" s="87"/>
      <c r="F996" s="14"/>
      <c r="G996" s="14"/>
      <c r="H996" s="14"/>
      <c r="I996" s="14"/>
      <c r="J996" s="14"/>
      <c r="K996" s="12"/>
    </row>
    <row r="997" ht="19.5" customHeight="1">
      <c r="A997" s="12"/>
      <c r="C997" s="12"/>
      <c r="D997" s="87"/>
      <c r="F997" s="14"/>
      <c r="G997" s="14"/>
      <c r="H997" s="14"/>
      <c r="I997" s="14"/>
      <c r="J997" s="14"/>
      <c r="K997" s="12"/>
    </row>
    <row r="998" ht="19.5" customHeight="1">
      <c r="A998" s="12"/>
      <c r="C998" s="12"/>
      <c r="D998" s="87"/>
      <c r="F998" s="14"/>
      <c r="G998" s="14"/>
      <c r="H998" s="14"/>
      <c r="I998" s="14"/>
      <c r="J998" s="14"/>
      <c r="K998" s="12"/>
    </row>
    <row r="999" ht="19.5" customHeight="1">
      <c r="A999" s="12"/>
      <c r="C999" s="12"/>
      <c r="D999" s="87"/>
      <c r="F999" s="14"/>
      <c r="G999" s="14"/>
      <c r="H999" s="14"/>
      <c r="I999" s="14"/>
      <c r="J999" s="14"/>
      <c r="K999" s="12"/>
    </row>
    <row r="1000" ht="19.5" customHeight="1">
      <c r="A1000" s="12"/>
      <c r="C1000" s="12"/>
      <c r="D1000" s="87"/>
      <c r="F1000" s="14"/>
      <c r="G1000" s="14"/>
      <c r="H1000" s="14"/>
      <c r="I1000" s="14"/>
      <c r="J1000" s="14"/>
      <c r="K1000" s="12"/>
    </row>
  </sheetData>
  <mergeCells count="11">
    <mergeCell ref="E9:G9"/>
    <mergeCell ref="J9:J10"/>
    <mergeCell ref="K53:K55"/>
    <mergeCell ref="A6:K6"/>
    <mergeCell ref="A7:K7"/>
    <mergeCell ref="A8:K8"/>
    <mergeCell ref="A9:A10"/>
    <mergeCell ref="B9:B10"/>
    <mergeCell ref="C9:C10"/>
    <mergeCell ref="D9:D10"/>
    <mergeCell ref="K9:K10"/>
  </mergeCells>
  <printOptions/>
  <pageMargins bottom="0.787401575" footer="0.0" header="0.0" left="0.511811024" right="0.511811024" top="0.787401575"/>
  <pageSetup paperSize="9" scale="60" orientation="landscape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/>
  </sheetPr>
  <sheetViews>
    <sheetView workbookViewId="0"/>
  </sheetViews>
  <sheetFormatPr customHeight="1" defaultColWidth="12.63" defaultRowHeight="15.0"/>
  <cols>
    <col customWidth="1" min="1" max="1" width="16.5"/>
    <col customWidth="1" min="2" max="2" width="54.5"/>
    <col customWidth="1" min="3" max="3" width="9.13"/>
    <col customWidth="1" min="4" max="4" width="16.25"/>
    <col customWidth="1" min="5" max="5" width="19.13"/>
    <col customWidth="1" min="6" max="6" width="17.75"/>
    <col customWidth="1" min="7" max="7" width="21.88"/>
    <col customWidth="1" min="8" max="8" width="20.13"/>
    <col customWidth="1" min="9" max="9" width="16.13"/>
    <col customWidth="1" min="10" max="10" width="18.25"/>
    <col customWidth="1" min="11" max="11" width="32.38"/>
    <col customWidth="1" min="12" max="26" width="8.63"/>
  </cols>
  <sheetData>
    <row r="1" ht="19.5" customHeight="1">
      <c r="A1" s="4"/>
      <c r="B1" s="5"/>
      <c r="C1" s="6"/>
      <c r="D1" s="86"/>
      <c r="E1" s="5"/>
      <c r="F1" s="8"/>
      <c r="G1" s="8"/>
      <c r="H1" s="8"/>
      <c r="I1" s="8"/>
      <c r="J1" s="8"/>
      <c r="K1" s="9"/>
    </row>
    <row r="2" ht="19.5" customHeight="1">
      <c r="A2" s="10" t="s">
        <v>83</v>
      </c>
      <c r="B2" s="11" t="s">
        <v>84</v>
      </c>
      <c r="C2" s="12"/>
      <c r="D2" s="87"/>
      <c r="F2" s="14"/>
      <c r="G2" s="14"/>
      <c r="H2" s="14"/>
      <c r="I2" s="14"/>
      <c r="J2" s="17" t="s">
        <v>144</v>
      </c>
      <c r="K2" s="18"/>
    </row>
    <row r="3" ht="19.5" customHeight="1">
      <c r="A3" s="10" t="s">
        <v>86</v>
      </c>
      <c r="B3" s="11" t="s">
        <v>87</v>
      </c>
      <c r="C3" s="12"/>
      <c r="D3" s="87"/>
      <c r="F3" s="14"/>
      <c r="G3" s="14"/>
      <c r="H3" s="14"/>
      <c r="I3" s="14"/>
      <c r="J3" s="14"/>
      <c r="K3" s="18"/>
    </row>
    <row r="4" ht="19.5" customHeight="1">
      <c r="A4" s="19"/>
      <c r="C4" s="12"/>
      <c r="D4" s="87"/>
      <c r="F4" s="14"/>
      <c r="G4" s="14"/>
      <c r="H4" s="14"/>
      <c r="I4" s="14"/>
      <c r="J4" s="14"/>
      <c r="K4" s="18"/>
    </row>
    <row r="5" ht="19.5" customHeight="1">
      <c r="A5" s="19"/>
      <c r="C5" s="12"/>
      <c r="D5" s="87"/>
      <c r="F5" s="14"/>
      <c r="G5" s="14"/>
      <c r="H5" s="14"/>
      <c r="I5" s="14"/>
      <c r="J5" s="14"/>
      <c r="K5" s="18"/>
    </row>
    <row r="6" ht="200.25" customHeight="1">
      <c r="A6" s="20" t="s">
        <v>1353</v>
      </c>
      <c r="K6" s="21"/>
    </row>
    <row r="7" ht="64.5" customHeight="1">
      <c r="A7" s="22" t="s">
        <v>1354</v>
      </c>
      <c r="K7" s="21"/>
    </row>
    <row r="8" ht="37.5" customHeight="1">
      <c r="A8" s="88" t="s">
        <v>90</v>
      </c>
      <c r="B8" s="24"/>
      <c r="C8" s="24"/>
      <c r="D8" s="24"/>
      <c r="E8" s="24"/>
      <c r="F8" s="24"/>
      <c r="G8" s="24"/>
      <c r="H8" s="24"/>
      <c r="I8" s="24"/>
      <c r="J8" s="24"/>
      <c r="K8" s="25"/>
    </row>
    <row r="9" ht="19.5" customHeight="1">
      <c r="A9" s="26" t="s">
        <v>1</v>
      </c>
      <c r="B9" s="26" t="s">
        <v>91</v>
      </c>
      <c r="C9" s="26" t="s">
        <v>92</v>
      </c>
      <c r="D9" s="31" t="s">
        <v>93</v>
      </c>
      <c r="E9" s="27" t="s">
        <v>94</v>
      </c>
      <c r="F9" s="28"/>
      <c r="G9" s="29"/>
      <c r="H9" s="30"/>
      <c r="I9" s="30"/>
      <c r="J9" s="31" t="s">
        <v>95</v>
      </c>
      <c r="K9" s="26" t="s">
        <v>96</v>
      </c>
    </row>
    <row r="10" ht="19.5" customHeight="1">
      <c r="A10" s="32"/>
      <c r="B10" s="32"/>
      <c r="C10" s="32"/>
      <c r="D10" s="32"/>
      <c r="E10" s="33" t="s">
        <v>97</v>
      </c>
      <c r="F10" s="34" t="s">
        <v>121</v>
      </c>
      <c r="G10" s="34" t="s">
        <v>99</v>
      </c>
      <c r="H10" s="35" t="s">
        <v>100</v>
      </c>
      <c r="I10" s="35" t="s">
        <v>101</v>
      </c>
      <c r="J10" s="32"/>
      <c r="K10" s="32"/>
    </row>
    <row r="11" ht="19.5" customHeight="1">
      <c r="A11" s="126">
        <v>1.0</v>
      </c>
      <c r="B11" s="37" t="s">
        <v>147</v>
      </c>
      <c r="C11" s="46" t="s">
        <v>148</v>
      </c>
      <c r="D11" s="78">
        <v>6.0</v>
      </c>
      <c r="E11" s="37">
        <v>2.0</v>
      </c>
      <c r="F11" s="40">
        <v>1.2</v>
      </c>
      <c r="G11" s="40">
        <v>1.2</v>
      </c>
      <c r="H11" s="40">
        <f>G11*F11*E11*D11</f>
        <v>17.28</v>
      </c>
      <c r="I11" s="42"/>
      <c r="J11" s="43">
        <f>H11-I11</f>
        <v>17.28</v>
      </c>
      <c r="K11" s="46"/>
    </row>
    <row r="12" ht="19.5" customHeight="1">
      <c r="A12" s="74" t="s">
        <v>1</v>
      </c>
      <c r="B12" s="74" t="s">
        <v>91</v>
      </c>
      <c r="C12" s="74" t="s">
        <v>92</v>
      </c>
      <c r="D12" s="76" t="s">
        <v>93</v>
      </c>
      <c r="E12" s="50" t="s">
        <v>97</v>
      </c>
      <c r="F12" s="53" t="s">
        <v>121</v>
      </c>
      <c r="G12" s="53" t="s">
        <v>99</v>
      </c>
      <c r="H12" s="75" t="s">
        <v>100</v>
      </c>
      <c r="I12" s="75" t="s">
        <v>101</v>
      </c>
      <c r="J12" s="76" t="s">
        <v>95</v>
      </c>
      <c r="K12" s="74" t="s">
        <v>96</v>
      </c>
    </row>
    <row r="13" ht="19.5" customHeight="1">
      <c r="A13" s="126">
        <v>1.0</v>
      </c>
      <c r="B13" s="37" t="s">
        <v>150</v>
      </c>
      <c r="C13" s="46" t="s">
        <v>148</v>
      </c>
      <c r="D13" s="78">
        <v>2.0</v>
      </c>
      <c r="E13" s="37"/>
      <c r="F13" s="40">
        <v>4.5</v>
      </c>
      <c r="G13" s="40">
        <v>4.5</v>
      </c>
      <c r="H13" s="40">
        <f>(G13+F13)*D13</f>
        <v>18</v>
      </c>
      <c r="I13" s="42"/>
      <c r="J13" s="64">
        <f>H13</f>
        <v>18</v>
      </c>
      <c r="K13" s="46"/>
    </row>
    <row r="14" ht="19.5" customHeight="1">
      <c r="A14" s="74" t="s">
        <v>1</v>
      </c>
      <c r="B14" s="74" t="s">
        <v>91</v>
      </c>
      <c r="C14" s="74" t="s">
        <v>92</v>
      </c>
      <c r="D14" s="76" t="s">
        <v>93</v>
      </c>
      <c r="E14" s="50" t="s">
        <v>97</v>
      </c>
      <c r="F14" s="53" t="s">
        <v>121</v>
      </c>
      <c r="G14" s="53" t="s">
        <v>99</v>
      </c>
      <c r="H14" s="75" t="s">
        <v>100</v>
      </c>
      <c r="I14" s="75" t="s">
        <v>101</v>
      </c>
      <c r="J14" s="76" t="s">
        <v>95</v>
      </c>
      <c r="K14" s="74" t="s">
        <v>96</v>
      </c>
    </row>
    <row r="15" ht="19.5" customHeight="1">
      <c r="A15" s="150">
        <v>1.0</v>
      </c>
      <c r="B15" s="37" t="s">
        <v>332</v>
      </c>
      <c r="C15" s="46" t="s">
        <v>148</v>
      </c>
      <c r="D15" s="78">
        <f>D11</f>
        <v>6</v>
      </c>
      <c r="E15" s="37"/>
      <c r="F15" s="40">
        <f t="shared" ref="F15:G15" si="1">F11</f>
        <v>1.2</v>
      </c>
      <c r="G15" s="40">
        <f t="shared" si="1"/>
        <v>1.2</v>
      </c>
      <c r="H15" s="40">
        <f>G15*F15*D15</f>
        <v>8.64</v>
      </c>
      <c r="I15" s="42"/>
      <c r="J15" s="64">
        <f>H15</f>
        <v>8.64</v>
      </c>
      <c r="K15" s="46"/>
    </row>
    <row r="16" ht="19.5" customHeight="1">
      <c r="A16" s="74" t="s">
        <v>1</v>
      </c>
      <c r="B16" s="74" t="s">
        <v>91</v>
      </c>
      <c r="C16" s="74" t="s">
        <v>92</v>
      </c>
      <c r="D16" s="76" t="s">
        <v>93</v>
      </c>
      <c r="E16" s="50" t="s">
        <v>97</v>
      </c>
      <c r="F16" s="53" t="s">
        <v>121</v>
      </c>
      <c r="G16" s="53" t="s">
        <v>99</v>
      </c>
      <c r="H16" s="75">
        <v>8.0</v>
      </c>
      <c r="I16" s="75" t="s">
        <v>101</v>
      </c>
      <c r="J16" s="76" t="s">
        <v>95</v>
      </c>
      <c r="K16" s="74" t="s">
        <v>96</v>
      </c>
    </row>
    <row r="17" ht="19.5" customHeight="1">
      <c r="A17" s="126">
        <v>1.0</v>
      </c>
      <c r="B17" s="37" t="s">
        <v>333</v>
      </c>
      <c r="C17" s="46" t="s">
        <v>148</v>
      </c>
      <c r="D17" s="78">
        <f>D15</f>
        <v>6</v>
      </c>
      <c r="E17" s="37">
        <v>0.05</v>
      </c>
      <c r="F17" s="40">
        <f t="shared" ref="F17:G17" si="2">F15</f>
        <v>1.2</v>
      </c>
      <c r="G17" s="40">
        <f t="shared" si="2"/>
        <v>1.2</v>
      </c>
      <c r="H17" s="40">
        <f>G17*F17*E17*D17</f>
        <v>0.432</v>
      </c>
      <c r="I17" s="42"/>
      <c r="J17" s="64">
        <f>H17</f>
        <v>0.432</v>
      </c>
      <c r="K17" s="46"/>
    </row>
    <row r="18" ht="19.5" customHeight="1">
      <c r="A18" s="74" t="s">
        <v>1</v>
      </c>
      <c r="B18" s="74" t="s">
        <v>91</v>
      </c>
      <c r="C18" s="74" t="s">
        <v>92</v>
      </c>
      <c r="D18" s="76" t="s">
        <v>93</v>
      </c>
      <c r="E18" s="50" t="s">
        <v>97</v>
      </c>
      <c r="F18" s="53" t="s">
        <v>121</v>
      </c>
      <c r="G18" s="53" t="s">
        <v>99</v>
      </c>
      <c r="H18" s="75" t="s">
        <v>100</v>
      </c>
      <c r="I18" s="75" t="s">
        <v>101</v>
      </c>
      <c r="J18" s="76" t="s">
        <v>95</v>
      </c>
      <c r="K18" s="74" t="s">
        <v>96</v>
      </c>
    </row>
    <row r="19" ht="19.5" customHeight="1">
      <c r="A19" s="126">
        <v>1.0</v>
      </c>
      <c r="B19" s="37" t="s">
        <v>334</v>
      </c>
      <c r="C19" s="46" t="s">
        <v>148</v>
      </c>
      <c r="D19" s="78">
        <f>D17</f>
        <v>6</v>
      </c>
      <c r="E19" s="37">
        <v>0.5</v>
      </c>
      <c r="F19" s="40">
        <v>0.25</v>
      </c>
      <c r="G19" s="40">
        <v>0.3</v>
      </c>
      <c r="H19" s="40">
        <f>G19*F19*E19*D19</f>
        <v>0.225</v>
      </c>
      <c r="I19" s="42"/>
      <c r="J19" s="43">
        <f>H19-I19</f>
        <v>0.225</v>
      </c>
      <c r="K19" s="46"/>
    </row>
    <row r="20" ht="19.5" customHeight="1">
      <c r="A20" s="74" t="s">
        <v>1</v>
      </c>
      <c r="B20" s="74" t="s">
        <v>91</v>
      </c>
      <c r="C20" s="74" t="s">
        <v>92</v>
      </c>
      <c r="D20" s="76" t="s">
        <v>93</v>
      </c>
      <c r="E20" s="50" t="s">
        <v>97</v>
      </c>
      <c r="F20" s="53" t="s">
        <v>121</v>
      </c>
      <c r="G20" s="53" t="s">
        <v>99</v>
      </c>
      <c r="H20" s="75" t="s">
        <v>100</v>
      </c>
      <c r="I20" s="75" t="s">
        <v>101</v>
      </c>
      <c r="J20" s="76" t="s">
        <v>95</v>
      </c>
      <c r="K20" s="74" t="s">
        <v>96</v>
      </c>
    </row>
    <row r="21" ht="19.5" customHeight="1">
      <c r="A21" s="126">
        <v>1.0</v>
      </c>
      <c r="B21" s="37" t="s">
        <v>335</v>
      </c>
      <c r="C21" s="46" t="s">
        <v>148</v>
      </c>
      <c r="D21" s="78">
        <v>6.0</v>
      </c>
      <c r="E21" s="37">
        <v>11.0</v>
      </c>
      <c r="F21" s="40">
        <v>0.3</v>
      </c>
      <c r="G21" s="40">
        <v>0.3</v>
      </c>
      <c r="H21" s="40">
        <f>G21*F21*E21*D21</f>
        <v>5.94</v>
      </c>
      <c r="I21" s="42"/>
      <c r="J21" s="107"/>
      <c r="K21" s="46"/>
    </row>
    <row r="22" ht="19.5" customHeight="1">
      <c r="A22" s="46"/>
      <c r="B22" s="37"/>
      <c r="C22" s="46"/>
      <c r="D22" s="78"/>
      <c r="E22" s="37"/>
      <c r="F22" s="40"/>
      <c r="G22" s="40"/>
      <c r="H22" s="40"/>
      <c r="I22" s="42"/>
      <c r="J22" s="96">
        <f>SUM(H21:H22)</f>
        <v>5.94</v>
      </c>
      <c r="K22" s="79"/>
    </row>
    <row r="23" ht="19.5" customHeight="1">
      <c r="A23" s="74" t="s">
        <v>1</v>
      </c>
      <c r="B23" s="74" t="s">
        <v>91</v>
      </c>
      <c r="C23" s="74" t="s">
        <v>92</v>
      </c>
      <c r="D23" s="76" t="s">
        <v>93</v>
      </c>
      <c r="E23" s="50" t="s">
        <v>97</v>
      </c>
      <c r="F23" s="53" t="s">
        <v>121</v>
      </c>
      <c r="G23" s="53" t="s">
        <v>99</v>
      </c>
      <c r="H23" s="75" t="s">
        <v>100</v>
      </c>
      <c r="I23" s="75" t="s">
        <v>101</v>
      </c>
      <c r="J23" s="76" t="s">
        <v>95</v>
      </c>
      <c r="K23" s="74" t="s">
        <v>96</v>
      </c>
    </row>
    <row r="24" ht="19.5" customHeight="1">
      <c r="A24" s="126">
        <v>1.0</v>
      </c>
      <c r="B24" s="37" t="s">
        <v>337</v>
      </c>
      <c r="C24" s="46" t="s">
        <v>148</v>
      </c>
      <c r="D24" s="78">
        <f>D19</f>
        <v>6</v>
      </c>
      <c r="E24" s="37">
        <v>0.4</v>
      </c>
      <c r="F24" s="40">
        <f t="shared" ref="F24:G24" si="3">F17</f>
        <v>1.2</v>
      </c>
      <c r="G24" s="40">
        <f t="shared" si="3"/>
        <v>1.2</v>
      </c>
      <c r="H24" s="40">
        <f>G24*F24*E24*D24</f>
        <v>3.456</v>
      </c>
      <c r="I24" s="42"/>
      <c r="J24" s="40"/>
      <c r="K24" s="46"/>
    </row>
    <row r="25" ht="19.5" customHeight="1">
      <c r="A25" s="126">
        <v>2.0</v>
      </c>
      <c r="B25" s="37" t="s">
        <v>337</v>
      </c>
      <c r="C25" s="46" t="s">
        <v>148</v>
      </c>
      <c r="D25" s="78"/>
      <c r="E25" s="37"/>
      <c r="F25" s="40"/>
      <c r="G25" s="40"/>
      <c r="H25" s="40"/>
      <c r="I25" s="42"/>
      <c r="J25" s="43">
        <f>SUM(H24:H25)</f>
        <v>3.456</v>
      </c>
      <c r="K25" s="79"/>
    </row>
    <row r="26" ht="19.5" customHeight="1">
      <c r="A26" s="74" t="s">
        <v>1</v>
      </c>
      <c r="B26" s="74" t="s">
        <v>91</v>
      </c>
      <c r="C26" s="74" t="s">
        <v>92</v>
      </c>
      <c r="D26" s="76" t="s">
        <v>93</v>
      </c>
      <c r="E26" s="50" t="s">
        <v>97</v>
      </c>
      <c r="F26" s="53" t="s">
        <v>121</v>
      </c>
      <c r="G26" s="53" t="s">
        <v>99</v>
      </c>
      <c r="H26" s="75" t="s">
        <v>100</v>
      </c>
      <c r="I26" s="75" t="s">
        <v>101</v>
      </c>
      <c r="J26" s="76" t="s">
        <v>95</v>
      </c>
      <c r="K26" s="74" t="s">
        <v>96</v>
      </c>
    </row>
    <row r="27" ht="19.5" customHeight="1">
      <c r="A27" s="126">
        <v>1.0</v>
      </c>
      <c r="B27" s="37" t="s">
        <v>338</v>
      </c>
      <c r="C27" s="46" t="s">
        <v>148</v>
      </c>
      <c r="D27" s="78">
        <v>3.0</v>
      </c>
      <c r="E27" s="37">
        <v>0.3</v>
      </c>
      <c r="F27" s="78">
        <f>G13</f>
        <v>4.5</v>
      </c>
      <c r="G27" s="40">
        <v>0.3</v>
      </c>
      <c r="H27" s="40">
        <f>G27*F27*E27*D27</f>
        <v>1.215</v>
      </c>
      <c r="I27" s="42"/>
      <c r="J27" s="40"/>
      <c r="K27" s="46"/>
    </row>
    <row r="28" ht="19.5" customHeight="1">
      <c r="A28" s="46"/>
      <c r="B28" s="37"/>
      <c r="C28" s="46"/>
      <c r="D28" s="78"/>
      <c r="E28" s="37"/>
      <c r="F28" s="78"/>
      <c r="G28" s="40"/>
      <c r="H28" s="40"/>
      <c r="I28" s="42"/>
      <c r="J28" s="43">
        <f>SUM(H27:H28)</f>
        <v>1.215</v>
      </c>
      <c r="K28" s="79"/>
      <c r="L28" s="14">
        <f>J28+J19</f>
        <v>1.44</v>
      </c>
    </row>
    <row r="29" ht="19.5" customHeight="1">
      <c r="A29" s="74" t="s">
        <v>1</v>
      </c>
      <c r="B29" s="74" t="s">
        <v>91</v>
      </c>
      <c r="C29" s="74" t="s">
        <v>92</v>
      </c>
      <c r="D29" s="76" t="s">
        <v>93</v>
      </c>
      <c r="E29" s="50" t="s">
        <v>97</v>
      </c>
      <c r="F29" s="53" t="s">
        <v>121</v>
      </c>
      <c r="G29" s="53" t="s">
        <v>99</v>
      </c>
      <c r="H29" s="75" t="s">
        <v>100</v>
      </c>
      <c r="I29" s="75" t="s">
        <v>101</v>
      </c>
      <c r="J29" s="76" t="s">
        <v>95</v>
      </c>
      <c r="K29" s="74" t="s">
        <v>96</v>
      </c>
    </row>
    <row r="30" ht="19.5" customHeight="1">
      <c r="A30" s="150">
        <v>1.0</v>
      </c>
      <c r="B30" s="37" t="s">
        <v>339</v>
      </c>
      <c r="C30" s="46" t="s">
        <v>148</v>
      </c>
      <c r="D30" s="78">
        <f>H11</f>
        <v>17.28</v>
      </c>
      <c r="E30" s="37"/>
      <c r="F30" s="78"/>
      <c r="G30" s="40"/>
      <c r="H30" s="40">
        <f>D30</f>
        <v>17.28</v>
      </c>
      <c r="I30" s="42"/>
      <c r="J30" s="43">
        <f>H30</f>
        <v>17.28</v>
      </c>
      <c r="K30" s="46"/>
    </row>
    <row r="31" ht="19.5" customHeight="1">
      <c r="A31" s="150">
        <v>2.0</v>
      </c>
      <c r="B31" s="37" t="s">
        <v>340</v>
      </c>
      <c r="C31" s="46" t="s">
        <v>148</v>
      </c>
      <c r="D31" s="78">
        <v>1.0</v>
      </c>
      <c r="E31" s="37">
        <v>0.3</v>
      </c>
      <c r="F31" s="78">
        <f>F27</f>
        <v>4.5</v>
      </c>
      <c r="G31" s="40">
        <f>F31</f>
        <v>4.5</v>
      </c>
      <c r="H31" s="40"/>
      <c r="I31" s="42"/>
      <c r="J31" s="43">
        <f>H31*1.5</f>
        <v>0</v>
      </c>
      <c r="K31" s="46" t="s">
        <v>341</v>
      </c>
    </row>
    <row r="32" ht="19.5" customHeight="1">
      <c r="A32" s="74" t="s">
        <v>1</v>
      </c>
      <c r="B32" s="74" t="s">
        <v>91</v>
      </c>
      <c r="C32" s="74" t="s">
        <v>92</v>
      </c>
      <c r="D32" s="76" t="s">
        <v>93</v>
      </c>
      <c r="E32" s="50" t="s">
        <v>97</v>
      </c>
      <c r="F32" s="53" t="s">
        <v>121</v>
      </c>
      <c r="G32" s="53" t="s">
        <v>99</v>
      </c>
      <c r="H32" s="75" t="s">
        <v>100</v>
      </c>
      <c r="I32" s="75" t="s">
        <v>101</v>
      </c>
      <c r="J32" s="76" t="s">
        <v>95</v>
      </c>
      <c r="K32" s="74" t="s">
        <v>96</v>
      </c>
      <c r="L32" s="14">
        <f>J21+J45</f>
        <v>0</v>
      </c>
    </row>
    <row r="33" ht="19.5" customHeight="1">
      <c r="A33" s="141">
        <v>36994.0</v>
      </c>
      <c r="B33" s="49" t="s">
        <v>1355</v>
      </c>
      <c r="C33" s="46" t="s">
        <v>148</v>
      </c>
      <c r="D33" s="78">
        <v>1.0</v>
      </c>
      <c r="E33" s="37">
        <v>0.05</v>
      </c>
      <c r="F33" s="78"/>
      <c r="G33" s="41">
        <v>27.5</v>
      </c>
      <c r="H33" s="40">
        <f t="shared" ref="H33:H34" si="4">E33*G33</f>
        <v>1.375</v>
      </c>
      <c r="I33" s="42"/>
      <c r="J33" s="143">
        <f>SUM(H33:H34)</f>
        <v>2.4</v>
      </c>
      <c r="K33" s="46"/>
    </row>
    <row r="34" ht="19.5" customHeight="1">
      <c r="A34" s="141">
        <v>36994.0</v>
      </c>
      <c r="B34" s="49" t="s">
        <v>1356</v>
      </c>
      <c r="C34" s="46" t="s">
        <v>148</v>
      </c>
      <c r="D34" s="39">
        <v>1.0</v>
      </c>
      <c r="E34" s="37">
        <v>0.05</v>
      </c>
      <c r="F34" s="78"/>
      <c r="G34" s="39">
        <v>20.5</v>
      </c>
      <c r="H34" s="40">
        <f t="shared" si="4"/>
        <v>1.025</v>
      </c>
      <c r="I34" s="42"/>
      <c r="J34" s="32"/>
      <c r="K34" s="46"/>
    </row>
    <row r="35" ht="19.5" customHeight="1">
      <c r="A35" s="141">
        <v>37359.0</v>
      </c>
      <c r="B35" s="49" t="s">
        <v>1357</v>
      </c>
      <c r="C35" s="46" t="s">
        <v>103</v>
      </c>
      <c r="D35" s="78">
        <v>2.0</v>
      </c>
      <c r="E35" s="37"/>
      <c r="F35" s="78" t="str">
        <f t="shared" ref="F35:G35" si="5">F33</f>
        <v/>
      </c>
      <c r="G35" s="78">
        <f t="shared" si="5"/>
        <v>27.5</v>
      </c>
      <c r="H35" s="40">
        <f t="shared" ref="H35:H38" si="6">D35*G35</f>
        <v>55</v>
      </c>
      <c r="I35" s="42"/>
      <c r="J35" s="143">
        <f>SUM(H35:H38)</f>
        <v>143.32</v>
      </c>
      <c r="K35" s="46"/>
    </row>
    <row r="36" ht="19.5" customHeight="1">
      <c r="A36" s="141">
        <v>37359.0</v>
      </c>
      <c r="B36" s="49" t="s">
        <v>1358</v>
      </c>
      <c r="C36" s="46" t="s">
        <v>103</v>
      </c>
      <c r="D36" s="39">
        <v>2.0</v>
      </c>
      <c r="E36" s="37"/>
      <c r="F36" s="78"/>
      <c r="G36" s="39">
        <v>20.5</v>
      </c>
      <c r="H36" s="40">
        <f t="shared" si="6"/>
        <v>41</v>
      </c>
      <c r="I36" s="42"/>
      <c r="J36" s="147"/>
      <c r="K36" s="46"/>
    </row>
    <row r="37" ht="19.5" customHeight="1">
      <c r="A37" s="141">
        <v>37359.0</v>
      </c>
      <c r="B37" s="418" t="s">
        <v>1359</v>
      </c>
      <c r="C37" s="46" t="s">
        <v>103</v>
      </c>
      <c r="D37" s="39">
        <v>2.0</v>
      </c>
      <c r="E37" s="37"/>
      <c r="F37" s="78"/>
      <c r="G37" s="39">
        <v>17.0</v>
      </c>
      <c r="H37" s="40">
        <f t="shared" si="6"/>
        <v>34</v>
      </c>
      <c r="I37" s="42"/>
      <c r="J37" s="147"/>
      <c r="K37" s="46"/>
    </row>
    <row r="38" ht="19.5" customHeight="1">
      <c r="A38" s="141">
        <v>37359.0</v>
      </c>
      <c r="B38" s="32"/>
      <c r="C38" s="46" t="s">
        <v>103</v>
      </c>
      <c r="D38" s="39">
        <v>2.0</v>
      </c>
      <c r="E38" s="37"/>
      <c r="F38" s="78"/>
      <c r="G38" s="78">
        <f>20*0.18*1.85</f>
        <v>6.66</v>
      </c>
      <c r="H38" s="40">
        <f t="shared" si="6"/>
        <v>13.32</v>
      </c>
      <c r="I38" s="42"/>
      <c r="J38" s="32"/>
      <c r="K38" s="46"/>
    </row>
    <row r="39" ht="19.5" customHeight="1">
      <c r="A39" s="141">
        <v>37724.0</v>
      </c>
      <c r="B39" s="49" t="s">
        <v>1360</v>
      </c>
      <c r="C39" s="46" t="s">
        <v>103</v>
      </c>
      <c r="D39" s="39">
        <v>1.0</v>
      </c>
      <c r="E39" s="37"/>
      <c r="F39" s="78" t="str">
        <f>F35</f>
        <v/>
      </c>
      <c r="G39" s="78"/>
      <c r="H39" s="40">
        <f>J35</f>
        <v>143.32</v>
      </c>
      <c r="I39" s="42"/>
      <c r="J39" s="43">
        <f>J35</f>
        <v>143.32</v>
      </c>
      <c r="K39" s="46" t="s">
        <v>344</v>
      </c>
    </row>
    <row r="40" ht="19.5" customHeight="1">
      <c r="A40" s="74" t="s">
        <v>1</v>
      </c>
      <c r="B40" s="74" t="s">
        <v>91</v>
      </c>
      <c r="C40" s="74" t="s">
        <v>92</v>
      </c>
      <c r="D40" s="76" t="s">
        <v>93</v>
      </c>
      <c r="E40" s="50" t="s">
        <v>97</v>
      </c>
      <c r="F40" s="53" t="s">
        <v>121</v>
      </c>
      <c r="G40" s="53" t="s">
        <v>99</v>
      </c>
      <c r="H40" s="75" t="s">
        <v>100</v>
      </c>
      <c r="I40" s="75" t="s">
        <v>101</v>
      </c>
      <c r="J40" s="76" t="s">
        <v>95</v>
      </c>
      <c r="K40" s="74" t="s">
        <v>96</v>
      </c>
    </row>
    <row r="41" ht="19.5" customHeight="1">
      <c r="A41" s="126">
        <v>1.0</v>
      </c>
      <c r="B41" s="37" t="s">
        <v>345</v>
      </c>
      <c r="C41" s="46" t="s">
        <v>148</v>
      </c>
      <c r="D41" s="78">
        <v>5.0</v>
      </c>
      <c r="E41" s="37">
        <v>0.3</v>
      </c>
      <c r="F41" s="78" t="str">
        <f>F33</f>
        <v/>
      </c>
      <c r="G41" s="40">
        <v>0.14</v>
      </c>
      <c r="H41" s="40">
        <f>G41*F41*E41*D41</f>
        <v>0</v>
      </c>
      <c r="I41" s="42"/>
      <c r="J41" s="40"/>
      <c r="K41" s="46"/>
    </row>
    <row r="42" ht="19.5" customHeight="1">
      <c r="A42" s="126"/>
      <c r="B42" s="37"/>
      <c r="C42" s="46"/>
      <c r="D42" s="78"/>
      <c r="E42" s="37"/>
      <c r="F42" s="78"/>
      <c r="G42" s="40"/>
      <c r="H42" s="40"/>
      <c r="I42" s="42"/>
      <c r="J42" s="43">
        <f>SUM(H41:H42)</f>
        <v>0</v>
      </c>
      <c r="K42" s="79"/>
    </row>
    <row r="43" ht="19.5" customHeight="1">
      <c r="A43" s="74" t="s">
        <v>1</v>
      </c>
      <c r="B43" s="74" t="s">
        <v>91</v>
      </c>
      <c r="C43" s="74" t="s">
        <v>92</v>
      </c>
      <c r="D43" s="76" t="s">
        <v>93</v>
      </c>
      <c r="E43" s="50" t="s">
        <v>97</v>
      </c>
      <c r="F43" s="53" t="s">
        <v>121</v>
      </c>
      <c r="G43" s="53" t="s">
        <v>99</v>
      </c>
      <c r="H43" s="75" t="s">
        <v>100</v>
      </c>
      <c r="I43" s="75" t="s">
        <v>101</v>
      </c>
      <c r="J43" s="76" t="s">
        <v>95</v>
      </c>
      <c r="K43" s="74" t="s">
        <v>96</v>
      </c>
    </row>
    <row r="44" ht="19.5" customHeight="1">
      <c r="A44" s="126">
        <v>1.0</v>
      </c>
      <c r="B44" s="37" t="s">
        <v>346</v>
      </c>
      <c r="C44" s="46" t="s">
        <v>148</v>
      </c>
      <c r="D44" s="78">
        <v>15.0</v>
      </c>
      <c r="E44" s="37">
        <v>0.3</v>
      </c>
      <c r="F44" s="40" t="str">
        <f>F41</f>
        <v/>
      </c>
      <c r="G44" s="40">
        <v>0.3</v>
      </c>
      <c r="H44" s="40">
        <f>G44*F44*E44*D44</f>
        <v>0</v>
      </c>
      <c r="I44" s="42"/>
      <c r="J44" s="40"/>
      <c r="K44" s="46"/>
    </row>
    <row r="45" ht="19.5" customHeight="1">
      <c r="A45" s="126">
        <v>6.0</v>
      </c>
      <c r="B45" s="37"/>
      <c r="C45" s="46"/>
      <c r="D45" s="78"/>
      <c r="E45" s="37"/>
      <c r="F45" s="40"/>
      <c r="G45" s="40"/>
      <c r="H45" s="40"/>
      <c r="I45" s="42"/>
      <c r="J45" s="96">
        <f>SUM(H44:H45)</f>
        <v>0</v>
      </c>
      <c r="K45" s="79"/>
      <c r="L45" s="14"/>
    </row>
    <row r="46" ht="19.5" customHeight="1">
      <c r="A46" s="74" t="s">
        <v>1</v>
      </c>
      <c r="B46" s="74" t="s">
        <v>91</v>
      </c>
      <c r="C46" s="74" t="s">
        <v>92</v>
      </c>
      <c r="D46" s="76" t="s">
        <v>93</v>
      </c>
      <c r="E46" s="50" t="s">
        <v>97</v>
      </c>
      <c r="F46" s="53" t="s">
        <v>121</v>
      </c>
      <c r="G46" s="53" t="s">
        <v>99</v>
      </c>
      <c r="H46" s="75" t="s">
        <v>100</v>
      </c>
      <c r="I46" s="75" t="s">
        <v>101</v>
      </c>
      <c r="J46" s="76" t="s">
        <v>95</v>
      </c>
      <c r="K46" s="74" t="s">
        <v>96</v>
      </c>
    </row>
    <row r="47" ht="19.5" customHeight="1">
      <c r="A47" s="126">
        <v>1.0</v>
      </c>
      <c r="B47" s="37" t="s">
        <v>176</v>
      </c>
      <c r="C47" s="46" t="s">
        <v>103</v>
      </c>
      <c r="D47" s="78">
        <v>4.0</v>
      </c>
      <c r="E47" s="37">
        <v>0.15</v>
      </c>
      <c r="F47" s="40">
        <v>4.5</v>
      </c>
      <c r="G47" s="40">
        <v>4.5</v>
      </c>
      <c r="H47" s="40">
        <f>G47*F47*D47*E47</f>
        <v>12.15</v>
      </c>
      <c r="I47" s="42"/>
      <c r="J47" s="43">
        <f>H47</f>
        <v>12.15</v>
      </c>
      <c r="K47" s="47"/>
    </row>
    <row r="48" ht="19.5" customHeight="1">
      <c r="A48" s="74" t="s">
        <v>1</v>
      </c>
      <c r="B48" s="74" t="s">
        <v>91</v>
      </c>
      <c r="C48" s="74" t="s">
        <v>92</v>
      </c>
      <c r="D48" s="76" t="s">
        <v>93</v>
      </c>
      <c r="E48" s="50" t="s">
        <v>148</v>
      </c>
      <c r="F48" s="53" t="s">
        <v>347</v>
      </c>
      <c r="G48" s="53" t="s">
        <v>348</v>
      </c>
      <c r="H48" s="75" t="s">
        <v>100</v>
      </c>
      <c r="I48" s="75" t="s">
        <v>101</v>
      </c>
      <c r="J48" s="76" t="s">
        <v>95</v>
      </c>
      <c r="K48" s="74" t="s">
        <v>96</v>
      </c>
    </row>
    <row r="49" ht="20.25" customHeight="1">
      <c r="A49" s="126">
        <v>1.0</v>
      </c>
      <c r="B49" s="37" t="s">
        <v>349</v>
      </c>
      <c r="C49" s="46" t="s">
        <v>103</v>
      </c>
      <c r="D49" s="123">
        <v>1.0</v>
      </c>
      <c r="E49" s="40">
        <f>J25</f>
        <v>3.456</v>
      </c>
      <c r="F49" s="40">
        <v>10.0</v>
      </c>
      <c r="G49" s="40">
        <f t="shared" ref="G49:G51" si="7">E49/4</f>
        <v>0.864</v>
      </c>
      <c r="H49" s="40">
        <f t="shared" ref="H49:H51" si="8">G49*F49</f>
        <v>8.64</v>
      </c>
      <c r="I49" s="42"/>
      <c r="J49" s="64">
        <f t="shared" ref="J49:J52" si="9">H49</f>
        <v>8.64</v>
      </c>
      <c r="K49" s="313" t="s">
        <v>1361</v>
      </c>
    </row>
    <row r="50" ht="18.75" customHeight="1">
      <c r="A50" s="126">
        <v>2.0</v>
      </c>
      <c r="B50" s="37" t="s">
        <v>351</v>
      </c>
      <c r="C50" s="46" t="s">
        <v>103</v>
      </c>
      <c r="D50" s="128">
        <v>1.0</v>
      </c>
      <c r="E50" s="40">
        <f>J19+J28</f>
        <v>1.44</v>
      </c>
      <c r="F50" s="40">
        <v>12.0</v>
      </c>
      <c r="G50" s="40">
        <f t="shared" si="7"/>
        <v>0.36</v>
      </c>
      <c r="H50" s="59">
        <f t="shared" si="8"/>
        <v>4.32</v>
      </c>
      <c r="I50" s="93"/>
      <c r="J50" s="64">
        <f t="shared" si="9"/>
        <v>4.32</v>
      </c>
      <c r="K50" s="147"/>
    </row>
    <row r="51" ht="18.0" customHeight="1">
      <c r="A51" s="126">
        <v>3.0</v>
      </c>
      <c r="B51" s="37" t="s">
        <v>352</v>
      </c>
      <c r="C51" s="46" t="s">
        <v>103</v>
      </c>
      <c r="D51" s="128">
        <v>1.0</v>
      </c>
      <c r="E51" s="40">
        <f>J45+J21</f>
        <v>0</v>
      </c>
      <c r="F51" s="40">
        <v>12.0</v>
      </c>
      <c r="G51" s="40">
        <f t="shared" si="7"/>
        <v>0</v>
      </c>
      <c r="H51" s="59">
        <f t="shared" si="8"/>
        <v>0</v>
      </c>
      <c r="I51" s="93"/>
      <c r="J51" s="64">
        <f t="shared" si="9"/>
        <v>0</v>
      </c>
      <c r="K51" s="32"/>
    </row>
    <row r="52" ht="18.0" customHeight="1">
      <c r="A52" s="126">
        <v>4.0</v>
      </c>
      <c r="B52" s="37" t="s">
        <v>1362</v>
      </c>
      <c r="C52" s="46" t="s">
        <v>103</v>
      </c>
      <c r="D52" s="128">
        <v>4.0</v>
      </c>
      <c r="E52" s="40">
        <v>0.15</v>
      </c>
      <c r="F52" s="40">
        <f t="shared" ref="F52:G52" si="10">F47</f>
        <v>4.5</v>
      </c>
      <c r="G52" s="40">
        <f t="shared" si="10"/>
        <v>4.5</v>
      </c>
      <c r="H52" s="59">
        <f>G52*F52*E52*D52</f>
        <v>12.15</v>
      </c>
      <c r="I52" s="93"/>
      <c r="J52" s="64">
        <f t="shared" si="9"/>
        <v>12.15</v>
      </c>
      <c r="K52" s="313"/>
    </row>
    <row r="53" ht="19.5" customHeight="1">
      <c r="A53" s="74" t="s">
        <v>1</v>
      </c>
      <c r="B53" s="74" t="s">
        <v>91</v>
      </c>
      <c r="C53" s="74" t="s">
        <v>92</v>
      </c>
      <c r="D53" s="76" t="s">
        <v>93</v>
      </c>
      <c r="E53" s="50" t="s">
        <v>97</v>
      </c>
      <c r="F53" s="53" t="s">
        <v>121</v>
      </c>
      <c r="G53" s="53" t="s">
        <v>99</v>
      </c>
      <c r="H53" s="75" t="s">
        <v>100</v>
      </c>
      <c r="I53" s="75" t="s">
        <v>101</v>
      </c>
      <c r="J53" s="76" t="s">
        <v>95</v>
      </c>
      <c r="K53" s="74" t="s">
        <v>96</v>
      </c>
    </row>
    <row r="54" ht="19.5" customHeight="1">
      <c r="A54" s="141">
        <v>37024.0</v>
      </c>
      <c r="B54" s="49" t="s">
        <v>1363</v>
      </c>
      <c r="C54" s="46" t="s">
        <v>103</v>
      </c>
      <c r="D54" s="39">
        <v>1.0</v>
      </c>
      <c r="E54" s="49">
        <v>7.8</v>
      </c>
      <c r="F54" s="39">
        <f>(4.3+4.2)*2</f>
        <v>17</v>
      </c>
      <c r="G54" s="41"/>
      <c r="H54" s="40">
        <f t="shared" ref="H54:H55" si="11">D54*E54*F54</f>
        <v>132.6</v>
      </c>
      <c r="I54" s="42"/>
      <c r="J54" s="40"/>
      <c r="K54" s="46"/>
    </row>
    <row r="55" ht="19.5" customHeight="1">
      <c r="A55" s="141">
        <v>37024.0</v>
      </c>
      <c r="B55" s="49" t="s">
        <v>1364</v>
      </c>
      <c r="C55" s="46" t="s">
        <v>103</v>
      </c>
      <c r="D55" s="39">
        <v>1.0</v>
      </c>
      <c r="E55" s="49">
        <v>1.1</v>
      </c>
      <c r="F55" s="39">
        <v>14.0</v>
      </c>
      <c r="G55" s="40"/>
      <c r="H55" s="40">
        <f t="shared" si="11"/>
        <v>15.4</v>
      </c>
      <c r="I55" s="42"/>
      <c r="J55" s="40"/>
      <c r="K55" s="46"/>
    </row>
    <row r="56" ht="19.5" customHeight="1">
      <c r="A56" s="141">
        <v>37024.0</v>
      </c>
      <c r="B56" s="49" t="s">
        <v>1365</v>
      </c>
      <c r="C56" s="46" t="s">
        <v>103</v>
      </c>
      <c r="D56" s="78">
        <v>1.0</v>
      </c>
      <c r="E56" s="49">
        <v>1.1</v>
      </c>
      <c r="F56" s="39">
        <v>25.75</v>
      </c>
      <c r="G56" s="40"/>
      <c r="H56" s="40">
        <f t="shared" ref="H56:H59" si="12">F56*E56*D56</f>
        <v>28.325</v>
      </c>
      <c r="I56" s="42"/>
      <c r="J56" s="40"/>
      <c r="K56" s="46"/>
    </row>
    <row r="57" ht="19.5" customHeight="1">
      <c r="A57" s="141">
        <v>37024.0</v>
      </c>
      <c r="B57" s="49" t="s">
        <v>1366</v>
      </c>
      <c r="C57" s="46" t="s">
        <v>103</v>
      </c>
      <c r="D57" s="39">
        <v>1.0</v>
      </c>
      <c r="E57" s="49">
        <v>1.1</v>
      </c>
      <c r="F57" s="39">
        <v>20.6</v>
      </c>
      <c r="G57" s="40"/>
      <c r="H57" s="40">
        <f t="shared" si="12"/>
        <v>22.66</v>
      </c>
      <c r="I57" s="82"/>
      <c r="J57" s="101"/>
      <c r="K57" s="79"/>
    </row>
    <row r="58" ht="19.5" customHeight="1">
      <c r="A58" s="141">
        <v>37024.0</v>
      </c>
      <c r="B58" s="49" t="s">
        <v>1367</v>
      </c>
      <c r="C58" s="46" t="s">
        <v>103</v>
      </c>
      <c r="D58" s="78">
        <v>1.0</v>
      </c>
      <c r="E58" s="49">
        <v>0.55</v>
      </c>
      <c r="F58" s="39">
        <v>30.3</v>
      </c>
      <c r="G58" s="40"/>
      <c r="H58" s="40">
        <f t="shared" si="12"/>
        <v>16.665</v>
      </c>
      <c r="I58" s="82"/>
      <c r="J58" s="101"/>
      <c r="K58" s="79"/>
    </row>
    <row r="59" ht="19.5" customHeight="1">
      <c r="A59" s="141">
        <v>37024.0</v>
      </c>
      <c r="B59" s="49" t="s">
        <v>1368</v>
      </c>
      <c r="C59" s="46" t="s">
        <v>103</v>
      </c>
      <c r="D59" s="39">
        <v>1.0</v>
      </c>
      <c r="E59" s="49">
        <v>0.55</v>
      </c>
      <c r="F59" s="39">
        <v>25.75</v>
      </c>
      <c r="G59" s="40"/>
      <c r="H59" s="40">
        <f t="shared" si="12"/>
        <v>14.1625</v>
      </c>
      <c r="I59" s="82"/>
      <c r="J59" s="101"/>
      <c r="K59" s="79"/>
    </row>
    <row r="60" ht="19.5" customHeight="1">
      <c r="A60" s="79"/>
      <c r="B60" s="95"/>
      <c r="C60" s="79"/>
      <c r="D60" s="92"/>
      <c r="E60" s="37"/>
      <c r="F60" s="78"/>
      <c r="G60" s="40"/>
      <c r="H60" s="59"/>
      <c r="I60" s="93"/>
      <c r="J60" s="96">
        <f>SUM(H54:H59)</f>
        <v>229.8125</v>
      </c>
      <c r="K60" s="79"/>
    </row>
    <row r="61" ht="19.5" customHeight="1">
      <c r="A61" s="74" t="s">
        <v>1</v>
      </c>
      <c r="B61" s="74" t="s">
        <v>91</v>
      </c>
      <c r="C61" s="74" t="s">
        <v>92</v>
      </c>
      <c r="D61" s="76" t="s">
        <v>93</v>
      </c>
      <c r="E61" s="50" t="s">
        <v>97</v>
      </c>
      <c r="F61" s="53" t="s">
        <v>121</v>
      </c>
      <c r="G61" s="53" t="s">
        <v>99</v>
      </c>
      <c r="H61" s="75" t="s">
        <v>100</v>
      </c>
      <c r="I61" s="75" t="s">
        <v>101</v>
      </c>
      <c r="J61" s="76" t="s">
        <v>95</v>
      </c>
      <c r="K61" s="74" t="s">
        <v>96</v>
      </c>
    </row>
    <row r="62" ht="19.5" customHeight="1">
      <c r="A62" s="150">
        <v>1.0</v>
      </c>
      <c r="B62" s="37" t="s">
        <v>182</v>
      </c>
      <c r="C62" s="46" t="s">
        <v>103</v>
      </c>
      <c r="D62" s="78">
        <f>J47</f>
        <v>12.15</v>
      </c>
      <c r="E62" s="37"/>
      <c r="F62" s="40"/>
      <c r="G62" s="40"/>
      <c r="H62" s="40"/>
      <c r="I62" s="42"/>
      <c r="J62" s="43">
        <f>H62-I62</f>
        <v>0</v>
      </c>
      <c r="K62" s="46" t="s">
        <v>183</v>
      </c>
    </row>
    <row r="63" ht="19.5" customHeight="1">
      <c r="A63" s="74" t="s">
        <v>1</v>
      </c>
      <c r="B63" s="74" t="s">
        <v>91</v>
      </c>
      <c r="C63" s="74" t="s">
        <v>92</v>
      </c>
      <c r="D63" s="76" t="s">
        <v>93</v>
      </c>
      <c r="E63" s="50" t="s">
        <v>187</v>
      </c>
      <c r="F63" s="53"/>
      <c r="G63" s="53" t="s">
        <v>353</v>
      </c>
      <c r="H63" s="75" t="s">
        <v>100</v>
      </c>
      <c r="I63" s="75" t="s">
        <v>101</v>
      </c>
      <c r="J63" s="76" t="s">
        <v>95</v>
      </c>
      <c r="K63" s="74" t="s">
        <v>96</v>
      </c>
    </row>
    <row r="64" ht="19.5" customHeight="1">
      <c r="A64" s="126">
        <v>1.0</v>
      </c>
      <c r="B64" s="37" t="s">
        <v>354</v>
      </c>
      <c r="C64" s="46" t="s">
        <v>158</v>
      </c>
      <c r="D64" s="78">
        <f>J25</f>
        <v>3.456</v>
      </c>
      <c r="E64" s="37">
        <v>80.0</v>
      </c>
      <c r="F64" s="40"/>
      <c r="G64" s="40">
        <f t="shared" ref="G64:G67" si="13">E64*D64</f>
        <v>276.48</v>
      </c>
      <c r="H64" s="40">
        <f t="shared" ref="H64:H67" si="14">E64*D64</f>
        <v>276.48</v>
      </c>
      <c r="I64" s="42"/>
      <c r="J64" s="107"/>
      <c r="K64" s="46" t="s">
        <v>355</v>
      </c>
    </row>
    <row r="65" ht="19.5" customHeight="1">
      <c r="A65" s="126">
        <v>2.0</v>
      </c>
      <c r="B65" s="37" t="s">
        <v>356</v>
      </c>
      <c r="C65" s="46" t="s">
        <v>158</v>
      </c>
      <c r="D65" s="78">
        <f>J19+J28</f>
        <v>1.44</v>
      </c>
      <c r="E65" s="37">
        <v>90.0</v>
      </c>
      <c r="F65" s="40"/>
      <c r="G65" s="40">
        <f t="shared" si="13"/>
        <v>129.6</v>
      </c>
      <c r="H65" s="40">
        <f t="shared" si="14"/>
        <v>129.6</v>
      </c>
      <c r="I65" s="42"/>
      <c r="J65" s="121"/>
      <c r="K65" s="79"/>
    </row>
    <row r="66" ht="19.5" customHeight="1">
      <c r="A66" s="126">
        <v>3.0</v>
      </c>
      <c r="B66" s="37" t="s">
        <v>357</v>
      </c>
      <c r="C66" s="46" t="s">
        <v>158</v>
      </c>
      <c r="D66" s="78">
        <f>J45+J25</f>
        <v>3.456</v>
      </c>
      <c r="E66" s="37">
        <v>100.0</v>
      </c>
      <c r="F66" s="40"/>
      <c r="G66" s="40">
        <f t="shared" si="13"/>
        <v>345.6</v>
      </c>
      <c r="H66" s="40">
        <f t="shared" si="14"/>
        <v>345.6</v>
      </c>
      <c r="I66" s="42"/>
      <c r="J66" s="121"/>
      <c r="K66" s="79"/>
    </row>
    <row r="67" ht="19.5" customHeight="1">
      <c r="A67" s="126">
        <v>4.0</v>
      </c>
      <c r="B67" s="37" t="s">
        <v>358</v>
      </c>
      <c r="C67" s="46" t="s">
        <v>158</v>
      </c>
      <c r="D67" s="78">
        <f>H52</f>
        <v>12.15</v>
      </c>
      <c r="E67" s="37">
        <v>100.0</v>
      </c>
      <c r="F67" s="40"/>
      <c r="G67" s="40">
        <f t="shared" si="13"/>
        <v>1215</v>
      </c>
      <c r="H67" s="40">
        <f t="shared" si="14"/>
        <v>1215</v>
      </c>
      <c r="I67" s="42"/>
      <c r="J67" s="96">
        <f>SUM(H64:H67)</f>
        <v>1966.68</v>
      </c>
      <c r="K67" s="79"/>
    </row>
    <row r="68" ht="19.5" customHeight="1">
      <c r="A68" s="74" t="s">
        <v>1</v>
      </c>
      <c r="B68" s="74" t="s">
        <v>91</v>
      </c>
      <c r="C68" s="74" t="s">
        <v>92</v>
      </c>
      <c r="D68" s="76" t="s">
        <v>93</v>
      </c>
      <c r="E68" s="50" t="s">
        <v>97</v>
      </c>
      <c r="F68" s="53" t="s">
        <v>121</v>
      </c>
      <c r="G68" s="53" t="s">
        <v>99</v>
      </c>
      <c r="H68" s="75" t="s">
        <v>100</v>
      </c>
      <c r="I68" s="75" t="s">
        <v>101</v>
      </c>
      <c r="J68" s="76" t="s">
        <v>95</v>
      </c>
      <c r="K68" s="74" t="s">
        <v>96</v>
      </c>
    </row>
    <row r="69" ht="19.5" customHeight="1">
      <c r="A69" s="288">
        <v>1.0</v>
      </c>
      <c r="B69" s="49" t="s">
        <v>1369</v>
      </c>
      <c r="C69" s="46" t="s">
        <v>108</v>
      </c>
      <c r="D69" s="39">
        <v>1.0</v>
      </c>
      <c r="E69" s="49"/>
      <c r="F69" s="41">
        <v>30.3</v>
      </c>
      <c r="G69" s="40"/>
      <c r="H69" s="40">
        <f t="shared" ref="H69:H70" si="15">F69*D69</f>
        <v>30.3</v>
      </c>
      <c r="I69" s="42"/>
      <c r="J69" s="143">
        <f>SUM(H69:H70)</f>
        <v>48.3</v>
      </c>
      <c r="K69" s="46"/>
    </row>
    <row r="70" ht="19.5" customHeight="1">
      <c r="A70" s="304"/>
      <c r="B70" s="49" t="s">
        <v>1370</v>
      </c>
      <c r="C70" s="46" t="s">
        <v>108</v>
      </c>
      <c r="D70" s="39">
        <v>1.0</v>
      </c>
      <c r="E70" s="49"/>
      <c r="F70" s="41">
        <f>4.5*4</f>
        <v>18</v>
      </c>
      <c r="G70" s="40"/>
      <c r="H70" s="40">
        <f t="shared" si="15"/>
        <v>18</v>
      </c>
      <c r="I70" s="82"/>
      <c r="J70" s="419"/>
      <c r="K70" s="79"/>
    </row>
    <row r="71" ht="19.5" customHeight="1">
      <c r="A71" s="74" t="s">
        <v>1</v>
      </c>
      <c r="B71" s="74" t="s">
        <v>91</v>
      </c>
      <c r="C71" s="74" t="s">
        <v>92</v>
      </c>
      <c r="D71" s="76" t="s">
        <v>93</v>
      </c>
      <c r="E71" s="50" t="s">
        <v>97</v>
      </c>
      <c r="F71" s="53" t="s">
        <v>121</v>
      </c>
      <c r="G71" s="53" t="s">
        <v>99</v>
      </c>
      <c r="H71" s="75" t="s">
        <v>100</v>
      </c>
      <c r="I71" s="75" t="s">
        <v>101</v>
      </c>
      <c r="J71" s="76">
        <f>SUM(J69:J70)</f>
        <v>48.3</v>
      </c>
      <c r="K71" s="74" t="s">
        <v>96</v>
      </c>
    </row>
    <row r="72" ht="19.5" customHeight="1">
      <c r="A72" s="288">
        <v>1.0</v>
      </c>
      <c r="B72" s="49" t="s">
        <v>1371</v>
      </c>
      <c r="C72" s="46" t="s">
        <v>103</v>
      </c>
      <c r="D72" s="39">
        <v>1.0</v>
      </c>
      <c r="E72" s="37"/>
      <c r="F72" s="41"/>
      <c r="G72" s="41"/>
      <c r="H72" s="40">
        <f>D72*F72*G72</f>
        <v>0</v>
      </c>
      <c r="I72" s="42"/>
      <c r="J72" s="109">
        <f>SUM(H72:H73)</f>
        <v>42</v>
      </c>
      <c r="K72" s="46"/>
    </row>
    <row r="73" ht="19.5" customHeight="1">
      <c r="A73" s="288">
        <v>1.0</v>
      </c>
      <c r="B73" s="49" t="s">
        <v>1372</v>
      </c>
      <c r="C73" s="46" t="s">
        <v>103</v>
      </c>
      <c r="D73" s="39">
        <v>1.0</v>
      </c>
      <c r="E73" s="37"/>
      <c r="F73" s="40"/>
      <c r="G73" s="41">
        <v>42.0</v>
      </c>
      <c r="H73" s="40">
        <f>D73*G73</f>
        <v>42</v>
      </c>
      <c r="I73" s="42"/>
      <c r="J73" s="32"/>
      <c r="K73" s="79"/>
    </row>
    <row r="74" ht="19.5" customHeight="1">
      <c r="A74" s="46">
        <v>2.0</v>
      </c>
      <c r="B74" s="37" t="s">
        <v>362</v>
      </c>
      <c r="C74" s="46" t="s">
        <v>103</v>
      </c>
      <c r="D74" s="78"/>
      <c r="E74" s="37"/>
      <c r="F74" s="40"/>
      <c r="G74" s="40"/>
      <c r="H74" s="40"/>
      <c r="I74" s="42"/>
      <c r="J74" s="64"/>
      <c r="K74" s="79"/>
    </row>
    <row r="75" ht="19.5" customHeight="1">
      <c r="A75" s="46">
        <f>A74+1</f>
        <v>3</v>
      </c>
      <c r="B75" s="37" t="s">
        <v>362</v>
      </c>
      <c r="C75" s="46" t="s">
        <v>103</v>
      </c>
      <c r="D75" s="78"/>
      <c r="E75" s="37"/>
      <c r="F75" s="40"/>
      <c r="G75" s="40"/>
      <c r="H75" s="40"/>
      <c r="I75" s="42"/>
      <c r="J75" s="64" t="str">
        <f>H75</f>
        <v/>
      </c>
      <c r="K75" s="79"/>
    </row>
    <row r="76" ht="19.5" customHeight="1">
      <c r="A76" s="46"/>
      <c r="B76" s="37"/>
      <c r="C76" s="46"/>
      <c r="D76" s="78"/>
      <c r="E76" s="37"/>
      <c r="F76" s="40"/>
      <c r="G76" s="40"/>
      <c r="H76" s="40">
        <f>G76*F76</f>
        <v>0</v>
      </c>
      <c r="I76" s="42"/>
      <c r="J76" s="420"/>
      <c r="K76" s="79"/>
    </row>
    <row r="77" ht="19.5" customHeight="1">
      <c r="A77" s="74" t="s">
        <v>1</v>
      </c>
      <c r="B77" s="74" t="s">
        <v>91</v>
      </c>
      <c r="C77" s="74" t="s">
        <v>92</v>
      </c>
      <c r="D77" s="76" t="s">
        <v>93</v>
      </c>
      <c r="E77" s="50" t="s">
        <v>161</v>
      </c>
      <c r="F77" s="53" t="s">
        <v>99</v>
      </c>
      <c r="G77" s="53" t="s">
        <v>121</v>
      </c>
      <c r="H77" s="75" t="s">
        <v>100</v>
      </c>
      <c r="I77" s="75" t="s">
        <v>101</v>
      </c>
      <c r="J77" s="76" t="s">
        <v>95</v>
      </c>
      <c r="K77" s="74" t="s">
        <v>96</v>
      </c>
    </row>
    <row r="78" ht="19.5" customHeight="1">
      <c r="A78" s="126">
        <v>1.0</v>
      </c>
      <c r="B78" s="37" t="s">
        <v>197</v>
      </c>
      <c r="C78" s="46" t="s">
        <v>103</v>
      </c>
      <c r="D78" s="78" t="str">
        <f>#REF!</f>
        <v>#REF!</v>
      </c>
      <c r="E78" s="37">
        <v>1.0</v>
      </c>
      <c r="F78" s="40">
        <v>6.5</v>
      </c>
      <c r="G78" s="40">
        <v>4.5</v>
      </c>
      <c r="H78" s="40">
        <f>G78*F78</f>
        <v>29.25</v>
      </c>
      <c r="I78" s="42"/>
      <c r="J78" s="43">
        <f>H78-I78</f>
        <v>29.25</v>
      </c>
      <c r="K78" s="46"/>
    </row>
    <row r="79" ht="19.5" customHeight="1">
      <c r="A79" s="74" t="s">
        <v>1</v>
      </c>
      <c r="B79" s="74" t="s">
        <v>91</v>
      </c>
      <c r="C79" s="74" t="s">
        <v>92</v>
      </c>
      <c r="D79" s="76" t="s">
        <v>93</v>
      </c>
      <c r="E79" s="50" t="s">
        <v>97</v>
      </c>
      <c r="F79" s="53" t="s">
        <v>121</v>
      </c>
      <c r="G79" s="53" t="s">
        <v>198</v>
      </c>
      <c r="H79" s="75" t="s">
        <v>100</v>
      </c>
      <c r="I79" s="75" t="s">
        <v>101</v>
      </c>
      <c r="J79" s="76" t="s">
        <v>95</v>
      </c>
      <c r="K79" s="74" t="s">
        <v>96</v>
      </c>
    </row>
    <row r="80" ht="19.5" customHeight="1">
      <c r="A80" s="154" t="s">
        <v>1373</v>
      </c>
      <c r="B80" s="49" t="s">
        <v>1374</v>
      </c>
      <c r="C80" s="46" t="s">
        <v>103</v>
      </c>
      <c r="D80" s="115">
        <v>12.0</v>
      </c>
      <c r="E80" s="49">
        <v>6.25</v>
      </c>
      <c r="F80" s="39">
        <v>1.2</v>
      </c>
      <c r="G80" s="40"/>
      <c r="H80" s="59">
        <f>D80*E80*F80</f>
        <v>90</v>
      </c>
      <c r="I80" s="82"/>
      <c r="J80" s="143"/>
      <c r="K80" s="79"/>
    </row>
    <row r="81" ht="19.5" customHeight="1">
      <c r="A81" s="154" t="s">
        <v>1373</v>
      </c>
      <c r="B81" s="49" t="s">
        <v>1375</v>
      </c>
      <c r="C81" s="46" t="s">
        <v>103</v>
      </c>
      <c r="D81" s="39">
        <v>1.0</v>
      </c>
      <c r="E81" s="37"/>
      <c r="F81" s="78"/>
      <c r="G81" s="40"/>
      <c r="H81" s="40">
        <f>2*J60</f>
        <v>459.625</v>
      </c>
      <c r="I81" s="42"/>
      <c r="J81" s="43">
        <f>SUM(H80:H81)</f>
        <v>549.625</v>
      </c>
      <c r="K81" s="46"/>
    </row>
    <row r="82" ht="19.5" customHeight="1">
      <c r="A82" s="79"/>
      <c r="B82" s="95"/>
      <c r="C82" s="79"/>
      <c r="D82" s="92"/>
      <c r="E82" s="37"/>
      <c r="F82" s="78"/>
      <c r="G82" s="40"/>
      <c r="H82" s="59"/>
      <c r="I82" s="93"/>
      <c r="J82" s="79"/>
      <c r="K82" s="79"/>
    </row>
    <row r="83" ht="19.5" customHeight="1">
      <c r="A83" s="154" t="s">
        <v>1376</v>
      </c>
      <c r="B83" s="49" t="s">
        <v>1377</v>
      </c>
      <c r="C83" s="46" t="s">
        <v>103</v>
      </c>
      <c r="D83" s="421">
        <v>2.0</v>
      </c>
      <c r="E83" s="204"/>
      <c r="F83" s="205"/>
      <c r="G83" s="205"/>
      <c r="H83" s="214">
        <v>17.0</v>
      </c>
      <c r="I83" s="284"/>
      <c r="J83" s="43">
        <f t="shared" ref="J83:J84" si="16">D83*H83</f>
        <v>34</v>
      </c>
      <c r="K83" s="203"/>
      <c r="L83" s="185"/>
      <c r="M83" s="185"/>
      <c r="N83" s="185"/>
      <c r="O83" s="185"/>
      <c r="P83" s="185"/>
      <c r="Q83" s="185"/>
      <c r="R83" s="185"/>
      <c r="S83" s="185"/>
      <c r="T83" s="185"/>
      <c r="U83" s="185"/>
      <c r="V83" s="185"/>
      <c r="W83" s="185"/>
      <c r="X83" s="185"/>
      <c r="Y83" s="185"/>
      <c r="Z83" s="185"/>
    </row>
    <row r="84" ht="19.5" customHeight="1">
      <c r="A84" s="154" t="s">
        <v>1376</v>
      </c>
      <c r="B84" s="49" t="s">
        <v>1378</v>
      </c>
      <c r="C84" s="46" t="s">
        <v>103</v>
      </c>
      <c r="D84" s="421">
        <v>2.0</v>
      </c>
      <c r="E84" s="204"/>
      <c r="F84" s="205"/>
      <c r="G84" s="205"/>
      <c r="H84" s="214">
        <v>24.0</v>
      </c>
      <c r="I84" s="284"/>
      <c r="J84" s="43">
        <f t="shared" si="16"/>
        <v>48</v>
      </c>
      <c r="K84" s="203"/>
      <c r="L84" s="185"/>
      <c r="M84" s="185"/>
      <c r="N84" s="185"/>
      <c r="O84" s="185"/>
      <c r="P84" s="185"/>
      <c r="Q84" s="185"/>
      <c r="R84" s="185"/>
      <c r="S84" s="185"/>
      <c r="T84" s="185"/>
      <c r="U84" s="185"/>
      <c r="V84" s="185"/>
      <c r="W84" s="185"/>
      <c r="X84" s="185"/>
      <c r="Y84" s="185"/>
      <c r="Z84" s="185"/>
    </row>
    <row r="85" ht="19.5" customHeight="1">
      <c r="A85" s="74" t="s">
        <v>1</v>
      </c>
      <c r="B85" s="74" t="s">
        <v>91</v>
      </c>
      <c r="C85" s="74" t="s">
        <v>92</v>
      </c>
      <c r="D85" s="76" t="s">
        <v>93</v>
      </c>
      <c r="E85" s="50" t="s">
        <v>97</v>
      </c>
      <c r="F85" s="53" t="s">
        <v>121</v>
      </c>
      <c r="G85" s="53" t="s">
        <v>198</v>
      </c>
      <c r="H85" s="75" t="s">
        <v>100</v>
      </c>
      <c r="I85" s="75" t="s">
        <v>101</v>
      </c>
      <c r="J85" s="76" t="s">
        <v>95</v>
      </c>
      <c r="K85" s="74" t="s">
        <v>96</v>
      </c>
    </row>
    <row r="86" ht="19.5" customHeight="1">
      <c r="A86" s="141">
        <v>38516.0</v>
      </c>
      <c r="B86" s="49" t="s">
        <v>1379</v>
      </c>
      <c r="C86" s="46" t="s">
        <v>103</v>
      </c>
      <c r="D86" s="39">
        <v>2.0</v>
      </c>
      <c r="E86" s="49">
        <v>1.1</v>
      </c>
      <c r="F86" s="39">
        <v>14.0</v>
      </c>
      <c r="G86" s="40"/>
      <c r="H86" s="40">
        <f t="shared" ref="H86:H91" si="17">D86*E86*F86</f>
        <v>30.8</v>
      </c>
      <c r="I86" s="42"/>
      <c r="J86" s="40"/>
      <c r="K86" s="46"/>
    </row>
    <row r="87" ht="19.5" customHeight="1">
      <c r="A87" s="141">
        <v>38516.0</v>
      </c>
      <c r="B87" s="49" t="s">
        <v>1380</v>
      </c>
      <c r="C87" s="46" t="s">
        <v>103</v>
      </c>
      <c r="D87" s="39">
        <v>12.0</v>
      </c>
      <c r="E87" s="49">
        <v>6.25</v>
      </c>
      <c r="F87" s="39">
        <v>1.2</v>
      </c>
      <c r="G87" s="40"/>
      <c r="H87" s="40">
        <f t="shared" si="17"/>
        <v>90</v>
      </c>
      <c r="I87" s="42"/>
      <c r="J87" s="40"/>
      <c r="K87" s="46"/>
    </row>
    <row r="88" ht="19.5" customHeight="1">
      <c r="A88" s="141">
        <v>38516.0</v>
      </c>
      <c r="B88" s="49" t="s">
        <v>1381</v>
      </c>
      <c r="C88" s="158" t="s">
        <v>103</v>
      </c>
      <c r="D88" s="39">
        <v>2.0</v>
      </c>
      <c r="E88" s="49">
        <v>1.175</v>
      </c>
      <c r="F88" s="39">
        <v>25.75</v>
      </c>
      <c r="G88" s="40"/>
      <c r="H88" s="40">
        <f t="shared" si="17"/>
        <v>60.5125</v>
      </c>
      <c r="I88" s="42"/>
      <c r="J88" s="40"/>
      <c r="K88" s="46"/>
    </row>
    <row r="89" ht="19.5" customHeight="1">
      <c r="A89" s="141">
        <v>38516.0</v>
      </c>
      <c r="B89" s="49" t="s">
        <v>1382</v>
      </c>
      <c r="C89" s="158" t="s">
        <v>103</v>
      </c>
      <c r="D89" s="39">
        <v>2.0</v>
      </c>
      <c r="E89" s="49">
        <v>1.175</v>
      </c>
      <c r="F89" s="39">
        <v>20.6</v>
      </c>
      <c r="G89" s="40"/>
      <c r="H89" s="40">
        <f t="shared" si="17"/>
        <v>48.41</v>
      </c>
      <c r="I89" s="42"/>
      <c r="J89" s="40"/>
      <c r="K89" s="46"/>
    </row>
    <row r="90" ht="19.5" customHeight="1">
      <c r="A90" s="141">
        <v>38516.0</v>
      </c>
      <c r="B90" s="49" t="s">
        <v>1383</v>
      </c>
      <c r="C90" s="46" t="s">
        <v>103</v>
      </c>
      <c r="D90" s="78">
        <v>1.0</v>
      </c>
      <c r="E90" s="49">
        <v>0.55</v>
      </c>
      <c r="F90" s="39">
        <v>30.3</v>
      </c>
      <c r="G90" s="40"/>
      <c r="H90" s="40">
        <f t="shared" si="17"/>
        <v>16.665</v>
      </c>
      <c r="I90" s="42"/>
      <c r="J90" s="101"/>
      <c r="K90" s="46"/>
    </row>
    <row r="91" ht="19.5" customHeight="1">
      <c r="A91" s="141">
        <v>38516.0</v>
      </c>
      <c r="B91" s="49" t="s">
        <v>1384</v>
      </c>
      <c r="C91" s="46" t="s">
        <v>103</v>
      </c>
      <c r="D91" s="39">
        <v>1.0</v>
      </c>
      <c r="E91" s="49">
        <v>0.55</v>
      </c>
      <c r="F91" s="39">
        <v>25.75</v>
      </c>
      <c r="G91" s="40"/>
      <c r="H91" s="40">
        <f t="shared" si="17"/>
        <v>14.1625</v>
      </c>
      <c r="I91" s="42"/>
      <c r="J91" s="101"/>
      <c r="K91" s="46"/>
    </row>
    <row r="92" ht="19.5" customHeight="1">
      <c r="A92" s="141">
        <v>38516.0</v>
      </c>
      <c r="B92" s="49"/>
      <c r="C92" s="46"/>
      <c r="D92" s="78"/>
      <c r="E92" s="49"/>
      <c r="F92" s="39"/>
      <c r="G92" s="40"/>
      <c r="H92" s="40"/>
      <c r="I92" s="42"/>
      <c r="J92" s="422">
        <f>SUM(H86:H91)</f>
        <v>260.55</v>
      </c>
      <c r="K92" s="46"/>
    </row>
    <row r="93" ht="19.5" customHeight="1">
      <c r="A93" s="141">
        <v>38881.0</v>
      </c>
      <c r="B93" s="49" t="s">
        <v>1385</v>
      </c>
      <c r="C93" s="46" t="s">
        <v>103</v>
      </c>
      <c r="D93" s="78">
        <v>1.0</v>
      </c>
      <c r="E93" s="49">
        <v>13.0</v>
      </c>
      <c r="F93" s="39">
        <v>18.0</v>
      </c>
      <c r="G93" s="40"/>
      <c r="H93" s="40">
        <f>D93*E93*F93</f>
        <v>234</v>
      </c>
      <c r="I93" s="42"/>
      <c r="J93" s="96">
        <f>H93</f>
        <v>234</v>
      </c>
      <c r="K93" s="46"/>
    </row>
    <row r="94" ht="19.5" customHeight="1">
      <c r="A94" s="74" t="s">
        <v>1</v>
      </c>
      <c r="B94" s="74" t="s">
        <v>91</v>
      </c>
      <c r="C94" s="74" t="s">
        <v>92</v>
      </c>
      <c r="D94" s="76" t="s">
        <v>93</v>
      </c>
      <c r="E94" s="50" t="s">
        <v>97</v>
      </c>
      <c r="F94" s="53" t="s">
        <v>121</v>
      </c>
      <c r="G94" s="53" t="s">
        <v>198</v>
      </c>
      <c r="H94" s="75" t="s">
        <v>100</v>
      </c>
      <c r="I94" s="75" t="s">
        <v>101</v>
      </c>
      <c r="J94" s="76" t="s">
        <v>95</v>
      </c>
      <c r="K94" s="74" t="s">
        <v>96</v>
      </c>
    </row>
    <row r="95" ht="19.5" customHeight="1">
      <c r="A95" s="141">
        <v>37147.0</v>
      </c>
      <c r="B95" s="49" t="s">
        <v>1386</v>
      </c>
      <c r="C95" s="46" t="s">
        <v>103</v>
      </c>
      <c r="D95" s="39">
        <v>1.0</v>
      </c>
      <c r="E95" s="49">
        <v>7.8</v>
      </c>
      <c r="F95" s="39">
        <v>17.0</v>
      </c>
      <c r="G95" s="40"/>
      <c r="H95" s="40">
        <f>D95*E95*F95</f>
        <v>132.6</v>
      </c>
      <c r="I95" s="42"/>
      <c r="J95" s="422">
        <f>H95-I95</f>
        <v>132.6</v>
      </c>
      <c r="K95" s="46"/>
    </row>
    <row r="96" ht="19.5" customHeight="1">
      <c r="A96" s="141">
        <v>37147.0</v>
      </c>
      <c r="B96" s="49" t="s">
        <v>1387</v>
      </c>
      <c r="C96" s="46" t="s">
        <v>103</v>
      </c>
      <c r="D96" s="421">
        <v>2.0</v>
      </c>
      <c r="E96" s="204"/>
      <c r="F96" s="205"/>
      <c r="G96" s="205"/>
      <c r="H96" s="214">
        <v>17.0</v>
      </c>
      <c r="I96" s="82"/>
      <c r="J96" s="422">
        <f t="shared" ref="J96:J97" si="18">D96*H96</f>
        <v>34</v>
      </c>
      <c r="K96" s="79"/>
    </row>
    <row r="97" ht="19.5" customHeight="1">
      <c r="A97" s="141">
        <v>37147.0</v>
      </c>
      <c r="B97" s="49" t="s">
        <v>1388</v>
      </c>
      <c r="C97" s="46" t="s">
        <v>103</v>
      </c>
      <c r="D97" s="421">
        <v>2.0</v>
      </c>
      <c r="E97" s="204"/>
      <c r="F97" s="205"/>
      <c r="G97" s="205"/>
      <c r="H97" s="214">
        <v>24.0</v>
      </c>
      <c r="I97" s="93"/>
      <c r="J97" s="422">
        <f t="shared" si="18"/>
        <v>48</v>
      </c>
      <c r="K97" s="132">
        <f>J97+J95</f>
        <v>180.6</v>
      </c>
    </row>
    <row r="98" ht="19.5" customHeight="1">
      <c r="A98" s="74" t="s">
        <v>1</v>
      </c>
      <c r="B98" s="74" t="s">
        <v>91</v>
      </c>
      <c r="C98" s="74" t="s">
        <v>92</v>
      </c>
      <c r="D98" s="76" t="s">
        <v>93</v>
      </c>
      <c r="E98" s="50" t="s">
        <v>161</v>
      </c>
      <c r="F98" s="53" t="s">
        <v>121</v>
      </c>
      <c r="G98" s="53" t="s">
        <v>99</v>
      </c>
      <c r="H98" s="75" t="s">
        <v>100</v>
      </c>
      <c r="I98" s="75" t="s">
        <v>101</v>
      </c>
      <c r="J98" s="76" t="s">
        <v>95</v>
      </c>
      <c r="K98" s="74" t="s">
        <v>96</v>
      </c>
    </row>
    <row r="99" ht="19.5" customHeight="1">
      <c r="A99" s="126">
        <v>1.0</v>
      </c>
      <c r="B99" s="37" t="s">
        <v>162</v>
      </c>
      <c r="C99" s="46" t="s">
        <v>103</v>
      </c>
      <c r="D99" s="78">
        <v>1.0</v>
      </c>
      <c r="E99" s="37">
        <v>4.0</v>
      </c>
      <c r="F99" s="78">
        <v>4.5</v>
      </c>
      <c r="G99" s="40">
        <v>1.0</v>
      </c>
      <c r="H99" s="40">
        <f>G99*F99*E99*D99</f>
        <v>18</v>
      </c>
      <c r="I99" s="42"/>
      <c r="J99" s="40"/>
      <c r="K99" s="46"/>
    </row>
    <row r="100" ht="19.5" customHeight="1">
      <c r="A100" s="126"/>
      <c r="B100" s="37"/>
      <c r="C100" s="46"/>
      <c r="D100" s="78"/>
      <c r="E100" s="37"/>
      <c r="F100" s="78"/>
      <c r="G100" s="40"/>
      <c r="H100" s="40"/>
      <c r="I100" s="42"/>
      <c r="J100" s="64">
        <f>SUM(H99:H100)</f>
        <v>18</v>
      </c>
      <c r="K100" s="46"/>
    </row>
    <row r="101" ht="19.5" customHeight="1">
      <c r="A101" s="74" t="s">
        <v>1</v>
      </c>
      <c r="B101" s="74" t="s">
        <v>91</v>
      </c>
      <c r="C101" s="74" t="s">
        <v>92</v>
      </c>
      <c r="D101" s="76" t="s">
        <v>93</v>
      </c>
      <c r="E101" s="50" t="s">
        <v>161</v>
      </c>
      <c r="F101" s="53" t="s">
        <v>121</v>
      </c>
      <c r="G101" s="53" t="s">
        <v>99</v>
      </c>
      <c r="H101" s="75" t="s">
        <v>100</v>
      </c>
      <c r="I101" s="75" t="s">
        <v>101</v>
      </c>
      <c r="J101" s="76" t="s">
        <v>95</v>
      </c>
      <c r="K101" s="74" t="s">
        <v>96</v>
      </c>
    </row>
    <row r="102" ht="19.5" customHeight="1">
      <c r="A102" s="141">
        <v>37177.0</v>
      </c>
      <c r="B102" s="114" t="s">
        <v>1389</v>
      </c>
      <c r="C102" s="83" t="s">
        <v>108</v>
      </c>
      <c r="D102" s="115">
        <v>2.0</v>
      </c>
      <c r="E102" s="37"/>
      <c r="F102" s="39">
        <v>13.6</v>
      </c>
      <c r="G102" s="40"/>
      <c r="H102" s="59">
        <f>D102*F102</f>
        <v>27.2</v>
      </c>
      <c r="I102" s="82"/>
      <c r="J102" s="40"/>
      <c r="K102" s="79"/>
    </row>
    <row r="103" ht="19.5" customHeight="1">
      <c r="A103" s="141"/>
      <c r="B103" s="95"/>
      <c r="C103" s="79"/>
      <c r="D103" s="122"/>
      <c r="E103" s="37"/>
      <c r="F103" s="78"/>
      <c r="G103" s="40"/>
      <c r="H103" s="59"/>
      <c r="I103" s="82"/>
      <c r="J103" s="64">
        <f>H102</f>
        <v>27.2</v>
      </c>
      <c r="K103" s="79"/>
    </row>
    <row r="104" ht="19.5" customHeight="1">
      <c r="A104" s="74" t="s">
        <v>1</v>
      </c>
      <c r="B104" s="74" t="s">
        <v>91</v>
      </c>
      <c r="C104" s="74" t="s">
        <v>92</v>
      </c>
      <c r="D104" s="76" t="s">
        <v>93</v>
      </c>
      <c r="E104" s="50" t="s">
        <v>161</v>
      </c>
      <c r="F104" s="53" t="s">
        <v>121</v>
      </c>
      <c r="G104" s="53" t="s">
        <v>99</v>
      </c>
      <c r="H104" s="75" t="s">
        <v>100</v>
      </c>
      <c r="I104" s="75" t="s">
        <v>101</v>
      </c>
      <c r="J104" s="76" t="s">
        <v>95</v>
      </c>
      <c r="K104" s="74" t="s">
        <v>96</v>
      </c>
    </row>
    <row r="105" ht="19.5" customHeight="1">
      <c r="A105" s="423">
        <v>37542.0</v>
      </c>
      <c r="B105" s="114" t="s">
        <v>1390</v>
      </c>
      <c r="C105" s="79"/>
      <c r="D105" s="115">
        <v>2.0</v>
      </c>
      <c r="E105" s="37"/>
      <c r="F105" s="39">
        <v>13.6</v>
      </c>
      <c r="G105" s="40"/>
      <c r="H105" s="59">
        <f>D105*F105</f>
        <v>27.2</v>
      </c>
      <c r="I105" s="82"/>
      <c r="J105" s="40"/>
      <c r="K105" s="79"/>
    </row>
    <row r="106" ht="19.5" customHeight="1">
      <c r="A106" s="423"/>
      <c r="B106" s="95"/>
      <c r="C106" s="79"/>
      <c r="D106" s="122"/>
      <c r="E106" s="37"/>
      <c r="F106" s="78"/>
      <c r="G106" s="40"/>
      <c r="H106" s="59"/>
      <c r="I106" s="82"/>
      <c r="J106" s="64">
        <f>H105</f>
        <v>27.2</v>
      </c>
      <c r="K106" s="79"/>
    </row>
    <row r="107" ht="19.5" customHeight="1">
      <c r="A107" s="74" t="s">
        <v>1</v>
      </c>
      <c r="B107" s="74" t="s">
        <v>91</v>
      </c>
      <c r="C107" s="74" t="s">
        <v>92</v>
      </c>
      <c r="D107" s="76" t="s">
        <v>93</v>
      </c>
      <c r="E107" s="50" t="s">
        <v>161</v>
      </c>
      <c r="F107" s="53"/>
      <c r="G107" s="53"/>
      <c r="H107" s="75" t="s">
        <v>100</v>
      </c>
      <c r="I107" s="75" t="s">
        <v>101</v>
      </c>
      <c r="J107" s="76" t="s">
        <v>95</v>
      </c>
      <c r="K107" s="74" t="s">
        <v>96</v>
      </c>
    </row>
    <row r="108" ht="19.5" customHeight="1">
      <c r="A108" s="126">
        <v>1.0</v>
      </c>
      <c r="B108" s="37" t="s">
        <v>245</v>
      </c>
      <c r="C108" s="46" t="s">
        <v>106</v>
      </c>
      <c r="D108" s="78">
        <v>5.0</v>
      </c>
      <c r="E108" s="37">
        <v>1.0</v>
      </c>
      <c r="F108" s="78"/>
      <c r="G108" s="40"/>
      <c r="H108" s="40">
        <f>E108*D108+6</f>
        <v>11</v>
      </c>
      <c r="I108" s="42"/>
      <c r="J108" s="64">
        <f t="shared" ref="J108:J126" si="19">H108</f>
        <v>11</v>
      </c>
      <c r="K108" s="46"/>
    </row>
    <row r="109" ht="19.5" customHeight="1">
      <c r="A109" s="126">
        <v>2.0</v>
      </c>
      <c r="B109" s="37" t="s">
        <v>245</v>
      </c>
      <c r="C109" s="46" t="s">
        <v>106</v>
      </c>
      <c r="D109" s="78"/>
      <c r="E109" s="37"/>
      <c r="F109" s="78"/>
      <c r="G109" s="40"/>
      <c r="H109" s="40">
        <f t="shared" ref="H109:H126" si="20">E109*D109</f>
        <v>0</v>
      </c>
      <c r="I109" s="42"/>
      <c r="J109" s="64">
        <f t="shared" si="19"/>
        <v>0</v>
      </c>
      <c r="K109" s="46"/>
    </row>
    <row r="110" ht="19.5" customHeight="1">
      <c r="A110" s="126">
        <v>3.0</v>
      </c>
      <c r="B110" s="37" t="s">
        <v>246</v>
      </c>
      <c r="C110" s="46" t="s">
        <v>106</v>
      </c>
      <c r="D110" s="78">
        <v>4.0</v>
      </c>
      <c r="E110" s="37">
        <v>1.0</v>
      </c>
      <c r="F110" s="78"/>
      <c r="G110" s="40"/>
      <c r="H110" s="40">
        <f t="shared" si="20"/>
        <v>4</v>
      </c>
      <c r="I110" s="42"/>
      <c r="J110" s="64">
        <f t="shared" si="19"/>
        <v>4</v>
      </c>
      <c r="K110" s="46"/>
    </row>
    <row r="111" ht="19.5" customHeight="1">
      <c r="A111" s="126">
        <v>4.0</v>
      </c>
      <c r="B111" s="37" t="s">
        <v>246</v>
      </c>
      <c r="C111" s="46" t="s">
        <v>106</v>
      </c>
      <c r="D111" s="78"/>
      <c r="E111" s="37"/>
      <c r="F111" s="78"/>
      <c r="G111" s="40"/>
      <c r="H111" s="40">
        <f t="shared" si="20"/>
        <v>0</v>
      </c>
      <c r="I111" s="42"/>
      <c r="J111" s="64">
        <f t="shared" si="19"/>
        <v>0</v>
      </c>
      <c r="K111" s="46"/>
    </row>
    <row r="112" ht="19.5" customHeight="1">
      <c r="A112" s="126">
        <v>5.0</v>
      </c>
      <c r="B112" s="37" t="s">
        <v>247</v>
      </c>
      <c r="C112" s="46" t="s">
        <v>106</v>
      </c>
      <c r="D112" s="78"/>
      <c r="E112" s="37"/>
      <c r="F112" s="78"/>
      <c r="G112" s="40"/>
      <c r="H112" s="40">
        <f t="shared" si="20"/>
        <v>0</v>
      </c>
      <c r="I112" s="42"/>
      <c r="J112" s="64">
        <f t="shared" si="19"/>
        <v>0</v>
      </c>
      <c r="K112" s="46"/>
    </row>
    <row r="113" ht="19.5" customHeight="1">
      <c r="A113" s="126">
        <v>6.0</v>
      </c>
      <c r="B113" s="37" t="s">
        <v>248</v>
      </c>
      <c r="C113" s="46" t="s">
        <v>106</v>
      </c>
      <c r="D113" s="78">
        <v>4.0</v>
      </c>
      <c r="E113" s="37">
        <v>1.0</v>
      </c>
      <c r="F113" s="78"/>
      <c r="G113" s="40"/>
      <c r="H113" s="40">
        <f t="shared" si="20"/>
        <v>4</v>
      </c>
      <c r="I113" s="42"/>
      <c r="J113" s="64">
        <f t="shared" si="19"/>
        <v>4</v>
      </c>
      <c r="K113" s="46"/>
    </row>
    <row r="114" ht="19.5" customHeight="1">
      <c r="A114" s="126">
        <v>7.0</v>
      </c>
      <c r="B114" s="37" t="s">
        <v>249</v>
      </c>
      <c r="C114" s="46" t="s">
        <v>106</v>
      </c>
      <c r="D114" s="78"/>
      <c r="E114" s="37"/>
      <c r="F114" s="78"/>
      <c r="G114" s="40"/>
      <c r="H114" s="40">
        <f t="shared" si="20"/>
        <v>0</v>
      </c>
      <c r="I114" s="42"/>
      <c r="J114" s="64">
        <f t="shared" si="19"/>
        <v>0</v>
      </c>
      <c r="K114" s="46"/>
    </row>
    <row r="115" ht="19.5" customHeight="1">
      <c r="A115" s="126">
        <v>8.0</v>
      </c>
      <c r="B115" s="37" t="s">
        <v>250</v>
      </c>
      <c r="C115" s="46" t="s">
        <v>106</v>
      </c>
      <c r="D115" s="123">
        <f>H114+H113+H112+H111+H110</f>
        <v>8</v>
      </c>
      <c r="E115" s="37">
        <v>1.0</v>
      </c>
      <c r="F115" s="40"/>
      <c r="G115" s="40"/>
      <c r="H115" s="40">
        <f t="shared" si="20"/>
        <v>8</v>
      </c>
      <c r="I115" s="40"/>
      <c r="J115" s="64">
        <f t="shared" si="19"/>
        <v>8</v>
      </c>
      <c r="K115" s="46"/>
    </row>
    <row r="116" ht="19.5" customHeight="1">
      <c r="A116" s="126">
        <v>9.0</v>
      </c>
      <c r="B116" s="37" t="s">
        <v>251</v>
      </c>
      <c r="C116" s="46" t="s">
        <v>106</v>
      </c>
      <c r="D116" s="123">
        <f>H109+H108</f>
        <v>11</v>
      </c>
      <c r="E116" s="37">
        <v>1.0</v>
      </c>
      <c r="F116" s="40"/>
      <c r="G116" s="40"/>
      <c r="H116" s="40">
        <f t="shared" si="20"/>
        <v>11</v>
      </c>
      <c r="I116" s="40"/>
      <c r="J116" s="64">
        <f t="shared" si="19"/>
        <v>11</v>
      </c>
      <c r="K116" s="46"/>
    </row>
    <row r="117" ht="19.5" customHeight="1">
      <c r="A117" s="126">
        <v>10.0</v>
      </c>
      <c r="B117" s="37" t="s">
        <v>252</v>
      </c>
      <c r="C117" s="46" t="s">
        <v>108</v>
      </c>
      <c r="D117" s="123"/>
      <c r="E117" s="37"/>
      <c r="F117" s="40"/>
      <c r="G117" s="40"/>
      <c r="H117" s="40">
        <f t="shared" si="20"/>
        <v>0</v>
      </c>
      <c r="I117" s="40"/>
      <c r="J117" s="64">
        <f t="shared" si="19"/>
        <v>0</v>
      </c>
      <c r="K117" s="46"/>
    </row>
    <row r="118" ht="19.5" customHeight="1">
      <c r="A118" s="126">
        <v>11.0</v>
      </c>
      <c r="B118" s="37" t="s">
        <v>641</v>
      </c>
      <c r="C118" s="46" t="s">
        <v>108</v>
      </c>
      <c r="D118" s="123">
        <v>100.0</v>
      </c>
      <c r="E118" s="37">
        <v>1.0</v>
      </c>
      <c r="F118" s="40"/>
      <c r="G118" s="40"/>
      <c r="H118" s="40">
        <f t="shared" si="20"/>
        <v>100</v>
      </c>
      <c r="I118" s="40"/>
      <c r="J118" s="64">
        <f t="shared" si="19"/>
        <v>100</v>
      </c>
      <c r="K118" s="46"/>
    </row>
    <row r="119" ht="19.5" customHeight="1">
      <c r="A119" s="126">
        <v>12.0</v>
      </c>
      <c r="B119" s="37" t="s">
        <v>254</v>
      </c>
      <c r="C119" s="46" t="s">
        <v>108</v>
      </c>
      <c r="D119" s="123">
        <v>40.0</v>
      </c>
      <c r="E119" s="37">
        <v>1.0</v>
      </c>
      <c r="F119" s="40"/>
      <c r="G119" s="40"/>
      <c r="H119" s="40">
        <f t="shared" si="20"/>
        <v>40</v>
      </c>
      <c r="I119" s="40"/>
      <c r="J119" s="64">
        <f t="shared" si="19"/>
        <v>40</v>
      </c>
      <c r="K119" s="46"/>
    </row>
    <row r="120" ht="19.5" customHeight="1">
      <c r="A120" s="126">
        <f t="shared" ref="A120:A126" si="21">A119+1</f>
        <v>13</v>
      </c>
      <c r="B120" s="37" t="s">
        <v>255</v>
      </c>
      <c r="C120" s="46" t="s">
        <v>108</v>
      </c>
      <c r="D120" s="123">
        <v>12.0</v>
      </c>
      <c r="E120" s="37">
        <v>19.0</v>
      </c>
      <c r="F120" s="40"/>
      <c r="G120" s="40"/>
      <c r="H120" s="40">
        <f t="shared" si="20"/>
        <v>228</v>
      </c>
      <c r="I120" s="40"/>
      <c r="J120" s="64">
        <f t="shared" si="19"/>
        <v>228</v>
      </c>
      <c r="K120" s="46"/>
    </row>
    <row r="121" ht="19.5" customHeight="1">
      <c r="A121" s="126">
        <f t="shared" si="21"/>
        <v>14</v>
      </c>
      <c r="B121" s="37" t="s">
        <v>256</v>
      </c>
      <c r="C121" s="46" t="s">
        <v>108</v>
      </c>
      <c r="D121" s="123">
        <v>12.0</v>
      </c>
      <c r="E121" s="37">
        <v>1.0</v>
      </c>
      <c r="F121" s="40"/>
      <c r="G121" s="40"/>
      <c r="H121" s="40">
        <f t="shared" si="20"/>
        <v>12</v>
      </c>
      <c r="I121" s="40"/>
      <c r="J121" s="64">
        <f t="shared" si="19"/>
        <v>12</v>
      </c>
      <c r="K121" s="46"/>
    </row>
    <row r="122" ht="19.5" customHeight="1">
      <c r="A122" s="126">
        <f t="shared" si="21"/>
        <v>15</v>
      </c>
      <c r="B122" s="37" t="s">
        <v>1301</v>
      </c>
      <c r="C122" s="46" t="s">
        <v>106</v>
      </c>
      <c r="D122" s="123">
        <v>1.0</v>
      </c>
      <c r="E122" s="37">
        <v>1.0</v>
      </c>
      <c r="F122" s="40"/>
      <c r="G122" s="40"/>
      <c r="H122" s="40">
        <f t="shared" si="20"/>
        <v>1</v>
      </c>
      <c r="I122" s="40"/>
      <c r="J122" s="64">
        <f t="shared" si="19"/>
        <v>1</v>
      </c>
      <c r="K122" s="46"/>
    </row>
    <row r="123" ht="19.5" customHeight="1">
      <c r="A123" s="126">
        <f t="shared" si="21"/>
        <v>16</v>
      </c>
      <c r="B123" s="37" t="s">
        <v>258</v>
      </c>
      <c r="C123" s="46" t="s">
        <v>106</v>
      </c>
      <c r="D123" s="123">
        <v>4.0</v>
      </c>
      <c r="E123" s="37">
        <v>1.0</v>
      </c>
      <c r="F123" s="40"/>
      <c r="G123" s="40"/>
      <c r="H123" s="40">
        <f t="shared" si="20"/>
        <v>4</v>
      </c>
      <c r="I123" s="40"/>
      <c r="J123" s="64">
        <f t="shared" si="19"/>
        <v>4</v>
      </c>
      <c r="K123" s="46"/>
    </row>
    <row r="124" ht="19.5" customHeight="1">
      <c r="A124" s="126">
        <f t="shared" si="21"/>
        <v>17</v>
      </c>
      <c r="B124" s="37" t="s">
        <v>259</v>
      </c>
      <c r="C124" s="46" t="s">
        <v>108</v>
      </c>
      <c r="D124" s="123"/>
      <c r="E124" s="37"/>
      <c r="F124" s="40"/>
      <c r="G124" s="40"/>
      <c r="H124" s="40">
        <f t="shared" si="20"/>
        <v>0</v>
      </c>
      <c r="I124" s="40"/>
      <c r="J124" s="64">
        <f t="shared" si="19"/>
        <v>0</v>
      </c>
      <c r="K124" s="46"/>
    </row>
    <row r="125" ht="19.5" customHeight="1">
      <c r="A125" s="126">
        <f t="shared" si="21"/>
        <v>18</v>
      </c>
      <c r="B125" s="37" t="s">
        <v>260</v>
      </c>
      <c r="C125" s="46" t="s">
        <v>108</v>
      </c>
      <c r="D125" s="123"/>
      <c r="E125" s="37"/>
      <c r="F125" s="40"/>
      <c r="G125" s="40"/>
      <c r="H125" s="40">
        <f t="shared" si="20"/>
        <v>0</v>
      </c>
      <c r="I125" s="40"/>
      <c r="J125" s="64">
        <f t="shared" si="19"/>
        <v>0</v>
      </c>
      <c r="K125" s="46"/>
    </row>
    <row r="126" ht="19.5" customHeight="1">
      <c r="A126" s="126">
        <f t="shared" si="21"/>
        <v>19</v>
      </c>
      <c r="B126" s="37" t="s">
        <v>261</v>
      </c>
      <c r="C126" s="46" t="s">
        <v>106</v>
      </c>
      <c r="D126" s="123">
        <v>2.0</v>
      </c>
      <c r="E126" s="37">
        <v>1.0</v>
      </c>
      <c r="F126" s="40"/>
      <c r="G126" s="40"/>
      <c r="H126" s="40">
        <f t="shared" si="20"/>
        <v>2</v>
      </c>
      <c r="I126" s="40"/>
      <c r="J126" s="64">
        <f t="shared" si="19"/>
        <v>2</v>
      </c>
      <c r="K126" s="46"/>
    </row>
    <row r="127" ht="19.5" customHeight="1">
      <c r="A127" s="415"/>
      <c r="C127" s="12"/>
      <c r="D127" s="87"/>
      <c r="F127" s="14"/>
      <c r="G127" s="14"/>
      <c r="H127" s="14"/>
      <c r="I127" s="14"/>
      <c r="J127" s="14"/>
      <c r="K127" s="12"/>
    </row>
    <row r="128" ht="19.5" customHeight="1">
      <c r="A128" s="74" t="s">
        <v>1</v>
      </c>
      <c r="B128" s="74" t="s">
        <v>91</v>
      </c>
      <c r="C128" s="74" t="s">
        <v>92</v>
      </c>
      <c r="D128" s="76" t="s">
        <v>93</v>
      </c>
      <c r="E128" s="50" t="s">
        <v>161</v>
      </c>
      <c r="F128" s="53" t="s">
        <v>121</v>
      </c>
      <c r="G128" s="53" t="s">
        <v>99</v>
      </c>
      <c r="H128" s="53" t="s">
        <v>100</v>
      </c>
      <c r="I128" s="53" t="s">
        <v>101</v>
      </c>
      <c r="J128" s="140" t="s">
        <v>95</v>
      </c>
      <c r="K128" s="74" t="s">
        <v>96</v>
      </c>
    </row>
    <row r="129" ht="19.5" customHeight="1">
      <c r="A129" s="126">
        <v>1.0</v>
      </c>
      <c r="B129" s="37" t="s">
        <v>287</v>
      </c>
      <c r="C129" s="46" t="s">
        <v>108</v>
      </c>
      <c r="D129" s="78">
        <v>24.0</v>
      </c>
      <c r="E129" s="37"/>
      <c r="F129" s="78"/>
      <c r="G129" s="40"/>
      <c r="H129" s="40"/>
      <c r="I129" s="42"/>
      <c r="J129" s="107"/>
      <c r="K129" s="46"/>
    </row>
    <row r="130" ht="19.5" customHeight="1">
      <c r="A130" s="126">
        <f t="shared" ref="A130:A166" si="22">A129+1</f>
        <v>2</v>
      </c>
      <c r="B130" s="37" t="s">
        <v>288</v>
      </c>
      <c r="C130" s="46" t="s">
        <v>108</v>
      </c>
      <c r="D130" s="78">
        <v>100.0</v>
      </c>
      <c r="E130" s="37"/>
      <c r="F130" s="78"/>
      <c r="G130" s="40"/>
      <c r="H130" s="40"/>
      <c r="I130" s="42"/>
      <c r="J130" s="107"/>
      <c r="K130" s="46"/>
    </row>
    <row r="131" ht="19.5" customHeight="1">
      <c r="A131" s="126">
        <f t="shared" si="22"/>
        <v>3</v>
      </c>
      <c r="B131" s="37" t="s">
        <v>289</v>
      </c>
      <c r="C131" s="46" t="s">
        <v>108</v>
      </c>
      <c r="D131" s="78">
        <v>100.0</v>
      </c>
      <c r="E131" s="37"/>
      <c r="F131" s="78"/>
      <c r="G131" s="40"/>
      <c r="H131" s="40"/>
      <c r="I131" s="42"/>
      <c r="J131" s="107"/>
      <c r="K131" s="46"/>
    </row>
    <row r="132" ht="19.5" customHeight="1">
      <c r="A132" s="126">
        <f t="shared" si="22"/>
        <v>4</v>
      </c>
      <c r="B132" s="37" t="s">
        <v>263</v>
      </c>
      <c r="C132" s="46" t="s">
        <v>108</v>
      </c>
      <c r="D132" s="78">
        <v>100.0</v>
      </c>
      <c r="E132" s="37"/>
      <c r="F132" s="78"/>
      <c r="G132" s="40"/>
      <c r="H132" s="40"/>
      <c r="I132" s="42"/>
      <c r="J132" s="107"/>
      <c r="K132" s="46"/>
    </row>
    <row r="133" ht="19.5" customHeight="1">
      <c r="A133" s="126">
        <f t="shared" si="22"/>
        <v>5</v>
      </c>
      <c r="B133" s="37" t="s">
        <v>264</v>
      </c>
      <c r="C133" s="46" t="s">
        <v>108</v>
      </c>
      <c r="D133" s="123">
        <v>100.0</v>
      </c>
      <c r="E133" s="37"/>
      <c r="F133" s="40"/>
      <c r="G133" s="40"/>
      <c r="H133" s="40"/>
      <c r="I133" s="40"/>
      <c r="J133" s="107"/>
      <c r="K133" s="46"/>
    </row>
    <row r="134" ht="19.5" customHeight="1">
      <c r="A134" s="126">
        <f t="shared" si="22"/>
        <v>6</v>
      </c>
      <c r="B134" s="37" t="s">
        <v>290</v>
      </c>
      <c r="C134" s="46" t="s">
        <v>108</v>
      </c>
      <c r="D134" s="123"/>
      <c r="E134" s="37"/>
      <c r="F134" s="40"/>
      <c r="G134" s="40"/>
      <c r="H134" s="40"/>
      <c r="I134" s="40"/>
      <c r="J134" s="107"/>
      <c r="K134" s="46"/>
    </row>
    <row r="135" ht="19.5" customHeight="1">
      <c r="A135" s="126">
        <f t="shared" si="22"/>
        <v>7</v>
      </c>
      <c r="B135" s="37" t="s">
        <v>291</v>
      </c>
      <c r="C135" s="46" t="s">
        <v>108</v>
      </c>
      <c r="D135" s="123"/>
      <c r="E135" s="37"/>
      <c r="F135" s="40"/>
      <c r="G135" s="40"/>
      <c r="H135" s="40"/>
      <c r="I135" s="40"/>
      <c r="J135" s="107"/>
      <c r="K135" s="46"/>
    </row>
    <row r="136" ht="19.5" customHeight="1">
      <c r="A136" s="126">
        <f t="shared" si="22"/>
        <v>8</v>
      </c>
      <c r="B136" s="37" t="s">
        <v>292</v>
      </c>
      <c r="C136" s="46" t="s">
        <v>106</v>
      </c>
      <c r="D136" s="123"/>
      <c r="E136" s="37"/>
      <c r="F136" s="40"/>
      <c r="G136" s="40"/>
      <c r="H136" s="40"/>
      <c r="I136" s="40"/>
      <c r="J136" s="107"/>
      <c r="K136" s="46"/>
    </row>
    <row r="137" ht="19.5" customHeight="1">
      <c r="A137" s="126">
        <f t="shared" si="22"/>
        <v>9</v>
      </c>
      <c r="B137" s="37" t="s">
        <v>293</v>
      </c>
      <c r="C137" s="46" t="s">
        <v>106</v>
      </c>
      <c r="D137" s="123">
        <v>8.0</v>
      </c>
      <c r="E137" s="37"/>
      <c r="F137" s="40"/>
      <c r="G137" s="40"/>
      <c r="H137" s="40"/>
      <c r="I137" s="40"/>
      <c r="J137" s="107"/>
      <c r="K137" s="46"/>
    </row>
    <row r="138" ht="19.5" customHeight="1">
      <c r="A138" s="126">
        <f t="shared" si="22"/>
        <v>10</v>
      </c>
      <c r="B138" s="37" t="s">
        <v>294</v>
      </c>
      <c r="C138" s="46" t="s">
        <v>106</v>
      </c>
      <c r="D138" s="123">
        <v>8.0</v>
      </c>
      <c r="E138" s="37"/>
      <c r="F138" s="40"/>
      <c r="G138" s="40"/>
      <c r="H138" s="40"/>
      <c r="I138" s="40"/>
      <c r="J138" s="107"/>
      <c r="K138" s="46"/>
    </row>
    <row r="139" ht="19.5" customHeight="1">
      <c r="A139" s="126">
        <f t="shared" si="22"/>
        <v>11</v>
      </c>
      <c r="B139" s="37" t="s">
        <v>295</v>
      </c>
      <c r="C139" s="46" t="s">
        <v>106</v>
      </c>
      <c r="D139" s="123">
        <v>8.0</v>
      </c>
      <c r="E139" s="37"/>
      <c r="F139" s="40"/>
      <c r="G139" s="40"/>
      <c r="H139" s="40"/>
      <c r="I139" s="40"/>
      <c r="J139" s="107"/>
      <c r="K139" s="46"/>
    </row>
    <row r="140" ht="19.5" customHeight="1">
      <c r="A140" s="126">
        <f t="shared" si="22"/>
        <v>12</v>
      </c>
      <c r="B140" s="37" t="s">
        <v>270</v>
      </c>
      <c r="C140" s="46" t="s">
        <v>106</v>
      </c>
      <c r="D140" s="123">
        <v>8.0</v>
      </c>
      <c r="E140" s="37"/>
      <c r="F140" s="40"/>
      <c r="G140" s="40"/>
      <c r="H140" s="40"/>
      <c r="I140" s="40"/>
      <c r="J140" s="107"/>
      <c r="K140" s="46"/>
    </row>
    <row r="141" ht="19.5" customHeight="1">
      <c r="A141" s="126">
        <f t="shared" si="22"/>
        <v>13</v>
      </c>
      <c r="B141" s="37" t="s">
        <v>296</v>
      </c>
      <c r="C141" s="46" t="s">
        <v>106</v>
      </c>
      <c r="D141" s="123"/>
      <c r="E141" s="37"/>
      <c r="F141" s="40"/>
      <c r="G141" s="40"/>
      <c r="H141" s="40"/>
      <c r="I141" s="40"/>
      <c r="J141" s="107"/>
      <c r="K141" s="46"/>
    </row>
    <row r="142" ht="19.5" customHeight="1">
      <c r="A142" s="126">
        <f t="shared" si="22"/>
        <v>14</v>
      </c>
      <c r="B142" s="37" t="s">
        <v>297</v>
      </c>
      <c r="C142" s="46" t="s">
        <v>106</v>
      </c>
      <c r="D142" s="123"/>
      <c r="E142" s="37"/>
      <c r="F142" s="40"/>
      <c r="G142" s="40"/>
      <c r="H142" s="40"/>
      <c r="I142" s="40"/>
      <c r="J142" s="107"/>
      <c r="K142" s="46"/>
    </row>
    <row r="143" ht="19.5" customHeight="1">
      <c r="A143" s="126">
        <f t="shared" si="22"/>
        <v>15</v>
      </c>
      <c r="B143" s="37" t="s">
        <v>298</v>
      </c>
      <c r="C143" s="46" t="s">
        <v>106</v>
      </c>
      <c r="D143" s="123">
        <v>8.0</v>
      </c>
      <c r="E143" s="37"/>
      <c r="F143" s="40"/>
      <c r="G143" s="40"/>
      <c r="H143" s="40"/>
      <c r="I143" s="40"/>
      <c r="J143" s="107"/>
      <c r="K143" s="46"/>
    </row>
    <row r="144" ht="19.5" customHeight="1">
      <c r="A144" s="126">
        <f t="shared" si="22"/>
        <v>16</v>
      </c>
      <c r="B144" s="37" t="s">
        <v>299</v>
      </c>
      <c r="C144" s="46" t="s">
        <v>106</v>
      </c>
      <c r="D144" s="123">
        <v>8.0</v>
      </c>
      <c r="E144" s="37"/>
      <c r="F144" s="40"/>
      <c r="G144" s="40"/>
      <c r="H144" s="40"/>
      <c r="I144" s="40"/>
      <c r="J144" s="107"/>
      <c r="K144" s="46"/>
    </row>
    <row r="145" ht="19.5" customHeight="1">
      <c r="A145" s="126">
        <f t="shared" si="22"/>
        <v>17</v>
      </c>
      <c r="B145" s="37" t="s">
        <v>300</v>
      </c>
      <c r="C145" s="46" t="s">
        <v>106</v>
      </c>
      <c r="D145" s="123">
        <v>8.0</v>
      </c>
      <c r="E145" s="37"/>
      <c r="F145" s="40"/>
      <c r="G145" s="40"/>
      <c r="H145" s="40"/>
      <c r="I145" s="40"/>
      <c r="J145" s="107"/>
      <c r="K145" s="46"/>
    </row>
    <row r="146" ht="19.5" customHeight="1">
      <c r="A146" s="126">
        <f t="shared" si="22"/>
        <v>18</v>
      </c>
      <c r="B146" s="37" t="s">
        <v>301</v>
      </c>
      <c r="C146" s="46" t="s">
        <v>106</v>
      </c>
      <c r="D146" s="123">
        <v>8.0</v>
      </c>
      <c r="E146" s="37"/>
      <c r="F146" s="40"/>
      <c r="G146" s="40"/>
      <c r="H146" s="40"/>
      <c r="I146" s="40"/>
      <c r="J146" s="107"/>
      <c r="K146" s="46"/>
    </row>
    <row r="147" ht="19.5" customHeight="1">
      <c r="A147" s="126">
        <f t="shared" si="22"/>
        <v>19</v>
      </c>
      <c r="B147" s="37" t="s">
        <v>302</v>
      </c>
      <c r="C147" s="46" t="s">
        <v>106</v>
      </c>
      <c r="D147" s="123">
        <v>8.0</v>
      </c>
      <c r="E147" s="37"/>
      <c r="F147" s="40"/>
      <c r="G147" s="40"/>
      <c r="H147" s="40"/>
      <c r="I147" s="40"/>
      <c r="J147" s="107"/>
      <c r="K147" s="46"/>
    </row>
    <row r="148" ht="19.5" customHeight="1">
      <c r="A148" s="126">
        <f t="shared" si="22"/>
        <v>20</v>
      </c>
      <c r="B148" s="37" t="s">
        <v>303</v>
      </c>
      <c r="C148" s="46" t="s">
        <v>106</v>
      </c>
      <c r="D148" s="123"/>
      <c r="E148" s="37"/>
      <c r="F148" s="40"/>
      <c r="G148" s="40"/>
      <c r="H148" s="40"/>
      <c r="I148" s="40"/>
      <c r="J148" s="107"/>
      <c r="K148" s="46"/>
    </row>
    <row r="149" ht="19.5" customHeight="1">
      <c r="A149" s="126">
        <f t="shared" si="22"/>
        <v>21</v>
      </c>
      <c r="B149" s="37" t="s">
        <v>304</v>
      </c>
      <c r="C149" s="46" t="s">
        <v>106</v>
      </c>
      <c r="D149" s="123"/>
      <c r="E149" s="37"/>
      <c r="F149" s="40"/>
      <c r="G149" s="40"/>
      <c r="H149" s="40"/>
      <c r="I149" s="40"/>
      <c r="J149" s="107"/>
      <c r="K149" s="46"/>
    </row>
    <row r="150" ht="19.5" customHeight="1">
      <c r="A150" s="126">
        <f t="shared" si="22"/>
        <v>22</v>
      </c>
      <c r="B150" s="37" t="s">
        <v>305</v>
      </c>
      <c r="C150" s="46" t="s">
        <v>106</v>
      </c>
      <c r="D150" s="123"/>
      <c r="E150" s="37"/>
      <c r="F150" s="40"/>
      <c r="G150" s="40"/>
      <c r="H150" s="40"/>
      <c r="I150" s="40"/>
      <c r="J150" s="107"/>
      <c r="K150" s="46"/>
    </row>
    <row r="151" ht="19.5" customHeight="1">
      <c r="A151" s="126">
        <f t="shared" si="22"/>
        <v>23</v>
      </c>
      <c r="B151" s="37" t="s">
        <v>306</v>
      </c>
      <c r="C151" s="46" t="s">
        <v>106</v>
      </c>
      <c r="D151" s="123"/>
      <c r="E151" s="37"/>
      <c r="F151" s="40"/>
      <c r="G151" s="40"/>
      <c r="H151" s="40"/>
      <c r="I151" s="40"/>
      <c r="J151" s="107"/>
      <c r="K151" s="46"/>
    </row>
    <row r="152" ht="19.5" customHeight="1">
      <c r="A152" s="126">
        <f t="shared" si="22"/>
        <v>24</v>
      </c>
      <c r="B152" s="37" t="s">
        <v>307</v>
      </c>
      <c r="C152" s="46" t="s">
        <v>106</v>
      </c>
      <c r="D152" s="123"/>
      <c r="E152" s="37"/>
      <c r="F152" s="40"/>
      <c r="G152" s="40"/>
      <c r="H152" s="40"/>
      <c r="I152" s="40"/>
      <c r="J152" s="107"/>
      <c r="K152" s="46"/>
    </row>
    <row r="153" ht="19.5" customHeight="1">
      <c r="A153" s="126">
        <f t="shared" si="22"/>
        <v>25</v>
      </c>
      <c r="B153" s="37" t="s">
        <v>308</v>
      </c>
      <c r="C153" s="46" t="s">
        <v>106</v>
      </c>
      <c r="D153" s="123"/>
      <c r="E153" s="37"/>
      <c r="F153" s="40"/>
      <c r="G153" s="40"/>
      <c r="H153" s="40"/>
      <c r="I153" s="40"/>
      <c r="J153" s="107"/>
      <c r="K153" s="46"/>
    </row>
    <row r="154" ht="19.5" customHeight="1">
      <c r="A154" s="126">
        <f t="shared" si="22"/>
        <v>26</v>
      </c>
      <c r="B154" s="37" t="s">
        <v>309</v>
      </c>
      <c r="C154" s="46" t="s">
        <v>106</v>
      </c>
      <c r="D154" s="123"/>
      <c r="E154" s="37"/>
      <c r="F154" s="40"/>
      <c r="G154" s="40"/>
      <c r="H154" s="40"/>
      <c r="I154" s="40"/>
      <c r="J154" s="107"/>
      <c r="K154" s="46"/>
    </row>
    <row r="155" ht="19.5" customHeight="1">
      <c r="A155" s="126">
        <f t="shared" si="22"/>
        <v>27</v>
      </c>
      <c r="B155" s="37" t="s">
        <v>310</v>
      </c>
      <c r="C155" s="46" t="s">
        <v>106</v>
      </c>
      <c r="D155" s="123"/>
      <c r="E155" s="37"/>
      <c r="F155" s="40"/>
      <c r="G155" s="40"/>
      <c r="H155" s="40"/>
      <c r="I155" s="40"/>
      <c r="J155" s="107"/>
      <c r="K155" s="46"/>
    </row>
    <row r="156" ht="19.5" customHeight="1">
      <c r="A156" s="126">
        <f t="shared" si="22"/>
        <v>28</v>
      </c>
      <c r="B156" s="37" t="s">
        <v>311</v>
      </c>
      <c r="C156" s="46" t="s">
        <v>106</v>
      </c>
      <c r="D156" s="123"/>
      <c r="E156" s="37"/>
      <c r="F156" s="40"/>
      <c r="G156" s="40"/>
      <c r="H156" s="40"/>
      <c r="I156" s="40"/>
      <c r="J156" s="107"/>
      <c r="K156" s="46"/>
    </row>
    <row r="157" ht="19.5" customHeight="1">
      <c r="A157" s="126">
        <f t="shared" si="22"/>
        <v>29</v>
      </c>
      <c r="B157" s="37" t="s">
        <v>312</v>
      </c>
      <c r="C157" s="46" t="s">
        <v>106</v>
      </c>
      <c r="D157" s="123"/>
      <c r="E157" s="37"/>
      <c r="F157" s="40"/>
      <c r="G157" s="40"/>
      <c r="H157" s="40"/>
      <c r="I157" s="40"/>
      <c r="J157" s="107"/>
      <c r="K157" s="46"/>
    </row>
    <row r="158" ht="19.5" customHeight="1">
      <c r="A158" s="126">
        <f t="shared" si="22"/>
        <v>30</v>
      </c>
      <c r="B158" s="37" t="s">
        <v>313</v>
      </c>
      <c r="C158" s="46" t="s">
        <v>106</v>
      </c>
      <c r="D158" s="123"/>
      <c r="E158" s="37"/>
      <c r="F158" s="40"/>
      <c r="G158" s="40"/>
      <c r="H158" s="40"/>
      <c r="I158" s="40"/>
      <c r="J158" s="107"/>
      <c r="K158" s="46"/>
    </row>
    <row r="159" ht="19.5" customHeight="1">
      <c r="A159" s="126">
        <f t="shared" si="22"/>
        <v>31</v>
      </c>
      <c r="B159" s="37" t="s">
        <v>314</v>
      </c>
      <c r="C159" s="46" t="s">
        <v>106</v>
      </c>
      <c r="D159" s="123"/>
      <c r="E159" s="37"/>
      <c r="F159" s="40"/>
      <c r="G159" s="40"/>
      <c r="H159" s="40"/>
      <c r="I159" s="40"/>
      <c r="J159" s="107"/>
      <c r="K159" s="46"/>
    </row>
    <row r="160" ht="19.5" customHeight="1">
      <c r="A160" s="126">
        <f t="shared" si="22"/>
        <v>32</v>
      </c>
      <c r="B160" s="37" t="s">
        <v>315</v>
      </c>
      <c r="C160" s="46" t="s">
        <v>106</v>
      </c>
      <c r="D160" s="123"/>
      <c r="E160" s="37"/>
      <c r="F160" s="40"/>
      <c r="G160" s="40"/>
      <c r="H160" s="40"/>
      <c r="I160" s="40"/>
      <c r="J160" s="107"/>
      <c r="K160" s="46"/>
    </row>
    <row r="161" ht="19.5" customHeight="1">
      <c r="A161" s="126">
        <f t="shared" si="22"/>
        <v>33</v>
      </c>
      <c r="B161" s="37" t="s">
        <v>316</v>
      </c>
      <c r="C161" s="46" t="s">
        <v>106</v>
      </c>
      <c r="D161" s="123"/>
      <c r="E161" s="37"/>
      <c r="F161" s="40"/>
      <c r="G161" s="40"/>
      <c r="H161" s="40"/>
      <c r="I161" s="40"/>
      <c r="J161" s="107"/>
      <c r="K161" s="46"/>
    </row>
    <row r="162" ht="19.5" customHeight="1">
      <c r="A162" s="126">
        <f t="shared" si="22"/>
        <v>34</v>
      </c>
      <c r="B162" s="37" t="s">
        <v>1391</v>
      </c>
      <c r="C162" s="46" t="s">
        <v>106</v>
      </c>
      <c r="D162" s="123"/>
      <c r="E162" s="37"/>
      <c r="F162" s="40"/>
      <c r="G162" s="40"/>
      <c r="H162" s="40"/>
      <c r="I162" s="40"/>
      <c r="J162" s="107"/>
      <c r="K162" s="46"/>
    </row>
    <row r="163" ht="19.5" customHeight="1">
      <c r="A163" s="126">
        <f t="shared" si="22"/>
        <v>35</v>
      </c>
      <c r="B163" s="37" t="s">
        <v>1392</v>
      </c>
      <c r="C163" s="46" t="s">
        <v>106</v>
      </c>
      <c r="D163" s="123">
        <v>3.0</v>
      </c>
      <c r="E163" s="37"/>
      <c r="F163" s="40"/>
      <c r="G163" s="40"/>
      <c r="H163" s="40"/>
      <c r="I163" s="40"/>
      <c r="J163" s="107"/>
      <c r="K163" s="46"/>
    </row>
    <row r="164" ht="19.5" customHeight="1">
      <c r="A164" s="126">
        <f t="shared" si="22"/>
        <v>36</v>
      </c>
      <c r="B164" s="37" t="s">
        <v>1393</v>
      </c>
      <c r="C164" s="46" t="s">
        <v>106</v>
      </c>
      <c r="D164" s="123">
        <v>6.0</v>
      </c>
      <c r="E164" s="37"/>
      <c r="F164" s="40"/>
      <c r="G164" s="40"/>
      <c r="H164" s="40"/>
      <c r="I164" s="40"/>
      <c r="J164" s="107"/>
      <c r="K164" s="46"/>
    </row>
    <row r="165" ht="19.5" customHeight="1">
      <c r="A165" s="126">
        <f t="shared" si="22"/>
        <v>37</v>
      </c>
      <c r="B165" s="37" t="s">
        <v>1394</v>
      </c>
      <c r="C165" s="46" t="s">
        <v>106</v>
      </c>
      <c r="D165" s="123">
        <v>4.0</v>
      </c>
      <c r="E165" s="37"/>
      <c r="F165" s="40"/>
      <c r="G165" s="40"/>
      <c r="H165" s="40"/>
      <c r="I165" s="40"/>
      <c r="J165" s="107"/>
      <c r="K165" s="46"/>
    </row>
    <row r="166" ht="19.5" customHeight="1">
      <c r="A166" s="126">
        <f t="shared" si="22"/>
        <v>38</v>
      </c>
      <c r="B166" s="37" t="s">
        <v>1395</v>
      </c>
      <c r="C166" s="46" t="s">
        <v>106</v>
      </c>
      <c r="D166" s="123">
        <v>8.0</v>
      </c>
      <c r="E166" s="37"/>
      <c r="F166" s="40"/>
      <c r="G166" s="40"/>
      <c r="H166" s="40"/>
      <c r="I166" s="40"/>
      <c r="J166" s="107"/>
      <c r="K166" s="46"/>
    </row>
    <row r="167" ht="19.5" customHeight="1">
      <c r="A167" s="126">
        <f>A163+1</f>
        <v>36</v>
      </c>
      <c r="B167" s="37" t="s">
        <v>319</v>
      </c>
      <c r="C167" s="46" t="s">
        <v>106</v>
      </c>
      <c r="D167" s="123"/>
      <c r="E167" s="37"/>
      <c r="F167" s="40"/>
      <c r="G167" s="40"/>
      <c r="H167" s="40"/>
      <c r="I167" s="40"/>
      <c r="J167" s="107"/>
      <c r="K167" s="46"/>
    </row>
    <row r="168" ht="19.5" customHeight="1">
      <c r="A168" s="126">
        <f t="shared" ref="A168:A174" si="23">A167+1</f>
        <v>37</v>
      </c>
      <c r="B168" s="37" t="s">
        <v>320</v>
      </c>
      <c r="C168" s="46" t="s">
        <v>106</v>
      </c>
      <c r="D168" s="123"/>
      <c r="E168" s="37"/>
      <c r="F168" s="40"/>
      <c r="G168" s="40"/>
      <c r="H168" s="40"/>
      <c r="I168" s="40"/>
      <c r="J168" s="107"/>
      <c r="K168" s="46"/>
    </row>
    <row r="169" ht="19.5" customHeight="1">
      <c r="A169" s="126">
        <f t="shared" si="23"/>
        <v>38</v>
      </c>
      <c r="B169" s="37" t="s">
        <v>321</v>
      </c>
      <c r="C169" s="46" t="s">
        <v>106</v>
      </c>
      <c r="D169" s="123"/>
      <c r="E169" s="37"/>
      <c r="F169" s="40"/>
      <c r="G169" s="40"/>
      <c r="H169" s="40"/>
      <c r="I169" s="40"/>
      <c r="J169" s="107"/>
      <c r="K169" s="46"/>
    </row>
    <row r="170" ht="19.5" customHeight="1">
      <c r="A170" s="126">
        <f t="shared" si="23"/>
        <v>39</v>
      </c>
      <c r="B170" s="37" t="s">
        <v>322</v>
      </c>
      <c r="C170" s="46" t="s">
        <v>106</v>
      </c>
      <c r="D170" s="123"/>
      <c r="E170" s="37"/>
      <c r="F170" s="40"/>
      <c r="G170" s="40"/>
      <c r="H170" s="40"/>
      <c r="I170" s="40"/>
      <c r="J170" s="107"/>
      <c r="K170" s="46"/>
    </row>
    <row r="171" ht="19.5" customHeight="1">
      <c r="A171" s="126">
        <f t="shared" si="23"/>
        <v>40</v>
      </c>
      <c r="B171" s="37" t="s">
        <v>323</v>
      </c>
      <c r="C171" s="46" t="s">
        <v>108</v>
      </c>
      <c r="D171" s="123">
        <v>200.0</v>
      </c>
      <c r="E171" s="37"/>
      <c r="F171" s="40"/>
      <c r="G171" s="40"/>
      <c r="H171" s="40"/>
      <c r="I171" s="40"/>
      <c r="J171" s="107"/>
      <c r="K171" s="46"/>
    </row>
    <row r="172" ht="19.5" customHeight="1">
      <c r="A172" s="126">
        <f t="shared" si="23"/>
        <v>41</v>
      </c>
      <c r="B172" s="37" t="s">
        <v>324</v>
      </c>
      <c r="C172" s="46" t="s">
        <v>325</v>
      </c>
      <c r="D172" s="123">
        <v>20.0</v>
      </c>
      <c r="E172" s="37"/>
      <c r="F172" s="40"/>
      <c r="G172" s="40"/>
      <c r="H172" s="40"/>
      <c r="I172" s="40"/>
      <c r="J172" s="107"/>
      <c r="K172" s="46"/>
    </row>
    <row r="173" ht="19.5" customHeight="1">
      <c r="A173" s="126">
        <f t="shared" si="23"/>
        <v>42</v>
      </c>
      <c r="B173" s="37" t="s">
        <v>1396</v>
      </c>
      <c r="C173" s="46" t="s">
        <v>325</v>
      </c>
      <c r="D173" s="123">
        <v>4.0</v>
      </c>
      <c r="E173" s="37"/>
      <c r="F173" s="40"/>
      <c r="G173" s="40"/>
      <c r="H173" s="40"/>
      <c r="I173" s="40"/>
      <c r="J173" s="107"/>
      <c r="K173" s="46"/>
    </row>
    <row r="174" ht="19.5" customHeight="1">
      <c r="A174" s="126">
        <f t="shared" si="23"/>
        <v>43</v>
      </c>
      <c r="B174" s="37" t="s">
        <v>1397</v>
      </c>
      <c r="C174" s="46" t="s">
        <v>325</v>
      </c>
      <c r="D174" s="123">
        <v>2.0</v>
      </c>
      <c r="E174" s="37"/>
      <c r="F174" s="40"/>
      <c r="G174" s="40"/>
      <c r="H174" s="40"/>
      <c r="I174" s="40"/>
      <c r="J174" s="107"/>
      <c r="K174" s="46"/>
    </row>
    <row r="175" ht="19.5" customHeight="1">
      <c r="A175" s="12"/>
      <c r="C175" s="12"/>
      <c r="D175" s="87"/>
      <c r="F175" s="14"/>
      <c r="G175" s="14"/>
      <c r="H175" s="14"/>
      <c r="I175" s="14"/>
      <c r="J175" s="14"/>
      <c r="K175" s="12"/>
    </row>
    <row r="176" ht="19.5" customHeight="1">
      <c r="A176" s="12"/>
      <c r="C176" s="12"/>
      <c r="D176" s="87"/>
      <c r="F176" s="14"/>
      <c r="G176" s="14"/>
      <c r="H176" s="14"/>
      <c r="I176" s="14"/>
      <c r="J176" s="14"/>
      <c r="K176" s="12"/>
    </row>
    <row r="177" ht="19.5" customHeight="1">
      <c r="A177" s="12"/>
      <c r="C177" s="12"/>
      <c r="D177" s="87"/>
      <c r="F177" s="14"/>
      <c r="G177" s="14"/>
      <c r="H177" s="14"/>
      <c r="I177" s="14"/>
      <c r="J177" s="14"/>
      <c r="K177" s="12"/>
    </row>
    <row r="178" ht="19.5" customHeight="1">
      <c r="A178" s="12"/>
      <c r="C178" s="12"/>
      <c r="D178" s="87"/>
      <c r="F178" s="14"/>
      <c r="G178" s="14"/>
      <c r="H178" s="14"/>
      <c r="I178" s="14"/>
      <c r="J178" s="14"/>
      <c r="K178" s="12"/>
    </row>
    <row r="179" ht="19.5" customHeight="1">
      <c r="A179" s="12"/>
      <c r="C179" s="12"/>
      <c r="D179" s="87"/>
      <c r="F179" s="14"/>
      <c r="G179" s="14"/>
      <c r="H179" s="14"/>
      <c r="I179" s="14"/>
      <c r="J179" s="14"/>
      <c r="K179" s="12"/>
    </row>
    <row r="180" ht="19.5" customHeight="1">
      <c r="A180" s="12"/>
      <c r="C180" s="12"/>
      <c r="D180" s="87"/>
      <c r="F180" s="14"/>
      <c r="G180" s="14"/>
      <c r="H180" s="14"/>
      <c r="I180" s="14"/>
      <c r="J180" s="14"/>
      <c r="K180" s="12"/>
    </row>
    <row r="181" ht="19.5" customHeight="1">
      <c r="A181" s="12"/>
      <c r="C181" s="12"/>
      <c r="D181" s="87"/>
      <c r="F181" s="14"/>
      <c r="G181" s="14"/>
      <c r="H181" s="14"/>
      <c r="I181" s="14"/>
      <c r="J181" s="14"/>
      <c r="K181" s="12"/>
    </row>
    <row r="182" ht="19.5" customHeight="1">
      <c r="A182" s="12"/>
      <c r="C182" s="12"/>
      <c r="D182" s="87"/>
      <c r="F182" s="14"/>
      <c r="G182" s="14"/>
      <c r="H182" s="14"/>
      <c r="I182" s="14"/>
      <c r="J182" s="14"/>
      <c r="K182" s="12"/>
    </row>
    <row r="183" ht="19.5" customHeight="1">
      <c r="A183" s="12"/>
      <c r="C183" s="12"/>
      <c r="D183" s="87"/>
      <c r="F183" s="14"/>
      <c r="G183" s="14"/>
      <c r="H183" s="14"/>
      <c r="I183" s="14"/>
      <c r="J183" s="14"/>
      <c r="K183" s="12"/>
    </row>
    <row r="184" ht="19.5" customHeight="1">
      <c r="A184" s="12"/>
      <c r="C184" s="12"/>
      <c r="D184" s="87"/>
      <c r="F184" s="14"/>
      <c r="G184" s="14"/>
      <c r="H184" s="14"/>
      <c r="I184" s="14"/>
      <c r="J184" s="14"/>
      <c r="K184" s="12"/>
    </row>
    <row r="185" ht="19.5" customHeight="1">
      <c r="A185" s="12"/>
      <c r="C185" s="12"/>
      <c r="D185" s="87"/>
      <c r="F185" s="14"/>
      <c r="G185" s="14"/>
      <c r="H185" s="14"/>
      <c r="I185" s="14"/>
      <c r="J185" s="14"/>
      <c r="K185" s="12"/>
    </row>
    <row r="186" ht="19.5" customHeight="1">
      <c r="A186" s="12"/>
      <c r="C186" s="12"/>
      <c r="D186" s="87"/>
      <c r="F186" s="14"/>
      <c r="G186" s="14"/>
      <c r="H186" s="14"/>
      <c r="I186" s="14"/>
      <c r="J186" s="14"/>
      <c r="K186" s="12"/>
    </row>
    <row r="187" ht="19.5" customHeight="1">
      <c r="A187" s="12"/>
      <c r="C187" s="12"/>
      <c r="D187" s="87"/>
      <c r="F187" s="14"/>
      <c r="G187" s="14"/>
      <c r="H187" s="14"/>
      <c r="I187" s="14"/>
      <c r="J187" s="14"/>
      <c r="K187" s="12"/>
    </row>
    <row r="188" ht="19.5" customHeight="1">
      <c r="A188" s="12"/>
      <c r="C188" s="12"/>
      <c r="D188" s="87"/>
      <c r="F188" s="14"/>
      <c r="G188" s="14"/>
      <c r="H188" s="14"/>
      <c r="I188" s="14"/>
      <c r="J188" s="14"/>
      <c r="K188" s="12"/>
    </row>
    <row r="189" ht="19.5" customHeight="1">
      <c r="A189" s="12"/>
      <c r="C189" s="12"/>
      <c r="D189" s="87"/>
      <c r="F189" s="14"/>
      <c r="G189" s="14"/>
      <c r="H189" s="14"/>
      <c r="I189" s="14"/>
      <c r="J189" s="14"/>
      <c r="K189" s="12"/>
    </row>
    <row r="190" ht="19.5" customHeight="1">
      <c r="A190" s="12"/>
      <c r="C190" s="12"/>
      <c r="D190" s="87"/>
      <c r="F190" s="14"/>
      <c r="G190" s="14"/>
      <c r="H190" s="14"/>
      <c r="I190" s="14"/>
      <c r="J190" s="14"/>
      <c r="K190" s="12"/>
    </row>
    <row r="191" ht="19.5" customHeight="1">
      <c r="A191" s="12"/>
      <c r="C191" s="12"/>
      <c r="D191" s="87"/>
      <c r="F191" s="14"/>
      <c r="G191" s="14"/>
      <c r="H191" s="14"/>
      <c r="I191" s="14"/>
      <c r="J191" s="14"/>
      <c r="K191" s="12"/>
    </row>
    <row r="192" ht="19.5" customHeight="1">
      <c r="A192" s="12"/>
      <c r="C192" s="12"/>
      <c r="D192" s="87"/>
      <c r="F192" s="14"/>
      <c r="G192" s="14"/>
      <c r="H192" s="14"/>
      <c r="I192" s="14"/>
      <c r="J192" s="14"/>
      <c r="K192" s="12"/>
    </row>
    <row r="193" ht="19.5" customHeight="1">
      <c r="A193" s="12"/>
      <c r="C193" s="12"/>
      <c r="D193" s="87"/>
      <c r="F193" s="14"/>
      <c r="G193" s="14"/>
      <c r="H193" s="14"/>
      <c r="I193" s="14"/>
      <c r="J193" s="14"/>
      <c r="K193" s="12"/>
    </row>
    <row r="194" ht="19.5" customHeight="1">
      <c r="A194" s="12"/>
      <c r="C194" s="12"/>
      <c r="D194" s="87"/>
      <c r="F194" s="14"/>
      <c r="G194" s="14"/>
      <c r="H194" s="14"/>
      <c r="I194" s="14"/>
      <c r="J194" s="14"/>
      <c r="K194" s="12"/>
    </row>
    <row r="195" ht="19.5" customHeight="1">
      <c r="A195" s="12"/>
      <c r="C195" s="12"/>
      <c r="D195" s="87"/>
      <c r="F195" s="14"/>
      <c r="G195" s="14"/>
      <c r="H195" s="14"/>
      <c r="I195" s="14"/>
      <c r="J195" s="14"/>
      <c r="K195" s="12"/>
    </row>
    <row r="196" ht="19.5" customHeight="1">
      <c r="A196" s="12"/>
      <c r="C196" s="12"/>
      <c r="D196" s="87"/>
      <c r="F196" s="14"/>
      <c r="G196" s="14"/>
      <c r="H196" s="14"/>
      <c r="I196" s="14"/>
      <c r="J196" s="14"/>
      <c r="K196" s="12"/>
    </row>
    <row r="197" ht="19.5" customHeight="1">
      <c r="A197" s="12"/>
      <c r="C197" s="12"/>
      <c r="D197" s="87"/>
      <c r="F197" s="14"/>
      <c r="G197" s="14"/>
      <c r="H197" s="14"/>
      <c r="I197" s="14"/>
      <c r="J197" s="14"/>
      <c r="K197" s="12"/>
    </row>
    <row r="198" ht="19.5" customHeight="1">
      <c r="A198" s="12"/>
      <c r="C198" s="12"/>
      <c r="D198" s="87"/>
      <c r="F198" s="14"/>
      <c r="G198" s="14"/>
      <c r="H198" s="14"/>
      <c r="I198" s="14"/>
      <c r="J198" s="14"/>
      <c r="K198" s="12"/>
    </row>
    <row r="199" ht="19.5" customHeight="1">
      <c r="A199" s="12"/>
      <c r="C199" s="12"/>
      <c r="D199" s="87"/>
      <c r="F199" s="14"/>
      <c r="G199" s="14"/>
      <c r="H199" s="14"/>
      <c r="I199" s="14"/>
      <c r="J199" s="14"/>
      <c r="K199" s="12"/>
    </row>
    <row r="200" ht="19.5" customHeight="1">
      <c r="A200" s="12"/>
      <c r="C200" s="12"/>
      <c r="D200" s="87"/>
      <c r="F200" s="14"/>
      <c r="G200" s="14"/>
      <c r="H200" s="14"/>
      <c r="I200" s="14"/>
      <c r="J200" s="14"/>
      <c r="K200" s="12"/>
    </row>
    <row r="201" ht="19.5" customHeight="1">
      <c r="A201" s="12"/>
      <c r="C201" s="12"/>
      <c r="D201" s="87"/>
      <c r="F201" s="14"/>
      <c r="G201" s="14"/>
      <c r="H201" s="14"/>
      <c r="I201" s="14"/>
      <c r="J201" s="14"/>
      <c r="K201" s="12"/>
    </row>
    <row r="202" ht="19.5" customHeight="1">
      <c r="A202" s="12"/>
      <c r="C202" s="12"/>
      <c r="D202" s="87"/>
      <c r="F202" s="14"/>
      <c r="G202" s="14"/>
      <c r="H202" s="14"/>
      <c r="I202" s="14"/>
      <c r="J202" s="14"/>
      <c r="K202" s="12"/>
    </row>
    <row r="203" ht="19.5" customHeight="1">
      <c r="A203" s="12"/>
      <c r="C203" s="12"/>
      <c r="D203" s="87"/>
      <c r="F203" s="14"/>
      <c r="G203" s="14"/>
      <c r="H203" s="14"/>
      <c r="I203" s="14"/>
      <c r="J203" s="14"/>
      <c r="K203" s="12"/>
    </row>
    <row r="204" ht="19.5" customHeight="1">
      <c r="A204" s="12"/>
      <c r="C204" s="12"/>
      <c r="D204" s="87"/>
      <c r="F204" s="14"/>
      <c r="G204" s="14"/>
      <c r="H204" s="14"/>
      <c r="I204" s="14"/>
      <c r="J204" s="14"/>
      <c r="K204" s="12"/>
    </row>
    <row r="205" ht="19.5" customHeight="1">
      <c r="A205" s="12"/>
      <c r="C205" s="12"/>
      <c r="D205" s="87"/>
      <c r="F205" s="14"/>
      <c r="G205" s="14"/>
      <c r="H205" s="14"/>
      <c r="I205" s="14"/>
      <c r="J205" s="14"/>
      <c r="K205" s="12"/>
    </row>
    <row r="206" ht="19.5" customHeight="1">
      <c r="A206" s="12"/>
      <c r="C206" s="12"/>
      <c r="D206" s="87"/>
      <c r="F206" s="14"/>
      <c r="G206" s="14"/>
      <c r="H206" s="14"/>
      <c r="I206" s="14"/>
      <c r="J206" s="14"/>
      <c r="K206" s="12"/>
    </row>
    <row r="207" ht="19.5" customHeight="1">
      <c r="A207" s="12"/>
      <c r="C207" s="12"/>
      <c r="D207" s="87"/>
      <c r="F207" s="14"/>
      <c r="G207" s="14"/>
      <c r="H207" s="14"/>
      <c r="I207" s="14"/>
      <c r="J207" s="14"/>
      <c r="K207" s="12"/>
    </row>
    <row r="208" ht="19.5" customHeight="1">
      <c r="A208" s="12"/>
      <c r="C208" s="12"/>
      <c r="D208" s="87"/>
      <c r="F208" s="14"/>
      <c r="G208" s="14"/>
      <c r="H208" s="14"/>
      <c r="I208" s="14"/>
      <c r="J208" s="14"/>
      <c r="K208" s="12"/>
    </row>
    <row r="209" ht="19.5" customHeight="1">
      <c r="A209" s="12"/>
      <c r="C209" s="12"/>
      <c r="D209" s="87"/>
      <c r="F209" s="14"/>
      <c r="G209" s="14"/>
      <c r="H209" s="14"/>
      <c r="I209" s="14"/>
      <c r="J209" s="14"/>
      <c r="K209" s="12"/>
    </row>
    <row r="210" ht="19.5" customHeight="1">
      <c r="A210" s="12"/>
      <c r="C210" s="12"/>
      <c r="D210" s="87"/>
      <c r="F210" s="14"/>
      <c r="G210" s="14"/>
      <c r="H210" s="14"/>
      <c r="I210" s="14"/>
      <c r="J210" s="14"/>
      <c r="K210" s="12"/>
    </row>
    <row r="211" ht="19.5" customHeight="1">
      <c r="A211" s="12"/>
      <c r="C211" s="12"/>
      <c r="D211" s="87"/>
      <c r="F211" s="14"/>
      <c r="G211" s="14"/>
      <c r="H211" s="14"/>
      <c r="I211" s="14"/>
      <c r="J211" s="14"/>
      <c r="K211" s="12"/>
    </row>
    <row r="212" ht="19.5" customHeight="1">
      <c r="A212" s="12"/>
      <c r="C212" s="12"/>
      <c r="D212" s="87"/>
      <c r="F212" s="14"/>
      <c r="G212" s="14"/>
      <c r="H212" s="14"/>
      <c r="I212" s="14"/>
      <c r="J212" s="14"/>
      <c r="K212" s="12"/>
    </row>
    <row r="213" ht="19.5" customHeight="1">
      <c r="A213" s="12"/>
      <c r="C213" s="12"/>
      <c r="D213" s="87"/>
      <c r="F213" s="14"/>
      <c r="G213" s="14"/>
      <c r="H213" s="14"/>
      <c r="I213" s="14"/>
      <c r="J213" s="14"/>
      <c r="K213" s="12"/>
    </row>
    <row r="214" ht="19.5" customHeight="1">
      <c r="A214" s="12"/>
      <c r="C214" s="12"/>
      <c r="D214" s="87"/>
      <c r="F214" s="14"/>
      <c r="G214" s="14"/>
      <c r="H214" s="14"/>
      <c r="I214" s="14"/>
      <c r="J214" s="14"/>
      <c r="K214" s="12"/>
    </row>
    <row r="215" ht="19.5" customHeight="1">
      <c r="A215" s="12"/>
      <c r="C215" s="12"/>
      <c r="D215" s="87"/>
      <c r="F215" s="14"/>
      <c r="G215" s="14"/>
      <c r="H215" s="14"/>
      <c r="I215" s="14"/>
      <c r="J215" s="14"/>
      <c r="K215" s="12"/>
    </row>
    <row r="216" ht="19.5" customHeight="1">
      <c r="A216" s="12"/>
      <c r="C216" s="12"/>
      <c r="D216" s="87"/>
      <c r="F216" s="14"/>
      <c r="G216" s="14"/>
      <c r="H216" s="14"/>
      <c r="I216" s="14"/>
      <c r="J216" s="14"/>
      <c r="K216" s="12"/>
    </row>
    <row r="217" ht="19.5" customHeight="1">
      <c r="A217" s="12"/>
      <c r="C217" s="12"/>
      <c r="D217" s="87"/>
      <c r="F217" s="14"/>
      <c r="G217" s="14"/>
      <c r="H217" s="14"/>
      <c r="I217" s="14"/>
      <c r="J217" s="14"/>
      <c r="K217" s="12"/>
    </row>
    <row r="218" ht="19.5" customHeight="1">
      <c r="A218" s="12"/>
      <c r="C218" s="12"/>
      <c r="D218" s="87"/>
      <c r="F218" s="14"/>
      <c r="G218" s="14"/>
      <c r="H218" s="14"/>
      <c r="I218" s="14"/>
      <c r="J218" s="14"/>
      <c r="K218" s="12"/>
    </row>
    <row r="219" ht="19.5" customHeight="1">
      <c r="A219" s="12"/>
      <c r="C219" s="12"/>
      <c r="D219" s="87"/>
      <c r="F219" s="14"/>
      <c r="G219" s="14"/>
      <c r="H219" s="14"/>
      <c r="I219" s="14"/>
      <c r="J219" s="14"/>
      <c r="K219" s="12"/>
    </row>
    <row r="220" ht="19.5" customHeight="1">
      <c r="A220" s="12"/>
      <c r="C220" s="12"/>
      <c r="D220" s="87"/>
      <c r="F220" s="14"/>
      <c r="G220" s="14"/>
      <c r="H220" s="14"/>
      <c r="I220" s="14"/>
      <c r="J220" s="14"/>
      <c r="K220" s="12"/>
    </row>
    <row r="221" ht="19.5" customHeight="1">
      <c r="A221" s="12"/>
      <c r="C221" s="12"/>
      <c r="D221" s="87"/>
      <c r="F221" s="14"/>
      <c r="G221" s="14"/>
      <c r="H221" s="14"/>
      <c r="I221" s="14"/>
      <c r="J221" s="14"/>
      <c r="K221" s="12"/>
    </row>
    <row r="222" ht="19.5" customHeight="1">
      <c r="A222" s="12"/>
      <c r="C222" s="12"/>
      <c r="D222" s="87"/>
      <c r="F222" s="14"/>
      <c r="G222" s="14"/>
      <c r="H222" s="14"/>
      <c r="I222" s="14"/>
      <c r="J222" s="14"/>
      <c r="K222" s="12"/>
    </row>
    <row r="223" ht="19.5" customHeight="1">
      <c r="A223" s="12"/>
      <c r="C223" s="12"/>
      <c r="D223" s="87"/>
      <c r="F223" s="14"/>
      <c r="G223" s="14"/>
      <c r="H223" s="14"/>
      <c r="I223" s="14"/>
      <c r="J223" s="14"/>
      <c r="K223" s="12"/>
    </row>
    <row r="224" ht="19.5" customHeight="1">
      <c r="A224" s="12"/>
      <c r="C224" s="12"/>
      <c r="D224" s="87"/>
      <c r="F224" s="14"/>
      <c r="G224" s="14"/>
      <c r="H224" s="14"/>
      <c r="I224" s="14"/>
      <c r="J224" s="14"/>
      <c r="K224" s="12"/>
    </row>
    <row r="225" ht="19.5" customHeight="1">
      <c r="A225" s="12"/>
      <c r="C225" s="12"/>
      <c r="D225" s="87"/>
      <c r="F225" s="14"/>
      <c r="G225" s="14"/>
      <c r="H225" s="14"/>
      <c r="I225" s="14"/>
      <c r="J225" s="14"/>
      <c r="K225" s="12"/>
    </row>
    <row r="226" ht="19.5" customHeight="1">
      <c r="A226" s="12"/>
      <c r="C226" s="12"/>
      <c r="D226" s="87"/>
      <c r="F226" s="14"/>
      <c r="G226" s="14"/>
      <c r="H226" s="14"/>
      <c r="I226" s="14"/>
      <c r="J226" s="14"/>
      <c r="K226" s="12"/>
    </row>
    <row r="227" ht="19.5" customHeight="1">
      <c r="A227" s="12"/>
      <c r="C227" s="12"/>
      <c r="D227" s="87"/>
      <c r="F227" s="14"/>
      <c r="G227" s="14"/>
      <c r="H227" s="14"/>
      <c r="I227" s="14"/>
      <c r="J227" s="14"/>
      <c r="K227" s="12"/>
    </row>
    <row r="228" ht="19.5" customHeight="1">
      <c r="A228" s="12"/>
      <c r="C228" s="12"/>
      <c r="D228" s="87"/>
      <c r="F228" s="14"/>
      <c r="G228" s="14"/>
      <c r="H228" s="14"/>
      <c r="I228" s="14"/>
      <c r="J228" s="14"/>
      <c r="K228" s="12"/>
    </row>
    <row r="229" ht="19.5" customHeight="1">
      <c r="A229" s="12"/>
      <c r="C229" s="12"/>
      <c r="D229" s="87"/>
      <c r="F229" s="14"/>
      <c r="G229" s="14"/>
      <c r="H229" s="14"/>
      <c r="I229" s="14"/>
      <c r="J229" s="14"/>
      <c r="K229" s="12"/>
    </row>
    <row r="230" ht="19.5" customHeight="1">
      <c r="A230" s="12"/>
      <c r="C230" s="12"/>
      <c r="D230" s="87"/>
      <c r="F230" s="14"/>
      <c r="G230" s="14"/>
      <c r="H230" s="14"/>
      <c r="I230" s="14"/>
      <c r="J230" s="14"/>
      <c r="K230" s="12"/>
    </row>
    <row r="231" ht="19.5" customHeight="1">
      <c r="A231" s="12"/>
      <c r="C231" s="12"/>
      <c r="D231" s="87"/>
      <c r="F231" s="14"/>
      <c r="G231" s="14"/>
      <c r="H231" s="14"/>
      <c r="I231" s="14"/>
      <c r="J231" s="14"/>
      <c r="K231" s="12"/>
    </row>
    <row r="232" ht="19.5" customHeight="1">
      <c r="A232" s="12"/>
      <c r="C232" s="12"/>
      <c r="D232" s="87"/>
      <c r="F232" s="14"/>
      <c r="G232" s="14"/>
      <c r="H232" s="14"/>
      <c r="I232" s="14"/>
      <c r="J232" s="14"/>
      <c r="K232" s="12"/>
    </row>
    <row r="233" ht="19.5" customHeight="1">
      <c r="A233" s="12"/>
      <c r="C233" s="12"/>
      <c r="D233" s="87"/>
      <c r="F233" s="14"/>
      <c r="G233" s="14"/>
      <c r="H233" s="14"/>
      <c r="I233" s="14"/>
      <c r="J233" s="14"/>
      <c r="K233" s="12"/>
    </row>
    <row r="234" ht="19.5" customHeight="1">
      <c r="A234" s="12"/>
      <c r="C234" s="12"/>
      <c r="D234" s="87"/>
      <c r="F234" s="14"/>
      <c r="G234" s="14"/>
      <c r="H234" s="14"/>
      <c r="I234" s="14"/>
      <c r="J234" s="14"/>
      <c r="K234" s="12"/>
    </row>
    <row r="235" ht="19.5" customHeight="1">
      <c r="A235" s="12"/>
      <c r="C235" s="12"/>
      <c r="D235" s="87"/>
      <c r="F235" s="14"/>
      <c r="G235" s="14"/>
      <c r="H235" s="14"/>
      <c r="I235" s="14"/>
      <c r="J235" s="14"/>
      <c r="K235" s="12"/>
    </row>
    <row r="236" ht="19.5" customHeight="1">
      <c r="A236" s="12"/>
      <c r="C236" s="12"/>
      <c r="D236" s="87"/>
      <c r="F236" s="14"/>
      <c r="G236" s="14"/>
      <c r="H236" s="14"/>
      <c r="I236" s="14"/>
      <c r="J236" s="14"/>
      <c r="K236" s="12"/>
    </row>
    <row r="237" ht="19.5" customHeight="1">
      <c r="A237" s="12"/>
      <c r="C237" s="12"/>
      <c r="D237" s="87"/>
      <c r="F237" s="14"/>
      <c r="G237" s="14"/>
      <c r="H237" s="14"/>
      <c r="I237" s="14"/>
      <c r="J237" s="14"/>
      <c r="K237" s="12"/>
    </row>
    <row r="238" ht="19.5" customHeight="1">
      <c r="A238" s="12"/>
      <c r="C238" s="12"/>
      <c r="D238" s="87"/>
      <c r="F238" s="14"/>
      <c r="G238" s="14"/>
      <c r="H238" s="14"/>
      <c r="I238" s="14"/>
      <c r="J238" s="14"/>
      <c r="K238" s="12"/>
    </row>
    <row r="239" ht="19.5" customHeight="1">
      <c r="A239" s="12"/>
      <c r="C239" s="12"/>
      <c r="D239" s="87"/>
      <c r="F239" s="14"/>
      <c r="G239" s="14"/>
      <c r="H239" s="14"/>
      <c r="I239" s="14"/>
      <c r="J239" s="14"/>
      <c r="K239" s="12"/>
    </row>
    <row r="240" ht="19.5" customHeight="1">
      <c r="A240" s="12"/>
      <c r="C240" s="12"/>
      <c r="D240" s="87"/>
      <c r="F240" s="14"/>
      <c r="G240" s="14"/>
      <c r="H240" s="14"/>
      <c r="I240" s="14"/>
      <c r="J240" s="14"/>
      <c r="K240" s="12"/>
    </row>
    <row r="241" ht="19.5" customHeight="1">
      <c r="A241" s="12"/>
      <c r="C241" s="12"/>
      <c r="D241" s="87"/>
      <c r="F241" s="14"/>
      <c r="G241" s="14"/>
      <c r="H241" s="14"/>
      <c r="I241" s="14"/>
      <c r="J241" s="14"/>
      <c r="K241" s="12"/>
    </row>
    <row r="242" ht="19.5" customHeight="1">
      <c r="A242" s="12"/>
      <c r="C242" s="12"/>
      <c r="D242" s="87"/>
      <c r="F242" s="14"/>
      <c r="G242" s="14"/>
      <c r="H242" s="14"/>
      <c r="I242" s="14"/>
      <c r="J242" s="14"/>
      <c r="K242" s="12"/>
    </row>
    <row r="243" ht="19.5" customHeight="1">
      <c r="A243" s="12"/>
      <c r="C243" s="12"/>
      <c r="D243" s="87"/>
      <c r="F243" s="14"/>
      <c r="G243" s="14"/>
      <c r="H243" s="14"/>
      <c r="I243" s="14"/>
      <c r="J243" s="14"/>
      <c r="K243" s="12"/>
    </row>
    <row r="244" ht="19.5" customHeight="1">
      <c r="A244" s="12"/>
      <c r="C244" s="12"/>
      <c r="D244" s="87"/>
      <c r="F244" s="14"/>
      <c r="G244" s="14"/>
      <c r="H244" s="14"/>
      <c r="I244" s="14"/>
      <c r="J244" s="14"/>
      <c r="K244" s="12"/>
    </row>
    <row r="245" ht="19.5" customHeight="1">
      <c r="A245" s="12"/>
      <c r="C245" s="12"/>
      <c r="D245" s="87"/>
      <c r="F245" s="14"/>
      <c r="G245" s="14"/>
      <c r="H245" s="14"/>
      <c r="I245" s="14"/>
      <c r="J245" s="14"/>
      <c r="K245" s="12"/>
    </row>
    <row r="246" ht="19.5" customHeight="1">
      <c r="A246" s="12"/>
      <c r="C246" s="12"/>
      <c r="D246" s="87"/>
      <c r="F246" s="14"/>
      <c r="G246" s="14"/>
      <c r="H246" s="14"/>
      <c r="I246" s="14"/>
      <c r="J246" s="14"/>
      <c r="K246" s="12"/>
    </row>
    <row r="247" ht="19.5" customHeight="1">
      <c r="A247" s="12"/>
      <c r="C247" s="12"/>
      <c r="D247" s="87"/>
      <c r="F247" s="14"/>
      <c r="G247" s="14"/>
      <c r="H247" s="14"/>
      <c r="I247" s="14"/>
      <c r="J247" s="14"/>
      <c r="K247" s="12"/>
    </row>
    <row r="248" ht="19.5" customHeight="1">
      <c r="A248" s="12"/>
      <c r="C248" s="12"/>
      <c r="D248" s="87"/>
      <c r="F248" s="14"/>
      <c r="G248" s="14"/>
      <c r="H248" s="14"/>
      <c r="I248" s="14"/>
      <c r="J248" s="14"/>
      <c r="K248" s="12"/>
    </row>
    <row r="249" ht="19.5" customHeight="1">
      <c r="A249" s="12"/>
      <c r="C249" s="12"/>
      <c r="D249" s="87"/>
      <c r="F249" s="14"/>
      <c r="G249" s="14"/>
      <c r="H249" s="14"/>
      <c r="I249" s="14"/>
      <c r="J249" s="14"/>
      <c r="K249" s="12"/>
    </row>
    <row r="250" ht="19.5" customHeight="1">
      <c r="A250" s="12"/>
      <c r="C250" s="12"/>
      <c r="D250" s="87"/>
      <c r="F250" s="14"/>
      <c r="G250" s="14"/>
      <c r="H250" s="14"/>
      <c r="I250" s="14"/>
      <c r="J250" s="14"/>
      <c r="K250" s="12"/>
    </row>
    <row r="251" ht="19.5" customHeight="1">
      <c r="A251" s="12"/>
      <c r="C251" s="12"/>
      <c r="D251" s="87"/>
      <c r="F251" s="14"/>
      <c r="G251" s="14"/>
      <c r="H251" s="14"/>
      <c r="I251" s="14"/>
      <c r="J251" s="14"/>
      <c r="K251" s="12"/>
    </row>
    <row r="252" ht="19.5" customHeight="1">
      <c r="A252" s="12"/>
      <c r="C252" s="12"/>
      <c r="D252" s="87"/>
      <c r="F252" s="14"/>
      <c r="G252" s="14"/>
      <c r="H252" s="14"/>
      <c r="I252" s="14"/>
      <c r="J252" s="14"/>
      <c r="K252" s="12"/>
    </row>
    <row r="253" ht="19.5" customHeight="1">
      <c r="A253" s="12"/>
      <c r="C253" s="12"/>
      <c r="D253" s="87"/>
      <c r="F253" s="14"/>
      <c r="G253" s="14"/>
      <c r="H253" s="14"/>
      <c r="I253" s="14"/>
      <c r="J253" s="14"/>
      <c r="K253" s="12"/>
    </row>
    <row r="254" ht="19.5" customHeight="1">
      <c r="A254" s="12"/>
      <c r="C254" s="12"/>
      <c r="D254" s="87"/>
      <c r="F254" s="14"/>
      <c r="G254" s="14"/>
      <c r="H254" s="14"/>
      <c r="I254" s="14"/>
      <c r="J254" s="14"/>
      <c r="K254" s="12"/>
    </row>
    <row r="255" ht="19.5" customHeight="1">
      <c r="A255" s="12"/>
      <c r="C255" s="12"/>
      <c r="D255" s="87"/>
      <c r="F255" s="14"/>
      <c r="G255" s="14"/>
      <c r="H255" s="14"/>
      <c r="I255" s="14"/>
      <c r="J255" s="14"/>
      <c r="K255" s="12"/>
    </row>
    <row r="256" ht="19.5" customHeight="1">
      <c r="A256" s="12"/>
      <c r="C256" s="12"/>
      <c r="D256" s="87"/>
      <c r="F256" s="14"/>
      <c r="G256" s="14"/>
      <c r="H256" s="14"/>
      <c r="I256" s="14"/>
      <c r="J256" s="14"/>
      <c r="K256" s="12"/>
    </row>
    <row r="257" ht="19.5" customHeight="1">
      <c r="A257" s="12"/>
      <c r="C257" s="12"/>
      <c r="D257" s="87"/>
      <c r="F257" s="14"/>
      <c r="G257" s="14"/>
      <c r="H257" s="14"/>
      <c r="I257" s="14"/>
      <c r="J257" s="14"/>
      <c r="K257" s="12"/>
    </row>
    <row r="258" ht="19.5" customHeight="1">
      <c r="A258" s="12"/>
      <c r="C258" s="12"/>
      <c r="D258" s="87"/>
      <c r="F258" s="14"/>
      <c r="G258" s="14"/>
      <c r="H258" s="14"/>
      <c r="I258" s="14"/>
      <c r="J258" s="14"/>
      <c r="K258" s="12"/>
    </row>
    <row r="259" ht="19.5" customHeight="1">
      <c r="A259" s="12"/>
      <c r="C259" s="12"/>
      <c r="D259" s="87"/>
      <c r="F259" s="14"/>
      <c r="G259" s="14"/>
      <c r="H259" s="14"/>
      <c r="I259" s="14"/>
      <c r="J259" s="14"/>
      <c r="K259" s="12"/>
    </row>
    <row r="260" ht="19.5" customHeight="1">
      <c r="A260" s="12"/>
      <c r="C260" s="12"/>
      <c r="D260" s="87"/>
      <c r="F260" s="14"/>
      <c r="G260" s="14"/>
      <c r="H260" s="14"/>
      <c r="I260" s="14"/>
      <c r="J260" s="14"/>
      <c r="K260" s="12"/>
    </row>
    <row r="261" ht="19.5" customHeight="1">
      <c r="A261" s="12"/>
      <c r="C261" s="12"/>
      <c r="D261" s="87"/>
      <c r="F261" s="14"/>
      <c r="G261" s="14"/>
      <c r="H261" s="14"/>
      <c r="I261" s="14"/>
      <c r="J261" s="14"/>
      <c r="K261" s="12"/>
    </row>
    <row r="262" ht="19.5" customHeight="1">
      <c r="A262" s="12"/>
      <c r="C262" s="12"/>
      <c r="D262" s="87"/>
      <c r="F262" s="14"/>
      <c r="G262" s="14"/>
      <c r="H262" s="14"/>
      <c r="I262" s="14"/>
      <c r="J262" s="14"/>
      <c r="K262" s="12"/>
    </row>
    <row r="263" ht="19.5" customHeight="1">
      <c r="A263" s="12"/>
      <c r="C263" s="12"/>
      <c r="D263" s="87"/>
      <c r="F263" s="14"/>
      <c r="G263" s="14"/>
      <c r="H263" s="14"/>
      <c r="I263" s="14"/>
      <c r="J263" s="14"/>
      <c r="K263" s="12"/>
    </row>
    <row r="264" ht="19.5" customHeight="1">
      <c r="A264" s="12"/>
      <c r="C264" s="12"/>
      <c r="D264" s="87"/>
      <c r="F264" s="14"/>
      <c r="G264" s="14"/>
      <c r="H264" s="14"/>
      <c r="I264" s="14"/>
      <c r="J264" s="14"/>
      <c r="K264" s="12"/>
    </row>
    <row r="265" ht="19.5" customHeight="1">
      <c r="A265" s="12"/>
      <c r="C265" s="12"/>
      <c r="D265" s="87"/>
      <c r="F265" s="14"/>
      <c r="G265" s="14"/>
      <c r="H265" s="14"/>
      <c r="I265" s="14"/>
      <c r="J265" s="14"/>
      <c r="K265" s="12"/>
    </row>
    <row r="266" ht="19.5" customHeight="1">
      <c r="A266" s="12"/>
      <c r="C266" s="12"/>
      <c r="D266" s="87"/>
      <c r="F266" s="14"/>
      <c r="G266" s="14"/>
      <c r="H266" s="14"/>
      <c r="I266" s="14"/>
      <c r="J266" s="14"/>
      <c r="K266" s="12"/>
    </row>
    <row r="267" ht="19.5" customHeight="1">
      <c r="A267" s="12"/>
      <c r="C267" s="12"/>
      <c r="D267" s="87"/>
      <c r="F267" s="14"/>
      <c r="G267" s="14"/>
      <c r="H267" s="14"/>
      <c r="I267" s="14"/>
      <c r="J267" s="14"/>
      <c r="K267" s="12"/>
    </row>
    <row r="268" ht="19.5" customHeight="1">
      <c r="A268" s="12"/>
      <c r="C268" s="12"/>
      <c r="D268" s="87"/>
      <c r="F268" s="14"/>
      <c r="G268" s="14"/>
      <c r="H268" s="14"/>
      <c r="I268" s="14"/>
      <c r="J268" s="14"/>
      <c r="K268" s="12"/>
    </row>
    <row r="269" ht="19.5" customHeight="1">
      <c r="A269" s="12"/>
      <c r="C269" s="12"/>
      <c r="D269" s="87"/>
      <c r="F269" s="14"/>
      <c r="G269" s="14"/>
      <c r="H269" s="14"/>
      <c r="I269" s="14"/>
      <c r="J269" s="14"/>
      <c r="K269" s="12"/>
    </row>
    <row r="270" ht="19.5" customHeight="1">
      <c r="A270" s="12"/>
      <c r="C270" s="12"/>
      <c r="D270" s="87"/>
      <c r="F270" s="14"/>
      <c r="G270" s="14"/>
      <c r="H270" s="14"/>
      <c r="I270" s="14"/>
      <c r="J270" s="14"/>
      <c r="K270" s="12"/>
    </row>
    <row r="271" ht="19.5" customHeight="1">
      <c r="A271" s="12"/>
      <c r="C271" s="12"/>
      <c r="D271" s="87"/>
      <c r="F271" s="14"/>
      <c r="G271" s="14"/>
      <c r="H271" s="14"/>
      <c r="I271" s="14"/>
      <c r="J271" s="14"/>
      <c r="K271" s="12"/>
    </row>
    <row r="272" ht="19.5" customHeight="1">
      <c r="A272" s="12"/>
      <c r="C272" s="12"/>
      <c r="D272" s="87"/>
      <c r="F272" s="14"/>
      <c r="G272" s="14"/>
      <c r="H272" s="14"/>
      <c r="I272" s="14"/>
      <c r="J272" s="14"/>
      <c r="K272" s="12"/>
    </row>
    <row r="273" ht="19.5" customHeight="1">
      <c r="A273" s="12"/>
      <c r="C273" s="12"/>
      <c r="D273" s="87"/>
      <c r="F273" s="14"/>
      <c r="G273" s="14"/>
      <c r="H273" s="14"/>
      <c r="I273" s="14"/>
      <c r="J273" s="14"/>
      <c r="K273" s="12"/>
    </row>
    <row r="274" ht="19.5" customHeight="1">
      <c r="A274" s="12"/>
      <c r="C274" s="12"/>
      <c r="D274" s="87"/>
      <c r="F274" s="14"/>
      <c r="G274" s="14"/>
      <c r="H274" s="14"/>
      <c r="I274" s="14"/>
      <c r="J274" s="14"/>
      <c r="K274" s="12"/>
    </row>
    <row r="275" ht="19.5" customHeight="1">
      <c r="A275" s="12"/>
      <c r="C275" s="12"/>
      <c r="D275" s="87"/>
      <c r="F275" s="14"/>
      <c r="G275" s="14"/>
      <c r="H275" s="14"/>
      <c r="I275" s="14"/>
      <c r="J275" s="14"/>
      <c r="K275" s="12"/>
    </row>
    <row r="276" ht="19.5" customHeight="1">
      <c r="A276" s="12"/>
      <c r="C276" s="12"/>
      <c r="D276" s="87"/>
      <c r="F276" s="14"/>
      <c r="G276" s="14"/>
      <c r="H276" s="14"/>
      <c r="I276" s="14"/>
      <c r="J276" s="14"/>
      <c r="K276" s="12"/>
    </row>
    <row r="277" ht="19.5" customHeight="1">
      <c r="A277" s="12"/>
      <c r="C277" s="12"/>
      <c r="D277" s="87"/>
      <c r="F277" s="14"/>
      <c r="G277" s="14"/>
      <c r="H277" s="14"/>
      <c r="I277" s="14"/>
      <c r="J277" s="14"/>
      <c r="K277" s="12"/>
    </row>
    <row r="278" ht="19.5" customHeight="1">
      <c r="A278" s="12"/>
      <c r="C278" s="12"/>
      <c r="D278" s="87"/>
      <c r="F278" s="14"/>
      <c r="G278" s="14"/>
      <c r="H278" s="14"/>
      <c r="I278" s="14"/>
      <c r="J278" s="14"/>
      <c r="K278" s="12"/>
    </row>
    <row r="279" ht="19.5" customHeight="1">
      <c r="A279" s="12"/>
      <c r="C279" s="12"/>
      <c r="D279" s="87"/>
      <c r="F279" s="14"/>
      <c r="G279" s="14"/>
      <c r="H279" s="14"/>
      <c r="I279" s="14"/>
      <c r="J279" s="14"/>
      <c r="K279" s="12"/>
    </row>
    <row r="280" ht="19.5" customHeight="1">
      <c r="A280" s="12"/>
      <c r="C280" s="12"/>
      <c r="D280" s="87"/>
      <c r="F280" s="14"/>
      <c r="G280" s="14"/>
      <c r="H280" s="14"/>
      <c r="I280" s="14"/>
      <c r="J280" s="14"/>
      <c r="K280" s="12"/>
    </row>
    <row r="281" ht="19.5" customHeight="1">
      <c r="A281" s="12"/>
      <c r="C281" s="12"/>
      <c r="D281" s="87"/>
      <c r="F281" s="14"/>
      <c r="G281" s="14"/>
      <c r="H281" s="14"/>
      <c r="I281" s="14"/>
      <c r="J281" s="14"/>
      <c r="K281" s="12"/>
    </row>
    <row r="282" ht="19.5" customHeight="1">
      <c r="A282" s="12"/>
      <c r="C282" s="12"/>
      <c r="D282" s="87"/>
      <c r="F282" s="14"/>
      <c r="G282" s="14"/>
      <c r="H282" s="14"/>
      <c r="I282" s="14"/>
      <c r="J282" s="14"/>
      <c r="K282" s="12"/>
    </row>
    <row r="283" ht="19.5" customHeight="1">
      <c r="A283" s="12"/>
      <c r="C283" s="12"/>
      <c r="D283" s="87"/>
      <c r="F283" s="14"/>
      <c r="G283" s="14"/>
      <c r="H283" s="14"/>
      <c r="I283" s="14"/>
      <c r="J283" s="14"/>
      <c r="K283" s="12"/>
    </row>
    <row r="284" ht="19.5" customHeight="1">
      <c r="A284" s="12"/>
      <c r="C284" s="12"/>
      <c r="D284" s="87"/>
      <c r="F284" s="14"/>
      <c r="G284" s="14"/>
      <c r="H284" s="14"/>
      <c r="I284" s="14"/>
      <c r="J284" s="14"/>
      <c r="K284" s="12"/>
    </row>
    <row r="285" ht="19.5" customHeight="1">
      <c r="A285" s="12"/>
      <c r="C285" s="12"/>
      <c r="D285" s="87"/>
      <c r="F285" s="14"/>
      <c r="G285" s="14"/>
      <c r="H285" s="14"/>
      <c r="I285" s="14"/>
      <c r="J285" s="14"/>
      <c r="K285" s="12"/>
    </row>
    <row r="286" ht="19.5" customHeight="1">
      <c r="A286" s="12"/>
      <c r="C286" s="12"/>
      <c r="D286" s="87"/>
      <c r="F286" s="14"/>
      <c r="G286" s="14"/>
      <c r="H286" s="14"/>
      <c r="I286" s="14"/>
      <c r="J286" s="14"/>
      <c r="K286" s="12"/>
    </row>
    <row r="287" ht="19.5" customHeight="1">
      <c r="A287" s="12"/>
      <c r="C287" s="12"/>
      <c r="D287" s="87"/>
      <c r="F287" s="14"/>
      <c r="G287" s="14"/>
      <c r="H287" s="14"/>
      <c r="I287" s="14"/>
      <c r="J287" s="14"/>
      <c r="K287" s="12"/>
    </row>
    <row r="288" ht="19.5" customHeight="1">
      <c r="A288" s="12"/>
      <c r="C288" s="12"/>
      <c r="D288" s="87"/>
      <c r="F288" s="14"/>
      <c r="G288" s="14"/>
      <c r="H288" s="14"/>
      <c r="I288" s="14"/>
      <c r="J288" s="14"/>
      <c r="K288" s="12"/>
    </row>
    <row r="289" ht="19.5" customHeight="1">
      <c r="A289" s="12"/>
      <c r="C289" s="12"/>
      <c r="D289" s="87"/>
      <c r="F289" s="14"/>
      <c r="G289" s="14"/>
      <c r="H289" s="14"/>
      <c r="I289" s="14"/>
      <c r="J289" s="14"/>
      <c r="K289" s="12"/>
    </row>
    <row r="290" ht="19.5" customHeight="1">
      <c r="A290" s="12"/>
      <c r="C290" s="12"/>
      <c r="D290" s="87"/>
      <c r="F290" s="14"/>
      <c r="G290" s="14"/>
      <c r="H290" s="14"/>
      <c r="I290" s="14"/>
      <c r="J290" s="14"/>
      <c r="K290" s="12"/>
    </row>
    <row r="291" ht="19.5" customHeight="1">
      <c r="A291" s="12"/>
      <c r="C291" s="12"/>
      <c r="D291" s="87"/>
      <c r="F291" s="14"/>
      <c r="G291" s="14"/>
      <c r="H291" s="14"/>
      <c r="I291" s="14"/>
      <c r="J291" s="14"/>
      <c r="K291" s="12"/>
    </row>
    <row r="292" ht="19.5" customHeight="1">
      <c r="A292" s="12"/>
      <c r="C292" s="12"/>
      <c r="D292" s="87"/>
      <c r="F292" s="14"/>
      <c r="G292" s="14"/>
      <c r="H292" s="14"/>
      <c r="I292" s="14"/>
      <c r="J292" s="14"/>
      <c r="K292" s="12"/>
    </row>
    <row r="293" ht="19.5" customHeight="1">
      <c r="A293" s="12"/>
      <c r="C293" s="12"/>
      <c r="D293" s="87"/>
      <c r="F293" s="14"/>
      <c r="G293" s="14"/>
      <c r="H293" s="14"/>
      <c r="I293" s="14"/>
      <c r="J293" s="14"/>
      <c r="K293" s="12"/>
    </row>
    <row r="294" ht="19.5" customHeight="1">
      <c r="A294" s="12"/>
      <c r="C294" s="12"/>
      <c r="D294" s="87"/>
      <c r="F294" s="14"/>
      <c r="G294" s="14"/>
      <c r="H294" s="14"/>
      <c r="I294" s="14"/>
      <c r="J294" s="14"/>
      <c r="K294" s="12"/>
    </row>
    <row r="295" ht="19.5" customHeight="1">
      <c r="A295" s="12"/>
      <c r="C295" s="12"/>
      <c r="D295" s="87"/>
      <c r="F295" s="14"/>
      <c r="G295" s="14"/>
      <c r="H295" s="14"/>
      <c r="I295" s="14"/>
      <c r="J295" s="14"/>
      <c r="K295" s="12"/>
    </row>
    <row r="296" ht="19.5" customHeight="1">
      <c r="A296" s="12"/>
      <c r="C296" s="12"/>
      <c r="D296" s="87"/>
      <c r="F296" s="14"/>
      <c r="G296" s="14"/>
      <c r="H296" s="14"/>
      <c r="I296" s="14"/>
      <c r="J296" s="14"/>
      <c r="K296" s="12"/>
    </row>
    <row r="297" ht="19.5" customHeight="1">
      <c r="A297" s="12"/>
      <c r="C297" s="12"/>
      <c r="D297" s="87"/>
      <c r="F297" s="14"/>
      <c r="G297" s="14"/>
      <c r="H297" s="14"/>
      <c r="I297" s="14"/>
      <c r="J297" s="14"/>
      <c r="K297" s="12"/>
    </row>
    <row r="298" ht="19.5" customHeight="1">
      <c r="A298" s="12"/>
      <c r="C298" s="12"/>
      <c r="D298" s="87"/>
      <c r="F298" s="14"/>
      <c r="G298" s="14"/>
      <c r="H298" s="14"/>
      <c r="I298" s="14"/>
      <c r="J298" s="14"/>
      <c r="K298" s="12"/>
    </row>
    <row r="299" ht="19.5" customHeight="1">
      <c r="A299" s="12"/>
      <c r="C299" s="12"/>
      <c r="D299" s="87"/>
      <c r="F299" s="14"/>
      <c r="G299" s="14"/>
      <c r="H299" s="14"/>
      <c r="I299" s="14"/>
      <c r="J299" s="14"/>
      <c r="K299" s="12"/>
    </row>
    <row r="300" ht="19.5" customHeight="1">
      <c r="A300" s="12"/>
      <c r="C300" s="12"/>
      <c r="D300" s="87"/>
      <c r="F300" s="14"/>
      <c r="G300" s="14"/>
      <c r="H300" s="14"/>
      <c r="I300" s="14"/>
      <c r="J300" s="14"/>
      <c r="K300" s="12"/>
    </row>
    <row r="301" ht="19.5" customHeight="1">
      <c r="A301" s="12"/>
      <c r="C301" s="12"/>
      <c r="D301" s="87"/>
      <c r="F301" s="14"/>
      <c r="G301" s="14"/>
      <c r="H301" s="14"/>
      <c r="I301" s="14"/>
      <c r="J301" s="14"/>
      <c r="K301" s="12"/>
    </row>
    <row r="302" ht="19.5" customHeight="1">
      <c r="A302" s="12"/>
      <c r="C302" s="12"/>
      <c r="D302" s="87"/>
      <c r="F302" s="14"/>
      <c r="G302" s="14"/>
      <c r="H302" s="14"/>
      <c r="I302" s="14"/>
      <c r="J302" s="14"/>
      <c r="K302" s="12"/>
    </row>
    <row r="303" ht="19.5" customHeight="1">
      <c r="A303" s="12"/>
      <c r="C303" s="12"/>
      <c r="D303" s="87"/>
      <c r="F303" s="14"/>
      <c r="G303" s="14"/>
      <c r="H303" s="14"/>
      <c r="I303" s="14"/>
      <c r="J303" s="14"/>
      <c r="K303" s="12"/>
    </row>
    <row r="304" ht="19.5" customHeight="1">
      <c r="A304" s="12"/>
      <c r="C304" s="12"/>
      <c r="D304" s="87"/>
      <c r="F304" s="14"/>
      <c r="G304" s="14"/>
      <c r="H304" s="14"/>
      <c r="I304" s="14"/>
      <c r="J304" s="14"/>
      <c r="K304" s="12"/>
    </row>
    <row r="305" ht="19.5" customHeight="1">
      <c r="A305" s="12"/>
      <c r="C305" s="12"/>
      <c r="D305" s="87"/>
      <c r="F305" s="14"/>
      <c r="G305" s="14"/>
      <c r="H305" s="14"/>
      <c r="I305" s="14"/>
      <c r="J305" s="14"/>
      <c r="K305" s="12"/>
    </row>
    <row r="306" ht="19.5" customHeight="1">
      <c r="A306" s="12"/>
      <c r="C306" s="12"/>
      <c r="D306" s="87"/>
      <c r="F306" s="14"/>
      <c r="G306" s="14"/>
      <c r="H306" s="14"/>
      <c r="I306" s="14"/>
      <c r="J306" s="14"/>
      <c r="K306" s="12"/>
    </row>
    <row r="307" ht="19.5" customHeight="1">
      <c r="A307" s="12"/>
      <c r="C307" s="12"/>
      <c r="D307" s="87"/>
      <c r="F307" s="14"/>
      <c r="G307" s="14"/>
      <c r="H307" s="14"/>
      <c r="I307" s="14"/>
      <c r="J307" s="14"/>
      <c r="K307" s="12"/>
    </row>
    <row r="308" ht="19.5" customHeight="1">
      <c r="A308" s="12"/>
      <c r="C308" s="12"/>
      <c r="D308" s="87"/>
      <c r="F308" s="14"/>
      <c r="G308" s="14"/>
      <c r="H308" s="14"/>
      <c r="I308" s="14"/>
      <c r="J308" s="14"/>
      <c r="K308" s="12"/>
    </row>
    <row r="309" ht="19.5" customHeight="1">
      <c r="A309" s="12"/>
      <c r="C309" s="12"/>
      <c r="D309" s="87"/>
      <c r="F309" s="14"/>
      <c r="G309" s="14"/>
      <c r="H309" s="14"/>
      <c r="I309" s="14"/>
      <c r="J309" s="14"/>
      <c r="K309" s="12"/>
    </row>
    <row r="310" ht="19.5" customHeight="1">
      <c r="A310" s="12"/>
      <c r="C310" s="12"/>
      <c r="D310" s="87"/>
      <c r="F310" s="14"/>
      <c r="G310" s="14"/>
      <c r="H310" s="14"/>
      <c r="I310" s="14"/>
      <c r="J310" s="14"/>
      <c r="K310" s="12"/>
    </row>
    <row r="311" ht="19.5" customHeight="1">
      <c r="A311" s="12"/>
      <c r="C311" s="12"/>
      <c r="D311" s="87"/>
      <c r="F311" s="14"/>
      <c r="G311" s="14"/>
      <c r="H311" s="14"/>
      <c r="I311" s="14"/>
      <c r="J311" s="14"/>
      <c r="K311" s="12"/>
    </row>
    <row r="312" ht="19.5" customHeight="1">
      <c r="A312" s="12"/>
      <c r="C312" s="12"/>
      <c r="D312" s="87"/>
      <c r="F312" s="14"/>
      <c r="G312" s="14"/>
      <c r="H312" s="14"/>
      <c r="I312" s="14"/>
      <c r="J312" s="14"/>
      <c r="K312" s="12"/>
    </row>
    <row r="313" ht="19.5" customHeight="1">
      <c r="A313" s="12"/>
      <c r="C313" s="12"/>
      <c r="D313" s="87"/>
      <c r="F313" s="14"/>
      <c r="G313" s="14"/>
      <c r="H313" s="14"/>
      <c r="I313" s="14"/>
      <c r="J313" s="14"/>
      <c r="K313" s="12"/>
    </row>
    <row r="314" ht="19.5" customHeight="1">
      <c r="A314" s="12"/>
      <c r="C314" s="12"/>
      <c r="D314" s="87"/>
      <c r="F314" s="14"/>
      <c r="G314" s="14"/>
      <c r="H314" s="14"/>
      <c r="I314" s="14"/>
      <c r="J314" s="14"/>
      <c r="K314" s="12"/>
    </row>
    <row r="315" ht="19.5" customHeight="1">
      <c r="A315" s="12"/>
      <c r="C315" s="12"/>
      <c r="D315" s="87"/>
      <c r="F315" s="14"/>
      <c r="G315" s="14"/>
      <c r="H315" s="14"/>
      <c r="I315" s="14"/>
      <c r="J315" s="14"/>
      <c r="K315" s="12"/>
    </row>
    <row r="316" ht="19.5" customHeight="1">
      <c r="A316" s="12"/>
      <c r="C316" s="12"/>
      <c r="D316" s="87"/>
      <c r="F316" s="14"/>
      <c r="G316" s="14"/>
      <c r="H316" s="14"/>
      <c r="I316" s="14"/>
      <c r="J316" s="14"/>
      <c r="K316" s="12"/>
    </row>
    <row r="317" ht="19.5" customHeight="1">
      <c r="A317" s="12"/>
      <c r="C317" s="12"/>
      <c r="D317" s="87"/>
      <c r="F317" s="14"/>
      <c r="G317" s="14"/>
      <c r="H317" s="14"/>
      <c r="I317" s="14"/>
      <c r="J317" s="14"/>
      <c r="K317" s="12"/>
    </row>
    <row r="318" ht="19.5" customHeight="1">
      <c r="A318" s="12"/>
      <c r="C318" s="12"/>
      <c r="D318" s="87"/>
      <c r="F318" s="14"/>
      <c r="G318" s="14"/>
      <c r="H318" s="14"/>
      <c r="I318" s="14"/>
      <c r="J318" s="14"/>
      <c r="K318" s="12"/>
    </row>
    <row r="319" ht="19.5" customHeight="1">
      <c r="A319" s="12"/>
      <c r="C319" s="12"/>
      <c r="D319" s="87"/>
      <c r="F319" s="14"/>
      <c r="G319" s="14"/>
      <c r="H319" s="14"/>
      <c r="I319" s="14"/>
      <c r="J319" s="14"/>
      <c r="K319" s="12"/>
    </row>
    <row r="320" ht="19.5" customHeight="1">
      <c r="A320" s="12"/>
      <c r="C320" s="12"/>
      <c r="D320" s="87"/>
      <c r="F320" s="14"/>
      <c r="G320" s="14"/>
      <c r="H320" s="14"/>
      <c r="I320" s="14"/>
      <c r="J320" s="14"/>
      <c r="K320" s="12"/>
    </row>
    <row r="321" ht="19.5" customHeight="1">
      <c r="A321" s="12"/>
      <c r="C321" s="12"/>
      <c r="D321" s="87"/>
      <c r="F321" s="14"/>
      <c r="G321" s="14"/>
      <c r="H321" s="14"/>
      <c r="I321" s="14"/>
      <c r="J321" s="14"/>
      <c r="K321" s="12"/>
    </row>
    <row r="322" ht="19.5" customHeight="1">
      <c r="A322" s="12"/>
      <c r="C322" s="12"/>
      <c r="D322" s="87"/>
      <c r="F322" s="14"/>
      <c r="G322" s="14"/>
      <c r="H322" s="14"/>
      <c r="I322" s="14"/>
      <c r="J322" s="14"/>
      <c r="K322" s="12"/>
    </row>
    <row r="323" ht="19.5" customHeight="1">
      <c r="A323" s="12"/>
      <c r="C323" s="12"/>
      <c r="D323" s="87"/>
      <c r="F323" s="14"/>
      <c r="G323" s="14"/>
      <c r="H323" s="14"/>
      <c r="I323" s="14"/>
      <c r="J323" s="14"/>
      <c r="K323" s="12"/>
    </row>
    <row r="324" ht="19.5" customHeight="1">
      <c r="A324" s="12"/>
      <c r="C324" s="12"/>
      <c r="D324" s="87"/>
      <c r="F324" s="14"/>
      <c r="G324" s="14"/>
      <c r="H324" s="14"/>
      <c r="I324" s="14"/>
      <c r="J324" s="14"/>
      <c r="K324" s="12"/>
    </row>
    <row r="325" ht="19.5" customHeight="1">
      <c r="A325" s="12"/>
      <c r="C325" s="12"/>
      <c r="D325" s="87"/>
      <c r="F325" s="14"/>
      <c r="G325" s="14"/>
      <c r="H325" s="14"/>
      <c r="I325" s="14"/>
      <c r="J325" s="14"/>
      <c r="K325" s="12"/>
    </row>
    <row r="326" ht="19.5" customHeight="1">
      <c r="A326" s="12"/>
      <c r="C326" s="12"/>
      <c r="D326" s="87"/>
      <c r="F326" s="14"/>
      <c r="G326" s="14"/>
      <c r="H326" s="14"/>
      <c r="I326" s="14"/>
      <c r="J326" s="14"/>
      <c r="K326" s="12"/>
    </row>
    <row r="327" ht="19.5" customHeight="1">
      <c r="A327" s="12"/>
      <c r="C327" s="12"/>
      <c r="D327" s="87"/>
      <c r="F327" s="14"/>
      <c r="G327" s="14"/>
      <c r="H327" s="14"/>
      <c r="I327" s="14"/>
      <c r="J327" s="14"/>
      <c r="K327" s="12"/>
    </row>
    <row r="328" ht="19.5" customHeight="1">
      <c r="A328" s="12"/>
      <c r="C328" s="12"/>
      <c r="D328" s="87"/>
      <c r="F328" s="14"/>
      <c r="G328" s="14"/>
      <c r="H328" s="14"/>
      <c r="I328" s="14"/>
      <c r="J328" s="14"/>
      <c r="K328" s="12"/>
    </row>
    <row r="329" ht="19.5" customHeight="1">
      <c r="A329" s="12"/>
      <c r="C329" s="12"/>
      <c r="D329" s="87"/>
      <c r="F329" s="14"/>
      <c r="G329" s="14"/>
      <c r="H329" s="14"/>
      <c r="I329" s="14"/>
      <c r="J329" s="14"/>
      <c r="K329" s="12"/>
    </row>
    <row r="330" ht="19.5" customHeight="1">
      <c r="A330" s="12"/>
      <c r="C330" s="12"/>
      <c r="D330" s="87"/>
      <c r="F330" s="14"/>
      <c r="G330" s="14"/>
      <c r="H330" s="14"/>
      <c r="I330" s="14"/>
      <c r="J330" s="14"/>
      <c r="K330" s="12"/>
    </row>
    <row r="331" ht="19.5" customHeight="1">
      <c r="A331" s="12"/>
      <c r="C331" s="12"/>
      <c r="D331" s="87"/>
      <c r="F331" s="14"/>
      <c r="G331" s="14"/>
      <c r="H331" s="14"/>
      <c r="I331" s="14"/>
      <c r="J331" s="14"/>
      <c r="K331" s="12"/>
    </row>
    <row r="332" ht="19.5" customHeight="1">
      <c r="A332" s="12"/>
      <c r="C332" s="12"/>
      <c r="D332" s="87"/>
      <c r="F332" s="14"/>
      <c r="G332" s="14"/>
      <c r="H332" s="14"/>
      <c r="I332" s="14"/>
      <c r="J332" s="14"/>
      <c r="K332" s="12"/>
    </row>
    <row r="333" ht="19.5" customHeight="1">
      <c r="A333" s="12"/>
      <c r="C333" s="12"/>
      <c r="D333" s="87"/>
      <c r="F333" s="14"/>
      <c r="G333" s="14"/>
      <c r="H333" s="14"/>
      <c r="I333" s="14"/>
      <c r="J333" s="14"/>
      <c r="K333" s="12"/>
    </row>
    <row r="334" ht="19.5" customHeight="1">
      <c r="A334" s="12"/>
      <c r="C334" s="12"/>
      <c r="D334" s="87"/>
      <c r="F334" s="14"/>
      <c r="G334" s="14"/>
      <c r="H334" s="14"/>
      <c r="I334" s="14"/>
      <c r="J334" s="14"/>
      <c r="K334" s="12"/>
    </row>
    <row r="335" ht="19.5" customHeight="1">
      <c r="A335" s="12"/>
      <c r="C335" s="12"/>
      <c r="D335" s="87"/>
      <c r="F335" s="14"/>
      <c r="G335" s="14"/>
      <c r="H335" s="14"/>
      <c r="I335" s="14"/>
      <c r="J335" s="14"/>
      <c r="K335" s="12"/>
    </row>
    <row r="336" ht="19.5" customHeight="1">
      <c r="A336" s="12"/>
      <c r="C336" s="12"/>
      <c r="D336" s="87"/>
      <c r="F336" s="14"/>
      <c r="G336" s="14"/>
      <c r="H336" s="14"/>
      <c r="I336" s="14"/>
      <c r="J336" s="14"/>
      <c r="K336" s="12"/>
    </row>
    <row r="337" ht="19.5" customHeight="1">
      <c r="A337" s="12"/>
      <c r="C337" s="12"/>
      <c r="D337" s="87"/>
      <c r="F337" s="14"/>
      <c r="G337" s="14"/>
      <c r="H337" s="14"/>
      <c r="I337" s="14"/>
      <c r="J337" s="14"/>
      <c r="K337" s="12"/>
    </row>
    <row r="338" ht="19.5" customHeight="1">
      <c r="A338" s="12"/>
      <c r="C338" s="12"/>
      <c r="D338" s="87"/>
      <c r="F338" s="14"/>
      <c r="G338" s="14"/>
      <c r="H338" s="14"/>
      <c r="I338" s="14"/>
      <c r="J338" s="14"/>
      <c r="K338" s="12"/>
    </row>
    <row r="339" ht="19.5" customHeight="1">
      <c r="A339" s="12"/>
      <c r="C339" s="12"/>
      <c r="D339" s="87"/>
      <c r="F339" s="14"/>
      <c r="G339" s="14"/>
      <c r="H339" s="14"/>
      <c r="I339" s="14"/>
      <c r="J339" s="14"/>
      <c r="K339" s="12"/>
    </row>
    <row r="340" ht="19.5" customHeight="1">
      <c r="A340" s="12"/>
      <c r="C340" s="12"/>
      <c r="D340" s="87"/>
      <c r="F340" s="14"/>
      <c r="G340" s="14"/>
      <c r="H340" s="14"/>
      <c r="I340" s="14"/>
      <c r="J340" s="14"/>
      <c r="K340" s="12"/>
    </row>
    <row r="341" ht="19.5" customHeight="1">
      <c r="A341" s="12"/>
      <c r="C341" s="12"/>
      <c r="D341" s="87"/>
      <c r="F341" s="14"/>
      <c r="G341" s="14"/>
      <c r="H341" s="14"/>
      <c r="I341" s="14"/>
      <c r="J341" s="14"/>
      <c r="K341" s="12"/>
    </row>
    <row r="342" ht="19.5" customHeight="1">
      <c r="A342" s="12"/>
      <c r="C342" s="12"/>
      <c r="D342" s="87"/>
      <c r="F342" s="14"/>
      <c r="G342" s="14"/>
      <c r="H342" s="14"/>
      <c r="I342" s="14"/>
      <c r="J342" s="14"/>
      <c r="K342" s="12"/>
    </row>
    <row r="343" ht="19.5" customHeight="1">
      <c r="A343" s="12"/>
      <c r="C343" s="12"/>
      <c r="D343" s="87"/>
      <c r="F343" s="14"/>
      <c r="G343" s="14"/>
      <c r="H343" s="14"/>
      <c r="I343" s="14"/>
      <c r="J343" s="14"/>
      <c r="K343" s="12"/>
    </row>
    <row r="344" ht="19.5" customHeight="1">
      <c r="A344" s="12"/>
      <c r="C344" s="12"/>
      <c r="D344" s="87"/>
      <c r="F344" s="14"/>
      <c r="G344" s="14"/>
      <c r="H344" s="14"/>
      <c r="I344" s="14"/>
      <c r="J344" s="14"/>
      <c r="K344" s="12"/>
    </row>
    <row r="345" ht="19.5" customHeight="1">
      <c r="A345" s="12"/>
      <c r="C345" s="12"/>
      <c r="D345" s="87"/>
      <c r="F345" s="14"/>
      <c r="G345" s="14"/>
      <c r="H345" s="14"/>
      <c r="I345" s="14"/>
      <c r="J345" s="14"/>
      <c r="K345" s="12"/>
    </row>
    <row r="346" ht="19.5" customHeight="1">
      <c r="A346" s="12"/>
      <c r="C346" s="12"/>
      <c r="D346" s="87"/>
      <c r="F346" s="14"/>
      <c r="G346" s="14"/>
      <c r="H346" s="14"/>
      <c r="I346" s="14"/>
      <c r="J346" s="14"/>
      <c r="K346" s="12"/>
    </row>
    <row r="347" ht="19.5" customHeight="1">
      <c r="A347" s="12"/>
      <c r="C347" s="12"/>
      <c r="D347" s="87"/>
      <c r="F347" s="14"/>
      <c r="G347" s="14"/>
      <c r="H347" s="14"/>
      <c r="I347" s="14"/>
      <c r="J347" s="14"/>
      <c r="K347" s="12"/>
    </row>
    <row r="348" ht="19.5" customHeight="1">
      <c r="A348" s="12"/>
      <c r="C348" s="12"/>
      <c r="D348" s="87"/>
      <c r="F348" s="14"/>
      <c r="G348" s="14"/>
      <c r="H348" s="14"/>
      <c r="I348" s="14"/>
      <c r="J348" s="14"/>
      <c r="K348" s="12"/>
    </row>
    <row r="349" ht="19.5" customHeight="1">
      <c r="A349" s="12"/>
      <c r="C349" s="12"/>
      <c r="D349" s="87"/>
      <c r="F349" s="14"/>
      <c r="G349" s="14"/>
      <c r="H349" s="14"/>
      <c r="I349" s="14"/>
      <c r="J349" s="14"/>
      <c r="K349" s="12"/>
    </row>
    <row r="350" ht="19.5" customHeight="1">
      <c r="A350" s="12"/>
      <c r="C350" s="12"/>
      <c r="D350" s="87"/>
      <c r="F350" s="14"/>
      <c r="G350" s="14"/>
      <c r="H350" s="14"/>
      <c r="I350" s="14"/>
      <c r="J350" s="14"/>
      <c r="K350" s="12"/>
    </row>
    <row r="351" ht="19.5" customHeight="1">
      <c r="A351" s="12"/>
      <c r="C351" s="12"/>
      <c r="D351" s="87"/>
      <c r="F351" s="14"/>
      <c r="G351" s="14"/>
      <c r="H351" s="14"/>
      <c r="I351" s="14"/>
      <c r="J351" s="14"/>
      <c r="K351" s="12"/>
    </row>
    <row r="352" ht="19.5" customHeight="1">
      <c r="A352" s="12"/>
      <c r="C352" s="12"/>
      <c r="D352" s="87"/>
      <c r="F352" s="14"/>
      <c r="G352" s="14"/>
      <c r="H352" s="14"/>
      <c r="I352" s="14"/>
      <c r="J352" s="14"/>
      <c r="K352" s="12"/>
    </row>
    <row r="353" ht="19.5" customHeight="1">
      <c r="A353" s="12"/>
      <c r="C353" s="12"/>
      <c r="D353" s="87"/>
      <c r="F353" s="14"/>
      <c r="G353" s="14"/>
      <c r="H353" s="14"/>
      <c r="I353" s="14"/>
      <c r="J353" s="14"/>
      <c r="K353" s="12"/>
    </row>
    <row r="354" ht="19.5" customHeight="1">
      <c r="A354" s="12"/>
      <c r="C354" s="12"/>
      <c r="D354" s="87"/>
      <c r="F354" s="14"/>
      <c r="G354" s="14"/>
      <c r="H354" s="14"/>
      <c r="I354" s="14"/>
      <c r="J354" s="14"/>
      <c r="K354" s="12"/>
    </row>
    <row r="355" ht="19.5" customHeight="1">
      <c r="A355" s="12"/>
      <c r="C355" s="12"/>
      <c r="D355" s="87"/>
      <c r="F355" s="14"/>
      <c r="G355" s="14"/>
      <c r="H355" s="14"/>
      <c r="I355" s="14"/>
      <c r="J355" s="14"/>
      <c r="K355" s="12"/>
    </row>
    <row r="356" ht="19.5" customHeight="1">
      <c r="A356" s="12"/>
      <c r="C356" s="12"/>
      <c r="D356" s="87"/>
      <c r="F356" s="14"/>
      <c r="G356" s="14"/>
      <c r="H356" s="14"/>
      <c r="I356" s="14"/>
      <c r="J356" s="14"/>
      <c r="K356" s="12"/>
    </row>
    <row r="357" ht="19.5" customHeight="1">
      <c r="A357" s="12"/>
      <c r="C357" s="12"/>
      <c r="D357" s="87"/>
      <c r="F357" s="14"/>
      <c r="G357" s="14"/>
      <c r="H357" s="14"/>
      <c r="I357" s="14"/>
      <c r="J357" s="14"/>
      <c r="K357" s="12"/>
    </row>
    <row r="358" ht="19.5" customHeight="1">
      <c r="A358" s="12"/>
      <c r="C358" s="12"/>
      <c r="D358" s="87"/>
      <c r="F358" s="14"/>
      <c r="G358" s="14"/>
      <c r="H358" s="14"/>
      <c r="I358" s="14"/>
      <c r="J358" s="14"/>
      <c r="K358" s="12"/>
    </row>
    <row r="359" ht="19.5" customHeight="1">
      <c r="A359" s="12"/>
      <c r="C359" s="12"/>
      <c r="D359" s="87"/>
      <c r="F359" s="14"/>
      <c r="G359" s="14"/>
      <c r="H359" s="14"/>
      <c r="I359" s="14"/>
      <c r="J359" s="14"/>
      <c r="K359" s="12"/>
    </row>
    <row r="360" ht="19.5" customHeight="1">
      <c r="A360" s="12"/>
      <c r="C360" s="12"/>
      <c r="D360" s="87"/>
      <c r="F360" s="14"/>
      <c r="G360" s="14"/>
      <c r="H360" s="14"/>
      <c r="I360" s="14"/>
      <c r="J360" s="14"/>
      <c r="K360" s="12"/>
    </row>
    <row r="361" ht="19.5" customHeight="1">
      <c r="A361" s="12"/>
      <c r="C361" s="12"/>
      <c r="D361" s="87"/>
      <c r="F361" s="14"/>
      <c r="G361" s="14"/>
      <c r="H361" s="14"/>
      <c r="I361" s="14"/>
      <c r="J361" s="14"/>
      <c r="K361" s="12"/>
    </row>
    <row r="362" ht="19.5" customHeight="1">
      <c r="A362" s="12"/>
      <c r="C362" s="12"/>
      <c r="D362" s="87"/>
      <c r="F362" s="14"/>
      <c r="G362" s="14"/>
      <c r="H362" s="14"/>
      <c r="I362" s="14"/>
      <c r="J362" s="14"/>
      <c r="K362" s="12"/>
    </row>
    <row r="363" ht="19.5" customHeight="1">
      <c r="A363" s="12"/>
      <c r="C363" s="12"/>
      <c r="D363" s="87"/>
      <c r="F363" s="14"/>
      <c r="G363" s="14"/>
      <c r="H363" s="14"/>
      <c r="I363" s="14"/>
      <c r="J363" s="14"/>
      <c r="K363" s="12"/>
    </row>
    <row r="364" ht="19.5" customHeight="1">
      <c r="A364" s="12"/>
      <c r="C364" s="12"/>
      <c r="D364" s="87"/>
      <c r="F364" s="14"/>
      <c r="G364" s="14"/>
      <c r="H364" s="14"/>
      <c r="I364" s="14"/>
      <c r="J364" s="14"/>
      <c r="K364" s="12"/>
    </row>
    <row r="365" ht="19.5" customHeight="1">
      <c r="A365" s="12"/>
      <c r="C365" s="12"/>
      <c r="D365" s="87"/>
      <c r="F365" s="14"/>
      <c r="G365" s="14"/>
      <c r="H365" s="14"/>
      <c r="I365" s="14"/>
      <c r="J365" s="14"/>
      <c r="K365" s="12"/>
    </row>
    <row r="366" ht="19.5" customHeight="1">
      <c r="A366" s="12"/>
      <c r="C366" s="12"/>
      <c r="D366" s="87"/>
      <c r="F366" s="14"/>
      <c r="G366" s="14"/>
      <c r="H366" s="14"/>
      <c r="I366" s="14"/>
      <c r="J366" s="14"/>
      <c r="K366" s="12"/>
    </row>
    <row r="367" ht="19.5" customHeight="1">
      <c r="A367" s="12"/>
      <c r="C367" s="12"/>
      <c r="D367" s="87"/>
      <c r="F367" s="14"/>
      <c r="G367" s="14"/>
      <c r="H367" s="14"/>
      <c r="I367" s="14"/>
      <c r="J367" s="14"/>
      <c r="K367" s="12"/>
    </row>
    <row r="368" ht="19.5" customHeight="1">
      <c r="A368" s="12"/>
      <c r="C368" s="12"/>
      <c r="D368" s="87"/>
      <c r="F368" s="14"/>
      <c r="G368" s="14"/>
      <c r="H368" s="14"/>
      <c r="I368" s="14"/>
      <c r="J368" s="14"/>
      <c r="K368" s="12"/>
    </row>
    <row r="369" ht="19.5" customHeight="1">
      <c r="A369" s="12"/>
      <c r="C369" s="12"/>
      <c r="D369" s="87"/>
      <c r="F369" s="14"/>
      <c r="G369" s="14"/>
      <c r="H369" s="14"/>
      <c r="I369" s="14"/>
      <c r="J369" s="14"/>
      <c r="K369" s="12"/>
    </row>
    <row r="370" ht="19.5" customHeight="1">
      <c r="A370" s="12"/>
      <c r="C370" s="12"/>
      <c r="D370" s="87"/>
      <c r="F370" s="14"/>
      <c r="G370" s="14"/>
      <c r="H370" s="14"/>
      <c r="I370" s="14"/>
      <c r="J370" s="14"/>
      <c r="K370" s="12"/>
    </row>
    <row r="371" ht="19.5" customHeight="1">
      <c r="A371" s="12"/>
      <c r="C371" s="12"/>
      <c r="D371" s="87"/>
      <c r="F371" s="14"/>
      <c r="G371" s="14"/>
      <c r="H371" s="14"/>
      <c r="I371" s="14"/>
      <c r="J371" s="14"/>
      <c r="K371" s="12"/>
    </row>
    <row r="372" ht="19.5" customHeight="1">
      <c r="A372" s="12"/>
      <c r="C372" s="12"/>
      <c r="D372" s="87"/>
      <c r="F372" s="14"/>
      <c r="G372" s="14"/>
      <c r="H372" s="14"/>
      <c r="I372" s="14"/>
      <c r="J372" s="14"/>
      <c r="K372" s="12"/>
    </row>
    <row r="373" ht="19.5" customHeight="1">
      <c r="A373" s="12"/>
      <c r="C373" s="12"/>
      <c r="D373" s="87"/>
      <c r="F373" s="14"/>
      <c r="G373" s="14"/>
      <c r="H373" s="14"/>
      <c r="I373" s="14"/>
      <c r="J373" s="14"/>
      <c r="K373" s="12"/>
    </row>
    <row r="374" ht="19.5" customHeight="1">
      <c r="A374" s="12"/>
      <c r="C374" s="12"/>
      <c r="D374" s="87"/>
      <c r="F374" s="14"/>
      <c r="G374" s="14"/>
      <c r="H374" s="14"/>
      <c r="I374" s="14"/>
      <c r="J374" s="14"/>
      <c r="K374" s="12"/>
    </row>
    <row r="375" ht="19.5" customHeight="1">
      <c r="A375" s="12"/>
      <c r="C375" s="12"/>
      <c r="D375" s="87"/>
      <c r="F375" s="14"/>
      <c r="G375" s="14"/>
      <c r="H375" s="14"/>
      <c r="I375" s="14"/>
      <c r="J375" s="14"/>
      <c r="K375" s="12"/>
    </row>
    <row r="376" ht="19.5" customHeight="1">
      <c r="A376" s="12"/>
      <c r="C376" s="12"/>
      <c r="D376" s="87"/>
      <c r="F376" s="14"/>
      <c r="G376" s="14"/>
      <c r="H376" s="14"/>
      <c r="I376" s="14"/>
      <c r="J376" s="14"/>
      <c r="K376" s="12"/>
    </row>
    <row r="377" ht="19.5" customHeight="1">
      <c r="A377" s="12"/>
      <c r="C377" s="12"/>
      <c r="D377" s="87"/>
      <c r="F377" s="14"/>
      <c r="G377" s="14"/>
      <c r="H377" s="14"/>
      <c r="I377" s="14"/>
      <c r="J377" s="14"/>
      <c r="K377" s="12"/>
    </row>
    <row r="378" ht="19.5" customHeight="1">
      <c r="A378" s="12"/>
      <c r="C378" s="12"/>
      <c r="D378" s="87"/>
      <c r="F378" s="14"/>
      <c r="G378" s="14"/>
      <c r="H378" s="14"/>
      <c r="I378" s="14"/>
      <c r="J378" s="14"/>
      <c r="K378" s="12"/>
    </row>
    <row r="379" ht="19.5" customHeight="1">
      <c r="A379" s="12"/>
      <c r="C379" s="12"/>
      <c r="D379" s="87"/>
      <c r="F379" s="14"/>
      <c r="G379" s="14"/>
      <c r="H379" s="14"/>
      <c r="I379" s="14"/>
      <c r="J379" s="14"/>
      <c r="K379" s="12"/>
    </row>
    <row r="380" ht="19.5" customHeight="1">
      <c r="A380" s="12"/>
      <c r="C380" s="12"/>
      <c r="D380" s="87"/>
      <c r="F380" s="14"/>
      <c r="G380" s="14"/>
      <c r="H380" s="14"/>
      <c r="I380" s="14"/>
      <c r="J380" s="14"/>
      <c r="K380" s="12"/>
    </row>
    <row r="381" ht="19.5" customHeight="1">
      <c r="A381" s="12"/>
      <c r="C381" s="12"/>
      <c r="D381" s="87"/>
      <c r="F381" s="14"/>
      <c r="G381" s="14"/>
      <c r="H381" s="14"/>
      <c r="I381" s="14"/>
      <c r="J381" s="14"/>
      <c r="K381" s="12"/>
    </row>
    <row r="382" ht="19.5" customHeight="1">
      <c r="A382" s="12"/>
      <c r="C382" s="12"/>
      <c r="D382" s="87"/>
      <c r="F382" s="14"/>
      <c r="G382" s="14"/>
      <c r="H382" s="14"/>
      <c r="I382" s="14"/>
      <c r="J382" s="14"/>
      <c r="K382" s="12"/>
    </row>
    <row r="383" ht="19.5" customHeight="1">
      <c r="A383" s="12"/>
      <c r="C383" s="12"/>
      <c r="D383" s="87"/>
      <c r="F383" s="14"/>
      <c r="G383" s="14"/>
      <c r="H383" s="14"/>
      <c r="I383" s="14"/>
      <c r="J383" s="14"/>
      <c r="K383" s="12"/>
    </row>
    <row r="384" ht="19.5" customHeight="1">
      <c r="A384" s="12"/>
      <c r="C384" s="12"/>
      <c r="D384" s="87"/>
      <c r="F384" s="14"/>
      <c r="G384" s="14"/>
      <c r="H384" s="14"/>
      <c r="I384" s="14"/>
      <c r="J384" s="14"/>
      <c r="K384" s="12"/>
    </row>
    <row r="385" ht="19.5" customHeight="1">
      <c r="A385" s="12"/>
      <c r="C385" s="12"/>
      <c r="D385" s="87"/>
      <c r="F385" s="14"/>
      <c r="G385" s="14"/>
      <c r="H385" s="14"/>
      <c r="I385" s="14"/>
      <c r="J385" s="14"/>
      <c r="K385" s="12"/>
    </row>
    <row r="386" ht="19.5" customHeight="1">
      <c r="A386" s="12"/>
      <c r="C386" s="12"/>
      <c r="D386" s="87"/>
      <c r="F386" s="14"/>
      <c r="G386" s="14"/>
      <c r="H386" s="14"/>
      <c r="I386" s="14"/>
      <c r="J386" s="14"/>
      <c r="K386" s="12"/>
    </row>
    <row r="387" ht="19.5" customHeight="1">
      <c r="A387" s="12"/>
      <c r="C387" s="12"/>
      <c r="D387" s="87"/>
      <c r="F387" s="14"/>
      <c r="G387" s="14"/>
      <c r="H387" s="14"/>
      <c r="I387" s="14"/>
      <c r="J387" s="14"/>
      <c r="K387" s="12"/>
    </row>
    <row r="388" ht="19.5" customHeight="1">
      <c r="A388" s="12"/>
      <c r="C388" s="12"/>
      <c r="D388" s="87"/>
      <c r="F388" s="14"/>
      <c r="G388" s="14"/>
      <c r="H388" s="14"/>
      <c r="I388" s="14"/>
      <c r="J388" s="14"/>
      <c r="K388" s="12"/>
    </row>
    <row r="389" ht="19.5" customHeight="1">
      <c r="A389" s="12"/>
      <c r="C389" s="12"/>
      <c r="D389" s="87"/>
      <c r="F389" s="14"/>
      <c r="G389" s="14"/>
      <c r="H389" s="14"/>
      <c r="I389" s="14"/>
      <c r="J389" s="14"/>
      <c r="K389" s="12"/>
    </row>
    <row r="390" ht="19.5" customHeight="1">
      <c r="A390" s="12"/>
      <c r="C390" s="12"/>
      <c r="D390" s="87"/>
      <c r="F390" s="14"/>
      <c r="G390" s="14"/>
      <c r="H390" s="14"/>
      <c r="I390" s="14"/>
      <c r="J390" s="14"/>
      <c r="K390" s="12"/>
    </row>
    <row r="391" ht="19.5" customHeight="1">
      <c r="A391" s="12"/>
      <c r="C391" s="12"/>
      <c r="D391" s="87"/>
      <c r="F391" s="14"/>
      <c r="G391" s="14"/>
      <c r="H391" s="14"/>
      <c r="I391" s="14"/>
      <c r="J391" s="14"/>
      <c r="K391" s="12"/>
    </row>
    <row r="392" ht="19.5" customHeight="1">
      <c r="A392" s="12"/>
      <c r="C392" s="12"/>
      <c r="D392" s="87"/>
      <c r="F392" s="14"/>
      <c r="G392" s="14"/>
      <c r="H392" s="14"/>
      <c r="I392" s="14"/>
      <c r="J392" s="14"/>
      <c r="K392" s="12"/>
    </row>
    <row r="393" ht="19.5" customHeight="1">
      <c r="A393" s="12"/>
      <c r="C393" s="12"/>
      <c r="D393" s="87"/>
      <c r="F393" s="14"/>
      <c r="G393" s="14"/>
      <c r="H393" s="14"/>
      <c r="I393" s="14"/>
      <c r="J393" s="14"/>
      <c r="K393" s="12"/>
    </row>
    <row r="394" ht="19.5" customHeight="1">
      <c r="A394" s="12"/>
      <c r="C394" s="12"/>
      <c r="D394" s="87"/>
      <c r="F394" s="14"/>
      <c r="G394" s="14"/>
      <c r="H394" s="14"/>
      <c r="I394" s="14"/>
      <c r="J394" s="14"/>
      <c r="K394" s="12"/>
    </row>
    <row r="395" ht="19.5" customHeight="1">
      <c r="A395" s="12"/>
      <c r="C395" s="12"/>
      <c r="D395" s="87"/>
      <c r="F395" s="14"/>
      <c r="G395" s="14"/>
      <c r="H395" s="14"/>
      <c r="I395" s="14"/>
      <c r="J395" s="14"/>
      <c r="K395" s="12"/>
    </row>
    <row r="396" ht="19.5" customHeight="1">
      <c r="A396" s="12"/>
      <c r="C396" s="12"/>
      <c r="D396" s="87"/>
      <c r="F396" s="14"/>
      <c r="G396" s="14"/>
      <c r="H396" s="14"/>
      <c r="I396" s="14"/>
      <c r="J396" s="14"/>
      <c r="K396" s="12"/>
    </row>
    <row r="397" ht="19.5" customHeight="1">
      <c r="A397" s="12"/>
      <c r="C397" s="12"/>
      <c r="D397" s="87"/>
      <c r="F397" s="14"/>
      <c r="G397" s="14"/>
      <c r="H397" s="14"/>
      <c r="I397" s="14"/>
      <c r="J397" s="14"/>
      <c r="K397" s="12"/>
    </row>
    <row r="398" ht="19.5" customHeight="1">
      <c r="A398" s="12"/>
      <c r="C398" s="12"/>
      <c r="D398" s="87"/>
      <c r="F398" s="14"/>
      <c r="G398" s="14"/>
      <c r="H398" s="14"/>
      <c r="I398" s="14"/>
      <c r="J398" s="14"/>
      <c r="K398" s="12"/>
    </row>
    <row r="399" ht="19.5" customHeight="1">
      <c r="A399" s="12"/>
      <c r="C399" s="12"/>
      <c r="D399" s="87"/>
      <c r="F399" s="14"/>
      <c r="G399" s="14"/>
      <c r="H399" s="14"/>
      <c r="I399" s="14"/>
      <c r="J399" s="14"/>
      <c r="K399" s="12"/>
    </row>
    <row r="400" ht="19.5" customHeight="1">
      <c r="A400" s="12"/>
      <c r="C400" s="12"/>
      <c r="D400" s="87"/>
      <c r="F400" s="14"/>
      <c r="G400" s="14"/>
      <c r="H400" s="14"/>
      <c r="I400" s="14"/>
      <c r="J400" s="14"/>
      <c r="K400" s="12"/>
    </row>
    <row r="401" ht="19.5" customHeight="1">
      <c r="A401" s="12"/>
      <c r="C401" s="12"/>
      <c r="D401" s="87"/>
      <c r="F401" s="14"/>
      <c r="G401" s="14"/>
      <c r="H401" s="14"/>
      <c r="I401" s="14"/>
      <c r="J401" s="14"/>
      <c r="K401" s="12"/>
    </row>
    <row r="402" ht="19.5" customHeight="1">
      <c r="A402" s="12"/>
      <c r="C402" s="12"/>
      <c r="D402" s="87"/>
      <c r="F402" s="14"/>
      <c r="G402" s="14"/>
      <c r="H402" s="14"/>
      <c r="I402" s="14"/>
      <c r="J402" s="14"/>
      <c r="K402" s="12"/>
    </row>
    <row r="403" ht="19.5" customHeight="1">
      <c r="A403" s="12"/>
      <c r="C403" s="12"/>
      <c r="D403" s="87"/>
      <c r="F403" s="14"/>
      <c r="G403" s="14"/>
      <c r="H403" s="14"/>
      <c r="I403" s="14"/>
      <c r="J403" s="14"/>
      <c r="K403" s="12"/>
    </row>
    <row r="404" ht="19.5" customHeight="1">
      <c r="A404" s="12"/>
      <c r="C404" s="12"/>
      <c r="D404" s="87"/>
      <c r="F404" s="14"/>
      <c r="G404" s="14"/>
      <c r="H404" s="14"/>
      <c r="I404" s="14"/>
      <c r="J404" s="14"/>
      <c r="K404" s="12"/>
    </row>
    <row r="405" ht="19.5" customHeight="1">
      <c r="A405" s="12"/>
      <c r="C405" s="12"/>
      <c r="D405" s="87"/>
      <c r="F405" s="14"/>
      <c r="G405" s="14"/>
      <c r="H405" s="14"/>
      <c r="I405" s="14"/>
      <c r="J405" s="14"/>
      <c r="K405" s="12"/>
    </row>
    <row r="406" ht="19.5" customHeight="1">
      <c r="A406" s="12"/>
      <c r="C406" s="12"/>
      <c r="D406" s="87"/>
      <c r="F406" s="14"/>
      <c r="G406" s="14"/>
      <c r="H406" s="14"/>
      <c r="I406" s="14"/>
      <c r="J406" s="14"/>
      <c r="K406" s="12"/>
    </row>
    <row r="407" ht="19.5" customHeight="1">
      <c r="A407" s="12"/>
      <c r="C407" s="12"/>
      <c r="D407" s="87"/>
      <c r="F407" s="14"/>
      <c r="G407" s="14"/>
      <c r="H407" s="14"/>
      <c r="I407" s="14"/>
      <c r="J407" s="14"/>
      <c r="K407" s="12"/>
    </row>
    <row r="408" ht="19.5" customHeight="1">
      <c r="A408" s="12"/>
      <c r="C408" s="12"/>
      <c r="D408" s="87"/>
      <c r="F408" s="14"/>
      <c r="G408" s="14"/>
      <c r="H408" s="14"/>
      <c r="I408" s="14"/>
      <c r="J408" s="14"/>
      <c r="K408" s="12"/>
    </row>
    <row r="409" ht="19.5" customHeight="1">
      <c r="A409" s="12"/>
      <c r="C409" s="12"/>
      <c r="D409" s="87"/>
      <c r="F409" s="14"/>
      <c r="G409" s="14"/>
      <c r="H409" s="14"/>
      <c r="I409" s="14"/>
      <c r="J409" s="14"/>
      <c r="K409" s="12"/>
    </row>
    <row r="410" ht="19.5" customHeight="1">
      <c r="A410" s="12"/>
      <c r="C410" s="12"/>
      <c r="D410" s="87"/>
      <c r="F410" s="14"/>
      <c r="G410" s="14"/>
      <c r="H410" s="14"/>
      <c r="I410" s="14"/>
      <c r="J410" s="14"/>
      <c r="K410" s="12"/>
    </row>
    <row r="411" ht="19.5" customHeight="1">
      <c r="A411" s="12"/>
      <c r="C411" s="12"/>
      <c r="D411" s="87"/>
      <c r="F411" s="14"/>
      <c r="G411" s="14"/>
      <c r="H411" s="14"/>
      <c r="I411" s="14"/>
      <c r="J411" s="14"/>
      <c r="K411" s="12"/>
    </row>
    <row r="412" ht="19.5" customHeight="1">
      <c r="A412" s="12"/>
      <c r="C412" s="12"/>
      <c r="D412" s="87"/>
      <c r="F412" s="14"/>
      <c r="G412" s="14"/>
      <c r="H412" s="14"/>
      <c r="I412" s="14"/>
      <c r="J412" s="14"/>
      <c r="K412" s="12"/>
    </row>
    <row r="413" ht="19.5" customHeight="1">
      <c r="A413" s="12"/>
      <c r="C413" s="12"/>
      <c r="D413" s="87"/>
      <c r="F413" s="14"/>
      <c r="G413" s="14"/>
      <c r="H413" s="14"/>
      <c r="I413" s="14"/>
      <c r="J413" s="14"/>
      <c r="K413" s="12"/>
    </row>
    <row r="414" ht="19.5" customHeight="1">
      <c r="A414" s="12"/>
      <c r="C414" s="12"/>
      <c r="D414" s="87"/>
      <c r="F414" s="14"/>
      <c r="G414" s="14"/>
      <c r="H414" s="14"/>
      <c r="I414" s="14"/>
      <c r="J414" s="14"/>
      <c r="K414" s="12"/>
    </row>
    <row r="415" ht="19.5" customHeight="1">
      <c r="A415" s="12"/>
      <c r="C415" s="12"/>
      <c r="D415" s="87"/>
      <c r="F415" s="14"/>
      <c r="G415" s="14"/>
      <c r="H415" s="14"/>
      <c r="I415" s="14"/>
      <c r="J415" s="14"/>
      <c r="K415" s="12"/>
    </row>
    <row r="416" ht="19.5" customHeight="1">
      <c r="A416" s="12"/>
      <c r="C416" s="12"/>
      <c r="D416" s="87"/>
      <c r="F416" s="14"/>
      <c r="G416" s="14"/>
      <c r="H416" s="14"/>
      <c r="I416" s="14"/>
      <c r="J416" s="14"/>
      <c r="K416" s="12"/>
    </row>
    <row r="417" ht="19.5" customHeight="1">
      <c r="A417" s="12"/>
      <c r="C417" s="12"/>
      <c r="D417" s="87"/>
      <c r="F417" s="14"/>
      <c r="G417" s="14"/>
      <c r="H417" s="14"/>
      <c r="I417" s="14"/>
      <c r="J417" s="14"/>
      <c r="K417" s="12"/>
    </row>
    <row r="418" ht="19.5" customHeight="1">
      <c r="A418" s="12"/>
      <c r="C418" s="12"/>
      <c r="D418" s="87"/>
      <c r="F418" s="14"/>
      <c r="G418" s="14"/>
      <c r="H418" s="14"/>
      <c r="I418" s="14"/>
      <c r="J418" s="14"/>
      <c r="K418" s="12"/>
    </row>
    <row r="419" ht="19.5" customHeight="1">
      <c r="A419" s="12"/>
      <c r="C419" s="12"/>
      <c r="D419" s="87"/>
      <c r="F419" s="14"/>
      <c r="G419" s="14"/>
      <c r="H419" s="14"/>
      <c r="I419" s="14"/>
      <c r="J419" s="14"/>
      <c r="K419" s="12"/>
    </row>
    <row r="420" ht="19.5" customHeight="1">
      <c r="A420" s="12"/>
      <c r="C420" s="12"/>
      <c r="D420" s="87"/>
      <c r="F420" s="14"/>
      <c r="G420" s="14"/>
      <c r="H420" s="14"/>
      <c r="I420" s="14"/>
      <c r="J420" s="14"/>
      <c r="K420" s="12"/>
    </row>
    <row r="421" ht="19.5" customHeight="1">
      <c r="A421" s="12"/>
      <c r="C421" s="12"/>
      <c r="D421" s="87"/>
      <c r="F421" s="14"/>
      <c r="G421" s="14"/>
      <c r="H421" s="14"/>
      <c r="I421" s="14"/>
      <c r="J421" s="14"/>
      <c r="K421" s="12"/>
    </row>
    <row r="422" ht="19.5" customHeight="1">
      <c r="A422" s="12"/>
      <c r="C422" s="12"/>
      <c r="D422" s="87"/>
      <c r="F422" s="14"/>
      <c r="G422" s="14"/>
      <c r="H422" s="14"/>
      <c r="I422" s="14"/>
      <c r="J422" s="14"/>
      <c r="K422" s="12"/>
    </row>
    <row r="423" ht="19.5" customHeight="1">
      <c r="A423" s="12"/>
      <c r="C423" s="12"/>
      <c r="D423" s="87"/>
      <c r="F423" s="14"/>
      <c r="G423" s="14"/>
      <c r="H423" s="14"/>
      <c r="I423" s="14"/>
      <c r="J423" s="14"/>
      <c r="K423" s="12"/>
    </row>
    <row r="424" ht="19.5" customHeight="1">
      <c r="A424" s="12"/>
      <c r="C424" s="12"/>
      <c r="D424" s="87"/>
      <c r="F424" s="14"/>
      <c r="G424" s="14"/>
      <c r="H424" s="14"/>
      <c r="I424" s="14"/>
      <c r="J424" s="14"/>
      <c r="K424" s="12"/>
    </row>
    <row r="425" ht="19.5" customHeight="1">
      <c r="A425" s="12"/>
      <c r="C425" s="12"/>
      <c r="D425" s="87"/>
      <c r="F425" s="14"/>
      <c r="G425" s="14"/>
      <c r="H425" s="14"/>
      <c r="I425" s="14"/>
      <c r="J425" s="14"/>
      <c r="K425" s="12"/>
    </row>
    <row r="426" ht="19.5" customHeight="1">
      <c r="A426" s="12"/>
      <c r="C426" s="12"/>
      <c r="D426" s="87"/>
      <c r="F426" s="14"/>
      <c r="G426" s="14"/>
      <c r="H426" s="14"/>
      <c r="I426" s="14"/>
      <c r="J426" s="14"/>
      <c r="K426" s="12"/>
    </row>
    <row r="427" ht="19.5" customHeight="1">
      <c r="A427" s="12"/>
      <c r="C427" s="12"/>
      <c r="D427" s="87"/>
      <c r="F427" s="14"/>
      <c r="G427" s="14"/>
      <c r="H427" s="14"/>
      <c r="I427" s="14"/>
      <c r="J427" s="14"/>
      <c r="K427" s="12"/>
    </row>
    <row r="428" ht="19.5" customHeight="1">
      <c r="A428" s="12"/>
      <c r="C428" s="12"/>
      <c r="D428" s="87"/>
      <c r="F428" s="14"/>
      <c r="G428" s="14"/>
      <c r="H428" s="14"/>
      <c r="I428" s="14"/>
      <c r="J428" s="14"/>
      <c r="K428" s="12"/>
    </row>
    <row r="429" ht="19.5" customHeight="1">
      <c r="A429" s="12"/>
      <c r="C429" s="12"/>
      <c r="D429" s="87"/>
      <c r="F429" s="14"/>
      <c r="G429" s="14"/>
      <c r="H429" s="14"/>
      <c r="I429" s="14"/>
      <c r="J429" s="14"/>
      <c r="K429" s="12"/>
    </row>
    <row r="430" ht="19.5" customHeight="1">
      <c r="A430" s="12"/>
      <c r="C430" s="12"/>
      <c r="D430" s="87"/>
      <c r="F430" s="14"/>
      <c r="G430" s="14"/>
      <c r="H430" s="14"/>
      <c r="I430" s="14"/>
      <c r="J430" s="14"/>
      <c r="K430" s="12"/>
    </row>
    <row r="431" ht="19.5" customHeight="1">
      <c r="A431" s="12"/>
      <c r="C431" s="12"/>
      <c r="D431" s="87"/>
      <c r="F431" s="14"/>
      <c r="G431" s="14"/>
      <c r="H431" s="14"/>
      <c r="I431" s="14"/>
      <c r="J431" s="14"/>
      <c r="K431" s="12"/>
    </row>
    <row r="432" ht="19.5" customHeight="1">
      <c r="A432" s="12"/>
      <c r="C432" s="12"/>
      <c r="D432" s="87"/>
      <c r="F432" s="14"/>
      <c r="G432" s="14"/>
      <c r="H432" s="14"/>
      <c r="I432" s="14"/>
      <c r="J432" s="14"/>
      <c r="K432" s="12"/>
    </row>
    <row r="433" ht="19.5" customHeight="1">
      <c r="A433" s="12"/>
      <c r="C433" s="12"/>
      <c r="D433" s="87"/>
      <c r="F433" s="14"/>
      <c r="G433" s="14"/>
      <c r="H433" s="14"/>
      <c r="I433" s="14"/>
      <c r="J433" s="14"/>
      <c r="K433" s="12"/>
    </row>
    <row r="434" ht="19.5" customHeight="1">
      <c r="A434" s="12"/>
      <c r="C434" s="12"/>
      <c r="D434" s="87"/>
      <c r="F434" s="14"/>
      <c r="G434" s="14"/>
      <c r="H434" s="14"/>
      <c r="I434" s="14"/>
      <c r="J434" s="14"/>
      <c r="K434" s="12"/>
    </row>
    <row r="435" ht="19.5" customHeight="1">
      <c r="A435" s="12"/>
      <c r="C435" s="12"/>
      <c r="D435" s="87"/>
      <c r="F435" s="14"/>
      <c r="G435" s="14"/>
      <c r="H435" s="14"/>
      <c r="I435" s="14"/>
      <c r="J435" s="14"/>
      <c r="K435" s="12"/>
    </row>
    <row r="436" ht="19.5" customHeight="1">
      <c r="A436" s="12"/>
      <c r="C436" s="12"/>
      <c r="D436" s="87"/>
      <c r="F436" s="14"/>
      <c r="G436" s="14"/>
      <c r="H436" s="14"/>
      <c r="I436" s="14"/>
      <c r="J436" s="14"/>
      <c r="K436" s="12"/>
    </row>
    <row r="437" ht="19.5" customHeight="1">
      <c r="A437" s="12"/>
      <c r="C437" s="12"/>
      <c r="D437" s="87"/>
      <c r="F437" s="14"/>
      <c r="G437" s="14"/>
      <c r="H437" s="14"/>
      <c r="I437" s="14"/>
      <c r="J437" s="14"/>
      <c r="K437" s="12"/>
    </row>
    <row r="438" ht="19.5" customHeight="1">
      <c r="A438" s="12"/>
      <c r="C438" s="12"/>
      <c r="D438" s="87"/>
      <c r="F438" s="14"/>
      <c r="G438" s="14"/>
      <c r="H438" s="14"/>
      <c r="I438" s="14"/>
      <c r="J438" s="14"/>
      <c r="K438" s="12"/>
    </row>
    <row r="439" ht="19.5" customHeight="1">
      <c r="A439" s="12"/>
      <c r="C439" s="12"/>
      <c r="D439" s="87"/>
      <c r="F439" s="14"/>
      <c r="G439" s="14"/>
      <c r="H439" s="14"/>
      <c r="I439" s="14"/>
      <c r="J439" s="14"/>
      <c r="K439" s="12"/>
    </row>
    <row r="440" ht="19.5" customHeight="1">
      <c r="A440" s="12"/>
      <c r="C440" s="12"/>
      <c r="D440" s="87"/>
      <c r="F440" s="14"/>
      <c r="G440" s="14"/>
      <c r="H440" s="14"/>
      <c r="I440" s="14"/>
      <c r="J440" s="14"/>
      <c r="K440" s="12"/>
    </row>
    <row r="441" ht="19.5" customHeight="1">
      <c r="A441" s="12"/>
      <c r="C441" s="12"/>
      <c r="D441" s="87"/>
      <c r="F441" s="14"/>
      <c r="G441" s="14"/>
      <c r="H441" s="14"/>
      <c r="I441" s="14"/>
      <c r="J441" s="14"/>
      <c r="K441" s="12"/>
    </row>
    <row r="442" ht="19.5" customHeight="1">
      <c r="A442" s="12"/>
      <c r="C442" s="12"/>
      <c r="D442" s="87"/>
      <c r="F442" s="14"/>
      <c r="G442" s="14"/>
      <c r="H442" s="14"/>
      <c r="I442" s="14"/>
      <c r="J442" s="14"/>
      <c r="K442" s="12"/>
    </row>
    <row r="443" ht="19.5" customHeight="1">
      <c r="A443" s="12"/>
      <c r="C443" s="12"/>
      <c r="D443" s="87"/>
      <c r="F443" s="14"/>
      <c r="G443" s="14"/>
      <c r="H443" s="14"/>
      <c r="I443" s="14"/>
      <c r="J443" s="14"/>
      <c r="K443" s="12"/>
    </row>
    <row r="444" ht="19.5" customHeight="1">
      <c r="A444" s="12"/>
      <c r="C444" s="12"/>
      <c r="D444" s="87"/>
      <c r="F444" s="14"/>
      <c r="G444" s="14"/>
      <c r="H444" s="14"/>
      <c r="I444" s="14"/>
      <c r="J444" s="14"/>
      <c r="K444" s="12"/>
    </row>
    <row r="445" ht="19.5" customHeight="1">
      <c r="A445" s="12"/>
      <c r="C445" s="12"/>
      <c r="D445" s="87"/>
      <c r="F445" s="14"/>
      <c r="G445" s="14"/>
      <c r="H445" s="14"/>
      <c r="I445" s="14"/>
      <c r="J445" s="14"/>
      <c r="K445" s="12"/>
    </row>
    <row r="446" ht="19.5" customHeight="1">
      <c r="A446" s="12"/>
      <c r="C446" s="12"/>
      <c r="D446" s="87"/>
      <c r="F446" s="14"/>
      <c r="G446" s="14"/>
      <c r="H446" s="14"/>
      <c r="I446" s="14"/>
      <c r="J446" s="14"/>
      <c r="K446" s="12"/>
    </row>
    <row r="447" ht="19.5" customHeight="1">
      <c r="A447" s="12"/>
      <c r="C447" s="12"/>
      <c r="D447" s="87"/>
      <c r="F447" s="14"/>
      <c r="G447" s="14"/>
      <c r="H447" s="14"/>
      <c r="I447" s="14"/>
      <c r="J447" s="14"/>
      <c r="K447" s="12"/>
    </row>
    <row r="448" ht="19.5" customHeight="1">
      <c r="A448" s="12"/>
      <c r="C448" s="12"/>
      <c r="D448" s="87"/>
      <c r="F448" s="14"/>
      <c r="G448" s="14"/>
      <c r="H448" s="14"/>
      <c r="I448" s="14"/>
      <c r="J448" s="14"/>
      <c r="K448" s="12"/>
    </row>
    <row r="449" ht="19.5" customHeight="1">
      <c r="A449" s="12"/>
      <c r="C449" s="12"/>
      <c r="D449" s="87"/>
      <c r="F449" s="14"/>
      <c r="G449" s="14"/>
      <c r="H449" s="14"/>
      <c r="I449" s="14"/>
      <c r="J449" s="14"/>
      <c r="K449" s="12"/>
    </row>
    <row r="450" ht="19.5" customHeight="1">
      <c r="A450" s="12"/>
      <c r="C450" s="12"/>
      <c r="D450" s="87"/>
      <c r="F450" s="14"/>
      <c r="G450" s="14"/>
      <c r="H450" s="14"/>
      <c r="I450" s="14"/>
      <c r="J450" s="14"/>
      <c r="K450" s="12"/>
    </row>
    <row r="451" ht="19.5" customHeight="1">
      <c r="A451" s="12"/>
      <c r="C451" s="12"/>
      <c r="D451" s="87"/>
      <c r="F451" s="14"/>
      <c r="G451" s="14"/>
      <c r="H451" s="14"/>
      <c r="I451" s="14"/>
      <c r="J451" s="14"/>
      <c r="K451" s="12"/>
    </row>
    <row r="452" ht="19.5" customHeight="1">
      <c r="A452" s="12"/>
      <c r="C452" s="12"/>
      <c r="D452" s="87"/>
      <c r="F452" s="14"/>
      <c r="G452" s="14"/>
      <c r="H452" s="14"/>
      <c r="I452" s="14"/>
      <c r="J452" s="14"/>
      <c r="K452" s="12"/>
    </row>
    <row r="453" ht="19.5" customHeight="1">
      <c r="A453" s="12"/>
      <c r="C453" s="12"/>
      <c r="D453" s="87"/>
      <c r="F453" s="14"/>
      <c r="G453" s="14"/>
      <c r="H453" s="14"/>
      <c r="I453" s="14"/>
      <c r="J453" s="14"/>
      <c r="K453" s="12"/>
    </row>
    <row r="454" ht="19.5" customHeight="1">
      <c r="A454" s="12"/>
      <c r="C454" s="12"/>
      <c r="D454" s="87"/>
      <c r="F454" s="14"/>
      <c r="G454" s="14"/>
      <c r="H454" s="14"/>
      <c r="I454" s="14"/>
      <c r="J454" s="14"/>
      <c r="K454" s="12"/>
    </row>
    <row r="455" ht="19.5" customHeight="1">
      <c r="A455" s="12"/>
      <c r="C455" s="12"/>
      <c r="D455" s="87"/>
      <c r="F455" s="14"/>
      <c r="G455" s="14"/>
      <c r="H455" s="14"/>
      <c r="I455" s="14"/>
      <c r="J455" s="14"/>
      <c r="K455" s="12"/>
    </row>
    <row r="456" ht="19.5" customHeight="1">
      <c r="A456" s="12"/>
      <c r="C456" s="12"/>
      <c r="D456" s="87"/>
      <c r="F456" s="14"/>
      <c r="G456" s="14"/>
      <c r="H456" s="14"/>
      <c r="I456" s="14"/>
      <c r="J456" s="14"/>
      <c r="K456" s="12"/>
    </row>
    <row r="457" ht="19.5" customHeight="1">
      <c r="A457" s="12"/>
      <c r="C457" s="12"/>
      <c r="D457" s="87"/>
      <c r="F457" s="14"/>
      <c r="G457" s="14"/>
      <c r="H457" s="14"/>
      <c r="I457" s="14"/>
      <c r="J457" s="14"/>
      <c r="K457" s="12"/>
    </row>
    <row r="458" ht="19.5" customHeight="1">
      <c r="A458" s="12"/>
      <c r="C458" s="12"/>
      <c r="D458" s="87"/>
      <c r="F458" s="14"/>
      <c r="G458" s="14"/>
      <c r="H458" s="14"/>
      <c r="I458" s="14"/>
      <c r="J458" s="14"/>
      <c r="K458" s="12"/>
    </row>
    <row r="459" ht="19.5" customHeight="1">
      <c r="A459" s="12"/>
      <c r="C459" s="12"/>
      <c r="D459" s="87"/>
      <c r="F459" s="14"/>
      <c r="G459" s="14"/>
      <c r="H459" s="14"/>
      <c r="I459" s="14"/>
      <c r="J459" s="14"/>
      <c r="K459" s="12"/>
    </row>
    <row r="460" ht="19.5" customHeight="1">
      <c r="A460" s="12"/>
      <c r="C460" s="12"/>
      <c r="D460" s="87"/>
      <c r="F460" s="14"/>
      <c r="G460" s="14"/>
      <c r="H460" s="14"/>
      <c r="I460" s="14"/>
      <c r="J460" s="14"/>
      <c r="K460" s="12"/>
    </row>
    <row r="461" ht="19.5" customHeight="1">
      <c r="A461" s="12"/>
      <c r="C461" s="12"/>
      <c r="D461" s="87"/>
      <c r="F461" s="14"/>
      <c r="G461" s="14"/>
      <c r="H461" s="14"/>
      <c r="I461" s="14"/>
      <c r="J461" s="14"/>
      <c r="K461" s="12"/>
    </row>
    <row r="462" ht="19.5" customHeight="1">
      <c r="A462" s="12"/>
      <c r="C462" s="12"/>
      <c r="D462" s="87"/>
      <c r="F462" s="14"/>
      <c r="G462" s="14"/>
      <c r="H462" s="14"/>
      <c r="I462" s="14"/>
      <c r="J462" s="14"/>
      <c r="K462" s="12"/>
    </row>
    <row r="463" ht="19.5" customHeight="1">
      <c r="A463" s="12"/>
      <c r="C463" s="12"/>
      <c r="D463" s="87"/>
      <c r="F463" s="14"/>
      <c r="G463" s="14"/>
      <c r="H463" s="14"/>
      <c r="I463" s="14"/>
      <c r="J463" s="14"/>
      <c r="K463" s="12"/>
    </row>
    <row r="464" ht="19.5" customHeight="1">
      <c r="A464" s="12"/>
      <c r="C464" s="12"/>
      <c r="D464" s="87"/>
      <c r="F464" s="14"/>
      <c r="G464" s="14"/>
      <c r="H464" s="14"/>
      <c r="I464" s="14"/>
      <c r="J464" s="14"/>
      <c r="K464" s="12"/>
    </row>
    <row r="465" ht="19.5" customHeight="1">
      <c r="A465" s="12"/>
      <c r="C465" s="12"/>
      <c r="D465" s="87"/>
      <c r="F465" s="14"/>
      <c r="G465" s="14"/>
      <c r="H465" s="14"/>
      <c r="I465" s="14"/>
      <c r="J465" s="14"/>
      <c r="K465" s="12"/>
    </row>
    <row r="466" ht="19.5" customHeight="1">
      <c r="A466" s="12"/>
      <c r="C466" s="12"/>
      <c r="D466" s="87"/>
      <c r="F466" s="14"/>
      <c r="G466" s="14"/>
      <c r="H466" s="14"/>
      <c r="I466" s="14"/>
      <c r="J466" s="14"/>
      <c r="K466" s="12"/>
    </row>
    <row r="467" ht="19.5" customHeight="1">
      <c r="A467" s="12"/>
      <c r="C467" s="12"/>
      <c r="D467" s="87"/>
      <c r="F467" s="14"/>
      <c r="G467" s="14"/>
      <c r="H467" s="14"/>
      <c r="I467" s="14"/>
      <c r="J467" s="14"/>
      <c r="K467" s="12"/>
    </row>
    <row r="468" ht="19.5" customHeight="1">
      <c r="A468" s="12"/>
      <c r="C468" s="12"/>
      <c r="D468" s="87"/>
      <c r="F468" s="14"/>
      <c r="G468" s="14"/>
      <c r="H468" s="14"/>
      <c r="I468" s="14"/>
      <c r="J468" s="14"/>
      <c r="K468" s="12"/>
    </row>
    <row r="469" ht="19.5" customHeight="1">
      <c r="A469" s="12"/>
      <c r="C469" s="12"/>
      <c r="D469" s="87"/>
      <c r="F469" s="14"/>
      <c r="G469" s="14"/>
      <c r="H469" s="14"/>
      <c r="I469" s="14"/>
      <c r="J469" s="14"/>
      <c r="K469" s="12"/>
    </row>
    <row r="470" ht="19.5" customHeight="1">
      <c r="A470" s="12"/>
      <c r="C470" s="12"/>
      <c r="D470" s="87"/>
      <c r="F470" s="14"/>
      <c r="G470" s="14"/>
      <c r="H470" s="14"/>
      <c r="I470" s="14"/>
      <c r="J470" s="14"/>
      <c r="K470" s="12"/>
    </row>
    <row r="471" ht="19.5" customHeight="1">
      <c r="A471" s="12"/>
      <c r="C471" s="12"/>
      <c r="D471" s="87"/>
      <c r="F471" s="14"/>
      <c r="G471" s="14"/>
      <c r="H471" s="14"/>
      <c r="I471" s="14"/>
      <c r="J471" s="14"/>
      <c r="K471" s="12"/>
    </row>
    <row r="472" ht="19.5" customHeight="1">
      <c r="A472" s="12"/>
      <c r="C472" s="12"/>
      <c r="D472" s="87"/>
      <c r="F472" s="14"/>
      <c r="G472" s="14"/>
      <c r="H472" s="14"/>
      <c r="I472" s="14"/>
      <c r="J472" s="14"/>
      <c r="K472" s="12"/>
    </row>
    <row r="473" ht="19.5" customHeight="1">
      <c r="A473" s="12"/>
      <c r="C473" s="12"/>
      <c r="D473" s="87"/>
      <c r="F473" s="14"/>
      <c r="G473" s="14"/>
      <c r="H473" s="14"/>
      <c r="I473" s="14"/>
      <c r="J473" s="14"/>
      <c r="K473" s="12"/>
    </row>
    <row r="474" ht="19.5" customHeight="1">
      <c r="A474" s="12"/>
      <c r="C474" s="12"/>
      <c r="D474" s="87"/>
      <c r="F474" s="14"/>
      <c r="G474" s="14"/>
      <c r="H474" s="14"/>
      <c r="I474" s="14"/>
      <c r="J474" s="14"/>
      <c r="K474" s="12"/>
    </row>
    <row r="475" ht="19.5" customHeight="1">
      <c r="A475" s="12"/>
      <c r="C475" s="12"/>
      <c r="D475" s="87"/>
      <c r="F475" s="14"/>
      <c r="G475" s="14"/>
      <c r="H475" s="14"/>
      <c r="I475" s="14"/>
      <c r="J475" s="14"/>
      <c r="K475" s="12"/>
    </row>
    <row r="476" ht="19.5" customHeight="1">
      <c r="A476" s="12"/>
      <c r="C476" s="12"/>
      <c r="D476" s="87"/>
      <c r="F476" s="14"/>
      <c r="G476" s="14"/>
      <c r="H476" s="14"/>
      <c r="I476" s="14"/>
      <c r="J476" s="14"/>
      <c r="K476" s="12"/>
    </row>
    <row r="477" ht="19.5" customHeight="1">
      <c r="A477" s="12"/>
      <c r="C477" s="12"/>
      <c r="D477" s="87"/>
      <c r="F477" s="14"/>
      <c r="G477" s="14"/>
      <c r="H477" s="14"/>
      <c r="I477" s="14"/>
      <c r="J477" s="14"/>
      <c r="K477" s="12"/>
    </row>
    <row r="478" ht="19.5" customHeight="1">
      <c r="A478" s="12"/>
      <c r="C478" s="12"/>
      <c r="D478" s="87"/>
      <c r="F478" s="14"/>
      <c r="G478" s="14"/>
      <c r="H478" s="14"/>
      <c r="I478" s="14"/>
      <c r="J478" s="14"/>
      <c r="K478" s="12"/>
    </row>
    <row r="479" ht="19.5" customHeight="1">
      <c r="A479" s="12"/>
      <c r="C479" s="12"/>
      <c r="D479" s="87"/>
      <c r="F479" s="14"/>
      <c r="G479" s="14"/>
      <c r="H479" s="14"/>
      <c r="I479" s="14"/>
      <c r="J479" s="14"/>
      <c r="K479" s="12"/>
    </row>
    <row r="480" ht="19.5" customHeight="1">
      <c r="A480" s="12"/>
      <c r="C480" s="12"/>
      <c r="D480" s="87"/>
      <c r="F480" s="14"/>
      <c r="G480" s="14"/>
      <c r="H480" s="14"/>
      <c r="I480" s="14"/>
      <c r="J480" s="14"/>
      <c r="K480" s="12"/>
    </row>
    <row r="481" ht="19.5" customHeight="1">
      <c r="A481" s="12"/>
      <c r="C481" s="12"/>
      <c r="D481" s="87"/>
      <c r="F481" s="14"/>
      <c r="G481" s="14"/>
      <c r="H481" s="14"/>
      <c r="I481" s="14"/>
      <c r="J481" s="14"/>
      <c r="K481" s="12"/>
    </row>
    <row r="482" ht="19.5" customHeight="1">
      <c r="A482" s="12"/>
      <c r="C482" s="12"/>
      <c r="D482" s="87"/>
      <c r="F482" s="14"/>
      <c r="G482" s="14"/>
      <c r="H482" s="14"/>
      <c r="I482" s="14"/>
      <c r="J482" s="14"/>
      <c r="K482" s="12"/>
    </row>
    <row r="483" ht="19.5" customHeight="1">
      <c r="A483" s="12"/>
      <c r="C483" s="12"/>
      <c r="D483" s="87"/>
      <c r="F483" s="14"/>
      <c r="G483" s="14"/>
      <c r="H483" s="14"/>
      <c r="I483" s="14"/>
      <c r="J483" s="14"/>
      <c r="K483" s="12"/>
    </row>
    <row r="484" ht="19.5" customHeight="1">
      <c r="A484" s="12"/>
      <c r="C484" s="12"/>
      <c r="D484" s="87"/>
      <c r="F484" s="14"/>
      <c r="G484" s="14"/>
      <c r="H484" s="14"/>
      <c r="I484" s="14"/>
      <c r="J484" s="14"/>
      <c r="K484" s="12"/>
    </row>
    <row r="485" ht="19.5" customHeight="1">
      <c r="A485" s="12"/>
      <c r="C485" s="12"/>
      <c r="D485" s="87"/>
      <c r="F485" s="14"/>
      <c r="G485" s="14"/>
      <c r="H485" s="14"/>
      <c r="I485" s="14"/>
      <c r="J485" s="14"/>
      <c r="K485" s="12"/>
    </row>
    <row r="486" ht="19.5" customHeight="1">
      <c r="A486" s="12"/>
      <c r="C486" s="12"/>
      <c r="D486" s="87"/>
      <c r="F486" s="14"/>
      <c r="G486" s="14"/>
      <c r="H486" s="14"/>
      <c r="I486" s="14"/>
      <c r="J486" s="14"/>
      <c r="K486" s="12"/>
    </row>
    <row r="487" ht="19.5" customHeight="1">
      <c r="A487" s="12"/>
      <c r="C487" s="12"/>
      <c r="D487" s="87"/>
      <c r="F487" s="14"/>
      <c r="G487" s="14"/>
      <c r="H487" s="14"/>
      <c r="I487" s="14"/>
      <c r="J487" s="14"/>
      <c r="K487" s="12"/>
    </row>
    <row r="488" ht="19.5" customHeight="1">
      <c r="A488" s="12"/>
      <c r="C488" s="12"/>
      <c r="D488" s="87"/>
      <c r="F488" s="14"/>
      <c r="G488" s="14"/>
      <c r="H488" s="14"/>
      <c r="I488" s="14"/>
      <c r="J488" s="14"/>
      <c r="K488" s="12"/>
    </row>
    <row r="489" ht="19.5" customHeight="1">
      <c r="A489" s="12"/>
      <c r="C489" s="12"/>
      <c r="D489" s="87"/>
      <c r="F489" s="14"/>
      <c r="G489" s="14"/>
      <c r="H489" s="14"/>
      <c r="I489" s="14"/>
      <c r="J489" s="14"/>
      <c r="K489" s="12"/>
    </row>
    <row r="490" ht="19.5" customHeight="1">
      <c r="A490" s="12"/>
      <c r="C490" s="12"/>
      <c r="D490" s="87"/>
      <c r="F490" s="14"/>
      <c r="G490" s="14"/>
      <c r="H490" s="14"/>
      <c r="I490" s="14"/>
      <c r="J490" s="14"/>
      <c r="K490" s="12"/>
    </row>
    <row r="491" ht="19.5" customHeight="1">
      <c r="A491" s="12"/>
      <c r="C491" s="12"/>
      <c r="D491" s="87"/>
      <c r="F491" s="14"/>
      <c r="G491" s="14"/>
      <c r="H491" s="14"/>
      <c r="I491" s="14"/>
      <c r="J491" s="14"/>
      <c r="K491" s="12"/>
    </row>
    <row r="492" ht="19.5" customHeight="1">
      <c r="A492" s="12"/>
      <c r="C492" s="12"/>
      <c r="D492" s="87"/>
      <c r="F492" s="14"/>
      <c r="G492" s="14"/>
      <c r="H492" s="14"/>
      <c r="I492" s="14"/>
      <c r="J492" s="14"/>
      <c r="K492" s="12"/>
    </row>
    <row r="493" ht="19.5" customHeight="1">
      <c r="A493" s="12"/>
      <c r="C493" s="12"/>
      <c r="D493" s="87"/>
      <c r="F493" s="14"/>
      <c r="G493" s="14"/>
      <c r="H493" s="14"/>
      <c r="I493" s="14"/>
      <c r="J493" s="14"/>
      <c r="K493" s="12"/>
    </row>
    <row r="494" ht="19.5" customHeight="1">
      <c r="A494" s="12"/>
      <c r="C494" s="12"/>
      <c r="D494" s="87"/>
      <c r="F494" s="14"/>
      <c r="G494" s="14"/>
      <c r="H494" s="14"/>
      <c r="I494" s="14"/>
      <c r="J494" s="14"/>
      <c r="K494" s="12"/>
    </row>
    <row r="495" ht="19.5" customHeight="1">
      <c r="A495" s="12"/>
      <c r="C495" s="12"/>
      <c r="D495" s="87"/>
      <c r="F495" s="14"/>
      <c r="G495" s="14"/>
      <c r="H495" s="14"/>
      <c r="I495" s="14"/>
      <c r="J495" s="14"/>
      <c r="K495" s="12"/>
    </row>
    <row r="496" ht="19.5" customHeight="1">
      <c r="A496" s="12"/>
      <c r="C496" s="12"/>
      <c r="D496" s="87"/>
      <c r="F496" s="14"/>
      <c r="G496" s="14"/>
      <c r="H496" s="14"/>
      <c r="I496" s="14"/>
      <c r="J496" s="14"/>
      <c r="K496" s="12"/>
    </row>
    <row r="497" ht="19.5" customHeight="1">
      <c r="A497" s="12"/>
      <c r="C497" s="12"/>
      <c r="D497" s="87"/>
      <c r="F497" s="14"/>
      <c r="G497" s="14"/>
      <c r="H497" s="14"/>
      <c r="I497" s="14"/>
      <c r="J497" s="14"/>
      <c r="K497" s="12"/>
    </row>
    <row r="498" ht="19.5" customHeight="1">
      <c r="A498" s="12"/>
      <c r="C498" s="12"/>
      <c r="D498" s="87"/>
      <c r="F498" s="14"/>
      <c r="G498" s="14"/>
      <c r="H498" s="14"/>
      <c r="I498" s="14"/>
      <c r="J498" s="14"/>
      <c r="K498" s="12"/>
    </row>
    <row r="499" ht="19.5" customHeight="1">
      <c r="A499" s="12"/>
      <c r="C499" s="12"/>
      <c r="D499" s="87"/>
      <c r="F499" s="14"/>
      <c r="G499" s="14"/>
      <c r="H499" s="14"/>
      <c r="I499" s="14"/>
      <c r="J499" s="14"/>
      <c r="K499" s="12"/>
    </row>
    <row r="500" ht="19.5" customHeight="1">
      <c r="A500" s="12"/>
      <c r="C500" s="12"/>
      <c r="D500" s="87"/>
      <c r="F500" s="14"/>
      <c r="G500" s="14"/>
      <c r="H500" s="14"/>
      <c r="I500" s="14"/>
      <c r="J500" s="14"/>
      <c r="K500" s="12"/>
    </row>
    <row r="501" ht="19.5" customHeight="1">
      <c r="A501" s="12"/>
      <c r="C501" s="12"/>
      <c r="D501" s="87"/>
      <c r="F501" s="14"/>
      <c r="G501" s="14"/>
      <c r="H501" s="14"/>
      <c r="I501" s="14"/>
      <c r="J501" s="14"/>
      <c r="K501" s="12"/>
    </row>
    <row r="502" ht="19.5" customHeight="1">
      <c r="A502" s="12"/>
      <c r="C502" s="12"/>
      <c r="D502" s="87"/>
      <c r="F502" s="14"/>
      <c r="G502" s="14"/>
      <c r="H502" s="14"/>
      <c r="I502" s="14"/>
      <c r="J502" s="14"/>
      <c r="K502" s="12"/>
    </row>
    <row r="503" ht="19.5" customHeight="1">
      <c r="A503" s="12"/>
      <c r="C503" s="12"/>
      <c r="D503" s="87"/>
      <c r="F503" s="14"/>
      <c r="G503" s="14"/>
      <c r="H503" s="14"/>
      <c r="I503" s="14"/>
      <c r="J503" s="14"/>
      <c r="K503" s="12"/>
    </row>
    <row r="504" ht="19.5" customHeight="1">
      <c r="A504" s="12"/>
      <c r="C504" s="12"/>
      <c r="D504" s="87"/>
      <c r="F504" s="14"/>
      <c r="G504" s="14"/>
      <c r="H504" s="14"/>
      <c r="I504" s="14"/>
      <c r="J504" s="14"/>
      <c r="K504" s="12"/>
    </row>
    <row r="505" ht="19.5" customHeight="1">
      <c r="A505" s="12"/>
      <c r="C505" s="12"/>
      <c r="D505" s="87"/>
      <c r="F505" s="14"/>
      <c r="G505" s="14"/>
      <c r="H505" s="14"/>
      <c r="I505" s="14"/>
      <c r="J505" s="14"/>
      <c r="K505" s="12"/>
    </row>
    <row r="506" ht="19.5" customHeight="1">
      <c r="A506" s="12"/>
      <c r="C506" s="12"/>
      <c r="D506" s="87"/>
      <c r="F506" s="14"/>
      <c r="G506" s="14"/>
      <c r="H506" s="14"/>
      <c r="I506" s="14"/>
      <c r="J506" s="14"/>
      <c r="K506" s="12"/>
    </row>
    <row r="507" ht="19.5" customHeight="1">
      <c r="A507" s="12"/>
      <c r="C507" s="12"/>
      <c r="D507" s="87"/>
      <c r="F507" s="14"/>
      <c r="G507" s="14"/>
      <c r="H507" s="14"/>
      <c r="I507" s="14"/>
      <c r="J507" s="14"/>
      <c r="K507" s="12"/>
    </row>
    <row r="508" ht="19.5" customHeight="1">
      <c r="A508" s="12"/>
      <c r="C508" s="12"/>
      <c r="D508" s="87"/>
      <c r="F508" s="14"/>
      <c r="G508" s="14"/>
      <c r="H508" s="14"/>
      <c r="I508" s="14"/>
      <c r="J508" s="14"/>
      <c r="K508" s="12"/>
    </row>
    <row r="509" ht="19.5" customHeight="1">
      <c r="A509" s="12"/>
      <c r="C509" s="12"/>
      <c r="D509" s="87"/>
      <c r="F509" s="14"/>
      <c r="G509" s="14"/>
      <c r="H509" s="14"/>
      <c r="I509" s="14"/>
      <c r="J509" s="14"/>
      <c r="K509" s="12"/>
    </row>
    <row r="510" ht="19.5" customHeight="1">
      <c r="A510" s="12"/>
      <c r="C510" s="12"/>
      <c r="D510" s="87"/>
      <c r="F510" s="14"/>
      <c r="G510" s="14"/>
      <c r="H510" s="14"/>
      <c r="I510" s="14"/>
      <c r="J510" s="14"/>
      <c r="K510" s="12"/>
    </row>
    <row r="511" ht="19.5" customHeight="1">
      <c r="A511" s="12"/>
      <c r="C511" s="12"/>
      <c r="D511" s="87"/>
      <c r="F511" s="14"/>
      <c r="G511" s="14"/>
      <c r="H511" s="14"/>
      <c r="I511" s="14"/>
      <c r="J511" s="14"/>
      <c r="K511" s="12"/>
    </row>
    <row r="512" ht="19.5" customHeight="1">
      <c r="A512" s="12"/>
      <c r="C512" s="12"/>
      <c r="D512" s="87"/>
      <c r="F512" s="14"/>
      <c r="G512" s="14"/>
      <c r="H512" s="14"/>
      <c r="I512" s="14"/>
      <c r="J512" s="14"/>
      <c r="K512" s="12"/>
    </row>
    <row r="513" ht="19.5" customHeight="1">
      <c r="A513" s="12"/>
      <c r="C513" s="12"/>
      <c r="D513" s="87"/>
      <c r="F513" s="14"/>
      <c r="G513" s="14"/>
      <c r="H513" s="14"/>
      <c r="I513" s="14"/>
      <c r="J513" s="14"/>
      <c r="K513" s="12"/>
    </row>
    <row r="514" ht="19.5" customHeight="1">
      <c r="A514" s="12"/>
      <c r="C514" s="12"/>
      <c r="D514" s="87"/>
      <c r="F514" s="14"/>
      <c r="G514" s="14"/>
      <c r="H514" s="14"/>
      <c r="I514" s="14"/>
      <c r="J514" s="14"/>
      <c r="K514" s="12"/>
    </row>
    <row r="515" ht="19.5" customHeight="1">
      <c r="A515" s="12"/>
      <c r="C515" s="12"/>
      <c r="D515" s="87"/>
      <c r="F515" s="14"/>
      <c r="G515" s="14"/>
      <c r="H515" s="14"/>
      <c r="I515" s="14"/>
      <c r="J515" s="14"/>
      <c r="K515" s="12"/>
    </row>
    <row r="516" ht="19.5" customHeight="1">
      <c r="A516" s="12"/>
      <c r="C516" s="12"/>
      <c r="D516" s="87"/>
      <c r="F516" s="14"/>
      <c r="G516" s="14"/>
      <c r="H516" s="14"/>
      <c r="I516" s="14"/>
      <c r="J516" s="14"/>
      <c r="K516" s="12"/>
    </row>
    <row r="517" ht="19.5" customHeight="1">
      <c r="A517" s="12"/>
      <c r="C517" s="12"/>
      <c r="D517" s="87"/>
      <c r="F517" s="14"/>
      <c r="G517" s="14"/>
      <c r="H517" s="14"/>
      <c r="I517" s="14"/>
      <c r="J517" s="14"/>
      <c r="K517" s="12"/>
    </row>
    <row r="518" ht="19.5" customHeight="1">
      <c r="A518" s="12"/>
      <c r="C518" s="12"/>
      <c r="D518" s="87"/>
      <c r="F518" s="14"/>
      <c r="G518" s="14"/>
      <c r="H518" s="14"/>
      <c r="I518" s="14"/>
      <c r="J518" s="14"/>
      <c r="K518" s="12"/>
    </row>
    <row r="519" ht="19.5" customHeight="1">
      <c r="A519" s="12"/>
      <c r="C519" s="12"/>
      <c r="D519" s="87"/>
      <c r="F519" s="14"/>
      <c r="G519" s="14"/>
      <c r="H519" s="14"/>
      <c r="I519" s="14"/>
      <c r="J519" s="14"/>
      <c r="K519" s="12"/>
    </row>
    <row r="520" ht="19.5" customHeight="1">
      <c r="A520" s="12"/>
      <c r="C520" s="12"/>
      <c r="D520" s="87"/>
      <c r="F520" s="14"/>
      <c r="G520" s="14"/>
      <c r="H520" s="14"/>
      <c r="I520" s="14"/>
      <c r="J520" s="14"/>
      <c r="K520" s="12"/>
    </row>
    <row r="521" ht="19.5" customHeight="1">
      <c r="A521" s="12"/>
      <c r="C521" s="12"/>
      <c r="D521" s="87"/>
      <c r="F521" s="14"/>
      <c r="G521" s="14"/>
      <c r="H521" s="14"/>
      <c r="I521" s="14"/>
      <c r="J521" s="14"/>
      <c r="K521" s="12"/>
    </row>
    <row r="522" ht="19.5" customHeight="1">
      <c r="A522" s="12"/>
      <c r="C522" s="12"/>
      <c r="D522" s="87"/>
      <c r="F522" s="14"/>
      <c r="G522" s="14"/>
      <c r="H522" s="14"/>
      <c r="I522" s="14"/>
      <c r="J522" s="14"/>
      <c r="K522" s="12"/>
    </row>
    <row r="523" ht="19.5" customHeight="1">
      <c r="A523" s="12"/>
      <c r="C523" s="12"/>
      <c r="D523" s="87"/>
      <c r="F523" s="14"/>
      <c r="G523" s="14"/>
      <c r="H523" s="14"/>
      <c r="I523" s="14"/>
      <c r="J523" s="14"/>
      <c r="K523" s="12"/>
    </row>
    <row r="524" ht="19.5" customHeight="1">
      <c r="A524" s="12"/>
      <c r="C524" s="12"/>
      <c r="D524" s="87"/>
      <c r="F524" s="14"/>
      <c r="G524" s="14"/>
      <c r="H524" s="14"/>
      <c r="I524" s="14"/>
      <c r="J524" s="14"/>
      <c r="K524" s="12"/>
    </row>
    <row r="525" ht="19.5" customHeight="1">
      <c r="A525" s="12"/>
      <c r="C525" s="12"/>
      <c r="D525" s="87"/>
      <c r="F525" s="14"/>
      <c r="G525" s="14"/>
      <c r="H525" s="14"/>
      <c r="I525" s="14"/>
      <c r="J525" s="14"/>
      <c r="K525" s="12"/>
    </row>
    <row r="526" ht="19.5" customHeight="1">
      <c r="A526" s="12"/>
      <c r="C526" s="12"/>
      <c r="D526" s="87"/>
      <c r="F526" s="14"/>
      <c r="G526" s="14"/>
      <c r="H526" s="14"/>
      <c r="I526" s="14"/>
      <c r="J526" s="14"/>
      <c r="K526" s="12"/>
    </row>
    <row r="527" ht="19.5" customHeight="1">
      <c r="A527" s="12"/>
      <c r="C527" s="12"/>
      <c r="D527" s="87"/>
      <c r="F527" s="14"/>
      <c r="G527" s="14"/>
      <c r="H527" s="14"/>
      <c r="I527" s="14"/>
      <c r="J527" s="14"/>
      <c r="K527" s="12"/>
    </row>
    <row r="528" ht="19.5" customHeight="1">
      <c r="A528" s="12"/>
      <c r="C528" s="12"/>
      <c r="D528" s="87"/>
      <c r="F528" s="14"/>
      <c r="G528" s="14"/>
      <c r="H528" s="14"/>
      <c r="I528" s="14"/>
      <c r="J528" s="14"/>
      <c r="K528" s="12"/>
    </row>
    <row r="529" ht="19.5" customHeight="1">
      <c r="A529" s="12"/>
      <c r="C529" s="12"/>
      <c r="D529" s="87"/>
      <c r="F529" s="14"/>
      <c r="G529" s="14"/>
      <c r="H529" s="14"/>
      <c r="I529" s="14"/>
      <c r="J529" s="14"/>
      <c r="K529" s="12"/>
    </row>
    <row r="530" ht="19.5" customHeight="1">
      <c r="A530" s="12"/>
      <c r="C530" s="12"/>
      <c r="D530" s="87"/>
      <c r="F530" s="14"/>
      <c r="G530" s="14"/>
      <c r="H530" s="14"/>
      <c r="I530" s="14"/>
      <c r="J530" s="14"/>
      <c r="K530" s="12"/>
    </row>
    <row r="531" ht="19.5" customHeight="1">
      <c r="A531" s="12"/>
      <c r="C531" s="12"/>
      <c r="D531" s="87"/>
      <c r="F531" s="14"/>
      <c r="G531" s="14"/>
      <c r="H531" s="14"/>
      <c r="I531" s="14"/>
      <c r="J531" s="14"/>
      <c r="K531" s="12"/>
    </row>
    <row r="532" ht="19.5" customHeight="1">
      <c r="A532" s="12"/>
      <c r="C532" s="12"/>
      <c r="D532" s="87"/>
      <c r="F532" s="14"/>
      <c r="G532" s="14"/>
      <c r="H532" s="14"/>
      <c r="I532" s="14"/>
      <c r="J532" s="14"/>
      <c r="K532" s="12"/>
    </row>
    <row r="533" ht="19.5" customHeight="1">
      <c r="A533" s="12"/>
      <c r="C533" s="12"/>
      <c r="D533" s="87"/>
      <c r="F533" s="14"/>
      <c r="G533" s="14"/>
      <c r="H533" s="14"/>
      <c r="I533" s="14"/>
      <c r="J533" s="14"/>
      <c r="K533" s="12"/>
    </row>
    <row r="534" ht="19.5" customHeight="1">
      <c r="A534" s="12"/>
      <c r="C534" s="12"/>
      <c r="D534" s="87"/>
      <c r="F534" s="14"/>
      <c r="G534" s="14"/>
      <c r="H534" s="14"/>
      <c r="I534" s="14"/>
      <c r="J534" s="14"/>
      <c r="K534" s="12"/>
    </row>
    <row r="535" ht="19.5" customHeight="1">
      <c r="A535" s="12"/>
      <c r="C535" s="12"/>
      <c r="D535" s="87"/>
      <c r="F535" s="14"/>
      <c r="G535" s="14"/>
      <c r="H535" s="14"/>
      <c r="I535" s="14"/>
      <c r="J535" s="14"/>
      <c r="K535" s="12"/>
    </row>
    <row r="536" ht="19.5" customHeight="1">
      <c r="A536" s="12"/>
      <c r="C536" s="12"/>
      <c r="D536" s="87"/>
      <c r="F536" s="14"/>
      <c r="G536" s="14"/>
      <c r="H536" s="14"/>
      <c r="I536" s="14"/>
      <c r="J536" s="14"/>
      <c r="K536" s="12"/>
    </row>
    <row r="537" ht="19.5" customHeight="1">
      <c r="A537" s="12"/>
      <c r="C537" s="12"/>
      <c r="D537" s="87"/>
      <c r="F537" s="14"/>
      <c r="G537" s="14"/>
      <c r="H537" s="14"/>
      <c r="I537" s="14"/>
      <c r="J537" s="14"/>
      <c r="K537" s="12"/>
    </row>
    <row r="538" ht="19.5" customHeight="1">
      <c r="A538" s="12"/>
      <c r="C538" s="12"/>
      <c r="D538" s="87"/>
      <c r="F538" s="14"/>
      <c r="G538" s="14"/>
      <c r="H538" s="14"/>
      <c r="I538" s="14"/>
      <c r="J538" s="14"/>
      <c r="K538" s="12"/>
    </row>
    <row r="539" ht="19.5" customHeight="1">
      <c r="A539" s="12"/>
      <c r="C539" s="12"/>
      <c r="D539" s="87"/>
      <c r="F539" s="14"/>
      <c r="G539" s="14"/>
      <c r="H539" s="14"/>
      <c r="I539" s="14"/>
      <c r="J539" s="14"/>
      <c r="K539" s="12"/>
    </row>
    <row r="540" ht="19.5" customHeight="1">
      <c r="A540" s="12"/>
      <c r="C540" s="12"/>
      <c r="D540" s="87"/>
      <c r="F540" s="14"/>
      <c r="G540" s="14"/>
      <c r="H540" s="14"/>
      <c r="I540" s="14"/>
      <c r="J540" s="14"/>
      <c r="K540" s="12"/>
    </row>
    <row r="541" ht="19.5" customHeight="1">
      <c r="A541" s="12"/>
      <c r="C541" s="12"/>
      <c r="D541" s="87"/>
      <c r="F541" s="14"/>
      <c r="G541" s="14"/>
      <c r="H541" s="14"/>
      <c r="I541" s="14"/>
      <c r="J541" s="14"/>
      <c r="K541" s="12"/>
    </row>
    <row r="542" ht="19.5" customHeight="1">
      <c r="A542" s="12"/>
      <c r="C542" s="12"/>
      <c r="D542" s="87"/>
      <c r="F542" s="14"/>
      <c r="G542" s="14"/>
      <c r="H542" s="14"/>
      <c r="I542" s="14"/>
      <c r="J542" s="14"/>
      <c r="K542" s="12"/>
    </row>
    <row r="543" ht="19.5" customHeight="1">
      <c r="A543" s="12"/>
      <c r="C543" s="12"/>
      <c r="D543" s="87"/>
      <c r="F543" s="14"/>
      <c r="G543" s="14"/>
      <c r="H543" s="14"/>
      <c r="I543" s="14"/>
      <c r="J543" s="14"/>
      <c r="K543" s="12"/>
    </row>
    <row r="544" ht="19.5" customHeight="1">
      <c r="A544" s="12"/>
      <c r="C544" s="12"/>
      <c r="D544" s="87"/>
      <c r="F544" s="14"/>
      <c r="G544" s="14"/>
      <c r="H544" s="14"/>
      <c r="I544" s="14"/>
      <c r="J544" s="14"/>
      <c r="K544" s="12"/>
    </row>
    <row r="545" ht="19.5" customHeight="1">
      <c r="A545" s="12"/>
      <c r="C545" s="12"/>
      <c r="D545" s="87"/>
      <c r="F545" s="14"/>
      <c r="G545" s="14"/>
      <c r="H545" s="14"/>
      <c r="I545" s="14"/>
      <c r="J545" s="14"/>
      <c r="K545" s="12"/>
    </row>
    <row r="546" ht="19.5" customHeight="1">
      <c r="A546" s="12"/>
      <c r="C546" s="12"/>
      <c r="D546" s="87"/>
      <c r="F546" s="14"/>
      <c r="G546" s="14"/>
      <c r="H546" s="14"/>
      <c r="I546" s="14"/>
      <c r="J546" s="14"/>
      <c r="K546" s="12"/>
    </row>
    <row r="547" ht="19.5" customHeight="1">
      <c r="A547" s="12"/>
      <c r="C547" s="12"/>
      <c r="D547" s="87"/>
      <c r="F547" s="14"/>
      <c r="G547" s="14"/>
      <c r="H547" s="14"/>
      <c r="I547" s="14"/>
      <c r="J547" s="14"/>
      <c r="K547" s="12"/>
    </row>
    <row r="548" ht="19.5" customHeight="1">
      <c r="A548" s="12"/>
      <c r="C548" s="12"/>
      <c r="D548" s="87"/>
      <c r="F548" s="14"/>
      <c r="G548" s="14"/>
      <c r="H548" s="14"/>
      <c r="I548" s="14"/>
      <c r="J548" s="14"/>
      <c r="K548" s="12"/>
    </row>
    <row r="549" ht="19.5" customHeight="1">
      <c r="A549" s="12"/>
      <c r="C549" s="12"/>
      <c r="D549" s="87"/>
      <c r="F549" s="14"/>
      <c r="G549" s="14"/>
      <c r="H549" s="14"/>
      <c r="I549" s="14"/>
      <c r="J549" s="14"/>
      <c r="K549" s="12"/>
    </row>
    <row r="550" ht="19.5" customHeight="1">
      <c r="A550" s="12"/>
      <c r="C550" s="12"/>
      <c r="D550" s="87"/>
      <c r="F550" s="14"/>
      <c r="G550" s="14"/>
      <c r="H550" s="14"/>
      <c r="I550" s="14"/>
      <c r="J550" s="14"/>
      <c r="K550" s="12"/>
    </row>
    <row r="551" ht="19.5" customHeight="1">
      <c r="A551" s="12"/>
      <c r="C551" s="12"/>
      <c r="D551" s="87"/>
      <c r="F551" s="14"/>
      <c r="G551" s="14"/>
      <c r="H551" s="14"/>
      <c r="I551" s="14"/>
      <c r="J551" s="14"/>
      <c r="K551" s="12"/>
    </row>
    <row r="552" ht="19.5" customHeight="1">
      <c r="A552" s="12"/>
      <c r="C552" s="12"/>
      <c r="D552" s="87"/>
      <c r="F552" s="14"/>
      <c r="G552" s="14"/>
      <c r="H552" s="14"/>
      <c r="I552" s="14"/>
      <c r="J552" s="14"/>
      <c r="K552" s="12"/>
    </row>
    <row r="553" ht="19.5" customHeight="1">
      <c r="A553" s="12"/>
      <c r="C553" s="12"/>
      <c r="D553" s="87"/>
      <c r="F553" s="14"/>
      <c r="G553" s="14"/>
      <c r="H553" s="14"/>
      <c r="I553" s="14"/>
      <c r="J553" s="14"/>
      <c r="K553" s="12"/>
    </row>
    <row r="554" ht="19.5" customHeight="1">
      <c r="A554" s="12"/>
      <c r="C554" s="12"/>
      <c r="D554" s="87"/>
      <c r="F554" s="14"/>
      <c r="G554" s="14"/>
      <c r="H554" s="14"/>
      <c r="I554" s="14"/>
      <c r="J554" s="14"/>
      <c r="K554" s="12"/>
    </row>
    <row r="555" ht="19.5" customHeight="1">
      <c r="A555" s="12"/>
      <c r="C555" s="12"/>
      <c r="D555" s="87"/>
      <c r="F555" s="14"/>
      <c r="G555" s="14"/>
      <c r="H555" s="14"/>
      <c r="I555" s="14"/>
      <c r="J555" s="14"/>
      <c r="K555" s="12"/>
    </row>
    <row r="556" ht="19.5" customHeight="1">
      <c r="A556" s="12"/>
      <c r="C556" s="12"/>
      <c r="D556" s="87"/>
      <c r="F556" s="14"/>
      <c r="G556" s="14"/>
      <c r="H556" s="14"/>
      <c r="I556" s="14"/>
      <c r="J556" s="14"/>
      <c r="K556" s="12"/>
    </row>
    <row r="557" ht="19.5" customHeight="1">
      <c r="A557" s="12"/>
      <c r="C557" s="12"/>
      <c r="D557" s="87"/>
      <c r="F557" s="14"/>
      <c r="G557" s="14"/>
      <c r="H557" s="14"/>
      <c r="I557" s="14"/>
      <c r="J557" s="14"/>
      <c r="K557" s="12"/>
    </row>
    <row r="558" ht="19.5" customHeight="1">
      <c r="A558" s="12"/>
      <c r="C558" s="12"/>
      <c r="D558" s="87"/>
      <c r="F558" s="14"/>
      <c r="G558" s="14"/>
      <c r="H558" s="14"/>
      <c r="I558" s="14"/>
      <c r="J558" s="14"/>
      <c r="K558" s="12"/>
    </row>
    <row r="559" ht="19.5" customHeight="1">
      <c r="A559" s="12"/>
      <c r="C559" s="12"/>
      <c r="D559" s="87"/>
      <c r="F559" s="14"/>
      <c r="G559" s="14"/>
      <c r="H559" s="14"/>
      <c r="I559" s="14"/>
      <c r="J559" s="14"/>
      <c r="K559" s="12"/>
    </row>
    <row r="560" ht="19.5" customHeight="1">
      <c r="A560" s="12"/>
      <c r="C560" s="12"/>
      <c r="D560" s="87"/>
      <c r="F560" s="14"/>
      <c r="G560" s="14"/>
      <c r="H560" s="14"/>
      <c r="I560" s="14"/>
      <c r="J560" s="14"/>
      <c r="K560" s="12"/>
    </row>
    <row r="561" ht="19.5" customHeight="1">
      <c r="A561" s="12"/>
      <c r="C561" s="12"/>
      <c r="D561" s="87"/>
      <c r="F561" s="14"/>
      <c r="G561" s="14"/>
      <c r="H561" s="14"/>
      <c r="I561" s="14"/>
      <c r="J561" s="14"/>
      <c r="K561" s="12"/>
    </row>
    <row r="562" ht="19.5" customHeight="1">
      <c r="A562" s="12"/>
      <c r="C562" s="12"/>
      <c r="D562" s="87"/>
      <c r="F562" s="14"/>
      <c r="G562" s="14"/>
      <c r="H562" s="14"/>
      <c r="I562" s="14"/>
      <c r="J562" s="14"/>
      <c r="K562" s="12"/>
    </row>
    <row r="563" ht="19.5" customHeight="1">
      <c r="A563" s="12"/>
      <c r="C563" s="12"/>
      <c r="D563" s="87"/>
      <c r="F563" s="14"/>
      <c r="G563" s="14"/>
      <c r="H563" s="14"/>
      <c r="I563" s="14"/>
      <c r="J563" s="14"/>
      <c r="K563" s="12"/>
    </row>
    <row r="564" ht="19.5" customHeight="1">
      <c r="A564" s="12"/>
      <c r="C564" s="12"/>
      <c r="D564" s="87"/>
      <c r="F564" s="14"/>
      <c r="G564" s="14"/>
      <c r="H564" s="14"/>
      <c r="I564" s="14"/>
      <c r="J564" s="14"/>
      <c r="K564" s="12"/>
    </row>
    <row r="565" ht="19.5" customHeight="1">
      <c r="A565" s="12"/>
      <c r="C565" s="12"/>
      <c r="D565" s="87"/>
      <c r="F565" s="14"/>
      <c r="G565" s="14"/>
      <c r="H565" s="14"/>
      <c r="I565" s="14"/>
      <c r="J565" s="14"/>
      <c r="K565" s="12"/>
    </row>
    <row r="566" ht="19.5" customHeight="1">
      <c r="A566" s="12"/>
      <c r="C566" s="12"/>
      <c r="D566" s="87"/>
      <c r="F566" s="14"/>
      <c r="G566" s="14"/>
      <c r="H566" s="14"/>
      <c r="I566" s="14"/>
      <c r="J566" s="14"/>
      <c r="K566" s="12"/>
    </row>
    <row r="567" ht="19.5" customHeight="1">
      <c r="A567" s="12"/>
      <c r="C567" s="12"/>
      <c r="D567" s="87"/>
      <c r="F567" s="14"/>
      <c r="G567" s="14"/>
      <c r="H567" s="14"/>
      <c r="I567" s="14"/>
      <c r="J567" s="14"/>
      <c r="K567" s="12"/>
    </row>
    <row r="568" ht="19.5" customHeight="1">
      <c r="A568" s="12"/>
      <c r="C568" s="12"/>
      <c r="D568" s="87"/>
      <c r="F568" s="14"/>
      <c r="G568" s="14"/>
      <c r="H568" s="14"/>
      <c r="I568" s="14"/>
      <c r="J568" s="14"/>
      <c r="K568" s="12"/>
    </row>
    <row r="569" ht="19.5" customHeight="1">
      <c r="A569" s="12"/>
      <c r="C569" s="12"/>
      <c r="D569" s="87"/>
      <c r="F569" s="14"/>
      <c r="G569" s="14"/>
      <c r="H569" s="14"/>
      <c r="I569" s="14"/>
      <c r="J569" s="14"/>
      <c r="K569" s="12"/>
    </row>
    <row r="570" ht="19.5" customHeight="1">
      <c r="A570" s="12"/>
      <c r="C570" s="12"/>
      <c r="D570" s="87"/>
      <c r="F570" s="14"/>
      <c r="G570" s="14"/>
      <c r="H570" s="14"/>
      <c r="I570" s="14"/>
      <c r="J570" s="14"/>
      <c r="K570" s="12"/>
    </row>
    <row r="571" ht="19.5" customHeight="1">
      <c r="A571" s="12"/>
      <c r="C571" s="12"/>
      <c r="D571" s="87"/>
      <c r="F571" s="14"/>
      <c r="G571" s="14"/>
      <c r="H571" s="14"/>
      <c r="I571" s="14"/>
      <c r="J571" s="14"/>
      <c r="K571" s="12"/>
    </row>
    <row r="572" ht="19.5" customHeight="1">
      <c r="A572" s="12"/>
      <c r="C572" s="12"/>
      <c r="D572" s="87"/>
      <c r="F572" s="14"/>
      <c r="G572" s="14"/>
      <c r="H572" s="14"/>
      <c r="I572" s="14"/>
      <c r="J572" s="14"/>
      <c r="K572" s="12"/>
    </row>
    <row r="573" ht="19.5" customHeight="1">
      <c r="A573" s="12"/>
      <c r="C573" s="12"/>
      <c r="D573" s="87"/>
      <c r="F573" s="14"/>
      <c r="G573" s="14"/>
      <c r="H573" s="14"/>
      <c r="I573" s="14"/>
      <c r="J573" s="14"/>
      <c r="K573" s="12"/>
    </row>
    <row r="574" ht="19.5" customHeight="1">
      <c r="A574" s="12"/>
      <c r="C574" s="12"/>
      <c r="D574" s="87"/>
      <c r="F574" s="14"/>
      <c r="G574" s="14"/>
      <c r="H574" s="14"/>
      <c r="I574" s="14"/>
      <c r="J574" s="14"/>
      <c r="K574" s="12"/>
    </row>
    <row r="575" ht="19.5" customHeight="1">
      <c r="A575" s="12"/>
      <c r="C575" s="12"/>
      <c r="D575" s="87"/>
      <c r="F575" s="14"/>
      <c r="G575" s="14"/>
      <c r="H575" s="14"/>
      <c r="I575" s="14"/>
      <c r="J575" s="14"/>
      <c r="K575" s="12"/>
    </row>
    <row r="576" ht="19.5" customHeight="1">
      <c r="A576" s="12"/>
      <c r="C576" s="12"/>
      <c r="D576" s="87"/>
      <c r="F576" s="14"/>
      <c r="G576" s="14"/>
      <c r="H576" s="14"/>
      <c r="I576" s="14"/>
      <c r="J576" s="14"/>
      <c r="K576" s="12"/>
    </row>
    <row r="577" ht="19.5" customHeight="1">
      <c r="A577" s="12"/>
      <c r="C577" s="12"/>
      <c r="D577" s="87"/>
      <c r="F577" s="14"/>
      <c r="G577" s="14"/>
      <c r="H577" s="14"/>
      <c r="I577" s="14"/>
      <c r="J577" s="14"/>
      <c r="K577" s="12"/>
    </row>
    <row r="578" ht="19.5" customHeight="1">
      <c r="A578" s="12"/>
      <c r="C578" s="12"/>
      <c r="D578" s="87"/>
      <c r="F578" s="14"/>
      <c r="G578" s="14"/>
      <c r="H578" s="14"/>
      <c r="I578" s="14"/>
      <c r="J578" s="14"/>
      <c r="K578" s="12"/>
    </row>
    <row r="579" ht="19.5" customHeight="1">
      <c r="A579" s="12"/>
      <c r="C579" s="12"/>
      <c r="D579" s="87"/>
      <c r="F579" s="14"/>
      <c r="G579" s="14"/>
      <c r="H579" s="14"/>
      <c r="I579" s="14"/>
      <c r="J579" s="14"/>
      <c r="K579" s="12"/>
    </row>
    <row r="580" ht="19.5" customHeight="1">
      <c r="A580" s="12"/>
      <c r="C580" s="12"/>
      <c r="D580" s="87"/>
      <c r="F580" s="14"/>
      <c r="G580" s="14"/>
      <c r="H580" s="14"/>
      <c r="I580" s="14"/>
      <c r="J580" s="14"/>
      <c r="K580" s="12"/>
    </row>
    <row r="581" ht="19.5" customHeight="1">
      <c r="A581" s="12"/>
      <c r="C581" s="12"/>
      <c r="D581" s="87"/>
      <c r="F581" s="14"/>
      <c r="G581" s="14"/>
      <c r="H581" s="14"/>
      <c r="I581" s="14"/>
      <c r="J581" s="14"/>
      <c r="K581" s="12"/>
    </row>
    <row r="582" ht="19.5" customHeight="1">
      <c r="A582" s="12"/>
      <c r="C582" s="12"/>
      <c r="D582" s="87"/>
      <c r="F582" s="14"/>
      <c r="G582" s="14"/>
      <c r="H582" s="14"/>
      <c r="I582" s="14"/>
      <c r="J582" s="14"/>
      <c r="K582" s="12"/>
    </row>
    <row r="583" ht="19.5" customHeight="1">
      <c r="A583" s="12"/>
      <c r="C583" s="12"/>
      <c r="D583" s="87"/>
      <c r="F583" s="14"/>
      <c r="G583" s="14"/>
      <c r="H583" s="14"/>
      <c r="I583" s="14"/>
      <c r="J583" s="14"/>
      <c r="K583" s="12"/>
    </row>
    <row r="584" ht="19.5" customHeight="1">
      <c r="A584" s="12"/>
      <c r="C584" s="12"/>
      <c r="D584" s="87"/>
      <c r="F584" s="14"/>
      <c r="G584" s="14"/>
      <c r="H584" s="14"/>
      <c r="I584" s="14"/>
      <c r="J584" s="14"/>
      <c r="K584" s="12"/>
    </row>
    <row r="585" ht="19.5" customHeight="1">
      <c r="A585" s="12"/>
      <c r="C585" s="12"/>
      <c r="D585" s="87"/>
      <c r="F585" s="14"/>
      <c r="G585" s="14"/>
      <c r="H585" s="14"/>
      <c r="I585" s="14"/>
      <c r="J585" s="14"/>
      <c r="K585" s="12"/>
    </row>
    <row r="586" ht="19.5" customHeight="1">
      <c r="A586" s="12"/>
      <c r="C586" s="12"/>
      <c r="D586" s="87"/>
      <c r="F586" s="14"/>
      <c r="G586" s="14"/>
      <c r="H586" s="14"/>
      <c r="I586" s="14"/>
      <c r="J586" s="14"/>
      <c r="K586" s="12"/>
    </row>
    <row r="587" ht="19.5" customHeight="1">
      <c r="A587" s="12"/>
      <c r="C587" s="12"/>
      <c r="D587" s="87"/>
      <c r="F587" s="14"/>
      <c r="G587" s="14"/>
      <c r="H587" s="14"/>
      <c r="I587" s="14"/>
      <c r="J587" s="14"/>
      <c r="K587" s="12"/>
    </row>
    <row r="588" ht="19.5" customHeight="1">
      <c r="A588" s="12"/>
      <c r="C588" s="12"/>
      <c r="D588" s="87"/>
      <c r="F588" s="14"/>
      <c r="G588" s="14"/>
      <c r="H588" s="14"/>
      <c r="I588" s="14"/>
      <c r="J588" s="14"/>
      <c r="K588" s="12"/>
    </row>
    <row r="589" ht="19.5" customHeight="1">
      <c r="A589" s="12"/>
      <c r="C589" s="12"/>
      <c r="D589" s="87"/>
      <c r="F589" s="14"/>
      <c r="G589" s="14"/>
      <c r="H589" s="14"/>
      <c r="I589" s="14"/>
      <c r="J589" s="14"/>
      <c r="K589" s="12"/>
    </row>
    <row r="590" ht="19.5" customHeight="1">
      <c r="A590" s="12"/>
      <c r="C590" s="12"/>
      <c r="D590" s="87"/>
      <c r="F590" s="14"/>
      <c r="G590" s="14"/>
      <c r="H590" s="14"/>
      <c r="I590" s="14"/>
      <c r="J590" s="14"/>
      <c r="K590" s="12"/>
    </row>
    <row r="591" ht="19.5" customHeight="1">
      <c r="A591" s="12"/>
      <c r="C591" s="12"/>
      <c r="D591" s="87"/>
      <c r="F591" s="14"/>
      <c r="G591" s="14"/>
      <c r="H591" s="14"/>
      <c r="I591" s="14"/>
      <c r="J591" s="14"/>
      <c r="K591" s="12"/>
    </row>
    <row r="592" ht="19.5" customHeight="1">
      <c r="A592" s="12"/>
      <c r="C592" s="12"/>
      <c r="D592" s="87"/>
      <c r="F592" s="14"/>
      <c r="G592" s="14"/>
      <c r="H592" s="14"/>
      <c r="I592" s="14"/>
      <c r="J592" s="14"/>
      <c r="K592" s="12"/>
    </row>
    <row r="593" ht="19.5" customHeight="1">
      <c r="A593" s="12"/>
      <c r="C593" s="12"/>
      <c r="D593" s="87"/>
      <c r="F593" s="14"/>
      <c r="G593" s="14"/>
      <c r="H593" s="14"/>
      <c r="I593" s="14"/>
      <c r="J593" s="14"/>
      <c r="K593" s="12"/>
    </row>
    <row r="594" ht="19.5" customHeight="1">
      <c r="A594" s="12"/>
      <c r="C594" s="12"/>
      <c r="D594" s="87"/>
      <c r="F594" s="14"/>
      <c r="G594" s="14"/>
      <c r="H594" s="14"/>
      <c r="I594" s="14"/>
      <c r="J594" s="14"/>
      <c r="K594" s="12"/>
    </row>
    <row r="595" ht="19.5" customHeight="1">
      <c r="A595" s="12"/>
      <c r="C595" s="12"/>
      <c r="D595" s="87"/>
      <c r="F595" s="14"/>
      <c r="G595" s="14"/>
      <c r="H595" s="14"/>
      <c r="I595" s="14"/>
      <c r="J595" s="14"/>
      <c r="K595" s="12"/>
    </row>
    <row r="596" ht="19.5" customHeight="1">
      <c r="A596" s="12"/>
      <c r="C596" s="12"/>
      <c r="D596" s="87"/>
      <c r="F596" s="14"/>
      <c r="G596" s="14"/>
      <c r="H596" s="14"/>
      <c r="I596" s="14"/>
      <c r="J596" s="14"/>
      <c r="K596" s="12"/>
    </row>
    <row r="597" ht="19.5" customHeight="1">
      <c r="A597" s="12"/>
      <c r="C597" s="12"/>
      <c r="D597" s="87"/>
      <c r="F597" s="14"/>
      <c r="G597" s="14"/>
      <c r="H597" s="14"/>
      <c r="I597" s="14"/>
      <c r="J597" s="14"/>
      <c r="K597" s="12"/>
    </row>
    <row r="598" ht="19.5" customHeight="1">
      <c r="A598" s="12"/>
      <c r="C598" s="12"/>
      <c r="D598" s="87"/>
      <c r="F598" s="14"/>
      <c r="G598" s="14"/>
      <c r="H598" s="14"/>
      <c r="I598" s="14"/>
      <c r="J598" s="14"/>
      <c r="K598" s="12"/>
    </row>
    <row r="599" ht="19.5" customHeight="1">
      <c r="A599" s="12"/>
      <c r="C599" s="12"/>
      <c r="D599" s="87"/>
      <c r="F599" s="14"/>
      <c r="G599" s="14"/>
      <c r="H599" s="14"/>
      <c r="I599" s="14"/>
      <c r="J599" s="14"/>
      <c r="K599" s="12"/>
    </row>
    <row r="600" ht="19.5" customHeight="1">
      <c r="A600" s="12"/>
      <c r="C600" s="12"/>
      <c r="D600" s="87"/>
      <c r="F600" s="14"/>
      <c r="G600" s="14"/>
      <c r="H600" s="14"/>
      <c r="I600" s="14"/>
      <c r="J600" s="14"/>
      <c r="K600" s="12"/>
    </row>
    <row r="601" ht="19.5" customHeight="1">
      <c r="A601" s="12"/>
      <c r="C601" s="12"/>
      <c r="D601" s="87"/>
      <c r="F601" s="14"/>
      <c r="G601" s="14"/>
      <c r="H601" s="14"/>
      <c r="I601" s="14"/>
      <c r="J601" s="14"/>
      <c r="K601" s="12"/>
    </row>
    <row r="602" ht="19.5" customHeight="1">
      <c r="A602" s="12"/>
      <c r="C602" s="12"/>
      <c r="D602" s="87"/>
      <c r="F602" s="14"/>
      <c r="G602" s="14"/>
      <c r="H602" s="14"/>
      <c r="I602" s="14"/>
      <c r="J602" s="14"/>
      <c r="K602" s="12"/>
    </row>
    <row r="603" ht="19.5" customHeight="1">
      <c r="A603" s="12"/>
      <c r="C603" s="12"/>
      <c r="D603" s="87"/>
      <c r="F603" s="14"/>
      <c r="G603" s="14"/>
      <c r="H603" s="14"/>
      <c r="I603" s="14"/>
      <c r="J603" s="14"/>
      <c r="K603" s="12"/>
    </row>
    <row r="604" ht="19.5" customHeight="1">
      <c r="A604" s="12"/>
      <c r="C604" s="12"/>
      <c r="D604" s="87"/>
      <c r="F604" s="14"/>
      <c r="G604" s="14"/>
      <c r="H604" s="14"/>
      <c r="I604" s="14"/>
      <c r="J604" s="14"/>
      <c r="K604" s="12"/>
    </row>
    <row r="605" ht="19.5" customHeight="1">
      <c r="A605" s="12"/>
      <c r="C605" s="12"/>
      <c r="D605" s="87"/>
      <c r="F605" s="14"/>
      <c r="G605" s="14"/>
      <c r="H605" s="14"/>
      <c r="I605" s="14"/>
      <c r="J605" s="14"/>
      <c r="K605" s="12"/>
    </row>
    <row r="606" ht="19.5" customHeight="1">
      <c r="A606" s="12"/>
      <c r="C606" s="12"/>
      <c r="D606" s="87"/>
      <c r="F606" s="14"/>
      <c r="G606" s="14"/>
      <c r="H606" s="14"/>
      <c r="I606" s="14"/>
      <c r="J606" s="14"/>
      <c r="K606" s="12"/>
    </row>
    <row r="607" ht="19.5" customHeight="1">
      <c r="A607" s="12"/>
      <c r="C607" s="12"/>
      <c r="D607" s="87"/>
      <c r="F607" s="14"/>
      <c r="G607" s="14"/>
      <c r="H607" s="14"/>
      <c r="I607" s="14"/>
      <c r="J607" s="14"/>
      <c r="K607" s="12"/>
    </row>
    <row r="608" ht="19.5" customHeight="1">
      <c r="A608" s="12"/>
      <c r="C608" s="12"/>
      <c r="D608" s="87"/>
      <c r="F608" s="14"/>
      <c r="G608" s="14"/>
      <c r="H608" s="14"/>
      <c r="I608" s="14"/>
      <c r="J608" s="14"/>
      <c r="K608" s="12"/>
    </row>
    <row r="609" ht="19.5" customHeight="1">
      <c r="A609" s="12"/>
      <c r="C609" s="12"/>
      <c r="D609" s="87"/>
      <c r="F609" s="14"/>
      <c r="G609" s="14"/>
      <c r="H609" s="14"/>
      <c r="I609" s="14"/>
      <c r="J609" s="14"/>
      <c r="K609" s="12"/>
    </row>
    <row r="610" ht="19.5" customHeight="1">
      <c r="A610" s="12"/>
      <c r="C610" s="12"/>
      <c r="D610" s="87"/>
      <c r="F610" s="14"/>
      <c r="G610" s="14"/>
      <c r="H610" s="14"/>
      <c r="I610" s="14"/>
      <c r="J610" s="14"/>
      <c r="K610" s="12"/>
    </row>
    <row r="611" ht="19.5" customHeight="1">
      <c r="A611" s="12"/>
      <c r="C611" s="12"/>
      <c r="D611" s="87"/>
      <c r="F611" s="14"/>
      <c r="G611" s="14"/>
      <c r="H611" s="14"/>
      <c r="I611" s="14"/>
      <c r="J611" s="14"/>
      <c r="K611" s="12"/>
    </row>
    <row r="612" ht="19.5" customHeight="1">
      <c r="A612" s="12"/>
      <c r="C612" s="12"/>
      <c r="D612" s="87"/>
      <c r="F612" s="14"/>
      <c r="G612" s="14"/>
      <c r="H612" s="14"/>
      <c r="I612" s="14"/>
      <c r="J612" s="14"/>
      <c r="K612" s="12"/>
    </row>
    <row r="613" ht="19.5" customHeight="1">
      <c r="A613" s="12"/>
      <c r="C613" s="12"/>
      <c r="D613" s="87"/>
      <c r="F613" s="14"/>
      <c r="G613" s="14"/>
      <c r="H613" s="14"/>
      <c r="I613" s="14"/>
      <c r="J613" s="14"/>
      <c r="K613" s="12"/>
    </row>
    <row r="614" ht="19.5" customHeight="1">
      <c r="A614" s="12"/>
      <c r="C614" s="12"/>
      <c r="D614" s="87"/>
      <c r="F614" s="14"/>
      <c r="G614" s="14"/>
      <c r="H614" s="14"/>
      <c r="I614" s="14"/>
      <c r="J614" s="14"/>
      <c r="K614" s="12"/>
    </row>
    <row r="615" ht="19.5" customHeight="1">
      <c r="A615" s="12"/>
      <c r="C615" s="12"/>
      <c r="D615" s="87"/>
      <c r="F615" s="14"/>
      <c r="G615" s="14"/>
      <c r="H615" s="14"/>
      <c r="I615" s="14"/>
      <c r="J615" s="14"/>
      <c r="K615" s="12"/>
    </row>
    <row r="616" ht="19.5" customHeight="1">
      <c r="A616" s="12"/>
      <c r="C616" s="12"/>
      <c r="D616" s="87"/>
      <c r="F616" s="14"/>
      <c r="G616" s="14"/>
      <c r="H616" s="14"/>
      <c r="I616" s="14"/>
      <c r="J616" s="14"/>
      <c r="K616" s="12"/>
    </row>
    <row r="617" ht="19.5" customHeight="1">
      <c r="A617" s="12"/>
      <c r="C617" s="12"/>
      <c r="D617" s="87"/>
      <c r="F617" s="14"/>
      <c r="G617" s="14"/>
      <c r="H617" s="14"/>
      <c r="I617" s="14"/>
      <c r="J617" s="14"/>
      <c r="K617" s="12"/>
    </row>
    <row r="618" ht="19.5" customHeight="1">
      <c r="A618" s="12"/>
      <c r="C618" s="12"/>
      <c r="D618" s="87"/>
      <c r="F618" s="14"/>
      <c r="G618" s="14"/>
      <c r="H618" s="14"/>
      <c r="I618" s="14"/>
      <c r="J618" s="14"/>
      <c r="K618" s="12"/>
    </row>
    <row r="619" ht="19.5" customHeight="1">
      <c r="A619" s="12"/>
      <c r="C619" s="12"/>
      <c r="D619" s="87"/>
      <c r="F619" s="14"/>
      <c r="G619" s="14"/>
      <c r="H619" s="14"/>
      <c r="I619" s="14"/>
      <c r="J619" s="14"/>
      <c r="K619" s="12"/>
    </row>
    <row r="620" ht="19.5" customHeight="1">
      <c r="A620" s="12"/>
      <c r="C620" s="12"/>
      <c r="D620" s="87"/>
      <c r="F620" s="14"/>
      <c r="G620" s="14"/>
      <c r="H620" s="14"/>
      <c r="I620" s="14"/>
      <c r="J620" s="14"/>
      <c r="K620" s="12"/>
    </row>
    <row r="621" ht="19.5" customHeight="1">
      <c r="A621" s="12"/>
      <c r="C621" s="12"/>
      <c r="D621" s="87"/>
      <c r="F621" s="14"/>
      <c r="G621" s="14"/>
      <c r="H621" s="14"/>
      <c r="I621" s="14"/>
      <c r="J621" s="14"/>
      <c r="K621" s="12"/>
    </row>
    <row r="622" ht="19.5" customHeight="1">
      <c r="A622" s="12"/>
      <c r="C622" s="12"/>
      <c r="D622" s="87"/>
      <c r="F622" s="14"/>
      <c r="G622" s="14"/>
      <c r="H622" s="14"/>
      <c r="I622" s="14"/>
      <c r="J622" s="14"/>
      <c r="K622" s="12"/>
    </row>
    <row r="623" ht="19.5" customHeight="1">
      <c r="A623" s="12"/>
      <c r="C623" s="12"/>
      <c r="D623" s="87"/>
      <c r="F623" s="14"/>
      <c r="G623" s="14"/>
      <c r="H623" s="14"/>
      <c r="I623" s="14"/>
      <c r="J623" s="14"/>
      <c r="K623" s="12"/>
    </row>
    <row r="624" ht="19.5" customHeight="1">
      <c r="A624" s="12"/>
      <c r="C624" s="12"/>
      <c r="D624" s="87"/>
      <c r="F624" s="14"/>
      <c r="G624" s="14"/>
      <c r="H624" s="14"/>
      <c r="I624" s="14"/>
      <c r="J624" s="14"/>
      <c r="K624" s="12"/>
    </row>
    <row r="625" ht="19.5" customHeight="1">
      <c r="A625" s="12"/>
      <c r="C625" s="12"/>
      <c r="D625" s="87"/>
      <c r="F625" s="14"/>
      <c r="G625" s="14"/>
      <c r="H625" s="14"/>
      <c r="I625" s="14"/>
      <c r="J625" s="14"/>
      <c r="K625" s="12"/>
    </row>
    <row r="626" ht="19.5" customHeight="1">
      <c r="A626" s="12"/>
      <c r="C626" s="12"/>
      <c r="D626" s="87"/>
      <c r="F626" s="14"/>
      <c r="G626" s="14"/>
      <c r="H626" s="14"/>
      <c r="I626" s="14"/>
      <c r="J626" s="14"/>
      <c r="K626" s="12"/>
    </row>
    <row r="627" ht="19.5" customHeight="1">
      <c r="A627" s="12"/>
      <c r="C627" s="12"/>
      <c r="D627" s="87"/>
      <c r="F627" s="14"/>
      <c r="G627" s="14"/>
      <c r="H627" s="14"/>
      <c r="I627" s="14"/>
      <c r="J627" s="14"/>
      <c r="K627" s="12"/>
    </row>
    <row r="628" ht="19.5" customHeight="1">
      <c r="A628" s="12"/>
      <c r="C628" s="12"/>
      <c r="D628" s="87"/>
      <c r="F628" s="14"/>
      <c r="G628" s="14"/>
      <c r="H628" s="14"/>
      <c r="I628" s="14"/>
      <c r="J628" s="14"/>
      <c r="K628" s="12"/>
    </row>
    <row r="629" ht="19.5" customHeight="1">
      <c r="A629" s="12"/>
      <c r="C629" s="12"/>
      <c r="D629" s="87"/>
      <c r="F629" s="14"/>
      <c r="G629" s="14"/>
      <c r="H629" s="14"/>
      <c r="I629" s="14"/>
      <c r="J629" s="14"/>
      <c r="K629" s="12"/>
    </row>
    <row r="630" ht="19.5" customHeight="1">
      <c r="A630" s="12"/>
      <c r="C630" s="12"/>
      <c r="D630" s="87"/>
      <c r="F630" s="14"/>
      <c r="G630" s="14"/>
      <c r="H630" s="14"/>
      <c r="I630" s="14"/>
      <c r="J630" s="14"/>
      <c r="K630" s="12"/>
    </row>
    <row r="631" ht="19.5" customHeight="1">
      <c r="A631" s="12"/>
      <c r="C631" s="12"/>
      <c r="D631" s="87"/>
      <c r="F631" s="14"/>
      <c r="G631" s="14"/>
      <c r="H631" s="14"/>
      <c r="I631" s="14"/>
      <c r="J631" s="14"/>
      <c r="K631" s="12"/>
    </row>
    <row r="632" ht="19.5" customHeight="1">
      <c r="A632" s="12"/>
      <c r="C632" s="12"/>
      <c r="D632" s="87"/>
      <c r="F632" s="14"/>
      <c r="G632" s="14"/>
      <c r="H632" s="14"/>
      <c r="I632" s="14"/>
      <c r="J632" s="14"/>
      <c r="K632" s="12"/>
    </row>
    <row r="633" ht="19.5" customHeight="1">
      <c r="A633" s="12"/>
      <c r="C633" s="12"/>
      <c r="D633" s="87"/>
      <c r="F633" s="14"/>
      <c r="G633" s="14"/>
      <c r="H633" s="14"/>
      <c r="I633" s="14"/>
      <c r="J633" s="14"/>
      <c r="K633" s="12"/>
    </row>
    <row r="634" ht="19.5" customHeight="1">
      <c r="A634" s="12"/>
      <c r="C634" s="12"/>
      <c r="D634" s="87"/>
      <c r="F634" s="14"/>
      <c r="G634" s="14"/>
      <c r="H634" s="14"/>
      <c r="I634" s="14"/>
      <c r="J634" s="14"/>
      <c r="K634" s="12"/>
    </row>
    <row r="635" ht="19.5" customHeight="1">
      <c r="A635" s="12"/>
      <c r="C635" s="12"/>
      <c r="D635" s="87"/>
      <c r="F635" s="14"/>
      <c r="G635" s="14"/>
      <c r="H635" s="14"/>
      <c r="I635" s="14"/>
      <c r="J635" s="14"/>
      <c r="K635" s="12"/>
    </row>
    <row r="636" ht="19.5" customHeight="1">
      <c r="A636" s="12"/>
      <c r="C636" s="12"/>
      <c r="D636" s="87"/>
      <c r="F636" s="14"/>
      <c r="G636" s="14"/>
      <c r="H636" s="14"/>
      <c r="I636" s="14"/>
      <c r="J636" s="14"/>
      <c r="K636" s="12"/>
    </row>
    <row r="637" ht="19.5" customHeight="1">
      <c r="A637" s="12"/>
      <c r="C637" s="12"/>
      <c r="D637" s="87"/>
      <c r="F637" s="14"/>
      <c r="G637" s="14"/>
      <c r="H637" s="14"/>
      <c r="I637" s="14"/>
      <c r="J637" s="14"/>
      <c r="K637" s="12"/>
    </row>
    <row r="638" ht="19.5" customHeight="1">
      <c r="A638" s="12"/>
      <c r="C638" s="12"/>
      <c r="D638" s="87"/>
      <c r="F638" s="14"/>
      <c r="G638" s="14"/>
      <c r="H638" s="14"/>
      <c r="I638" s="14"/>
      <c r="J638" s="14"/>
      <c r="K638" s="12"/>
    </row>
    <row r="639" ht="19.5" customHeight="1">
      <c r="A639" s="12"/>
      <c r="C639" s="12"/>
      <c r="D639" s="87"/>
      <c r="F639" s="14"/>
      <c r="G639" s="14"/>
      <c r="H639" s="14"/>
      <c r="I639" s="14"/>
      <c r="J639" s="14"/>
      <c r="K639" s="12"/>
    </row>
    <row r="640" ht="19.5" customHeight="1">
      <c r="A640" s="12"/>
      <c r="C640" s="12"/>
      <c r="D640" s="87"/>
      <c r="F640" s="14"/>
      <c r="G640" s="14"/>
      <c r="H640" s="14"/>
      <c r="I640" s="14"/>
      <c r="J640" s="14"/>
      <c r="K640" s="12"/>
    </row>
    <row r="641" ht="19.5" customHeight="1">
      <c r="A641" s="12"/>
      <c r="C641" s="12"/>
      <c r="D641" s="87"/>
      <c r="F641" s="14"/>
      <c r="G641" s="14"/>
      <c r="H641" s="14"/>
      <c r="I641" s="14"/>
      <c r="J641" s="14"/>
      <c r="K641" s="12"/>
    </row>
    <row r="642" ht="19.5" customHeight="1">
      <c r="A642" s="12"/>
      <c r="C642" s="12"/>
      <c r="D642" s="87"/>
      <c r="F642" s="14"/>
      <c r="G642" s="14"/>
      <c r="H642" s="14"/>
      <c r="I642" s="14"/>
      <c r="J642" s="14"/>
      <c r="K642" s="12"/>
    </row>
    <row r="643" ht="19.5" customHeight="1">
      <c r="A643" s="12"/>
      <c r="C643" s="12"/>
      <c r="D643" s="87"/>
      <c r="F643" s="14"/>
      <c r="G643" s="14"/>
      <c r="H643" s="14"/>
      <c r="I643" s="14"/>
      <c r="J643" s="14"/>
      <c r="K643" s="12"/>
    </row>
    <row r="644" ht="19.5" customHeight="1">
      <c r="A644" s="12"/>
      <c r="C644" s="12"/>
      <c r="D644" s="87"/>
      <c r="F644" s="14"/>
      <c r="G644" s="14"/>
      <c r="H644" s="14"/>
      <c r="I644" s="14"/>
      <c r="J644" s="14"/>
      <c r="K644" s="12"/>
    </row>
    <row r="645" ht="19.5" customHeight="1">
      <c r="A645" s="12"/>
      <c r="C645" s="12"/>
      <c r="D645" s="87"/>
      <c r="F645" s="14"/>
      <c r="G645" s="14"/>
      <c r="H645" s="14"/>
      <c r="I645" s="14"/>
      <c r="J645" s="14"/>
      <c r="K645" s="12"/>
    </row>
    <row r="646" ht="19.5" customHeight="1">
      <c r="A646" s="12"/>
      <c r="C646" s="12"/>
      <c r="D646" s="87"/>
      <c r="F646" s="14"/>
      <c r="G646" s="14"/>
      <c r="H646" s="14"/>
      <c r="I646" s="14"/>
      <c r="J646" s="14"/>
      <c r="K646" s="12"/>
    </row>
    <row r="647" ht="19.5" customHeight="1">
      <c r="A647" s="12"/>
      <c r="C647" s="12"/>
      <c r="D647" s="87"/>
      <c r="F647" s="14"/>
      <c r="G647" s="14"/>
      <c r="H647" s="14"/>
      <c r="I647" s="14"/>
      <c r="J647" s="14"/>
      <c r="K647" s="12"/>
    </row>
    <row r="648" ht="19.5" customHeight="1">
      <c r="A648" s="12"/>
      <c r="C648" s="12"/>
      <c r="D648" s="87"/>
      <c r="F648" s="14"/>
      <c r="G648" s="14"/>
      <c r="H648" s="14"/>
      <c r="I648" s="14"/>
      <c r="J648" s="14"/>
      <c r="K648" s="12"/>
    </row>
    <row r="649" ht="19.5" customHeight="1">
      <c r="A649" s="12"/>
      <c r="C649" s="12"/>
      <c r="D649" s="87"/>
      <c r="F649" s="14"/>
      <c r="G649" s="14"/>
      <c r="H649" s="14"/>
      <c r="I649" s="14"/>
      <c r="J649" s="14"/>
      <c r="K649" s="12"/>
    </row>
    <row r="650" ht="19.5" customHeight="1">
      <c r="A650" s="12"/>
      <c r="C650" s="12"/>
      <c r="D650" s="87"/>
      <c r="F650" s="14"/>
      <c r="G650" s="14"/>
      <c r="H650" s="14"/>
      <c r="I650" s="14"/>
      <c r="J650" s="14"/>
      <c r="K650" s="12"/>
    </row>
    <row r="651" ht="19.5" customHeight="1">
      <c r="A651" s="12"/>
      <c r="C651" s="12"/>
      <c r="D651" s="87"/>
      <c r="F651" s="14"/>
      <c r="G651" s="14"/>
      <c r="H651" s="14"/>
      <c r="I651" s="14"/>
      <c r="J651" s="14"/>
      <c r="K651" s="12"/>
    </row>
    <row r="652" ht="19.5" customHeight="1">
      <c r="A652" s="12"/>
      <c r="C652" s="12"/>
      <c r="D652" s="87"/>
      <c r="F652" s="14"/>
      <c r="G652" s="14"/>
      <c r="H652" s="14"/>
      <c r="I652" s="14"/>
      <c r="J652" s="14"/>
      <c r="K652" s="12"/>
    </row>
    <row r="653" ht="19.5" customHeight="1">
      <c r="A653" s="12"/>
      <c r="C653" s="12"/>
      <c r="D653" s="87"/>
      <c r="F653" s="14"/>
      <c r="G653" s="14"/>
      <c r="H653" s="14"/>
      <c r="I653" s="14"/>
      <c r="J653" s="14"/>
      <c r="K653" s="12"/>
    </row>
    <row r="654" ht="19.5" customHeight="1">
      <c r="A654" s="12"/>
      <c r="C654" s="12"/>
      <c r="D654" s="87"/>
      <c r="F654" s="14"/>
      <c r="G654" s="14"/>
      <c r="H654" s="14"/>
      <c r="I654" s="14"/>
      <c r="J654" s="14"/>
      <c r="K654" s="12"/>
    </row>
    <row r="655" ht="19.5" customHeight="1">
      <c r="A655" s="12"/>
      <c r="C655" s="12"/>
      <c r="D655" s="87"/>
      <c r="F655" s="14"/>
      <c r="G655" s="14"/>
      <c r="H655" s="14"/>
      <c r="I655" s="14"/>
      <c r="J655" s="14"/>
      <c r="K655" s="12"/>
    </row>
    <row r="656" ht="19.5" customHeight="1">
      <c r="A656" s="12"/>
      <c r="C656" s="12"/>
      <c r="D656" s="87"/>
      <c r="F656" s="14"/>
      <c r="G656" s="14"/>
      <c r="H656" s="14"/>
      <c r="I656" s="14"/>
      <c r="J656" s="14"/>
      <c r="K656" s="12"/>
    </row>
    <row r="657" ht="19.5" customHeight="1">
      <c r="A657" s="12"/>
      <c r="C657" s="12"/>
      <c r="D657" s="87"/>
      <c r="F657" s="14"/>
      <c r="G657" s="14"/>
      <c r="H657" s="14"/>
      <c r="I657" s="14"/>
      <c r="J657" s="14"/>
      <c r="K657" s="12"/>
    </row>
    <row r="658" ht="19.5" customHeight="1">
      <c r="A658" s="12"/>
      <c r="C658" s="12"/>
      <c r="D658" s="87"/>
      <c r="F658" s="14"/>
      <c r="G658" s="14"/>
      <c r="H658" s="14"/>
      <c r="I658" s="14"/>
      <c r="J658" s="14"/>
      <c r="K658" s="12"/>
    </row>
    <row r="659" ht="19.5" customHeight="1">
      <c r="A659" s="12"/>
      <c r="C659" s="12"/>
      <c r="D659" s="87"/>
      <c r="F659" s="14"/>
      <c r="G659" s="14"/>
      <c r="H659" s="14"/>
      <c r="I659" s="14"/>
      <c r="J659" s="14"/>
      <c r="K659" s="12"/>
    </row>
    <row r="660" ht="19.5" customHeight="1">
      <c r="A660" s="12"/>
      <c r="C660" s="12"/>
      <c r="D660" s="87"/>
      <c r="F660" s="14"/>
      <c r="G660" s="14"/>
      <c r="H660" s="14"/>
      <c r="I660" s="14"/>
      <c r="J660" s="14"/>
      <c r="K660" s="12"/>
    </row>
    <row r="661" ht="19.5" customHeight="1">
      <c r="A661" s="12"/>
      <c r="C661" s="12"/>
      <c r="D661" s="87"/>
      <c r="F661" s="14"/>
      <c r="G661" s="14"/>
      <c r="H661" s="14"/>
      <c r="I661" s="14"/>
      <c r="J661" s="14"/>
      <c r="K661" s="12"/>
    </row>
    <row r="662" ht="19.5" customHeight="1">
      <c r="A662" s="12"/>
      <c r="C662" s="12"/>
      <c r="D662" s="87"/>
      <c r="F662" s="14"/>
      <c r="G662" s="14"/>
      <c r="H662" s="14"/>
      <c r="I662" s="14"/>
      <c r="J662" s="14"/>
      <c r="K662" s="12"/>
    </row>
    <row r="663" ht="19.5" customHeight="1">
      <c r="A663" s="12"/>
      <c r="C663" s="12"/>
      <c r="D663" s="87"/>
      <c r="F663" s="14"/>
      <c r="G663" s="14"/>
      <c r="H663" s="14"/>
      <c r="I663" s="14"/>
      <c r="J663" s="14"/>
      <c r="K663" s="12"/>
    </row>
    <row r="664" ht="19.5" customHeight="1">
      <c r="A664" s="12"/>
      <c r="C664" s="12"/>
      <c r="D664" s="87"/>
      <c r="F664" s="14"/>
      <c r="G664" s="14"/>
      <c r="H664" s="14"/>
      <c r="I664" s="14"/>
      <c r="J664" s="14"/>
      <c r="K664" s="12"/>
    </row>
    <row r="665" ht="19.5" customHeight="1">
      <c r="A665" s="12"/>
      <c r="C665" s="12"/>
      <c r="D665" s="87"/>
      <c r="F665" s="14"/>
      <c r="G665" s="14"/>
      <c r="H665" s="14"/>
      <c r="I665" s="14"/>
      <c r="J665" s="14"/>
      <c r="K665" s="12"/>
    </row>
    <row r="666" ht="19.5" customHeight="1">
      <c r="A666" s="12"/>
      <c r="C666" s="12"/>
      <c r="D666" s="87"/>
      <c r="F666" s="14"/>
      <c r="G666" s="14"/>
      <c r="H666" s="14"/>
      <c r="I666" s="14"/>
      <c r="J666" s="14"/>
      <c r="K666" s="12"/>
    </row>
    <row r="667" ht="19.5" customHeight="1">
      <c r="A667" s="12"/>
      <c r="C667" s="12"/>
      <c r="D667" s="87"/>
      <c r="F667" s="14"/>
      <c r="G667" s="14"/>
      <c r="H667" s="14"/>
      <c r="I667" s="14"/>
      <c r="J667" s="14"/>
      <c r="K667" s="12"/>
    </row>
    <row r="668" ht="19.5" customHeight="1">
      <c r="A668" s="12"/>
      <c r="C668" s="12"/>
      <c r="D668" s="87"/>
      <c r="F668" s="14"/>
      <c r="G668" s="14"/>
      <c r="H668" s="14"/>
      <c r="I668" s="14"/>
      <c r="J668" s="14"/>
      <c r="K668" s="12"/>
    </row>
    <row r="669" ht="19.5" customHeight="1">
      <c r="A669" s="12"/>
      <c r="C669" s="12"/>
      <c r="D669" s="87"/>
      <c r="F669" s="14"/>
      <c r="G669" s="14"/>
      <c r="H669" s="14"/>
      <c r="I669" s="14"/>
      <c r="J669" s="14"/>
      <c r="K669" s="12"/>
    </row>
    <row r="670" ht="19.5" customHeight="1">
      <c r="A670" s="12"/>
      <c r="C670" s="12"/>
      <c r="D670" s="87"/>
      <c r="F670" s="14"/>
      <c r="G670" s="14"/>
      <c r="H670" s="14"/>
      <c r="I670" s="14"/>
      <c r="J670" s="14"/>
      <c r="K670" s="12"/>
    </row>
    <row r="671" ht="19.5" customHeight="1">
      <c r="A671" s="12"/>
      <c r="C671" s="12"/>
      <c r="D671" s="87"/>
      <c r="F671" s="14"/>
      <c r="G671" s="14"/>
      <c r="H671" s="14"/>
      <c r="I671" s="14"/>
      <c r="J671" s="14"/>
      <c r="K671" s="12"/>
    </row>
    <row r="672" ht="19.5" customHeight="1">
      <c r="A672" s="12"/>
      <c r="C672" s="12"/>
      <c r="D672" s="87"/>
      <c r="F672" s="14"/>
      <c r="G672" s="14"/>
      <c r="H672" s="14"/>
      <c r="I672" s="14"/>
      <c r="J672" s="14"/>
      <c r="K672" s="12"/>
    </row>
    <row r="673" ht="19.5" customHeight="1">
      <c r="A673" s="12"/>
      <c r="C673" s="12"/>
      <c r="D673" s="87"/>
      <c r="F673" s="14"/>
      <c r="G673" s="14"/>
      <c r="H673" s="14"/>
      <c r="I673" s="14"/>
      <c r="J673" s="14"/>
      <c r="K673" s="12"/>
    </row>
    <row r="674" ht="19.5" customHeight="1">
      <c r="A674" s="12"/>
      <c r="C674" s="12"/>
      <c r="D674" s="87"/>
      <c r="F674" s="14"/>
      <c r="G674" s="14"/>
      <c r="H674" s="14"/>
      <c r="I674" s="14"/>
      <c r="J674" s="14"/>
      <c r="K674" s="12"/>
    </row>
    <row r="675" ht="19.5" customHeight="1">
      <c r="A675" s="12"/>
      <c r="C675" s="12"/>
      <c r="D675" s="87"/>
      <c r="F675" s="14"/>
      <c r="G675" s="14"/>
      <c r="H675" s="14"/>
      <c r="I675" s="14"/>
      <c r="J675" s="14"/>
      <c r="K675" s="12"/>
    </row>
    <row r="676" ht="19.5" customHeight="1">
      <c r="A676" s="12"/>
      <c r="C676" s="12"/>
      <c r="D676" s="87"/>
      <c r="F676" s="14"/>
      <c r="G676" s="14"/>
      <c r="H676" s="14"/>
      <c r="I676" s="14"/>
      <c r="J676" s="14"/>
      <c r="K676" s="12"/>
    </row>
    <row r="677" ht="19.5" customHeight="1">
      <c r="A677" s="12"/>
      <c r="C677" s="12"/>
      <c r="D677" s="87"/>
      <c r="F677" s="14"/>
      <c r="G677" s="14"/>
      <c r="H677" s="14"/>
      <c r="I677" s="14"/>
      <c r="J677" s="14"/>
      <c r="K677" s="12"/>
    </row>
    <row r="678" ht="19.5" customHeight="1">
      <c r="A678" s="12"/>
      <c r="C678" s="12"/>
      <c r="D678" s="87"/>
      <c r="F678" s="14"/>
      <c r="G678" s="14"/>
      <c r="H678" s="14"/>
      <c r="I678" s="14"/>
      <c r="J678" s="14"/>
      <c r="K678" s="12"/>
    </row>
    <row r="679" ht="19.5" customHeight="1">
      <c r="A679" s="12"/>
      <c r="C679" s="12"/>
      <c r="D679" s="87"/>
      <c r="F679" s="14"/>
      <c r="G679" s="14"/>
      <c r="H679" s="14"/>
      <c r="I679" s="14"/>
      <c r="J679" s="14"/>
      <c r="K679" s="12"/>
    </row>
    <row r="680" ht="19.5" customHeight="1">
      <c r="A680" s="12"/>
      <c r="C680" s="12"/>
      <c r="D680" s="87"/>
      <c r="F680" s="14"/>
      <c r="G680" s="14"/>
      <c r="H680" s="14"/>
      <c r="I680" s="14"/>
      <c r="J680" s="14"/>
      <c r="K680" s="12"/>
    </row>
    <row r="681" ht="19.5" customHeight="1">
      <c r="A681" s="12"/>
      <c r="C681" s="12"/>
      <c r="D681" s="87"/>
      <c r="F681" s="14"/>
      <c r="G681" s="14"/>
      <c r="H681" s="14"/>
      <c r="I681" s="14"/>
      <c r="J681" s="14"/>
      <c r="K681" s="12"/>
    </row>
    <row r="682" ht="19.5" customHeight="1">
      <c r="A682" s="12"/>
      <c r="C682" s="12"/>
      <c r="D682" s="87"/>
      <c r="F682" s="14"/>
      <c r="G682" s="14"/>
      <c r="H682" s="14"/>
      <c r="I682" s="14"/>
      <c r="J682" s="14"/>
      <c r="K682" s="12"/>
    </row>
    <row r="683" ht="19.5" customHeight="1">
      <c r="A683" s="12"/>
      <c r="C683" s="12"/>
      <c r="D683" s="87"/>
      <c r="F683" s="14"/>
      <c r="G683" s="14"/>
      <c r="H683" s="14"/>
      <c r="I683" s="14"/>
      <c r="J683" s="14"/>
      <c r="K683" s="12"/>
    </row>
    <row r="684" ht="19.5" customHeight="1">
      <c r="A684" s="12"/>
      <c r="C684" s="12"/>
      <c r="D684" s="87"/>
      <c r="F684" s="14"/>
      <c r="G684" s="14"/>
      <c r="H684" s="14"/>
      <c r="I684" s="14"/>
      <c r="J684" s="14"/>
      <c r="K684" s="12"/>
    </row>
    <row r="685" ht="19.5" customHeight="1">
      <c r="A685" s="12"/>
      <c r="C685" s="12"/>
      <c r="D685" s="87"/>
      <c r="F685" s="14"/>
      <c r="G685" s="14"/>
      <c r="H685" s="14"/>
      <c r="I685" s="14"/>
      <c r="J685" s="14"/>
      <c r="K685" s="12"/>
    </row>
    <row r="686" ht="19.5" customHeight="1">
      <c r="A686" s="12"/>
      <c r="C686" s="12"/>
      <c r="D686" s="87"/>
      <c r="F686" s="14"/>
      <c r="G686" s="14"/>
      <c r="H686" s="14"/>
      <c r="I686" s="14"/>
      <c r="J686" s="14"/>
      <c r="K686" s="12"/>
    </row>
    <row r="687" ht="19.5" customHeight="1">
      <c r="A687" s="12"/>
      <c r="C687" s="12"/>
      <c r="D687" s="87"/>
      <c r="F687" s="14"/>
      <c r="G687" s="14"/>
      <c r="H687" s="14"/>
      <c r="I687" s="14"/>
      <c r="J687" s="14"/>
      <c r="K687" s="12"/>
    </row>
    <row r="688" ht="19.5" customHeight="1">
      <c r="A688" s="12"/>
      <c r="C688" s="12"/>
      <c r="D688" s="87"/>
      <c r="F688" s="14"/>
      <c r="G688" s="14"/>
      <c r="H688" s="14"/>
      <c r="I688" s="14"/>
      <c r="J688" s="14"/>
      <c r="K688" s="12"/>
    </row>
    <row r="689" ht="19.5" customHeight="1">
      <c r="A689" s="12"/>
      <c r="C689" s="12"/>
      <c r="D689" s="87"/>
      <c r="F689" s="14"/>
      <c r="G689" s="14"/>
      <c r="H689" s="14"/>
      <c r="I689" s="14"/>
      <c r="J689" s="14"/>
      <c r="K689" s="12"/>
    </row>
    <row r="690" ht="19.5" customHeight="1">
      <c r="A690" s="12"/>
      <c r="C690" s="12"/>
      <c r="D690" s="87"/>
      <c r="F690" s="14"/>
      <c r="G690" s="14"/>
      <c r="H690" s="14"/>
      <c r="I690" s="14"/>
      <c r="J690" s="14"/>
      <c r="K690" s="12"/>
    </row>
    <row r="691" ht="19.5" customHeight="1">
      <c r="A691" s="12"/>
      <c r="C691" s="12"/>
      <c r="D691" s="87"/>
      <c r="F691" s="14"/>
      <c r="G691" s="14"/>
      <c r="H691" s="14"/>
      <c r="I691" s="14"/>
      <c r="J691" s="14"/>
      <c r="K691" s="12"/>
    </row>
    <row r="692" ht="19.5" customHeight="1">
      <c r="A692" s="12"/>
      <c r="C692" s="12"/>
      <c r="D692" s="87"/>
      <c r="F692" s="14"/>
      <c r="G692" s="14"/>
      <c r="H692" s="14"/>
      <c r="I692" s="14"/>
      <c r="J692" s="14"/>
      <c r="K692" s="12"/>
    </row>
    <row r="693" ht="19.5" customHeight="1">
      <c r="A693" s="12"/>
      <c r="C693" s="12"/>
      <c r="D693" s="87"/>
      <c r="F693" s="14"/>
      <c r="G693" s="14"/>
      <c r="H693" s="14"/>
      <c r="I693" s="14"/>
      <c r="J693" s="14"/>
      <c r="K693" s="12"/>
    </row>
    <row r="694" ht="19.5" customHeight="1">
      <c r="A694" s="12"/>
      <c r="C694" s="12"/>
      <c r="D694" s="87"/>
      <c r="F694" s="14"/>
      <c r="G694" s="14"/>
      <c r="H694" s="14"/>
      <c r="I694" s="14"/>
      <c r="J694" s="14"/>
      <c r="K694" s="12"/>
    </row>
    <row r="695" ht="19.5" customHeight="1">
      <c r="A695" s="12"/>
      <c r="C695" s="12"/>
      <c r="D695" s="87"/>
      <c r="F695" s="14"/>
      <c r="G695" s="14"/>
      <c r="H695" s="14"/>
      <c r="I695" s="14"/>
      <c r="J695" s="14"/>
      <c r="K695" s="12"/>
    </row>
    <row r="696" ht="19.5" customHeight="1">
      <c r="A696" s="12"/>
      <c r="C696" s="12"/>
      <c r="D696" s="87"/>
      <c r="F696" s="14"/>
      <c r="G696" s="14"/>
      <c r="H696" s="14"/>
      <c r="I696" s="14"/>
      <c r="J696" s="14"/>
      <c r="K696" s="12"/>
    </row>
    <row r="697" ht="19.5" customHeight="1">
      <c r="A697" s="12"/>
      <c r="C697" s="12"/>
      <c r="D697" s="87"/>
      <c r="F697" s="14"/>
      <c r="G697" s="14"/>
      <c r="H697" s="14"/>
      <c r="I697" s="14"/>
      <c r="J697" s="14"/>
      <c r="K697" s="12"/>
    </row>
    <row r="698" ht="19.5" customHeight="1">
      <c r="A698" s="12"/>
      <c r="C698" s="12"/>
      <c r="D698" s="87"/>
      <c r="F698" s="14"/>
      <c r="G698" s="14"/>
      <c r="H698" s="14"/>
      <c r="I698" s="14"/>
      <c r="J698" s="14"/>
      <c r="K698" s="12"/>
    </row>
    <row r="699" ht="19.5" customHeight="1">
      <c r="A699" s="12"/>
      <c r="C699" s="12"/>
      <c r="D699" s="87"/>
      <c r="F699" s="14"/>
      <c r="G699" s="14"/>
      <c r="H699" s="14"/>
      <c r="I699" s="14"/>
      <c r="J699" s="14"/>
      <c r="K699" s="12"/>
    </row>
    <row r="700" ht="19.5" customHeight="1">
      <c r="A700" s="12"/>
      <c r="C700" s="12"/>
      <c r="D700" s="87"/>
      <c r="F700" s="14"/>
      <c r="G700" s="14"/>
      <c r="H700" s="14"/>
      <c r="I700" s="14"/>
      <c r="J700" s="14"/>
      <c r="K700" s="12"/>
    </row>
    <row r="701" ht="19.5" customHeight="1">
      <c r="A701" s="12"/>
      <c r="C701" s="12"/>
      <c r="D701" s="87"/>
      <c r="F701" s="14"/>
      <c r="G701" s="14"/>
      <c r="H701" s="14"/>
      <c r="I701" s="14"/>
      <c r="J701" s="14"/>
      <c r="K701" s="12"/>
    </row>
    <row r="702" ht="19.5" customHeight="1">
      <c r="A702" s="12"/>
      <c r="C702" s="12"/>
      <c r="D702" s="87"/>
      <c r="F702" s="14"/>
      <c r="G702" s="14"/>
      <c r="H702" s="14"/>
      <c r="I702" s="14"/>
      <c r="J702" s="14"/>
      <c r="K702" s="12"/>
    </row>
    <row r="703" ht="19.5" customHeight="1">
      <c r="A703" s="12"/>
      <c r="C703" s="12"/>
      <c r="D703" s="87"/>
      <c r="F703" s="14"/>
      <c r="G703" s="14"/>
      <c r="H703" s="14"/>
      <c r="I703" s="14"/>
      <c r="J703" s="14"/>
      <c r="K703" s="12"/>
    </row>
    <row r="704" ht="19.5" customHeight="1">
      <c r="A704" s="12"/>
      <c r="C704" s="12"/>
      <c r="D704" s="87"/>
      <c r="F704" s="14"/>
      <c r="G704" s="14"/>
      <c r="H704" s="14"/>
      <c r="I704" s="14"/>
      <c r="J704" s="14"/>
      <c r="K704" s="12"/>
    </row>
    <row r="705" ht="19.5" customHeight="1">
      <c r="A705" s="12"/>
      <c r="C705" s="12"/>
      <c r="D705" s="87"/>
      <c r="F705" s="14"/>
      <c r="G705" s="14"/>
      <c r="H705" s="14"/>
      <c r="I705" s="14"/>
      <c r="J705" s="14"/>
      <c r="K705" s="12"/>
    </row>
    <row r="706" ht="19.5" customHeight="1">
      <c r="A706" s="12"/>
      <c r="C706" s="12"/>
      <c r="D706" s="87"/>
      <c r="F706" s="14"/>
      <c r="G706" s="14"/>
      <c r="H706" s="14"/>
      <c r="I706" s="14"/>
      <c r="J706" s="14"/>
      <c r="K706" s="12"/>
    </row>
    <row r="707" ht="19.5" customHeight="1">
      <c r="A707" s="12"/>
      <c r="C707" s="12"/>
      <c r="D707" s="87"/>
      <c r="F707" s="14"/>
      <c r="G707" s="14"/>
      <c r="H707" s="14"/>
      <c r="I707" s="14"/>
      <c r="J707" s="14"/>
      <c r="K707" s="12"/>
    </row>
    <row r="708" ht="19.5" customHeight="1">
      <c r="A708" s="12"/>
      <c r="C708" s="12"/>
      <c r="D708" s="87"/>
      <c r="F708" s="14"/>
      <c r="G708" s="14"/>
      <c r="H708" s="14"/>
      <c r="I708" s="14"/>
      <c r="J708" s="14"/>
      <c r="K708" s="12"/>
    </row>
    <row r="709" ht="19.5" customHeight="1">
      <c r="A709" s="12"/>
      <c r="C709" s="12"/>
      <c r="D709" s="87"/>
      <c r="F709" s="14"/>
      <c r="G709" s="14"/>
      <c r="H709" s="14"/>
      <c r="I709" s="14"/>
      <c r="J709" s="14"/>
      <c r="K709" s="12"/>
    </row>
    <row r="710" ht="19.5" customHeight="1">
      <c r="A710" s="12"/>
      <c r="C710" s="12"/>
      <c r="D710" s="87"/>
      <c r="F710" s="14"/>
      <c r="G710" s="14"/>
      <c r="H710" s="14"/>
      <c r="I710" s="14"/>
      <c r="J710" s="14"/>
      <c r="K710" s="12"/>
    </row>
    <row r="711" ht="19.5" customHeight="1">
      <c r="A711" s="12"/>
      <c r="C711" s="12"/>
      <c r="D711" s="87"/>
      <c r="F711" s="14"/>
      <c r="G711" s="14"/>
      <c r="H711" s="14"/>
      <c r="I711" s="14"/>
      <c r="J711" s="14"/>
      <c r="K711" s="12"/>
    </row>
    <row r="712" ht="19.5" customHeight="1">
      <c r="A712" s="12"/>
      <c r="C712" s="12"/>
      <c r="D712" s="87"/>
      <c r="F712" s="14"/>
      <c r="G712" s="14"/>
      <c r="H712" s="14"/>
      <c r="I712" s="14"/>
      <c r="J712" s="14"/>
      <c r="K712" s="12"/>
    </row>
    <row r="713" ht="19.5" customHeight="1">
      <c r="A713" s="12"/>
      <c r="C713" s="12"/>
      <c r="D713" s="87"/>
      <c r="F713" s="14"/>
      <c r="G713" s="14"/>
      <c r="H713" s="14"/>
      <c r="I713" s="14"/>
      <c r="J713" s="14"/>
      <c r="K713" s="12"/>
    </row>
    <row r="714" ht="19.5" customHeight="1">
      <c r="A714" s="12"/>
      <c r="C714" s="12"/>
      <c r="D714" s="87"/>
      <c r="F714" s="14"/>
      <c r="G714" s="14"/>
      <c r="H714" s="14"/>
      <c r="I714" s="14"/>
      <c r="J714" s="14"/>
      <c r="K714" s="12"/>
    </row>
    <row r="715" ht="19.5" customHeight="1">
      <c r="A715" s="12"/>
      <c r="C715" s="12"/>
      <c r="D715" s="87"/>
      <c r="F715" s="14"/>
      <c r="G715" s="14"/>
      <c r="H715" s="14"/>
      <c r="I715" s="14"/>
      <c r="J715" s="14"/>
      <c r="K715" s="12"/>
    </row>
    <row r="716" ht="19.5" customHeight="1">
      <c r="A716" s="12"/>
      <c r="C716" s="12"/>
      <c r="D716" s="87"/>
      <c r="F716" s="14"/>
      <c r="G716" s="14"/>
      <c r="H716" s="14"/>
      <c r="I716" s="14"/>
      <c r="J716" s="14"/>
      <c r="K716" s="12"/>
    </row>
    <row r="717" ht="19.5" customHeight="1">
      <c r="A717" s="12"/>
      <c r="C717" s="12"/>
      <c r="D717" s="87"/>
      <c r="F717" s="14"/>
      <c r="G717" s="14"/>
      <c r="H717" s="14"/>
      <c r="I717" s="14"/>
      <c r="J717" s="14"/>
      <c r="K717" s="12"/>
    </row>
    <row r="718" ht="19.5" customHeight="1">
      <c r="A718" s="12"/>
      <c r="C718" s="12"/>
      <c r="D718" s="87"/>
      <c r="F718" s="14"/>
      <c r="G718" s="14"/>
      <c r="H718" s="14"/>
      <c r="I718" s="14"/>
      <c r="J718" s="14"/>
      <c r="K718" s="12"/>
    </row>
    <row r="719" ht="19.5" customHeight="1">
      <c r="A719" s="12"/>
      <c r="C719" s="12"/>
      <c r="D719" s="87"/>
      <c r="F719" s="14"/>
      <c r="G719" s="14"/>
      <c r="H719" s="14"/>
      <c r="I719" s="14"/>
      <c r="J719" s="14"/>
      <c r="K719" s="12"/>
    </row>
    <row r="720" ht="19.5" customHeight="1">
      <c r="A720" s="12"/>
      <c r="C720" s="12"/>
      <c r="D720" s="87"/>
      <c r="F720" s="14"/>
      <c r="G720" s="14"/>
      <c r="H720" s="14"/>
      <c r="I720" s="14"/>
      <c r="J720" s="14"/>
      <c r="K720" s="12"/>
    </row>
    <row r="721" ht="19.5" customHeight="1">
      <c r="A721" s="12"/>
      <c r="C721" s="12"/>
      <c r="D721" s="87"/>
      <c r="F721" s="14"/>
      <c r="G721" s="14"/>
      <c r="H721" s="14"/>
      <c r="I721" s="14"/>
      <c r="J721" s="14"/>
      <c r="K721" s="12"/>
    </row>
    <row r="722" ht="19.5" customHeight="1">
      <c r="A722" s="12"/>
      <c r="C722" s="12"/>
      <c r="D722" s="87"/>
      <c r="F722" s="14"/>
      <c r="G722" s="14"/>
      <c r="H722" s="14"/>
      <c r="I722" s="14"/>
      <c r="J722" s="14"/>
      <c r="K722" s="12"/>
    </row>
    <row r="723" ht="19.5" customHeight="1">
      <c r="A723" s="12"/>
      <c r="C723" s="12"/>
      <c r="D723" s="87"/>
      <c r="F723" s="14"/>
      <c r="G723" s="14"/>
      <c r="H723" s="14"/>
      <c r="I723" s="14"/>
      <c r="J723" s="14"/>
      <c r="K723" s="12"/>
    </row>
    <row r="724" ht="19.5" customHeight="1">
      <c r="A724" s="12"/>
      <c r="C724" s="12"/>
      <c r="D724" s="87"/>
      <c r="F724" s="14"/>
      <c r="G724" s="14"/>
      <c r="H724" s="14"/>
      <c r="I724" s="14"/>
      <c r="J724" s="14"/>
      <c r="K724" s="12"/>
    </row>
    <row r="725" ht="19.5" customHeight="1">
      <c r="A725" s="12"/>
      <c r="C725" s="12"/>
      <c r="D725" s="87"/>
      <c r="F725" s="14"/>
      <c r="G725" s="14"/>
      <c r="H725" s="14"/>
      <c r="I725" s="14"/>
      <c r="J725" s="14"/>
      <c r="K725" s="12"/>
    </row>
    <row r="726" ht="19.5" customHeight="1">
      <c r="A726" s="12"/>
      <c r="C726" s="12"/>
      <c r="D726" s="87"/>
      <c r="F726" s="14"/>
      <c r="G726" s="14"/>
      <c r="H726" s="14"/>
      <c r="I726" s="14"/>
      <c r="J726" s="14"/>
      <c r="K726" s="12"/>
    </row>
    <row r="727" ht="19.5" customHeight="1">
      <c r="A727" s="12"/>
      <c r="C727" s="12"/>
      <c r="D727" s="87"/>
      <c r="F727" s="14"/>
      <c r="G727" s="14"/>
      <c r="H727" s="14"/>
      <c r="I727" s="14"/>
      <c r="J727" s="14"/>
      <c r="K727" s="12"/>
    </row>
    <row r="728" ht="19.5" customHeight="1">
      <c r="A728" s="12"/>
      <c r="C728" s="12"/>
      <c r="D728" s="87"/>
      <c r="F728" s="14"/>
      <c r="G728" s="14"/>
      <c r="H728" s="14"/>
      <c r="I728" s="14"/>
      <c r="J728" s="14"/>
      <c r="K728" s="12"/>
    </row>
    <row r="729" ht="19.5" customHeight="1">
      <c r="A729" s="12"/>
      <c r="C729" s="12"/>
      <c r="D729" s="87"/>
      <c r="F729" s="14"/>
      <c r="G729" s="14"/>
      <c r="H729" s="14"/>
      <c r="I729" s="14"/>
      <c r="J729" s="14"/>
      <c r="K729" s="12"/>
    </row>
    <row r="730" ht="19.5" customHeight="1">
      <c r="A730" s="12"/>
      <c r="C730" s="12"/>
      <c r="D730" s="87"/>
      <c r="F730" s="14"/>
      <c r="G730" s="14"/>
      <c r="H730" s="14"/>
      <c r="I730" s="14"/>
      <c r="J730" s="14"/>
      <c r="K730" s="12"/>
    </row>
    <row r="731" ht="19.5" customHeight="1">
      <c r="A731" s="12"/>
      <c r="C731" s="12"/>
      <c r="D731" s="87"/>
      <c r="F731" s="14"/>
      <c r="G731" s="14"/>
      <c r="H731" s="14"/>
      <c r="I731" s="14"/>
      <c r="J731" s="14"/>
      <c r="K731" s="12"/>
    </row>
    <row r="732" ht="19.5" customHeight="1">
      <c r="A732" s="12"/>
      <c r="C732" s="12"/>
      <c r="D732" s="87"/>
      <c r="F732" s="14"/>
      <c r="G732" s="14"/>
      <c r="H732" s="14"/>
      <c r="I732" s="14"/>
      <c r="J732" s="14"/>
      <c r="K732" s="12"/>
    </row>
    <row r="733" ht="19.5" customHeight="1">
      <c r="A733" s="12"/>
      <c r="C733" s="12"/>
      <c r="D733" s="87"/>
      <c r="F733" s="14"/>
      <c r="G733" s="14"/>
      <c r="H733" s="14"/>
      <c r="I733" s="14"/>
      <c r="J733" s="14"/>
      <c r="K733" s="12"/>
    </row>
    <row r="734" ht="19.5" customHeight="1">
      <c r="A734" s="12"/>
      <c r="C734" s="12"/>
      <c r="D734" s="87"/>
      <c r="F734" s="14"/>
      <c r="G734" s="14"/>
      <c r="H734" s="14"/>
      <c r="I734" s="14"/>
      <c r="J734" s="14"/>
      <c r="K734" s="12"/>
    </row>
    <row r="735" ht="19.5" customHeight="1">
      <c r="A735" s="12"/>
      <c r="C735" s="12"/>
      <c r="D735" s="87"/>
      <c r="F735" s="14"/>
      <c r="G735" s="14"/>
      <c r="H735" s="14"/>
      <c r="I735" s="14"/>
      <c r="J735" s="14"/>
      <c r="K735" s="12"/>
    </row>
    <row r="736" ht="19.5" customHeight="1">
      <c r="A736" s="12"/>
      <c r="C736" s="12"/>
      <c r="D736" s="87"/>
      <c r="F736" s="14"/>
      <c r="G736" s="14"/>
      <c r="H736" s="14"/>
      <c r="I736" s="14"/>
      <c r="J736" s="14"/>
      <c r="K736" s="12"/>
    </row>
    <row r="737" ht="19.5" customHeight="1">
      <c r="A737" s="12"/>
      <c r="C737" s="12"/>
      <c r="D737" s="87"/>
      <c r="F737" s="14"/>
      <c r="G737" s="14"/>
      <c r="H737" s="14"/>
      <c r="I737" s="14"/>
      <c r="J737" s="14"/>
      <c r="K737" s="12"/>
    </row>
    <row r="738" ht="19.5" customHeight="1">
      <c r="A738" s="12"/>
      <c r="C738" s="12"/>
      <c r="D738" s="87"/>
      <c r="F738" s="14"/>
      <c r="G738" s="14"/>
      <c r="H738" s="14"/>
      <c r="I738" s="14"/>
      <c r="J738" s="14"/>
      <c r="K738" s="12"/>
    </row>
    <row r="739" ht="19.5" customHeight="1">
      <c r="A739" s="12"/>
      <c r="C739" s="12"/>
      <c r="D739" s="87"/>
      <c r="F739" s="14"/>
      <c r="G739" s="14"/>
      <c r="H739" s="14"/>
      <c r="I739" s="14"/>
      <c r="J739" s="14"/>
      <c r="K739" s="12"/>
    </row>
    <row r="740" ht="19.5" customHeight="1">
      <c r="A740" s="12"/>
      <c r="C740" s="12"/>
      <c r="D740" s="87"/>
      <c r="F740" s="14"/>
      <c r="G740" s="14"/>
      <c r="H740" s="14"/>
      <c r="I740" s="14"/>
      <c r="J740" s="14"/>
      <c r="K740" s="12"/>
    </row>
    <row r="741" ht="19.5" customHeight="1">
      <c r="A741" s="12"/>
      <c r="C741" s="12"/>
      <c r="D741" s="87"/>
      <c r="F741" s="14"/>
      <c r="G741" s="14"/>
      <c r="H741" s="14"/>
      <c r="I741" s="14"/>
      <c r="J741" s="14"/>
      <c r="K741" s="12"/>
    </row>
    <row r="742" ht="19.5" customHeight="1">
      <c r="A742" s="12"/>
      <c r="C742" s="12"/>
      <c r="D742" s="87"/>
      <c r="F742" s="14"/>
      <c r="G742" s="14"/>
      <c r="H742" s="14"/>
      <c r="I742" s="14"/>
      <c r="J742" s="14"/>
      <c r="K742" s="12"/>
    </row>
    <row r="743" ht="19.5" customHeight="1">
      <c r="A743" s="12"/>
      <c r="C743" s="12"/>
      <c r="D743" s="87"/>
      <c r="F743" s="14"/>
      <c r="G743" s="14"/>
      <c r="H743" s="14"/>
      <c r="I743" s="14"/>
      <c r="J743" s="14"/>
      <c r="K743" s="12"/>
    </row>
    <row r="744" ht="19.5" customHeight="1">
      <c r="A744" s="12"/>
      <c r="C744" s="12"/>
      <c r="D744" s="87"/>
      <c r="F744" s="14"/>
      <c r="G744" s="14"/>
      <c r="H744" s="14"/>
      <c r="I744" s="14"/>
      <c r="J744" s="14"/>
      <c r="K744" s="12"/>
    </row>
    <row r="745" ht="19.5" customHeight="1">
      <c r="A745" s="12"/>
      <c r="C745" s="12"/>
      <c r="D745" s="87"/>
      <c r="F745" s="14"/>
      <c r="G745" s="14"/>
      <c r="H745" s="14"/>
      <c r="I745" s="14"/>
      <c r="J745" s="14"/>
      <c r="K745" s="12"/>
    </row>
    <row r="746" ht="19.5" customHeight="1">
      <c r="A746" s="12"/>
      <c r="C746" s="12"/>
      <c r="D746" s="87"/>
      <c r="F746" s="14"/>
      <c r="G746" s="14"/>
      <c r="H746" s="14"/>
      <c r="I746" s="14"/>
      <c r="J746" s="14"/>
      <c r="K746" s="12"/>
    </row>
    <row r="747" ht="19.5" customHeight="1">
      <c r="A747" s="12"/>
      <c r="C747" s="12"/>
      <c r="D747" s="87"/>
      <c r="F747" s="14"/>
      <c r="G747" s="14"/>
      <c r="H747" s="14"/>
      <c r="I747" s="14"/>
      <c r="J747" s="14"/>
      <c r="K747" s="12"/>
    </row>
    <row r="748" ht="19.5" customHeight="1">
      <c r="A748" s="12"/>
      <c r="C748" s="12"/>
      <c r="D748" s="87"/>
      <c r="F748" s="14"/>
      <c r="G748" s="14"/>
      <c r="H748" s="14"/>
      <c r="I748" s="14"/>
      <c r="J748" s="14"/>
      <c r="K748" s="12"/>
    </row>
    <row r="749" ht="19.5" customHeight="1">
      <c r="A749" s="12"/>
      <c r="C749" s="12"/>
      <c r="D749" s="87"/>
      <c r="F749" s="14"/>
      <c r="G749" s="14"/>
      <c r="H749" s="14"/>
      <c r="I749" s="14"/>
      <c r="J749" s="14"/>
      <c r="K749" s="12"/>
    </row>
    <row r="750" ht="19.5" customHeight="1">
      <c r="A750" s="12"/>
      <c r="C750" s="12"/>
      <c r="D750" s="87"/>
      <c r="F750" s="14"/>
      <c r="G750" s="14"/>
      <c r="H750" s="14"/>
      <c r="I750" s="14"/>
      <c r="J750" s="14"/>
      <c r="K750" s="12"/>
    </row>
    <row r="751" ht="19.5" customHeight="1">
      <c r="A751" s="12"/>
      <c r="C751" s="12"/>
      <c r="D751" s="87"/>
      <c r="F751" s="14"/>
      <c r="G751" s="14"/>
      <c r="H751" s="14"/>
      <c r="I751" s="14"/>
      <c r="J751" s="14"/>
      <c r="K751" s="12"/>
    </row>
    <row r="752" ht="19.5" customHeight="1">
      <c r="A752" s="12"/>
      <c r="C752" s="12"/>
      <c r="D752" s="87"/>
      <c r="F752" s="14"/>
      <c r="G752" s="14"/>
      <c r="H752" s="14"/>
      <c r="I752" s="14"/>
      <c r="J752" s="14"/>
      <c r="K752" s="12"/>
    </row>
    <row r="753" ht="19.5" customHeight="1">
      <c r="A753" s="12"/>
      <c r="C753" s="12"/>
      <c r="D753" s="87"/>
      <c r="F753" s="14"/>
      <c r="G753" s="14"/>
      <c r="H753" s="14"/>
      <c r="I753" s="14"/>
      <c r="J753" s="14"/>
      <c r="K753" s="12"/>
    </row>
    <row r="754" ht="19.5" customHeight="1">
      <c r="A754" s="12"/>
      <c r="C754" s="12"/>
      <c r="D754" s="87"/>
      <c r="F754" s="14"/>
      <c r="G754" s="14"/>
      <c r="H754" s="14"/>
      <c r="I754" s="14"/>
      <c r="J754" s="14"/>
      <c r="K754" s="12"/>
    </row>
    <row r="755" ht="19.5" customHeight="1">
      <c r="A755" s="12"/>
      <c r="C755" s="12"/>
      <c r="D755" s="87"/>
      <c r="F755" s="14"/>
      <c r="G755" s="14"/>
      <c r="H755" s="14"/>
      <c r="I755" s="14"/>
      <c r="J755" s="14"/>
      <c r="K755" s="12"/>
    </row>
    <row r="756" ht="19.5" customHeight="1">
      <c r="A756" s="12"/>
      <c r="C756" s="12"/>
      <c r="D756" s="87"/>
      <c r="F756" s="14"/>
      <c r="G756" s="14"/>
      <c r="H756" s="14"/>
      <c r="I756" s="14"/>
      <c r="J756" s="14"/>
      <c r="K756" s="12"/>
    </row>
    <row r="757" ht="19.5" customHeight="1">
      <c r="A757" s="12"/>
      <c r="C757" s="12"/>
      <c r="D757" s="87"/>
      <c r="F757" s="14"/>
      <c r="G757" s="14"/>
      <c r="H757" s="14"/>
      <c r="I757" s="14"/>
      <c r="J757" s="14"/>
      <c r="K757" s="12"/>
    </row>
    <row r="758" ht="19.5" customHeight="1">
      <c r="A758" s="12"/>
      <c r="C758" s="12"/>
      <c r="D758" s="87"/>
      <c r="F758" s="14"/>
      <c r="G758" s="14"/>
      <c r="H758" s="14"/>
      <c r="I758" s="14"/>
      <c r="J758" s="14"/>
      <c r="K758" s="12"/>
    </row>
    <row r="759" ht="19.5" customHeight="1">
      <c r="A759" s="12"/>
      <c r="C759" s="12"/>
      <c r="D759" s="87"/>
      <c r="F759" s="14"/>
      <c r="G759" s="14"/>
      <c r="H759" s="14"/>
      <c r="I759" s="14"/>
      <c r="J759" s="14"/>
      <c r="K759" s="12"/>
    </row>
    <row r="760" ht="19.5" customHeight="1">
      <c r="A760" s="12"/>
      <c r="C760" s="12"/>
      <c r="D760" s="87"/>
      <c r="F760" s="14"/>
      <c r="G760" s="14"/>
      <c r="H760" s="14"/>
      <c r="I760" s="14"/>
      <c r="J760" s="14"/>
      <c r="K760" s="12"/>
    </row>
    <row r="761" ht="19.5" customHeight="1">
      <c r="A761" s="12"/>
      <c r="C761" s="12"/>
      <c r="D761" s="87"/>
      <c r="F761" s="14"/>
      <c r="G761" s="14"/>
      <c r="H761" s="14"/>
      <c r="I761" s="14"/>
      <c r="J761" s="14"/>
      <c r="K761" s="12"/>
    </row>
    <row r="762" ht="19.5" customHeight="1">
      <c r="A762" s="12"/>
      <c r="C762" s="12"/>
      <c r="D762" s="87"/>
      <c r="F762" s="14"/>
      <c r="G762" s="14"/>
      <c r="H762" s="14"/>
      <c r="I762" s="14"/>
      <c r="J762" s="14"/>
      <c r="K762" s="12"/>
    </row>
    <row r="763" ht="19.5" customHeight="1">
      <c r="A763" s="12"/>
      <c r="C763" s="12"/>
      <c r="D763" s="87"/>
      <c r="F763" s="14"/>
      <c r="G763" s="14"/>
      <c r="H763" s="14"/>
      <c r="I763" s="14"/>
      <c r="J763" s="14"/>
      <c r="K763" s="12"/>
    </row>
    <row r="764" ht="19.5" customHeight="1">
      <c r="A764" s="12"/>
      <c r="C764" s="12"/>
      <c r="D764" s="87"/>
      <c r="F764" s="14"/>
      <c r="G764" s="14"/>
      <c r="H764" s="14"/>
      <c r="I764" s="14"/>
      <c r="J764" s="14"/>
      <c r="K764" s="12"/>
    </row>
    <row r="765" ht="19.5" customHeight="1">
      <c r="A765" s="12"/>
      <c r="C765" s="12"/>
      <c r="D765" s="87"/>
      <c r="F765" s="14"/>
      <c r="G765" s="14"/>
      <c r="H765" s="14"/>
      <c r="I765" s="14"/>
      <c r="J765" s="14"/>
      <c r="K765" s="12"/>
    </row>
    <row r="766" ht="19.5" customHeight="1">
      <c r="A766" s="12"/>
      <c r="C766" s="12"/>
      <c r="D766" s="87"/>
      <c r="F766" s="14"/>
      <c r="G766" s="14"/>
      <c r="H766" s="14"/>
      <c r="I766" s="14"/>
      <c r="J766" s="14"/>
      <c r="K766" s="12"/>
    </row>
    <row r="767" ht="19.5" customHeight="1">
      <c r="A767" s="12"/>
      <c r="C767" s="12"/>
      <c r="D767" s="87"/>
      <c r="F767" s="14"/>
      <c r="G767" s="14"/>
      <c r="H767" s="14"/>
      <c r="I767" s="14"/>
      <c r="J767" s="14"/>
      <c r="K767" s="12"/>
    </row>
    <row r="768" ht="19.5" customHeight="1">
      <c r="A768" s="12"/>
      <c r="C768" s="12"/>
      <c r="D768" s="87"/>
      <c r="F768" s="14"/>
      <c r="G768" s="14"/>
      <c r="H768" s="14"/>
      <c r="I768" s="14"/>
      <c r="J768" s="14"/>
      <c r="K768" s="12"/>
    </row>
    <row r="769" ht="19.5" customHeight="1">
      <c r="A769" s="12"/>
      <c r="C769" s="12"/>
      <c r="D769" s="87"/>
      <c r="F769" s="14"/>
      <c r="G769" s="14"/>
      <c r="H769" s="14"/>
      <c r="I769" s="14"/>
      <c r="J769" s="14"/>
      <c r="K769" s="12"/>
    </row>
    <row r="770" ht="19.5" customHeight="1">
      <c r="A770" s="12"/>
      <c r="C770" s="12"/>
      <c r="D770" s="87"/>
      <c r="F770" s="14"/>
      <c r="G770" s="14"/>
      <c r="H770" s="14"/>
      <c r="I770" s="14"/>
      <c r="J770" s="14"/>
      <c r="K770" s="12"/>
    </row>
    <row r="771" ht="19.5" customHeight="1">
      <c r="A771" s="12"/>
      <c r="C771" s="12"/>
      <c r="D771" s="87"/>
      <c r="F771" s="14"/>
      <c r="G771" s="14"/>
      <c r="H771" s="14"/>
      <c r="I771" s="14"/>
      <c r="J771" s="14"/>
      <c r="K771" s="12"/>
    </row>
    <row r="772" ht="19.5" customHeight="1">
      <c r="A772" s="12"/>
      <c r="C772" s="12"/>
      <c r="D772" s="87"/>
      <c r="F772" s="14"/>
      <c r="G772" s="14"/>
      <c r="H772" s="14"/>
      <c r="I772" s="14"/>
      <c r="J772" s="14"/>
      <c r="K772" s="12"/>
    </row>
    <row r="773" ht="19.5" customHeight="1">
      <c r="A773" s="12"/>
      <c r="C773" s="12"/>
      <c r="D773" s="87"/>
      <c r="F773" s="14"/>
      <c r="G773" s="14"/>
      <c r="H773" s="14"/>
      <c r="I773" s="14"/>
      <c r="J773" s="14"/>
      <c r="K773" s="12"/>
    </row>
    <row r="774" ht="19.5" customHeight="1">
      <c r="A774" s="12"/>
      <c r="C774" s="12"/>
      <c r="D774" s="87"/>
      <c r="F774" s="14"/>
      <c r="G774" s="14"/>
      <c r="H774" s="14"/>
      <c r="I774" s="14"/>
      <c r="J774" s="14"/>
      <c r="K774" s="12"/>
    </row>
    <row r="775" ht="19.5" customHeight="1">
      <c r="A775" s="12"/>
      <c r="C775" s="12"/>
      <c r="D775" s="87"/>
      <c r="F775" s="14"/>
      <c r="G775" s="14"/>
      <c r="H775" s="14"/>
      <c r="I775" s="14"/>
      <c r="J775" s="14"/>
      <c r="K775" s="12"/>
    </row>
    <row r="776" ht="19.5" customHeight="1">
      <c r="A776" s="12"/>
      <c r="C776" s="12"/>
      <c r="D776" s="87"/>
      <c r="F776" s="14"/>
      <c r="G776" s="14"/>
      <c r="H776" s="14"/>
      <c r="I776" s="14"/>
      <c r="J776" s="14"/>
      <c r="K776" s="12"/>
    </row>
    <row r="777" ht="19.5" customHeight="1">
      <c r="A777" s="12"/>
      <c r="C777" s="12"/>
      <c r="D777" s="87"/>
      <c r="F777" s="14"/>
      <c r="G777" s="14"/>
      <c r="H777" s="14"/>
      <c r="I777" s="14"/>
      <c r="J777" s="14"/>
      <c r="K777" s="12"/>
    </row>
    <row r="778" ht="19.5" customHeight="1">
      <c r="A778" s="12"/>
      <c r="C778" s="12"/>
      <c r="D778" s="87"/>
      <c r="F778" s="14"/>
      <c r="G778" s="14"/>
      <c r="H778" s="14"/>
      <c r="I778" s="14"/>
      <c r="J778" s="14"/>
      <c r="K778" s="12"/>
    </row>
    <row r="779" ht="19.5" customHeight="1">
      <c r="A779" s="12"/>
      <c r="C779" s="12"/>
      <c r="D779" s="87"/>
      <c r="F779" s="14"/>
      <c r="G779" s="14"/>
      <c r="H779" s="14"/>
      <c r="I779" s="14"/>
      <c r="J779" s="14"/>
      <c r="K779" s="12"/>
    </row>
    <row r="780" ht="19.5" customHeight="1">
      <c r="A780" s="12"/>
      <c r="C780" s="12"/>
      <c r="D780" s="87"/>
      <c r="F780" s="14"/>
      <c r="G780" s="14"/>
      <c r="H780" s="14"/>
      <c r="I780" s="14"/>
      <c r="J780" s="14"/>
      <c r="K780" s="12"/>
    </row>
    <row r="781" ht="19.5" customHeight="1">
      <c r="A781" s="12"/>
      <c r="C781" s="12"/>
      <c r="D781" s="87"/>
      <c r="F781" s="14"/>
      <c r="G781" s="14"/>
      <c r="H781" s="14"/>
      <c r="I781" s="14"/>
      <c r="J781" s="14"/>
      <c r="K781" s="12"/>
    </row>
    <row r="782" ht="19.5" customHeight="1">
      <c r="A782" s="12"/>
      <c r="C782" s="12"/>
      <c r="D782" s="87"/>
      <c r="F782" s="14"/>
      <c r="G782" s="14"/>
      <c r="H782" s="14"/>
      <c r="I782" s="14"/>
      <c r="J782" s="14"/>
      <c r="K782" s="12"/>
    </row>
    <row r="783" ht="19.5" customHeight="1">
      <c r="A783" s="12"/>
      <c r="C783" s="12"/>
      <c r="D783" s="87"/>
      <c r="F783" s="14"/>
      <c r="G783" s="14"/>
      <c r="H783" s="14"/>
      <c r="I783" s="14"/>
      <c r="J783" s="14"/>
      <c r="K783" s="12"/>
    </row>
    <row r="784" ht="19.5" customHeight="1">
      <c r="A784" s="12"/>
      <c r="C784" s="12"/>
      <c r="D784" s="87"/>
      <c r="F784" s="14"/>
      <c r="G784" s="14"/>
      <c r="H784" s="14"/>
      <c r="I784" s="14"/>
      <c r="J784" s="14"/>
      <c r="K784" s="12"/>
    </row>
    <row r="785" ht="19.5" customHeight="1">
      <c r="A785" s="12"/>
      <c r="C785" s="12"/>
      <c r="D785" s="87"/>
      <c r="F785" s="14"/>
      <c r="G785" s="14"/>
      <c r="H785" s="14"/>
      <c r="I785" s="14"/>
      <c r="J785" s="14"/>
      <c r="K785" s="12"/>
    </row>
    <row r="786" ht="19.5" customHeight="1">
      <c r="A786" s="12"/>
      <c r="C786" s="12"/>
      <c r="D786" s="87"/>
      <c r="F786" s="14"/>
      <c r="G786" s="14"/>
      <c r="H786" s="14"/>
      <c r="I786" s="14"/>
      <c r="J786" s="14"/>
      <c r="K786" s="12"/>
    </row>
    <row r="787" ht="19.5" customHeight="1">
      <c r="A787" s="12"/>
      <c r="C787" s="12"/>
      <c r="D787" s="87"/>
      <c r="F787" s="14"/>
      <c r="G787" s="14"/>
      <c r="H787" s="14"/>
      <c r="I787" s="14"/>
      <c r="J787" s="14"/>
      <c r="K787" s="12"/>
    </row>
    <row r="788" ht="19.5" customHeight="1">
      <c r="A788" s="12"/>
      <c r="C788" s="12"/>
      <c r="D788" s="87"/>
      <c r="F788" s="14"/>
      <c r="G788" s="14"/>
      <c r="H788" s="14"/>
      <c r="I788" s="14"/>
      <c r="J788" s="14"/>
      <c r="K788" s="12"/>
    </row>
    <row r="789" ht="19.5" customHeight="1">
      <c r="A789" s="12"/>
      <c r="C789" s="12"/>
      <c r="D789" s="87"/>
      <c r="F789" s="14"/>
      <c r="G789" s="14"/>
      <c r="H789" s="14"/>
      <c r="I789" s="14"/>
      <c r="J789" s="14"/>
      <c r="K789" s="12"/>
    </row>
    <row r="790" ht="19.5" customHeight="1">
      <c r="A790" s="12"/>
      <c r="C790" s="12"/>
      <c r="D790" s="87"/>
      <c r="F790" s="14"/>
      <c r="G790" s="14"/>
      <c r="H790" s="14"/>
      <c r="I790" s="14"/>
      <c r="J790" s="14"/>
      <c r="K790" s="12"/>
    </row>
    <row r="791" ht="19.5" customHeight="1">
      <c r="A791" s="12"/>
      <c r="C791" s="12"/>
      <c r="D791" s="87"/>
      <c r="F791" s="14"/>
      <c r="G791" s="14"/>
      <c r="H791" s="14"/>
      <c r="I791" s="14"/>
      <c r="J791" s="14"/>
      <c r="K791" s="12"/>
    </row>
    <row r="792" ht="19.5" customHeight="1">
      <c r="A792" s="12"/>
      <c r="C792" s="12"/>
      <c r="D792" s="87"/>
      <c r="F792" s="14"/>
      <c r="G792" s="14"/>
      <c r="H792" s="14"/>
      <c r="I792" s="14"/>
      <c r="J792" s="14"/>
      <c r="K792" s="12"/>
    </row>
    <row r="793" ht="19.5" customHeight="1">
      <c r="A793" s="12"/>
      <c r="C793" s="12"/>
      <c r="D793" s="87"/>
      <c r="F793" s="14"/>
      <c r="G793" s="14"/>
      <c r="H793" s="14"/>
      <c r="I793" s="14"/>
      <c r="J793" s="14"/>
      <c r="K793" s="12"/>
    </row>
    <row r="794" ht="19.5" customHeight="1">
      <c r="A794" s="12"/>
      <c r="C794" s="12"/>
      <c r="D794" s="87"/>
      <c r="F794" s="14"/>
      <c r="G794" s="14"/>
      <c r="H794" s="14"/>
      <c r="I794" s="14"/>
      <c r="J794" s="14"/>
      <c r="K794" s="12"/>
    </row>
    <row r="795" ht="19.5" customHeight="1">
      <c r="A795" s="12"/>
      <c r="C795" s="12"/>
      <c r="D795" s="87"/>
      <c r="F795" s="14"/>
      <c r="G795" s="14"/>
      <c r="H795" s="14"/>
      <c r="I795" s="14"/>
      <c r="J795" s="14"/>
      <c r="K795" s="12"/>
    </row>
    <row r="796" ht="19.5" customHeight="1">
      <c r="A796" s="12"/>
      <c r="C796" s="12"/>
      <c r="D796" s="87"/>
      <c r="F796" s="14"/>
      <c r="G796" s="14"/>
      <c r="H796" s="14"/>
      <c r="I796" s="14"/>
      <c r="J796" s="14"/>
      <c r="K796" s="12"/>
    </row>
    <row r="797" ht="19.5" customHeight="1">
      <c r="A797" s="12"/>
      <c r="C797" s="12"/>
      <c r="D797" s="87"/>
      <c r="F797" s="14"/>
      <c r="G797" s="14"/>
      <c r="H797" s="14"/>
      <c r="I797" s="14"/>
      <c r="J797" s="14"/>
      <c r="K797" s="12"/>
    </row>
    <row r="798" ht="19.5" customHeight="1">
      <c r="A798" s="12"/>
      <c r="C798" s="12"/>
      <c r="D798" s="87"/>
      <c r="F798" s="14"/>
      <c r="G798" s="14"/>
      <c r="H798" s="14"/>
      <c r="I798" s="14"/>
      <c r="J798" s="14"/>
      <c r="K798" s="12"/>
    </row>
    <row r="799" ht="19.5" customHeight="1">
      <c r="A799" s="12"/>
      <c r="C799" s="12"/>
      <c r="D799" s="87"/>
      <c r="F799" s="14"/>
      <c r="G799" s="14"/>
      <c r="H799" s="14"/>
      <c r="I799" s="14"/>
      <c r="J799" s="14"/>
      <c r="K799" s="12"/>
    </row>
    <row r="800" ht="19.5" customHeight="1">
      <c r="A800" s="12"/>
      <c r="C800" s="12"/>
      <c r="D800" s="87"/>
      <c r="F800" s="14"/>
      <c r="G800" s="14"/>
      <c r="H800" s="14"/>
      <c r="I800" s="14"/>
      <c r="J800" s="14"/>
      <c r="K800" s="12"/>
    </row>
    <row r="801" ht="19.5" customHeight="1">
      <c r="A801" s="12"/>
      <c r="C801" s="12"/>
      <c r="D801" s="87"/>
      <c r="F801" s="14"/>
      <c r="G801" s="14"/>
      <c r="H801" s="14"/>
      <c r="I801" s="14"/>
      <c r="J801" s="14"/>
      <c r="K801" s="12"/>
    </row>
    <row r="802" ht="19.5" customHeight="1">
      <c r="A802" s="12"/>
      <c r="C802" s="12"/>
      <c r="D802" s="87"/>
      <c r="F802" s="14"/>
      <c r="G802" s="14"/>
      <c r="H802" s="14"/>
      <c r="I802" s="14"/>
      <c r="J802" s="14"/>
      <c r="K802" s="12"/>
    </row>
    <row r="803" ht="19.5" customHeight="1">
      <c r="A803" s="12"/>
      <c r="C803" s="12"/>
      <c r="D803" s="87"/>
      <c r="F803" s="14"/>
      <c r="G803" s="14"/>
      <c r="H803" s="14"/>
      <c r="I803" s="14"/>
      <c r="J803" s="14"/>
      <c r="K803" s="12"/>
    </row>
    <row r="804" ht="19.5" customHeight="1">
      <c r="A804" s="12"/>
      <c r="C804" s="12"/>
      <c r="D804" s="87"/>
      <c r="F804" s="14"/>
      <c r="G804" s="14"/>
      <c r="H804" s="14"/>
      <c r="I804" s="14"/>
      <c r="J804" s="14"/>
      <c r="K804" s="12"/>
    </row>
    <row r="805" ht="19.5" customHeight="1">
      <c r="A805" s="12"/>
      <c r="C805" s="12"/>
      <c r="D805" s="87"/>
      <c r="F805" s="14"/>
      <c r="G805" s="14"/>
      <c r="H805" s="14"/>
      <c r="I805" s="14"/>
      <c r="J805" s="14"/>
      <c r="K805" s="12"/>
    </row>
    <row r="806" ht="19.5" customHeight="1">
      <c r="A806" s="12"/>
      <c r="C806" s="12"/>
      <c r="D806" s="87"/>
      <c r="F806" s="14"/>
      <c r="G806" s="14"/>
      <c r="H806" s="14"/>
      <c r="I806" s="14"/>
      <c r="J806" s="14"/>
      <c r="K806" s="12"/>
    </row>
    <row r="807" ht="19.5" customHeight="1">
      <c r="A807" s="12"/>
      <c r="C807" s="12"/>
      <c r="D807" s="87"/>
      <c r="F807" s="14"/>
      <c r="G807" s="14"/>
      <c r="H807" s="14"/>
      <c r="I807" s="14"/>
      <c r="J807" s="14"/>
      <c r="K807" s="12"/>
    </row>
    <row r="808" ht="19.5" customHeight="1">
      <c r="A808" s="12"/>
      <c r="C808" s="12"/>
      <c r="D808" s="87"/>
      <c r="F808" s="14"/>
      <c r="G808" s="14"/>
      <c r="H808" s="14"/>
      <c r="I808" s="14"/>
      <c r="J808" s="14"/>
      <c r="K808" s="12"/>
    </row>
    <row r="809" ht="19.5" customHeight="1">
      <c r="A809" s="12"/>
      <c r="C809" s="12"/>
      <c r="D809" s="87"/>
      <c r="F809" s="14"/>
      <c r="G809" s="14"/>
      <c r="H809" s="14"/>
      <c r="I809" s="14"/>
      <c r="J809" s="14"/>
      <c r="K809" s="12"/>
    </row>
    <row r="810" ht="19.5" customHeight="1">
      <c r="A810" s="12"/>
      <c r="C810" s="12"/>
      <c r="D810" s="87"/>
      <c r="F810" s="14"/>
      <c r="G810" s="14"/>
      <c r="H810" s="14"/>
      <c r="I810" s="14"/>
      <c r="J810" s="14"/>
      <c r="K810" s="12"/>
    </row>
    <row r="811" ht="19.5" customHeight="1">
      <c r="A811" s="12"/>
      <c r="C811" s="12"/>
      <c r="D811" s="87"/>
      <c r="F811" s="14"/>
      <c r="G811" s="14"/>
      <c r="H811" s="14"/>
      <c r="I811" s="14"/>
      <c r="J811" s="14"/>
      <c r="K811" s="12"/>
    </row>
    <row r="812" ht="19.5" customHeight="1">
      <c r="A812" s="12"/>
      <c r="C812" s="12"/>
      <c r="D812" s="87"/>
      <c r="F812" s="14"/>
      <c r="G812" s="14"/>
      <c r="H812" s="14"/>
      <c r="I812" s="14"/>
      <c r="J812" s="14"/>
      <c r="K812" s="12"/>
    </row>
    <row r="813" ht="19.5" customHeight="1">
      <c r="A813" s="12"/>
      <c r="C813" s="12"/>
      <c r="D813" s="87"/>
      <c r="F813" s="14"/>
      <c r="G813" s="14"/>
      <c r="H813" s="14"/>
      <c r="I813" s="14"/>
      <c r="J813" s="14"/>
      <c r="K813" s="12"/>
    </row>
    <row r="814" ht="19.5" customHeight="1">
      <c r="A814" s="12"/>
      <c r="C814" s="12"/>
      <c r="D814" s="87"/>
      <c r="F814" s="14"/>
      <c r="G814" s="14"/>
      <c r="H814" s="14"/>
      <c r="I814" s="14"/>
      <c r="J814" s="14"/>
      <c r="K814" s="12"/>
    </row>
    <row r="815" ht="19.5" customHeight="1">
      <c r="A815" s="12"/>
      <c r="C815" s="12"/>
      <c r="D815" s="87"/>
      <c r="F815" s="14"/>
      <c r="G815" s="14"/>
      <c r="H815" s="14"/>
      <c r="I815" s="14"/>
      <c r="J815" s="14"/>
      <c r="K815" s="12"/>
    </row>
    <row r="816" ht="19.5" customHeight="1">
      <c r="A816" s="12"/>
      <c r="C816" s="12"/>
      <c r="D816" s="87"/>
      <c r="F816" s="14"/>
      <c r="G816" s="14"/>
      <c r="H816" s="14"/>
      <c r="I816" s="14"/>
      <c r="J816" s="14"/>
      <c r="K816" s="12"/>
    </row>
    <row r="817" ht="19.5" customHeight="1">
      <c r="A817" s="12"/>
      <c r="C817" s="12"/>
      <c r="D817" s="87"/>
      <c r="F817" s="14"/>
      <c r="G817" s="14"/>
      <c r="H817" s="14"/>
      <c r="I817" s="14"/>
      <c r="J817" s="14"/>
      <c r="K817" s="12"/>
    </row>
    <row r="818" ht="19.5" customHeight="1">
      <c r="A818" s="12"/>
      <c r="C818" s="12"/>
      <c r="D818" s="87"/>
      <c r="F818" s="14"/>
      <c r="G818" s="14"/>
      <c r="H818" s="14"/>
      <c r="I818" s="14"/>
      <c r="J818" s="14"/>
      <c r="K818" s="12"/>
    </row>
    <row r="819" ht="19.5" customHeight="1">
      <c r="A819" s="12"/>
      <c r="C819" s="12"/>
      <c r="D819" s="87"/>
      <c r="F819" s="14"/>
      <c r="G819" s="14"/>
      <c r="H819" s="14"/>
      <c r="I819" s="14"/>
      <c r="J819" s="14"/>
      <c r="K819" s="12"/>
    </row>
    <row r="820" ht="19.5" customHeight="1">
      <c r="A820" s="12"/>
      <c r="C820" s="12"/>
      <c r="D820" s="87"/>
      <c r="F820" s="14"/>
      <c r="G820" s="14"/>
      <c r="H820" s="14"/>
      <c r="I820" s="14"/>
      <c r="J820" s="14"/>
      <c r="K820" s="12"/>
    </row>
    <row r="821" ht="19.5" customHeight="1">
      <c r="A821" s="12"/>
      <c r="C821" s="12"/>
      <c r="D821" s="87"/>
      <c r="F821" s="14"/>
      <c r="G821" s="14"/>
      <c r="H821" s="14"/>
      <c r="I821" s="14"/>
      <c r="J821" s="14"/>
      <c r="K821" s="12"/>
    </row>
    <row r="822" ht="19.5" customHeight="1">
      <c r="A822" s="12"/>
      <c r="C822" s="12"/>
      <c r="D822" s="87"/>
      <c r="F822" s="14"/>
      <c r="G822" s="14"/>
      <c r="H822" s="14"/>
      <c r="I822" s="14"/>
      <c r="J822" s="14"/>
      <c r="K822" s="12"/>
    </row>
    <row r="823" ht="19.5" customHeight="1">
      <c r="A823" s="12"/>
      <c r="C823" s="12"/>
      <c r="D823" s="87"/>
      <c r="F823" s="14"/>
      <c r="G823" s="14"/>
      <c r="H823" s="14"/>
      <c r="I823" s="14"/>
      <c r="J823" s="14"/>
      <c r="K823" s="12"/>
    </row>
    <row r="824" ht="19.5" customHeight="1">
      <c r="A824" s="12"/>
      <c r="C824" s="12"/>
      <c r="D824" s="87"/>
      <c r="F824" s="14"/>
      <c r="G824" s="14"/>
      <c r="H824" s="14"/>
      <c r="I824" s="14"/>
      <c r="J824" s="14"/>
      <c r="K824" s="12"/>
    </row>
    <row r="825" ht="19.5" customHeight="1">
      <c r="A825" s="12"/>
      <c r="C825" s="12"/>
      <c r="D825" s="87"/>
      <c r="F825" s="14"/>
      <c r="G825" s="14"/>
      <c r="H825" s="14"/>
      <c r="I825" s="14"/>
      <c r="J825" s="14"/>
      <c r="K825" s="12"/>
    </row>
    <row r="826" ht="19.5" customHeight="1">
      <c r="A826" s="12"/>
      <c r="C826" s="12"/>
      <c r="D826" s="87"/>
      <c r="F826" s="14"/>
      <c r="G826" s="14"/>
      <c r="H826" s="14"/>
      <c r="I826" s="14"/>
      <c r="J826" s="14"/>
      <c r="K826" s="12"/>
    </row>
    <row r="827" ht="19.5" customHeight="1">
      <c r="A827" s="12"/>
      <c r="C827" s="12"/>
      <c r="D827" s="87"/>
      <c r="F827" s="14"/>
      <c r="G827" s="14"/>
      <c r="H827" s="14"/>
      <c r="I827" s="14"/>
      <c r="J827" s="14"/>
      <c r="K827" s="12"/>
    </row>
    <row r="828" ht="19.5" customHeight="1">
      <c r="A828" s="12"/>
      <c r="C828" s="12"/>
      <c r="D828" s="87"/>
      <c r="F828" s="14"/>
      <c r="G828" s="14"/>
      <c r="H828" s="14"/>
      <c r="I828" s="14"/>
      <c r="J828" s="14"/>
      <c r="K828" s="12"/>
    </row>
    <row r="829" ht="19.5" customHeight="1">
      <c r="A829" s="12"/>
      <c r="C829" s="12"/>
      <c r="D829" s="87"/>
      <c r="F829" s="14"/>
      <c r="G829" s="14"/>
      <c r="H829" s="14"/>
      <c r="I829" s="14"/>
      <c r="J829" s="14"/>
      <c r="K829" s="12"/>
    </row>
    <row r="830" ht="19.5" customHeight="1">
      <c r="A830" s="12"/>
      <c r="C830" s="12"/>
      <c r="D830" s="87"/>
      <c r="F830" s="14"/>
      <c r="G830" s="14"/>
      <c r="H830" s="14"/>
      <c r="I830" s="14"/>
      <c r="J830" s="14"/>
      <c r="K830" s="12"/>
    </row>
    <row r="831" ht="19.5" customHeight="1">
      <c r="A831" s="12"/>
      <c r="C831" s="12"/>
      <c r="D831" s="87"/>
      <c r="F831" s="14"/>
      <c r="G831" s="14"/>
      <c r="H831" s="14"/>
      <c r="I831" s="14"/>
      <c r="J831" s="14"/>
      <c r="K831" s="12"/>
    </row>
    <row r="832" ht="19.5" customHeight="1">
      <c r="A832" s="12"/>
      <c r="C832" s="12"/>
      <c r="D832" s="87"/>
      <c r="F832" s="14"/>
      <c r="G832" s="14"/>
      <c r="H832" s="14"/>
      <c r="I832" s="14"/>
      <c r="J832" s="14"/>
      <c r="K832" s="12"/>
    </row>
    <row r="833" ht="19.5" customHeight="1">
      <c r="A833" s="12"/>
      <c r="C833" s="12"/>
      <c r="D833" s="87"/>
      <c r="F833" s="14"/>
      <c r="G833" s="14"/>
      <c r="H833" s="14"/>
      <c r="I833" s="14"/>
      <c r="J833" s="14"/>
      <c r="K833" s="12"/>
    </row>
    <row r="834" ht="19.5" customHeight="1">
      <c r="A834" s="12"/>
      <c r="C834" s="12"/>
      <c r="D834" s="87"/>
      <c r="F834" s="14"/>
      <c r="G834" s="14"/>
      <c r="H834" s="14"/>
      <c r="I834" s="14"/>
      <c r="J834" s="14"/>
      <c r="K834" s="12"/>
    </row>
    <row r="835" ht="19.5" customHeight="1">
      <c r="A835" s="12"/>
      <c r="C835" s="12"/>
      <c r="D835" s="87"/>
      <c r="F835" s="14"/>
      <c r="G835" s="14"/>
      <c r="H835" s="14"/>
      <c r="I835" s="14"/>
      <c r="J835" s="14"/>
      <c r="K835" s="12"/>
    </row>
    <row r="836" ht="19.5" customHeight="1">
      <c r="A836" s="12"/>
      <c r="C836" s="12"/>
      <c r="D836" s="87"/>
      <c r="F836" s="14"/>
      <c r="G836" s="14"/>
      <c r="H836" s="14"/>
      <c r="I836" s="14"/>
      <c r="J836" s="14"/>
      <c r="K836" s="12"/>
    </row>
    <row r="837" ht="19.5" customHeight="1">
      <c r="A837" s="12"/>
      <c r="C837" s="12"/>
      <c r="D837" s="87"/>
      <c r="F837" s="14"/>
      <c r="G837" s="14"/>
      <c r="H837" s="14"/>
      <c r="I837" s="14"/>
      <c r="J837" s="14"/>
      <c r="K837" s="12"/>
    </row>
    <row r="838" ht="19.5" customHeight="1">
      <c r="A838" s="12"/>
      <c r="C838" s="12"/>
      <c r="D838" s="87"/>
      <c r="F838" s="14"/>
      <c r="G838" s="14"/>
      <c r="H838" s="14"/>
      <c r="I838" s="14"/>
      <c r="J838" s="14"/>
      <c r="K838" s="12"/>
    </row>
    <row r="839" ht="19.5" customHeight="1">
      <c r="A839" s="12"/>
      <c r="C839" s="12"/>
      <c r="D839" s="87"/>
      <c r="F839" s="14"/>
      <c r="G839" s="14"/>
      <c r="H839" s="14"/>
      <c r="I839" s="14"/>
      <c r="J839" s="14"/>
      <c r="K839" s="12"/>
    </row>
    <row r="840" ht="19.5" customHeight="1">
      <c r="A840" s="12"/>
      <c r="C840" s="12"/>
      <c r="D840" s="87"/>
      <c r="F840" s="14"/>
      <c r="G840" s="14"/>
      <c r="H840" s="14"/>
      <c r="I840" s="14"/>
      <c r="J840" s="14"/>
      <c r="K840" s="12"/>
    </row>
    <row r="841" ht="19.5" customHeight="1">
      <c r="A841" s="12"/>
      <c r="C841" s="12"/>
      <c r="D841" s="87"/>
      <c r="F841" s="14"/>
      <c r="G841" s="14"/>
      <c r="H841" s="14"/>
      <c r="I841" s="14"/>
      <c r="J841" s="14"/>
      <c r="K841" s="12"/>
    </row>
    <row r="842" ht="19.5" customHeight="1">
      <c r="A842" s="12"/>
      <c r="C842" s="12"/>
      <c r="D842" s="87"/>
      <c r="F842" s="14"/>
      <c r="G842" s="14"/>
      <c r="H842" s="14"/>
      <c r="I842" s="14"/>
      <c r="J842" s="14"/>
      <c r="K842" s="12"/>
    </row>
    <row r="843" ht="19.5" customHeight="1">
      <c r="A843" s="12"/>
      <c r="C843" s="12"/>
      <c r="D843" s="87"/>
      <c r="F843" s="14"/>
      <c r="G843" s="14"/>
      <c r="H843" s="14"/>
      <c r="I843" s="14"/>
      <c r="J843" s="14"/>
      <c r="K843" s="12"/>
    </row>
    <row r="844" ht="19.5" customHeight="1">
      <c r="A844" s="12"/>
      <c r="C844" s="12"/>
      <c r="D844" s="87"/>
      <c r="F844" s="14"/>
      <c r="G844" s="14"/>
      <c r="H844" s="14"/>
      <c r="I844" s="14"/>
      <c r="J844" s="14"/>
      <c r="K844" s="12"/>
    </row>
    <row r="845" ht="19.5" customHeight="1">
      <c r="A845" s="12"/>
      <c r="C845" s="12"/>
      <c r="D845" s="87"/>
      <c r="F845" s="14"/>
      <c r="G845" s="14"/>
      <c r="H845" s="14"/>
      <c r="I845" s="14"/>
      <c r="J845" s="14"/>
      <c r="K845" s="12"/>
    </row>
    <row r="846" ht="19.5" customHeight="1">
      <c r="A846" s="12"/>
      <c r="C846" s="12"/>
      <c r="D846" s="87"/>
      <c r="F846" s="14"/>
      <c r="G846" s="14"/>
      <c r="H846" s="14"/>
      <c r="I846" s="14"/>
      <c r="J846" s="14"/>
      <c r="K846" s="12"/>
    </row>
    <row r="847" ht="19.5" customHeight="1">
      <c r="A847" s="12"/>
      <c r="C847" s="12"/>
      <c r="D847" s="87"/>
      <c r="F847" s="14"/>
      <c r="G847" s="14"/>
      <c r="H847" s="14"/>
      <c r="I847" s="14"/>
      <c r="J847" s="14"/>
      <c r="K847" s="12"/>
    </row>
    <row r="848" ht="19.5" customHeight="1">
      <c r="A848" s="12"/>
      <c r="C848" s="12"/>
      <c r="D848" s="87"/>
      <c r="F848" s="14"/>
      <c r="G848" s="14"/>
      <c r="H848" s="14"/>
      <c r="I848" s="14"/>
      <c r="J848" s="14"/>
      <c r="K848" s="12"/>
    </row>
    <row r="849" ht="19.5" customHeight="1">
      <c r="A849" s="12"/>
      <c r="C849" s="12"/>
      <c r="D849" s="87"/>
      <c r="F849" s="14"/>
      <c r="G849" s="14"/>
      <c r="H849" s="14"/>
      <c r="I849" s="14"/>
      <c r="J849" s="14"/>
      <c r="K849" s="12"/>
    </row>
    <row r="850" ht="19.5" customHeight="1">
      <c r="A850" s="12"/>
      <c r="C850" s="12"/>
      <c r="D850" s="87"/>
      <c r="F850" s="14"/>
      <c r="G850" s="14"/>
      <c r="H850" s="14"/>
      <c r="I850" s="14"/>
      <c r="J850" s="14"/>
      <c r="K850" s="12"/>
    </row>
    <row r="851" ht="19.5" customHeight="1">
      <c r="A851" s="12"/>
      <c r="C851" s="12"/>
      <c r="D851" s="87"/>
      <c r="F851" s="14"/>
      <c r="G851" s="14"/>
      <c r="H851" s="14"/>
      <c r="I851" s="14"/>
      <c r="J851" s="14"/>
      <c r="K851" s="12"/>
    </row>
    <row r="852" ht="19.5" customHeight="1">
      <c r="A852" s="12"/>
      <c r="C852" s="12"/>
      <c r="D852" s="87"/>
      <c r="F852" s="14"/>
      <c r="G852" s="14"/>
      <c r="H852" s="14"/>
      <c r="I852" s="14"/>
      <c r="J852" s="14"/>
      <c r="K852" s="12"/>
    </row>
    <row r="853" ht="19.5" customHeight="1">
      <c r="A853" s="12"/>
      <c r="C853" s="12"/>
      <c r="D853" s="87"/>
      <c r="F853" s="14"/>
      <c r="G853" s="14"/>
      <c r="H853" s="14"/>
      <c r="I853" s="14"/>
      <c r="J853" s="14"/>
      <c r="K853" s="12"/>
    </row>
    <row r="854" ht="19.5" customHeight="1">
      <c r="A854" s="12"/>
      <c r="C854" s="12"/>
      <c r="D854" s="87"/>
      <c r="F854" s="14"/>
      <c r="G854" s="14"/>
      <c r="H854" s="14"/>
      <c r="I854" s="14"/>
      <c r="J854" s="14"/>
      <c r="K854" s="12"/>
    </row>
    <row r="855" ht="19.5" customHeight="1">
      <c r="A855" s="12"/>
      <c r="C855" s="12"/>
      <c r="D855" s="87"/>
      <c r="F855" s="14"/>
      <c r="G855" s="14"/>
      <c r="H855" s="14"/>
      <c r="I855" s="14"/>
      <c r="J855" s="14"/>
      <c r="K855" s="12"/>
    </row>
    <row r="856" ht="19.5" customHeight="1">
      <c r="A856" s="12"/>
      <c r="C856" s="12"/>
      <c r="D856" s="87"/>
      <c r="F856" s="14"/>
      <c r="G856" s="14"/>
      <c r="H856" s="14"/>
      <c r="I856" s="14"/>
      <c r="J856" s="14"/>
      <c r="K856" s="12"/>
    </row>
    <row r="857" ht="19.5" customHeight="1">
      <c r="A857" s="12"/>
      <c r="C857" s="12"/>
      <c r="D857" s="87"/>
      <c r="F857" s="14"/>
      <c r="G857" s="14"/>
      <c r="H857" s="14"/>
      <c r="I857" s="14"/>
      <c r="J857" s="14"/>
      <c r="K857" s="12"/>
    </row>
    <row r="858" ht="19.5" customHeight="1">
      <c r="A858" s="12"/>
      <c r="C858" s="12"/>
      <c r="D858" s="87"/>
      <c r="F858" s="14"/>
      <c r="G858" s="14"/>
      <c r="H858" s="14"/>
      <c r="I858" s="14"/>
      <c r="J858" s="14"/>
      <c r="K858" s="12"/>
    </row>
    <row r="859" ht="19.5" customHeight="1">
      <c r="A859" s="12"/>
      <c r="C859" s="12"/>
      <c r="D859" s="87"/>
      <c r="F859" s="14"/>
      <c r="G859" s="14"/>
      <c r="H859" s="14"/>
      <c r="I859" s="14"/>
      <c r="J859" s="14"/>
      <c r="K859" s="12"/>
    </row>
    <row r="860" ht="19.5" customHeight="1">
      <c r="A860" s="12"/>
      <c r="C860" s="12"/>
      <c r="D860" s="87"/>
      <c r="F860" s="14"/>
      <c r="G860" s="14"/>
      <c r="H860" s="14"/>
      <c r="I860" s="14"/>
      <c r="J860" s="14"/>
      <c r="K860" s="12"/>
    </row>
    <row r="861" ht="19.5" customHeight="1">
      <c r="A861" s="12"/>
      <c r="C861" s="12"/>
      <c r="D861" s="87"/>
      <c r="F861" s="14"/>
      <c r="G861" s="14"/>
      <c r="H861" s="14"/>
      <c r="I861" s="14"/>
      <c r="J861" s="14"/>
      <c r="K861" s="12"/>
    </row>
    <row r="862" ht="19.5" customHeight="1">
      <c r="A862" s="12"/>
      <c r="C862" s="12"/>
      <c r="D862" s="87"/>
      <c r="F862" s="14"/>
      <c r="G862" s="14"/>
      <c r="H862" s="14"/>
      <c r="I862" s="14"/>
      <c r="J862" s="14"/>
      <c r="K862" s="12"/>
    </row>
    <row r="863" ht="19.5" customHeight="1">
      <c r="A863" s="12"/>
      <c r="C863" s="12"/>
      <c r="D863" s="87"/>
      <c r="F863" s="14"/>
      <c r="G863" s="14"/>
      <c r="H863" s="14"/>
      <c r="I863" s="14"/>
      <c r="J863" s="14"/>
      <c r="K863" s="12"/>
    </row>
    <row r="864" ht="19.5" customHeight="1">
      <c r="A864" s="12"/>
      <c r="C864" s="12"/>
      <c r="D864" s="87"/>
      <c r="F864" s="14"/>
      <c r="G864" s="14"/>
      <c r="H864" s="14"/>
      <c r="I864" s="14"/>
      <c r="J864" s="14"/>
      <c r="K864" s="12"/>
    </row>
    <row r="865" ht="19.5" customHeight="1">
      <c r="A865" s="12"/>
      <c r="C865" s="12"/>
      <c r="D865" s="87"/>
      <c r="F865" s="14"/>
      <c r="G865" s="14"/>
      <c r="H865" s="14"/>
      <c r="I865" s="14"/>
      <c r="J865" s="14"/>
      <c r="K865" s="12"/>
    </row>
    <row r="866" ht="19.5" customHeight="1">
      <c r="A866" s="12"/>
      <c r="C866" s="12"/>
      <c r="D866" s="87"/>
      <c r="F866" s="14"/>
      <c r="G866" s="14"/>
      <c r="H866" s="14"/>
      <c r="I866" s="14"/>
      <c r="J866" s="14"/>
      <c r="K866" s="12"/>
    </row>
    <row r="867" ht="19.5" customHeight="1">
      <c r="A867" s="12"/>
      <c r="C867" s="12"/>
      <c r="D867" s="87"/>
      <c r="F867" s="14"/>
      <c r="G867" s="14"/>
      <c r="H867" s="14"/>
      <c r="I867" s="14"/>
      <c r="J867" s="14"/>
      <c r="K867" s="12"/>
    </row>
    <row r="868" ht="19.5" customHeight="1">
      <c r="A868" s="12"/>
      <c r="C868" s="12"/>
      <c r="D868" s="87"/>
      <c r="F868" s="14"/>
      <c r="G868" s="14"/>
      <c r="H868" s="14"/>
      <c r="I868" s="14"/>
      <c r="J868" s="14"/>
      <c r="K868" s="12"/>
    </row>
    <row r="869" ht="19.5" customHeight="1">
      <c r="A869" s="12"/>
      <c r="C869" s="12"/>
      <c r="D869" s="87"/>
      <c r="F869" s="14"/>
      <c r="G869" s="14"/>
      <c r="H869" s="14"/>
      <c r="I869" s="14"/>
      <c r="J869" s="14"/>
      <c r="K869" s="12"/>
    </row>
    <row r="870" ht="19.5" customHeight="1">
      <c r="A870" s="12"/>
      <c r="C870" s="12"/>
      <c r="D870" s="87"/>
      <c r="F870" s="14"/>
      <c r="G870" s="14"/>
      <c r="H870" s="14"/>
      <c r="I870" s="14"/>
      <c r="J870" s="14"/>
      <c r="K870" s="12"/>
    </row>
    <row r="871" ht="19.5" customHeight="1">
      <c r="A871" s="12"/>
      <c r="C871" s="12"/>
      <c r="D871" s="87"/>
      <c r="F871" s="14"/>
      <c r="G871" s="14"/>
      <c r="H871" s="14"/>
      <c r="I871" s="14"/>
      <c r="J871" s="14"/>
      <c r="K871" s="12"/>
    </row>
    <row r="872" ht="19.5" customHeight="1">
      <c r="A872" s="12"/>
      <c r="C872" s="12"/>
      <c r="D872" s="87"/>
      <c r="F872" s="14"/>
      <c r="G872" s="14"/>
      <c r="H872" s="14"/>
      <c r="I872" s="14"/>
      <c r="J872" s="14"/>
      <c r="K872" s="12"/>
    </row>
    <row r="873" ht="19.5" customHeight="1">
      <c r="A873" s="12"/>
      <c r="C873" s="12"/>
      <c r="D873" s="87"/>
      <c r="F873" s="14"/>
      <c r="G873" s="14"/>
      <c r="H873" s="14"/>
      <c r="I873" s="14"/>
      <c r="J873" s="14"/>
      <c r="K873" s="12"/>
    </row>
    <row r="874" ht="19.5" customHeight="1">
      <c r="A874" s="12"/>
      <c r="C874" s="12"/>
      <c r="D874" s="87"/>
      <c r="F874" s="14"/>
      <c r="G874" s="14"/>
      <c r="H874" s="14"/>
      <c r="I874" s="14"/>
      <c r="J874" s="14"/>
      <c r="K874" s="12"/>
    </row>
    <row r="875" ht="19.5" customHeight="1">
      <c r="A875" s="12"/>
      <c r="C875" s="12"/>
      <c r="D875" s="87"/>
      <c r="F875" s="14"/>
      <c r="G875" s="14"/>
      <c r="H875" s="14"/>
      <c r="I875" s="14"/>
      <c r="J875" s="14"/>
      <c r="K875" s="12"/>
    </row>
    <row r="876" ht="19.5" customHeight="1">
      <c r="A876" s="12"/>
      <c r="C876" s="12"/>
      <c r="D876" s="87"/>
      <c r="F876" s="14"/>
      <c r="G876" s="14"/>
      <c r="H876" s="14"/>
      <c r="I876" s="14"/>
      <c r="J876" s="14"/>
      <c r="K876" s="12"/>
    </row>
    <row r="877" ht="19.5" customHeight="1">
      <c r="A877" s="12"/>
      <c r="C877" s="12"/>
      <c r="D877" s="87"/>
      <c r="F877" s="14"/>
      <c r="G877" s="14"/>
      <c r="H877" s="14"/>
      <c r="I877" s="14"/>
      <c r="J877" s="14"/>
      <c r="K877" s="12"/>
    </row>
    <row r="878" ht="19.5" customHeight="1">
      <c r="A878" s="12"/>
      <c r="C878" s="12"/>
      <c r="D878" s="87"/>
      <c r="F878" s="14"/>
      <c r="G878" s="14"/>
      <c r="H878" s="14"/>
      <c r="I878" s="14"/>
      <c r="J878" s="14"/>
      <c r="K878" s="12"/>
    </row>
    <row r="879" ht="19.5" customHeight="1">
      <c r="A879" s="12"/>
      <c r="C879" s="12"/>
      <c r="D879" s="87"/>
      <c r="F879" s="14"/>
      <c r="G879" s="14"/>
      <c r="H879" s="14"/>
      <c r="I879" s="14"/>
      <c r="J879" s="14"/>
      <c r="K879" s="12"/>
    </row>
    <row r="880" ht="19.5" customHeight="1">
      <c r="A880" s="12"/>
      <c r="C880" s="12"/>
      <c r="D880" s="87"/>
      <c r="F880" s="14"/>
      <c r="G880" s="14"/>
      <c r="H880" s="14"/>
      <c r="I880" s="14"/>
      <c r="J880" s="14"/>
      <c r="K880" s="12"/>
    </row>
    <row r="881" ht="19.5" customHeight="1">
      <c r="A881" s="12"/>
      <c r="C881" s="12"/>
      <c r="D881" s="87"/>
      <c r="F881" s="14"/>
      <c r="G881" s="14"/>
      <c r="H881" s="14"/>
      <c r="I881" s="14"/>
      <c r="J881" s="14"/>
      <c r="K881" s="12"/>
    </row>
    <row r="882" ht="19.5" customHeight="1">
      <c r="A882" s="12"/>
      <c r="C882" s="12"/>
      <c r="D882" s="87"/>
      <c r="F882" s="14"/>
      <c r="G882" s="14"/>
      <c r="H882" s="14"/>
      <c r="I882" s="14"/>
      <c r="J882" s="14"/>
      <c r="K882" s="12"/>
    </row>
    <row r="883" ht="19.5" customHeight="1">
      <c r="A883" s="12"/>
      <c r="C883" s="12"/>
      <c r="D883" s="87"/>
      <c r="F883" s="14"/>
      <c r="G883" s="14"/>
      <c r="H883" s="14"/>
      <c r="I883" s="14"/>
      <c r="J883" s="14"/>
      <c r="K883" s="12"/>
    </row>
    <row r="884" ht="19.5" customHeight="1">
      <c r="A884" s="12"/>
      <c r="C884" s="12"/>
      <c r="D884" s="87"/>
      <c r="F884" s="14"/>
      <c r="G884" s="14"/>
      <c r="H884" s="14"/>
      <c r="I884" s="14"/>
      <c r="J884" s="14"/>
      <c r="K884" s="12"/>
    </row>
    <row r="885" ht="19.5" customHeight="1">
      <c r="A885" s="12"/>
      <c r="C885" s="12"/>
      <c r="D885" s="87"/>
      <c r="F885" s="14"/>
      <c r="G885" s="14"/>
      <c r="H885" s="14"/>
      <c r="I885" s="14"/>
      <c r="J885" s="14"/>
      <c r="K885" s="12"/>
    </row>
    <row r="886" ht="19.5" customHeight="1">
      <c r="A886" s="12"/>
      <c r="C886" s="12"/>
      <c r="D886" s="87"/>
      <c r="F886" s="14"/>
      <c r="G886" s="14"/>
      <c r="H886" s="14"/>
      <c r="I886" s="14"/>
      <c r="J886" s="14"/>
      <c r="K886" s="12"/>
    </row>
    <row r="887" ht="19.5" customHeight="1">
      <c r="A887" s="12"/>
      <c r="C887" s="12"/>
      <c r="D887" s="87"/>
      <c r="F887" s="14"/>
      <c r="G887" s="14"/>
      <c r="H887" s="14"/>
      <c r="I887" s="14"/>
      <c r="J887" s="14"/>
      <c r="K887" s="12"/>
    </row>
    <row r="888" ht="19.5" customHeight="1">
      <c r="A888" s="12"/>
      <c r="C888" s="12"/>
      <c r="D888" s="87"/>
      <c r="F888" s="14"/>
      <c r="G888" s="14"/>
      <c r="H888" s="14"/>
      <c r="I888" s="14"/>
      <c r="J888" s="14"/>
      <c r="K888" s="12"/>
    </row>
    <row r="889" ht="19.5" customHeight="1">
      <c r="A889" s="12"/>
      <c r="C889" s="12"/>
      <c r="D889" s="87"/>
      <c r="F889" s="14"/>
      <c r="G889" s="14"/>
      <c r="H889" s="14"/>
      <c r="I889" s="14"/>
      <c r="J889" s="14"/>
      <c r="K889" s="12"/>
    </row>
    <row r="890" ht="19.5" customHeight="1">
      <c r="A890" s="12"/>
      <c r="C890" s="12"/>
      <c r="D890" s="87"/>
      <c r="F890" s="14"/>
      <c r="G890" s="14"/>
      <c r="H890" s="14"/>
      <c r="I890" s="14"/>
      <c r="J890" s="14"/>
      <c r="K890" s="12"/>
    </row>
    <row r="891" ht="19.5" customHeight="1">
      <c r="A891" s="12"/>
      <c r="C891" s="12"/>
      <c r="D891" s="87"/>
      <c r="F891" s="14"/>
      <c r="G891" s="14"/>
      <c r="H891" s="14"/>
      <c r="I891" s="14"/>
      <c r="J891" s="14"/>
      <c r="K891" s="12"/>
    </row>
    <row r="892" ht="19.5" customHeight="1">
      <c r="A892" s="12"/>
      <c r="C892" s="12"/>
      <c r="D892" s="87"/>
      <c r="F892" s="14"/>
      <c r="G892" s="14"/>
      <c r="H892" s="14"/>
      <c r="I892" s="14"/>
      <c r="J892" s="14"/>
      <c r="K892" s="12"/>
    </row>
    <row r="893" ht="19.5" customHeight="1">
      <c r="A893" s="12"/>
      <c r="C893" s="12"/>
      <c r="D893" s="87"/>
      <c r="F893" s="14"/>
      <c r="G893" s="14"/>
      <c r="H893" s="14"/>
      <c r="I893" s="14"/>
      <c r="J893" s="14"/>
      <c r="K893" s="12"/>
    </row>
    <row r="894" ht="19.5" customHeight="1">
      <c r="A894" s="12"/>
      <c r="C894" s="12"/>
      <c r="D894" s="87"/>
      <c r="F894" s="14"/>
      <c r="G894" s="14"/>
      <c r="H894" s="14"/>
      <c r="I894" s="14"/>
      <c r="J894" s="14"/>
      <c r="K894" s="12"/>
    </row>
    <row r="895" ht="19.5" customHeight="1">
      <c r="A895" s="12"/>
      <c r="C895" s="12"/>
      <c r="D895" s="87"/>
      <c r="F895" s="14"/>
      <c r="G895" s="14"/>
      <c r="H895" s="14"/>
      <c r="I895" s="14"/>
      <c r="J895" s="14"/>
      <c r="K895" s="12"/>
    </row>
    <row r="896" ht="19.5" customHeight="1">
      <c r="A896" s="12"/>
      <c r="C896" s="12"/>
      <c r="D896" s="87"/>
      <c r="F896" s="14"/>
      <c r="G896" s="14"/>
      <c r="H896" s="14"/>
      <c r="I896" s="14"/>
      <c r="J896" s="14"/>
      <c r="K896" s="12"/>
    </row>
    <row r="897" ht="19.5" customHeight="1">
      <c r="A897" s="12"/>
      <c r="C897" s="12"/>
      <c r="D897" s="87"/>
      <c r="F897" s="14"/>
      <c r="G897" s="14"/>
      <c r="H897" s="14"/>
      <c r="I897" s="14"/>
      <c r="J897" s="14"/>
      <c r="K897" s="12"/>
    </row>
    <row r="898" ht="19.5" customHeight="1">
      <c r="A898" s="12"/>
      <c r="C898" s="12"/>
      <c r="D898" s="87"/>
      <c r="F898" s="14"/>
      <c r="G898" s="14"/>
      <c r="H898" s="14"/>
      <c r="I898" s="14"/>
      <c r="J898" s="14"/>
      <c r="K898" s="12"/>
    </row>
    <row r="899" ht="19.5" customHeight="1">
      <c r="A899" s="12"/>
      <c r="C899" s="12"/>
      <c r="D899" s="87"/>
      <c r="F899" s="14"/>
      <c r="G899" s="14"/>
      <c r="H899" s="14"/>
      <c r="I899" s="14"/>
      <c r="J899" s="14"/>
      <c r="K899" s="12"/>
    </row>
    <row r="900" ht="19.5" customHeight="1">
      <c r="A900" s="12"/>
      <c r="C900" s="12"/>
      <c r="D900" s="87"/>
      <c r="F900" s="14"/>
      <c r="G900" s="14"/>
      <c r="H900" s="14"/>
      <c r="I900" s="14"/>
      <c r="J900" s="14"/>
      <c r="K900" s="12"/>
    </row>
    <row r="901" ht="19.5" customHeight="1">
      <c r="A901" s="12"/>
      <c r="C901" s="12"/>
      <c r="D901" s="87"/>
      <c r="F901" s="14"/>
      <c r="G901" s="14"/>
      <c r="H901" s="14"/>
      <c r="I901" s="14"/>
      <c r="J901" s="14"/>
      <c r="K901" s="12"/>
    </row>
    <row r="902" ht="19.5" customHeight="1">
      <c r="A902" s="12"/>
      <c r="C902" s="12"/>
      <c r="D902" s="87"/>
      <c r="F902" s="14"/>
      <c r="G902" s="14"/>
      <c r="H902" s="14"/>
      <c r="I902" s="14"/>
      <c r="J902" s="14"/>
      <c r="K902" s="12"/>
    </row>
    <row r="903" ht="19.5" customHeight="1">
      <c r="A903" s="12"/>
      <c r="C903" s="12"/>
      <c r="D903" s="87"/>
      <c r="F903" s="14"/>
      <c r="G903" s="14"/>
      <c r="H903" s="14"/>
      <c r="I903" s="14"/>
      <c r="J903" s="14"/>
      <c r="K903" s="12"/>
    </row>
    <row r="904" ht="19.5" customHeight="1">
      <c r="A904" s="12"/>
      <c r="C904" s="12"/>
      <c r="D904" s="87"/>
      <c r="F904" s="14"/>
      <c r="G904" s="14"/>
      <c r="H904" s="14"/>
      <c r="I904" s="14"/>
      <c r="J904" s="14"/>
      <c r="K904" s="12"/>
    </row>
    <row r="905" ht="19.5" customHeight="1">
      <c r="A905" s="12"/>
      <c r="C905" s="12"/>
      <c r="D905" s="87"/>
      <c r="F905" s="14"/>
      <c r="G905" s="14"/>
      <c r="H905" s="14"/>
      <c r="I905" s="14"/>
      <c r="J905" s="14"/>
      <c r="K905" s="12"/>
    </row>
    <row r="906" ht="19.5" customHeight="1">
      <c r="A906" s="12"/>
      <c r="C906" s="12"/>
      <c r="D906" s="87"/>
      <c r="F906" s="14"/>
      <c r="G906" s="14"/>
      <c r="H906" s="14"/>
      <c r="I906" s="14"/>
      <c r="J906" s="14"/>
      <c r="K906" s="12"/>
    </row>
    <row r="907" ht="19.5" customHeight="1">
      <c r="A907" s="12"/>
      <c r="C907" s="12"/>
      <c r="D907" s="87"/>
      <c r="F907" s="14"/>
      <c r="G907" s="14"/>
      <c r="H907" s="14"/>
      <c r="I907" s="14"/>
      <c r="J907" s="14"/>
      <c r="K907" s="12"/>
    </row>
    <row r="908" ht="19.5" customHeight="1">
      <c r="A908" s="12"/>
      <c r="C908" s="12"/>
      <c r="D908" s="87"/>
      <c r="F908" s="14"/>
      <c r="G908" s="14"/>
      <c r="H908" s="14"/>
      <c r="I908" s="14"/>
      <c r="J908" s="14"/>
      <c r="K908" s="12"/>
    </row>
    <row r="909" ht="19.5" customHeight="1">
      <c r="A909" s="12"/>
      <c r="C909" s="12"/>
      <c r="D909" s="87"/>
      <c r="F909" s="14"/>
      <c r="G909" s="14"/>
      <c r="H909" s="14"/>
      <c r="I909" s="14"/>
      <c r="J909" s="14"/>
      <c r="K909" s="12"/>
    </row>
    <row r="910" ht="19.5" customHeight="1">
      <c r="A910" s="12"/>
      <c r="C910" s="12"/>
      <c r="D910" s="87"/>
      <c r="F910" s="14"/>
      <c r="G910" s="14"/>
      <c r="H910" s="14"/>
      <c r="I910" s="14"/>
      <c r="J910" s="14"/>
      <c r="K910" s="12"/>
    </row>
    <row r="911" ht="19.5" customHeight="1">
      <c r="A911" s="12"/>
      <c r="C911" s="12"/>
      <c r="D911" s="87"/>
      <c r="F911" s="14"/>
      <c r="G911" s="14"/>
      <c r="H911" s="14"/>
      <c r="I911" s="14"/>
      <c r="J911" s="14"/>
      <c r="K911" s="12"/>
    </row>
    <row r="912" ht="19.5" customHeight="1">
      <c r="A912" s="12"/>
      <c r="C912" s="12"/>
      <c r="D912" s="87"/>
      <c r="F912" s="14"/>
      <c r="G912" s="14"/>
      <c r="H912" s="14"/>
      <c r="I912" s="14"/>
      <c r="J912" s="14"/>
      <c r="K912" s="12"/>
    </row>
    <row r="913" ht="19.5" customHeight="1">
      <c r="A913" s="12"/>
      <c r="C913" s="12"/>
      <c r="D913" s="87"/>
      <c r="F913" s="14"/>
      <c r="G913" s="14"/>
      <c r="H913" s="14"/>
      <c r="I913" s="14"/>
      <c r="J913" s="14"/>
      <c r="K913" s="12"/>
    </row>
    <row r="914" ht="19.5" customHeight="1">
      <c r="A914" s="12"/>
      <c r="C914" s="12"/>
      <c r="D914" s="87"/>
      <c r="F914" s="14"/>
      <c r="G914" s="14"/>
      <c r="H914" s="14"/>
      <c r="I914" s="14"/>
      <c r="J914" s="14"/>
      <c r="K914" s="12"/>
    </row>
    <row r="915" ht="19.5" customHeight="1">
      <c r="A915" s="12"/>
      <c r="C915" s="12"/>
      <c r="D915" s="87"/>
      <c r="F915" s="14"/>
      <c r="G915" s="14"/>
      <c r="H915" s="14"/>
      <c r="I915" s="14"/>
      <c r="J915" s="14"/>
      <c r="K915" s="12"/>
    </row>
    <row r="916" ht="19.5" customHeight="1">
      <c r="A916" s="12"/>
      <c r="C916" s="12"/>
      <c r="D916" s="87"/>
      <c r="F916" s="14"/>
      <c r="G916" s="14"/>
      <c r="H916" s="14"/>
      <c r="I916" s="14"/>
      <c r="J916" s="14"/>
      <c r="K916" s="12"/>
    </row>
    <row r="917" ht="19.5" customHeight="1">
      <c r="A917" s="12"/>
      <c r="C917" s="12"/>
      <c r="D917" s="87"/>
      <c r="F917" s="14"/>
      <c r="G917" s="14"/>
      <c r="H917" s="14"/>
      <c r="I917" s="14"/>
      <c r="J917" s="14"/>
      <c r="K917" s="12"/>
    </row>
    <row r="918" ht="19.5" customHeight="1">
      <c r="A918" s="12"/>
      <c r="C918" s="12"/>
      <c r="D918" s="87"/>
      <c r="F918" s="14"/>
      <c r="G918" s="14"/>
      <c r="H918" s="14"/>
      <c r="I918" s="14"/>
      <c r="J918" s="14"/>
      <c r="K918" s="12"/>
    </row>
    <row r="919" ht="19.5" customHeight="1">
      <c r="A919" s="12"/>
      <c r="C919" s="12"/>
      <c r="D919" s="87"/>
      <c r="F919" s="14"/>
      <c r="G919" s="14"/>
      <c r="H919" s="14"/>
      <c r="I919" s="14"/>
      <c r="J919" s="14"/>
      <c r="K919" s="12"/>
    </row>
    <row r="920" ht="19.5" customHeight="1">
      <c r="A920" s="12"/>
      <c r="C920" s="12"/>
      <c r="D920" s="87"/>
      <c r="F920" s="14"/>
      <c r="G920" s="14"/>
      <c r="H920" s="14"/>
      <c r="I920" s="14"/>
      <c r="J920" s="14"/>
      <c r="K920" s="12"/>
    </row>
    <row r="921" ht="19.5" customHeight="1">
      <c r="A921" s="12"/>
      <c r="C921" s="12"/>
      <c r="D921" s="87"/>
      <c r="F921" s="14"/>
      <c r="G921" s="14"/>
      <c r="H921" s="14"/>
      <c r="I921" s="14"/>
      <c r="J921" s="14"/>
      <c r="K921" s="12"/>
    </row>
    <row r="922" ht="19.5" customHeight="1">
      <c r="A922" s="12"/>
      <c r="C922" s="12"/>
      <c r="D922" s="87"/>
      <c r="F922" s="14"/>
      <c r="G922" s="14"/>
      <c r="H922" s="14"/>
      <c r="I922" s="14"/>
      <c r="J922" s="14"/>
      <c r="K922" s="12"/>
    </row>
    <row r="923" ht="19.5" customHeight="1">
      <c r="A923" s="12"/>
      <c r="C923" s="12"/>
      <c r="D923" s="87"/>
      <c r="F923" s="14"/>
      <c r="G923" s="14"/>
      <c r="H923" s="14"/>
      <c r="I923" s="14"/>
      <c r="J923" s="14"/>
      <c r="K923" s="12"/>
    </row>
    <row r="924" ht="19.5" customHeight="1">
      <c r="A924" s="12"/>
      <c r="C924" s="12"/>
      <c r="D924" s="87"/>
      <c r="F924" s="14"/>
      <c r="G924" s="14"/>
      <c r="H924" s="14"/>
      <c r="I924" s="14"/>
      <c r="J924" s="14"/>
      <c r="K924" s="12"/>
    </row>
    <row r="925" ht="19.5" customHeight="1">
      <c r="A925" s="12"/>
      <c r="C925" s="12"/>
      <c r="D925" s="87"/>
      <c r="F925" s="14"/>
      <c r="G925" s="14"/>
      <c r="H925" s="14"/>
      <c r="I925" s="14"/>
      <c r="J925" s="14"/>
      <c r="K925" s="12"/>
    </row>
    <row r="926" ht="19.5" customHeight="1">
      <c r="A926" s="12"/>
      <c r="C926" s="12"/>
      <c r="D926" s="87"/>
      <c r="F926" s="14"/>
      <c r="G926" s="14"/>
      <c r="H926" s="14"/>
      <c r="I926" s="14"/>
      <c r="J926" s="14"/>
      <c r="K926" s="12"/>
    </row>
    <row r="927" ht="19.5" customHeight="1">
      <c r="A927" s="12"/>
      <c r="C927" s="12"/>
      <c r="D927" s="87"/>
      <c r="F927" s="14"/>
      <c r="G927" s="14"/>
      <c r="H927" s="14"/>
      <c r="I927" s="14"/>
      <c r="J927" s="14"/>
      <c r="K927" s="12"/>
    </row>
    <row r="928" ht="19.5" customHeight="1">
      <c r="A928" s="12"/>
      <c r="C928" s="12"/>
      <c r="D928" s="87"/>
      <c r="F928" s="14"/>
      <c r="G928" s="14"/>
      <c r="H928" s="14"/>
      <c r="I928" s="14"/>
      <c r="J928" s="14"/>
      <c r="K928" s="12"/>
    </row>
    <row r="929" ht="19.5" customHeight="1">
      <c r="A929" s="12"/>
      <c r="C929" s="12"/>
      <c r="D929" s="87"/>
      <c r="F929" s="14"/>
      <c r="G929" s="14"/>
      <c r="H929" s="14"/>
      <c r="I929" s="14"/>
      <c r="J929" s="14"/>
      <c r="K929" s="12"/>
    </row>
    <row r="930" ht="19.5" customHeight="1">
      <c r="A930" s="12"/>
      <c r="C930" s="12"/>
      <c r="D930" s="87"/>
      <c r="F930" s="14"/>
      <c r="G930" s="14"/>
      <c r="H930" s="14"/>
      <c r="I930" s="14"/>
      <c r="J930" s="14"/>
      <c r="K930" s="12"/>
    </row>
    <row r="931" ht="19.5" customHeight="1">
      <c r="A931" s="12"/>
      <c r="C931" s="12"/>
      <c r="D931" s="87"/>
      <c r="F931" s="14"/>
      <c r="G931" s="14"/>
      <c r="H931" s="14"/>
      <c r="I931" s="14"/>
      <c r="J931" s="14"/>
      <c r="K931" s="12"/>
    </row>
    <row r="932" ht="19.5" customHeight="1">
      <c r="A932" s="12"/>
      <c r="C932" s="12"/>
      <c r="D932" s="87"/>
      <c r="F932" s="14"/>
      <c r="G932" s="14"/>
      <c r="H932" s="14"/>
      <c r="I932" s="14"/>
      <c r="J932" s="14"/>
      <c r="K932" s="12"/>
    </row>
    <row r="933" ht="19.5" customHeight="1">
      <c r="A933" s="12"/>
      <c r="C933" s="12"/>
      <c r="D933" s="87"/>
      <c r="F933" s="14"/>
      <c r="G933" s="14"/>
      <c r="H933" s="14"/>
      <c r="I933" s="14"/>
      <c r="J933" s="14"/>
      <c r="K933" s="12"/>
    </row>
    <row r="934" ht="19.5" customHeight="1">
      <c r="A934" s="12"/>
      <c r="C934" s="12"/>
      <c r="D934" s="87"/>
      <c r="F934" s="14"/>
      <c r="G934" s="14"/>
      <c r="H934" s="14"/>
      <c r="I934" s="14"/>
      <c r="J934" s="14"/>
      <c r="K934" s="12"/>
    </row>
    <row r="935" ht="19.5" customHeight="1">
      <c r="A935" s="12"/>
      <c r="C935" s="12"/>
      <c r="D935" s="87"/>
      <c r="F935" s="14"/>
      <c r="G935" s="14"/>
      <c r="H935" s="14"/>
      <c r="I935" s="14"/>
      <c r="J935" s="14"/>
      <c r="K935" s="12"/>
    </row>
    <row r="936" ht="19.5" customHeight="1">
      <c r="A936" s="12"/>
      <c r="C936" s="12"/>
      <c r="D936" s="87"/>
      <c r="F936" s="14"/>
      <c r="G936" s="14"/>
      <c r="H936" s="14"/>
      <c r="I936" s="14"/>
      <c r="J936" s="14"/>
      <c r="K936" s="12"/>
    </row>
    <row r="937" ht="19.5" customHeight="1">
      <c r="A937" s="12"/>
      <c r="C937" s="12"/>
      <c r="D937" s="87"/>
      <c r="F937" s="14"/>
      <c r="G937" s="14"/>
      <c r="H937" s="14"/>
      <c r="I937" s="14"/>
      <c r="J937" s="14"/>
      <c r="K937" s="12"/>
    </row>
    <row r="938" ht="19.5" customHeight="1">
      <c r="A938" s="12"/>
      <c r="C938" s="12"/>
      <c r="D938" s="87"/>
      <c r="F938" s="14"/>
      <c r="G938" s="14"/>
      <c r="H938" s="14"/>
      <c r="I938" s="14"/>
      <c r="J938" s="14"/>
      <c r="K938" s="12"/>
    </row>
    <row r="939" ht="19.5" customHeight="1">
      <c r="A939" s="12"/>
      <c r="C939" s="12"/>
      <c r="D939" s="87"/>
      <c r="F939" s="14"/>
      <c r="G939" s="14"/>
      <c r="H939" s="14"/>
      <c r="I939" s="14"/>
      <c r="J939" s="14"/>
      <c r="K939" s="12"/>
    </row>
    <row r="940" ht="19.5" customHeight="1">
      <c r="A940" s="12"/>
      <c r="C940" s="12"/>
      <c r="D940" s="87"/>
      <c r="F940" s="14"/>
      <c r="G940" s="14"/>
      <c r="H940" s="14"/>
      <c r="I940" s="14"/>
      <c r="J940" s="14"/>
      <c r="K940" s="12"/>
    </row>
    <row r="941" ht="19.5" customHeight="1">
      <c r="A941" s="12"/>
      <c r="C941" s="12"/>
      <c r="D941" s="87"/>
      <c r="F941" s="14"/>
      <c r="G941" s="14"/>
      <c r="H941" s="14"/>
      <c r="I941" s="14"/>
      <c r="J941" s="14"/>
      <c r="K941" s="12"/>
    </row>
    <row r="942" ht="19.5" customHeight="1">
      <c r="A942" s="12"/>
      <c r="C942" s="12"/>
      <c r="D942" s="87"/>
      <c r="F942" s="14"/>
      <c r="G942" s="14"/>
      <c r="H942" s="14"/>
      <c r="I942" s="14"/>
      <c r="J942" s="14"/>
      <c r="K942" s="12"/>
    </row>
    <row r="943" ht="19.5" customHeight="1">
      <c r="A943" s="12"/>
      <c r="C943" s="12"/>
      <c r="D943" s="87"/>
      <c r="F943" s="14"/>
      <c r="G943" s="14"/>
      <c r="H943" s="14"/>
      <c r="I943" s="14"/>
      <c r="J943" s="14"/>
      <c r="K943" s="12"/>
    </row>
    <row r="944" ht="19.5" customHeight="1">
      <c r="A944" s="12"/>
      <c r="C944" s="12"/>
      <c r="D944" s="87"/>
      <c r="F944" s="14"/>
      <c r="G944" s="14"/>
      <c r="H944" s="14"/>
      <c r="I944" s="14"/>
      <c r="J944" s="14"/>
      <c r="K944" s="12"/>
    </row>
    <row r="945" ht="19.5" customHeight="1">
      <c r="A945" s="12"/>
      <c r="C945" s="12"/>
      <c r="D945" s="87"/>
      <c r="F945" s="14"/>
      <c r="G945" s="14"/>
      <c r="H945" s="14"/>
      <c r="I945" s="14"/>
      <c r="J945" s="14"/>
      <c r="K945" s="12"/>
    </row>
    <row r="946" ht="19.5" customHeight="1">
      <c r="A946" s="12"/>
      <c r="C946" s="12"/>
      <c r="D946" s="87"/>
      <c r="F946" s="14"/>
      <c r="G946" s="14"/>
      <c r="H946" s="14"/>
      <c r="I946" s="14"/>
      <c r="J946" s="14"/>
      <c r="K946" s="12"/>
    </row>
    <row r="947" ht="19.5" customHeight="1">
      <c r="A947" s="12"/>
      <c r="C947" s="12"/>
      <c r="D947" s="87"/>
      <c r="F947" s="14"/>
      <c r="G947" s="14"/>
      <c r="H947" s="14"/>
      <c r="I947" s="14"/>
      <c r="J947" s="14"/>
      <c r="K947" s="12"/>
    </row>
    <row r="948" ht="19.5" customHeight="1">
      <c r="A948" s="12"/>
      <c r="C948" s="12"/>
      <c r="D948" s="87"/>
      <c r="F948" s="14"/>
      <c r="G948" s="14"/>
      <c r="H948" s="14"/>
      <c r="I948" s="14"/>
      <c r="J948" s="14"/>
      <c r="K948" s="12"/>
    </row>
    <row r="949" ht="19.5" customHeight="1">
      <c r="A949" s="12"/>
      <c r="C949" s="12"/>
      <c r="D949" s="87"/>
      <c r="F949" s="14"/>
      <c r="G949" s="14"/>
      <c r="H949" s="14"/>
      <c r="I949" s="14"/>
      <c r="J949" s="14"/>
      <c r="K949" s="12"/>
    </row>
    <row r="950" ht="19.5" customHeight="1">
      <c r="A950" s="12"/>
      <c r="C950" s="12"/>
      <c r="D950" s="87"/>
      <c r="F950" s="14"/>
      <c r="G950" s="14"/>
      <c r="H950" s="14"/>
      <c r="I950" s="14"/>
      <c r="J950" s="14"/>
      <c r="K950" s="12"/>
    </row>
    <row r="951" ht="19.5" customHeight="1">
      <c r="A951" s="12"/>
      <c r="C951" s="12"/>
      <c r="D951" s="87"/>
      <c r="F951" s="14"/>
      <c r="G951" s="14"/>
      <c r="H951" s="14"/>
      <c r="I951" s="14"/>
      <c r="J951" s="14"/>
      <c r="K951" s="12"/>
    </row>
    <row r="952" ht="19.5" customHeight="1">
      <c r="A952" s="12"/>
      <c r="C952" s="12"/>
      <c r="D952" s="87"/>
      <c r="F952" s="14"/>
      <c r="G952" s="14"/>
      <c r="H952" s="14"/>
      <c r="I952" s="14"/>
      <c r="J952" s="14"/>
      <c r="K952" s="12"/>
    </row>
    <row r="953" ht="19.5" customHeight="1">
      <c r="A953" s="12"/>
      <c r="C953" s="12"/>
      <c r="D953" s="87"/>
      <c r="F953" s="14"/>
      <c r="G953" s="14"/>
      <c r="H953" s="14"/>
      <c r="I953" s="14"/>
      <c r="J953" s="14"/>
      <c r="K953" s="12"/>
    </row>
    <row r="954" ht="19.5" customHeight="1">
      <c r="A954" s="12"/>
      <c r="C954" s="12"/>
      <c r="D954" s="87"/>
      <c r="F954" s="14"/>
      <c r="G954" s="14"/>
      <c r="H954" s="14"/>
      <c r="I954" s="14"/>
      <c r="J954" s="14"/>
      <c r="K954" s="12"/>
    </row>
    <row r="955" ht="19.5" customHeight="1">
      <c r="A955" s="12"/>
      <c r="C955" s="12"/>
      <c r="D955" s="87"/>
      <c r="F955" s="14"/>
      <c r="G955" s="14"/>
      <c r="H955" s="14"/>
      <c r="I955" s="14"/>
      <c r="J955" s="14"/>
      <c r="K955" s="12"/>
    </row>
    <row r="956" ht="19.5" customHeight="1">
      <c r="A956" s="12"/>
      <c r="C956" s="12"/>
      <c r="D956" s="87"/>
      <c r="F956" s="14"/>
      <c r="G956" s="14"/>
      <c r="H956" s="14"/>
      <c r="I956" s="14"/>
      <c r="J956" s="14"/>
      <c r="K956" s="12"/>
    </row>
    <row r="957" ht="19.5" customHeight="1">
      <c r="A957" s="12"/>
      <c r="C957" s="12"/>
      <c r="D957" s="87"/>
      <c r="F957" s="14"/>
      <c r="G957" s="14"/>
      <c r="H957" s="14"/>
      <c r="I957" s="14"/>
      <c r="J957" s="14"/>
      <c r="K957" s="12"/>
    </row>
    <row r="958" ht="19.5" customHeight="1">
      <c r="A958" s="12"/>
      <c r="C958" s="12"/>
      <c r="D958" s="87"/>
      <c r="F958" s="14"/>
      <c r="G958" s="14"/>
      <c r="H958" s="14"/>
      <c r="I958" s="14"/>
      <c r="J958" s="14"/>
      <c r="K958" s="12"/>
    </row>
    <row r="959" ht="19.5" customHeight="1">
      <c r="A959" s="12"/>
      <c r="C959" s="12"/>
      <c r="D959" s="87"/>
      <c r="F959" s="14"/>
      <c r="G959" s="14"/>
      <c r="H959" s="14"/>
      <c r="I959" s="14"/>
      <c r="J959" s="14"/>
      <c r="K959" s="12"/>
    </row>
    <row r="960" ht="19.5" customHeight="1">
      <c r="A960" s="12"/>
      <c r="C960" s="12"/>
      <c r="D960" s="87"/>
      <c r="F960" s="14"/>
      <c r="G960" s="14"/>
      <c r="H960" s="14"/>
      <c r="I960" s="14"/>
      <c r="J960" s="14"/>
      <c r="K960" s="12"/>
    </row>
    <row r="961" ht="19.5" customHeight="1">
      <c r="A961" s="12"/>
      <c r="C961" s="12"/>
      <c r="D961" s="87"/>
      <c r="F961" s="14"/>
      <c r="G961" s="14"/>
      <c r="H961" s="14"/>
      <c r="I961" s="14"/>
      <c r="J961" s="14"/>
      <c r="K961" s="12"/>
    </row>
    <row r="962" ht="19.5" customHeight="1">
      <c r="A962" s="12"/>
      <c r="C962" s="12"/>
      <c r="D962" s="87"/>
      <c r="F962" s="14"/>
      <c r="G962" s="14"/>
      <c r="H962" s="14"/>
      <c r="I962" s="14"/>
      <c r="J962" s="14"/>
      <c r="K962" s="12"/>
    </row>
    <row r="963" ht="19.5" customHeight="1">
      <c r="A963" s="12"/>
      <c r="C963" s="12"/>
      <c r="D963" s="87"/>
      <c r="F963" s="14"/>
      <c r="G963" s="14"/>
      <c r="H963" s="14"/>
      <c r="I963" s="14"/>
      <c r="J963" s="14"/>
      <c r="K963" s="12"/>
    </row>
    <row r="964" ht="19.5" customHeight="1">
      <c r="A964" s="12"/>
      <c r="C964" s="12"/>
      <c r="D964" s="87"/>
      <c r="F964" s="14"/>
      <c r="G964" s="14"/>
      <c r="H964" s="14"/>
      <c r="I964" s="14"/>
      <c r="J964" s="14"/>
      <c r="K964" s="12"/>
    </row>
    <row r="965" ht="19.5" customHeight="1">
      <c r="A965" s="12"/>
      <c r="C965" s="12"/>
      <c r="D965" s="87"/>
      <c r="F965" s="14"/>
      <c r="G965" s="14"/>
      <c r="H965" s="14"/>
      <c r="I965" s="14"/>
      <c r="J965" s="14"/>
      <c r="K965" s="12"/>
    </row>
    <row r="966" ht="19.5" customHeight="1">
      <c r="A966" s="12"/>
      <c r="C966" s="12"/>
      <c r="D966" s="87"/>
      <c r="F966" s="14"/>
      <c r="G966" s="14"/>
      <c r="H966" s="14"/>
      <c r="I966" s="14"/>
      <c r="J966" s="14"/>
      <c r="K966" s="12"/>
    </row>
  </sheetData>
  <mergeCells count="16">
    <mergeCell ref="E9:G9"/>
    <mergeCell ref="J9:J10"/>
    <mergeCell ref="J33:J34"/>
    <mergeCell ref="J35:J38"/>
    <mergeCell ref="B37:B38"/>
    <mergeCell ref="K49:K51"/>
    <mergeCell ref="J69:J70"/>
    <mergeCell ref="J72:J73"/>
    <mergeCell ref="A6:K6"/>
    <mergeCell ref="A7:K7"/>
    <mergeCell ref="A8:K8"/>
    <mergeCell ref="A9:A10"/>
    <mergeCell ref="B9:B10"/>
    <mergeCell ref="C9:C10"/>
    <mergeCell ref="D9:D10"/>
    <mergeCell ref="K9:K10"/>
  </mergeCells>
  <printOptions/>
  <pageMargins bottom="0.787401575" footer="0.0" header="0.0" left="0.511811024" right="0.511811024" top="0.787401575"/>
  <pageSetup paperSize="9" scale="60" orientation="landscape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/>
  </sheetPr>
  <sheetViews>
    <sheetView workbookViewId="0"/>
  </sheetViews>
  <sheetFormatPr customHeight="1" defaultColWidth="12.63" defaultRowHeight="15.0"/>
  <cols>
    <col customWidth="1" min="1" max="1" width="14.5"/>
    <col customWidth="1" min="2" max="2" width="52.75"/>
    <col customWidth="1" min="3" max="3" width="9.13"/>
    <col customWidth="1" min="4" max="4" width="17.13"/>
    <col customWidth="1" min="5" max="5" width="19.13"/>
    <col customWidth="1" min="6" max="6" width="19.25"/>
    <col customWidth="1" min="7" max="7" width="21.88"/>
    <col customWidth="1" min="8" max="8" width="20.13"/>
    <col customWidth="1" min="9" max="9" width="16.13"/>
    <col customWidth="1" min="10" max="10" width="18.25"/>
    <col customWidth="1" min="11" max="11" width="32.38"/>
    <col customWidth="1" min="12" max="26" width="8.63"/>
  </cols>
  <sheetData>
    <row r="1" ht="19.5" customHeight="1">
      <c r="A1" s="220"/>
      <c r="B1" s="37"/>
      <c r="C1" s="46"/>
      <c r="D1" s="123"/>
      <c r="E1" s="37"/>
      <c r="F1" s="40"/>
      <c r="G1" s="40"/>
      <c r="H1" s="40"/>
      <c r="I1" s="40"/>
      <c r="J1" s="40"/>
      <c r="K1" s="46"/>
    </row>
    <row r="2" ht="19.5" customHeight="1">
      <c r="A2" s="424" t="s">
        <v>83</v>
      </c>
      <c r="B2" s="425" t="s">
        <v>84</v>
      </c>
      <c r="C2" s="46"/>
      <c r="D2" s="123"/>
      <c r="E2" s="243"/>
      <c r="F2" s="40"/>
      <c r="G2" s="40"/>
      <c r="H2" s="40"/>
      <c r="I2" s="40"/>
      <c r="J2" s="103" t="s">
        <v>144</v>
      </c>
      <c r="K2" s="46"/>
    </row>
    <row r="3" ht="19.5" customHeight="1">
      <c r="A3" s="424" t="s">
        <v>86</v>
      </c>
      <c r="B3" s="425" t="s">
        <v>87</v>
      </c>
      <c r="C3" s="46"/>
      <c r="D3" s="123"/>
      <c r="E3" s="243"/>
      <c r="F3" s="40"/>
      <c r="G3" s="40"/>
      <c r="H3" s="40"/>
      <c r="I3" s="40"/>
      <c r="J3" s="40"/>
      <c r="K3" s="46"/>
    </row>
    <row r="4" ht="19.5" customHeight="1">
      <c r="A4" s="220"/>
      <c r="B4" s="243"/>
      <c r="C4" s="46"/>
      <c r="D4" s="123"/>
      <c r="E4" s="243"/>
      <c r="F4" s="40"/>
      <c r="G4" s="40"/>
      <c r="H4" s="40"/>
      <c r="I4" s="40"/>
      <c r="J4" s="40"/>
      <c r="K4" s="46"/>
    </row>
    <row r="5" ht="19.5" customHeight="1">
      <c r="A5" s="220"/>
      <c r="B5" s="243"/>
      <c r="C5" s="46"/>
      <c r="D5" s="123"/>
      <c r="E5" s="243"/>
      <c r="F5" s="40"/>
      <c r="G5" s="40"/>
      <c r="H5" s="40"/>
      <c r="I5" s="40"/>
      <c r="J5" s="40"/>
      <c r="K5" s="46"/>
    </row>
    <row r="6" ht="200.25" customHeight="1">
      <c r="A6" s="426" t="s">
        <v>1398</v>
      </c>
      <c r="B6" s="28"/>
      <c r="C6" s="28"/>
      <c r="D6" s="28"/>
      <c r="E6" s="28"/>
      <c r="F6" s="28"/>
      <c r="G6" s="28"/>
      <c r="H6" s="28"/>
      <c r="I6" s="28"/>
      <c r="J6" s="28"/>
      <c r="K6" s="29"/>
    </row>
    <row r="7" ht="64.5" customHeight="1">
      <c r="A7" s="427" t="s">
        <v>1399</v>
      </c>
      <c r="B7" s="28"/>
      <c r="C7" s="28"/>
      <c r="D7" s="28"/>
      <c r="E7" s="28"/>
      <c r="F7" s="28"/>
      <c r="G7" s="28"/>
      <c r="H7" s="28"/>
      <c r="I7" s="28"/>
      <c r="J7" s="28"/>
      <c r="K7" s="29"/>
    </row>
    <row r="8" ht="37.5" customHeight="1">
      <c r="A8" s="428" t="s">
        <v>90</v>
      </c>
      <c r="B8" s="28"/>
      <c r="C8" s="28"/>
      <c r="D8" s="28"/>
      <c r="E8" s="28"/>
      <c r="F8" s="28"/>
      <c r="G8" s="28"/>
      <c r="H8" s="28"/>
      <c r="I8" s="28"/>
      <c r="J8" s="28"/>
      <c r="K8" s="29"/>
    </row>
    <row r="9" ht="19.5" customHeight="1">
      <c r="A9" s="429" t="s">
        <v>1400</v>
      </c>
      <c r="B9" s="26" t="s">
        <v>91</v>
      </c>
      <c r="C9" s="26" t="s">
        <v>92</v>
      </c>
      <c r="D9" s="31" t="s">
        <v>93</v>
      </c>
      <c r="E9" s="27" t="s">
        <v>94</v>
      </c>
      <c r="F9" s="28"/>
      <c r="G9" s="29"/>
      <c r="H9" s="34"/>
      <c r="I9" s="34"/>
      <c r="J9" s="31" t="s">
        <v>95</v>
      </c>
      <c r="K9" s="26" t="s">
        <v>96</v>
      </c>
    </row>
    <row r="10" ht="19.5" customHeight="1">
      <c r="A10" s="32"/>
      <c r="B10" s="32"/>
      <c r="C10" s="32"/>
      <c r="D10" s="32"/>
      <c r="E10" s="33" t="s">
        <v>97</v>
      </c>
      <c r="F10" s="34" t="s">
        <v>121</v>
      </c>
      <c r="G10" s="34" t="s">
        <v>99</v>
      </c>
      <c r="H10" s="34" t="s">
        <v>100</v>
      </c>
      <c r="I10" s="34" t="s">
        <v>101</v>
      </c>
      <c r="J10" s="32"/>
      <c r="K10" s="32"/>
    </row>
    <row r="11" ht="19.5" customHeight="1">
      <c r="A11" s="141">
        <v>37272.0</v>
      </c>
      <c r="B11" s="49" t="s">
        <v>674</v>
      </c>
      <c r="C11" s="38" t="s">
        <v>148</v>
      </c>
      <c r="D11" s="39">
        <v>2.0</v>
      </c>
      <c r="E11" s="49">
        <v>0.55</v>
      </c>
      <c r="F11" s="41">
        <v>41.55</v>
      </c>
      <c r="G11" s="41">
        <v>0.25</v>
      </c>
      <c r="H11" s="40">
        <f t="shared" ref="H11:H31" si="1">D11*E11*F11*G11</f>
        <v>11.42625</v>
      </c>
      <c r="I11" s="42"/>
      <c r="J11" s="109">
        <f>SUM(H11:H16)</f>
        <v>45.190625</v>
      </c>
      <c r="K11" s="46"/>
    </row>
    <row r="12" ht="19.5" customHeight="1">
      <c r="A12" s="141">
        <v>37272.0</v>
      </c>
      <c r="B12" s="49" t="s">
        <v>674</v>
      </c>
      <c r="C12" s="38" t="s">
        <v>148</v>
      </c>
      <c r="D12" s="39">
        <v>3.0</v>
      </c>
      <c r="E12" s="49">
        <v>0.55</v>
      </c>
      <c r="F12" s="41">
        <v>5.82</v>
      </c>
      <c r="G12" s="41">
        <v>0.25</v>
      </c>
      <c r="H12" s="40">
        <f t="shared" si="1"/>
        <v>2.40075</v>
      </c>
      <c r="I12" s="42"/>
      <c r="J12" s="147"/>
      <c r="K12" s="46"/>
    </row>
    <row r="13" ht="19.5" customHeight="1">
      <c r="A13" s="141">
        <v>37272.0</v>
      </c>
      <c r="B13" s="49" t="s">
        <v>674</v>
      </c>
      <c r="C13" s="38" t="s">
        <v>148</v>
      </c>
      <c r="D13" s="39">
        <v>16.0</v>
      </c>
      <c r="E13" s="49">
        <v>0.55</v>
      </c>
      <c r="F13" s="41">
        <v>2.8</v>
      </c>
      <c r="G13" s="41">
        <v>0.35</v>
      </c>
      <c r="H13" s="40">
        <f t="shared" si="1"/>
        <v>8.624</v>
      </c>
      <c r="I13" s="42"/>
      <c r="J13" s="147"/>
      <c r="K13" s="46"/>
    </row>
    <row r="14" ht="19.5" customHeight="1">
      <c r="A14" s="141">
        <v>37272.0</v>
      </c>
      <c r="B14" s="49" t="s">
        <v>674</v>
      </c>
      <c r="C14" s="38" t="s">
        <v>148</v>
      </c>
      <c r="D14" s="39">
        <v>6.0</v>
      </c>
      <c r="E14" s="49">
        <v>0.55</v>
      </c>
      <c r="F14" s="41">
        <v>5.07</v>
      </c>
      <c r="G14" s="41">
        <v>0.25</v>
      </c>
      <c r="H14" s="40">
        <f t="shared" si="1"/>
        <v>4.18275</v>
      </c>
      <c r="I14" s="42"/>
      <c r="J14" s="147"/>
      <c r="K14" s="46"/>
    </row>
    <row r="15" ht="19.5" customHeight="1">
      <c r="A15" s="141">
        <v>37272.0</v>
      </c>
      <c r="B15" s="49" t="s">
        <v>674</v>
      </c>
      <c r="C15" s="38" t="s">
        <v>148</v>
      </c>
      <c r="D15" s="39">
        <v>1.0</v>
      </c>
      <c r="E15" s="49">
        <v>0.55</v>
      </c>
      <c r="F15" s="67">
        <v>4.05</v>
      </c>
      <c r="G15" s="67">
        <v>0.25</v>
      </c>
      <c r="H15" s="40">
        <f t="shared" si="1"/>
        <v>0.556875</v>
      </c>
      <c r="I15" s="42"/>
      <c r="J15" s="147"/>
      <c r="K15" s="46"/>
    </row>
    <row r="16" ht="19.5" customHeight="1">
      <c r="A16" s="218">
        <v>37272.0</v>
      </c>
      <c r="B16" s="49" t="s">
        <v>1401</v>
      </c>
      <c r="C16" s="38" t="s">
        <v>148</v>
      </c>
      <c r="D16" s="430">
        <v>1.0</v>
      </c>
      <c r="E16" s="318">
        <v>0.3</v>
      </c>
      <c r="F16" s="431">
        <f>D245</f>
        <v>200</v>
      </c>
      <c r="G16" s="326">
        <v>0.3</v>
      </c>
      <c r="H16" s="40">
        <f t="shared" si="1"/>
        <v>18</v>
      </c>
      <c r="I16" s="42"/>
      <c r="J16" s="32"/>
      <c r="K16" s="46"/>
    </row>
    <row r="17" ht="19.5" customHeight="1">
      <c r="A17" s="141">
        <v>39829.0</v>
      </c>
      <c r="B17" s="49" t="s">
        <v>713</v>
      </c>
      <c r="C17" s="38" t="s">
        <v>148</v>
      </c>
      <c r="D17" s="39">
        <v>6.0</v>
      </c>
      <c r="E17" s="49">
        <v>1.5</v>
      </c>
      <c r="F17" s="41">
        <v>1.1</v>
      </c>
      <c r="G17" s="41">
        <v>0.7</v>
      </c>
      <c r="H17" s="40">
        <f t="shared" si="1"/>
        <v>6.93</v>
      </c>
      <c r="I17" s="42"/>
      <c r="J17" s="432">
        <f>SUM(H17:H31)</f>
        <v>79.86375</v>
      </c>
      <c r="K17" s="46"/>
    </row>
    <row r="18" ht="19.5" customHeight="1">
      <c r="A18" s="141">
        <v>39829.0</v>
      </c>
      <c r="B18" s="49" t="s">
        <v>713</v>
      </c>
      <c r="C18" s="38" t="s">
        <v>148</v>
      </c>
      <c r="D18" s="39">
        <v>2.0</v>
      </c>
      <c r="E18" s="49">
        <v>1.5</v>
      </c>
      <c r="F18" s="41">
        <v>0.7</v>
      </c>
      <c r="G18" s="41">
        <v>0.65</v>
      </c>
      <c r="H18" s="40">
        <f t="shared" si="1"/>
        <v>1.365</v>
      </c>
      <c r="I18" s="42"/>
      <c r="J18" s="147"/>
      <c r="K18" s="46"/>
    </row>
    <row r="19" ht="19.5" customHeight="1">
      <c r="A19" s="141">
        <v>39829.0</v>
      </c>
      <c r="B19" s="49" t="s">
        <v>713</v>
      </c>
      <c r="C19" s="38" t="s">
        <v>148</v>
      </c>
      <c r="D19" s="39">
        <v>7.0</v>
      </c>
      <c r="E19" s="49">
        <v>1.5</v>
      </c>
      <c r="F19" s="41">
        <v>1.1</v>
      </c>
      <c r="G19" s="41">
        <v>1.5</v>
      </c>
      <c r="H19" s="40">
        <f t="shared" si="1"/>
        <v>17.325</v>
      </c>
      <c r="I19" s="42"/>
      <c r="J19" s="147"/>
      <c r="K19" s="46"/>
    </row>
    <row r="20" ht="19.5" customHeight="1">
      <c r="A20" s="141">
        <v>39829.0</v>
      </c>
      <c r="B20" s="49" t="s">
        <v>713</v>
      </c>
      <c r="C20" s="38" t="s">
        <v>148</v>
      </c>
      <c r="D20" s="39">
        <v>1.0</v>
      </c>
      <c r="E20" s="49">
        <v>1.5</v>
      </c>
      <c r="F20" s="41">
        <v>1.4</v>
      </c>
      <c r="G20" s="41">
        <v>1.05</v>
      </c>
      <c r="H20" s="40">
        <f t="shared" si="1"/>
        <v>2.205</v>
      </c>
      <c r="I20" s="42"/>
      <c r="J20" s="147"/>
      <c r="K20" s="46"/>
    </row>
    <row r="21" ht="19.5" customHeight="1">
      <c r="A21" s="141">
        <v>39829.0</v>
      </c>
      <c r="B21" s="49" t="s">
        <v>713</v>
      </c>
      <c r="C21" s="38" t="s">
        <v>148</v>
      </c>
      <c r="D21" s="39">
        <v>7.0</v>
      </c>
      <c r="E21" s="49">
        <v>1.5</v>
      </c>
      <c r="F21" s="41">
        <v>1.4</v>
      </c>
      <c r="G21" s="41">
        <v>1.0</v>
      </c>
      <c r="H21" s="40">
        <f t="shared" si="1"/>
        <v>14.7</v>
      </c>
      <c r="I21" s="42"/>
      <c r="J21" s="147"/>
      <c r="K21" s="46"/>
    </row>
    <row r="22" ht="19.5" customHeight="1">
      <c r="A22" s="141">
        <v>39829.0</v>
      </c>
      <c r="B22" s="49" t="s">
        <v>713</v>
      </c>
      <c r="C22" s="38" t="s">
        <v>148</v>
      </c>
      <c r="D22" s="39">
        <v>2.0</v>
      </c>
      <c r="E22" s="49">
        <v>1.5</v>
      </c>
      <c r="F22" s="41">
        <v>0.65</v>
      </c>
      <c r="G22" s="41">
        <v>0.6</v>
      </c>
      <c r="H22" s="40">
        <f t="shared" si="1"/>
        <v>1.17</v>
      </c>
      <c r="I22" s="42"/>
      <c r="J22" s="147"/>
      <c r="K22" s="46"/>
    </row>
    <row r="23" ht="19.5" customHeight="1">
      <c r="A23" s="141">
        <v>39829.0</v>
      </c>
      <c r="B23" s="49" t="s">
        <v>713</v>
      </c>
      <c r="C23" s="38" t="s">
        <v>148</v>
      </c>
      <c r="D23" s="39">
        <v>8.0</v>
      </c>
      <c r="E23" s="49">
        <v>1.5</v>
      </c>
      <c r="F23" s="41">
        <v>0.6</v>
      </c>
      <c r="G23" s="41">
        <v>0.65</v>
      </c>
      <c r="H23" s="40">
        <f t="shared" si="1"/>
        <v>4.68</v>
      </c>
      <c r="I23" s="42"/>
      <c r="J23" s="147"/>
      <c r="K23" s="46"/>
    </row>
    <row r="24" ht="19.5" customHeight="1">
      <c r="A24" s="141">
        <v>39829.0</v>
      </c>
      <c r="B24" s="49" t="s">
        <v>713</v>
      </c>
      <c r="C24" s="38" t="s">
        <v>148</v>
      </c>
      <c r="D24" s="39">
        <v>6.0</v>
      </c>
      <c r="E24" s="49">
        <v>1.5</v>
      </c>
      <c r="F24" s="41">
        <v>0.7</v>
      </c>
      <c r="G24" s="41">
        <v>0.7</v>
      </c>
      <c r="H24" s="40">
        <f t="shared" si="1"/>
        <v>4.41</v>
      </c>
      <c r="I24" s="42"/>
      <c r="J24" s="147"/>
      <c r="K24" s="46"/>
    </row>
    <row r="25" ht="19.5" customHeight="1">
      <c r="A25" s="141">
        <v>39829.0</v>
      </c>
      <c r="B25" s="49" t="s">
        <v>713</v>
      </c>
      <c r="C25" s="38" t="s">
        <v>148</v>
      </c>
      <c r="D25" s="39">
        <v>4.0</v>
      </c>
      <c r="E25" s="49">
        <v>1.5</v>
      </c>
      <c r="F25" s="41">
        <v>0.8</v>
      </c>
      <c r="G25" s="41">
        <v>0.8</v>
      </c>
      <c r="H25" s="40">
        <f t="shared" si="1"/>
        <v>3.84</v>
      </c>
      <c r="I25" s="42"/>
      <c r="J25" s="147"/>
      <c r="K25" s="46"/>
    </row>
    <row r="26" ht="19.5" customHeight="1">
      <c r="A26" s="141">
        <v>39829.0</v>
      </c>
      <c r="B26" s="49" t="s">
        <v>713</v>
      </c>
      <c r="C26" s="38" t="s">
        <v>148</v>
      </c>
      <c r="D26" s="39">
        <v>1.0</v>
      </c>
      <c r="E26" s="49">
        <v>1.5</v>
      </c>
      <c r="F26" s="41">
        <v>1.2</v>
      </c>
      <c r="G26" s="41">
        <v>1.1</v>
      </c>
      <c r="H26" s="40">
        <f t="shared" si="1"/>
        <v>1.98</v>
      </c>
      <c r="I26" s="42"/>
      <c r="J26" s="147"/>
      <c r="K26" s="46"/>
    </row>
    <row r="27" ht="19.5" customHeight="1">
      <c r="A27" s="141">
        <v>39829.0</v>
      </c>
      <c r="B27" s="49" t="s">
        <v>713</v>
      </c>
      <c r="C27" s="38" t="s">
        <v>148</v>
      </c>
      <c r="D27" s="39">
        <v>1.0</v>
      </c>
      <c r="E27" s="49">
        <v>1.5</v>
      </c>
      <c r="F27" s="41">
        <v>1.35</v>
      </c>
      <c r="G27" s="41">
        <v>1.15</v>
      </c>
      <c r="H27" s="40">
        <f t="shared" si="1"/>
        <v>2.32875</v>
      </c>
      <c r="I27" s="42"/>
      <c r="J27" s="147"/>
      <c r="K27" s="46"/>
    </row>
    <row r="28" ht="19.5" customHeight="1">
      <c r="A28" s="141">
        <v>39829.0</v>
      </c>
      <c r="B28" s="49" t="s">
        <v>713</v>
      </c>
      <c r="C28" s="38" t="s">
        <v>148</v>
      </c>
      <c r="D28" s="39">
        <v>3.0</v>
      </c>
      <c r="E28" s="49">
        <v>1.5</v>
      </c>
      <c r="F28" s="41">
        <v>1.3</v>
      </c>
      <c r="G28" s="41">
        <v>1.2</v>
      </c>
      <c r="H28" s="40">
        <f t="shared" si="1"/>
        <v>7.02</v>
      </c>
      <c r="I28" s="42"/>
      <c r="J28" s="147"/>
      <c r="K28" s="46"/>
    </row>
    <row r="29" ht="19.5" customHeight="1">
      <c r="A29" s="141">
        <v>39829.0</v>
      </c>
      <c r="B29" s="49" t="s">
        <v>713</v>
      </c>
      <c r="C29" s="38" t="s">
        <v>148</v>
      </c>
      <c r="D29" s="39">
        <v>3.0</v>
      </c>
      <c r="E29" s="49">
        <v>1.5</v>
      </c>
      <c r="F29" s="41">
        <v>1.45</v>
      </c>
      <c r="G29" s="41">
        <v>1.25</v>
      </c>
      <c r="H29" s="40">
        <f t="shared" si="1"/>
        <v>8.15625</v>
      </c>
      <c r="I29" s="42"/>
      <c r="J29" s="147"/>
      <c r="K29" s="46"/>
    </row>
    <row r="30" ht="19.5" customHeight="1">
      <c r="A30" s="141">
        <v>39829.0</v>
      </c>
      <c r="B30" s="49" t="s">
        <v>713</v>
      </c>
      <c r="C30" s="38" t="s">
        <v>148</v>
      </c>
      <c r="D30" s="39">
        <v>2.0</v>
      </c>
      <c r="E30" s="49">
        <v>1.5</v>
      </c>
      <c r="F30" s="41">
        <v>0.6</v>
      </c>
      <c r="G30" s="41">
        <v>0.6</v>
      </c>
      <c r="H30" s="40">
        <f t="shared" si="1"/>
        <v>1.08</v>
      </c>
      <c r="I30" s="42"/>
      <c r="J30" s="147"/>
      <c r="K30" s="46"/>
    </row>
    <row r="31" ht="19.5" customHeight="1">
      <c r="A31" s="141">
        <v>39829.0</v>
      </c>
      <c r="B31" s="49" t="s">
        <v>713</v>
      </c>
      <c r="C31" s="38" t="s">
        <v>148</v>
      </c>
      <c r="D31" s="39">
        <v>1.0</v>
      </c>
      <c r="E31" s="49">
        <v>1.5</v>
      </c>
      <c r="F31" s="41">
        <v>1.55</v>
      </c>
      <c r="G31" s="41">
        <v>1.15</v>
      </c>
      <c r="H31" s="40">
        <f t="shared" si="1"/>
        <v>2.67375</v>
      </c>
      <c r="I31" s="42"/>
      <c r="J31" s="32"/>
      <c r="K31" s="46"/>
    </row>
    <row r="32" ht="19.5" customHeight="1">
      <c r="A32" s="433" t="s">
        <v>1400</v>
      </c>
      <c r="B32" s="50" t="s">
        <v>91</v>
      </c>
      <c r="C32" s="50" t="s">
        <v>92</v>
      </c>
      <c r="D32" s="53" t="s">
        <v>93</v>
      </c>
      <c r="E32" s="50" t="s">
        <v>97</v>
      </c>
      <c r="F32" s="53" t="s">
        <v>121</v>
      </c>
      <c r="G32" s="53" t="s">
        <v>99</v>
      </c>
      <c r="H32" s="53" t="s">
        <v>100</v>
      </c>
      <c r="I32" s="53" t="s">
        <v>101</v>
      </c>
      <c r="J32" s="53" t="s">
        <v>95</v>
      </c>
      <c r="K32" s="50" t="s">
        <v>96</v>
      </c>
    </row>
    <row r="33" ht="19.5" customHeight="1">
      <c r="A33" s="141">
        <v>36907.0</v>
      </c>
      <c r="B33" s="37" t="s">
        <v>150</v>
      </c>
      <c r="C33" s="38" t="s">
        <v>148</v>
      </c>
      <c r="D33" s="78">
        <v>2.0</v>
      </c>
      <c r="E33" s="37"/>
      <c r="F33" s="41">
        <v>44.55</v>
      </c>
      <c r="G33" s="41">
        <v>27.25</v>
      </c>
      <c r="H33" s="40">
        <f>(G33+F33)*D33</f>
        <v>143.6</v>
      </c>
      <c r="I33" s="42"/>
      <c r="J33" s="64">
        <f>H33</f>
        <v>143.6</v>
      </c>
      <c r="K33" s="46"/>
    </row>
    <row r="34" ht="19.5" customHeight="1">
      <c r="A34" s="433" t="s">
        <v>1</v>
      </c>
      <c r="B34" s="50" t="s">
        <v>91</v>
      </c>
      <c r="C34" s="50" t="s">
        <v>92</v>
      </c>
      <c r="D34" s="53" t="s">
        <v>93</v>
      </c>
      <c r="E34" s="50" t="s">
        <v>97</v>
      </c>
      <c r="F34" s="53" t="s">
        <v>121</v>
      </c>
      <c r="G34" s="53" t="s">
        <v>99</v>
      </c>
      <c r="H34" s="53" t="s">
        <v>100</v>
      </c>
      <c r="I34" s="53" t="s">
        <v>101</v>
      </c>
      <c r="J34" s="53" t="s">
        <v>95</v>
      </c>
      <c r="K34" s="50" t="s">
        <v>96</v>
      </c>
    </row>
    <row r="35" ht="19.5" customHeight="1">
      <c r="A35" s="141">
        <v>37637.0</v>
      </c>
      <c r="B35" s="49" t="s">
        <v>1402</v>
      </c>
      <c r="C35" s="38" t="s">
        <v>103</v>
      </c>
      <c r="D35" s="78"/>
      <c r="E35" s="37"/>
      <c r="F35" s="40"/>
      <c r="G35" s="40"/>
      <c r="H35" s="40">
        <f>SUM(I38:I42)</f>
        <v>49.4375</v>
      </c>
      <c r="I35" s="42"/>
      <c r="J35" s="109">
        <f>SUM(H35:H36)</f>
        <v>102.68</v>
      </c>
      <c r="K35" s="46"/>
    </row>
    <row r="36" ht="19.5" customHeight="1">
      <c r="A36" s="141">
        <v>37637.0</v>
      </c>
      <c r="B36" s="49" t="s">
        <v>1403</v>
      </c>
      <c r="C36" s="38" t="s">
        <v>103</v>
      </c>
      <c r="D36" s="78"/>
      <c r="E36" s="37"/>
      <c r="F36" s="40"/>
      <c r="G36" s="40"/>
      <c r="H36" s="40">
        <f>SUM(I43:I57)</f>
        <v>53.2425</v>
      </c>
      <c r="I36" s="42"/>
      <c r="J36" s="32"/>
      <c r="K36" s="46"/>
    </row>
    <row r="37" ht="19.5" customHeight="1">
      <c r="A37" s="433" t="s">
        <v>1400</v>
      </c>
      <c r="B37" s="50" t="s">
        <v>91</v>
      </c>
      <c r="C37" s="50" t="s">
        <v>92</v>
      </c>
      <c r="D37" s="53" t="s">
        <v>93</v>
      </c>
      <c r="E37" s="50" t="s">
        <v>97</v>
      </c>
      <c r="F37" s="53" t="s">
        <v>121</v>
      </c>
      <c r="G37" s="53" t="s">
        <v>99</v>
      </c>
      <c r="H37" s="53" t="s">
        <v>100</v>
      </c>
      <c r="I37" s="52" t="s">
        <v>1237</v>
      </c>
      <c r="J37" s="53" t="s">
        <v>95</v>
      </c>
      <c r="K37" s="50" t="s">
        <v>96</v>
      </c>
    </row>
    <row r="38" ht="19.5" customHeight="1">
      <c r="A38" s="141">
        <v>38002.0</v>
      </c>
      <c r="B38" s="49" t="s">
        <v>1404</v>
      </c>
      <c r="C38" s="38" t="s">
        <v>148</v>
      </c>
      <c r="D38" s="39">
        <v>2.0</v>
      </c>
      <c r="E38" s="49">
        <v>0.05</v>
      </c>
      <c r="F38" s="41">
        <v>41.55</v>
      </c>
      <c r="G38" s="41">
        <v>0.25</v>
      </c>
      <c r="H38" s="40">
        <f t="shared" ref="H38:H57" si="2">D38*E38*F38*G38</f>
        <v>1.03875</v>
      </c>
      <c r="I38" s="42">
        <f t="shared" ref="I38:I57" si="3">F38*G38*D38</f>
        <v>20.775</v>
      </c>
      <c r="J38" s="109">
        <f>SUM(H38:H57)</f>
        <v>5.134</v>
      </c>
      <c r="K38" s="46"/>
    </row>
    <row r="39" ht="19.5" customHeight="1">
      <c r="A39" s="141">
        <v>38002.0</v>
      </c>
      <c r="B39" s="49" t="s">
        <v>1404</v>
      </c>
      <c r="C39" s="38" t="s">
        <v>148</v>
      </c>
      <c r="D39" s="39">
        <v>3.0</v>
      </c>
      <c r="E39" s="49">
        <v>0.05</v>
      </c>
      <c r="F39" s="41">
        <v>5.82</v>
      </c>
      <c r="G39" s="41">
        <v>0.25</v>
      </c>
      <c r="H39" s="40">
        <f t="shared" si="2"/>
        <v>0.21825</v>
      </c>
      <c r="I39" s="42">
        <f t="shared" si="3"/>
        <v>4.365</v>
      </c>
      <c r="J39" s="147"/>
      <c r="K39" s="46"/>
    </row>
    <row r="40" ht="19.5" customHeight="1">
      <c r="A40" s="141">
        <v>38002.0</v>
      </c>
      <c r="B40" s="49" t="s">
        <v>1404</v>
      </c>
      <c r="C40" s="38" t="s">
        <v>148</v>
      </c>
      <c r="D40" s="39">
        <v>16.0</v>
      </c>
      <c r="E40" s="49">
        <v>0.05</v>
      </c>
      <c r="F40" s="41">
        <v>2.8</v>
      </c>
      <c r="G40" s="41">
        <v>0.35</v>
      </c>
      <c r="H40" s="40">
        <f t="shared" si="2"/>
        <v>0.784</v>
      </c>
      <c r="I40" s="42">
        <f t="shared" si="3"/>
        <v>15.68</v>
      </c>
      <c r="J40" s="147"/>
      <c r="K40" s="46"/>
    </row>
    <row r="41" ht="19.5" customHeight="1">
      <c r="A41" s="141">
        <v>38002.0</v>
      </c>
      <c r="B41" s="49" t="s">
        <v>1404</v>
      </c>
      <c r="C41" s="38" t="s">
        <v>148</v>
      </c>
      <c r="D41" s="39">
        <v>6.0</v>
      </c>
      <c r="E41" s="49">
        <v>0.05</v>
      </c>
      <c r="F41" s="41">
        <v>5.07</v>
      </c>
      <c r="G41" s="41">
        <v>0.25</v>
      </c>
      <c r="H41" s="40">
        <f t="shared" si="2"/>
        <v>0.38025</v>
      </c>
      <c r="I41" s="42">
        <f t="shared" si="3"/>
        <v>7.605</v>
      </c>
      <c r="J41" s="147"/>
      <c r="K41" s="46"/>
    </row>
    <row r="42" ht="19.5" customHeight="1">
      <c r="A42" s="141">
        <v>38002.0</v>
      </c>
      <c r="B42" s="49" t="s">
        <v>1404</v>
      </c>
      <c r="C42" s="38" t="s">
        <v>148</v>
      </c>
      <c r="D42" s="39">
        <v>1.0</v>
      </c>
      <c r="E42" s="49">
        <v>0.05</v>
      </c>
      <c r="F42" s="67">
        <v>4.05</v>
      </c>
      <c r="G42" s="67">
        <v>0.25</v>
      </c>
      <c r="H42" s="40">
        <f t="shared" si="2"/>
        <v>0.050625</v>
      </c>
      <c r="I42" s="42">
        <f t="shared" si="3"/>
        <v>1.0125</v>
      </c>
      <c r="J42" s="147"/>
      <c r="K42" s="46"/>
    </row>
    <row r="43" ht="19.5" customHeight="1">
      <c r="A43" s="141">
        <v>38002.0</v>
      </c>
      <c r="B43" s="49" t="s">
        <v>1405</v>
      </c>
      <c r="C43" s="38" t="s">
        <v>148</v>
      </c>
      <c r="D43" s="39">
        <v>6.0</v>
      </c>
      <c r="E43" s="49">
        <v>0.05</v>
      </c>
      <c r="F43" s="41">
        <v>1.1</v>
      </c>
      <c r="G43" s="41">
        <v>0.7</v>
      </c>
      <c r="H43" s="40">
        <f t="shared" si="2"/>
        <v>0.231</v>
      </c>
      <c r="I43" s="42">
        <f t="shared" si="3"/>
        <v>4.62</v>
      </c>
      <c r="J43" s="147"/>
      <c r="K43" s="46"/>
    </row>
    <row r="44" ht="19.5" customHeight="1">
      <c r="A44" s="141">
        <v>38002.0</v>
      </c>
      <c r="B44" s="49" t="s">
        <v>1405</v>
      </c>
      <c r="C44" s="38" t="s">
        <v>148</v>
      </c>
      <c r="D44" s="39">
        <v>2.0</v>
      </c>
      <c r="E44" s="49">
        <v>0.05</v>
      </c>
      <c r="F44" s="41">
        <v>0.7</v>
      </c>
      <c r="G44" s="41">
        <v>0.65</v>
      </c>
      <c r="H44" s="40">
        <f t="shared" si="2"/>
        <v>0.0455</v>
      </c>
      <c r="I44" s="42">
        <f t="shared" si="3"/>
        <v>0.91</v>
      </c>
      <c r="J44" s="147"/>
      <c r="K44" s="46"/>
    </row>
    <row r="45" ht="19.5" customHeight="1">
      <c r="A45" s="141">
        <v>38002.0</v>
      </c>
      <c r="B45" s="49" t="s">
        <v>1405</v>
      </c>
      <c r="C45" s="38" t="s">
        <v>148</v>
      </c>
      <c r="D45" s="39">
        <v>7.0</v>
      </c>
      <c r="E45" s="49">
        <v>0.05</v>
      </c>
      <c r="F45" s="41">
        <v>1.1</v>
      </c>
      <c r="G45" s="41">
        <v>1.5</v>
      </c>
      <c r="H45" s="40">
        <f t="shared" si="2"/>
        <v>0.5775</v>
      </c>
      <c r="I45" s="42">
        <f t="shared" si="3"/>
        <v>11.55</v>
      </c>
      <c r="J45" s="147"/>
      <c r="K45" s="46"/>
    </row>
    <row r="46" ht="19.5" customHeight="1">
      <c r="A46" s="141">
        <v>38002.0</v>
      </c>
      <c r="B46" s="49" t="s">
        <v>1405</v>
      </c>
      <c r="C46" s="38" t="s">
        <v>148</v>
      </c>
      <c r="D46" s="39">
        <v>1.0</v>
      </c>
      <c r="E46" s="49">
        <v>0.05</v>
      </c>
      <c r="F46" s="41">
        <v>1.4</v>
      </c>
      <c r="G46" s="41">
        <v>1.05</v>
      </c>
      <c r="H46" s="40">
        <f t="shared" si="2"/>
        <v>0.0735</v>
      </c>
      <c r="I46" s="42">
        <f t="shared" si="3"/>
        <v>1.47</v>
      </c>
      <c r="J46" s="147"/>
      <c r="K46" s="46"/>
    </row>
    <row r="47" ht="19.5" customHeight="1">
      <c r="A47" s="141">
        <v>38002.0</v>
      </c>
      <c r="B47" s="49" t="s">
        <v>1405</v>
      </c>
      <c r="C47" s="38" t="s">
        <v>148</v>
      </c>
      <c r="D47" s="39">
        <v>7.0</v>
      </c>
      <c r="E47" s="49">
        <v>0.05</v>
      </c>
      <c r="F47" s="41">
        <v>1.4</v>
      </c>
      <c r="G47" s="41">
        <v>1.0</v>
      </c>
      <c r="H47" s="40">
        <f t="shared" si="2"/>
        <v>0.49</v>
      </c>
      <c r="I47" s="42">
        <f t="shared" si="3"/>
        <v>9.8</v>
      </c>
      <c r="J47" s="147"/>
      <c r="K47" s="46"/>
    </row>
    <row r="48" ht="19.5" customHeight="1">
      <c r="A48" s="141">
        <v>38002.0</v>
      </c>
      <c r="B48" s="49" t="s">
        <v>1405</v>
      </c>
      <c r="C48" s="38" t="s">
        <v>148</v>
      </c>
      <c r="D48" s="39">
        <v>2.0</v>
      </c>
      <c r="E48" s="49">
        <v>0.05</v>
      </c>
      <c r="F48" s="41">
        <v>0.65</v>
      </c>
      <c r="G48" s="41">
        <v>0.6</v>
      </c>
      <c r="H48" s="40">
        <f t="shared" si="2"/>
        <v>0.039</v>
      </c>
      <c r="I48" s="42">
        <f t="shared" si="3"/>
        <v>0.78</v>
      </c>
      <c r="J48" s="147"/>
      <c r="K48" s="46"/>
    </row>
    <row r="49" ht="19.5" customHeight="1">
      <c r="A49" s="141">
        <v>38002.0</v>
      </c>
      <c r="B49" s="49" t="s">
        <v>1405</v>
      </c>
      <c r="C49" s="38" t="s">
        <v>148</v>
      </c>
      <c r="D49" s="39">
        <v>8.0</v>
      </c>
      <c r="E49" s="49">
        <v>0.05</v>
      </c>
      <c r="F49" s="41">
        <v>0.6</v>
      </c>
      <c r="G49" s="41">
        <v>0.65</v>
      </c>
      <c r="H49" s="40">
        <f t="shared" si="2"/>
        <v>0.156</v>
      </c>
      <c r="I49" s="42">
        <f t="shared" si="3"/>
        <v>3.12</v>
      </c>
      <c r="J49" s="147"/>
      <c r="K49" s="46"/>
    </row>
    <row r="50" ht="19.5" customHeight="1">
      <c r="A50" s="141">
        <v>38002.0</v>
      </c>
      <c r="B50" s="49" t="s">
        <v>1405</v>
      </c>
      <c r="C50" s="38" t="s">
        <v>148</v>
      </c>
      <c r="D50" s="39">
        <v>6.0</v>
      </c>
      <c r="E50" s="49">
        <v>0.05</v>
      </c>
      <c r="F50" s="41">
        <v>0.7</v>
      </c>
      <c r="G50" s="41">
        <v>0.7</v>
      </c>
      <c r="H50" s="40">
        <f t="shared" si="2"/>
        <v>0.147</v>
      </c>
      <c r="I50" s="42">
        <f t="shared" si="3"/>
        <v>2.94</v>
      </c>
      <c r="J50" s="147"/>
      <c r="K50" s="46"/>
    </row>
    <row r="51" ht="19.5" customHeight="1">
      <c r="A51" s="141">
        <v>38002.0</v>
      </c>
      <c r="B51" s="49" t="s">
        <v>1405</v>
      </c>
      <c r="C51" s="38" t="s">
        <v>148</v>
      </c>
      <c r="D51" s="39">
        <v>4.0</v>
      </c>
      <c r="E51" s="49">
        <v>0.05</v>
      </c>
      <c r="F51" s="41">
        <v>0.8</v>
      </c>
      <c r="G51" s="41">
        <v>0.8</v>
      </c>
      <c r="H51" s="40">
        <f t="shared" si="2"/>
        <v>0.128</v>
      </c>
      <c r="I51" s="42">
        <f t="shared" si="3"/>
        <v>2.56</v>
      </c>
      <c r="J51" s="147"/>
      <c r="K51" s="46"/>
    </row>
    <row r="52" ht="19.5" customHeight="1">
      <c r="A52" s="141">
        <v>38002.0</v>
      </c>
      <c r="B52" s="49" t="s">
        <v>1405</v>
      </c>
      <c r="C52" s="38" t="s">
        <v>148</v>
      </c>
      <c r="D52" s="39">
        <v>1.0</v>
      </c>
      <c r="E52" s="49">
        <v>0.05</v>
      </c>
      <c r="F52" s="41">
        <v>1.2</v>
      </c>
      <c r="G52" s="41">
        <v>1.1</v>
      </c>
      <c r="H52" s="40">
        <f t="shared" si="2"/>
        <v>0.066</v>
      </c>
      <c r="I52" s="42">
        <f t="shared" si="3"/>
        <v>1.32</v>
      </c>
      <c r="J52" s="147"/>
      <c r="K52" s="46"/>
    </row>
    <row r="53" ht="19.5" customHeight="1">
      <c r="A53" s="141">
        <v>38002.0</v>
      </c>
      <c r="B53" s="49" t="s">
        <v>1405</v>
      </c>
      <c r="C53" s="38" t="s">
        <v>148</v>
      </c>
      <c r="D53" s="39">
        <v>1.0</v>
      </c>
      <c r="E53" s="49">
        <v>0.05</v>
      </c>
      <c r="F53" s="41">
        <v>1.35</v>
      </c>
      <c r="G53" s="41">
        <v>1.15</v>
      </c>
      <c r="H53" s="40">
        <f t="shared" si="2"/>
        <v>0.077625</v>
      </c>
      <c r="I53" s="42">
        <f t="shared" si="3"/>
        <v>1.5525</v>
      </c>
      <c r="J53" s="147"/>
      <c r="K53" s="46"/>
    </row>
    <row r="54" ht="19.5" customHeight="1">
      <c r="A54" s="141">
        <v>38002.0</v>
      </c>
      <c r="B54" s="49" t="s">
        <v>1405</v>
      </c>
      <c r="C54" s="38" t="s">
        <v>148</v>
      </c>
      <c r="D54" s="39">
        <v>3.0</v>
      </c>
      <c r="E54" s="49">
        <v>0.05</v>
      </c>
      <c r="F54" s="41">
        <v>1.3</v>
      </c>
      <c r="G54" s="41">
        <v>1.2</v>
      </c>
      <c r="H54" s="40">
        <f t="shared" si="2"/>
        <v>0.234</v>
      </c>
      <c r="I54" s="42">
        <f t="shared" si="3"/>
        <v>4.68</v>
      </c>
      <c r="J54" s="147"/>
      <c r="K54" s="46"/>
    </row>
    <row r="55" ht="19.5" customHeight="1">
      <c r="A55" s="141">
        <v>38002.0</v>
      </c>
      <c r="B55" s="49" t="s">
        <v>1405</v>
      </c>
      <c r="C55" s="38" t="s">
        <v>148</v>
      </c>
      <c r="D55" s="39">
        <v>3.0</v>
      </c>
      <c r="E55" s="49">
        <v>0.05</v>
      </c>
      <c r="F55" s="41">
        <v>1.45</v>
      </c>
      <c r="G55" s="41">
        <v>1.25</v>
      </c>
      <c r="H55" s="40">
        <f t="shared" si="2"/>
        <v>0.271875</v>
      </c>
      <c r="I55" s="42">
        <f t="shared" si="3"/>
        <v>5.4375</v>
      </c>
      <c r="J55" s="147"/>
      <c r="K55" s="46"/>
    </row>
    <row r="56" ht="19.5" customHeight="1">
      <c r="A56" s="141">
        <v>38002.0</v>
      </c>
      <c r="B56" s="49" t="s">
        <v>1405</v>
      </c>
      <c r="C56" s="38" t="s">
        <v>148</v>
      </c>
      <c r="D56" s="39">
        <v>2.0</v>
      </c>
      <c r="E56" s="49">
        <v>0.05</v>
      </c>
      <c r="F56" s="41">
        <v>0.6</v>
      </c>
      <c r="G56" s="41">
        <v>0.6</v>
      </c>
      <c r="H56" s="40">
        <f t="shared" si="2"/>
        <v>0.036</v>
      </c>
      <c r="I56" s="42">
        <f t="shared" si="3"/>
        <v>0.72</v>
      </c>
      <c r="J56" s="147"/>
      <c r="K56" s="46"/>
    </row>
    <row r="57" ht="19.5" customHeight="1">
      <c r="A57" s="141">
        <v>38002.0</v>
      </c>
      <c r="B57" s="49" t="s">
        <v>1405</v>
      </c>
      <c r="C57" s="38" t="s">
        <v>148</v>
      </c>
      <c r="D57" s="39">
        <v>1.0</v>
      </c>
      <c r="E57" s="49">
        <v>0.05</v>
      </c>
      <c r="F57" s="41">
        <v>1.55</v>
      </c>
      <c r="G57" s="41">
        <v>1.15</v>
      </c>
      <c r="H57" s="40">
        <f t="shared" si="2"/>
        <v>0.089125</v>
      </c>
      <c r="I57" s="42">
        <f t="shared" si="3"/>
        <v>1.7825</v>
      </c>
      <c r="J57" s="32"/>
      <c r="K57" s="46"/>
    </row>
    <row r="58" ht="19.5" customHeight="1">
      <c r="A58" s="434" t="s">
        <v>1</v>
      </c>
      <c r="B58" s="50" t="s">
        <v>91</v>
      </c>
      <c r="C58" s="50" t="s">
        <v>92</v>
      </c>
      <c r="D58" s="53" t="s">
        <v>93</v>
      </c>
      <c r="E58" s="51" t="s">
        <v>148</v>
      </c>
      <c r="F58" s="53"/>
      <c r="G58" s="53"/>
      <c r="H58" s="53" t="s">
        <v>100</v>
      </c>
      <c r="I58" s="53" t="s">
        <v>101</v>
      </c>
      <c r="J58" s="53" t="s">
        <v>95</v>
      </c>
      <c r="K58" s="50" t="s">
        <v>96</v>
      </c>
    </row>
    <row r="59" ht="19.5" customHeight="1">
      <c r="A59" s="141">
        <v>36938.0</v>
      </c>
      <c r="B59" s="49" t="s">
        <v>1406</v>
      </c>
      <c r="C59" s="46" t="s">
        <v>148</v>
      </c>
      <c r="D59" s="39">
        <v>1.0</v>
      </c>
      <c r="E59" s="37">
        <f>9.25+4.46+1.54</f>
        <v>15.25</v>
      </c>
      <c r="F59" s="78"/>
      <c r="G59" s="40"/>
      <c r="H59" s="40">
        <f t="shared" ref="H59:H60" si="4">D59*E59</f>
        <v>15.25</v>
      </c>
      <c r="I59" s="42"/>
      <c r="J59" s="264">
        <f>SUM(H59:H60)</f>
        <v>36.5</v>
      </c>
      <c r="K59" s="46"/>
    </row>
    <row r="60" ht="19.5" customHeight="1">
      <c r="A60" s="141">
        <v>36938.0</v>
      </c>
      <c r="B60" s="49" t="s">
        <v>1407</v>
      </c>
      <c r="C60" s="46" t="s">
        <v>148</v>
      </c>
      <c r="D60" s="39">
        <v>1.0</v>
      </c>
      <c r="E60" s="49">
        <f>14.18+6.37+0.7</f>
        <v>21.25</v>
      </c>
      <c r="F60" s="78"/>
      <c r="G60" s="40"/>
      <c r="H60" s="40">
        <f t="shared" si="4"/>
        <v>21.25</v>
      </c>
      <c r="I60" s="42"/>
      <c r="J60" s="32"/>
      <c r="K60" s="46"/>
      <c r="L60" s="14"/>
    </row>
    <row r="61" ht="19.5" customHeight="1">
      <c r="A61" s="434" t="s">
        <v>1</v>
      </c>
      <c r="B61" s="50" t="s">
        <v>91</v>
      </c>
      <c r="C61" s="50" t="s">
        <v>92</v>
      </c>
      <c r="D61" s="53" t="s">
        <v>93</v>
      </c>
      <c r="E61" s="51" t="s">
        <v>148</v>
      </c>
      <c r="F61" s="53"/>
      <c r="G61" s="53"/>
      <c r="H61" s="53" t="s">
        <v>100</v>
      </c>
      <c r="I61" s="53" t="s">
        <v>101</v>
      </c>
      <c r="J61" s="53" t="s">
        <v>95</v>
      </c>
      <c r="K61" s="50" t="s">
        <v>96</v>
      </c>
    </row>
    <row r="62" ht="19.5" customHeight="1">
      <c r="A62" s="141">
        <v>36997.0</v>
      </c>
      <c r="B62" s="49" t="s">
        <v>1408</v>
      </c>
      <c r="C62" s="46" t="s">
        <v>148</v>
      </c>
      <c r="D62" s="39">
        <v>1.0</v>
      </c>
      <c r="E62" s="37">
        <f>14.66+19.96+0.48</f>
        <v>35.1</v>
      </c>
      <c r="F62" s="78"/>
      <c r="G62" s="40"/>
      <c r="H62" s="40">
        <f t="shared" ref="H62:H66" si="5">D62*E62</f>
        <v>35.1</v>
      </c>
      <c r="I62" s="42"/>
      <c r="J62" s="264">
        <f>SUM(H62:H66)</f>
        <v>111.47</v>
      </c>
      <c r="K62" s="46"/>
      <c r="L62" s="14"/>
    </row>
    <row r="63" ht="19.5" customHeight="1">
      <c r="A63" s="141">
        <v>36997.0</v>
      </c>
      <c r="B63" s="49" t="s">
        <v>1409</v>
      </c>
      <c r="C63" s="46" t="s">
        <v>148</v>
      </c>
      <c r="D63" s="39">
        <v>1.0</v>
      </c>
      <c r="E63" s="49">
        <f>39.36+1.7</f>
        <v>41.06</v>
      </c>
      <c r="F63" s="78"/>
      <c r="G63" s="40"/>
      <c r="H63" s="40">
        <f t="shared" si="5"/>
        <v>41.06</v>
      </c>
      <c r="I63" s="42"/>
      <c r="J63" s="147"/>
      <c r="K63" s="46"/>
      <c r="L63" s="14"/>
    </row>
    <row r="64" ht="19.5" customHeight="1">
      <c r="A64" s="141">
        <v>36997.0</v>
      </c>
      <c r="B64" s="49" t="s">
        <v>1410</v>
      </c>
      <c r="C64" s="46" t="s">
        <v>148</v>
      </c>
      <c r="D64" s="39">
        <v>1.0</v>
      </c>
      <c r="E64" s="37">
        <f>8.25+8.79+7.46+0.93</f>
        <v>25.43</v>
      </c>
      <c r="F64" s="78"/>
      <c r="G64" s="40"/>
      <c r="H64" s="40">
        <f t="shared" si="5"/>
        <v>25.43</v>
      </c>
      <c r="I64" s="42"/>
      <c r="J64" s="147"/>
      <c r="K64" s="46"/>
      <c r="L64" s="14"/>
    </row>
    <row r="65" ht="19.5" customHeight="1">
      <c r="A65" s="141">
        <v>36997.0</v>
      </c>
      <c r="B65" s="49" t="s">
        <v>1411</v>
      </c>
      <c r="C65" s="46" t="s">
        <v>148</v>
      </c>
      <c r="D65" s="39">
        <v>1.0</v>
      </c>
      <c r="E65" s="49">
        <v>9.2</v>
      </c>
      <c r="F65" s="78"/>
      <c r="G65" s="40"/>
      <c r="H65" s="40">
        <f t="shared" si="5"/>
        <v>9.2</v>
      </c>
      <c r="I65" s="42"/>
      <c r="J65" s="147"/>
      <c r="K65" s="46"/>
      <c r="L65" s="14"/>
    </row>
    <row r="66" ht="19.5" customHeight="1">
      <c r="A66" s="141">
        <v>36997.0</v>
      </c>
      <c r="B66" s="49" t="s">
        <v>1412</v>
      </c>
      <c r="C66" s="46" t="s">
        <v>148</v>
      </c>
      <c r="D66" s="39">
        <v>1.0</v>
      </c>
      <c r="E66" s="49">
        <v>0.68</v>
      </c>
      <c r="F66" s="78"/>
      <c r="G66" s="40"/>
      <c r="H66" s="40">
        <f t="shared" si="5"/>
        <v>0.68</v>
      </c>
      <c r="I66" s="42"/>
      <c r="J66" s="32"/>
      <c r="K66" s="46"/>
      <c r="L66" s="14" t="str">
        <f>J59+#REF!</f>
        <v>#REF!</v>
      </c>
    </row>
    <row r="67" ht="19.5" customHeight="1">
      <c r="A67" s="434" t="s">
        <v>1</v>
      </c>
      <c r="B67" s="50" t="s">
        <v>91</v>
      </c>
      <c r="C67" s="50" t="s">
        <v>92</v>
      </c>
      <c r="D67" s="52" t="s">
        <v>1413</v>
      </c>
      <c r="E67" s="51" t="s">
        <v>1414</v>
      </c>
      <c r="F67" s="52" t="s">
        <v>1415</v>
      </c>
      <c r="G67" s="52" t="s">
        <v>1237</v>
      </c>
      <c r="H67" s="53" t="s">
        <v>100</v>
      </c>
      <c r="I67" s="53" t="s">
        <v>101</v>
      </c>
      <c r="J67" s="53" t="s">
        <v>95</v>
      </c>
      <c r="K67" s="50" t="s">
        <v>96</v>
      </c>
    </row>
    <row r="68" ht="19.5" customHeight="1">
      <c r="A68" s="141">
        <v>38368.0</v>
      </c>
      <c r="B68" s="49" t="s">
        <v>339</v>
      </c>
      <c r="C68" s="46" t="s">
        <v>148</v>
      </c>
      <c r="D68" s="435">
        <f>J11+J17</f>
        <v>125.054375</v>
      </c>
      <c r="E68" s="40">
        <f>E59+E60+J38</f>
        <v>41.634</v>
      </c>
      <c r="F68" s="319">
        <f>H16</f>
        <v>18</v>
      </c>
      <c r="G68" s="40"/>
      <c r="H68" s="40">
        <f>D68-E68-F68</f>
        <v>65.420375</v>
      </c>
      <c r="I68" s="42"/>
      <c r="J68" s="43">
        <f t="shared" ref="J68:J69" si="6">H68</f>
        <v>65.420375</v>
      </c>
      <c r="K68" s="46"/>
    </row>
    <row r="69" ht="19.5" customHeight="1">
      <c r="A69" s="141">
        <v>38733.0</v>
      </c>
      <c r="B69" s="49" t="s">
        <v>340</v>
      </c>
      <c r="C69" s="46" t="s">
        <v>148</v>
      </c>
      <c r="D69" s="78">
        <v>1.0</v>
      </c>
      <c r="E69" s="49">
        <v>0.4</v>
      </c>
      <c r="F69" s="78">
        <v>41.55</v>
      </c>
      <c r="G69" s="40">
        <v>24.3</v>
      </c>
      <c r="H69" s="40">
        <f>G69*F69*E69*D69</f>
        <v>403.866</v>
      </c>
      <c r="I69" s="42"/>
      <c r="J69" s="43">
        <f t="shared" si="6"/>
        <v>403.866</v>
      </c>
      <c r="K69" s="46" t="s">
        <v>341</v>
      </c>
    </row>
    <row r="70" ht="19.5" customHeight="1">
      <c r="A70" s="434" t="s">
        <v>1</v>
      </c>
      <c r="B70" s="50" t="s">
        <v>91</v>
      </c>
      <c r="C70" s="50" t="s">
        <v>92</v>
      </c>
      <c r="D70" s="53" t="s">
        <v>93</v>
      </c>
      <c r="E70" s="50" t="s">
        <v>97</v>
      </c>
      <c r="F70" s="53" t="s">
        <v>121</v>
      </c>
      <c r="G70" s="53" t="s">
        <v>99</v>
      </c>
      <c r="H70" s="53" t="s">
        <v>100</v>
      </c>
      <c r="I70" s="53" t="s">
        <v>101</v>
      </c>
      <c r="J70" s="53" t="s">
        <v>95</v>
      </c>
      <c r="K70" s="50" t="s">
        <v>96</v>
      </c>
      <c r="L70" s="14" t="str">
        <f>#REF!+#REF!</f>
        <v>#REF!</v>
      </c>
    </row>
    <row r="71" ht="19.5" customHeight="1">
      <c r="A71" s="141">
        <v>37088.0</v>
      </c>
      <c r="B71" s="49" t="s">
        <v>1416</v>
      </c>
      <c r="C71" s="46" t="s">
        <v>148</v>
      </c>
      <c r="D71" s="78">
        <v>1.0</v>
      </c>
      <c r="E71" s="37">
        <v>0.05</v>
      </c>
      <c r="F71" s="78">
        <f t="shared" ref="F71:G71" si="7">F69</f>
        <v>41.55</v>
      </c>
      <c r="G71" s="40">
        <f t="shared" si="7"/>
        <v>24.3</v>
      </c>
      <c r="H71" s="40">
        <f>G71*F71*E71*D71</f>
        <v>50.48325</v>
      </c>
      <c r="I71" s="42"/>
      <c r="J71" s="43">
        <f>H71</f>
        <v>50.48325</v>
      </c>
      <c r="K71" s="46"/>
    </row>
    <row r="72" ht="19.5" customHeight="1">
      <c r="A72" s="141">
        <v>38184.0</v>
      </c>
      <c r="B72" s="49" t="s">
        <v>1417</v>
      </c>
      <c r="C72" s="46" t="s">
        <v>103</v>
      </c>
      <c r="D72" s="39">
        <v>2.0</v>
      </c>
      <c r="E72" s="49"/>
      <c r="F72" s="41">
        <v>5.1</v>
      </c>
      <c r="G72" s="41">
        <v>8.53</v>
      </c>
      <c r="H72" s="40">
        <f t="shared" ref="H72:H74" si="8">G72*F72*D72</f>
        <v>87.006</v>
      </c>
      <c r="I72" s="42"/>
      <c r="J72" s="143">
        <f>SUM(H72:H74)</f>
        <v>114.169</v>
      </c>
      <c r="K72" s="46"/>
    </row>
    <row r="73" ht="19.5" customHeight="1">
      <c r="A73" s="141">
        <v>38184.0</v>
      </c>
      <c r="B73" s="49" t="s">
        <v>1418</v>
      </c>
      <c r="C73" s="46" t="s">
        <v>103</v>
      </c>
      <c r="D73" s="39">
        <v>2.0</v>
      </c>
      <c r="E73" s="37"/>
      <c r="F73" s="41">
        <v>1.93</v>
      </c>
      <c r="G73" s="41">
        <v>3.8</v>
      </c>
      <c r="H73" s="40">
        <f t="shared" si="8"/>
        <v>14.668</v>
      </c>
      <c r="I73" s="42"/>
      <c r="J73" s="147"/>
      <c r="K73" s="46"/>
    </row>
    <row r="74" ht="19.5" customHeight="1">
      <c r="A74" s="141">
        <v>38184.0</v>
      </c>
      <c r="B74" s="49" t="s">
        <v>1419</v>
      </c>
      <c r="C74" s="46" t="s">
        <v>103</v>
      </c>
      <c r="D74" s="39">
        <v>1.0</v>
      </c>
      <c r="E74" s="37"/>
      <c r="F74" s="41">
        <v>5.1</v>
      </c>
      <c r="G74" s="41">
        <v>2.45</v>
      </c>
      <c r="H74" s="40">
        <f t="shared" si="8"/>
        <v>12.495</v>
      </c>
      <c r="I74" s="42"/>
      <c r="J74" s="32"/>
      <c r="K74" s="46"/>
    </row>
    <row r="75" ht="19.5" customHeight="1">
      <c r="A75" s="141">
        <v>37453.0</v>
      </c>
      <c r="B75" s="49" t="s">
        <v>1420</v>
      </c>
      <c r="C75" s="46" t="s">
        <v>103</v>
      </c>
      <c r="D75" s="78"/>
      <c r="E75" s="37"/>
      <c r="F75" s="39"/>
      <c r="G75" s="39"/>
      <c r="H75" s="40">
        <f>867.15-(2*67.1)</f>
        <v>732.95</v>
      </c>
      <c r="I75" s="42"/>
      <c r="J75" s="43">
        <f t="shared" ref="J75:J76" si="9">H75</f>
        <v>732.95</v>
      </c>
      <c r="K75" s="46"/>
    </row>
    <row r="76" ht="19.5" customHeight="1">
      <c r="A76" s="154" t="s">
        <v>1421</v>
      </c>
      <c r="B76" s="49" t="s">
        <v>1422</v>
      </c>
      <c r="C76" s="46" t="s">
        <v>103</v>
      </c>
      <c r="D76" s="39"/>
      <c r="E76" s="37"/>
      <c r="F76" s="39"/>
      <c r="G76" s="39"/>
      <c r="H76" s="41">
        <f>J72</f>
        <v>114.169</v>
      </c>
      <c r="I76" s="152"/>
      <c r="J76" s="43">
        <f t="shared" si="9"/>
        <v>114.169</v>
      </c>
      <c r="K76" s="46"/>
    </row>
    <row r="77" ht="19.5" customHeight="1">
      <c r="A77" s="141">
        <v>39279.0</v>
      </c>
      <c r="B77" s="49" t="s">
        <v>1077</v>
      </c>
      <c r="C77" s="38" t="s">
        <v>108</v>
      </c>
      <c r="D77" s="39">
        <v>5.0</v>
      </c>
      <c r="E77" s="37"/>
      <c r="F77" s="39">
        <v>0.9</v>
      </c>
      <c r="G77" s="39"/>
      <c r="H77" s="41">
        <f t="shared" ref="H77:H79" si="10">D77*F77</f>
        <v>4.5</v>
      </c>
      <c r="I77" s="152"/>
      <c r="J77" s="143">
        <f>SUM(H77:H79)</f>
        <v>14.5</v>
      </c>
      <c r="K77" s="46"/>
    </row>
    <row r="78" ht="19.5" customHeight="1">
      <c r="A78" s="141">
        <v>39279.0</v>
      </c>
      <c r="B78" s="49" t="s">
        <v>1423</v>
      </c>
      <c r="C78" s="38" t="s">
        <v>108</v>
      </c>
      <c r="D78" s="39">
        <v>2.0</v>
      </c>
      <c r="E78" s="37"/>
      <c r="F78" s="39">
        <v>1.0</v>
      </c>
      <c r="G78" s="39"/>
      <c r="H78" s="41">
        <f t="shared" si="10"/>
        <v>2</v>
      </c>
      <c r="I78" s="152"/>
      <c r="J78" s="147"/>
      <c r="K78" s="46"/>
    </row>
    <row r="79" ht="19.5" customHeight="1">
      <c r="A79" s="141">
        <v>39279.0</v>
      </c>
      <c r="B79" s="49" t="s">
        <v>1424</v>
      </c>
      <c r="C79" s="38" t="s">
        <v>108</v>
      </c>
      <c r="D79" s="39">
        <v>4.0</v>
      </c>
      <c r="E79" s="37"/>
      <c r="F79" s="39">
        <v>2.0</v>
      </c>
      <c r="G79" s="39"/>
      <c r="H79" s="41">
        <f t="shared" si="10"/>
        <v>8</v>
      </c>
      <c r="I79" s="152"/>
      <c r="J79" s="32"/>
      <c r="K79" s="46"/>
    </row>
    <row r="80" ht="19.5" customHeight="1">
      <c r="A80" s="434" t="s">
        <v>1</v>
      </c>
      <c r="B80" s="50" t="s">
        <v>91</v>
      </c>
      <c r="C80" s="50" t="s">
        <v>92</v>
      </c>
      <c r="D80" s="53" t="s">
        <v>93</v>
      </c>
      <c r="E80" s="50" t="s">
        <v>97</v>
      </c>
      <c r="F80" s="53" t="s">
        <v>121</v>
      </c>
      <c r="G80" s="53" t="s">
        <v>99</v>
      </c>
      <c r="H80" s="53" t="s">
        <v>100</v>
      </c>
      <c r="I80" s="53" t="s">
        <v>101</v>
      </c>
      <c r="J80" s="53" t="s">
        <v>95</v>
      </c>
      <c r="K80" s="50" t="s">
        <v>96</v>
      </c>
    </row>
    <row r="81" ht="19.5" customHeight="1">
      <c r="A81" s="141">
        <v>36966.0</v>
      </c>
      <c r="B81" s="49" t="s">
        <v>1425</v>
      </c>
      <c r="C81" s="46" t="s">
        <v>103</v>
      </c>
      <c r="D81" s="39">
        <v>2.0</v>
      </c>
      <c r="E81" s="49">
        <v>1.11</v>
      </c>
      <c r="F81" s="78">
        <f>(3*4.85)+3.03+2.63</f>
        <v>20.21</v>
      </c>
      <c r="G81" s="40">
        <v>0.14</v>
      </c>
      <c r="H81" s="40">
        <f>F81*E81*D81</f>
        <v>44.8662</v>
      </c>
      <c r="I81" s="42"/>
      <c r="J81" s="436">
        <f>SUM(H81)</f>
        <v>44.8662</v>
      </c>
      <c r="K81" s="46"/>
    </row>
    <row r="82" ht="19.5" customHeight="1">
      <c r="A82" s="434" t="s">
        <v>1</v>
      </c>
      <c r="B82" s="50" t="s">
        <v>91</v>
      </c>
      <c r="C82" s="50" t="s">
        <v>92</v>
      </c>
      <c r="D82" s="53" t="s">
        <v>93</v>
      </c>
      <c r="E82" s="50" t="s">
        <v>97</v>
      </c>
      <c r="F82" s="53" t="s">
        <v>121</v>
      </c>
      <c r="G82" s="53" t="s">
        <v>99</v>
      </c>
      <c r="H82" s="53" t="s">
        <v>100</v>
      </c>
      <c r="I82" s="53" t="s">
        <v>101</v>
      </c>
      <c r="J82" s="53" t="s">
        <v>95</v>
      </c>
      <c r="K82" s="50" t="s">
        <v>96</v>
      </c>
    </row>
    <row r="83" ht="19.5" customHeight="1">
      <c r="A83" s="141">
        <v>38093.0</v>
      </c>
      <c r="B83" s="49" t="s">
        <v>1426</v>
      </c>
      <c r="C83" s="46" t="s">
        <v>103</v>
      </c>
      <c r="D83" s="78">
        <v>1.0</v>
      </c>
      <c r="E83" s="37"/>
      <c r="F83" s="40">
        <v>24.23</v>
      </c>
      <c r="G83" s="40">
        <v>5.4</v>
      </c>
      <c r="H83" s="40">
        <f>G83*F83</f>
        <v>130.842</v>
      </c>
      <c r="I83" s="42"/>
      <c r="J83" s="43">
        <f>H83</f>
        <v>130.842</v>
      </c>
      <c r="K83" s="47"/>
    </row>
    <row r="84" ht="19.5" customHeight="1">
      <c r="A84" s="434" t="s">
        <v>1</v>
      </c>
      <c r="B84" s="50" t="s">
        <v>91</v>
      </c>
      <c r="C84" s="50" t="s">
        <v>92</v>
      </c>
      <c r="D84" s="53" t="s">
        <v>93</v>
      </c>
      <c r="E84" s="51" t="s">
        <v>103</v>
      </c>
      <c r="F84" s="53"/>
      <c r="G84" s="53"/>
      <c r="H84" s="53" t="s">
        <v>100</v>
      </c>
      <c r="I84" s="53" t="s">
        <v>101</v>
      </c>
      <c r="J84" s="53" t="s">
        <v>95</v>
      </c>
      <c r="K84" s="50" t="s">
        <v>96</v>
      </c>
    </row>
    <row r="85" ht="20.25" customHeight="1">
      <c r="A85" s="141">
        <v>39098.0</v>
      </c>
      <c r="B85" s="49" t="s">
        <v>1427</v>
      </c>
      <c r="C85" s="38" t="s">
        <v>103</v>
      </c>
      <c r="D85" s="123">
        <v>1.0</v>
      </c>
      <c r="E85" s="40">
        <f>0.74+0.54+1.04+0.98+0.96+0.5+0.52+0.56+0.64+0.92+1+1+1.08+0.48+1.08</f>
        <v>12.04</v>
      </c>
      <c r="F85" s="40"/>
      <c r="G85" s="40"/>
      <c r="H85" s="40">
        <f>D85*E85</f>
        <v>12.04</v>
      </c>
      <c r="I85" s="42"/>
      <c r="J85" s="289">
        <f>H85</f>
        <v>12.04</v>
      </c>
      <c r="K85" s="313"/>
    </row>
    <row r="86" ht="18.75" customHeight="1">
      <c r="A86" s="434" t="s">
        <v>1</v>
      </c>
      <c r="B86" s="50" t="s">
        <v>91</v>
      </c>
      <c r="C86" s="50" t="s">
        <v>92</v>
      </c>
      <c r="D86" s="53" t="s">
        <v>93</v>
      </c>
      <c r="E86" s="51" t="s">
        <v>103</v>
      </c>
      <c r="F86" s="53"/>
      <c r="G86" s="53"/>
      <c r="H86" s="53" t="s">
        <v>100</v>
      </c>
      <c r="I86" s="53" t="s">
        <v>101</v>
      </c>
      <c r="J86" s="53" t="s">
        <v>95</v>
      </c>
      <c r="K86" s="50" t="s">
        <v>96</v>
      </c>
    </row>
    <row r="87" ht="18.75" customHeight="1">
      <c r="A87" s="141">
        <v>38764.0</v>
      </c>
      <c r="B87" s="49" t="s">
        <v>1428</v>
      </c>
      <c r="C87" s="38" t="s">
        <v>103</v>
      </c>
      <c r="D87" s="123">
        <v>1.0</v>
      </c>
      <c r="E87" s="40">
        <f>148.97+57.31+25.08</f>
        <v>231.36</v>
      </c>
      <c r="F87" s="40"/>
      <c r="G87" s="40"/>
      <c r="H87" s="40">
        <f t="shared" ref="H87:H88" si="11">D87*E87</f>
        <v>231.36</v>
      </c>
      <c r="I87" s="42"/>
      <c r="J87" s="289">
        <f t="shared" ref="J87:J88" si="12">H87</f>
        <v>231.36</v>
      </c>
      <c r="K87" s="437"/>
    </row>
    <row r="88" ht="18.75" customHeight="1">
      <c r="A88" s="141">
        <v>37303.0</v>
      </c>
      <c r="B88" s="49" t="s">
        <v>1429</v>
      </c>
      <c r="C88" s="38" t="s">
        <v>103</v>
      </c>
      <c r="D88" s="125">
        <v>1.0</v>
      </c>
      <c r="E88" s="40">
        <f>(89.5+38.65+3.48)-E85</f>
        <v>119.59</v>
      </c>
      <c r="F88" s="40"/>
      <c r="G88" s="40"/>
      <c r="H88" s="40">
        <f t="shared" si="11"/>
        <v>119.59</v>
      </c>
      <c r="I88" s="42"/>
      <c r="J88" s="289">
        <f t="shared" si="12"/>
        <v>119.59</v>
      </c>
      <c r="K88" s="437"/>
    </row>
    <row r="89" ht="19.5" customHeight="1">
      <c r="A89" s="434" t="s">
        <v>1</v>
      </c>
      <c r="B89" s="50" t="s">
        <v>91</v>
      </c>
      <c r="C89" s="50" t="s">
        <v>92</v>
      </c>
      <c r="D89" s="53" t="s">
        <v>93</v>
      </c>
      <c r="E89" s="51" t="s">
        <v>103</v>
      </c>
      <c r="F89" s="53"/>
      <c r="G89" s="53"/>
      <c r="H89" s="53" t="s">
        <v>100</v>
      </c>
      <c r="I89" s="53" t="s">
        <v>101</v>
      </c>
      <c r="J89" s="53" t="s">
        <v>95</v>
      </c>
      <c r="K89" s="50" t="s">
        <v>96</v>
      </c>
    </row>
    <row r="90" ht="18.0" customHeight="1">
      <c r="A90" s="141">
        <v>39554.0</v>
      </c>
      <c r="B90" s="49" t="s">
        <v>1430</v>
      </c>
      <c r="C90" s="38" t="s">
        <v>103</v>
      </c>
      <c r="D90" s="125">
        <v>1.0</v>
      </c>
      <c r="E90" s="40">
        <f>147.54+231.65+7.2</f>
        <v>386.39</v>
      </c>
      <c r="F90" s="40"/>
      <c r="G90" s="40"/>
      <c r="H90" s="40">
        <f>D90*E90</f>
        <v>386.39</v>
      </c>
      <c r="I90" s="42"/>
      <c r="J90" s="289">
        <f>H90</f>
        <v>386.39</v>
      </c>
      <c r="K90" s="438"/>
    </row>
    <row r="91" ht="19.5" customHeight="1">
      <c r="A91" s="434" t="s">
        <v>1</v>
      </c>
      <c r="B91" s="50" t="s">
        <v>91</v>
      </c>
      <c r="C91" s="50" t="s">
        <v>92</v>
      </c>
      <c r="D91" s="53" t="s">
        <v>93</v>
      </c>
      <c r="E91" s="51" t="s">
        <v>103</v>
      </c>
      <c r="F91" s="53"/>
      <c r="G91" s="53"/>
      <c r="H91" s="53" t="s">
        <v>100</v>
      </c>
      <c r="I91" s="53" t="s">
        <v>101</v>
      </c>
      <c r="J91" s="53" t="s">
        <v>95</v>
      </c>
      <c r="K91" s="50" t="s">
        <v>96</v>
      </c>
    </row>
    <row r="92" ht="18.0" customHeight="1">
      <c r="A92" s="141">
        <v>37362.0</v>
      </c>
      <c r="B92" s="49" t="s">
        <v>1431</v>
      </c>
      <c r="C92" s="38" t="s">
        <v>103</v>
      </c>
      <c r="D92" s="125">
        <v>1.0</v>
      </c>
      <c r="E92" s="40">
        <f>82.71+136.17+112.2+9.76</f>
        <v>340.84</v>
      </c>
      <c r="F92" s="40"/>
      <c r="G92" s="40"/>
      <c r="H92" s="40">
        <f t="shared" ref="H92:H94" si="13">D92*E92</f>
        <v>340.84</v>
      </c>
      <c r="I92" s="42"/>
      <c r="J92" s="312">
        <f>SUM(H92:H94)</f>
        <v>508.02</v>
      </c>
      <c r="K92" s="438"/>
    </row>
    <row r="93" ht="18.0" customHeight="1">
      <c r="A93" s="141">
        <v>37362.0</v>
      </c>
      <c r="B93" s="49" t="s">
        <v>1432</v>
      </c>
      <c r="C93" s="38" t="s">
        <v>103</v>
      </c>
      <c r="D93" s="125">
        <v>1.0</v>
      </c>
      <c r="E93" s="40">
        <f>152.88</f>
        <v>152.88</v>
      </c>
      <c r="F93" s="40"/>
      <c r="G93" s="40"/>
      <c r="H93" s="40">
        <f t="shared" si="13"/>
        <v>152.88</v>
      </c>
      <c r="I93" s="42"/>
      <c r="J93" s="147"/>
      <c r="K93" s="438"/>
    </row>
    <row r="94" ht="18.0" customHeight="1">
      <c r="A94" s="141">
        <v>37362.0</v>
      </c>
      <c r="B94" s="49" t="s">
        <v>1433</v>
      </c>
      <c r="C94" s="38" t="s">
        <v>103</v>
      </c>
      <c r="D94" s="125">
        <v>1.0</v>
      </c>
      <c r="E94" s="41">
        <v>14.3</v>
      </c>
      <c r="F94" s="40"/>
      <c r="G94" s="40"/>
      <c r="H94" s="40">
        <f t="shared" si="13"/>
        <v>14.3</v>
      </c>
      <c r="I94" s="42"/>
      <c r="J94" s="32"/>
      <c r="K94" s="438"/>
    </row>
    <row r="95" ht="19.5" customHeight="1">
      <c r="A95" s="434" t="s">
        <v>1</v>
      </c>
      <c r="B95" s="50" t="s">
        <v>91</v>
      </c>
      <c r="C95" s="50" t="s">
        <v>92</v>
      </c>
      <c r="D95" s="53" t="s">
        <v>93</v>
      </c>
      <c r="E95" s="51" t="s">
        <v>103</v>
      </c>
      <c r="F95" s="53"/>
      <c r="G95" s="53"/>
      <c r="H95" s="53" t="s">
        <v>100</v>
      </c>
      <c r="I95" s="53" t="s">
        <v>101</v>
      </c>
      <c r="J95" s="53" t="s">
        <v>95</v>
      </c>
      <c r="K95" s="50" t="s">
        <v>96</v>
      </c>
    </row>
    <row r="96" ht="18.0" customHeight="1">
      <c r="A96" s="141">
        <v>39919.0</v>
      </c>
      <c r="B96" s="49" t="s">
        <v>1434</v>
      </c>
      <c r="C96" s="38" t="s">
        <v>103</v>
      </c>
      <c r="D96" s="125">
        <v>1.0</v>
      </c>
      <c r="E96" s="41">
        <f>106.96+13.86</f>
        <v>120.82</v>
      </c>
      <c r="F96" s="40"/>
      <c r="G96" s="40"/>
      <c r="H96" s="40">
        <f>D96*E96</f>
        <v>120.82</v>
      </c>
      <c r="I96" s="42"/>
      <c r="J96" s="289">
        <f>H96</f>
        <v>120.82</v>
      </c>
      <c r="K96" s="438"/>
    </row>
    <row r="97" ht="18.75" customHeight="1">
      <c r="A97" s="434" t="s">
        <v>1</v>
      </c>
      <c r="B97" s="50" t="s">
        <v>91</v>
      </c>
      <c r="C97" s="50" t="s">
        <v>92</v>
      </c>
      <c r="D97" s="53" t="s">
        <v>93</v>
      </c>
      <c r="E97" s="50" t="s">
        <v>97</v>
      </c>
      <c r="F97" s="53" t="s">
        <v>121</v>
      </c>
      <c r="G97" s="53" t="s">
        <v>99</v>
      </c>
      <c r="H97" s="53" t="s">
        <v>100</v>
      </c>
      <c r="I97" s="53" t="s">
        <v>101</v>
      </c>
      <c r="J97" s="53" t="s">
        <v>95</v>
      </c>
      <c r="K97" s="50" t="s">
        <v>96</v>
      </c>
    </row>
    <row r="98" ht="19.5" customHeight="1">
      <c r="A98" s="141">
        <v>36966.0</v>
      </c>
      <c r="B98" s="49" t="s">
        <v>1435</v>
      </c>
      <c r="C98" s="46" t="s">
        <v>103</v>
      </c>
      <c r="D98" s="39">
        <v>2.0</v>
      </c>
      <c r="E98" s="49">
        <v>7.87</v>
      </c>
      <c r="F98" s="78">
        <f>(4.88*2)+(4.85*6)</f>
        <v>38.86</v>
      </c>
      <c r="G98" s="40"/>
      <c r="H98" s="40">
        <f t="shared" ref="H98:H102" si="14">D98*E98*F98</f>
        <v>611.6564</v>
      </c>
      <c r="I98" s="42">
        <f>H81+H203+(2*4.2)</f>
        <v>156.9462</v>
      </c>
      <c r="J98" s="289">
        <f t="shared" ref="J98:J101" si="15">H98-I98</f>
        <v>454.7102</v>
      </c>
      <c r="K98" s="46"/>
    </row>
    <row r="99" ht="19.5" customHeight="1">
      <c r="A99" s="141">
        <v>36966.0</v>
      </c>
      <c r="B99" s="49" t="s">
        <v>1436</v>
      </c>
      <c r="C99" s="46" t="s">
        <v>103</v>
      </c>
      <c r="D99" s="39">
        <v>2.0</v>
      </c>
      <c r="E99" s="49">
        <v>7.87</v>
      </c>
      <c r="F99" s="78">
        <f t="shared" ref="F99:F100" si="16">5.18+2.45+2.3+4+5.15+2.64</f>
        <v>21.72</v>
      </c>
      <c r="G99" s="40"/>
      <c r="H99" s="40">
        <f t="shared" si="14"/>
        <v>341.8728</v>
      </c>
      <c r="I99" s="42">
        <f>H204+(2*4.2)+H201+H202+(2*1.89)</f>
        <v>96.876</v>
      </c>
      <c r="J99" s="289">
        <f t="shared" si="15"/>
        <v>244.9968</v>
      </c>
      <c r="K99" s="46"/>
    </row>
    <row r="100" ht="19.5" customHeight="1">
      <c r="A100" s="141">
        <v>36966.0</v>
      </c>
      <c r="B100" s="49" t="s">
        <v>1437</v>
      </c>
      <c r="C100" s="46" t="s">
        <v>103</v>
      </c>
      <c r="D100" s="39">
        <v>1.0</v>
      </c>
      <c r="E100" s="49">
        <v>2.7</v>
      </c>
      <c r="F100" s="78">
        <f t="shared" si="16"/>
        <v>21.72</v>
      </c>
      <c r="G100" s="40"/>
      <c r="H100" s="40">
        <f t="shared" si="14"/>
        <v>58.644</v>
      </c>
      <c r="I100" s="42">
        <f>1.89+(2*2.1)</f>
        <v>6.09</v>
      </c>
      <c r="J100" s="289">
        <f t="shared" si="15"/>
        <v>52.554</v>
      </c>
      <c r="K100" s="46"/>
    </row>
    <row r="101" ht="19.5" customHeight="1">
      <c r="A101" s="141">
        <v>36966.0</v>
      </c>
      <c r="B101" s="49" t="s">
        <v>1437</v>
      </c>
      <c r="C101" s="46" t="s">
        <v>103</v>
      </c>
      <c r="D101" s="39">
        <v>6.0</v>
      </c>
      <c r="E101" s="49">
        <v>2.7</v>
      </c>
      <c r="F101" s="39">
        <v>5.1</v>
      </c>
      <c r="G101" s="40"/>
      <c r="H101" s="40">
        <f t="shared" si="14"/>
        <v>82.62</v>
      </c>
      <c r="I101" s="42"/>
      <c r="J101" s="289">
        <f t="shared" si="15"/>
        <v>82.62</v>
      </c>
      <c r="K101" s="46"/>
    </row>
    <row r="102" ht="19.5" customHeight="1">
      <c r="A102" s="141">
        <v>36966.0</v>
      </c>
      <c r="B102" s="49" t="s">
        <v>1438</v>
      </c>
      <c r="C102" s="46" t="s">
        <v>103</v>
      </c>
      <c r="D102" s="39">
        <v>1.0</v>
      </c>
      <c r="E102" s="49">
        <v>0.4</v>
      </c>
      <c r="F102" s="78">
        <f>(1.65*2)+(2.64*2)</f>
        <v>8.58</v>
      </c>
      <c r="G102" s="40"/>
      <c r="H102" s="40">
        <f t="shared" si="14"/>
        <v>3.432</v>
      </c>
      <c r="I102" s="42"/>
      <c r="J102" s="289">
        <f>D102*E102*F102</f>
        <v>3.432</v>
      </c>
      <c r="K102" s="46"/>
    </row>
    <row r="103" ht="19.5" customHeight="1">
      <c r="A103" s="434" t="s">
        <v>1</v>
      </c>
      <c r="B103" s="50" t="s">
        <v>91</v>
      </c>
      <c r="C103" s="50" t="s">
        <v>92</v>
      </c>
      <c r="D103" s="53" t="s">
        <v>93</v>
      </c>
      <c r="E103" s="51" t="s">
        <v>121</v>
      </c>
      <c r="F103" s="52" t="s">
        <v>1232</v>
      </c>
      <c r="G103" s="53" t="s">
        <v>353</v>
      </c>
      <c r="H103" s="53"/>
      <c r="I103" s="53" t="s">
        <v>101</v>
      </c>
      <c r="J103" s="53" t="s">
        <v>95</v>
      </c>
      <c r="K103" s="50" t="s">
        <v>96</v>
      </c>
    </row>
    <row r="104" ht="19.5" customHeight="1">
      <c r="A104" s="141">
        <v>39463.0</v>
      </c>
      <c r="B104" s="49" t="s">
        <v>1439</v>
      </c>
      <c r="C104" s="46" t="s">
        <v>158</v>
      </c>
      <c r="D104" s="39">
        <v>1.0</v>
      </c>
      <c r="E104" s="37">
        <f>564.3+347.8+30.9</f>
        <v>943</v>
      </c>
      <c r="F104" s="81">
        <v>0.395</v>
      </c>
      <c r="G104" s="40">
        <f>D104*E104*F104</f>
        <v>372.485</v>
      </c>
      <c r="H104" s="40"/>
      <c r="I104" s="42"/>
      <c r="J104" s="43">
        <f>G104</f>
        <v>372.485</v>
      </c>
      <c r="K104" s="46"/>
    </row>
    <row r="105" ht="19.5" customHeight="1">
      <c r="A105" s="434" t="s">
        <v>1</v>
      </c>
      <c r="B105" s="50" t="s">
        <v>91</v>
      </c>
      <c r="C105" s="50" t="s">
        <v>92</v>
      </c>
      <c r="D105" s="53" t="s">
        <v>93</v>
      </c>
      <c r="E105" s="51" t="s">
        <v>121</v>
      </c>
      <c r="F105" s="52" t="s">
        <v>1232</v>
      </c>
      <c r="G105" s="53" t="s">
        <v>353</v>
      </c>
      <c r="H105" s="53"/>
      <c r="I105" s="53" t="s">
        <v>101</v>
      </c>
      <c r="J105" s="53" t="s">
        <v>95</v>
      </c>
      <c r="K105" s="50" t="s">
        <v>96</v>
      </c>
    </row>
    <row r="106" ht="19.5" customHeight="1">
      <c r="A106" s="141">
        <v>38033.0</v>
      </c>
      <c r="B106" s="49" t="s">
        <v>1440</v>
      </c>
      <c r="C106" s="46" t="s">
        <v>158</v>
      </c>
      <c r="D106" s="39">
        <v>1.0</v>
      </c>
      <c r="E106" s="37">
        <f>1061.3+241.3+49.8</f>
        <v>1352.4</v>
      </c>
      <c r="F106" s="81">
        <v>0.154</v>
      </c>
      <c r="G106" s="40">
        <f t="shared" ref="G106:G108" si="17">D106*E106*F106</f>
        <v>208.2696</v>
      </c>
      <c r="H106" s="40"/>
      <c r="I106" s="42"/>
      <c r="J106" s="143">
        <f>SUM(G106:G107)</f>
        <v>388.2494</v>
      </c>
      <c r="K106" s="46"/>
    </row>
    <row r="107" ht="19.5" customHeight="1">
      <c r="A107" s="141">
        <v>38033.0</v>
      </c>
      <c r="B107" s="49" t="s">
        <v>1441</v>
      </c>
      <c r="C107" s="46" t="s">
        <v>158</v>
      </c>
      <c r="D107" s="39">
        <v>1.0</v>
      </c>
      <c r="E107" s="37">
        <f>421.1+646.7+100.9</f>
        <v>1168.7</v>
      </c>
      <c r="F107" s="81">
        <v>0.154</v>
      </c>
      <c r="G107" s="40">
        <f t="shared" si="17"/>
        <v>179.9798</v>
      </c>
      <c r="H107" s="40"/>
      <c r="I107" s="42"/>
      <c r="J107" s="32"/>
      <c r="K107" s="46"/>
    </row>
    <row r="108" ht="19.5" customHeight="1">
      <c r="A108" s="141">
        <v>39129.0</v>
      </c>
      <c r="B108" s="49" t="s">
        <v>1442</v>
      </c>
      <c r="C108" s="46" t="s">
        <v>158</v>
      </c>
      <c r="D108" s="39">
        <v>1.0</v>
      </c>
      <c r="E108" s="37">
        <f>72.3+63.5</f>
        <v>135.8</v>
      </c>
      <c r="F108" s="81">
        <v>0.245</v>
      </c>
      <c r="G108" s="40">
        <f t="shared" si="17"/>
        <v>33.271</v>
      </c>
      <c r="H108" s="40"/>
      <c r="I108" s="42"/>
      <c r="J108" s="43">
        <f>G108</f>
        <v>33.271</v>
      </c>
      <c r="K108" s="46"/>
    </row>
    <row r="109" ht="19.5" customHeight="1">
      <c r="A109" s="434" t="s">
        <v>1</v>
      </c>
      <c r="B109" s="50" t="s">
        <v>91</v>
      </c>
      <c r="C109" s="50" t="s">
        <v>92</v>
      </c>
      <c r="D109" s="53" t="s">
        <v>93</v>
      </c>
      <c r="E109" s="51" t="s">
        <v>121</v>
      </c>
      <c r="F109" s="52" t="s">
        <v>1232</v>
      </c>
      <c r="G109" s="53" t="s">
        <v>353</v>
      </c>
      <c r="H109" s="53"/>
      <c r="I109" s="53" t="s">
        <v>101</v>
      </c>
      <c r="J109" s="53" t="s">
        <v>95</v>
      </c>
      <c r="K109" s="50" t="s">
        <v>96</v>
      </c>
    </row>
    <row r="110" ht="19.5" customHeight="1">
      <c r="A110" s="141">
        <v>37668.0</v>
      </c>
      <c r="B110" s="49" t="s">
        <v>1443</v>
      </c>
      <c r="C110" s="46" t="s">
        <v>158</v>
      </c>
      <c r="D110" s="39">
        <v>1.0</v>
      </c>
      <c r="E110" s="37">
        <f>509+174.4+24.2</f>
        <v>707.6</v>
      </c>
      <c r="F110" s="81">
        <v>0.617</v>
      </c>
      <c r="G110" s="40">
        <f t="shared" ref="G110:G111" si="18">D110*E110*F110</f>
        <v>436.5892</v>
      </c>
      <c r="H110" s="40"/>
      <c r="I110" s="42"/>
      <c r="J110" s="143">
        <f>SUM(G110:G111)</f>
        <v>648.5287</v>
      </c>
      <c r="K110" s="46"/>
    </row>
    <row r="111" ht="19.5" customHeight="1">
      <c r="A111" s="141">
        <v>37668.0</v>
      </c>
      <c r="B111" s="49" t="s">
        <v>1444</v>
      </c>
      <c r="C111" s="46" t="s">
        <v>158</v>
      </c>
      <c r="D111" s="39">
        <v>1.0</v>
      </c>
      <c r="E111" s="37">
        <f>272.4+44+27.1</f>
        <v>343.5</v>
      </c>
      <c r="F111" s="81">
        <v>0.617</v>
      </c>
      <c r="G111" s="40">
        <f t="shared" si="18"/>
        <v>211.9395</v>
      </c>
      <c r="H111" s="40"/>
      <c r="I111" s="42"/>
      <c r="J111" s="32"/>
      <c r="K111" s="46"/>
    </row>
    <row r="112" ht="19.5" customHeight="1">
      <c r="A112" s="434" t="s">
        <v>1</v>
      </c>
      <c r="B112" s="50" t="s">
        <v>91</v>
      </c>
      <c r="C112" s="50" t="s">
        <v>92</v>
      </c>
      <c r="D112" s="53" t="s">
        <v>93</v>
      </c>
      <c r="E112" s="51" t="s">
        <v>121</v>
      </c>
      <c r="F112" s="52" t="s">
        <v>1232</v>
      </c>
      <c r="G112" s="53" t="s">
        <v>353</v>
      </c>
      <c r="H112" s="53"/>
      <c r="I112" s="53" t="s">
        <v>101</v>
      </c>
      <c r="J112" s="53" t="s">
        <v>95</v>
      </c>
      <c r="K112" s="50" t="s">
        <v>96</v>
      </c>
    </row>
    <row r="113" ht="19.5" customHeight="1">
      <c r="A113" s="141">
        <v>38399.0</v>
      </c>
      <c r="B113" s="49" t="s">
        <v>1445</v>
      </c>
      <c r="C113" s="46" t="s">
        <v>158</v>
      </c>
      <c r="D113" s="39">
        <v>1.0</v>
      </c>
      <c r="E113" s="37">
        <f>50.4</f>
        <v>50.4</v>
      </c>
      <c r="F113" s="81">
        <v>0.963</v>
      </c>
      <c r="G113" s="40">
        <f t="shared" ref="G113:G114" si="19">D113*E113*F113</f>
        <v>48.5352</v>
      </c>
      <c r="H113" s="40"/>
      <c r="I113" s="42"/>
      <c r="J113" s="143">
        <f>SUM(G113:G114)</f>
        <v>62.9802</v>
      </c>
      <c r="K113" s="46"/>
    </row>
    <row r="114" ht="19.5" customHeight="1">
      <c r="A114" s="141">
        <v>38399.0</v>
      </c>
      <c r="B114" s="49" t="s">
        <v>1446</v>
      </c>
      <c r="C114" s="46" t="s">
        <v>158</v>
      </c>
      <c r="D114" s="39">
        <v>1.0</v>
      </c>
      <c r="E114" s="49">
        <v>15.0</v>
      </c>
      <c r="F114" s="81">
        <v>0.963</v>
      </c>
      <c r="G114" s="40">
        <f t="shared" si="19"/>
        <v>14.445</v>
      </c>
      <c r="H114" s="40"/>
      <c r="I114" s="42"/>
      <c r="J114" s="32"/>
      <c r="K114" s="46"/>
    </row>
    <row r="115" ht="19.5" customHeight="1">
      <c r="A115" s="434" t="s">
        <v>1</v>
      </c>
      <c r="B115" s="50" t="s">
        <v>91</v>
      </c>
      <c r="C115" s="50" t="s">
        <v>92</v>
      </c>
      <c r="D115" s="53" t="s">
        <v>93</v>
      </c>
      <c r="E115" s="51" t="s">
        <v>121</v>
      </c>
      <c r="F115" s="52" t="s">
        <v>1232</v>
      </c>
      <c r="G115" s="53" t="s">
        <v>353</v>
      </c>
      <c r="H115" s="53"/>
      <c r="I115" s="53" t="s">
        <v>101</v>
      </c>
      <c r="J115" s="53" t="s">
        <v>95</v>
      </c>
      <c r="K115" s="50" t="s">
        <v>96</v>
      </c>
    </row>
    <row r="116" ht="19.5" customHeight="1">
      <c r="A116" s="141">
        <v>39188.0</v>
      </c>
      <c r="B116" s="49" t="s">
        <v>1447</v>
      </c>
      <c r="C116" s="46" t="s">
        <v>158</v>
      </c>
      <c r="D116" s="39">
        <v>1.0</v>
      </c>
      <c r="E116" s="37">
        <f>621.5+681.6+554.9+125.3+794.2+368.8</f>
        <v>3146.3</v>
      </c>
      <c r="F116" s="81">
        <v>0.154</v>
      </c>
      <c r="G116" s="40">
        <f t="shared" ref="G116:G117" si="20">D116*E116*F116</f>
        <v>484.5302</v>
      </c>
      <c r="H116" s="40"/>
      <c r="I116" s="42"/>
      <c r="J116" s="143">
        <f>SUM(G116:G117)</f>
        <v>1259.9202</v>
      </c>
      <c r="K116" s="46"/>
    </row>
    <row r="117" ht="19.5" customHeight="1">
      <c r="A117" s="141">
        <v>39188.0</v>
      </c>
      <c r="B117" s="49" t="s">
        <v>1448</v>
      </c>
      <c r="C117" s="46" t="s">
        <v>158</v>
      </c>
      <c r="D117" s="39">
        <v>1.0</v>
      </c>
      <c r="E117" s="37">
        <f>2140.3+2846.6+48.1</f>
        <v>5035</v>
      </c>
      <c r="F117" s="81">
        <v>0.154</v>
      </c>
      <c r="G117" s="40">
        <f t="shared" si="20"/>
        <v>775.39</v>
      </c>
      <c r="H117" s="40"/>
      <c r="I117" s="42"/>
      <c r="J117" s="32"/>
      <c r="K117" s="46"/>
    </row>
    <row r="118" ht="19.5" customHeight="1">
      <c r="A118" s="434" t="s">
        <v>1</v>
      </c>
      <c r="B118" s="50" t="s">
        <v>91</v>
      </c>
      <c r="C118" s="50" t="s">
        <v>92</v>
      </c>
      <c r="D118" s="53" t="s">
        <v>93</v>
      </c>
      <c r="E118" s="51" t="s">
        <v>121</v>
      </c>
      <c r="F118" s="52" t="s">
        <v>1232</v>
      </c>
      <c r="G118" s="53" t="s">
        <v>353</v>
      </c>
      <c r="H118" s="53"/>
      <c r="I118" s="53" t="s">
        <v>101</v>
      </c>
      <c r="J118" s="53" t="s">
        <v>95</v>
      </c>
      <c r="K118" s="50" t="s">
        <v>96</v>
      </c>
    </row>
    <row r="119" ht="19.5" customHeight="1">
      <c r="A119" s="141">
        <v>40284.0</v>
      </c>
      <c r="B119" s="49" t="s">
        <v>1449</v>
      </c>
      <c r="C119" s="46" t="s">
        <v>158</v>
      </c>
      <c r="D119" s="39">
        <v>1.0</v>
      </c>
      <c r="E119" s="37">
        <f>10.9+169.7+169.7</f>
        <v>350.3</v>
      </c>
      <c r="F119" s="81">
        <v>0.245</v>
      </c>
      <c r="G119" s="40">
        <f t="shared" ref="G119:G120" si="21">D119*E119*F119</f>
        <v>85.8235</v>
      </c>
      <c r="H119" s="40"/>
      <c r="I119" s="42"/>
      <c r="J119" s="43">
        <f t="shared" ref="J119:J120" si="22">SUM(G119)</f>
        <v>85.8235</v>
      </c>
      <c r="K119" s="46"/>
    </row>
    <row r="120" ht="19.5" customHeight="1">
      <c r="A120" s="141">
        <v>38823.0</v>
      </c>
      <c r="B120" s="49" t="s">
        <v>1450</v>
      </c>
      <c r="C120" s="46" t="s">
        <v>158</v>
      </c>
      <c r="D120" s="39">
        <v>1.0</v>
      </c>
      <c r="E120" s="37">
        <f>341.7+656+512+137.2+586.2+73</f>
        <v>2306.1</v>
      </c>
      <c r="F120" s="81">
        <v>0.395</v>
      </c>
      <c r="G120" s="40">
        <f t="shared" si="21"/>
        <v>910.9095</v>
      </c>
      <c r="H120" s="40"/>
      <c r="I120" s="42"/>
      <c r="J120" s="43">
        <f t="shared" si="22"/>
        <v>910.9095</v>
      </c>
      <c r="K120" s="46"/>
    </row>
    <row r="121" ht="19.5" customHeight="1">
      <c r="A121" s="434" t="s">
        <v>1</v>
      </c>
      <c r="B121" s="50" t="s">
        <v>91</v>
      </c>
      <c r="C121" s="50" t="s">
        <v>92</v>
      </c>
      <c r="D121" s="53" t="s">
        <v>93</v>
      </c>
      <c r="E121" s="51" t="s">
        <v>121</v>
      </c>
      <c r="F121" s="52" t="s">
        <v>1232</v>
      </c>
      <c r="G121" s="53" t="s">
        <v>353</v>
      </c>
      <c r="H121" s="53"/>
      <c r="I121" s="53" t="s">
        <v>101</v>
      </c>
      <c r="J121" s="53" t="s">
        <v>95</v>
      </c>
      <c r="K121" s="50" t="s">
        <v>96</v>
      </c>
    </row>
    <row r="122" ht="19.5" customHeight="1">
      <c r="A122" s="141">
        <v>38458.0</v>
      </c>
      <c r="B122" s="49" t="s">
        <v>1451</v>
      </c>
      <c r="C122" s="46" t="s">
        <v>158</v>
      </c>
      <c r="D122" s="39">
        <v>1.0</v>
      </c>
      <c r="E122" s="37">
        <f>181.2</f>
        <v>181.2</v>
      </c>
      <c r="F122" s="81">
        <v>0.617</v>
      </c>
      <c r="G122" s="40">
        <f t="shared" ref="G122:G123" si="23">D122*E122*F122</f>
        <v>111.8004</v>
      </c>
      <c r="H122" s="40"/>
      <c r="I122" s="42"/>
      <c r="J122" s="143">
        <f>SUM(G122:G123)</f>
        <v>1338.7666</v>
      </c>
      <c r="K122" s="46"/>
    </row>
    <row r="123" ht="19.5" customHeight="1">
      <c r="A123" s="141">
        <v>38458.0</v>
      </c>
      <c r="B123" s="49" t="s">
        <v>1452</v>
      </c>
      <c r="C123" s="46" t="s">
        <v>158</v>
      </c>
      <c r="D123" s="39">
        <v>1.0</v>
      </c>
      <c r="E123" s="37">
        <f>767+1210+11.6</f>
        <v>1988.6</v>
      </c>
      <c r="F123" s="81">
        <v>0.617</v>
      </c>
      <c r="G123" s="40">
        <f t="shared" si="23"/>
        <v>1226.9662</v>
      </c>
      <c r="H123" s="40"/>
      <c r="I123" s="42"/>
      <c r="J123" s="32"/>
      <c r="K123" s="46"/>
    </row>
    <row r="124" ht="19.5" customHeight="1">
      <c r="A124" s="434" t="s">
        <v>1</v>
      </c>
      <c r="B124" s="50" t="s">
        <v>91</v>
      </c>
      <c r="C124" s="50" t="s">
        <v>92</v>
      </c>
      <c r="D124" s="53" t="s">
        <v>93</v>
      </c>
      <c r="E124" s="51" t="s">
        <v>121</v>
      </c>
      <c r="F124" s="52" t="s">
        <v>1232</v>
      </c>
      <c r="G124" s="53" t="s">
        <v>353</v>
      </c>
      <c r="H124" s="53"/>
      <c r="I124" s="53" t="s">
        <v>101</v>
      </c>
      <c r="J124" s="53" t="s">
        <v>95</v>
      </c>
      <c r="K124" s="50" t="s">
        <v>96</v>
      </c>
    </row>
    <row r="125" ht="19.5" customHeight="1">
      <c r="A125" s="141">
        <v>37727.0</v>
      </c>
      <c r="B125" s="49" t="s">
        <v>1453</v>
      </c>
      <c r="C125" s="46" t="s">
        <v>158</v>
      </c>
      <c r="D125" s="39">
        <v>1.0</v>
      </c>
      <c r="E125" s="37">
        <f>39.5</f>
        <v>39.5</v>
      </c>
      <c r="F125" s="81">
        <v>0.963</v>
      </c>
      <c r="G125" s="40">
        <f t="shared" ref="G125:G126" si="24">D125*E125*F125</f>
        <v>38.0385</v>
      </c>
      <c r="H125" s="40"/>
      <c r="I125" s="42"/>
      <c r="J125" s="143">
        <f>SUM(G125:G126)</f>
        <v>208.2006</v>
      </c>
      <c r="K125" s="46"/>
    </row>
    <row r="126" ht="19.5" customHeight="1">
      <c r="A126" s="141">
        <v>37727.0</v>
      </c>
      <c r="B126" s="49" t="s">
        <v>1454</v>
      </c>
      <c r="C126" s="46" t="s">
        <v>158</v>
      </c>
      <c r="D126" s="39">
        <v>1.0</v>
      </c>
      <c r="E126" s="37">
        <f>68.3+92.9+15.5</f>
        <v>176.7</v>
      </c>
      <c r="F126" s="81">
        <v>0.963</v>
      </c>
      <c r="G126" s="40">
        <f t="shared" si="24"/>
        <v>170.1621</v>
      </c>
      <c r="H126" s="40"/>
      <c r="I126" s="42"/>
      <c r="J126" s="32"/>
      <c r="K126" s="46"/>
    </row>
    <row r="127" ht="19.5" customHeight="1">
      <c r="A127" s="434" t="s">
        <v>1</v>
      </c>
      <c r="B127" s="50" t="s">
        <v>91</v>
      </c>
      <c r="C127" s="50" t="s">
        <v>92</v>
      </c>
      <c r="D127" s="53" t="s">
        <v>93</v>
      </c>
      <c r="E127" s="51" t="s">
        <v>121</v>
      </c>
      <c r="F127" s="52" t="s">
        <v>1232</v>
      </c>
      <c r="G127" s="53" t="s">
        <v>353</v>
      </c>
      <c r="H127" s="53"/>
      <c r="I127" s="53" t="s">
        <v>101</v>
      </c>
      <c r="J127" s="53" t="s">
        <v>95</v>
      </c>
      <c r="K127" s="50" t="s">
        <v>96</v>
      </c>
    </row>
    <row r="128" ht="19.5" customHeight="1">
      <c r="A128" s="141">
        <v>40649.0</v>
      </c>
      <c r="B128" s="49" t="s">
        <v>1455</v>
      </c>
      <c r="C128" s="46" t="s">
        <v>158</v>
      </c>
      <c r="D128" s="39">
        <v>1.0</v>
      </c>
      <c r="E128" s="37">
        <f>78.4</f>
        <v>78.4</v>
      </c>
      <c r="F128" s="81">
        <v>1.578</v>
      </c>
      <c r="G128" s="40">
        <f t="shared" ref="G128:G133" si="25">D128*E128*F128</f>
        <v>123.7152</v>
      </c>
      <c r="H128" s="40"/>
      <c r="I128" s="42"/>
      <c r="J128" s="43">
        <f t="shared" ref="J128:J133" si="26">G128</f>
        <v>123.7152</v>
      </c>
      <c r="K128" s="46"/>
    </row>
    <row r="129" ht="19.5" customHeight="1">
      <c r="A129" s="141">
        <v>41015.0</v>
      </c>
      <c r="B129" s="49" t="s">
        <v>1456</v>
      </c>
      <c r="C129" s="46" t="s">
        <v>158</v>
      </c>
      <c r="D129" s="39">
        <v>1.0</v>
      </c>
      <c r="E129" s="37">
        <f>57.8+1598.6</f>
        <v>1656.4</v>
      </c>
      <c r="F129" s="81">
        <v>0.154</v>
      </c>
      <c r="G129" s="40">
        <f t="shared" si="25"/>
        <v>255.0856</v>
      </c>
      <c r="H129" s="40"/>
      <c r="I129" s="42"/>
      <c r="J129" s="43">
        <f t="shared" si="26"/>
        <v>255.0856</v>
      </c>
      <c r="K129" s="46"/>
    </row>
    <row r="130" ht="19.5" customHeight="1">
      <c r="A130" s="141">
        <v>41380.0</v>
      </c>
      <c r="B130" s="49" t="s">
        <v>1457</v>
      </c>
      <c r="C130" s="46" t="s">
        <v>158</v>
      </c>
      <c r="D130" s="39">
        <v>1.0</v>
      </c>
      <c r="E130" s="37">
        <f>619.3</f>
        <v>619.3</v>
      </c>
      <c r="F130" s="81">
        <v>0.245</v>
      </c>
      <c r="G130" s="40">
        <f t="shared" si="25"/>
        <v>151.7285</v>
      </c>
      <c r="H130" s="40"/>
      <c r="I130" s="42"/>
      <c r="J130" s="43">
        <f t="shared" si="26"/>
        <v>151.7285</v>
      </c>
      <c r="K130" s="46"/>
    </row>
    <row r="131" ht="19.5" customHeight="1">
      <c r="A131" s="141">
        <v>41745.0</v>
      </c>
      <c r="B131" s="49" t="s">
        <v>1458</v>
      </c>
      <c r="C131" s="46" t="s">
        <v>158</v>
      </c>
      <c r="D131" s="39">
        <v>1.0</v>
      </c>
      <c r="E131" s="37">
        <f>306.7+26.4</f>
        <v>333.1</v>
      </c>
      <c r="F131" s="81">
        <v>0.395</v>
      </c>
      <c r="G131" s="40">
        <f t="shared" si="25"/>
        <v>131.5745</v>
      </c>
      <c r="H131" s="40"/>
      <c r="I131" s="42"/>
      <c r="J131" s="43">
        <f t="shared" si="26"/>
        <v>131.5745</v>
      </c>
      <c r="K131" s="46"/>
    </row>
    <row r="132" ht="19.5" customHeight="1">
      <c r="A132" s="141">
        <v>42110.0</v>
      </c>
      <c r="B132" s="49" t="s">
        <v>1459</v>
      </c>
      <c r="C132" s="46" t="s">
        <v>158</v>
      </c>
      <c r="D132" s="39">
        <v>1.0</v>
      </c>
      <c r="E132" s="37">
        <f>222.2</f>
        <v>222.2</v>
      </c>
      <c r="F132" s="81">
        <v>0.617</v>
      </c>
      <c r="G132" s="40">
        <f t="shared" si="25"/>
        <v>137.0974</v>
      </c>
      <c r="H132" s="40"/>
      <c r="I132" s="42"/>
      <c r="J132" s="43">
        <f t="shared" si="26"/>
        <v>137.0974</v>
      </c>
      <c r="K132" s="46"/>
    </row>
    <row r="133" ht="19.5" customHeight="1">
      <c r="A133" s="141">
        <v>42476.0</v>
      </c>
      <c r="B133" s="49" t="s">
        <v>1460</v>
      </c>
      <c r="C133" s="46" t="s">
        <v>158</v>
      </c>
      <c r="D133" s="39">
        <v>1.0</v>
      </c>
      <c r="E133" s="37">
        <f>95.2+59.1</f>
        <v>154.3</v>
      </c>
      <c r="F133" s="81">
        <v>0.963</v>
      </c>
      <c r="G133" s="40">
        <f t="shared" si="25"/>
        <v>148.5909</v>
      </c>
      <c r="H133" s="40"/>
      <c r="I133" s="42"/>
      <c r="J133" s="43">
        <f t="shared" si="26"/>
        <v>148.5909</v>
      </c>
      <c r="K133" s="46"/>
    </row>
    <row r="134" ht="19.5" customHeight="1">
      <c r="A134" s="434" t="s">
        <v>1</v>
      </c>
      <c r="B134" s="51"/>
      <c r="C134" s="50" t="s">
        <v>92</v>
      </c>
      <c r="D134" s="53" t="s">
        <v>93</v>
      </c>
      <c r="E134" s="50" t="s">
        <v>97</v>
      </c>
      <c r="F134" s="53" t="s">
        <v>121</v>
      </c>
      <c r="G134" s="53" t="s">
        <v>99</v>
      </c>
      <c r="H134" s="53" t="s">
        <v>100</v>
      </c>
      <c r="I134" s="53" t="s">
        <v>101</v>
      </c>
      <c r="J134" s="53" t="s">
        <v>95</v>
      </c>
      <c r="K134" s="50" t="s">
        <v>96</v>
      </c>
    </row>
    <row r="135" ht="19.5" customHeight="1">
      <c r="A135" s="141">
        <v>38519.0</v>
      </c>
      <c r="B135" s="439" t="s">
        <v>1461</v>
      </c>
      <c r="C135" s="46" t="s">
        <v>108</v>
      </c>
      <c r="D135" s="78">
        <v>2.0</v>
      </c>
      <c r="E135" s="37"/>
      <c r="F135" s="40">
        <f>41.55+24.23</f>
        <v>65.78</v>
      </c>
      <c r="G135" s="41">
        <v>1.0</v>
      </c>
      <c r="H135" s="40">
        <f>(G135+F135)*D135</f>
        <v>133.56</v>
      </c>
      <c r="I135" s="42"/>
      <c r="J135" s="436">
        <f>H135</f>
        <v>133.56</v>
      </c>
      <c r="K135" s="46"/>
    </row>
    <row r="136" ht="19.5" customHeight="1">
      <c r="A136" s="434" t="s">
        <v>1</v>
      </c>
      <c r="B136" s="50" t="s">
        <v>91</v>
      </c>
      <c r="C136" s="50" t="s">
        <v>92</v>
      </c>
      <c r="D136" s="53" t="s">
        <v>93</v>
      </c>
      <c r="E136" s="50" t="s">
        <v>97</v>
      </c>
      <c r="F136" s="53" t="s">
        <v>99</v>
      </c>
      <c r="G136" s="53" t="s">
        <v>121</v>
      </c>
      <c r="H136" s="53" t="s">
        <v>100</v>
      </c>
      <c r="I136" s="53" t="s">
        <v>101</v>
      </c>
      <c r="J136" s="53" t="s">
        <v>95</v>
      </c>
      <c r="K136" s="50" t="s">
        <v>96</v>
      </c>
    </row>
    <row r="137" ht="19.5" customHeight="1">
      <c r="A137" s="218">
        <v>37423.0</v>
      </c>
      <c r="B137" s="37" t="s">
        <v>188</v>
      </c>
      <c r="C137" s="46" t="s">
        <v>103</v>
      </c>
      <c r="D137" s="78">
        <v>1.0</v>
      </c>
      <c r="E137" s="37"/>
      <c r="F137" s="40">
        <v>41.55</v>
      </c>
      <c r="G137" s="40">
        <v>24.3</v>
      </c>
      <c r="H137" s="40">
        <f>G137*F137</f>
        <v>1009.665</v>
      </c>
      <c r="I137" s="42"/>
      <c r="J137" s="43">
        <f>H137-I137</f>
        <v>1009.665</v>
      </c>
      <c r="K137" s="38" t="s">
        <v>1462</v>
      </c>
    </row>
    <row r="138" ht="19.5" customHeight="1">
      <c r="A138" s="434" t="s">
        <v>1</v>
      </c>
      <c r="B138" s="50" t="s">
        <v>91</v>
      </c>
      <c r="C138" s="50" t="s">
        <v>92</v>
      </c>
      <c r="D138" s="53" t="s">
        <v>93</v>
      </c>
      <c r="E138" s="50" t="s">
        <v>97</v>
      </c>
      <c r="F138" s="53" t="s">
        <v>99</v>
      </c>
      <c r="G138" s="53" t="s">
        <v>121</v>
      </c>
      <c r="H138" s="53" t="s">
        <v>100</v>
      </c>
      <c r="I138" s="53" t="s">
        <v>101</v>
      </c>
      <c r="J138" s="53" t="s">
        <v>95</v>
      </c>
      <c r="K138" s="50" t="s">
        <v>96</v>
      </c>
    </row>
    <row r="139" ht="19.5" customHeight="1">
      <c r="A139" s="218">
        <v>37788.0</v>
      </c>
      <c r="B139" s="37" t="s">
        <v>189</v>
      </c>
      <c r="C139" s="46" t="s">
        <v>103</v>
      </c>
      <c r="D139" s="78">
        <v>1.0</v>
      </c>
      <c r="E139" s="37"/>
      <c r="F139" s="40">
        <f>F137</f>
        <v>41.55</v>
      </c>
      <c r="G139" s="40">
        <v>24.3</v>
      </c>
      <c r="H139" s="40">
        <f>G139*F139</f>
        <v>1009.665</v>
      </c>
      <c r="I139" s="42"/>
      <c r="J139" s="43">
        <f>H139-I139</f>
        <v>1009.665</v>
      </c>
      <c r="K139" s="38" t="s">
        <v>1462</v>
      </c>
    </row>
    <row r="140" ht="19.5" customHeight="1">
      <c r="A140" s="434" t="s">
        <v>1</v>
      </c>
      <c r="B140" s="50" t="s">
        <v>91</v>
      </c>
      <c r="C140" s="50" t="s">
        <v>92</v>
      </c>
      <c r="D140" s="53" t="s">
        <v>93</v>
      </c>
      <c r="E140" s="50" t="s">
        <v>97</v>
      </c>
      <c r="F140" s="53" t="s">
        <v>99</v>
      </c>
      <c r="G140" s="53" t="s">
        <v>121</v>
      </c>
      <c r="H140" s="53" t="s">
        <v>100</v>
      </c>
      <c r="I140" s="53" t="s">
        <v>101</v>
      </c>
      <c r="J140" s="53" t="s">
        <v>95</v>
      </c>
      <c r="K140" s="50" t="s">
        <v>96</v>
      </c>
    </row>
    <row r="141" ht="19.5" customHeight="1">
      <c r="A141" s="218">
        <v>38154.0</v>
      </c>
      <c r="B141" s="37" t="s">
        <v>1463</v>
      </c>
      <c r="C141" s="38" t="s">
        <v>108</v>
      </c>
      <c r="D141" s="78">
        <v>8.0</v>
      </c>
      <c r="E141" s="37"/>
      <c r="F141" s="40">
        <v>20.0</v>
      </c>
      <c r="G141" s="40">
        <v>80.0</v>
      </c>
      <c r="H141" s="40">
        <f>G141*F141*D141</f>
        <v>12800</v>
      </c>
      <c r="I141" s="42"/>
      <c r="J141" s="43">
        <f>H141-I141</f>
        <v>12800</v>
      </c>
      <c r="K141" s="38" t="s">
        <v>1462</v>
      </c>
    </row>
    <row r="142" ht="19.5" customHeight="1">
      <c r="A142" s="434" t="s">
        <v>1</v>
      </c>
      <c r="B142" s="50" t="s">
        <v>91</v>
      </c>
      <c r="C142" s="50" t="s">
        <v>92</v>
      </c>
      <c r="D142" s="53" t="s">
        <v>93</v>
      </c>
      <c r="E142" s="50" t="s">
        <v>97</v>
      </c>
      <c r="F142" s="53" t="s">
        <v>99</v>
      </c>
      <c r="G142" s="53" t="s">
        <v>121</v>
      </c>
      <c r="H142" s="53" t="s">
        <v>100</v>
      </c>
      <c r="I142" s="53" t="s">
        <v>101</v>
      </c>
      <c r="J142" s="53" t="s">
        <v>95</v>
      </c>
      <c r="K142" s="50" t="s">
        <v>96</v>
      </c>
    </row>
    <row r="143" ht="19.5" customHeight="1">
      <c r="A143" s="141">
        <v>38884.0</v>
      </c>
      <c r="B143" s="49" t="s">
        <v>584</v>
      </c>
      <c r="C143" s="38" t="s">
        <v>108</v>
      </c>
      <c r="D143" s="78">
        <v>2.0</v>
      </c>
      <c r="E143" s="37"/>
      <c r="F143" s="40"/>
      <c r="G143" s="41">
        <v>41.55</v>
      </c>
      <c r="H143" s="40">
        <f>D143*G143</f>
        <v>83.1</v>
      </c>
      <c r="I143" s="42"/>
      <c r="J143" s="43">
        <f>H143-I143</f>
        <v>83.1</v>
      </c>
      <c r="K143" s="46"/>
    </row>
    <row r="144" ht="19.5" customHeight="1">
      <c r="A144" s="434" t="s">
        <v>1</v>
      </c>
      <c r="B144" s="50" t="s">
        <v>91</v>
      </c>
      <c r="C144" s="50" t="s">
        <v>92</v>
      </c>
      <c r="D144" s="53" t="s">
        <v>93</v>
      </c>
      <c r="E144" s="50" t="s">
        <v>97</v>
      </c>
      <c r="F144" s="53" t="s">
        <v>99</v>
      </c>
      <c r="G144" s="53" t="s">
        <v>121</v>
      </c>
      <c r="H144" s="53" t="s">
        <v>100</v>
      </c>
      <c r="I144" s="53" t="s">
        <v>101</v>
      </c>
      <c r="J144" s="53" t="s">
        <v>95</v>
      </c>
      <c r="K144" s="50" t="s">
        <v>96</v>
      </c>
    </row>
    <row r="145" ht="19.5" customHeight="1">
      <c r="A145" s="154" t="s">
        <v>1464</v>
      </c>
      <c r="B145" s="49" t="s">
        <v>1018</v>
      </c>
      <c r="C145" s="46" t="s">
        <v>103</v>
      </c>
      <c r="D145" s="39">
        <v>2.0</v>
      </c>
      <c r="E145" s="49">
        <v>0.15</v>
      </c>
      <c r="F145" s="41">
        <v>0.5</v>
      </c>
      <c r="G145" s="41">
        <v>41.55</v>
      </c>
      <c r="H145" s="40">
        <f t="shared" ref="H145:H149" si="27">D145*((F145*2)+E145)*G145</f>
        <v>95.565</v>
      </c>
      <c r="I145" s="42"/>
      <c r="J145" s="264">
        <f>SUM(H145:H154)</f>
        <v>419.6155</v>
      </c>
      <c r="K145" s="46"/>
    </row>
    <row r="146" ht="19.5" customHeight="1">
      <c r="A146" s="154" t="s">
        <v>1464</v>
      </c>
      <c r="B146" s="49" t="s">
        <v>1018</v>
      </c>
      <c r="C146" s="46" t="s">
        <v>103</v>
      </c>
      <c r="D146" s="39">
        <v>3.0</v>
      </c>
      <c r="E146" s="49">
        <v>0.15</v>
      </c>
      <c r="F146" s="41">
        <v>0.5</v>
      </c>
      <c r="G146" s="41">
        <v>24.2</v>
      </c>
      <c r="H146" s="40">
        <f t="shared" si="27"/>
        <v>83.49</v>
      </c>
      <c r="I146" s="42"/>
      <c r="J146" s="147"/>
      <c r="K146" s="46"/>
    </row>
    <row r="147" ht="19.5" customHeight="1">
      <c r="A147" s="154" t="s">
        <v>1464</v>
      </c>
      <c r="B147" s="49" t="s">
        <v>1018</v>
      </c>
      <c r="C147" s="46" t="s">
        <v>103</v>
      </c>
      <c r="D147" s="39">
        <v>16.0</v>
      </c>
      <c r="E147" s="49">
        <v>0.25</v>
      </c>
      <c r="F147" s="41">
        <v>0.45</v>
      </c>
      <c r="G147" s="41">
        <v>2.8</v>
      </c>
      <c r="H147" s="40">
        <f t="shared" si="27"/>
        <v>51.52</v>
      </c>
      <c r="I147" s="42"/>
      <c r="J147" s="147"/>
      <c r="K147" s="46"/>
    </row>
    <row r="148" ht="19.5" customHeight="1">
      <c r="A148" s="154" t="s">
        <v>1464</v>
      </c>
      <c r="B148" s="49" t="s">
        <v>1018</v>
      </c>
      <c r="C148" s="46" t="s">
        <v>103</v>
      </c>
      <c r="D148" s="39">
        <v>6.0</v>
      </c>
      <c r="E148" s="49">
        <v>0.15</v>
      </c>
      <c r="F148" s="41">
        <v>0.5</v>
      </c>
      <c r="G148" s="41">
        <v>5.07</v>
      </c>
      <c r="H148" s="40">
        <f t="shared" si="27"/>
        <v>34.983</v>
      </c>
      <c r="I148" s="42"/>
      <c r="J148" s="147"/>
      <c r="K148" s="46"/>
    </row>
    <row r="149" ht="19.5" customHeight="1">
      <c r="A149" s="154" t="s">
        <v>1464</v>
      </c>
      <c r="B149" s="49" t="s">
        <v>1018</v>
      </c>
      <c r="C149" s="46" t="s">
        <v>103</v>
      </c>
      <c r="D149" s="39">
        <v>1.0</v>
      </c>
      <c r="E149" s="49">
        <v>0.15</v>
      </c>
      <c r="F149" s="41">
        <v>0.5</v>
      </c>
      <c r="G149" s="67">
        <v>4.05</v>
      </c>
      <c r="H149" s="40">
        <f t="shared" si="27"/>
        <v>4.6575</v>
      </c>
      <c r="I149" s="42"/>
      <c r="J149" s="147"/>
      <c r="K149" s="46"/>
    </row>
    <row r="150" ht="19.5" customHeight="1">
      <c r="A150" s="154" t="s">
        <v>1464</v>
      </c>
      <c r="B150" s="49" t="s">
        <v>1465</v>
      </c>
      <c r="C150" s="46" t="s">
        <v>103</v>
      </c>
      <c r="D150" s="39">
        <v>34.0</v>
      </c>
      <c r="E150" s="49">
        <v>1.5</v>
      </c>
      <c r="F150" s="41">
        <v>0.2</v>
      </c>
      <c r="G150" s="67">
        <v>0.2</v>
      </c>
      <c r="H150" s="40">
        <f t="shared" ref="H150:H154" si="28">D150*E150*((F150+G150)*2)</f>
        <v>40.8</v>
      </c>
      <c r="I150" s="42"/>
      <c r="J150" s="147"/>
      <c r="K150" s="46"/>
    </row>
    <row r="151" ht="19.5" customHeight="1">
      <c r="A151" s="154" t="s">
        <v>1464</v>
      </c>
      <c r="B151" s="49" t="s">
        <v>1466</v>
      </c>
      <c r="C151" s="46" t="s">
        <v>103</v>
      </c>
      <c r="D151" s="39">
        <v>4.0</v>
      </c>
      <c r="E151" s="49">
        <v>1.5</v>
      </c>
      <c r="F151" s="41">
        <v>0.2</v>
      </c>
      <c r="G151" s="67">
        <v>0.25</v>
      </c>
      <c r="H151" s="40">
        <f t="shared" si="28"/>
        <v>5.4</v>
      </c>
      <c r="I151" s="42"/>
      <c r="J151" s="147"/>
      <c r="K151" s="46"/>
    </row>
    <row r="152" ht="19.5" customHeight="1">
      <c r="A152" s="154" t="s">
        <v>1464</v>
      </c>
      <c r="B152" s="49" t="s">
        <v>1467</v>
      </c>
      <c r="C152" s="46" t="s">
        <v>103</v>
      </c>
      <c r="D152" s="39">
        <v>4.0</v>
      </c>
      <c r="E152" s="49">
        <v>1.5</v>
      </c>
      <c r="F152" s="41">
        <v>0.2</v>
      </c>
      <c r="G152" s="67">
        <v>0.4</v>
      </c>
      <c r="H152" s="40">
        <f t="shared" si="28"/>
        <v>7.2</v>
      </c>
      <c r="I152" s="42"/>
      <c r="J152" s="147"/>
      <c r="K152" s="46"/>
    </row>
    <row r="153" ht="19.5" customHeight="1">
      <c r="A153" s="154" t="s">
        <v>1464</v>
      </c>
      <c r="B153" s="49" t="s">
        <v>1468</v>
      </c>
      <c r="C153" s="46" t="s">
        <v>103</v>
      </c>
      <c r="D153" s="39">
        <v>20.0</v>
      </c>
      <c r="E153" s="49">
        <v>1.5</v>
      </c>
      <c r="F153" s="41">
        <v>0.25</v>
      </c>
      <c r="G153" s="67">
        <v>0.25</v>
      </c>
      <c r="H153" s="40">
        <f t="shared" si="28"/>
        <v>30</v>
      </c>
      <c r="I153" s="42"/>
      <c r="J153" s="147"/>
      <c r="K153" s="46"/>
    </row>
    <row r="154" ht="19.5" customHeight="1">
      <c r="A154" s="154" t="s">
        <v>1464</v>
      </c>
      <c r="B154" s="49" t="s">
        <v>1469</v>
      </c>
      <c r="C154" s="46" t="s">
        <v>103</v>
      </c>
      <c r="D154" s="39">
        <v>22.0</v>
      </c>
      <c r="E154" s="49">
        <v>1.5</v>
      </c>
      <c r="F154" s="41">
        <v>0.3</v>
      </c>
      <c r="G154" s="2">
        <v>0.7</v>
      </c>
      <c r="H154" s="40">
        <f t="shared" si="28"/>
        <v>66</v>
      </c>
      <c r="I154" s="42"/>
      <c r="J154" s="32"/>
      <c r="K154" s="46"/>
    </row>
    <row r="155" ht="19.5" customHeight="1">
      <c r="A155" s="434" t="s">
        <v>1</v>
      </c>
      <c r="B155" s="50" t="s">
        <v>91</v>
      </c>
      <c r="C155" s="50" t="s">
        <v>92</v>
      </c>
      <c r="D155" s="53" t="s">
        <v>93</v>
      </c>
      <c r="E155" s="50" t="s">
        <v>97</v>
      </c>
      <c r="F155" s="53" t="s">
        <v>99</v>
      </c>
      <c r="G155" s="53" t="s">
        <v>121</v>
      </c>
      <c r="H155" s="53" t="s">
        <v>100</v>
      </c>
      <c r="I155" s="53" t="s">
        <v>101</v>
      </c>
      <c r="J155" s="53" t="s">
        <v>95</v>
      </c>
      <c r="K155" s="50" t="s">
        <v>96</v>
      </c>
    </row>
    <row r="156" ht="19.5" customHeight="1">
      <c r="A156" s="154" t="s">
        <v>1470</v>
      </c>
      <c r="B156" s="49" t="s">
        <v>1471</v>
      </c>
      <c r="C156" s="46" t="s">
        <v>103</v>
      </c>
      <c r="D156" s="39">
        <v>2.0</v>
      </c>
      <c r="E156" s="37"/>
      <c r="F156" s="41">
        <v>5.1</v>
      </c>
      <c r="G156" s="41">
        <v>8.53</v>
      </c>
      <c r="H156" s="40">
        <f>G156*F156*D156</f>
        <v>87.006</v>
      </c>
      <c r="I156" s="42"/>
      <c r="J156" s="436">
        <f t="shared" ref="J156:J159" si="29">H156-I156</f>
        <v>87.006</v>
      </c>
      <c r="K156" s="46"/>
    </row>
    <row r="157" ht="19.5" customHeight="1">
      <c r="A157" s="154" t="s">
        <v>1472</v>
      </c>
      <c r="B157" s="49" t="s">
        <v>1471</v>
      </c>
      <c r="C157" s="46" t="s">
        <v>103</v>
      </c>
      <c r="D157" s="39">
        <v>2.0</v>
      </c>
      <c r="E157" s="49">
        <v>2.1</v>
      </c>
      <c r="F157" s="41"/>
      <c r="G157" s="41">
        <f>(F156+G156)*2</f>
        <v>27.26</v>
      </c>
      <c r="H157" s="40">
        <f>D157*E157*G157</f>
        <v>114.492</v>
      </c>
      <c r="I157" s="42">
        <f>(0.66*2)+(0.88*2)</f>
        <v>3.08</v>
      </c>
      <c r="J157" s="436">
        <f t="shared" si="29"/>
        <v>111.412</v>
      </c>
      <c r="K157" s="46"/>
    </row>
    <row r="158" ht="19.5" customHeight="1">
      <c r="A158" s="154" t="s">
        <v>1470</v>
      </c>
      <c r="B158" s="49" t="s">
        <v>1473</v>
      </c>
      <c r="C158" s="46" t="s">
        <v>103</v>
      </c>
      <c r="D158" s="39">
        <v>2.0</v>
      </c>
      <c r="E158" s="37"/>
      <c r="F158" s="41">
        <v>1.93</v>
      </c>
      <c r="G158" s="41">
        <v>3.8</v>
      </c>
      <c r="H158" s="40">
        <f>D158*F158*G158</f>
        <v>14.668</v>
      </c>
      <c r="I158" s="42"/>
      <c r="J158" s="436">
        <f t="shared" si="29"/>
        <v>14.668</v>
      </c>
      <c r="K158" s="46"/>
    </row>
    <row r="159" ht="19.5" customHeight="1">
      <c r="A159" s="154" t="s">
        <v>1470</v>
      </c>
      <c r="B159" s="49" t="s">
        <v>1473</v>
      </c>
      <c r="C159" s="46" t="s">
        <v>103</v>
      </c>
      <c r="D159" s="39">
        <v>2.0</v>
      </c>
      <c r="E159" s="49">
        <v>2.1</v>
      </c>
      <c r="F159" s="41"/>
      <c r="G159" s="41">
        <f>(F158+G158)*2</f>
        <v>11.46</v>
      </c>
      <c r="H159" s="40">
        <f>D159*E159*G159</f>
        <v>48.132</v>
      </c>
      <c r="I159" s="42">
        <f>0.66*2</f>
        <v>1.32</v>
      </c>
      <c r="J159" s="436">
        <f t="shared" si="29"/>
        <v>46.812</v>
      </c>
      <c r="K159" s="46"/>
    </row>
    <row r="160" ht="19.5" customHeight="1">
      <c r="A160" s="434" t="s">
        <v>1</v>
      </c>
      <c r="B160" s="50" t="s">
        <v>91</v>
      </c>
      <c r="C160" s="50" t="s">
        <v>92</v>
      </c>
      <c r="D160" s="53" t="s">
        <v>93</v>
      </c>
      <c r="E160" s="50" t="s">
        <v>97</v>
      </c>
      <c r="F160" s="53" t="s">
        <v>99</v>
      </c>
      <c r="G160" s="53" t="s">
        <v>121</v>
      </c>
      <c r="H160" s="53" t="s">
        <v>100</v>
      </c>
      <c r="I160" s="53" t="s">
        <v>101</v>
      </c>
      <c r="J160" s="53" t="s">
        <v>95</v>
      </c>
      <c r="K160" s="50" t="s">
        <v>96</v>
      </c>
    </row>
    <row r="161" ht="19.5" customHeight="1">
      <c r="A161" s="141">
        <v>37119.0</v>
      </c>
      <c r="B161" s="49" t="s">
        <v>1474</v>
      </c>
      <c r="C161" s="46" t="s">
        <v>103</v>
      </c>
      <c r="D161" s="39">
        <v>2.0</v>
      </c>
      <c r="E161" s="37"/>
      <c r="F161" s="41">
        <v>5.1</v>
      </c>
      <c r="G161" s="41">
        <v>8.53</v>
      </c>
      <c r="H161" s="40">
        <f t="shared" ref="H161:H163" si="30">G161*F161*D161</f>
        <v>87.006</v>
      </c>
      <c r="I161" s="42"/>
      <c r="J161" s="143">
        <f>SUM(H161:H163)</f>
        <v>114.169</v>
      </c>
      <c r="K161" s="46"/>
    </row>
    <row r="162" ht="19.5" customHeight="1">
      <c r="A162" s="141">
        <v>37119.0</v>
      </c>
      <c r="B162" s="49" t="s">
        <v>1475</v>
      </c>
      <c r="C162" s="46" t="s">
        <v>103</v>
      </c>
      <c r="D162" s="39">
        <v>2.0</v>
      </c>
      <c r="E162" s="37"/>
      <c r="F162" s="41">
        <v>1.93</v>
      </c>
      <c r="G162" s="41">
        <v>3.8</v>
      </c>
      <c r="H162" s="40">
        <f t="shared" si="30"/>
        <v>14.668</v>
      </c>
      <c r="I162" s="42"/>
      <c r="J162" s="147"/>
      <c r="K162" s="46"/>
    </row>
    <row r="163" ht="19.5" customHeight="1">
      <c r="A163" s="141">
        <v>37119.0</v>
      </c>
      <c r="B163" s="49" t="s">
        <v>1476</v>
      </c>
      <c r="C163" s="46" t="s">
        <v>103</v>
      </c>
      <c r="D163" s="39">
        <v>1.0</v>
      </c>
      <c r="E163" s="37"/>
      <c r="F163" s="41">
        <v>5.1</v>
      </c>
      <c r="G163" s="41">
        <v>2.45</v>
      </c>
      <c r="H163" s="40">
        <f t="shared" si="30"/>
        <v>12.495</v>
      </c>
      <c r="I163" s="42"/>
      <c r="J163" s="32"/>
      <c r="K163" s="46"/>
    </row>
    <row r="164" ht="19.5" customHeight="1">
      <c r="A164" s="434" t="s">
        <v>1</v>
      </c>
      <c r="B164" s="50" t="s">
        <v>91</v>
      </c>
      <c r="C164" s="50" t="s">
        <v>92</v>
      </c>
      <c r="D164" s="53" t="s">
        <v>93</v>
      </c>
      <c r="E164" s="50" t="s">
        <v>97</v>
      </c>
      <c r="F164" s="53" t="s">
        <v>99</v>
      </c>
      <c r="G164" s="53" t="s">
        <v>121</v>
      </c>
      <c r="H164" s="53" t="s">
        <v>100</v>
      </c>
      <c r="I164" s="53" t="s">
        <v>101</v>
      </c>
      <c r="J164" s="53" t="s">
        <v>95</v>
      </c>
      <c r="K164" s="50" t="s">
        <v>96</v>
      </c>
    </row>
    <row r="165" ht="19.5" customHeight="1">
      <c r="A165" s="141">
        <v>37027.0</v>
      </c>
      <c r="B165" s="49" t="s">
        <v>1477</v>
      </c>
      <c r="C165" s="46" t="s">
        <v>103</v>
      </c>
      <c r="D165" s="39">
        <v>2.0</v>
      </c>
      <c r="E165" s="37">
        <f>7.87</f>
        <v>7.87</v>
      </c>
      <c r="F165" s="39"/>
      <c r="G165" s="41">
        <v>35.93</v>
      </c>
      <c r="H165" s="40">
        <f t="shared" ref="H165:H170" si="31">D165*E165*G165</f>
        <v>565.5382</v>
      </c>
      <c r="I165" s="42">
        <f>2*(H203+4.2)</f>
        <v>215.76</v>
      </c>
      <c r="J165" s="43">
        <f t="shared" ref="J165:J170" si="32">H165-I165</f>
        <v>349.7782</v>
      </c>
      <c r="K165" s="46"/>
    </row>
    <row r="166" ht="19.5" customHeight="1">
      <c r="A166" s="141">
        <v>37027.0</v>
      </c>
      <c r="B166" s="49" t="s">
        <v>1478</v>
      </c>
      <c r="C166" s="46" t="s">
        <v>103</v>
      </c>
      <c r="D166" s="39">
        <v>2.0</v>
      </c>
      <c r="E166" s="49">
        <v>7.87</v>
      </c>
      <c r="F166" s="39"/>
      <c r="G166" s="41">
        <v>23.95</v>
      </c>
      <c r="H166" s="40">
        <f t="shared" si="31"/>
        <v>376.973</v>
      </c>
      <c r="I166" s="42">
        <f>(2*H204)+H201+H202+2*4.2+2*1.89</f>
        <v>176.292</v>
      </c>
      <c r="J166" s="43">
        <f t="shared" si="32"/>
        <v>200.681</v>
      </c>
      <c r="K166" s="46"/>
    </row>
    <row r="167" ht="19.5" customHeight="1">
      <c r="A167" s="141">
        <v>37027.0</v>
      </c>
      <c r="B167" s="49" t="s">
        <v>1479</v>
      </c>
      <c r="C167" s="46" t="s">
        <v>103</v>
      </c>
      <c r="D167" s="39">
        <v>2.0</v>
      </c>
      <c r="E167" s="49">
        <v>3.0</v>
      </c>
      <c r="F167" s="39"/>
      <c r="G167" s="41">
        <v>23.95</v>
      </c>
      <c r="H167" s="40">
        <f t="shared" si="31"/>
        <v>143.7</v>
      </c>
      <c r="I167" s="42">
        <f>2*(H198+1.89)</f>
        <v>12.18</v>
      </c>
      <c r="J167" s="43">
        <f t="shared" si="32"/>
        <v>131.52</v>
      </c>
      <c r="K167" s="46"/>
    </row>
    <row r="168" ht="19.5" customHeight="1">
      <c r="A168" s="141">
        <v>37027.0</v>
      </c>
      <c r="B168" s="49" t="s">
        <v>1479</v>
      </c>
      <c r="C168" s="46" t="s">
        <v>103</v>
      </c>
      <c r="D168" s="39">
        <v>12.0</v>
      </c>
      <c r="E168" s="49">
        <v>3.0</v>
      </c>
      <c r="F168" s="39"/>
      <c r="G168" s="41">
        <v>5.1</v>
      </c>
      <c r="H168" s="40">
        <f t="shared" si="31"/>
        <v>183.6</v>
      </c>
      <c r="I168" s="42">
        <f>2*((2*1.89)+(2*1*2.1))</f>
        <v>15.96</v>
      </c>
      <c r="J168" s="43">
        <f t="shared" si="32"/>
        <v>167.64</v>
      </c>
      <c r="K168" s="46"/>
    </row>
    <row r="169" ht="18.0" customHeight="1">
      <c r="A169" s="141">
        <v>37027.0</v>
      </c>
      <c r="B169" s="49" t="s">
        <v>1479</v>
      </c>
      <c r="C169" s="46" t="s">
        <v>103</v>
      </c>
      <c r="D169" s="39">
        <v>4.0</v>
      </c>
      <c r="E169" s="49">
        <v>3.0</v>
      </c>
      <c r="F169" s="39"/>
      <c r="G169" s="41">
        <v>1.0</v>
      </c>
      <c r="H169" s="40">
        <f t="shared" si="31"/>
        <v>12</v>
      </c>
      <c r="I169" s="152">
        <v>0.0</v>
      </c>
      <c r="J169" s="43">
        <f t="shared" si="32"/>
        <v>12</v>
      </c>
      <c r="K169" s="46"/>
    </row>
    <row r="170" ht="18.0" customHeight="1">
      <c r="A170" s="141">
        <v>37027.0</v>
      </c>
      <c r="B170" s="49" t="s">
        <v>1480</v>
      </c>
      <c r="C170" s="46" t="s">
        <v>103</v>
      </c>
      <c r="D170" s="39">
        <v>2.0</v>
      </c>
      <c r="E170" s="49">
        <v>1.35</v>
      </c>
      <c r="F170" s="39"/>
      <c r="G170" s="41">
        <v>34.1</v>
      </c>
      <c r="H170" s="40">
        <f t="shared" si="31"/>
        <v>92.07</v>
      </c>
      <c r="I170" s="152"/>
      <c r="J170" s="43">
        <f t="shared" si="32"/>
        <v>92.07</v>
      </c>
      <c r="K170" s="46"/>
    </row>
    <row r="171" ht="19.5" customHeight="1">
      <c r="A171" s="141"/>
      <c r="B171" s="49"/>
      <c r="C171" s="46"/>
      <c r="D171" s="39"/>
      <c r="E171" s="49"/>
      <c r="F171" s="39"/>
      <c r="G171" s="41"/>
      <c r="H171" s="40"/>
      <c r="I171" s="42"/>
      <c r="J171" s="43">
        <f>SUM(J165:J170)</f>
        <v>953.6892</v>
      </c>
      <c r="K171" s="46"/>
    </row>
    <row r="172" ht="19.5" customHeight="1">
      <c r="A172" s="141">
        <v>37392.0</v>
      </c>
      <c r="B172" s="49" t="s">
        <v>602</v>
      </c>
      <c r="C172" s="46" t="s">
        <v>103</v>
      </c>
      <c r="D172" s="39">
        <v>1.0</v>
      </c>
      <c r="E172" s="49">
        <v>7.87</v>
      </c>
      <c r="F172" s="39">
        <v>24.25</v>
      </c>
      <c r="G172" s="41">
        <v>41.55</v>
      </c>
      <c r="H172" s="40">
        <f>D172*E172*((F172+G172)*2)</f>
        <v>1035.692</v>
      </c>
      <c r="I172" s="42">
        <f>SUM(H201:H204)+H199</f>
        <v>205.176</v>
      </c>
      <c r="J172" s="43">
        <f>H172-I172</f>
        <v>830.516</v>
      </c>
      <c r="K172" s="46"/>
    </row>
    <row r="173" ht="19.5" customHeight="1">
      <c r="A173" s="434" t="s">
        <v>1</v>
      </c>
      <c r="B173" s="50" t="s">
        <v>91</v>
      </c>
      <c r="C173" s="50" t="s">
        <v>92</v>
      </c>
      <c r="D173" s="53" t="s">
        <v>93</v>
      </c>
      <c r="E173" s="50" t="s">
        <v>97</v>
      </c>
      <c r="F173" s="53" t="s">
        <v>99</v>
      </c>
      <c r="G173" s="53" t="s">
        <v>121</v>
      </c>
      <c r="H173" s="53" t="s">
        <v>100</v>
      </c>
      <c r="I173" s="53" t="s">
        <v>101</v>
      </c>
      <c r="J173" s="53" t="s">
        <v>95</v>
      </c>
      <c r="K173" s="50" t="s">
        <v>96</v>
      </c>
    </row>
    <row r="174" ht="19.5" customHeight="1">
      <c r="A174" s="141">
        <v>38488.0</v>
      </c>
      <c r="B174" s="49" t="s">
        <v>1481</v>
      </c>
      <c r="C174" s="46" t="s">
        <v>103</v>
      </c>
      <c r="D174" s="39">
        <v>2.0</v>
      </c>
      <c r="E174" s="37">
        <f>7.87</f>
        <v>7.87</v>
      </c>
      <c r="F174" s="39"/>
      <c r="G174" s="41">
        <v>35.93</v>
      </c>
      <c r="H174" s="40">
        <f t="shared" ref="H174:H176" si="33">D174*E174*G174</f>
        <v>565.5382</v>
      </c>
      <c r="I174" s="42">
        <v>215.76000000000002</v>
      </c>
      <c r="J174" s="168">
        <f t="shared" ref="J174:J176" si="34">H174-I174</f>
        <v>349.7782</v>
      </c>
      <c r="K174" s="46"/>
    </row>
    <row r="175" ht="19.5" customHeight="1">
      <c r="A175" s="141">
        <v>38488.0</v>
      </c>
      <c r="B175" s="49" t="s">
        <v>1482</v>
      </c>
      <c r="C175" s="46" t="s">
        <v>103</v>
      </c>
      <c r="D175" s="39">
        <v>2.0</v>
      </c>
      <c r="E175" s="49">
        <v>7.87</v>
      </c>
      <c r="F175" s="39"/>
      <c r="G175" s="41">
        <v>23.95</v>
      </c>
      <c r="H175" s="40">
        <f t="shared" si="33"/>
        <v>376.973</v>
      </c>
      <c r="I175" s="42">
        <v>176.292</v>
      </c>
      <c r="J175" s="168">
        <f t="shared" si="34"/>
        <v>200.681</v>
      </c>
      <c r="K175" s="46"/>
    </row>
    <row r="176" ht="19.5" customHeight="1">
      <c r="A176" s="141">
        <v>38488.0</v>
      </c>
      <c r="B176" s="49" t="s">
        <v>1483</v>
      </c>
      <c r="C176" s="46" t="s">
        <v>103</v>
      </c>
      <c r="D176" s="39">
        <v>2.0</v>
      </c>
      <c r="E176" s="49">
        <v>1.35</v>
      </c>
      <c r="F176" s="39"/>
      <c r="G176" s="41">
        <v>34.1</v>
      </c>
      <c r="H176" s="40">
        <f t="shared" si="33"/>
        <v>92.07</v>
      </c>
      <c r="I176" s="152"/>
      <c r="J176" s="168">
        <f t="shared" si="34"/>
        <v>92.07</v>
      </c>
      <c r="K176" s="46"/>
    </row>
    <row r="177" ht="19.5" customHeight="1">
      <c r="A177" s="141"/>
      <c r="B177" s="49"/>
      <c r="C177" s="46"/>
      <c r="D177" s="39"/>
      <c r="E177" s="49"/>
      <c r="F177" s="39"/>
      <c r="G177" s="41"/>
      <c r="H177" s="40"/>
      <c r="I177" s="42"/>
      <c r="J177" s="43">
        <f>SUM(J174:J176)</f>
        <v>642.5292</v>
      </c>
      <c r="K177" s="46"/>
    </row>
    <row r="178" ht="19.5" customHeight="1">
      <c r="A178" s="141">
        <v>38123.0</v>
      </c>
      <c r="B178" s="49" t="s">
        <v>1484</v>
      </c>
      <c r="C178" s="46" t="s">
        <v>103</v>
      </c>
      <c r="D178" s="39">
        <v>2.0</v>
      </c>
      <c r="E178" s="49">
        <v>3.0</v>
      </c>
      <c r="F178" s="39"/>
      <c r="G178" s="41">
        <v>23.95</v>
      </c>
      <c r="H178" s="40">
        <f t="shared" ref="H178:H180" si="35">D178*E178*G178</f>
        <v>143.7</v>
      </c>
      <c r="I178" s="42">
        <v>12.18</v>
      </c>
      <c r="J178" s="168">
        <f t="shared" ref="J178:J180" si="36">H178-I178</f>
        <v>131.52</v>
      </c>
      <c r="K178" s="46"/>
    </row>
    <row r="179" ht="19.5" customHeight="1">
      <c r="A179" s="141">
        <v>38123.0</v>
      </c>
      <c r="B179" s="49" t="s">
        <v>1484</v>
      </c>
      <c r="C179" s="46" t="s">
        <v>103</v>
      </c>
      <c r="D179" s="39">
        <v>12.0</v>
      </c>
      <c r="E179" s="49">
        <v>3.0</v>
      </c>
      <c r="F179" s="39"/>
      <c r="G179" s="41">
        <v>5.1</v>
      </c>
      <c r="H179" s="40">
        <f t="shared" si="35"/>
        <v>183.6</v>
      </c>
      <c r="I179" s="42">
        <v>15.96</v>
      </c>
      <c r="J179" s="168">
        <f t="shared" si="36"/>
        <v>167.64</v>
      </c>
      <c r="K179" s="46"/>
    </row>
    <row r="180" ht="19.5" customHeight="1">
      <c r="A180" s="141">
        <v>38123.0</v>
      </c>
      <c r="B180" s="49" t="s">
        <v>1484</v>
      </c>
      <c r="C180" s="46" t="s">
        <v>103</v>
      </c>
      <c r="D180" s="39">
        <v>4.0</v>
      </c>
      <c r="E180" s="49">
        <v>3.0</v>
      </c>
      <c r="F180" s="39"/>
      <c r="G180" s="41">
        <v>1.0</v>
      </c>
      <c r="H180" s="40">
        <f t="shared" si="35"/>
        <v>12</v>
      </c>
      <c r="I180" s="152">
        <v>0.0</v>
      </c>
      <c r="J180" s="168">
        <f t="shared" si="36"/>
        <v>12</v>
      </c>
      <c r="K180" s="46"/>
    </row>
    <row r="181" ht="19.5" customHeight="1">
      <c r="A181" s="141"/>
      <c r="B181" s="49"/>
      <c r="C181" s="46"/>
      <c r="D181" s="39"/>
      <c r="E181" s="49"/>
      <c r="F181" s="39"/>
      <c r="G181" s="41"/>
      <c r="H181" s="40"/>
      <c r="I181" s="152"/>
      <c r="J181" s="43">
        <f>SUM(J178:J180)</f>
        <v>311.16</v>
      </c>
      <c r="K181" s="46"/>
    </row>
    <row r="182" ht="19.5" customHeight="1">
      <c r="A182" s="141">
        <v>37757.0</v>
      </c>
      <c r="B182" s="49" t="s">
        <v>614</v>
      </c>
      <c r="C182" s="46" t="s">
        <v>103</v>
      </c>
      <c r="D182" s="39">
        <v>1.0</v>
      </c>
      <c r="E182" s="49">
        <v>7.87</v>
      </c>
      <c r="F182" s="39">
        <v>24.25</v>
      </c>
      <c r="G182" s="41">
        <v>41.55</v>
      </c>
      <c r="H182" s="40">
        <f>D182*E182*((F182+G182)*2)</f>
        <v>1035.692</v>
      </c>
      <c r="I182" s="42">
        <f>I172</f>
        <v>205.176</v>
      </c>
      <c r="J182" s="43">
        <f>H182-I182</f>
        <v>830.516</v>
      </c>
      <c r="K182" s="46"/>
    </row>
    <row r="183" ht="19.5" customHeight="1">
      <c r="A183" s="434" t="s">
        <v>1</v>
      </c>
      <c r="B183" s="50" t="s">
        <v>91</v>
      </c>
      <c r="C183" s="50" t="s">
        <v>92</v>
      </c>
      <c r="D183" s="53" t="s">
        <v>93</v>
      </c>
      <c r="E183" s="50" t="s">
        <v>97</v>
      </c>
      <c r="F183" s="53" t="s">
        <v>99</v>
      </c>
      <c r="G183" s="53" t="s">
        <v>121</v>
      </c>
      <c r="H183" s="53" t="s">
        <v>100</v>
      </c>
      <c r="I183" s="53" t="s">
        <v>101</v>
      </c>
      <c r="J183" s="53" t="s">
        <v>95</v>
      </c>
      <c r="K183" s="50" t="s">
        <v>96</v>
      </c>
    </row>
    <row r="184" ht="19.5" customHeight="1">
      <c r="A184" s="154" t="s">
        <v>1485</v>
      </c>
      <c r="B184" s="37" t="s">
        <v>364</v>
      </c>
      <c r="C184" s="46" t="s">
        <v>103</v>
      </c>
      <c r="D184" s="39">
        <v>1.0</v>
      </c>
      <c r="E184" s="49">
        <f t="shared" ref="E184:E185" si="37">7.87-1.6</f>
        <v>6.27</v>
      </c>
      <c r="F184" s="78"/>
      <c r="G184" s="41">
        <v>131.6</v>
      </c>
      <c r="H184" s="40">
        <f t="shared" ref="H184:H185" si="38">D184*E184*G184</f>
        <v>825.132</v>
      </c>
      <c r="I184" s="142"/>
      <c r="J184" s="289"/>
      <c r="K184" s="46"/>
    </row>
    <row r="185" ht="19.5" customHeight="1">
      <c r="A185" s="154" t="s">
        <v>1486</v>
      </c>
      <c r="B185" s="37" t="s">
        <v>208</v>
      </c>
      <c r="C185" s="46" t="s">
        <v>103</v>
      </c>
      <c r="D185" s="39">
        <v>1.0</v>
      </c>
      <c r="E185" s="49">
        <f t="shared" si="37"/>
        <v>6.27</v>
      </c>
      <c r="F185" s="78"/>
      <c r="G185" s="41">
        <v>112.5</v>
      </c>
      <c r="H185" s="40">
        <f t="shared" si="38"/>
        <v>705.375</v>
      </c>
      <c r="I185" s="142"/>
      <c r="J185" s="289"/>
      <c r="K185" s="46"/>
    </row>
    <row r="186" ht="19.5" customHeight="1">
      <c r="A186" s="141">
        <v>38093.0</v>
      </c>
      <c r="B186" s="49" t="s">
        <v>1487</v>
      </c>
      <c r="C186" s="46" t="s">
        <v>103</v>
      </c>
      <c r="D186" s="78">
        <v>1.0</v>
      </c>
      <c r="E186" s="37"/>
      <c r="F186" s="39">
        <v>28.1</v>
      </c>
      <c r="G186" s="41">
        <v>16.1</v>
      </c>
      <c r="H186" s="40">
        <f>D186*F186*G186</f>
        <v>452.41</v>
      </c>
      <c r="I186" s="42"/>
      <c r="J186" s="289"/>
      <c r="K186" s="46"/>
    </row>
    <row r="187" ht="19.5" customHeight="1">
      <c r="A187" s="434" t="s">
        <v>1</v>
      </c>
      <c r="B187" s="50" t="s">
        <v>91</v>
      </c>
      <c r="C187" s="50" t="s">
        <v>92</v>
      </c>
      <c r="D187" s="53" t="s">
        <v>93</v>
      </c>
      <c r="E187" s="50" t="s">
        <v>97</v>
      </c>
      <c r="F187" s="53" t="s">
        <v>99</v>
      </c>
      <c r="G187" s="53" t="s">
        <v>121</v>
      </c>
      <c r="H187" s="53" t="s">
        <v>100</v>
      </c>
      <c r="I187" s="53" t="s">
        <v>101</v>
      </c>
      <c r="J187" s="53" t="s">
        <v>95</v>
      </c>
      <c r="K187" s="50" t="s">
        <v>96</v>
      </c>
    </row>
    <row r="188" ht="19.5" customHeight="1">
      <c r="A188" s="141">
        <v>38853.0</v>
      </c>
      <c r="B188" s="49" t="s">
        <v>1488</v>
      </c>
      <c r="C188" s="46" t="s">
        <v>103</v>
      </c>
      <c r="D188" s="78">
        <v>2.0</v>
      </c>
      <c r="E188" s="37">
        <v>3.0</v>
      </c>
      <c r="F188" s="78"/>
      <c r="G188" s="41">
        <v>35.45</v>
      </c>
      <c r="H188" s="40">
        <f t="shared" ref="H188:H191" si="39">D188*E188*G188</f>
        <v>212.7</v>
      </c>
      <c r="I188" s="42">
        <f>2*((2*2.1*0.9)+(0.44*1.5)+(0.44*2))</f>
        <v>10.64</v>
      </c>
      <c r="J188" s="168">
        <f t="shared" ref="J188:J191" si="40">H188-I188</f>
        <v>202.06</v>
      </c>
      <c r="K188" s="46"/>
    </row>
    <row r="189" ht="19.5" customHeight="1">
      <c r="A189" s="141">
        <v>38853.0</v>
      </c>
      <c r="B189" s="49" t="s">
        <v>1489</v>
      </c>
      <c r="C189" s="46" t="s">
        <v>103</v>
      </c>
      <c r="D189" s="39">
        <v>2.0</v>
      </c>
      <c r="E189" s="49">
        <v>3.0</v>
      </c>
      <c r="F189" s="78"/>
      <c r="G189" s="41">
        <v>13.25</v>
      </c>
      <c r="H189" s="40">
        <f t="shared" si="39"/>
        <v>79.5</v>
      </c>
      <c r="I189" s="42">
        <f>2*((2*2.1*1)+(0.44*1.5))</f>
        <v>9.72</v>
      </c>
      <c r="J189" s="168">
        <f t="shared" si="40"/>
        <v>69.78</v>
      </c>
      <c r="K189" s="46"/>
    </row>
    <row r="190" ht="19.5" customHeight="1">
      <c r="A190" s="141">
        <v>38853.0</v>
      </c>
      <c r="B190" s="49" t="s">
        <v>1490</v>
      </c>
      <c r="C190" s="46" t="s">
        <v>103</v>
      </c>
      <c r="D190" s="39">
        <v>1.0</v>
      </c>
      <c r="E190" s="49">
        <v>3.0</v>
      </c>
      <c r="F190" s="78"/>
      <c r="G190" s="41">
        <v>15.1</v>
      </c>
      <c r="H190" s="40">
        <f t="shared" si="39"/>
        <v>45.3</v>
      </c>
      <c r="I190" s="42">
        <f>(2*2.1*0.9)+(0.44*1.5)</f>
        <v>4.44</v>
      </c>
      <c r="J190" s="168">
        <f t="shared" si="40"/>
        <v>40.86</v>
      </c>
      <c r="K190" s="46"/>
    </row>
    <row r="191" ht="19.5" customHeight="1">
      <c r="A191" s="141">
        <v>38853.0</v>
      </c>
      <c r="B191" s="49" t="s">
        <v>1491</v>
      </c>
      <c r="C191" s="46" t="s">
        <v>103</v>
      </c>
      <c r="D191" s="39">
        <v>1.0</v>
      </c>
      <c r="E191" s="49">
        <v>1.6</v>
      </c>
      <c r="F191" s="78"/>
      <c r="G191" s="41">
        <v>112.5</v>
      </c>
      <c r="H191" s="40">
        <f t="shared" si="39"/>
        <v>180</v>
      </c>
      <c r="I191" s="42"/>
      <c r="J191" s="168">
        <f t="shared" si="40"/>
        <v>180</v>
      </c>
      <c r="K191" s="46"/>
    </row>
    <row r="192" ht="19.5" customHeight="1">
      <c r="A192" s="141"/>
      <c r="B192" s="49"/>
      <c r="C192" s="46"/>
      <c r="D192" s="39"/>
      <c r="E192" s="49"/>
      <c r="F192" s="78"/>
      <c r="G192" s="40"/>
      <c r="H192" s="40"/>
      <c r="I192" s="42"/>
      <c r="J192" s="64">
        <f>SUM(J188:J191)</f>
        <v>492.7</v>
      </c>
      <c r="K192" s="46"/>
    </row>
    <row r="193" ht="19.5" customHeight="1">
      <c r="A193" s="141">
        <v>39218.0</v>
      </c>
      <c r="B193" s="49" t="s">
        <v>1492</v>
      </c>
      <c r="C193" s="46" t="s">
        <v>103</v>
      </c>
      <c r="D193" s="39">
        <v>1.0</v>
      </c>
      <c r="E193" s="49">
        <v>7.87</v>
      </c>
      <c r="F193" s="78"/>
      <c r="G193" s="40">
        <f>2*(41.55+24.25)</f>
        <v>131.6</v>
      </c>
      <c r="H193" s="40">
        <f t="shared" ref="H193:H194" si="41">D193*E193*G193</f>
        <v>1035.692</v>
      </c>
      <c r="I193" s="42">
        <f>I182+H194</f>
        <v>325.2722</v>
      </c>
      <c r="J193" s="64">
        <f t="shared" ref="J193:J194" si="42">H193-I193</f>
        <v>710.4198</v>
      </c>
      <c r="K193" s="46"/>
    </row>
    <row r="194" ht="19.5" customHeight="1">
      <c r="A194" s="141">
        <v>39584.0</v>
      </c>
      <c r="B194" s="49" t="s">
        <v>1493</v>
      </c>
      <c r="C194" s="46" t="s">
        <v>103</v>
      </c>
      <c r="D194" s="39">
        <v>2.0</v>
      </c>
      <c r="E194" s="49">
        <v>7.87</v>
      </c>
      <c r="F194" s="78"/>
      <c r="G194" s="41">
        <v>7.63</v>
      </c>
      <c r="H194" s="40">
        <f t="shared" si="41"/>
        <v>120.0962</v>
      </c>
      <c r="I194" s="42"/>
      <c r="J194" s="64">
        <f t="shared" si="42"/>
        <v>120.0962</v>
      </c>
      <c r="K194" s="46"/>
    </row>
    <row r="195" ht="19.5" customHeight="1">
      <c r="A195" s="434" t="s">
        <v>1</v>
      </c>
      <c r="B195" s="50" t="s">
        <v>91</v>
      </c>
      <c r="C195" s="50" t="s">
        <v>92</v>
      </c>
      <c r="D195" s="53" t="s">
        <v>93</v>
      </c>
      <c r="E195" s="50" t="s">
        <v>97</v>
      </c>
      <c r="F195" s="52" t="s">
        <v>632</v>
      </c>
      <c r="G195" s="53" t="s">
        <v>99</v>
      </c>
      <c r="H195" s="53" t="s">
        <v>100</v>
      </c>
      <c r="I195" s="53" t="s">
        <v>101</v>
      </c>
      <c r="J195" s="53" t="s">
        <v>95</v>
      </c>
      <c r="K195" s="50" t="s">
        <v>96</v>
      </c>
    </row>
    <row r="196" ht="19.5" customHeight="1">
      <c r="A196" s="141">
        <v>37515.0</v>
      </c>
      <c r="B196" s="49" t="s">
        <v>1494</v>
      </c>
      <c r="C196" s="46" t="s">
        <v>103</v>
      </c>
      <c r="D196" s="39">
        <v>18.0</v>
      </c>
      <c r="E196" s="49">
        <v>1.65</v>
      </c>
      <c r="F196" s="78"/>
      <c r="G196" s="41">
        <v>0.8</v>
      </c>
      <c r="H196" s="40">
        <f t="shared" ref="H196:H199" si="43">D196*E196*G196</f>
        <v>23.76</v>
      </c>
      <c r="I196" s="42"/>
      <c r="J196" s="257">
        <f t="shared" ref="J196:J199" si="44">H196</f>
        <v>23.76</v>
      </c>
      <c r="K196" s="83" t="s">
        <v>1495</v>
      </c>
    </row>
    <row r="197" ht="19.5" customHeight="1">
      <c r="A197" s="141">
        <v>37515.0</v>
      </c>
      <c r="B197" s="49" t="s">
        <v>1496</v>
      </c>
      <c r="C197" s="46" t="s">
        <v>103</v>
      </c>
      <c r="D197" s="39">
        <v>5.0</v>
      </c>
      <c r="E197" s="49">
        <v>2.1</v>
      </c>
      <c r="F197" s="78"/>
      <c r="G197" s="41">
        <v>0.9</v>
      </c>
      <c r="H197" s="40">
        <f t="shared" si="43"/>
        <v>9.45</v>
      </c>
      <c r="I197" s="42"/>
      <c r="J197" s="257">
        <f t="shared" si="44"/>
        <v>9.45</v>
      </c>
      <c r="K197" s="147"/>
    </row>
    <row r="198" ht="19.5" customHeight="1">
      <c r="A198" s="141">
        <v>37515.0</v>
      </c>
      <c r="B198" s="49" t="s">
        <v>1497</v>
      </c>
      <c r="C198" s="46" t="s">
        <v>103</v>
      </c>
      <c r="D198" s="39">
        <v>2.0</v>
      </c>
      <c r="E198" s="49">
        <v>2.1</v>
      </c>
      <c r="F198" s="78"/>
      <c r="G198" s="41">
        <v>1.0</v>
      </c>
      <c r="H198" s="40">
        <f t="shared" si="43"/>
        <v>4.2</v>
      </c>
      <c r="I198" s="42"/>
      <c r="J198" s="257">
        <f t="shared" si="44"/>
        <v>4.2</v>
      </c>
      <c r="K198" s="32"/>
    </row>
    <row r="199" ht="19.5" customHeight="1">
      <c r="A199" s="141">
        <v>37515.0</v>
      </c>
      <c r="B199" s="49" t="s">
        <v>1498</v>
      </c>
      <c r="C199" s="46" t="s">
        <v>103</v>
      </c>
      <c r="D199" s="39">
        <v>4.0</v>
      </c>
      <c r="E199" s="49">
        <v>2.1</v>
      </c>
      <c r="F199" s="78"/>
      <c r="G199" s="41">
        <v>2.0</v>
      </c>
      <c r="H199" s="40">
        <f t="shared" si="43"/>
        <v>16.8</v>
      </c>
      <c r="I199" s="42"/>
      <c r="J199" s="168">
        <f t="shared" si="44"/>
        <v>16.8</v>
      </c>
      <c r="K199" s="38" t="s">
        <v>1499</v>
      </c>
    </row>
    <row r="200" ht="19.5" customHeight="1">
      <c r="A200" s="141"/>
      <c r="B200" s="49"/>
      <c r="C200" s="46"/>
      <c r="D200" s="39"/>
      <c r="E200" s="49"/>
      <c r="F200" s="78"/>
      <c r="G200" s="41"/>
      <c r="H200" s="40"/>
      <c r="I200" s="42"/>
      <c r="J200" s="109">
        <f>SUM(J196:J199)</f>
        <v>54.21</v>
      </c>
      <c r="K200" s="46"/>
    </row>
    <row r="201" ht="19.5" customHeight="1">
      <c r="A201" s="141">
        <v>37150.0</v>
      </c>
      <c r="B201" s="49" t="s">
        <v>1155</v>
      </c>
      <c r="C201" s="46" t="s">
        <v>103</v>
      </c>
      <c r="D201" s="39">
        <v>4.0</v>
      </c>
      <c r="E201" s="49">
        <v>0.44</v>
      </c>
      <c r="F201" s="78">
        <f t="shared" ref="F201:F202" si="45">(G201+E201)*2</f>
        <v>3.88</v>
      </c>
      <c r="G201" s="41">
        <v>1.5</v>
      </c>
      <c r="H201" s="40">
        <f t="shared" ref="H201:H204" si="46">D201*E201*G201</f>
        <v>2.64</v>
      </c>
      <c r="I201" s="42"/>
      <c r="J201" s="109">
        <f t="shared" ref="J201:J202" si="47">H201-I201</f>
        <v>2.64</v>
      </c>
      <c r="K201" s="46"/>
    </row>
    <row r="202" ht="19.5" customHeight="1">
      <c r="A202" s="141">
        <v>37150.0</v>
      </c>
      <c r="B202" s="49" t="s">
        <v>1156</v>
      </c>
      <c r="C202" s="46" t="s">
        <v>103</v>
      </c>
      <c r="D202" s="39">
        <v>3.0</v>
      </c>
      <c r="E202" s="49">
        <v>0.44</v>
      </c>
      <c r="F202" s="78">
        <f t="shared" si="45"/>
        <v>4.88</v>
      </c>
      <c r="G202" s="41">
        <v>2.0</v>
      </c>
      <c r="H202" s="40">
        <f t="shared" si="46"/>
        <v>2.64</v>
      </c>
      <c r="I202" s="42"/>
      <c r="J202" s="109">
        <f t="shared" si="47"/>
        <v>2.64</v>
      </c>
      <c r="K202" s="46"/>
    </row>
    <row r="203" ht="19.5" customHeight="1">
      <c r="A203" s="141">
        <v>37880.0</v>
      </c>
      <c r="B203" s="49" t="s">
        <v>1500</v>
      </c>
      <c r="C203" s="46" t="s">
        <v>103</v>
      </c>
      <c r="D203" s="39">
        <v>12.0</v>
      </c>
      <c r="E203" s="49">
        <v>1.8</v>
      </c>
      <c r="F203" s="78"/>
      <c r="G203" s="41">
        <v>4.8</v>
      </c>
      <c r="H203" s="40">
        <f t="shared" si="46"/>
        <v>103.68</v>
      </c>
      <c r="I203" s="42"/>
      <c r="J203" s="109">
        <f>SUM(H203:H204)</f>
        <v>183.096</v>
      </c>
      <c r="K203" s="46"/>
    </row>
    <row r="204" ht="19.5" customHeight="1">
      <c r="A204" s="141">
        <v>37880.0</v>
      </c>
      <c r="B204" s="49" t="s">
        <v>1501</v>
      </c>
      <c r="C204" s="46" t="s">
        <v>103</v>
      </c>
      <c r="D204" s="39">
        <v>2.0</v>
      </c>
      <c r="E204" s="49">
        <v>1.8</v>
      </c>
      <c r="F204" s="78"/>
      <c r="G204" s="40">
        <f>5.18+5.15+4+5.15+2.58</f>
        <v>22.06</v>
      </c>
      <c r="H204" s="40">
        <f t="shared" si="46"/>
        <v>79.416</v>
      </c>
      <c r="I204" s="42"/>
      <c r="J204" s="32"/>
      <c r="K204" s="46"/>
    </row>
    <row r="205" ht="19.5" customHeight="1">
      <c r="A205" s="141">
        <v>38246.0</v>
      </c>
      <c r="B205" s="49" t="s">
        <v>636</v>
      </c>
      <c r="C205" s="46"/>
      <c r="D205" s="39"/>
      <c r="E205" s="49"/>
      <c r="F205" s="78">
        <f>SUM(F201:F202)</f>
        <v>8.76</v>
      </c>
      <c r="G205" s="40"/>
      <c r="H205" s="40"/>
      <c r="I205" s="42"/>
      <c r="J205" s="64">
        <f>F205</f>
        <v>8.76</v>
      </c>
      <c r="K205" s="46"/>
    </row>
    <row r="206" ht="19.5" customHeight="1">
      <c r="A206" s="434" t="s">
        <v>1</v>
      </c>
      <c r="B206" s="50" t="s">
        <v>91</v>
      </c>
      <c r="C206" s="50" t="s">
        <v>92</v>
      </c>
      <c r="D206" s="53" t="s">
        <v>93</v>
      </c>
      <c r="E206" s="50" t="s">
        <v>161</v>
      </c>
      <c r="F206" s="53" t="s">
        <v>121</v>
      </c>
      <c r="G206" s="53" t="s">
        <v>99</v>
      </c>
      <c r="H206" s="53" t="s">
        <v>100</v>
      </c>
      <c r="I206" s="53" t="s">
        <v>101</v>
      </c>
      <c r="J206" s="53" t="s">
        <v>95</v>
      </c>
      <c r="K206" s="50" t="s">
        <v>96</v>
      </c>
    </row>
    <row r="207" ht="19.5" customHeight="1">
      <c r="A207" s="141">
        <v>37818.0</v>
      </c>
      <c r="B207" s="37" t="s">
        <v>162</v>
      </c>
      <c r="C207" s="46" t="s">
        <v>103</v>
      </c>
      <c r="D207" s="78" t="str">
        <f>F188</f>
        <v/>
      </c>
      <c r="E207" s="37">
        <v>2.0</v>
      </c>
      <c r="F207" s="78"/>
      <c r="G207" s="40">
        <v>1.0</v>
      </c>
      <c r="H207" s="40">
        <f t="shared" ref="H207:H208" si="48">G207*E207*D207</f>
        <v>0</v>
      </c>
      <c r="I207" s="42"/>
      <c r="J207" s="109">
        <f>SUM(H207:H208)</f>
        <v>166.2</v>
      </c>
      <c r="K207" s="46"/>
    </row>
    <row r="208" ht="19.5" customHeight="1">
      <c r="A208" s="141">
        <v>37818.0</v>
      </c>
      <c r="B208" s="37" t="s">
        <v>162</v>
      </c>
      <c r="C208" s="46" t="s">
        <v>103</v>
      </c>
      <c r="D208" s="78">
        <v>41.55</v>
      </c>
      <c r="E208" s="37">
        <v>2.0</v>
      </c>
      <c r="F208" s="78"/>
      <c r="G208" s="40">
        <v>2.0</v>
      </c>
      <c r="H208" s="40">
        <f t="shared" si="48"/>
        <v>166.2</v>
      </c>
      <c r="I208" s="42"/>
      <c r="J208" s="32"/>
      <c r="K208" s="46"/>
    </row>
    <row r="209" ht="19.5" customHeight="1">
      <c r="A209" s="440" t="s">
        <v>1</v>
      </c>
      <c r="B209" s="441" t="s">
        <v>91</v>
      </c>
      <c r="C209" s="441" t="s">
        <v>92</v>
      </c>
      <c r="D209" s="442" t="s">
        <v>93</v>
      </c>
      <c r="E209" s="50" t="s">
        <v>161</v>
      </c>
      <c r="F209" s="53" t="s">
        <v>121</v>
      </c>
      <c r="G209" s="53" t="s">
        <v>99</v>
      </c>
      <c r="H209" s="53" t="s">
        <v>100</v>
      </c>
      <c r="I209" s="53" t="s">
        <v>101</v>
      </c>
      <c r="J209" s="53" t="s">
        <v>95</v>
      </c>
      <c r="K209" s="50" t="s">
        <v>96</v>
      </c>
    </row>
    <row r="210" ht="19.5" customHeight="1">
      <c r="A210" s="145">
        <v>1.0</v>
      </c>
      <c r="B210" s="37" t="s">
        <v>853</v>
      </c>
      <c r="C210" s="46" t="s">
        <v>106</v>
      </c>
      <c r="D210" s="78">
        <v>3.0</v>
      </c>
      <c r="E210" s="37">
        <v>1.0</v>
      </c>
      <c r="F210" s="78"/>
      <c r="G210" s="40">
        <v>1.0</v>
      </c>
      <c r="H210" s="40">
        <f>G210*E210*D210</f>
        <v>3</v>
      </c>
      <c r="I210" s="42"/>
      <c r="J210" s="40"/>
      <c r="K210" s="46"/>
    </row>
    <row r="211" ht="19.5" customHeight="1">
      <c r="A211" s="145">
        <v>2.0</v>
      </c>
      <c r="B211" s="37" t="s">
        <v>375</v>
      </c>
      <c r="C211" s="46" t="s">
        <v>106</v>
      </c>
      <c r="D211" s="78"/>
      <c r="E211" s="37"/>
      <c r="F211" s="78"/>
      <c r="G211" s="40"/>
      <c r="H211" s="40"/>
      <c r="I211" s="42"/>
      <c r="J211" s="64">
        <f>SUM(H210:H211)</f>
        <v>3</v>
      </c>
      <c r="K211" s="46"/>
    </row>
    <row r="212" ht="19.5" customHeight="1">
      <c r="A212" s="145">
        <v>3.0</v>
      </c>
      <c r="B212" s="37" t="s">
        <v>376</v>
      </c>
      <c r="C212" s="46" t="s">
        <v>106</v>
      </c>
      <c r="D212" s="78">
        <v>10.0</v>
      </c>
      <c r="E212" s="37">
        <v>1.0</v>
      </c>
      <c r="F212" s="78"/>
      <c r="G212" s="40">
        <v>1.0</v>
      </c>
      <c r="H212" s="40">
        <f>G212*E212*D212</f>
        <v>10</v>
      </c>
      <c r="I212" s="42"/>
      <c r="J212" s="64">
        <f>H212</f>
        <v>10</v>
      </c>
      <c r="K212" s="46"/>
    </row>
    <row r="213" ht="19.5" customHeight="1">
      <c r="A213" s="434" t="s">
        <v>1</v>
      </c>
      <c r="B213" s="50" t="s">
        <v>91</v>
      </c>
      <c r="C213" s="50" t="s">
        <v>92</v>
      </c>
      <c r="D213" s="53" t="s">
        <v>93</v>
      </c>
      <c r="E213" s="50" t="s">
        <v>161</v>
      </c>
      <c r="F213" s="53" t="s">
        <v>121</v>
      </c>
      <c r="G213" s="53" t="s">
        <v>99</v>
      </c>
      <c r="H213" s="53" t="s">
        <v>100</v>
      </c>
      <c r="I213" s="53" t="s">
        <v>101</v>
      </c>
      <c r="J213" s="53" t="s">
        <v>95</v>
      </c>
      <c r="K213" s="50" t="s">
        <v>96</v>
      </c>
    </row>
    <row r="214" ht="19.5" customHeight="1">
      <c r="A214" s="154" t="s">
        <v>1502</v>
      </c>
      <c r="B214" s="37" t="s">
        <v>856</v>
      </c>
      <c r="C214" s="46" t="s">
        <v>103</v>
      </c>
      <c r="D214" s="78">
        <v>2.0</v>
      </c>
      <c r="E214" s="37">
        <v>1.0</v>
      </c>
      <c r="F214" s="39">
        <v>4.15</v>
      </c>
      <c r="G214" s="40">
        <v>0.6</v>
      </c>
      <c r="H214" s="40">
        <f>G214*F214*E214*D214</f>
        <v>4.98</v>
      </c>
      <c r="I214" s="42"/>
      <c r="J214" s="109">
        <f>SUM(H214:H216)</f>
        <v>8.5308</v>
      </c>
      <c r="K214" s="46"/>
    </row>
    <row r="215" ht="19.5" customHeight="1">
      <c r="A215" s="154" t="s">
        <v>1502</v>
      </c>
      <c r="B215" s="49" t="s">
        <v>1503</v>
      </c>
      <c r="C215" s="46" t="s">
        <v>103</v>
      </c>
      <c r="D215" s="39">
        <v>2.0</v>
      </c>
      <c r="E215" s="37"/>
      <c r="F215" s="39">
        <v>1.65</v>
      </c>
      <c r="G215" s="41">
        <v>0.7</v>
      </c>
      <c r="H215" s="40">
        <f t="shared" ref="H215:H216" si="49">D215*F215*G215</f>
        <v>2.31</v>
      </c>
      <c r="I215" s="42"/>
      <c r="J215" s="147"/>
      <c r="K215" s="46"/>
    </row>
    <row r="216" ht="19.5" customHeight="1">
      <c r="A216" s="154" t="s">
        <v>1502</v>
      </c>
      <c r="B216" s="49" t="s">
        <v>1504</v>
      </c>
      <c r="C216" s="46" t="s">
        <v>103</v>
      </c>
      <c r="D216" s="39">
        <v>1.0</v>
      </c>
      <c r="E216" s="37"/>
      <c r="F216" s="39">
        <v>2.64</v>
      </c>
      <c r="G216" s="41">
        <v>0.47</v>
      </c>
      <c r="H216" s="40">
        <f t="shared" si="49"/>
        <v>1.2408</v>
      </c>
      <c r="I216" s="42"/>
      <c r="J216" s="32"/>
      <c r="K216" s="46"/>
    </row>
    <row r="217" ht="19.5" customHeight="1">
      <c r="A217" s="434" t="s">
        <v>1</v>
      </c>
      <c r="B217" s="50" t="s">
        <v>91</v>
      </c>
      <c r="C217" s="50" t="s">
        <v>92</v>
      </c>
      <c r="D217" s="53" t="s">
        <v>93</v>
      </c>
      <c r="E217" s="50" t="s">
        <v>161</v>
      </c>
      <c r="F217" s="53" t="s">
        <v>121</v>
      </c>
      <c r="G217" s="53" t="s">
        <v>97</v>
      </c>
      <c r="H217" s="53" t="s">
        <v>100</v>
      </c>
      <c r="I217" s="53" t="s">
        <v>101</v>
      </c>
      <c r="J217" s="53" t="s">
        <v>95</v>
      </c>
      <c r="K217" s="50" t="s">
        <v>96</v>
      </c>
    </row>
    <row r="218" ht="19.5" customHeight="1">
      <c r="A218" s="141">
        <v>37696.0</v>
      </c>
      <c r="B218" s="49" t="s">
        <v>1505</v>
      </c>
      <c r="C218" s="46" t="s">
        <v>103</v>
      </c>
      <c r="D218" s="39">
        <v>1.0</v>
      </c>
      <c r="E218" s="37"/>
      <c r="F218" s="39">
        <f>(1.32*7)+(0.15*6)+(0.26*5)</f>
        <v>11.44</v>
      </c>
      <c r="G218" s="41">
        <v>1.75</v>
      </c>
      <c r="H218" s="40">
        <f t="shared" ref="H218:H222" si="50">D218*F218*G218</f>
        <v>20.02</v>
      </c>
      <c r="I218" s="42"/>
      <c r="J218" s="109">
        <f>SUM(H218:H222)</f>
        <v>51.34</v>
      </c>
      <c r="K218" s="46"/>
    </row>
    <row r="219" ht="19.5" customHeight="1">
      <c r="A219" s="141">
        <v>37696.0</v>
      </c>
      <c r="B219" s="49" t="s">
        <v>1505</v>
      </c>
      <c r="C219" s="46" t="s">
        <v>103</v>
      </c>
      <c r="D219" s="39">
        <v>1.0</v>
      </c>
      <c r="E219" s="37"/>
      <c r="F219" s="39">
        <v>2.0</v>
      </c>
      <c r="G219" s="41">
        <v>1.75</v>
      </c>
      <c r="H219" s="40">
        <f t="shared" si="50"/>
        <v>3.5</v>
      </c>
      <c r="I219" s="42"/>
      <c r="J219" s="147"/>
      <c r="K219" s="46"/>
    </row>
    <row r="220" ht="19.5" customHeight="1">
      <c r="A220" s="141">
        <v>37696.0</v>
      </c>
      <c r="B220" s="49" t="s">
        <v>1505</v>
      </c>
      <c r="C220" s="46" t="s">
        <v>103</v>
      </c>
      <c r="D220" s="39">
        <v>2.0</v>
      </c>
      <c r="E220" s="37"/>
      <c r="F220" s="39">
        <v>0.45</v>
      </c>
      <c r="G220" s="41">
        <v>1.2</v>
      </c>
      <c r="H220" s="40">
        <f t="shared" si="50"/>
        <v>1.08</v>
      </c>
      <c r="I220" s="42"/>
      <c r="J220" s="147"/>
      <c r="K220" s="46"/>
    </row>
    <row r="221" ht="19.5" customHeight="1">
      <c r="A221" s="141">
        <v>37696.0</v>
      </c>
      <c r="B221" s="49" t="s">
        <v>1506</v>
      </c>
      <c r="C221" s="46" t="s">
        <v>103</v>
      </c>
      <c r="D221" s="39">
        <v>1.0</v>
      </c>
      <c r="E221" s="37"/>
      <c r="F221" s="39">
        <f>(1.32*8)+(0.15*6)+(0.26*7)</f>
        <v>13.28</v>
      </c>
      <c r="G221" s="41">
        <v>1.75</v>
      </c>
      <c r="H221" s="40">
        <f t="shared" si="50"/>
        <v>23.24</v>
      </c>
      <c r="I221" s="42"/>
      <c r="J221" s="147"/>
      <c r="K221" s="46"/>
    </row>
    <row r="222" ht="19.5" customHeight="1">
      <c r="A222" s="141">
        <v>37696.0</v>
      </c>
      <c r="B222" s="49" t="s">
        <v>1506</v>
      </c>
      <c r="C222" s="46" t="s">
        <v>103</v>
      </c>
      <c r="D222" s="39">
        <v>1.0</v>
      </c>
      <c r="E222" s="37"/>
      <c r="F222" s="39">
        <v>2.0</v>
      </c>
      <c r="G222" s="41">
        <v>1.75</v>
      </c>
      <c r="H222" s="40">
        <f t="shared" si="50"/>
        <v>3.5</v>
      </c>
      <c r="I222" s="42"/>
      <c r="J222" s="32"/>
      <c r="K222" s="46"/>
    </row>
    <row r="223" ht="19.5" customHeight="1">
      <c r="A223" s="434" t="s">
        <v>1</v>
      </c>
      <c r="B223" s="50" t="s">
        <v>91</v>
      </c>
      <c r="C223" s="50" t="s">
        <v>92</v>
      </c>
      <c r="D223" s="53" t="s">
        <v>93</v>
      </c>
      <c r="E223" s="50" t="s">
        <v>161</v>
      </c>
      <c r="F223" s="53"/>
      <c r="G223" s="53"/>
      <c r="H223" s="53" t="s">
        <v>100</v>
      </c>
      <c r="I223" s="53" t="s">
        <v>101</v>
      </c>
      <c r="J223" s="53" t="s">
        <v>95</v>
      </c>
      <c r="K223" s="50" t="s">
        <v>96</v>
      </c>
    </row>
    <row r="224" ht="19.5" customHeight="1">
      <c r="A224" s="145">
        <v>1.0</v>
      </c>
      <c r="B224" s="37" t="s">
        <v>245</v>
      </c>
      <c r="C224" s="46" t="s">
        <v>106</v>
      </c>
      <c r="D224" s="78">
        <v>14.0</v>
      </c>
      <c r="E224" s="37">
        <v>1.0</v>
      </c>
      <c r="F224" s="78"/>
      <c r="G224" s="40"/>
      <c r="H224" s="40">
        <f>E224*D224+6</f>
        <v>20</v>
      </c>
      <c r="I224" s="42"/>
      <c r="J224" s="64">
        <f t="shared" ref="J224:J242" si="51">H224</f>
        <v>20</v>
      </c>
      <c r="K224" s="46"/>
    </row>
    <row r="225" ht="19.5" customHeight="1">
      <c r="A225" s="145">
        <v>2.0</v>
      </c>
      <c r="B225" s="37" t="s">
        <v>245</v>
      </c>
      <c r="C225" s="46" t="s">
        <v>106</v>
      </c>
      <c r="D225" s="78">
        <v>4.0</v>
      </c>
      <c r="E225" s="37">
        <v>1.0</v>
      </c>
      <c r="F225" s="78"/>
      <c r="G225" s="40"/>
      <c r="H225" s="40">
        <f t="shared" ref="H225:H242" si="52">E225*D225</f>
        <v>4</v>
      </c>
      <c r="I225" s="42"/>
      <c r="J225" s="64">
        <f t="shared" si="51"/>
        <v>4</v>
      </c>
      <c r="K225" s="46"/>
    </row>
    <row r="226" ht="19.5" customHeight="1">
      <c r="A226" s="145">
        <v>3.0</v>
      </c>
      <c r="B226" s="37" t="s">
        <v>246</v>
      </c>
      <c r="C226" s="46" t="s">
        <v>106</v>
      </c>
      <c r="D226" s="78">
        <v>2.0</v>
      </c>
      <c r="E226" s="37">
        <v>10.0</v>
      </c>
      <c r="F226" s="78"/>
      <c r="G226" s="40"/>
      <c r="H226" s="40">
        <f t="shared" si="52"/>
        <v>20</v>
      </c>
      <c r="I226" s="42"/>
      <c r="J226" s="64">
        <f t="shared" si="51"/>
        <v>20</v>
      </c>
      <c r="K226" s="46"/>
    </row>
    <row r="227" ht="19.5" customHeight="1">
      <c r="A227" s="145">
        <v>4.0</v>
      </c>
      <c r="B227" s="37" t="s">
        <v>863</v>
      </c>
      <c r="C227" s="46" t="s">
        <v>106</v>
      </c>
      <c r="D227" s="78">
        <v>8.0</v>
      </c>
      <c r="E227" s="37">
        <v>1.0</v>
      </c>
      <c r="F227" s="78"/>
      <c r="G227" s="40"/>
      <c r="H227" s="40">
        <f t="shared" si="52"/>
        <v>8</v>
      </c>
      <c r="I227" s="42"/>
      <c r="J227" s="64">
        <f t="shared" si="51"/>
        <v>8</v>
      </c>
      <c r="K227" s="46"/>
    </row>
    <row r="228" ht="19.5" customHeight="1">
      <c r="A228" s="145">
        <v>5.0</v>
      </c>
      <c r="B228" s="37" t="s">
        <v>247</v>
      </c>
      <c r="C228" s="46" t="s">
        <v>106</v>
      </c>
      <c r="D228" s="78">
        <v>6.0</v>
      </c>
      <c r="E228" s="37">
        <v>1.0</v>
      </c>
      <c r="F228" s="78"/>
      <c r="G228" s="40"/>
      <c r="H228" s="40">
        <f t="shared" si="52"/>
        <v>6</v>
      </c>
      <c r="I228" s="42"/>
      <c r="J228" s="64">
        <f t="shared" si="51"/>
        <v>6</v>
      </c>
      <c r="K228" s="46"/>
    </row>
    <row r="229" ht="19.5" customHeight="1">
      <c r="A229" s="145">
        <v>6.0</v>
      </c>
      <c r="B229" s="37" t="s">
        <v>248</v>
      </c>
      <c r="C229" s="46" t="s">
        <v>106</v>
      </c>
      <c r="D229" s="78"/>
      <c r="E229" s="37">
        <v>1.0</v>
      </c>
      <c r="F229" s="78"/>
      <c r="G229" s="40"/>
      <c r="H229" s="40">
        <f t="shared" si="52"/>
        <v>0</v>
      </c>
      <c r="I229" s="42"/>
      <c r="J229" s="64">
        <f t="shared" si="51"/>
        <v>0</v>
      </c>
      <c r="K229" s="46"/>
    </row>
    <row r="230" ht="19.5" customHeight="1">
      <c r="A230" s="145">
        <v>7.0</v>
      </c>
      <c r="B230" s="37" t="s">
        <v>249</v>
      </c>
      <c r="C230" s="46" t="s">
        <v>106</v>
      </c>
      <c r="D230" s="78"/>
      <c r="E230" s="37">
        <v>1.0</v>
      </c>
      <c r="F230" s="78"/>
      <c r="G230" s="40"/>
      <c r="H230" s="40">
        <f t="shared" si="52"/>
        <v>0</v>
      </c>
      <c r="I230" s="42"/>
      <c r="J230" s="64">
        <f t="shared" si="51"/>
        <v>0</v>
      </c>
      <c r="K230" s="46"/>
    </row>
    <row r="231" ht="19.5" customHeight="1">
      <c r="A231" s="145">
        <v>8.0</v>
      </c>
      <c r="B231" s="37" t="s">
        <v>250</v>
      </c>
      <c r="C231" s="46" t="s">
        <v>106</v>
      </c>
      <c r="D231" s="123">
        <f>H230+H229+H228+H227+H226</f>
        <v>34</v>
      </c>
      <c r="E231" s="37">
        <v>1.0</v>
      </c>
      <c r="F231" s="40"/>
      <c r="G231" s="40"/>
      <c r="H231" s="40">
        <f t="shared" si="52"/>
        <v>34</v>
      </c>
      <c r="I231" s="40"/>
      <c r="J231" s="64">
        <f t="shared" si="51"/>
        <v>34</v>
      </c>
      <c r="K231" s="46"/>
    </row>
    <row r="232" ht="19.5" customHeight="1">
      <c r="A232" s="145">
        <v>9.0</v>
      </c>
      <c r="B232" s="37" t="s">
        <v>1507</v>
      </c>
      <c r="C232" s="46" t="s">
        <v>106</v>
      </c>
      <c r="D232" s="123">
        <f>H225+H224</f>
        <v>24</v>
      </c>
      <c r="E232" s="37">
        <v>1.0</v>
      </c>
      <c r="F232" s="40"/>
      <c r="G232" s="40"/>
      <c r="H232" s="40">
        <f t="shared" si="52"/>
        <v>24</v>
      </c>
      <c r="I232" s="40"/>
      <c r="J232" s="64">
        <f t="shared" si="51"/>
        <v>24</v>
      </c>
      <c r="K232" s="46"/>
    </row>
    <row r="233" ht="19.5" customHeight="1">
      <c r="A233" s="145">
        <v>10.0</v>
      </c>
      <c r="B233" s="37" t="s">
        <v>252</v>
      </c>
      <c r="C233" s="46" t="s">
        <v>108</v>
      </c>
      <c r="D233" s="123">
        <v>2000.0</v>
      </c>
      <c r="E233" s="37">
        <v>1.0</v>
      </c>
      <c r="F233" s="40"/>
      <c r="G233" s="40"/>
      <c r="H233" s="40">
        <f t="shared" si="52"/>
        <v>2000</v>
      </c>
      <c r="I233" s="40"/>
      <c r="J233" s="64">
        <f t="shared" si="51"/>
        <v>2000</v>
      </c>
      <c r="K233" s="46"/>
    </row>
    <row r="234" ht="19.5" customHeight="1">
      <c r="A234" s="145">
        <v>11.0</v>
      </c>
      <c r="B234" s="37" t="s">
        <v>253</v>
      </c>
      <c r="C234" s="46" t="s">
        <v>108</v>
      </c>
      <c r="D234" s="123">
        <v>400.0</v>
      </c>
      <c r="E234" s="37">
        <v>1.0</v>
      </c>
      <c r="F234" s="40"/>
      <c r="G234" s="40"/>
      <c r="H234" s="40">
        <f t="shared" si="52"/>
        <v>400</v>
      </c>
      <c r="I234" s="40"/>
      <c r="J234" s="64">
        <f t="shared" si="51"/>
        <v>400</v>
      </c>
      <c r="K234" s="46"/>
    </row>
    <row r="235" ht="19.5" customHeight="1">
      <c r="A235" s="145">
        <v>12.0</v>
      </c>
      <c r="B235" s="37" t="s">
        <v>254</v>
      </c>
      <c r="C235" s="46" t="s">
        <v>108</v>
      </c>
      <c r="D235" s="123">
        <v>5000.0</v>
      </c>
      <c r="E235" s="37">
        <v>1.0</v>
      </c>
      <c r="F235" s="40"/>
      <c r="G235" s="40"/>
      <c r="H235" s="40">
        <f t="shared" si="52"/>
        <v>5000</v>
      </c>
      <c r="I235" s="40"/>
      <c r="J235" s="64">
        <f t="shared" si="51"/>
        <v>5000</v>
      </c>
      <c r="K235" s="46"/>
    </row>
    <row r="236" ht="19.5" customHeight="1">
      <c r="A236" s="145">
        <v>13.0</v>
      </c>
      <c r="B236" s="37" t="s">
        <v>255</v>
      </c>
      <c r="C236" s="46" t="s">
        <v>108</v>
      </c>
      <c r="D236" s="123">
        <v>300.0</v>
      </c>
      <c r="E236" s="37">
        <v>19.0</v>
      </c>
      <c r="F236" s="40"/>
      <c r="G236" s="40"/>
      <c r="H236" s="40">
        <f t="shared" si="52"/>
        <v>5700</v>
      </c>
      <c r="I236" s="40"/>
      <c r="J236" s="64">
        <f t="shared" si="51"/>
        <v>5700</v>
      </c>
      <c r="K236" s="46"/>
    </row>
    <row r="237" ht="19.5" customHeight="1">
      <c r="A237" s="145">
        <v>14.0</v>
      </c>
      <c r="B237" s="37" t="s">
        <v>256</v>
      </c>
      <c r="C237" s="46" t="s">
        <v>108</v>
      </c>
      <c r="D237" s="123">
        <v>200.0</v>
      </c>
      <c r="E237" s="37">
        <v>1.0</v>
      </c>
      <c r="F237" s="40"/>
      <c r="G237" s="40"/>
      <c r="H237" s="40">
        <f t="shared" si="52"/>
        <v>200</v>
      </c>
      <c r="I237" s="40"/>
      <c r="J237" s="64">
        <f t="shared" si="51"/>
        <v>200</v>
      </c>
      <c r="K237" s="46"/>
    </row>
    <row r="238" ht="19.5" customHeight="1">
      <c r="A238" s="145">
        <v>15.0</v>
      </c>
      <c r="B238" s="37" t="s">
        <v>257</v>
      </c>
      <c r="C238" s="46" t="s">
        <v>106</v>
      </c>
      <c r="D238" s="123">
        <v>2.0</v>
      </c>
      <c r="E238" s="37">
        <v>1.0</v>
      </c>
      <c r="F238" s="40"/>
      <c r="G238" s="40"/>
      <c r="H238" s="40">
        <f t="shared" si="52"/>
        <v>2</v>
      </c>
      <c r="I238" s="40"/>
      <c r="J238" s="64">
        <f t="shared" si="51"/>
        <v>2</v>
      </c>
      <c r="K238" s="46"/>
    </row>
    <row r="239" ht="19.5" customHeight="1">
      <c r="A239" s="145">
        <v>16.0</v>
      </c>
      <c r="B239" s="37" t="s">
        <v>258</v>
      </c>
      <c r="C239" s="46" t="s">
        <v>106</v>
      </c>
      <c r="D239" s="123">
        <v>51.0</v>
      </c>
      <c r="E239" s="37">
        <v>1.0</v>
      </c>
      <c r="F239" s="40"/>
      <c r="G239" s="40"/>
      <c r="H239" s="40">
        <f t="shared" si="52"/>
        <v>51</v>
      </c>
      <c r="I239" s="40"/>
      <c r="J239" s="64">
        <f t="shared" si="51"/>
        <v>51</v>
      </c>
      <c r="K239" s="46"/>
    </row>
    <row r="240" ht="19.5" customHeight="1">
      <c r="A240" s="145">
        <v>17.0</v>
      </c>
      <c r="B240" s="37" t="s">
        <v>259</v>
      </c>
      <c r="C240" s="46" t="s">
        <v>108</v>
      </c>
      <c r="D240" s="123">
        <v>100.0</v>
      </c>
      <c r="E240" s="37">
        <v>1.0</v>
      </c>
      <c r="F240" s="40"/>
      <c r="G240" s="40"/>
      <c r="H240" s="40">
        <f t="shared" si="52"/>
        <v>100</v>
      </c>
      <c r="I240" s="40"/>
      <c r="J240" s="64">
        <f t="shared" si="51"/>
        <v>100</v>
      </c>
      <c r="K240" s="46"/>
    </row>
    <row r="241" ht="19.5" customHeight="1">
      <c r="A241" s="145">
        <v>18.0</v>
      </c>
      <c r="B241" s="37" t="s">
        <v>260</v>
      </c>
      <c r="C241" s="46" t="s">
        <v>108</v>
      </c>
      <c r="D241" s="123">
        <f>F188*2</f>
        <v>0</v>
      </c>
      <c r="E241" s="37">
        <v>1.0</v>
      </c>
      <c r="F241" s="40"/>
      <c r="G241" s="40"/>
      <c r="H241" s="40">
        <f t="shared" si="52"/>
        <v>0</v>
      </c>
      <c r="I241" s="40"/>
      <c r="J241" s="64">
        <f t="shared" si="51"/>
        <v>0</v>
      </c>
      <c r="K241" s="46"/>
    </row>
    <row r="242" ht="19.5" customHeight="1">
      <c r="A242" s="145">
        <v>19.0</v>
      </c>
      <c r="B242" s="37" t="s">
        <v>261</v>
      </c>
      <c r="C242" s="46" t="s">
        <v>106</v>
      </c>
      <c r="D242" s="123">
        <v>6.0</v>
      </c>
      <c r="E242" s="37">
        <v>1.0</v>
      </c>
      <c r="F242" s="40"/>
      <c r="G242" s="40"/>
      <c r="H242" s="40">
        <f t="shared" si="52"/>
        <v>6</v>
      </c>
      <c r="I242" s="40"/>
      <c r="J242" s="64">
        <f t="shared" si="51"/>
        <v>6</v>
      </c>
      <c r="K242" s="46"/>
    </row>
    <row r="243" ht="19.5" customHeight="1">
      <c r="A243" s="220"/>
      <c r="B243" s="243"/>
      <c r="C243" s="46"/>
      <c r="D243" s="123"/>
      <c r="E243" s="243"/>
      <c r="F243" s="40"/>
      <c r="G243" s="40"/>
      <c r="H243" s="40"/>
      <c r="I243" s="40"/>
      <c r="J243" s="40"/>
      <c r="K243" s="46"/>
    </row>
    <row r="244" ht="19.5" customHeight="1">
      <c r="A244" s="434" t="s">
        <v>1</v>
      </c>
      <c r="B244" s="50" t="s">
        <v>91</v>
      </c>
      <c r="C244" s="50" t="s">
        <v>92</v>
      </c>
      <c r="D244" s="53" t="s">
        <v>93</v>
      </c>
      <c r="E244" s="50" t="s">
        <v>161</v>
      </c>
      <c r="F244" s="53" t="s">
        <v>121</v>
      </c>
      <c r="G244" s="53" t="s">
        <v>99</v>
      </c>
      <c r="H244" s="53" t="s">
        <v>100</v>
      </c>
      <c r="I244" s="53" t="s">
        <v>101</v>
      </c>
      <c r="J244" s="53" t="s">
        <v>95</v>
      </c>
      <c r="K244" s="50" t="s">
        <v>96</v>
      </c>
    </row>
    <row r="245" ht="19.5" customHeight="1">
      <c r="A245" s="145">
        <v>1.0</v>
      </c>
      <c r="B245" s="37" t="s">
        <v>262</v>
      </c>
      <c r="C245" s="46" t="s">
        <v>108</v>
      </c>
      <c r="D245" s="78">
        <v>200.0</v>
      </c>
      <c r="E245" s="37">
        <v>1.0</v>
      </c>
      <c r="F245" s="78"/>
      <c r="G245" s="40"/>
      <c r="H245" s="40">
        <f t="shared" ref="H245:H268" si="53">E245*D245</f>
        <v>200</v>
      </c>
      <c r="I245" s="42"/>
      <c r="J245" s="64">
        <f t="shared" ref="J245:J268" si="54">H245</f>
        <v>200</v>
      </c>
      <c r="K245" s="46"/>
    </row>
    <row r="246" ht="19.5" customHeight="1">
      <c r="A246" s="145">
        <v>2.0</v>
      </c>
      <c r="B246" s="37" t="s">
        <v>263</v>
      </c>
      <c r="C246" s="46" t="s">
        <v>108</v>
      </c>
      <c r="D246" s="123">
        <v>100.0</v>
      </c>
      <c r="E246" s="37">
        <v>1.0</v>
      </c>
      <c r="F246" s="40"/>
      <c r="G246" s="40"/>
      <c r="H246" s="40">
        <f t="shared" si="53"/>
        <v>100</v>
      </c>
      <c r="I246" s="40"/>
      <c r="J246" s="64">
        <f t="shared" si="54"/>
        <v>100</v>
      </c>
      <c r="K246" s="46"/>
    </row>
    <row r="247" ht="19.5" customHeight="1">
      <c r="A247" s="145">
        <v>3.0</v>
      </c>
      <c r="B247" s="37" t="s">
        <v>264</v>
      </c>
      <c r="C247" s="46" t="s">
        <v>108</v>
      </c>
      <c r="D247" s="123">
        <v>100.0</v>
      </c>
      <c r="E247" s="37">
        <v>1.0</v>
      </c>
      <c r="F247" s="40"/>
      <c r="G247" s="40"/>
      <c r="H247" s="40">
        <f t="shared" si="53"/>
        <v>100</v>
      </c>
      <c r="I247" s="40"/>
      <c r="J247" s="64">
        <f t="shared" si="54"/>
        <v>100</v>
      </c>
      <c r="K247" s="46"/>
    </row>
    <row r="248" ht="19.5" customHeight="1">
      <c r="A248" s="145">
        <v>4.0</v>
      </c>
      <c r="B248" s="37" t="s">
        <v>265</v>
      </c>
      <c r="C248" s="46" t="s">
        <v>106</v>
      </c>
      <c r="D248" s="123">
        <v>4.0</v>
      </c>
      <c r="E248" s="37">
        <v>1.0</v>
      </c>
      <c r="F248" s="40"/>
      <c r="G248" s="40"/>
      <c r="H248" s="40">
        <f t="shared" si="53"/>
        <v>4</v>
      </c>
      <c r="I248" s="40"/>
      <c r="J248" s="64">
        <f t="shared" si="54"/>
        <v>4</v>
      </c>
      <c r="K248" s="46"/>
    </row>
    <row r="249" ht="19.5" customHeight="1">
      <c r="A249" s="145">
        <v>5.0</v>
      </c>
      <c r="B249" s="37" t="s">
        <v>266</v>
      </c>
      <c r="C249" s="46" t="s">
        <v>106</v>
      </c>
      <c r="D249" s="123">
        <v>8.0</v>
      </c>
      <c r="E249" s="37">
        <v>1.0</v>
      </c>
      <c r="F249" s="40"/>
      <c r="G249" s="40"/>
      <c r="H249" s="40">
        <f t="shared" si="53"/>
        <v>8</v>
      </c>
      <c r="I249" s="40"/>
      <c r="J249" s="64">
        <f t="shared" si="54"/>
        <v>8</v>
      </c>
      <c r="K249" s="46"/>
    </row>
    <row r="250" ht="19.5" customHeight="1">
      <c r="A250" s="145">
        <v>6.0</v>
      </c>
      <c r="B250" s="37" t="s">
        <v>267</v>
      </c>
      <c r="C250" s="46" t="s">
        <v>106</v>
      </c>
      <c r="D250" s="123">
        <v>8.0</v>
      </c>
      <c r="E250" s="37">
        <v>1.0</v>
      </c>
      <c r="F250" s="40"/>
      <c r="G250" s="40"/>
      <c r="H250" s="40">
        <f t="shared" si="53"/>
        <v>8</v>
      </c>
      <c r="I250" s="40"/>
      <c r="J250" s="64">
        <f t="shared" si="54"/>
        <v>8</v>
      </c>
      <c r="K250" s="46"/>
    </row>
    <row r="251" ht="19.5" customHeight="1">
      <c r="A251" s="145">
        <v>7.0</v>
      </c>
      <c r="B251" s="37" t="s">
        <v>268</v>
      </c>
      <c r="C251" s="46" t="s">
        <v>106</v>
      </c>
      <c r="D251" s="123">
        <v>8.0</v>
      </c>
      <c r="E251" s="37">
        <v>1.0</v>
      </c>
      <c r="F251" s="40"/>
      <c r="G251" s="40"/>
      <c r="H251" s="40">
        <f t="shared" si="53"/>
        <v>8</v>
      </c>
      <c r="I251" s="40"/>
      <c r="J251" s="64">
        <f t="shared" si="54"/>
        <v>8</v>
      </c>
      <c r="K251" s="46"/>
    </row>
    <row r="252" ht="19.5" customHeight="1">
      <c r="A252" s="145">
        <v>8.0</v>
      </c>
      <c r="B252" s="37" t="s">
        <v>269</v>
      </c>
      <c r="C252" s="46" t="s">
        <v>106</v>
      </c>
      <c r="D252" s="123">
        <v>8.0</v>
      </c>
      <c r="E252" s="37">
        <v>1.0</v>
      </c>
      <c r="F252" s="40"/>
      <c r="G252" s="40"/>
      <c r="H252" s="40">
        <f t="shared" si="53"/>
        <v>8</v>
      </c>
      <c r="I252" s="40"/>
      <c r="J252" s="64">
        <f t="shared" si="54"/>
        <v>8</v>
      </c>
      <c r="K252" s="46"/>
    </row>
    <row r="253" ht="19.5" customHeight="1">
      <c r="A253" s="145">
        <v>9.0</v>
      </c>
      <c r="B253" s="37" t="s">
        <v>270</v>
      </c>
      <c r="C253" s="46" t="s">
        <v>106</v>
      </c>
      <c r="D253" s="123">
        <v>8.0</v>
      </c>
      <c r="E253" s="37">
        <v>1.0</v>
      </c>
      <c r="F253" s="40"/>
      <c r="G253" s="40"/>
      <c r="H253" s="40">
        <f t="shared" si="53"/>
        <v>8</v>
      </c>
      <c r="I253" s="40"/>
      <c r="J253" s="64">
        <f t="shared" si="54"/>
        <v>8</v>
      </c>
      <c r="K253" s="46"/>
    </row>
    <row r="254" ht="19.5" customHeight="1">
      <c r="A254" s="145">
        <v>10.0</v>
      </c>
      <c r="B254" s="37" t="s">
        <v>271</v>
      </c>
      <c r="C254" s="46" t="s">
        <v>106</v>
      </c>
      <c r="D254" s="123">
        <v>8.0</v>
      </c>
      <c r="E254" s="37">
        <v>1.0</v>
      </c>
      <c r="F254" s="40"/>
      <c r="G254" s="40"/>
      <c r="H254" s="40">
        <f t="shared" si="53"/>
        <v>8</v>
      </c>
      <c r="I254" s="40"/>
      <c r="J254" s="64">
        <f t="shared" si="54"/>
        <v>8</v>
      </c>
      <c r="K254" s="46"/>
    </row>
    <row r="255" ht="19.5" customHeight="1">
      <c r="A255" s="145">
        <v>11.0</v>
      </c>
      <c r="B255" s="37" t="s">
        <v>272</v>
      </c>
      <c r="C255" s="46" t="s">
        <v>106</v>
      </c>
      <c r="D255" s="123">
        <v>8.0</v>
      </c>
      <c r="E255" s="37">
        <v>1.0</v>
      </c>
      <c r="F255" s="40"/>
      <c r="G255" s="40"/>
      <c r="H255" s="40">
        <f t="shared" si="53"/>
        <v>8</v>
      </c>
      <c r="I255" s="40"/>
      <c r="J255" s="64">
        <f t="shared" si="54"/>
        <v>8</v>
      </c>
      <c r="K255" s="46"/>
    </row>
    <row r="256" ht="19.5" customHeight="1">
      <c r="A256" s="145">
        <v>12.0</v>
      </c>
      <c r="B256" s="37" t="s">
        <v>273</v>
      </c>
      <c r="C256" s="46" t="s">
        <v>106</v>
      </c>
      <c r="D256" s="123">
        <v>4.0</v>
      </c>
      <c r="E256" s="37">
        <v>1.0</v>
      </c>
      <c r="F256" s="40"/>
      <c r="G256" s="40"/>
      <c r="H256" s="40">
        <f t="shared" si="53"/>
        <v>4</v>
      </c>
      <c r="I256" s="40"/>
      <c r="J256" s="64">
        <f t="shared" si="54"/>
        <v>4</v>
      </c>
      <c r="K256" s="46"/>
    </row>
    <row r="257" ht="19.5" customHeight="1">
      <c r="A257" s="145">
        <v>13.0</v>
      </c>
      <c r="B257" s="37" t="s">
        <v>274</v>
      </c>
      <c r="C257" s="46" t="s">
        <v>106</v>
      </c>
      <c r="D257" s="123">
        <v>4.0</v>
      </c>
      <c r="E257" s="37">
        <v>1.0</v>
      </c>
      <c r="F257" s="40"/>
      <c r="G257" s="40"/>
      <c r="H257" s="40">
        <f t="shared" si="53"/>
        <v>4</v>
      </c>
      <c r="I257" s="40"/>
      <c r="J257" s="64">
        <f t="shared" si="54"/>
        <v>4</v>
      </c>
      <c r="K257" s="46"/>
    </row>
    <row r="258" ht="19.5" customHeight="1">
      <c r="A258" s="145">
        <v>14.0</v>
      </c>
      <c r="B258" s="37" t="s">
        <v>275</v>
      </c>
      <c r="C258" s="46" t="s">
        <v>106</v>
      </c>
      <c r="D258" s="123">
        <v>4.0</v>
      </c>
      <c r="E258" s="37">
        <v>1.0</v>
      </c>
      <c r="F258" s="40"/>
      <c r="G258" s="40"/>
      <c r="H258" s="40">
        <f t="shared" si="53"/>
        <v>4</v>
      </c>
      <c r="I258" s="40"/>
      <c r="J258" s="64">
        <f t="shared" si="54"/>
        <v>4</v>
      </c>
      <c r="K258" s="46"/>
    </row>
    <row r="259" ht="19.5" customHeight="1">
      <c r="A259" s="145">
        <v>15.0</v>
      </c>
      <c r="B259" s="37" t="s">
        <v>276</v>
      </c>
      <c r="C259" s="46" t="s">
        <v>106</v>
      </c>
      <c r="D259" s="123">
        <v>4.0</v>
      </c>
      <c r="E259" s="37">
        <v>1.0</v>
      </c>
      <c r="F259" s="40"/>
      <c r="G259" s="40"/>
      <c r="H259" s="40">
        <f t="shared" si="53"/>
        <v>4</v>
      </c>
      <c r="I259" s="40"/>
      <c r="J259" s="64">
        <f t="shared" si="54"/>
        <v>4</v>
      </c>
      <c r="K259" s="46"/>
    </row>
    <row r="260" ht="19.5" customHeight="1">
      <c r="A260" s="145">
        <v>16.0</v>
      </c>
      <c r="B260" s="37" t="s">
        <v>277</v>
      </c>
      <c r="C260" s="46" t="s">
        <v>106</v>
      </c>
      <c r="D260" s="123">
        <v>3.0</v>
      </c>
      <c r="E260" s="37">
        <v>1.0</v>
      </c>
      <c r="F260" s="40"/>
      <c r="G260" s="40"/>
      <c r="H260" s="40">
        <f t="shared" si="53"/>
        <v>3</v>
      </c>
      <c r="I260" s="40"/>
      <c r="J260" s="64">
        <f t="shared" si="54"/>
        <v>3</v>
      </c>
      <c r="K260" s="46"/>
    </row>
    <row r="261" ht="19.5" customHeight="1">
      <c r="A261" s="145">
        <v>17.0</v>
      </c>
      <c r="B261" s="37" t="s">
        <v>278</v>
      </c>
      <c r="C261" s="46" t="s">
        <v>106</v>
      </c>
      <c r="D261" s="123">
        <v>3.0</v>
      </c>
      <c r="E261" s="37">
        <v>1.0</v>
      </c>
      <c r="F261" s="40"/>
      <c r="G261" s="40"/>
      <c r="H261" s="40">
        <f t="shared" si="53"/>
        <v>3</v>
      </c>
      <c r="I261" s="40"/>
      <c r="J261" s="64">
        <f t="shared" si="54"/>
        <v>3</v>
      </c>
      <c r="K261" s="46"/>
    </row>
    <row r="262" ht="19.5" customHeight="1">
      <c r="A262" s="145">
        <v>18.0</v>
      </c>
      <c r="B262" s="37" t="s">
        <v>279</v>
      </c>
      <c r="C262" s="46" t="s">
        <v>106</v>
      </c>
      <c r="D262" s="123">
        <v>10.0</v>
      </c>
      <c r="E262" s="37">
        <v>1.0</v>
      </c>
      <c r="F262" s="40"/>
      <c r="G262" s="40"/>
      <c r="H262" s="40">
        <f t="shared" si="53"/>
        <v>10</v>
      </c>
      <c r="I262" s="40"/>
      <c r="J262" s="64">
        <f t="shared" si="54"/>
        <v>10</v>
      </c>
      <c r="K262" s="46"/>
    </row>
    <row r="263" ht="19.5" customHeight="1">
      <c r="A263" s="145">
        <v>19.0</v>
      </c>
      <c r="B263" s="37" t="s">
        <v>280</v>
      </c>
      <c r="C263" s="46" t="s">
        <v>106</v>
      </c>
      <c r="D263" s="123">
        <v>14.0</v>
      </c>
      <c r="E263" s="37">
        <v>1.0</v>
      </c>
      <c r="F263" s="40"/>
      <c r="G263" s="40"/>
      <c r="H263" s="40">
        <f t="shared" si="53"/>
        <v>14</v>
      </c>
      <c r="I263" s="40"/>
      <c r="J263" s="64">
        <f t="shared" si="54"/>
        <v>14</v>
      </c>
      <c r="K263" s="46"/>
    </row>
    <row r="264" ht="19.5" customHeight="1">
      <c r="A264" s="154" t="s">
        <v>1508</v>
      </c>
      <c r="B264" s="37" t="s">
        <v>281</v>
      </c>
      <c r="C264" s="46" t="s">
        <v>106</v>
      </c>
      <c r="D264" s="123">
        <v>6.0</v>
      </c>
      <c r="E264" s="37">
        <v>1.0</v>
      </c>
      <c r="F264" s="40"/>
      <c r="G264" s="40"/>
      <c r="H264" s="40">
        <f t="shared" si="53"/>
        <v>6</v>
      </c>
      <c r="I264" s="40"/>
      <c r="J264" s="64">
        <f t="shared" si="54"/>
        <v>6</v>
      </c>
      <c r="K264" s="46"/>
    </row>
    <row r="265" ht="19.5" customHeight="1">
      <c r="A265" s="154" t="s">
        <v>1509</v>
      </c>
      <c r="B265" s="37" t="s">
        <v>378</v>
      </c>
      <c r="C265" s="46" t="s">
        <v>106</v>
      </c>
      <c r="D265" s="123">
        <v>2.0</v>
      </c>
      <c r="E265" s="37">
        <v>1.0</v>
      </c>
      <c r="F265" s="40"/>
      <c r="G265" s="40"/>
      <c r="H265" s="40">
        <f t="shared" si="53"/>
        <v>2</v>
      </c>
      <c r="I265" s="40"/>
      <c r="J265" s="64">
        <f t="shared" si="54"/>
        <v>2</v>
      </c>
      <c r="K265" s="46"/>
    </row>
    <row r="266" ht="19.5" customHeight="1">
      <c r="A266" s="154" t="s">
        <v>1510</v>
      </c>
      <c r="B266" s="37" t="s">
        <v>284</v>
      </c>
      <c r="C266" s="46" t="s">
        <v>106</v>
      </c>
      <c r="D266" s="123">
        <v>8.0</v>
      </c>
      <c r="E266" s="37">
        <v>1.0</v>
      </c>
      <c r="F266" s="40"/>
      <c r="G266" s="40"/>
      <c r="H266" s="40">
        <f t="shared" si="53"/>
        <v>8</v>
      </c>
      <c r="I266" s="40"/>
      <c r="J266" s="64">
        <f t="shared" si="54"/>
        <v>8</v>
      </c>
      <c r="K266" s="46"/>
    </row>
    <row r="267" ht="19.5" customHeight="1">
      <c r="A267" s="154" t="s">
        <v>1511</v>
      </c>
      <c r="B267" s="37" t="s">
        <v>285</v>
      </c>
      <c r="C267" s="46" t="s">
        <v>106</v>
      </c>
      <c r="D267" s="123">
        <v>3.0</v>
      </c>
      <c r="E267" s="37">
        <v>1.0</v>
      </c>
      <c r="F267" s="40"/>
      <c r="G267" s="40"/>
      <c r="H267" s="40">
        <f t="shared" si="53"/>
        <v>3</v>
      </c>
      <c r="I267" s="40"/>
      <c r="J267" s="64">
        <f t="shared" si="54"/>
        <v>3</v>
      </c>
      <c r="K267" s="46"/>
    </row>
    <row r="268" ht="19.5" customHeight="1">
      <c r="A268" s="154" t="s">
        <v>1512</v>
      </c>
      <c r="B268" s="37" t="s">
        <v>286</v>
      </c>
      <c r="C268" s="46" t="s">
        <v>106</v>
      </c>
      <c r="D268" s="123">
        <v>2.0</v>
      </c>
      <c r="E268" s="37">
        <v>1.0</v>
      </c>
      <c r="F268" s="40"/>
      <c r="G268" s="40"/>
      <c r="H268" s="40">
        <f t="shared" si="53"/>
        <v>2</v>
      </c>
      <c r="I268" s="40"/>
      <c r="J268" s="64">
        <f t="shared" si="54"/>
        <v>2</v>
      </c>
      <c r="K268" s="46"/>
    </row>
    <row r="269" ht="19.5" customHeight="1">
      <c r="A269" s="434" t="s">
        <v>1</v>
      </c>
      <c r="B269" s="50" t="s">
        <v>91</v>
      </c>
      <c r="C269" s="50" t="s">
        <v>92</v>
      </c>
      <c r="D269" s="53" t="s">
        <v>93</v>
      </c>
      <c r="E269" s="50" t="s">
        <v>161</v>
      </c>
      <c r="F269" s="53" t="s">
        <v>121</v>
      </c>
      <c r="G269" s="53" t="s">
        <v>99</v>
      </c>
      <c r="H269" s="53" t="s">
        <v>100</v>
      </c>
      <c r="I269" s="53" t="s">
        <v>101</v>
      </c>
      <c r="J269" s="53" t="s">
        <v>95</v>
      </c>
      <c r="K269" s="50" t="s">
        <v>96</v>
      </c>
    </row>
    <row r="270" ht="19.5" customHeight="1">
      <c r="A270" s="145">
        <v>1.0</v>
      </c>
      <c r="B270" s="37" t="s">
        <v>287</v>
      </c>
      <c r="C270" s="46" t="s">
        <v>108</v>
      </c>
      <c r="D270" s="78">
        <v>0.0</v>
      </c>
      <c r="E270" s="37">
        <v>1.0</v>
      </c>
      <c r="F270" s="78"/>
      <c r="G270" s="40"/>
      <c r="H270" s="40">
        <f t="shared" ref="H270:H308" si="55">E270*D270</f>
        <v>0</v>
      </c>
      <c r="I270" s="42"/>
      <c r="J270" s="64">
        <f t="shared" ref="J270:J308" si="56">H270</f>
        <v>0</v>
      </c>
      <c r="K270" s="46"/>
    </row>
    <row r="271" ht="19.5" customHeight="1">
      <c r="A271" s="145">
        <v>2.0</v>
      </c>
      <c r="B271" s="37" t="s">
        <v>288</v>
      </c>
      <c r="C271" s="46" t="s">
        <v>108</v>
      </c>
      <c r="D271" s="78">
        <v>200.0</v>
      </c>
      <c r="E271" s="37">
        <v>1.0</v>
      </c>
      <c r="F271" s="78"/>
      <c r="G271" s="40"/>
      <c r="H271" s="40">
        <f t="shared" si="55"/>
        <v>200</v>
      </c>
      <c r="I271" s="42"/>
      <c r="J271" s="64">
        <f t="shared" si="56"/>
        <v>200</v>
      </c>
      <c r="K271" s="46"/>
    </row>
    <row r="272" ht="19.5" customHeight="1">
      <c r="A272" s="145">
        <v>3.0</v>
      </c>
      <c r="B272" s="37" t="s">
        <v>289</v>
      </c>
      <c r="C272" s="46" t="s">
        <v>108</v>
      </c>
      <c r="D272" s="78">
        <v>100.0</v>
      </c>
      <c r="E272" s="37">
        <v>1.0</v>
      </c>
      <c r="F272" s="78"/>
      <c r="G272" s="40"/>
      <c r="H272" s="40">
        <f t="shared" si="55"/>
        <v>100</v>
      </c>
      <c r="I272" s="42"/>
      <c r="J272" s="64">
        <f t="shared" si="56"/>
        <v>100</v>
      </c>
      <c r="K272" s="46"/>
    </row>
    <row r="273" ht="19.5" customHeight="1">
      <c r="A273" s="145">
        <v>4.0</v>
      </c>
      <c r="B273" s="37" t="s">
        <v>263</v>
      </c>
      <c r="C273" s="46" t="s">
        <v>108</v>
      </c>
      <c r="D273" s="78">
        <v>100.0</v>
      </c>
      <c r="E273" s="37">
        <v>1.0</v>
      </c>
      <c r="F273" s="78"/>
      <c r="G273" s="40"/>
      <c r="H273" s="40">
        <f t="shared" si="55"/>
        <v>100</v>
      </c>
      <c r="I273" s="42"/>
      <c r="J273" s="64">
        <f t="shared" si="56"/>
        <v>100</v>
      </c>
      <c r="K273" s="46"/>
    </row>
    <row r="274" ht="19.5" customHeight="1">
      <c r="A274" s="145">
        <v>5.0</v>
      </c>
      <c r="B274" s="37" t="s">
        <v>264</v>
      </c>
      <c r="C274" s="46" t="s">
        <v>108</v>
      </c>
      <c r="D274" s="123">
        <v>100.0</v>
      </c>
      <c r="E274" s="37">
        <v>1.0</v>
      </c>
      <c r="F274" s="40"/>
      <c r="G274" s="40"/>
      <c r="H274" s="40">
        <f t="shared" si="55"/>
        <v>100</v>
      </c>
      <c r="I274" s="40"/>
      <c r="J274" s="64">
        <f t="shared" si="56"/>
        <v>100</v>
      </c>
      <c r="K274" s="46"/>
    </row>
    <row r="275" ht="19.5" customHeight="1">
      <c r="A275" s="145">
        <v>6.0</v>
      </c>
      <c r="B275" s="37" t="s">
        <v>290</v>
      </c>
      <c r="C275" s="46" t="s">
        <v>108</v>
      </c>
      <c r="D275" s="123">
        <v>100.0</v>
      </c>
      <c r="E275" s="37">
        <v>1.0</v>
      </c>
      <c r="F275" s="40"/>
      <c r="G275" s="40"/>
      <c r="H275" s="40">
        <f t="shared" si="55"/>
        <v>100</v>
      </c>
      <c r="I275" s="40"/>
      <c r="J275" s="64">
        <f t="shared" si="56"/>
        <v>100</v>
      </c>
      <c r="K275" s="46"/>
    </row>
    <row r="276" ht="19.5" customHeight="1">
      <c r="A276" s="145">
        <v>7.0</v>
      </c>
      <c r="B276" s="37" t="s">
        <v>291</v>
      </c>
      <c r="C276" s="46" t="s">
        <v>108</v>
      </c>
      <c r="D276" s="123">
        <v>200.0</v>
      </c>
      <c r="E276" s="37">
        <v>1.0</v>
      </c>
      <c r="F276" s="40"/>
      <c r="G276" s="40"/>
      <c r="H276" s="40">
        <f t="shared" si="55"/>
        <v>200</v>
      </c>
      <c r="I276" s="40"/>
      <c r="J276" s="64">
        <f t="shared" si="56"/>
        <v>200</v>
      </c>
      <c r="K276" s="46"/>
    </row>
    <row r="277" ht="19.5" customHeight="1">
      <c r="A277" s="145">
        <v>8.0</v>
      </c>
      <c r="B277" s="37" t="s">
        <v>292</v>
      </c>
      <c r="C277" s="46" t="s">
        <v>106</v>
      </c>
      <c r="D277" s="123">
        <v>0.0</v>
      </c>
      <c r="E277" s="37">
        <v>1.0</v>
      </c>
      <c r="F277" s="40"/>
      <c r="G277" s="40"/>
      <c r="H277" s="40">
        <f t="shared" si="55"/>
        <v>0</v>
      </c>
      <c r="I277" s="40"/>
      <c r="J277" s="64">
        <f t="shared" si="56"/>
        <v>0</v>
      </c>
      <c r="K277" s="46"/>
    </row>
    <row r="278" ht="19.5" customHeight="1">
      <c r="A278" s="145">
        <v>9.0</v>
      </c>
      <c r="B278" s="37" t="s">
        <v>293</v>
      </c>
      <c r="C278" s="46" t="s">
        <v>106</v>
      </c>
      <c r="D278" s="123">
        <v>2.0</v>
      </c>
      <c r="E278" s="37">
        <v>1.0</v>
      </c>
      <c r="F278" s="40"/>
      <c r="G278" s="40"/>
      <c r="H278" s="40">
        <f t="shared" si="55"/>
        <v>2</v>
      </c>
      <c r="I278" s="40"/>
      <c r="J278" s="64">
        <f t="shared" si="56"/>
        <v>2</v>
      </c>
      <c r="K278" s="46"/>
    </row>
    <row r="279" ht="19.5" customHeight="1">
      <c r="A279" s="145">
        <v>10.0</v>
      </c>
      <c r="B279" s="37" t="s">
        <v>294</v>
      </c>
      <c r="C279" s="46" t="s">
        <v>106</v>
      </c>
      <c r="D279" s="123">
        <v>2.0</v>
      </c>
      <c r="E279" s="37">
        <v>1.0</v>
      </c>
      <c r="F279" s="40"/>
      <c r="G279" s="40"/>
      <c r="H279" s="40">
        <f t="shared" si="55"/>
        <v>2</v>
      </c>
      <c r="I279" s="40"/>
      <c r="J279" s="64">
        <f t="shared" si="56"/>
        <v>2</v>
      </c>
      <c r="K279" s="46"/>
    </row>
    <row r="280" ht="19.5" customHeight="1">
      <c r="A280" s="145">
        <v>11.0</v>
      </c>
      <c r="B280" s="37" t="s">
        <v>295</v>
      </c>
      <c r="C280" s="46" t="s">
        <v>106</v>
      </c>
      <c r="D280" s="123">
        <v>2.0</v>
      </c>
      <c r="E280" s="37">
        <v>1.0</v>
      </c>
      <c r="F280" s="40"/>
      <c r="G280" s="40"/>
      <c r="H280" s="40">
        <f t="shared" si="55"/>
        <v>2</v>
      </c>
      <c r="I280" s="40"/>
      <c r="J280" s="64">
        <f t="shared" si="56"/>
        <v>2</v>
      </c>
      <c r="K280" s="46"/>
    </row>
    <row r="281" ht="19.5" customHeight="1">
      <c r="A281" s="145">
        <v>12.0</v>
      </c>
      <c r="B281" s="37" t="s">
        <v>270</v>
      </c>
      <c r="C281" s="46" t="s">
        <v>106</v>
      </c>
      <c r="D281" s="123">
        <v>2.0</v>
      </c>
      <c r="E281" s="37">
        <v>1.0</v>
      </c>
      <c r="F281" s="40"/>
      <c r="G281" s="40"/>
      <c r="H281" s="40">
        <f t="shared" si="55"/>
        <v>2</v>
      </c>
      <c r="I281" s="40"/>
      <c r="J281" s="64">
        <f t="shared" si="56"/>
        <v>2</v>
      </c>
      <c r="K281" s="46"/>
    </row>
    <row r="282" ht="19.5" customHeight="1">
      <c r="A282" s="145">
        <v>13.0</v>
      </c>
      <c r="B282" s="37" t="s">
        <v>296</v>
      </c>
      <c r="C282" s="46" t="s">
        <v>106</v>
      </c>
      <c r="D282" s="123">
        <v>2.0</v>
      </c>
      <c r="E282" s="37">
        <v>2.0</v>
      </c>
      <c r="F282" s="40"/>
      <c r="G282" s="40"/>
      <c r="H282" s="40">
        <f t="shared" si="55"/>
        <v>4</v>
      </c>
      <c r="I282" s="40"/>
      <c r="J282" s="64">
        <f t="shared" si="56"/>
        <v>4</v>
      </c>
      <c r="K282" s="46"/>
    </row>
    <row r="283" ht="19.5" customHeight="1">
      <c r="A283" s="145">
        <v>14.0</v>
      </c>
      <c r="B283" s="37" t="s">
        <v>297</v>
      </c>
      <c r="C283" s="46" t="s">
        <v>106</v>
      </c>
      <c r="D283" s="123">
        <v>4.0</v>
      </c>
      <c r="E283" s="37">
        <v>2.0</v>
      </c>
      <c r="F283" s="40"/>
      <c r="G283" s="40"/>
      <c r="H283" s="40">
        <f t="shared" si="55"/>
        <v>8</v>
      </c>
      <c r="I283" s="40"/>
      <c r="J283" s="64">
        <f t="shared" si="56"/>
        <v>8</v>
      </c>
      <c r="K283" s="46"/>
    </row>
    <row r="284" ht="19.5" customHeight="1">
      <c r="A284" s="145">
        <v>15.0</v>
      </c>
      <c r="B284" s="37" t="s">
        <v>298</v>
      </c>
      <c r="C284" s="46" t="s">
        <v>106</v>
      </c>
      <c r="D284" s="123">
        <v>2.0</v>
      </c>
      <c r="E284" s="37">
        <v>1.0</v>
      </c>
      <c r="F284" s="40"/>
      <c r="G284" s="40"/>
      <c r="H284" s="40">
        <f t="shared" si="55"/>
        <v>2</v>
      </c>
      <c r="I284" s="40"/>
      <c r="J284" s="64">
        <f t="shared" si="56"/>
        <v>2</v>
      </c>
      <c r="K284" s="46"/>
    </row>
    <row r="285" ht="19.5" customHeight="1">
      <c r="A285" s="145">
        <v>16.0</v>
      </c>
      <c r="B285" s="37" t="s">
        <v>299</v>
      </c>
      <c r="C285" s="46" t="s">
        <v>106</v>
      </c>
      <c r="D285" s="123">
        <v>2.0</v>
      </c>
      <c r="E285" s="37">
        <v>1.0</v>
      </c>
      <c r="F285" s="40"/>
      <c r="G285" s="40"/>
      <c r="H285" s="40">
        <f t="shared" si="55"/>
        <v>2</v>
      </c>
      <c r="I285" s="40"/>
      <c r="J285" s="64">
        <f t="shared" si="56"/>
        <v>2</v>
      </c>
      <c r="K285" s="46"/>
    </row>
    <row r="286" ht="19.5" customHeight="1">
      <c r="A286" s="145">
        <v>17.0</v>
      </c>
      <c r="B286" s="37" t="s">
        <v>300</v>
      </c>
      <c r="C286" s="46" t="s">
        <v>106</v>
      </c>
      <c r="D286" s="123">
        <v>2.0</v>
      </c>
      <c r="E286" s="37">
        <v>1.0</v>
      </c>
      <c r="F286" s="40"/>
      <c r="G286" s="40"/>
      <c r="H286" s="40">
        <f t="shared" si="55"/>
        <v>2</v>
      </c>
      <c r="I286" s="40"/>
      <c r="J286" s="64">
        <f t="shared" si="56"/>
        <v>2</v>
      </c>
      <c r="K286" s="46"/>
    </row>
    <row r="287" ht="19.5" customHeight="1">
      <c r="A287" s="145">
        <v>18.0</v>
      </c>
      <c r="B287" s="37" t="s">
        <v>301</v>
      </c>
      <c r="C287" s="46" t="s">
        <v>106</v>
      </c>
      <c r="D287" s="123">
        <v>2.0</v>
      </c>
      <c r="E287" s="37">
        <v>1.0</v>
      </c>
      <c r="F287" s="40"/>
      <c r="G287" s="40"/>
      <c r="H287" s="40">
        <f t="shared" si="55"/>
        <v>2</v>
      </c>
      <c r="I287" s="40"/>
      <c r="J287" s="64">
        <f t="shared" si="56"/>
        <v>2</v>
      </c>
      <c r="K287" s="46"/>
    </row>
    <row r="288" ht="19.5" customHeight="1">
      <c r="A288" s="145">
        <v>19.0</v>
      </c>
      <c r="B288" s="37" t="s">
        <v>302</v>
      </c>
      <c r="C288" s="46" t="s">
        <v>106</v>
      </c>
      <c r="D288" s="123">
        <v>2.0</v>
      </c>
      <c r="E288" s="37">
        <v>1.0</v>
      </c>
      <c r="F288" s="40"/>
      <c r="G288" s="40"/>
      <c r="H288" s="40">
        <f t="shared" si="55"/>
        <v>2</v>
      </c>
      <c r="I288" s="40"/>
      <c r="J288" s="64">
        <f t="shared" si="56"/>
        <v>2</v>
      </c>
      <c r="K288" s="46"/>
    </row>
    <row r="289" ht="19.5" customHeight="1">
      <c r="A289" s="145">
        <v>20.0</v>
      </c>
      <c r="B289" s="37" t="s">
        <v>303</v>
      </c>
      <c r="C289" s="46" t="s">
        <v>106</v>
      </c>
      <c r="D289" s="123">
        <v>1.0</v>
      </c>
      <c r="E289" s="37">
        <v>1.0</v>
      </c>
      <c r="F289" s="40"/>
      <c r="G289" s="40"/>
      <c r="H289" s="40">
        <f t="shared" si="55"/>
        <v>1</v>
      </c>
      <c r="I289" s="40"/>
      <c r="J289" s="64">
        <f t="shared" si="56"/>
        <v>1</v>
      </c>
      <c r="K289" s="46"/>
    </row>
    <row r="290" ht="19.5" customHeight="1">
      <c r="A290" s="145">
        <v>21.0</v>
      </c>
      <c r="B290" s="37" t="s">
        <v>304</v>
      </c>
      <c r="C290" s="46" t="s">
        <v>106</v>
      </c>
      <c r="D290" s="123">
        <v>4.0</v>
      </c>
      <c r="E290" s="37">
        <v>1.0</v>
      </c>
      <c r="F290" s="40"/>
      <c r="G290" s="40"/>
      <c r="H290" s="40">
        <f t="shared" si="55"/>
        <v>4</v>
      </c>
      <c r="I290" s="40"/>
      <c r="J290" s="64">
        <f t="shared" si="56"/>
        <v>4</v>
      </c>
      <c r="K290" s="46"/>
    </row>
    <row r="291" ht="19.5" customHeight="1">
      <c r="A291" s="145">
        <v>22.0</v>
      </c>
      <c r="B291" s="37" t="s">
        <v>305</v>
      </c>
      <c r="C291" s="46" t="s">
        <v>106</v>
      </c>
      <c r="D291" s="123">
        <v>0.0</v>
      </c>
      <c r="E291" s="37">
        <v>1.0</v>
      </c>
      <c r="F291" s="40"/>
      <c r="G291" s="40"/>
      <c r="H291" s="40">
        <f t="shared" si="55"/>
        <v>0</v>
      </c>
      <c r="I291" s="40"/>
      <c r="J291" s="64">
        <f t="shared" si="56"/>
        <v>0</v>
      </c>
      <c r="K291" s="46"/>
    </row>
    <row r="292" ht="19.5" customHeight="1">
      <c r="A292" s="145">
        <v>23.0</v>
      </c>
      <c r="B292" s="37" t="s">
        <v>306</v>
      </c>
      <c r="C292" s="46" t="s">
        <v>106</v>
      </c>
      <c r="D292" s="123">
        <v>2.0</v>
      </c>
      <c r="E292" s="37">
        <v>1.0</v>
      </c>
      <c r="F292" s="40"/>
      <c r="G292" s="40"/>
      <c r="H292" s="40">
        <f t="shared" si="55"/>
        <v>2</v>
      </c>
      <c r="I292" s="40"/>
      <c r="J292" s="64">
        <f t="shared" si="56"/>
        <v>2</v>
      </c>
      <c r="K292" s="46"/>
    </row>
    <row r="293" ht="19.5" customHeight="1">
      <c r="A293" s="145">
        <v>24.0</v>
      </c>
      <c r="B293" s="37" t="s">
        <v>307</v>
      </c>
      <c r="C293" s="46" t="s">
        <v>106</v>
      </c>
      <c r="D293" s="123">
        <v>2.0</v>
      </c>
      <c r="E293" s="37">
        <v>1.0</v>
      </c>
      <c r="F293" s="40"/>
      <c r="G293" s="40"/>
      <c r="H293" s="40">
        <f t="shared" si="55"/>
        <v>2</v>
      </c>
      <c r="I293" s="40"/>
      <c r="J293" s="64">
        <f t="shared" si="56"/>
        <v>2</v>
      </c>
      <c r="K293" s="46"/>
    </row>
    <row r="294" ht="19.5" customHeight="1">
      <c r="A294" s="145">
        <v>25.0</v>
      </c>
      <c r="B294" s="37" t="s">
        <v>308</v>
      </c>
      <c r="C294" s="46" t="s">
        <v>106</v>
      </c>
      <c r="D294" s="123">
        <v>2.0</v>
      </c>
      <c r="E294" s="37">
        <v>1.0</v>
      </c>
      <c r="F294" s="40"/>
      <c r="G294" s="40"/>
      <c r="H294" s="40">
        <f t="shared" si="55"/>
        <v>2</v>
      </c>
      <c r="I294" s="40"/>
      <c r="J294" s="64">
        <f t="shared" si="56"/>
        <v>2</v>
      </c>
      <c r="K294" s="46"/>
    </row>
    <row r="295" ht="19.5" customHeight="1">
      <c r="A295" s="145">
        <v>26.0</v>
      </c>
      <c r="B295" s="37" t="s">
        <v>309</v>
      </c>
      <c r="C295" s="46" t="s">
        <v>106</v>
      </c>
      <c r="D295" s="123">
        <v>4.0</v>
      </c>
      <c r="E295" s="37">
        <v>1.0</v>
      </c>
      <c r="F295" s="40"/>
      <c r="G295" s="40"/>
      <c r="H295" s="40">
        <f t="shared" si="55"/>
        <v>4</v>
      </c>
      <c r="I295" s="40"/>
      <c r="J295" s="64">
        <f t="shared" si="56"/>
        <v>4</v>
      </c>
      <c r="K295" s="46"/>
    </row>
    <row r="296" ht="19.5" customHeight="1">
      <c r="A296" s="145">
        <v>27.0</v>
      </c>
      <c r="B296" s="37" t="s">
        <v>310</v>
      </c>
      <c r="C296" s="46" t="s">
        <v>106</v>
      </c>
      <c r="D296" s="123">
        <v>2.0</v>
      </c>
      <c r="E296" s="37">
        <v>1.0</v>
      </c>
      <c r="F296" s="40"/>
      <c r="G296" s="40"/>
      <c r="H296" s="40">
        <f t="shared" si="55"/>
        <v>2</v>
      </c>
      <c r="I296" s="40"/>
      <c r="J296" s="64">
        <f t="shared" si="56"/>
        <v>2</v>
      </c>
      <c r="K296" s="46"/>
    </row>
    <row r="297" ht="19.5" customHeight="1">
      <c r="A297" s="145">
        <v>28.0</v>
      </c>
      <c r="B297" s="37" t="s">
        <v>311</v>
      </c>
      <c r="C297" s="46" t="s">
        <v>106</v>
      </c>
      <c r="D297" s="123">
        <v>4.0</v>
      </c>
      <c r="E297" s="37">
        <v>1.0</v>
      </c>
      <c r="F297" s="40"/>
      <c r="G297" s="40"/>
      <c r="H297" s="40">
        <f t="shared" si="55"/>
        <v>4</v>
      </c>
      <c r="I297" s="40"/>
      <c r="J297" s="64">
        <f t="shared" si="56"/>
        <v>4</v>
      </c>
      <c r="K297" s="46"/>
    </row>
    <row r="298" ht="19.5" customHeight="1">
      <c r="A298" s="145">
        <v>29.0</v>
      </c>
      <c r="B298" s="37" t="s">
        <v>312</v>
      </c>
      <c r="C298" s="46" t="s">
        <v>106</v>
      </c>
      <c r="D298" s="123">
        <v>40.0</v>
      </c>
      <c r="E298" s="37">
        <v>1.0</v>
      </c>
      <c r="F298" s="40"/>
      <c r="G298" s="40"/>
      <c r="H298" s="40">
        <f t="shared" si="55"/>
        <v>40</v>
      </c>
      <c r="I298" s="40"/>
      <c r="J298" s="64">
        <f t="shared" si="56"/>
        <v>40</v>
      </c>
      <c r="K298" s="46"/>
    </row>
    <row r="299" ht="19.5" customHeight="1">
      <c r="A299" s="145">
        <v>30.0</v>
      </c>
      <c r="B299" s="37" t="s">
        <v>313</v>
      </c>
      <c r="C299" s="46" t="s">
        <v>106</v>
      </c>
      <c r="D299" s="123">
        <v>40.0</v>
      </c>
      <c r="E299" s="37">
        <v>1.0</v>
      </c>
      <c r="F299" s="40"/>
      <c r="G299" s="40"/>
      <c r="H299" s="40">
        <f t="shared" si="55"/>
        <v>40</v>
      </c>
      <c r="I299" s="40"/>
      <c r="J299" s="64">
        <f t="shared" si="56"/>
        <v>40</v>
      </c>
      <c r="K299" s="46"/>
    </row>
    <row r="300" ht="19.5" customHeight="1">
      <c r="A300" s="145">
        <v>31.0</v>
      </c>
      <c r="B300" s="37" t="s">
        <v>314</v>
      </c>
      <c r="C300" s="46" t="s">
        <v>106</v>
      </c>
      <c r="D300" s="123">
        <v>10.0</v>
      </c>
      <c r="E300" s="37">
        <v>1.0</v>
      </c>
      <c r="F300" s="40"/>
      <c r="G300" s="40"/>
      <c r="H300" s="40">
        <f t="shared" si="55"/>
        <v>10</v>
      </c>
      <c r="I300" s="40"/>
      <c r="J300" s="64">
        <f t="shared" si="56"/>
        <v>10</v>
      </c>
      <c r="K300" s="46"/>
    </row>
    <row r="301" ht="19.5" customHeight="1">
      <c r="A301" s="145">
        <v>32.0</v>
      </c>
      <c r="B301" s="37" t="s">
        <v>315</v>
      </c>
      <c r="C301" s="46" t="s">
        <v>106</v>
      </c>
      <c r="D301" s="123">
        <v>8.0</v>
      </c>
      <c r="E301" s="37">
        <v>1.0</v>
      </c>
      <c r="F301" s="40"/>
      <c r="G301" s="40"/>
      <c r="H301" s="40">
        <f t="shared" si="55"/>
        <v>8</v>
      </c>
      <c r="I301" s="40"/>
      <c r="J301" s="64">
        <f t="shared" si="56"/>
        <v>8</v>
      </c>
      <c r="K301" s="46"/>
    </row>
    <row r="302" ht="19.5" customHeight="1">
      <c r="A302" s="145">
        <v>33.0</v>
      </c>
      <c r="B302" s="37" t="s">
        <v>316</v>
      </c>
      <c r="C302" s="46" t="s">
        <v>106</v>
      </c>
      <c r="D302" s="123">
        <v>12.0</v>
      </c>
      <c r="E302" s="37">
        <v>1.0</v>
      </c>
      <c r="F302" s="40"/>
      <c r="G302" s="40"/>
      <c r="H302" s="40">
        <f t="shared" si="55"/>
        <v>12</v>
      </c>
      <c r="I302" s="40"/>
      <c r="J302" s="64">
        <f t="shared" si="56"/>
        <v>12</v>
      </c>
      <c r="K302" s="46"/>
    </row>
    <row r="303" ht="19.5" customHeight="1">
      <c r="A303" s="145">
        <v>34.0</v>
      </c>
      <c r="B303" s="37" t="s">
        <v>317</v>
      </c>
      <c r="C303" s="46" t="s">
        <v>106</v>
      </c>
      <c r="D303" s="123">
        <v>8.0</v>
      </c>
      <c r="E303" s="37">
        <v>1.0</v>
      </c>
      <c r="F303" s="40"/>
      <c r="G303" s="40"/>
      <c r="H303" s="40">
        <f t="shared" si="55"/>
        <v>8</v>
      </c>
      <c r="I303" s="40"/>
      <c r="J303" s="64">
        <f t="shared" si="56"/>
        <v>8</v>
      </c>
      <c r="K303" s="46"/>
    </row>
    <row r="304" ht="19.5" customHeight="1">
      <c r="A304" s="145">
        <v>35.0</v>
      </c>
      <c r="B304" s="37" t="s">
        <v>318</v>
      </c>
      <c r="C304" s="46" t="s">
        <v>106</v>
      </c>
      <c r="D304" s="123">
        <v>3.0</v>
      </c>
      <c r="E304" s="37">
        <v>1.0</v>
      </c>
      <c r="F304" s="40"/>
      <c r="G304" s="40"/>
      <c r="H304" s="40">
        <f t="shared" si="55"/>
        <v>3</v>
      </c>
      <c r="I304" s="40"/>
      <c r="J304" s="64">
        <f t="shared" si="56"/>
        <v>3</v>
      </c>
      <c r="K304" s="46"/>
    </row>
    <row r="305" ht="19.5" customHeight="1">
      <c r="A305" s="145">
        <v>36.0</v>
      </c>
      <c r="B305" s="37" t="s">
        <v>319</v>
      </c>
      <c r="C305" s="46" t="s">
        <v>106</v>
      </c>
      <c r="D305" s="123">
        <v>26.0</v>
      </c>
      <c r="E305" s="37">
        <v>1.0</v>
      </c>
      <c r="F305" s="40"/>
      <c r="G305" s="40"/>
      <c r="H305" s="40">
        <f t="shared" si="55"/>
        <v>26</v>
      </c>
      <c r="I305" s="40"/>
      <c r="J305" s="64">
        <f t="shared" si="56"/>
        <v>26</v>
      </c>
      <c r="K305" s="46"/>
    </row>
    <row r="306" ht="19.5" customHeight="1">
      <c r="A306" s="154" t="s">
        <v>1513</v>
      </c>
      <c r="B306" s="37" t="s">
        <v>320</v>
      </c>
      <c r="C306" s="46" t="s">
        <v>106</v>
      </c>
      <c r="D306" s="125">
        <v>10.0</v>
      </c>
      <c r="E306" s="37">
        <v>1.0</v>
      </c>
      <c r="F306" s="40"/>
      <c r="G306" s="40"/>
      <c r="H306" s="40">
        <f t="shared" si="55"/>
        <v>10</v>
      </c>
      <c r="I306" s="40"/>
      <c r="J306" s="64">
        <f t="shared" si="56"/>
        <v>10</v>
      </c>
      <c r="K306" s="46"/>
    </row>
    <row r="307" ht="19.5" customHeight="1">
      <c r="A307" s="154" t="s">
        <v>1514</v>
      </c>
      <c r="B307" s="37" t="s">
        <v>321</v>
      </c>
      <c r="C307" s="46" t="s">
        <v>106</v>
      </c>
      <c r="D307" s="123">
        <v>8.0</v>
      </c>
      <c r="E307" s="37">
        <v>1.0</v>
      </c>
      <c r="F307" s="40"/>
      <c r="G307" s="40"/>
      <c r="H307" s="40">
        <f t="shared" si="55"/>
        <v>8</v>
      </c>
      <c r="I307" s="40"/>
      <c r="J307" s="64">
        <f t="shared" si="56"/>
        <v>8</v>
      </c>
      <c r="K307" s="46"/>
    </row>
    <row r="308" ht="19.5" customHeight="1">
      <c r="A308" s="154" t="s">
        <v>1515</v>
      </c>
      <c r="B308" s="37" t="s">
        <v>322</v>
      </c>
      <c r="C308" s="46" t="s">
        <v>106</v>
      </c>
      <c r="D308" s="125">
        <v>14.0</v>
      </c>
      <c r="E308" s="37">
        <v>1.0</v>
      </c>
      <c r="F308" s="40"/>
      <c r="G308" s="40"/>
      <c r="H308" s="40">
        <f t="shared" si="55"/>
        <v>14</v>
      </c>
      <c r="I308" s="40"/>
      <c r="J308" s="64">
        <f t="shared" si="56"/>
        <v>14</v>
      </c>
      <c r="K308" s="46"/>
    </row>
    <row r="309" ht="19.5" customHeight="1">
      <c r="A309" s="220"/>
      <c r="B309" s="243"/>
      <c r="C309" s="46"/>
      <c r="D309" s="123"/>
      <c r="E309" s="243"/>
      <c r="F309" s="40"/>
      <c r="G309" s="40"/>
      <c r="H309" s="40"/>
      <c r="I309" s="40"/>
      <c r="J309" s="40"/>
      <c r="K309" s="46"/>
    </row>
    <row r="310" ht="19.5" customHeight="1">
      <c r="A310" s="434" t="s">
        <v>1</v>
      </c>
      <c r="B310" s="50" t="s">
        <v>91</v>
      </c>
      <c r="C310" s="50" t="s">
        <v>92</v>
      </c>
      <c r="D310" s="53" t="s">
        <v>93</v>
      </c>
      <c r="E310" s="50" t="s">
        <v>161</v>
      </c>
      <c r="F310" s="53" t="s">
        <v>121</v>
      </c>
      <c r="G310" s="52" t="s">
        <v>97</v>
      </c>
      <c r="H310" s="53" t="s">
        <v>100</v>
      </c>
      <c r="I310" s="53" t="s">
        <v>101</v>
      </c>
      <c r="J310" s="53" t="s">
        <v>95</v>
      </c>
      <c r="K310" s="50" t="s">
        <v>96</v>
      </c>
    </row>
    <row r="311" ht="19.5" customHeight="1">
      <c r="A311" s="154" t="s">
        <v>1516</v>
      </c>
      <c r="B311" s="49" t="s">
        <v>880</v>
      </c>
      <c r="C311" s="46" t="s">
        <v>106</v>
      </c>
      <c r="D311" s="78">
        <v>8.0</v>
      </c>
      <c r="E311" s="37"/>
      <c r="F311" s="78"/>
      <c r="G311" s="40"/>
      <c r="H311" s="40">
        <f t="shared" ref="H311:H314" si="57">D311</f>
        <v>8</v>
      </c>
      <c r="I311" s="42"/>
      <c r="J311" s="43">
        <f t="shared" ref="J311:J314" si="58">H311</f>
        <v>8</v>
      </c>
      <c r="K311" s="46"/>
    </row>
    <row r="312" ht="19.5" customHeight="1">
      <c r="A312" s="154" t="s">
        <v>1517</v>
      </c>
      <c r="B312" s="37" t="s">
        <v>327</v>
      </c>
      <c r="C312" s="46" t="s">
        <v>106</v>
      </c>
      <c r="D312" s="125">
        <v>10.0</v>
      </c>
      <c r="E312" s="37"/>
      <c r="F312" s="40"/>
      <c r="G312" s="40"/>
      <c r="H312" s="40">
        <f t="shared" si="57"/>
        <v>10</v>
      </c>
      <c r="I312" s="40"/>
      <c r="J312" s="43">
        <f t="shared" si="58"/>
        <v>10</v>
      </c>
      <c r="K312" s="46"/>
    </row>
    <row r="313" ht="19.5" customHeight="1">
      <c r="A313" s="154" t="s">
        <v>1518</v>
      </c>
      <c r="B313" s="49" t="s">
        <v>326</v>
      </c>
      <c r="C313" s="46" t="s">
        <v>106</v>
      </c>
      <c r="D313" s="125">
        <v>10.0</v>
      </c>
      <c r="E313" s="37"/>
      <c r="F313" s="40"/>
      <c r="G313" s="40"/>
      <c r="H313" s="40">
        <f t="shared" si="57"/>
        <v>10</v>
      </c>
      <c r="I313" s="40"/>
      <c r="J313" s="43">
        <f t="shared" si="58"/>
        <v>10</v>
      </c>
      <c r="K313" s="46"/>
    </row>
    <row r="314" ht="19.5" customHeight="1">
      <c r="A314" s="154" t="s">
        <v>1519</v>
      </c>
      <c r="B314" s="49" t="s">
        <v>1520</v>
      </c>
      <c r="C314" s="46" t="s">
        <v>106</v>
      </c>
      <c r="D314" s="125">
        <v>12.0</v>
      </c>
      <c r="E314" s="37"/>
      <c r="F314" s="40"/>
      <c r="G314" s="40"/>
      <c r="H314" s="40">
        <f t="shared" si="57"/>
        <v>12</v>
      </c>
      <c r="I314" s="40"/>
      <c r="J314" s="43">
        <f t="shared" si="58"/>
        <v>12</v>
      </c>
      <c r="K314" s="46"/>
    </row>
    <row r="315" ht="19.5" customHeight="1">
      <c r="A315" s="154" t="s">
        <v>1521</v>
      </c>
      <c r="B315" s="49" t="s">
        <v>1522</v>
      </c>
      <c r="C315" s="46" t="s">
        <v>103</v>
      </c>
      <c r="D315" s="125">
        <v>2.0</v>
      </c>
      <c r="E315" s="37"/>
      <c r="F315" s="41">
        <v>4.1</v>
      </c>
      <c r="G315" s="41">
        <v>0.9</v>
      </c>
      <c r="H315" s="40">
        <f t="shared" ref="H315:H316" si="59">D315*F315*G315</f>
        <v>7.38</v>
      </c>
      <c r="I315" s="40"/>
      <c r="J315" s="143">
        <f>H315+H316</f>
        <v>8.46</v>
      </c>
      <c r="K315" s="46"/>
    </row>
    <row r="316" ht="19.5" customHeight="1">
      <c r="A316" s="154" t="s">
        <v>1521</v>
      </c>
      <c r="B316" s="67" t="s">
        <v>1523</v>
      </c>
      <c r="C316" s="46" t="s">
        <v>103</v>
      </c>
      <c r="D316" s="125">
        <v>2.0</v>
      </c>
      <c r="E316" s="243"/>
      <c r="F316" s="41">
        <v>0.6</v>
      </c>
      <c r="G316" s="41">
        <v>0.9</v>
      </c>
      <c r="H316" s="40">
        <f t="shared" si="59"/>
        <v>1.08</v>
      </c>
      <c r="I316" s="40"/>
      <c r="J316" s="32"/>
      <c r="K316" s="46"/>
    </row>
    <row r="317" ht="19.5" customHeight="1">
      <c r="A317" s="434" t="s">
        <v>1</v>
      </c>
      <c r="B317" s="50" t="s">
        <v>91</v>
      </c>
      <c r="C317" s="50" t="s">
        <v>92</v>
      </c>
      <c r="D317" s="53" t="s">
        <v>93</v>
      </c>
      <c r="E317" s="51" t="s">
        <v>97</v>
      </c>
      <c r="F317" s="53" t="s">
        <v>121</v>
      </c>
      <c r="G317" s="53" t="s">
        <v>99</v>
      </c>
      <c r="H317" s="53" t="s">
        <v>100</v>
      </c>
      <c r="I317" s="53" t="s">
        <v>101</v>
      </c>
      <c r="J317" s="53" t="s">
        <v>95</v>
      </c>
      <c r="K317" s="50" t="s">
        <v>96</v>
      </c>
    </row>
    <row r="318" ht="19.5" customHeight="1">
      <c r="A318" s="154" t="s">
        <v>1524</v>
      </c>
      <c r="B318" s="37" t="s">
        <v>1525</v>
      </c>
      <c r="C318" s="38" t="s">
        <v>1342</v>
      </c>
      <c r="D318" s="78">
        <v>1.0</v>
      </c>
      <c r="E318" s="37"/>
      <c r="F318" s="78"/>
      <c r="G318" s="40"/>
      <c r="H318" s="40">
        <f t="shared" ref="H318:H321" si="60">D318</f>
        <v>1</v>
      </c>
      <c r="I318" s="42"/>
      <c r="J318" s="43">
        <f t="shared" ref="J318:J323" si="61">H318</f>
        <v>1</v>
      </c>
      <c r="K318" s="46"/>
    </row>
    <row r="319" ht="19.5" customHeight="1">
      <c r="A319" s="154" t="s">
        <v>1526</v>
      </c>
      <c r="B319" s="49" t="s">
        <v>1527</v>
      </c>
      <c r="C319" s="38" t="s">
        <v>1342</v>
      </c>
      <c r="D319" s="123">
        <v>1.0</v>
      </c>
      <c r="E319" s="37"/>
      <c r="F319" s="40"/>
      <c r="G319" s="40"/>
      <c r="H319" s="40">
        <f t="shared" si="60"/>
        <v>1</v>
      </c>
      <c r="I319" s="40"/>
      <c r="J319" s="43">
        <f t="shared" si="61"/>
        <v>1</v>
      </c>
      <c r="K319" s="46"/>
    </row>
    <row r="320" ht="19.5" customHeight="1">
      <c r="A320" s="154" t="s">
        <v>1528</v>
      </c>
      <c r="B320" s="49" t="s">
        <v>1529</v>
      </c>
      <c r="C320" s="46" t="s">
        <v>106</v>
      </c>
      <c r="D320" s="123">
        <v>1.0</v>
      </c>
      <c r="E320" s="37"/>
      <c r="F320" s="40"/>
      <c r="G320" s="40"/>
      <c r="H320" s="40">
        <f t="shared" si="60"/>
        <v>1</v>
      </c>
      <c r="I320" s="40"/>
      <c r="J320" s="43">
        <f t="shared" si="61"/>
        <v>1</v>
      </c>
      <c r="K320" s="46"/>
    </row>
    <row r="321" ht="19.5" customHeight="1">
      <c r="A321" s="154" t="s">
        <v>1530</v>
      </c>
      <c r="B321" s="49" t="s">
        <v>1531</v>
      </c>
      <c r="C321" s="46" t="s">
        <v>106</v>
      </c>
      <c r="D321" s="125">
        <v>1.0</v>
      </c>
      <c r="E321" s="37"/>
      <c r="F321" s="40"/>
      <c r="G321" s="40"/>
      <c r="H321" s="40">
        <f t="shared" si="60"/>
        <v>1</v>
      </c>
      <c r="I321" s="40"/>
      <c r="J321" s="43">
        <f t="shared" si="61"/>
        <v>1</v>
      </c>
      <c r="K321" s="46"/>
    </row>
    <row r="322" ht="19.5" customHeight="1">
      <c r="A322" s="154" t="s">
        <v>1532</v>
      </c>
      <c r="B322" s="49" t="s">
        <v>1533</v>
      </c>
      <c r="C322" s="46" t="s">
        <v>103</v>
      </c>
      <c r="D322" s="125">
        <v>1.0</v>
      </c>
      <c r="E322" s="49"/>
      <c r="F322" s="41">
        <v>20.0</v>
      </c>
      <c r="G322" s="41">
        <v>30.0</v>
      </c>
      <c r="H322" s="40">
        <f>D322*F322*G322</f>
        <v>600</v>
      </c>
      <c r="I322" s="40"/>
      <c r="J322" s="43">
        <f t="shared" si="61"/>
        <v>600</v>
      </c>
      <c r="K322" s="46"/>
    </row>
    <row r="323" ht="19.5" customHeight="1">
      <c r="A323" s="154" t="s">
        <v>1534</v>
      </c>
      <c r="B323" s="49" t="s">
        <v>1535</v>
      </c>
      <c r="C323" s="38" t="s">
        <v>108</v>
      </c>
      <c r="D323" s="125">
        <v>1.0</v>
      </c>
      <c r="E323" s="37"/>
      <c r="F323" s="41">
        <f>6+14.75</f>
        <v>20.75</v>
      </c>
      <c r="G323" s="40"/>
      <c r="H323" s="40">
        <f>D323*F323</f>
        <v>20.75</v>
      </c>
      <c r="I323" s="40"/>
      <c r="J323" s="43">
        <f t="shared" si="61"/>
        <v>20.75</v>
      </c>
      <c r="K323" s="46"/>
    </row>
    <row r="324" ht="19.5" customHeight="1">
      <c r="A324" s="220"/>
      <c r="B324" s="243"/>
      <c r="C324" s="46"/>
      <c r="D324" s="123"/>
      <c r="E324" s="243"/>
      <c r="F324" s="40"/>
      <c r="G324" s="40"/>
      <c r="H324" s="40"/>
      <c r="I324" s="40"/>
      <c r="J324" s="40"/>
      <c r="K324" s="46"/>
    </row>
    <row r="325" ht="19.5" customHeight="1">
      <c r="A325" s="220"/>
      <c r="B325" s="243"/>
      <c r="C325" s="46"/>
      <c r="D325" s="123"/>
      <c r="E325" s="243"/>
      <c r="F325" s="40"/>
      <c r="G325" s="40"/>
      <c r="H325" s="40"/>
      <c r="I325" s="40"/>
      <c r="J325" s="40"/>
      <c r="K325" s="46"/>
    </row>
    <row r="326" ht="19.5" customHeight="1">
      <c r="A326" s="220"/>
      <c r="B326" s="243"/>
      <c r="C326" s="46"/>
      <c r="D326" s="123"/>
      <c r="E326" s="243"/>
      <c r="F326" s="40"/>
      <c r="G326" s="40"/>
      <c r="H326" s="40"/>
      <c r="I326" s="40"/>
      <c r="J326" s="40"/>
      <c r="K326" s="46"/>
    </row>
    <row r="327" ht="19.5" customHeight="1">
      <c r="A327" s="220"/>
      <c r="B327" s="243"/>
      <c r="C327" s="46"/>
      <c r="D327" s="123"/>
      <c r="E327" s="243"/>
      <c r="F327" s="40"/>
      <c r="G327" s="40"/>
      <c r="H327" s="40"/>
      <c r="I327" s="40"/>
      <c r="J327" s="40"/>
      <c r="K327" s="46"/>
    </row>
    <row r="328" ht="19.5" customHeight="1">
      <c r="A328" s="220"/>
      <c r="B328" s="243"/>
      <c r="C328" s="46"/>
      <c r="D328" s="123"/>
      <c r="E328" s="243"/>
      <c r="F328" s="40"/>
      <c r="G328" s="40"/>
      <c r="H328" s="40"/>
      <c r="I328" s="40"/>
      <c r="J328" s="40"/>
      <c r="K328" s="46"/>
    </row>
    <row r="329" ht="19.5" customHeight="1">
      <c r="A329" s="220"/>
      <c r="B329" s="243"/>
      <c r="C329" s="46"/>
      <c r="D329" s="123"/>
      <c r="E329" s="243"/>
      <c r="F329" s="40"/>
      <c r="G329" s="40"/>
      <c r="H329" s="40"/>
      <c r="I329" s="40"/>
      <c r="J329" s="40"/>
      <c r="K329" s="46"/>
    </row>
    <row r="330" ht="19.5" customHeight="1">
      <c r="A330" s="220"/>
      <c r="B330" s="243"/>
      <c r="C330" s="46"/>
      <c r="D330" s="123"/>
      <c r="E330" s="243"/>
      <c r="F330" s="40"/>
      <c r="G330" s="40"/>
      <c r="H330" s="40"/>
      <c r="I330" s="40"/>
      <c r="J330" s="40"/>
      <c r="K330" s="46"/>
    </row>
    <row r="331" ht="19.5" customHeight="1">
      <c r="A331" s="220"/>
      <c r="B331" s="243"/>
      <c r="C331" s="46"/>
      <c r="D331" s="123"/>
      <c r="E331" s="243"/>
      <c r="F331" s="40"/>
      <c r="G331" s="40"/>
      <c r="H331" s="40"/>
      <c r="I331" s="40"/>
      <c r="J331" s="40"/>
      <c r="K331" s="46"/>
    </row>
    <row r="332" ht="19.5" customHeight="1">
      <c r="A332" s="220"/>
      <c r="B332" s="243"/>
      <c r="C332" s="46"/>
      <c r="D332" s="123"/>
      <c r="E332" s="243"/>
      <c r="F332" s="40"/>
      <c r="G332" s="40"/>
      <c r="H332" s="40"/>
      <c r="I332" s="40"/>
      <c r="J332" s="40"/>
      <c r="K332" s="46"/>
    </row>
    <row r="333" ht="19.5" customHeight="1">
      <c r="A333" s="220"/>
      <c r="B333" s="243"/>
      <c r="C333" s="46"/>
      <c r="D333" s="123"/>
      <c r="E333" s="243"/>
      <c r="F333" s="40"/>
      <c r="G333" s="40"/>
      <c r="H333" s="40"/>
      <c r="I333" s="40"/>
      <c r="J333" s="40"/>
      <c r="K333" s="46"/>
    </row>
    <row r="334" ht="19.5" customHeight="1">
      <c r="A334" s="220"/>
      <c r="B334" s="243"/>
      <c r="C334" s="46"/>
      <c r="D334" s="123"/>
      <c r="E334" s="243"/>
      <c r="F334" s="40"/>
      <c r="G334" s="40"/>
      <c r="H334" s="40"/>
      <c r="I334" s="40"/>
      <c r="J334" s="40"/>
      <c r="K334" s="46"/>
    </row>
    <row r="335" ht="19.5" customHeight="1">
      <c r="A335" s="220"/>
      <c r="B335" s="243"/>
      <c r="C335" s="46"/>
      <c r="D335" s="123"/>
      <c r="E335" s="243"/>
      <c r="F335" s="40"/>
      <c r="G335" s="40"/>
      <c r="H335" s="40"/>
      <c r="I335" s="40"/>
      <c r="J335" s="40"/>
      <c r="K335" s="46"/>
    </row>
    <row r="336" ht="19.5" customHeight="1">
      <c r="A336" s="220"/>
      <c r="B336" s="243"/>
      <c r="C336" s="46"/>
      <c r="D336" s="123"/>
      <c r="E336" s="243"/>
      <c r="F336" s="40"/>
      <c r="G336" s="40"/>
      <c r="H336" s="40"/>
      <c r="I336" s="40"/>
      <c r="J336" s="40"/>
      <c r="K336" s="46"/>
    </row>
    <row r="337" ht="19.5" customHeight="1">
      <c r="A337" s="220"/>
      <c r="B337" s="243"/>
      <c r="C337" s="46"/>
      <c r="D337" s="123"/>
      <c r="E337" s="243"/>
      <c r="F337" s="40"/>
      <c r="G337" s="40"/>
      <c r="H337" s="40"/>
      <c r="I337" s="40"/>
      <c r="J337" s="40"/>
      <c r="K337" s="46"/>
    </row>
    <row r="338" ht="19.5" customHeight="1">
      <c r="A338" s="220"/>
      <c r="B338" s="243"/>
      <c r="C338" s="46"/>
      <c r="D338" s="123"/>
      <c r="E338" s="243"/>
      <c r="F338" s="40"/>
      <c r="G338" s="40"/>
      <c r="H338" s="40"/>
      <c r="I338" s="40"/>
      <c r="J338" s="40"/>
      <c r="K338" s="46"/>
    </row>
    <row r="339" ht="19.5" customHeight="1">
      <c r="A339" s="220"/>
      <c r="B339" s="243"/>
      <c r="C339" s="46"/>
      <c r="D339" s="123"/>
      <c r="E339" s="243"/>
      <c r="F339" s="40"/>
      <c r="G339" s="40"/>
      <c r="H339" s="40"/>
      <c r="I339" s="40"/>
      <c r="J339" s="40"/>
      <c r="K339" s="46"/>
    </row>
    <row r="340" ht="19.5" customHeight="1">
      <c r="A340" s="220"/>
      <c r="B340" s="243"/>
      <c r="C340" s="46"/>
      <c r="D340" s="123"/>
      <c r="E340" s="243"/>
      <c r="F340" s="40"/>
      <c r="G340" s="40"/>
      <c r="H340" s="40"/>
      <c r="I340" s="40"/>
      <c r="J340" s="40"/>
      <c r="K340" s="46"/>
    </row>
    <row r="341" ht="19.5" customHeight="1">
      <c r="A341" s="220"/>
      <c r="B341" s="243"/>
      <c r="C341" s="46"/>
      <c r="D341" s="123"/>
      <c r="E341" s="243"/>
      <c r="F341" s="40"/>
      <c r="G341" s="40"/>
      <c r="H341" s="40"/>
      <c r="I341" s="40"/>
      <c r="J341" s="40"/>
      <c r="K341" s="46"/>
    </row>
    <row r="342" ht="19.5" customHeight="1">
      <c r="A342" s="220"/>
      <c r="B342" s="243"/>
      <c r="C342" s="46"/>
      <c r="D342" s="123"/>
      <c r="E342" s="243"/>
      <c r="F342" s="40"/>
      <c r="G342" s="40"/>
      <c r="H342" s="40"/>
      <c r="I342" s="40"/>
      <c r="J342" s="40"/>
      <c r="K342" s="46"/>
    </row>
    <row r="343" ht="19.5" customHeight="1">
      <c r="A343" s="220"/>
      <c r="B343" s="243"/>
      <c r="C343" s="46"/>
      <c r="D343" s="123"/>
      <c r="E343" s="243"/>
      <c r="F343" s="40"/>
      <c r="G343" s="40"/>
      <c r="H343" s="40"/>
      <c r="I343" s="40"/>
      <c r="J343" s="40"/>
      <c r="K343" s="46"/>
    </row>
    <row r="344" ht="19.5" customHeight="1">
      <c r="A344" s="220"/>
      <c r="B344" s="243"/>
      <c r="C344" s="46"/>
      <c r="D344" s="123"/>
      <c r="E344" s="243"/>
      <c r="F344" s="40"/>
      <c r="G344" s="40"/>
      <c r="H344" s="40"/>
      <c r="I344" s="40"/>
      <c r="J344" s="40"/>
      <c r="K344" s="46"/>
    </row>
    <row r="345" ht="19.5" customHeight="1">
      <c r="A345" s="220"/>
      <c r="B345" s="243"/>
      <c r="C345" s="46"/>
      <c r="D345" s="123"/>
      <c r="E345" s="243"/>
      <c r="F345" s="40"/>
      <c r="G345" s="40"/>
      <c r="H345" s="40"/>
      <c r="I345" s="40"/>
      <c r="J345" s="40"/>
      <c r="K345" s="46"/>
    </row>
    <row r="346" ht="19.5" customHeight="1">
      <c r="A346" s="220"/>
      <c r="B346" s="243"/>
      <c r="C346" s="46"/>
      <c r="D346" s="123"/>
      <c r="E346" s="243"/>
      <c r="F346" s="40"/>
      <c r="G346" s="40"/>
      <c r="H346" s="40"/>
      <c r="I346" s="40"/>
      <c r="J346" s="40"/>
      <c r="K346" s="46"/>
    </row>
    <row r="347" ht="19.5" customHeight="1">
      <c r="A347" s="220"/>
      <c r="B347" s="243"/>
      <c r="C347" s="46"/>
      <c r="D347" s="123"/>
      <c r="E347" s="243"/>
      <c r="F347" s="40"/>
      <c r="G347" s="40"/>
      <c r="H347" s="40"/>
      <c r="I347" s="40"/>
      <c r="J347" s="40"/>
      <c r="K347" s="46"/>
    </row>
    <row r="348" ht="19.5" customHeight="1">
      <c r="A348" s="220"/>
      <c r="B348" s="243"/>
      <c r="C348" s="46"/>
      <c r="D348" s="123"/>
      <c r="E348" s="243"/>
      <c r="F348" s="40"/>
      <c r="G348" s="40"/>
      <c r="H348" s="40"/>
      <c r="I348" s="40"/>
      <c r="J348" s="40"/>
      <c r="K348" s="46"/>
    </row>
    <row r="349" ht="19.5" customHeight="1">
      <c r="A349" s="220"/>
      <c r="B349" s="243"/>
      <c r="C349" s="46"/>
      <c r="D349" s="123"/>
      <c r="E349" s="243"/>
      <c r="F349" s="40"/>
      <c r="G349" s="40"/>
      <c r="H349" s="40"/>
      <c r="I349" s="40"/>
      <c r="J349" s="40"/>
      <c r="K349" s="46"/>
    </row>
    <row r="350" ht="19.5" customHeight="1">
      <c r="A350" s="220"/>
      <c r="B350" s="243"/>
      <c r="C350" s="46"/>
      <c r="D350" s="123"/>
      <c r="E350" s="243"/>
      <c r="F350" s="40"/>
      <c r="G350" s="40"/>
      <c r="H350" s="40"/>
      <c r="I350" s="40"/>
      <c r="J350" s="40"/>
      <c r="K350" s="46"/>
    </row>
    <row r="351" ht="19.5" customHeight="1">
      <c r="A351" s="220"/>
      <c r="B351" s="243"/>
      <c r="C351" s="46"/>
      <c r="D351" s="123"/>
      <c r="E351" s="243"/>
      <c r="F351" s="40"/>
      <c r="G351" s="40"/>
      <c r="H351" s="40"/>
      <c r="I351" s="40"/>
      <c r="J351" s="40"/>
      <c r="K351" s="46"/>
    </row>
    <row r="352" ht="19.5" customHeight="1">
      <c r="A352" s="220"/>
      <c r="B352" s="243"/>
      <c r="C352" s="46"/>
      <c r="D352" s="123"/>
      <c r="E352" s="243"/>
      <c r="F352" s="40"/>
      <c r="G352" s="40"/>
      <c r="H352" s="40"/>
      <c r="I352" s="40"/>
      <c r="J352" s="40"/>
      <c r="K352" s="46"/>
    </row>
    <row r="353" ht="19.5" customHeight="1">
      <c r="A353" s="220"/>
      <c r="B353" s="243"/>
      <c r="C353" s="46"/>
      <c r="D353" s="123"/>
      <c r="E353" s="243"/>
      <c r="F353" s="40"/>
      <c r="G353" s="40"/>
      <c r="H353" s="40"/>
      <c r="I353" s="40"/>
      <c r="J353" s="40"/>
      <c r="K353" s="46"/>
    </row>
    <row r="354" ht="19.5" customHeight="1">
      <c r="A354" s="220"/>
      <c r="B354" s="243"/>
      <c r="C354" s="46"/>
      <c r="D354" s="123"/>
      <c r="E354" s="243"/>
      <c r="F354" s="40"/>
      <c r="G354" s="40"/>
      <c r="H354" s="40"/>
      <c r="I354" s="40"/>
      <c r="J354" s="40"/>
      <c r="K354" s="46"/>
    </row>
    <row r="355" ht="19.5" customHeight="1">
      <c r="A355" s="220"/>
      <c r="B355" s="243"/>
      <c r="C355" s="46"/>
      <c r="D355" s="123"/>
      <c r="E355" s="243"/>
      <c r="F355" s="40"/>
      <c r="G355" s="40"/>
      <c r="H355" s="40"/>
      <c r="I355" s="40"/>
      <c r="J355" s="40"/>
      <c r="K355" s="46"/>
    </row>
    <row r="356" ht="19.5" customHeight="1">
      <c r="A356" s="220"/>
      <c r="B356" s="243"/>
      <c r="C356" s="46"/>
      <c r="D356" s="123"/>
      <c r="E356" s="243"/>
      <c r="F356" s="40"/>
      <c r="G356" s="40"/>
      <c r="H356" s="40"/>
      <c r="I356" s="40"/>
      <c r="J356" s="40"/>
      <c r="K356" s="46"/>
    </row>
    <row r="357" ht="19.5" customHeight="1">
      <c r="A357" s="220"/>
      <c r="B357" s="243"/>
      <c r="C357" s="46"/>
      <c r="D357" s="123"/>
      <c r="E357" s="243"/>
      <c r="F357" s="40"/>
      <c r="G357" s="40"/>
      <c r="H357" s="40"/>
      <c r="I357" s="40"/>
      <c r="J357" s="40"/>
      <c r="K357" s="46"/>
    </row>
    <row r="358" ht="19.5" customHeight="1">
      <c r="A358" s="220"/>
      <c r="B358" s="243"/>
      <c r="C358" s="46"/>
      <c r="D358" s="123"/>
      <c r="E358" s="243"/>
      <c r="F358" s="40"/>
      <c r="G358" s="40"/>
      <c r="H358" s="40"/>
      <c r="I358" s="40"/>
      <c r="J358" s="40"/>
      <c r="K358" s="46"/>
    </row>
    <row r="359" ht="19.5" customHeight="1">
      <c r="A359" s="220"/>
      <c r="B359" s="243"/>
      <c r="C359" s="46"/>
      <c r="D359" s="123"/>
      <c r="E359" s="243"/>
      <c r="F359" s="40"/>
      <c r="G359" s="40"/>
      <c r="H359" s="40"/>
      <c r="I359" s="40"/>
      <c r="J359" s="40"/>
      <c r="K359" s="46"/>
    </row>
    <row r="360" ht="19.5" customHeight="1">
      <c r="A360" s="220"/>
      <c r="B360" s="243"/>
      <c r="C360" s="46"/>
      <c r="D360" s="123"/>
      <c r="E360" s="243"/>
      <c r="F360" s="40"/>
      <c r="G360" s="40"/>
      <c r="H360" s="40"/>
      <c r="I360" s="40"/>
      <c r="J360" s="40"/>
      <c r="K360" s="46"/>
    </row>
    <row r="361" ht="19.5" customHeight="1">
      <c r="A361" s="220"/>
      <c r="B361" s="243"/>
      <c r="C361" s="46"/>
      <c r="D361" s="123"/>
      <c r="E361" s="243"/>
      <c r="F361" s="40"/>
      <c r="G361" s="40"/>
      <c r="H361" s="40"/>
      <c r="I361" s="40"/>
      <c r="J361" s="40"/>
      <c r="K361" s="46"/>
    </row>
    <row r="362" ht="19.5" customHeight="1">
      <c r="A362" s="220"/>
      <c r="B362" s="243"/>
      <c r="C362" s="46"/>
      <c r="D362" s="123"/>
      <c r="E362" s="243"/>
      <c r="F362" s="40"/>
      <c r="G362" s="40"/>
      <c r="H362" s="40"/>
      <c r="I362" s="40"/>
      <c r="J362" s="40"/>
      <c r="K362" s="46"/>
    </row>
    <row r="363" ht="19.5" customHeight="1">
      <c r="A363" s="220"/>
      <c r="B363" s="243"/>
      <c r="C363" s="46"/>
      <c r="D363" s="123"/>
      <c r="E363" s="243"/>
      <c r="F363" s="40"/>
      <c r="G363" s="40"/>
      <c r="H363" s="40"/>
      <c r="I363" s="40"/>
      <c r="J363" s="40"/>
      <c r="K363" s="46"/>
    </row>
    <row r="364" ht="19.5" customHeight="1">
      <c r="A364" s="220"/>
      <c r="B364" s="243"/>
      <c r="C364" s="46"/>
      <c r="D364" s="123"/>
      <c r="E364" s="243"/>
      <c r="F364" s="40"/>
      <c r="G364" s="40"/>
      <c r="H364" s="40"/>
      <c r="I364" s="40"/>
      <c r="J364" s="40"/>
      <c r="K364" s="46"/>
    </row>
    <row r="365" ht="19.5" customHeight="1">
      <c r="A365" s="220"/>
      <c r="B365" s="243"/>
      <c r="C365" s="46"/>
      <c r="D365" s="123"/>
      <c r="E365" s="243"/>
      <c r="F365" s="40"/>
      <c r="G365" s="40"/>
      <c r="H365" s="40"/>
      <c r="I365" s="40"/>
      <c r="J365" s="40"/>
      <c r="K365" s="46"/>
    </row>
    <row r="366" ht="19.5" customHeight="1">
      <c r="A366" s="220"/>
      <c r="B366" s="243"/>
      <c r="C366" s="46"/>
      <c r="D366" s="123"/>
      <c r="E366" s="243"/>
      <c r="F366" s="40"/>
      <c r="G366" s="40"/>
      <c r="H366" s="40"/>
      <c r="I366" s="40"/>
      <c r="J366" s="40"/>
      <c r="K366" s="46"/>
    </row>
    <row r="367" ht="19.5" customHeight="1">
      <c r="A367" s="220"/>
      <c r="B367" s="243"/>
      <c r="C367" s="46"/>
      <c r="D367" s="123"/>
      <c r="E367" s="243"/>
      <c r="F367" s="40"/>
      <c r="G367" s="40"/>
      <c r="H367" s="40"/>
      <c r="I367" s="40"/>
      <c r="J367" s="40"/>
      <c r="K367" s="46"/>
    </row>
    <row r="368" ht="19.5" customHeight="1">
      <c r="A368" s="220"/>
      <c r="B368" s="243"/>
      <c r="C368" s="46"/>
      <c r="D368" s="123"/>
      <c r="E368" s="243"/>
      <c r="F368" s="40"/>
      <c r="G368" s="40"/>
      <c r="H368" s="40"/>
      <c r="I368" s="40"/>
      <c r="J368" s="40"/>
      <c r="K368" s="46"/>
    </row>
    <row r="369" ht="19.5" customHeight="1">
      <c r="A369" s="220"/>
      <c r="B369" s="243"/>
      <c r="C369" s="46"/>
      <c r="D369" s="123"/>
      <c r="E369" s="243"/>
      <c r="F369" s="40"/>
      <c r="G369" s="40"/>
      <c r="H369" s="40"/>
      <c r="I369" s="40"/>
      <c r="J369" s="40"/>
      <c r="K369" s="46"/>
    </row>
    <row r="370" ht="19.5" customHeight="1">
      <c r="A370" s="220"/>
      <c r="B370" s="243"/>
      <c r="C370" s="46"/>
      <c r="D370" s="123"/>
      <c r="E370" s="243"/>
      <c r="F370" s="40"/>
      <c r="G370" s="40"/>
      <c r="H370" s="40"/>
      <c r="I370" s="40"/>
      <c r="J370" s="40"/>
      <c r="K370" s="46"/>
    </row>
    <row r="371" ht="19.5" customHeight="1">
      <c r="A371" s="220"/>
      <c r="B371" s="243"/>
      <c r="C371" s="46"/>
      <c r="D371" s="123"/>
      <c r="E371" s="243"/>
      <c r="F371" s="40"/>
      <c r="G371" s="40"/>
      <c r="H371" s="40"/>
      <c r="I371" s="40"/>
      <c r="J371" s="40"/>
      <c r="K371" s="46"/>
    </row>
    <row r="372" ht="19.5" customHeight="1">
      <c r="A372" s="220"/>
      <c r="B372" s="243"/>
      <c r="C372" s="46"/>
      <c r="D372" s="123"/>
      <c r="E372" s="243"/>
      <c r="F372" s="40"/>
      <c r="G372" s="40"/>
      <c r="H372" s="40"/>
      <c r="I372" s="40"/>
      <c r="J372" s="40"/>
      <c r="K372" s="46"/>
    </row>
    <row r="373" ht="19.5" customHeight="1">
      <c r="A373" s="220"/>
      <c r="B373" s="243"/>
      <c r="C373" s="46"/>
      <c r="D373" s="123"/>
      <c r="E373" s="243"/>
      <c r="F373" s="40"/>
      <c r="G373" s="40"/>
      <c r="H373" s="40"/>
      <c r="I373" s="40"/>
      <c r="J373" s="40"/>
      <c r="K373" s="46"/>
    </row>
    <row r="374" ht="19.5" customHeight="1">
      <c r="A374" s="220"/>
      <c r="B374" s="243"/>
      <c r="C374" s="46"/>
      <c r="D374" s="123"/>
      <c r="E374" s="243"/>
      <c r="F374" s="40"/>
      <c r="G374" s="40"/>
      <c r="H374" s="40"/>
      <c r="I374" s="40"/>
      <c r="J374" s="40"/>
      <c r="K374" s="46"/>
    </row>
    <row r="375" ht="19.5" customHeight="1">
      <c r="A375" s="220"/>
      <c r="B375" s="243"/>
      <c r="C375" s="46"/>
      <c r="D375" s="123"/>
      <c r="E375" s="243"/>
      <c r="F375" s="40"/>
      <c r="G375" s="40"/>
      <c r="H375" s="40"/>
      <c r="I375" s="40"/>
      <c r="J375" s="40"/>
      <c r="K375" s="46"/>
    </row>
    <row r="376" ht="19.5" customHeight="1">
      <c r="A376" s="220"/>
      <c r="B376" s="243"/>
      <c r="C376" s="46"/>
      <c r="D376" s="123"/>
      <c r="E376" s="243"/>
      <c r="F376" s="40"/>
      <c r="G376" s="40"/>
      <c r="H376" s="40"/>
      <c r="I376" s="40"/>
      <c r="J376" s="40"/>
      <c r="K376" s="46"/>
    </row>
    <row r="377" ht="19.5" customHeight="1">
      <c r="A377" s="220"/>
      <c r="B377" s="243"/>
      <c r="C377" s="46"/>
      <c r="D377" s="123"/>
      <c r="E377" s="243"/>
      <c r="F377" s="40"/>
      <c r="G377" s="40"/>
      <c r="H377" s="40"/>
      <c r="I377" s="40"/>
      <c r="J377" s="40"/>
      <c r="K377" s="46"/>
    </row>
    <row r="378" ht="19.5" customHeight="1">
      <c r="A378" s="220"/>
      <c r="B378" s="243"/>
      <c r="C378" s="46"/>
      <c r="D378" s="123"/>
      <c r="E378" s="243"/>
      <c r="F378" s="40"/>
      <c r="G378" s="40"/>
      <c r="H378" s="40"/>
      <c r="I378" s="40"/>
      <c r="J378" s="40"/>
      <c r="K378" s="46"/>
    </row>
    <row r="379" ht="19.5" customHeight="1">
      <c r="A379" s="220"/>
      <c r="B379" s="243"/>
      <c r="C379" s="46"/>
      <c r="D379" s="123"/>
      <c r="E379" s="243"/>
      <c r="F379" s="40"/>
      <c r="G379" s="40"/>
      <c r="H379" s="40"/>
      <c r="I379" s="40"/>
      <c r="J379" s="40"/>
      <c r="K379" s="46"/>
    </row>
    <row r="380" ht="19.5" customHeight="1">
      <c r="A380" s="220"/>
      <c r="B380" s="243"/>
      <c r="C380" s="46"/>
      <c r="D380" s="123"/>
      <c r="E380" s="243"/>
      <c r="F380" s="40"/>
      <c r="G380" s="40"/>
      <c r="H380" s="40"/>
      <c r="I380" s="40"/>
      <c r="J380" s="40"/>
      <c r="K380" s="46"/>
    </row>
    <row r="381" ht="19.5" customHeight="1">
      <c r="A381" s="220"/>
      <c r="B381" s="243"/>
      <c r="C381" s="46"/>
      <c r="D381" s="123"/>
      <c r="E381" s="243"/>
      <c r="F381" s="40"/>
      <c r="G381" s="40"/>
      <c r="H381" s="40"/>
      <c r="I381" s="40"/>
      <c r="J381" s="40"/>
      <c r="K381" s="46"/>
    </row>
    <row r="382" ht="19.5" customHeight="1">
      <c r="A382" s="220"/>
      <c r="B382" s="243"/>
      <c r="C382" s="46"/>
      <c r="D382" s="123"/>
      <c r="E382" s="243"/>
      <c r="F382" s="40"/>
      <c r="G382" s="40"/>
      <c r="H382" s="40"/>
      <c r="I382" s="40"/>
      <c r="J382" s="40"/>
      <c r="K382" s="46"/>
    </row>
    <row r="383" ht="19.5" customHeight="1">
      <c r="A383" s="220"/>
      <c r="B383" s="243"/>
      <c r="C383" s="46"/>
      <c r="D383" s="123"/>
      <c r="E383" s="243"/>
      <c r="F383" s="40"/>
      <c r="G383" s="40"/>
      <c r="H383" s="40"/>
      <c r="I383" s="40"/>
      <c r="J383" s="40"/>
      <c r="K383" s="46"/>
    </row>
    <row r="384" ht="19.5" customHeight="1">
      <c r="A384" s="220"/>
      <c r="B384" s="243"/>
      <c r="C384" s="46"/>
      <c r="D384" s="123"/>
      <c r="E384" s="243"/>
      <c r="F384" s="40"/>
      <c r="G384" s="40"/>
      <c r="H384" s="40"/>
      <c r="I384" s="40"/>
      <c r="J384" s="40"/>
      <c r="K384" s="46"/>
    </row>
    <row r="385" ht="19.5" customHeight="1">
      <c r="A385" s="220"/>
      <c r="B385" s="243"/>
      <c r="C385" s="46"/>
      <c r="D385" s="123"/>
      <c r="E385" s="243"/>
      <c r="F385" s="40"/>
      <c r="G385" s="40"/>
      <c r="H385" s="40"/>
      <c r="I385" s="40"/>
      <c r="J385" s="40"/>
      <c r="K385" s="46"/>
    </row>
    <row r="386" ht="19.5" customHeight="1">
      <c r="A386" s="220"/>
      <c r="B386" s="243"/>
      <c r="C386" s="46"/>
      <c r="D386" s="123"/>
      <c r="E386" s="243"/>
      <c r="F386" s="40"/>
      <c r="G386" s="40"/>
      <c r="H386" s="40"/>
      <c r="I386" s="40"/>
      <c r="J386" s="40"/>
      <c r="K386" s="46"/>
    </row>
    <row r="387" ht="19.5" customHeight="1">
      <c r="A387" s="220"/>
      <c r="B387" s="243"/>
      <c r="C387" s="46"/>
      <c r="D387" s="123"/>
      <c r="E387" s="243"/>
      <c r="F387" s="40"/>
      <c r="G387" s="40"/>
      <c r="H387" s="40"/>
      <c r="I387" s="40"/>
      <c r="J387" s="40"/>
      <c r="K387" s="46"/>
    </row>
    <row r="388" ht="19.5" customHeight="1">
      <c r="A388" s="220"/>
      <c r="B388" s="243"/>
      <c r="C388" s="46"/>
      <c r="D388" s="123"/>
      <c r="E388" s="243"/>
      <c r="F388" s="40"/>
      <c r="G388" s="40"/>
      <c r="H388" s="40"/>
      <c r="I388" s="40"/>
      <c r="J388" s="40"/>
      <c r="K388" s="46"/>
    </row>
    <row r="389" ht="19.5" customHeight="1">
      <c r="A389" s="220"/>
      <c r="B389" s="243"/>
      <c r="C389" s="46"/>
      <c r="D389" s="123"/>
      <c r="E389" s="243"/>
      <c r="F389" s="40"/>
      <c r="G389" s="40"/>
      <c r="H389" s="40"/>
      <c r="I389" s="40"/>
      <c r="J389" s="40"/>
      <c r="K389" s="46"/>
    </row>
    <row r="390" ht="19.5" customHeight="1">
      <c r="A390" s="220"/>
      <c r="B390" s="243"/>
      <c r="C390" s="46"/>
      <c r="D390" s="123"/>
      <c r="E390" s="243"/>
      <c r="F390" s="40"/>
      <c r="G390" s="40"/>
      <c r="H390" s="40"/>
      <c r="I390" s="40"/>
      <c r="J390" s="40"/>
      <c r="K390" s="46"/>
    </row>
    <row r="391" ht="19.5" customHeight="1">
      <c r="A391" s="220"/>
      <c r="B391" s="243"/>
      <c r="C391" s="46"/>
      <c r="D391" s="123"/>
      <c r="E391" s="243"/>
      <c r="F391" s="40"/>
      <c r="G391" s="40"/>
      <c r="H391" s="40"/>
      <c r="I391" s="40"/>
      <c r="J391" s="40"/>
      <c r="K391" s="46"/>
    </row>
    <row r="392" ht="19.5" customHeight="1">
      <c r="A392" s="220"/>
      <c r="B392" s="243"/>
      <c r="C392" s="46"/>
      <c r="D392" s="123"/>
      <c r="E392" s="243"/>
      <c r="F392" s="40"/>
      <c r="G392" s="40"/>
      <c r="H392" s="40"/>
      <c r="I392" s="40"/>
      <c r="J392" s="40"/>
      <c r="K392" s="46"/>
    </row>
    <row r="393" ht="19.5" customHeight="1">
      <c r="A393" s="220"/>
      <c r="B393" s="243"/>
      <c r="C393" s="46"/>
      <c r="D393" s="123"/>
      <c r="E393" s="243"/>
      <c r="F393" s="40"/>
      <c r="G393" s="40"/>
      <c r="H393" s="40"/>
      <c r="I393" s="40"/>
      <c r="J393" s="40"/>
      <c r="K393" s="46"/>
    </row>
    <row r="394" ht="19.5" customHeight="1">
      <c r="A394" s="220"/>
      <c r="B394" s="243"/>
      <c r="C394" s="46"/>
      <c r="D394" s="123"/>
      <c r="E394" s="243"/>
      <c r="F394" s="40"/>
      <c r="G394" s="40"/>
      <c r="H394" s="40"/>
      <c r="I394" s="40"/>
      <c r="J394" s="40"/>
      <c r="K394" s="46"/>
    </row>
    <row r="395" ht="19.5" customHeight="1">
      <c r="A395" s="220"/>
      <c r="B395" s="243"/>
      <c r="C395" s="46"/>
      <c r="D395" s="123"/>
      <c r="E395" s="243"/>
      <c r="F395" s="40"/>
      <c r="G395" s="40"/>
      <c r="H395" s="40"/>
      <c r="I395" s="40"/>
      <c r="J395" s="40"/>
      <c r="K395" s="46"/>
    </row>
    <row r="396" ht="19.5" customHeight="1">
      <c r="A396" s="220"/>
      <c r="B396" s="243"/>
      <c r="C396" s="46"/>
      <c r="D396" s="123"/>
      <c r="E396" s="243"/>
      <c r="F396" s="40"/>
      <c r="G396" s="40"/>
      <c r="H396" s="40"/>
      <c r="I396" s="40"/>
      <c r="J396" s="40"/>
      <c r="K396" s="46"/>
    </row>
    <row r="397" ht="19.5" customHeight="1">
      <c r="A397" s="220"/>
      <c r="B397" s="243"/>
      <c r="C397" s="46"/>
      <c r="D397" s="123"/>
      <c r="E397" s="243"/>
      <c r="F397" s="40"/>
      <c r="G397" s="40"/>
      <c r="H397" s="40"/>
      <c r="I397" s="40"/>
      <c r="J397" s="40"/>
      <c r="K397" s="46"/>
    </row>
    <row r="398" ht="19.5" customHeight="1">
      <c r="A398" s="220"/>
      <c r="B398" s="243"/>
      <c r="C398" s="46"/>
      <c r="D398" s="123"/>
      <c r="E398" s="243"/>
      <c r="F398" s="40"/>
      <c r="G398" s="40"/>
      <c r="H398" s="40"/>
      <c r="I398" s="40"/>
      <c r="J398" s="40"/>
      <c r="K398" s="46"/>
    </row>
    <row r="399" ht="19.5" customHeight="1">
      <c r="A399" s="220"/>
      <c r="B399" s="243"/>
      <c r="C399" s="46"/>
      <c r="D399" s="123"/>
      <c r="E399" s="243"/>
      <c r="F399" s="40"/>
      <c r="G399" s="40"/>
      <c r="H399" s="40"/>
      <c r="I399" s="40"/>
      <c r="J399" s="40"/>
      <c r="K399" s="46"/>
    </row>
    <row r="400" ht="19.5" customHeight="1">
      <c r="A400" s="220"/>
      <c r="B400" s="243"/>
      <c r="C400" s="46"/>
      <c r="D400" s="123"/>
      <c r="E400" s="243"/>
      <c r="F400" s="40"/>
      <c r="G400" s="40"/>
      <c r="H400" s="40"/>
      <c r="I400" s="40"/>
      <c r="J400" s="40"/>
      <c r="K400" s="46"/>
    </row>
    <row r="401" ht="19.5" customHeight="1">
      <c r="A401" s="220"/>
      <c r="B401" s="243"/>
      <c r="C401" s="46"/>
      <c r="D401" s="123"/>
      <c r="E401" s="243"/>
      <c r="F401" s="40"/>
      <c r="G401" s="40"/>
      <c r="H401" s="40"/>
      <c r="I401" s="40"/>
      <c r="J401" s="40"/>
      <c r="K401" s="46"/>
    </row>
    <row r="402" ht="19.5" customHeight="1">
      <c r="A402" s="220"/>
      <c r="B402" s="243"/>
      <c r="C402" s="46"/>
      <c r="D402" s="123"/>
      <c r="E402" s="243"/>
      <c r="F402" s="40"/>
      <c r="G402" s="40"/>
      <c r="H402" s="40"/>
      <c r="I402" s="40"/>
      <c r="J402" s="40"/>
      <c r="K402" s="46"/>
    </row>
    <row r="403" ht="19.5" customHeight="1">
      <c r="A403" s="220"/>
      <c r="B403" s="243"/>
      <c r="C403" s="46"/>
      <c r="D403" s="123"/>
      <c r="E403" s="243"/>
      <c r="F403" s="40"/>
      <c r="G403" s="40"/>
      <c r="H403" s="40"/>
      <c r="I403" s="40"/>
      <c r="J403" s="40"/>
      <c r="K403" s="46"/>
    </row>
    <row r="404" ht="19.5" customHeight="1">
      <c r="A404" s="220"/>
      <c r="B404" s="243"/>
      <c r="C404" s="46"/>
      <c r="D404" s="123"/>
      <c r="E404" s="243"/>
      <c r="F404" s="40"/>
      <c r="G404" s="40"/>
      <c r="H404" s="40"/>
      <c r="I404" s="40"/>
      <c r="J404" s="40"/>
      <c r="K404" s="46"/>
    </row>
    <row r="405" ht="19.5" customHeight="1">
      <c r="A405" s="220"/>
      <c r="B405" s="243"/>
      <c r="C405" s="46"/>
      <c r="D405" s="123"/>
      <c r="E405" s="243"/>
      <c r="F405" s="40"/>
      <c r="G405" s="40"/>
      <c r="H405" s="40"/>
      <c r="I405" s="40"/>
      <c r="J405" s="40"/>
      <c r="K405" s="46"/>
    </row>
    <row r="406" ht="19.5" customHeight="1">
      <c r="A406" s="220"/>
      <c r="B406" s="243"/>
      <c r="C406" s="46"/>
      <c r="D406" s="123"/>
      <c r="E406" s="243"/>
      <c r="F406" s="40"/>
      <c r="G406" s="40"/>
      <c r="H406" s="40"/>
      <c r="I406" s="40"/>
      <c r="J406" s="40"/>
      <c r="K406" s="46"/>
    </row>
    <row r="407" ht="19.5" customHeight="1">
      <c r="A407" s="220"/>
      <c r="B407" s="243"/>
      <c r="C407" s="46"/>
      <c r="D407" s="123"/>
      <c r="E407" s="243"/>
      <c r="F407" s="40"/>
      <c r="G407" s="40"/>
      <c r="H407" s="40"/>
      <c r="I407" s="40"/>
      <c r="J407" s="40"/>
      <c r="K407" s="46"/>
    </row>
    <row r="408" ht="19.5" customHeight="1">
      <c r="A408" s="220"/>
      <c r="B408" s="243"/>
      <c r="C408" s="46"/>
      <c r="D408" s="123"/>
      <c r="E408" s="243"/>
      <c r="F408" s="40"/>
      <c r="G408" s="40"/>
      <c r="H408" s="40"/>
      <c r="I408" s="40"/>
      <c r="J408" s="40"/>
      <c r="K408" s="46"/>
    </row>
    <row r="409" ht="19.5" customHeight="1">
      <c r="A409" s="220"/>
      <c r="B409" s="243"/>
      <c r="C409" s="46"/>
      <c r="D409" s="123"/>
      <c r="E409" s="243"/>
      <c r="F409" s="40"/>
      <c r="G409" s="40"/>
      <c r="H409" s="40"/>
      <c r="I409" s="40"/>
      <c r="J409" s="40"/>
      <c r="K409" s="46"/>
    </row>
    <row r="410" ht="19.5" customHeight="1">
      <c r="A410" s="220"/>
      <c r="B410" s="243"/>
      <c r="C410" s="46"/>
      <c r="D410" s="123"/>
      <c r="E410" s="243"/>
      <c r="F410" s="40"/>
      <c r="G410" s="40"/>
      <c r="H410" s="40"/>
      <c r="I410" s="40"/>
      <c r="J410" s="40"/>
      <c r="K410" s="46"/>
    </row>
    <row r="411" ht="19.5" customHeight="1">
      <c r="A411" s="220"/>
      <c r="B411" s="243"/>
      <c r="C411" s="46"/>
      <c r="D411" s="123"/>
      <c r="E411" s="243"/>
      <c r="F411" s="40"/>
      <c r="G411" s="40"/>
      <c r="H411" s="40"/>
      <c r="I411" s="40"/>
      <c r="J411" s="40"/>
      <c r="K411" s="46"/>
    </row>
    <row r="412" ht="19.5" customHeight="1">
      <c r="A412" s="220"/>
      <c r="B412" s="243"/>
      <c r="C412" s="46"/>
      <c r="D412" s="123"/>
      <c r="E412" s="243"/>
      <c r="F412" s="40"/>
      <c r="G412" s="40"/>
      <c r="H412" s="40"/>
      <c r="I412" s="40"/>
      <c r="J412" s="40"/>
      <c r="K412" s="46"/>
    </row>
    <row r="413" ht="19.5" customHeight="1">
      <c r="A413" s="220"/>
      <c r="B413" s="243"/>
      <c r="C413" s="46"/>
      <c r="D413" s="123"/>
      <c r="E413" s="243"/>
      <c r="F413" s="40"/>
      <c r="G413" s="40"/>
      <c r="H413" s="40"/>
      <c r="I413" s="40"/>
      <c r="J413" s="40"/>
      <c r="K413" s="46"/>
    </row>
    <row r="414" ht="19.5" customHeight="1">
      <c r="A414" s="220"/>
      <c r="B414" s="243"/>
      <c r="C414" s="46"/>
      <c r="D414" s="123"/>
      <c r="E414" s="243"/>
      <c r="F414" s="40"/>
      <c r="G414" s="40"/>
      <c r="H414" s="40"/>
      <c r="I414" s="40"/>
      <c r="J414" s="40"/>
      <c r="K414" s="46"/>
    </row>
    <row r="415" ht="19.5" customHeight="1">
      <c r="A415" s="220"/>
      <c r="B415" s="243"/>
      <c r="C415" s="46"/>
      <c r="D415" s="123"/>
      <c r="E415" s="243"/>
      <c r="F415" s="40"/>
      <c r="G415" s="40"/>
      <c r="H415" s="40"/>
      <c r="I415" s="40"/>
      <c r="J415" s="40"/>
      <c r="K415" s="46"/>
    </row>
    <row r="416" ht="19.5" customHeight="1">
      <c r="A416" s="220"/>
      <c r="B416" s="243"/>
      <c r="C416" s="46"/>
      <c r="D416" s="123"/>
      <c r="E416" s="243"/>
      <c r="F416" s="40"/>
      <c r="G416" s="40"/>
      <c r="H416" s="40"/>
      <c r="I416" s="40"/>
      <c r="J416" s="40"/>
      <c r="K416" s="46"/>
    </row>
    <row r="417" ht="19.5" customHeight="1">
      <c r="A417" s="220"/>
      <c r="B417" s="243"/>
      <c r="C417" s="46"/>
      <c r="D417" s="123"/>
      <c r="E417" s="243"/>
      <c r="F417" s="40"/>
      <c r="G417" s="40"/>
      <c r="H417" s="40"/>
      <c r="I417" s="40"/>
      <c r="J417" s="40"/>
      <c r="K417" s="46"/>
    </row>
    <row r="418" ht="19.5" customHeight="1">
      <c r="A418" s="220"/>
      <c r="B418" s="243"/>
      <c r="C418" s="46"/>
      <c r="D418" s="123"/>
      <c r="E418" s="243"/>
      <c r="F418" s="40"/>
      <c r="G418" s="40"/>
      <c r="H418" s="40"/>
      <c r="I418" s="40"/>
      <c r="J418" s="40"/>
      <c r="K418" s="46"/>
    </row>
    <row r="419" ht="19.5" customHeight="1">
      <c r="A419" s="220"/>
      <c r="B419" s="243"/>
      <c r="C419" s="46"/>
      <c r="D419" s="123"/>
      <c r="E419" s="243"/>
      <c r="F419" s="40"/>
      <c r="G419" s="40"/>
      <c r="H419" s="40"/>
      <c r="I419" s="40"/>
      <c r="J419" s="40"/>
      <c r="K419" s="46"/>
    </row>
    <row r="420" ht="19.5" customHeight="1">
      <c r="A420" s="220"/>
      <c r="B420" s="243"/>
      <c r="C420" s="46"/>
      <c r="D420" s="123"/>
      <c r="E420" s="243"/>
      <c r="F420" s="40"/>
      <c r="G420" s="40"/>
      <c r="H420" s="40"/>
      <c r="I420" s="40"/>
      <c r="J420" s="40"/>
      <c r="K420" s="46"/>
    </row>
    <row r="421" ht="19.5" customHeight="1">
      <c r="A421" s="220"/>
      <c r="B421" s="243"/>
      <c r="C421" s="46"/>
      <c r="D421" s="123"/>
      <c r="E421" s="243"/>
      <c r="F421" s="40"/>
      <c r="G421" s="40"/>
      <c r="H421" s="40"/>
      <c r="I421" s="40"/>
      <c r="J421" s="40"/>
      <c r="K421" s="46"/>
    </row>
    <row r="422" ht="19.5" customHeight="1">
      <c r="A422" s="220"/>
      <c r="B422" s="243"/>
      <c r="C422" s="46"/>
      <c r="D422" s="123"/>
      <c r="E422" s="243"/>
      <c r="F422" s="40"/>
      <c r="G422" s="40"/>
      <c r="H422" s="40"/>
      <c r="I422" s="40"/>
      <c r="J422" s="40"/>
      <c r="K422" s="46"/>
    </row>
    <row r="423" ht="19.5" customHeight="1">
      <c r="A423" s="220"/>
      <c r="B423" s="243"/>
      <c r="C423" s="46"/>
      <c r="D423" s="123"/>
      <c r="E423" s="243"/>
      <c r="F423" s="40"/>
      <c r="G423" s="40"/>
      <c r="H423" s="40"/>
      <c r="I423" s="40"/>
      <c r="J423" s="40"/>
      <c r="K423" s="46"/>
    </row>
    <row r="424" ht="19.5" customHeight="1">
      <c r="A424" s="220"/>
      <c r="B424" s="243"/>
      <c r="C424" s="46"/>
      <c r="D424" s="123"/>
      <c r="E424" s="243"/>
      <c r="F424" s="40"/>
      <c r="G424" s="40"/>
      <c r="H424" s="40"/>
      <c r="I424" s="40"/>
      <c r="J424" s="40"/>
      <c r="K424" s="46"/>
    </row>
    <row r="425" ht="19.5" customHeight="1">
      <c r="A425" s="220"/>
      <c r="B425" s="243"/>
      <c r="C425" s="46"/>
      <c r="D425" s="123"/>
      <c r="E425" s="243"/>
      <c r="F425" s="40"/>
      <c r="G425" s="40"/>
      <c r="H425" s="40"/>
      <c r="I425" s="40"/>
      <c r="J425" s="40"/>
      <c r="K425" s="46"/>
    </row>
    <row r="426" ht="19.5" customHeight="1">
      <c r="A426" s="220"/>
      <c r="B426" s="243"/>
      <c r="C426" s="46"/>
      <c r="D426" s="123"/>
      <c r="E426" s="243"/>
      <c r="F426" s="40"/>
      <c r="G426" s="40"/>
      <c r="H426" s="40"/>
      <c r="I426" s="40"/>
      <c r="J426" s="40"/>
      <c r="K426" s="46"/>
    </row>
    <row r="427" ht="19.5" customHeight="1">
      <c r="A427" s="220"/>
      <c r="B427" s="243"/>
      <c r="C427" s="46"/>
      <c r="D427" s="123"/>
      <c r="E427" s="243"/>
      <c r="F427" s="40"/>
      <c r="G427" s="40"/>
      <c r="H427" s="40"/>
      <c r="I427" s="40"/>
      <c r="J427" s="40"/>
      <c r="K427" s="46"/>
    </row>
    <row r="428" ht="19.5" customHeight="1">
      <c r="A428" s="220"/>
      <c r="B428" s="243"/>
      <c r="C428" s="46"/>
      <c r="D428" s="123"/>
      <c r="E428" s="243"/>
      <c r="F428" s="40"/>
      <c r="G428" s="40"/>
      <c r="H428" s="40"/>
      <c r="I428" s="40"/>
      <c r="J428" s="40"/>
      <c r="K428" s="46"/>
    </row>
    <row r="429" ht="19.5" customHeight="1">
      <c r="A429" s="220"/>
      <c r="B429" s="243"/>
      <c r="C429" s="46"/>
      <c r="D429" s="123"/>
      <c r="E429" s="243"/>
      <c r="F429" s="40"/>
      <c r="G429" s="40"/>
      <c r="H429" s="40"/>
      <c r="I429" s="40"/>
      <c r="J429" s="40"/>
      <c r="K429" s="46"/>
    </row>
    <row r="430" ht="19.5" customHeight="1">
      <c r="A430" s="220"/>
      <c r="B430" s="243"/>
      <c r="C430" s="46"/>
      <c r="D430" s="123"/>
      <c r="E430" s="243"/>
      <c r="F430" s="40"/>
      <c r="G430" s="40"/>
      <c r="H430" s="40"/>
      <c r="I430" s="40"/>
      <c r="J430" s="40"/>
      <c r="K430" s="46"/>
    </row>
    <row r="431" ht="19.5" customHeight="1">
      <c r="A431" s="220"/>
      <c r="B431" s="243"/>
      <c r="C431" s="46"/>
      <c r="D431" s="123"/>
      <c r="E431" s="243"/>
      <c r="F431" s="40"/>
      <c r="G431" s="40"/>
      <c r="H431" s="40"/>
      <c r="I431" s="40"/>
      <c r="J431" s="40"/>
      <c r="K431" s="46"/>
    </row>
    <row r="432" ht="19.5" customHeight="1">
      <c r="A432" s="220"/>
      <c r="B432" s="243"/>
      <c r="C432" s="46"/>
      <c r="D432" s="123"/>
      <c r="E432" s="243"/>
      <c r="F432" s="40"/>
      <c r="G432" s="40"/>
      <c r="H432" s="40"/>
      <c r="I432" s="40"/>
      <c r="J432" s="40"/>
      <c r="K432" s="46"/>
    </row>
    <row r="433" ht="19.5" customHeight="1">
      <c r="A433" s="220"/>
      <c r="B433" s="243"/>
      <c r="C433" s="46"/>
      <c r="D433" s="123"/>
      <c r="E433" s="243"/>
      <c r="F433" s="40"/>
      <c r="G433" s="40"/>
      <c r="H433" s="40"/>
      <c r="I433" s="40"/>
      <c r="J433" s="40"/>
      <c r="K433" s="46"/>
    </row>
    <row r="434" ht="19.5" customHeight="1">
      <c r="A434" s="220"/>
      <c r="B434" s="243"/>
      <c r="C434" s="46"/>
      <c r="D434" s="123"/>
      <c r="E434" s="243"/>
      <c r="F434" s="40"/>
      <c r="G434" s="40"/>
      <c r="H434" s="40"/>
      <c r="I434" s="40"/>
      <c r="J434" s="40"/>
      <c r="K434" s="46"/>
    </row>
    <row r="435" ht="19.5" customHeight="1">
      <c r="A435" s="220"/>
      <c r="B435" s="243"/>
      <c r="C435" s="46"/>
      <c r="D435" s="123"/>
      <c r="E435" s="243"/>
      <c r="F435" s="40"/>
      <c r="G435" s="40"/>
      <c r="H435" s="40"/>
      <c r="I435" s="40"/>
      <c r="J435" s="40"/>
      <c r="K435" s="46"/>
    </row>
    <row r="436" ht="19.5" customHeight="1">
      <c r="A436" s="220"/>
      <c r="B436" s="243"/>
      <c r="C436" s="46"/>
      <c r="D436" s="123"/>
      <c r="E436" s="243"/>
      <c r="F436" s="40"/>
      <c r="G436" s="40"/>
      <c r="H436" s="40"/>
      <c r="I436" s="40"/>
      <c r="J436" s="40"/>
      <c r="K436" s="46"/>
    </row>
    <row r="437" ht="19.5" customHeight="1">
      <c r="A437" s="220"/>
      <c r="B437" s="243"/>
      <c r="C437" s="46"/>
      <c r="D437" s="123"/>
      <c r="E437" s="243"/>
      <c r="F437" s="40"/>
      <c r="G437" s="40"/>
      <c r="H437" s="40"/>
      <c r="I437" s="40"/>
      <c r="J437" s="40"/>
      <c r="K437" s="46"/>
    </row>
    <row r="438" ht="19.5" customHeight="1">
      <c r="A438" s="220"/>
      <c r="B438" s="243"/>
      <c r="C438" s="46"/>
      <c r="D438" s="123"/>
      <c r="E438" s="243"/>
      <c r="F438" s="40"/>
      <c r="G438" s="40"/>
      <c r="H438" s="40"/>
      <c r="I438" s="40"/>
      <c r="J438" s="40"/>
      <c r="K438" s="46"/>
    </row>
    <row r="439" ht="19.5" customHeight="1">
      <c r="A439" s="220"/>
      <c r="B439" s="243"/>
      <c r="C439" s="46"/>
      <c r="D439" s="123"/>
      <c r="E439" s="243"/>
      <c r="F439" s="40"/>
      <c r="G439" s="40"/>
      <c r="H439" s="40"/>
      <c r="I439" s="40"/>
      <c r="J439" s="40"/>
      <c r="K439" s="46"/>
    </row>
    <row r="440" ht="19.5" customHeight="1">
      <c r="A440" s="220"/>
      <c r="B440" s="243"/>
      <c r="C440" s="46"/>
      <c r="D440" s="123"/>
      <c r="E440" s="243"/>
      <c r="F440" s="40"/>
      <c r="G440" s="40"/>
      <c r="H440" s="40"/>
      <c r="I440" s="40"/>
      <c r="J440" s="40"/>
      <c r="K440" s="46"/>
    </row>
    <row r="441" ht="19.5" customHeight="1">
      <c r="A441" s="220"/>
      <c r="B441" s="243"/>
      <c r="C441" s="46"/>
      <c r="D441" s="123"/>
      <c r="E441" s="243"/>
      <c r="F441" s="40"/>
      <c r="G441" s="40"/>
      <c r="H441" s="40"/>
      <c r="I441" s="40"/>
      <c r="J441" s="40"/>
      <c r="K441" s="46"/>
    </row>
    <row r="442" ht="19.5" customHeight="1">
      <c r="A442" s="220"/>
      <c r="B442" s="243"/>
      <c r="C442" s="46"/>
      <c r="D442" s="123"/>
      <c r="E442" s="243"/>
      <c r="F442" s="40"/>
      <c r="G442" s="40"/>
      <c r="H442" s="40"/>
      <c r="I442" s="40"/>
      <c r="J442" s="40"/>
      <c r="K442" s="46"/>
    </row>
    <row r="443" ht="19.5" customHeight="1">
      <c r="A443" s="220"/>
      <c r="B443" s="243"/>
      <c r="C443" s="46"/>
      <c r="D443" s="123"/>
      <c r="E443" s="243"/>
      <c r="F443" s="40"/>
      <c r="G443" s="40"/>
      <c r="H443" s="40"/>
      <c r="I443" s="40"/>
      <c r="J443" s="40"/>
      <c r="K443" s="46"/>
    </row>
    <row r="444" ht="19.5" customHeight="1">
      <c r="A444" s="220"/>
      <c r="B444" s="243"/>
      <c r="C444" s="46"/>
      <c r="D444" s="123"/>
      <c r="E444" s="243"/>
      <c r="F444" s="40"/>
      <c r="G444" s="40"/>
      <c r="H444" s="40"/>
      <c r="I444" s="40"/>
      <c r="J444" s="40"/>
      <c r="K444" s="46"/>
    </row>
    <row r="445" ht="19.5" customHeight="1">
      <c r="A445" s="220"/>
      <c r="B445" s="243"/>
      <c r="C445" s="46"/>
      <c r="D445" s="123"/>
      <c r="E445" s="243"/>
      <c r="F445" s="40"/>
      <c r="G445" s="40"/>
      <c r="H445" s="40"/>
      <c r="I445" s="40"/>
      <c r="J445" s="40"/>
      <c r="K445" s="46"/>
    </row>
    <row r="446" ht="19.5" customHeight="1">
      <c r="A446" s="220"/>
      <c r="B446" s="243"/>
      <c r="C446" s="46"/>
      <c r="D446" s="123"/>
      <c r="E446" s="243"/>
      <c r="F446" s="40"/>
      <c r="G446" s="40"/>
      <c r="H446" s="40"/>
      <c r="I446" s="40"/>
      <c r="J446" s="40"/>
      <c r="K446" s="46"/>
    </row>
    <row r="447" ht="19.5" customHeight="1">
      <c r="A447" s="220"/>
      <c r="B447" s="243"/>
      <c r="C447" s="46"/>
      <c r="D447" s="123"/>
      <c r="E447" s="243"/>
      <c r="F447" s="40"/>
      <c r="G447" s="40"/>
      <c r="H447" s="40"/>
      <c r="I447" s="40"/>
      <c r="J447" s="40"/>
      <c r="K447" s="46"/>
    </row>
    <row r="448" ht="19.5" customHeight="1">
      <c r="A448" s="220"/>
      <c r="B448" s="243"/>
      <c r="C448" s="46"/>
      <c r="D448" s="123"/>
      <c r="E448" s="243"/>
      <c r="F448" s="40"/>
      <c r="G448" s="40"/>
      <c r="H448" s="40"/>
      <c r="I448" s="40"/>
      <c r="J448" s="40"/>
      <c r="K448" s="46"/>
    </row>
    <row r="449" ht="19.5" customHeight="1">
      <c r="A449" s="220"/>
      <c r="B449" s="243"/>
      <c r="C449" s="46"/>
      <c r="D449" s="123"/>
      <c r="E449" s="243"/>
      <c r="F449" s="40"/>
      <c r="G449" s="40"/>
      <c r="H449" s="40"/>
      <c r="I449" s="40"/>
      <c r="J449" s="40"/>
      <c r="K449" s="46"/>
    </row>
    <row r="450" ht="19.5" customHeight="1">
      <c r="A450" s="220"/>
      <c r="B450" s="243"/>
      <c r="C450" s="46"/>
      <c r="D450" s="123"/>
      <c r="E450" s="243"/>
      <c r="F450" s="40"/>
      <c r="G450" s="40"/>
      <c r="H450" s="40"/>
      <c r="I450" s="40"/>
      <c r="J450" s="40"/>
      <c r="K450" s="46"/>
    </row>
    <row r="451" ht="19.5" customHeight="1">
      <c r="A451" s="220"/>
      <c r="B451" s="243"/>
      <c r="C451" s="46"/>
      <c r="D451" s="123"/>
      <c r="E451" s="243"/>
      <c r="F451" s="40"/>
      <c r="G451" s="40"/>
      <c r="H451" s="40"/>
      <c r="I451" s="40"/>
      <c r="J451" s="40"/>
      <c r="K451" s="46"/>
    </row>
    <row r="452" ht="19.5" customHeight="1">
      <c r="A452" s="220"/>
      <c r="B452" s="243"/>
      <c r="C452" s="46"/>
      <c r="D452" s="123"/>
      <c r="E452" s="243"/>
      <c r="F452" s="40"/>
      <c r="G452" s="40"/>
      <c r="H452" s="40"/>
      <c r="I452" s="40"/>
      <c r="J452" s="40"/>
      <c r="K452" s="46"/>
    </row>
    <row r="453" ht="19.5" customHeight="1">
      <c r="A453" s="220"/>
      <c r="B453" s="243"/>
      <c r="C453" s="46"/>
      <c r="D453" s="123"/>
      <c r="E453" s="243"/>
      <c r="F453" s="40"/>
      <c r="G453" s="40"/>
      <c r="H453" s="40"/>
      <c r="I453" s="40"/>
      <c r="J453" s="40"/>
      <c r="K453" s="46"/>
    </row>
    <row r="454" ht="19.5" customHeight="1">
      <c r="A454" s="220"/>
      <c r="B454" s="243"/>
      <c r="C454" s="46"/>
      <c r="D454" s="123"/>
      <c r="E454" s="243"/>
      <c r="F454" s="40"/>
      <c r="G454" s="40"/>
      <c r="H454" s="40"/>
      <c r="I454" s="40"/>
      <c r="J454" s="40"/>
      <c r="K454" s="46"/>
    </row>
    <row r="455" ht="19.5" customHeight="1">
      <c r="A455" s="220"/>
      <c r="B455" s="243"/>
      <c r="C455" s="46"/>
      <c r="D455" s="123"/>
      <c r="E455" s="243"/>
      <c r="F455" s="40"/>
      <c r="G455" s="40"/>
      <c r="H455" s="40"/>
      <c r="I455" s="40"/>
      <c r="J455" s="40"/>
      <c r="K455" s="46"/>
    </row>
    <row r="456" ht="19.5" customHeight="1">
      <c r="A456" s="220"/>
      <c r="B456" s="243"/>
      <c r="C456" s="46"/>
      <c r="D456" s="123"/>
      <c r="E456" s="243"/>
      <c r="F456" s="40"/>
      <c r="G456" s="40"/>
      <c r="H456" s="40"/>
      <c r="I456" s="40"/>
      <c r="J456" s="40"/>
      <c r="K456" s="46"/>
    </row>
    <row r="457" ht="19.5" customHeight="1">
      <c r="A457" s="220"/>
      <c r="B457" s="243"/>
      <c r="C457" s="46"/>
      <c r="D457" s="123"/>
      <c r="E457" s="243"/>
      <c r="F457" s="40"/>
      <c r="G457" s="40"/>
      <c r="H457" s="40"/>
      <c r="I457" s="40"/>
      <c r="J457" s="40"/>
      <c r="K457" s="46"/>
    </row>
    <row r="458" ht="19.5" customHeight="1">
      <c r="A458" s="220"/>
      <c r="B458" s="243"/>
      <c r="C458" s="46"/>
      <c r="D458" s="123"/>
      <c r="E458" s="243"/>
      <c r="F458" s="40"/>
      <c r="G458" s="40"/>
      <c r="H458" s="40"/>
      <c r="I458" s="40"/>
      <c r="J458" s="40"/>
      <c r="K458" s="46"/>
    </row>
    <row r="459" ht="19.5" customHeight="1">
      <c r="A459" s="220"/>
      <c r="B459" s="243"/>
      <c r="C459" s="46"/>
      <c r="D459" s="123"/>
      <c r="E459" s="243"/>
      <c r="F459" s="40"/>
      <c r="G459" s="40"/>
      <c r="H459" s="40"/>
      <c r="I459" s="40"/>
      <c r="J459" s="40"/>
      <c r="K459" s="46"/>
    </row>
    <row r="460" ht="19.5" customHeight="1">
      <c r="A460" s="220"/>
      <c r="B460" s="243"/>
      <c r="C460" s="46"/>
      <c r="D460" s="123"/>
      <c r="E460" s="243"/>
      <c r="F460" s="40"/>
      <c r="G460" s="40"/>
      <c r="H460" s="40"/>
      <c r="I460" s="40"/>
      <c r="J460" s="40"/>
      <c r="K460" s="46"/>
    </row>
    <row r="461" ht="19.5" customHeight="1">
      <c r="A461" s="220"/>
      <c r="B461" s="243"/>
      <c r="C461" s="46"/>
      <c r="D461" s="123"/>
      <c r="E461" s="243"/>
      <c r="F461" s="40"/>
      <c r="G461" s="40"/>
      <c r="H461" s="40"/>
      <c r="I461" s="40"/>
      <c r="J461" s="40"/>
      <c r="K461" s="46"/>
    </row>
    <row r="462" ht="19.5" customHeight="1">
      <c r="A462" s="220"/>
      <c r="B462" s="243"/>
      <c r="C462" s="46"/>
      <c r="D462" s="123"/>
      <c r="E462" s="243"/>
      <c r="F462" s="40"/>
      <c r="G462" s="40"/>
      <c r="H462" s="40"/>
      <c r="I462" s="40"/>
      <c r="J462" s="40"/>
      <c r="K462" s="46"/>
    </row>
    <row r="463" ht="19.5" customHeight="1">
      <c r="A463" s="220"/>
      <c r="B463" s="243"/>
      <c r="C463" s="46"/>
      <c r="D463" s="123"/>
      <c r="E463" s="243"/>
      <c r="F463" s="40"/>
      <c r="G463" s="40"/>
      <c r="H463" s="40"/>
      <c r="I463" s="40"/>
      <c r="J463" s="40"/>
      <c r="K463" s="46"/>
    </row>
    <row r="464" ht="19.5" customHeight="1">
      <c r="A464" s="220"/>
      <c r="B464" s="243"/>
      <c r="C464" s="46"/>
      <c r="D464" s="123"/>
      <c r="E464" s="243"/>
      <c r="F464" s="40"/>
      <c r="G464" s="40"/>
      <c r="H464" s="40"/>
      <c r="I464" s="40"/>
      <c r="J464" s="40"/>
      <c r="K464" s="46"/>
    </row>
    <row r="465" ht="19.5" customHeight="1">
      <c r="A465" s="220"/>
      <c r="B465" s="243"/>
      <c r="C465" s="46"/>
      <c r="D465" s="123"/>
      <c r="E465" s="243"/>
      <c r="F465" s="40"/>
      <c r="G465" s="40"/>
      <c r="H465" s="40"/>
      <c r="I465" s="40"/>
      <c r="J465" s="40"/>
      <c r="K465" s="46"/>
    </row>
    <row r="466" ht="19.5" customHeight="1">
      <c r="A466" s="220"/>
      <c r="B466" s="243"/>
      <c r="C466" s="46"/>
      <c r="D466" s="123"/>
      <c r="E466" s="243"/>
      <c r="F466" s="40"/>
      <c r="G466" s="40"/>
      <c r="H466" s="40"/>
      <c r="I466" s="40"/>
      <c r="J466" s="40"/>
      <c r="K466" s="46"/>
    </row>
    <row r="467" ht="19.5" customHeight="1">
      <c r="A467" s="220"/>
      <c r="B467" s="243"/>
      <c r="C467" s="46"/>
      <c r="D467" s="123"/>
      <c r="E467" s="243"/>
      <c r="F467" s="40"/>
      <c r="G467" s="40"/>
      <c r="H467" s="40"/>
      <c r="I467" s="40"/>
      <c r="J467" s="40"/>
      <c r="K467" s="46"/>
    </row>
    <row r="468" ht="19.5" customHeight="1">
      <c r="A468" s="220"/>
      <c r="B468" s="243"/>
      <c r="C468" s="46"/>
      <c r="D468" s="123"/>
      <c r="E468" s="243"/>
      <c r="F468" s="40"/>
      <c r="G468" s="40"/>
      <c r="H468" s="40"/>
      <c r="I468" s="40"/>
      <c r="J468" s="40"/>
      <c r="K468" s="46"/>
    </row>
    <row r="469" ht="19.5" customHeight="1">
      <c r="A469" s="220"/>
      <c r="B469" s="243"/>
      <c r="C469" s="46"/>
      <c r="D469" s="123"/>
      <c r="E469" s="243"/>
      <c r="F469" s="40"/>
      <c r="G469" s="40"/>
      <c r="H469" s="40"/>
      <c r="I469" s="40"/>
      <c r="J469" s="40"/>
      <c r="K469" s="46"/>
    </row>
    <row r="470" ht="19.5" customHeight="1">
      <c r="A470" s="220"/>
      <c r="B470" s="243"/>
      <c r="C470" s="46"/>
      <c r="D470" s="123"/>
      <c r="E470" s="243"/>
      <c r="F470" s="40"/>
      <c r="G470" s="40"/>
      <c r="H470" s="40"/>
      <c r="I470" s="40"/>
      <c r="J470" s="40"/>
      <c r="K470" s="46"/>
    </row>
    <row r="471" ht="19.5" customHeight="1">
      <c r="A471" s="220"/>
      <c r="B471" s="243"/>
      <c r="C471" s="46"/>
      <c r="D471" s="123"/>
      <c r="E471" s="243"/>
      <c r="F471" s="40"/>
      <c r="G471" s="40"/>
      <c r="H471" s="40"/>
      <c r="I471" s="40"/>
      <c r="J471" s="40"/>
      <c r="K471" s="46"/>
    </row>
    <row r="472" ht="19.5" customHeight="1">
      <c r="A472" s="220"/>
      <c r="B472" s="243"/>
      <c r="C472" s="46"/>
      <c r="D472" s="123"/>
      <c r="E472" s="243"/>
      <c r="F472" s="40"/>
      <c r="G472" s="40"/>
      <c r="H472" s="40"/>
      <c r="I472" s="40"/>
      <c r="J472" s="40"/>
      <c r="K472" s="46"/>
    </row>
    <row r="473" ht="19.5" customHeight="1">
      <c r="A473" s="220"/>
      <c r="B473" s="243"/>
      <c r="C473" s="46"/>
      <c r="D473" s="123"/>
      <c r="E473" s="243"/>
      <c r="F473" s="40"/>
      <c r="G473" s="40"/>
      <c r="H473" s="40"/>
      <c r="I473" s="40"/>
      <c r="J473" s="40"/>
      <c r="K473" s="46"/>
    </row>
    <row r="474" ht="19.5" customHeight="1">
      <c r="A474" s="220"/>
      <c r="B474" s="243"/>
      <c r="C474" s="46"/>
      <c r="D474" s="123"/>
      <c r="E474" s="243"/>
      <c r="F474" s="40"/>
      <c r="G474" s="40"/>
      <c r="H474" s="40"/>
      <c r="I474" s="40"/>
      <c r="J474" s="40"/>
      <c r="K474" s="46"/>
    </row>
    <row r="475" ht="19.5" customHeight="1">
      <c r="A475" s="220"/>
      <c r="B475" s="243"/>
      <c r="C475" s="46"/>
      <c r="D475" s="123"/>
      <c r="E475" s="243"/>
      <c r="F475" s="40"/>
      <c r="G475" s="40"/>
      <c r="H475" s="40"/>
      <c r="I475" s="40"/>
      <c r="J475" s="40"/>
      <c r="K475" s="46"/>
    </row>
    <row r="476" ht="19.5" customHeight="1">
      <c r="A476" s="220"/>
      <c r="B476" s="243"/>
      <c r="C476" s="46"/>
      <c r="D476" s="123"/>
      <c r="E476" s="243"/>
      <c r="F476" s="40"/>
      <c r="G476" s="40"/>
      <c r="H476" s="40"/>
      <c r="I476" s="40"/>
      <c r="J476" s="40"/>
      <c r="K476" s="46"/>
    </row>
    <row r="477" ht="19.5" customHeight="1">
      <c r="A477" s="220"/>
      <c r="B477" s="243"/>
      <c r="C477" s="46"/>
      <c r="D477" s="123"/>
      <c r="E477" s="243"/>
      <c r="F477" s="40"/>
      <c r="G477" s="40"/>
      <c r="H477" s="40"/>
      <c r="I477" s="40"/>
      <c r="J477" s="40"/>
      <c r="K477" s="46"/>
    </row>
    <row r="478" ht="19.5" customHeight="1">
      <c r="A478" s="220"/>
      <c r="B478" s="243"/>
      <c r="C478" s="46"/>
      <c r="D478" s="123"/>
      <c r="E478" s="243"/>
      <c r="F478" s="40"/>
      <c r="G478" s="40"/>
      <c r="H478" s="40"/>
      <c r="I478" s="40"/>
      <c r="J478" s="40"/>
      <c r="K478" s="46"/>
    </row>
    <row r="479" ht="19.5" customHeight="1">
      <c r="A479" s="220"/>
      <c r="B479" s="243"/>
      <c r="C479" s="46"/>
      <c r="D479" s="123"/>
      <c r="E479" s="243"/>
      <c r="F479" s="40"/>
      <c r="G479" s="40"/>
      <c r="H479" s="40"/>
      <c r="I479" s="40"/>
      <c r="J479" s="40"/>
      <c r="K479" s="46"/>
    </row>
    <row r="480" ht="19.5" customHeight="1">
      <c r="A480" s="220"/>
      <c r="B480" s="243"/>
      <c r="C480" s="46"/>
      <c r="D480" s="123"/>
      <c r="E480" s="243"/>
      <c r="F480" s="40"/>
      <c r="G480" s="40"/>
      <c r="H480" s="40"/>
      <c r="I480" s="40"/>
      <c r="J480" s="40"/>
      <c r="K480" s="46"/>
    </row>
    <row r="481" ht="19.5" customHeight="1">
      <c r="A481" s="220"/>
      <c r="B481" s="243"/>
      <c r="C481" s="46"/>
      <c r="D481" s="123"/>
      <c r="E481" s="243"/>
      <c r="F481" s="40"/>
      <c r="G481" s="40"/>
      <c r="H481" s="40"/>
      <c r="I481" s="40"/>
      <c r="J481" s="40"/>
      <c r="K481" s="46"/>
    </row>
    <row r="482" ht="19.5" customHeight="1">
      <c r="A482" s="220"/>
      <c r="B482" s="243"/>
      <c r="C482" s="46"/>
      <c r="D482" s="123"/>
      <c r="E482" s="243"/>
      <c r="F482" s="40"/>
      <c r="G482" s="40"/>
      <c r="H482" s="40"/>
      <c r="I482" s="40"/>
      <c r="J482" s="40"/>
      <c r="K482" s="46"/>
    </row>
    <row r="483" ht="19.5" customHeight="1">
      <c r="A483" s="220"/>
      <c r="B483" s="243"/>
      <c r="C483" s="46"/>
      <c r="D483" s="123"/>
      <c r="E483" s="243"/>
      <c r="F483" s="40"/>
      <c r="G483" s="40"/>
      <c r="H483" s="40"/>
      <c r="I483" s="40"/>
      <c r="J483" s="40"/>
      <c r="K483" s="46"/>
    </row>
    <row r="484" ht="19.5" customHeight="1">
      <c r="A484" s="220"/>
      <c r="B484" s="243"/>
      <c r="C484" s="46"/>
      <c r="D484" s="123"/>
      <c r="E484" s="243"/>
      <c r="F484" s="40"/>
      <c r="G484" s="40"/>
      <c r="H484" s="40"/>
      <c r="I484" s="40"/>
      <c r="J484" s="40"/>
      <c r="K484" s="46"/>
    </row>
    <row r="485" ht="19.5" customHeight="1">
      <c r="A485" s="220"/>
      <c r="B485" s="243"/>
      <c r="C485" s="46"/>
      <c r="D485" s="123"/>
      <c r="E485" s="243"/>
      <c r="F485" s="40"/>
      <c r="G485" s="40"/>
      <c r="H485" s="40"/>
      <c r="I485" s="40"/>
      <c r="J485" s="40"/>
      <c r="K485" s="46"/>
    </row>
    <row r="486" ht="19.5" customHeight="1">
      <c r="A486" s="220"/>
      <c r="B486" s="243"/>
      <c r="C486" s="46"/>
      <c r="D486" s="123"/>
      <c r="E486" s="243"/>
      <c r="F486" s="40"/>
      <c r="G486" s="40"/>
      <c r="H486" s="40"/>
      <c r="I486" s="40"/>
      <c r="J486" s="40"/>
      <c r="K486" s="46"/>
    </row>
    <row r="487" ht="19.5" customHeight="1">
      <c r="A487" s="220"/>
      <c r="B487" s="243"/>
      <c r="C487" s="46"/>
      <c r="D487" s="123"/>
      <c r="E487" s="243"/>
      <c r="F487" s="40"/>
      <c r="G487" s="40"/>
      <c r="H487" s="40"/>
      <c r="I487" s="40"/>
      <c r="J487" s="40"/>
      <c r="K487" s="46"/>
    </row>
    <row r="488" ht="19.5" customHeight="1">
      <c r="A488" s="220"/>
      <c r="B488" s="243"/>
      <c r="C488" s="46"/>
      <c r="D488" s="123"/>
      <c r="E488" s="243"/>
      <c r="F488" s="40"/>
      <c r="G488" s="40"/>
      <c r="H488" s="40"/>
      <c r="I488" s="40"/>
      <c r="J488" s="40"/>
      <c r="K488" s="46"/>
    </row>
    <row r="489" ht="19.5" customHeight="1">
      <c r="A489" s="220"/>
      <c r="B489" s="243"/>
      <c r="C489" s="46"/>
      <c r="D489" s="123"/>
      <c r="E489" s="243"/>
      <c r="F489" s="40"/>
      <c r="G489" s="40"/>
      <c r="H489" s="40"/>
      <c r="I489" s="40"/>
      <c r="J489" s="40"/>
      <c r="K489" s="46"/>
    </row>
    <row r="490" ht="19.5" customHeight="1">
      <c r="A490" s="220"/>
      <c r="B490" s="243"/>
      <c r="C490" s="46"/>
      <c r="D490" s="123"/>
      <c r="E490" s="243"/>
      <c r="F490" s="40"/>
      <c r="G490" s="40"/>
      <c r="H490" s="40"/>
      <c r="I490" s="40"/>
      <c r="J490" s="40"/>
      <c r="K490" s="46"/>
    </row>
    <row r="491" ht="19.5" customHeight="1">
      <c r="A491" s="220"/>
      <c r="B491" s="243"/>
      <c r="C491" s="46"/>
      <c r="D491" s="123"/>
      <c r="E491" s="243"/>
      <c r="F491" s="40"/>
      <c r="G491" s="40"/>
      <c r="H491" s="40"/>
      <c r="I491" s="40"/>
      <c r="J491" s="40"/>
      <c r="K491" s="46"/>
    </row>
    <row r="492" ht="19.5" customHeight="1">
      <c r="A492" s="220"/>
      <c r="B492" s="243"/>
      <c r="C492" s="46"/>
      <c r="D492" s="123"/>
      <c r="E492" s="243"/>
      <c r="F492" s="40"/>
      <c r="G492" s="40"/>
      <c r="H492" s="40"/>
      <c r="I492" s="40"/>
      <c r="J492" s="40"/>
      <c r="K492" s="46"/>
    </row>
    <row r="493" ht="19.5" customHeight="1">
      <c r="A493" s="220"/>
      <c r="B493" s="243"/>
      <c r="C493" s="46"/>
      <c r="D493" s="123"/>
      <c r="E493" s="243"/>
      <c r="F493" s="40"/>
      <c r="G493" s="40"/>
      <c r="H493" s="40"/>
      <c r="I493" s="40"/>
      <c r="J493" s="40"/>
      <c r="K493" s="46"/>
    </row>
    <row r="494" ht="19.5" customHeight="1">
      <c r="A494" s="220"/>
      <c r="B494" s="243"/>
      <c r="C494" s="46"/>
      <c r="D494" s="123"/>
      <c r="E494" s="243"/>
      <c r="F494" s="40"/>
      <c r="G494" s="40"/>
      <c r="H494" s="40"/>
      <c r="I494" s="40"/>
      <c r="J494" s="40"/>
      <c r="K494" s="46"/>
    </row>
    <row r="495" ht="19.5" customHeight="1">
      <c r="A495" s="220"/>
      <c r="B495" s="243"/>
      <c r="C495" s="46"/>
      <c r="D495" s="123"/>
      <c r="E495" s="243"/>
      <c r="F495" s="40"/>
      <c r="G495" s="40"/>
      <c r="H495" s="40"/>
      <c r="I495" s="40"/>
      <c r="J495" s="40"/>
      <c r="K495" s="46"/>
    </row>
    <row r="496" ht="19.5" customHeight="1">
      <c r="A496" s="220"/>
      <c r="B496" s="243"/>
      <c r="C496" s="46"/>
      <c r="D496" s="123"/>
      <c r="E496" s="243"/>
      <c r="F496" s="40"/>
      <c r="G496" s="40"/>
      <c r="H496" s="40"/>
      <c r="I496" s="40"/>
      <c r="J496" s="40"/>
      <c r="K496" s="46"/>
    </row>
    <row r="497" ht="19.5" customHeight="1">
      <c r="A497" s="220"/>
      <c r="B497" s="243"/>
      <c r="C497" s="46"/>
      <c r="D497" s="123"/>
      <c r="E497" s="243"/>
      <c r="F497" s="40"/>
      <c r="G497" s="40"/>
      <c r="H497" s="40"/>
      <c r="I497" s="40"/>
      <c r="J497" s="40"/>
      <c r="K497" s="46"/>
    </row>
    <row r="498" ht="19.5" customHeight="1">
      <c r="A498" s="220"/>
      <c r="B498" s="243"/>
      <c r="C498" s="46"/>
      <c r="D498" s="123"/>
      <c r="E498" s="243"/>
      <c r="F498" s="40"/>
      <c r="G498" s="40"/>
      <c r="H498" s="40"/>
      <c r="I498" s="40"/>
      <c r="J498" s="40"/>
      <c r="K498" s="46"/>
    </row>
    <row r="499" ht="19.5" customHeight="1">
      <c r="A499" s="220"/>
      <c r="B499" s="243"/>
      <c r="C499" s="46"/>
      <c r="D499" s="123"/>
      <c r="E499" s="243"/>
      <c r="F499" s="40"/>
      <c r="G499" s="40"/>
      <c r="H499" s="40"/>
      <c r="I499" s="40"/>
      <c r="J499" s="40"/>
      <c r="K499" s="46"/>
    </row>
    <row r="500" ht="19.5" customHeight="1">
      <c r="A500" s="220"/>
      <c r="B500" s="243"/>
      <c r="C500" s="46"/>
      <c r="D500" s="123"/>
      <c r="E500" s="243"/>
      <c r="F500" s="40"/>
      <c r="G500" s="40"/>
      <c r="H500" s="40"/>
      <c r="I500" s="40"/>
      <c r="J500" s="40"/>
      <c r="K500" s="46"/>
    </row>
    <row r="501" ht="19.5" customHeight="1">
      <c r="A501" s="220"/>
      <c r="B501" s="243"/>
      <c r="C501" s="46"/>
      <c r="D501" s="123"/>
      <c r="E501" s="243"/>
      <c r="F501" s="40"/>
      <c r="G501" s="40"/>
      <c r="H501" s="40"/>
      <c r="I501" s="40"/>
      <c r="J501" s="40"/>
      <c r="K501" s="46"/>
    </row>
    <row r="502" ht="19.5" customHeight="1">
      <c r="A502" s="220"/>
      <c r="B502" s="243"/>
      <c r="C502" s="46"/>
      <c r="D502" s="123"/>
      <c r="E502" s="243"/>
      <c r="F502" s="40"/>
      <c r="G502" s="40"/>
      <c r="H502" s="40"/>
      <c r="I502" s="40"/>
      <c r="J502" s="40"/>
      <c r="K502" s="46"/>
    </row>
    <row r="503" ht="19.5" customHeight="1">
      <c r="A503" s="220"/>
      <c r="B503" s="243"/>
      <c r="C503" s="46"/>
      <c r="D503" s="123"/>
      <c r="E503" s="243"/>
      <c r="F503" s="40"/>
      <c r="G503" s="40"/>
      <c r="H503" s="40"/>
      <c r="I503" s="40"/>
      <c r="J503" s="40"/>
      <c r="K503" s="46"/>
    </row>
    <row r="504" ht="19.5" customHeight="1">
      <c r="A504" s="220"/>
      <c r="B504" s="243"/>
      <c r="C504" s="46"/>
      <c r="D504" s="123"/>
      <c r="E504" s="243"/>
      <c r="F504" s="40"/>
      <c r="G504" s="40"/>
      <c r="H504" s="40"/>
      <c r="I504" s="40"/>
      <c r="J504" s="40"/>
      <c r="K504" s="46"/>
    </row>
    <row r="505" ht="19.5" customHeight="1">
      <c r="A505" s="220"/>
      <c r="B505" s="243"/>
      <c r="C505" s="46"/>
      <c r="D505" s="123"/>
      <c r="E505" s="243"/>
      <c r="F505" s="40"/>
      <c r="G505" s="40"/>
      <c r="H505" s="40"/>
      <c r="I505" s="40"/>
      <c r="J505" s="40"/>
      <c r="K505" s="46"/>
    </row>
    <row r="506" ht="19.5" customHeight="1">
      <c r="A506" s="220"/>
      <c r="B506" s="243"/>
      <c r="C506" s="46"/>
      <c r="D506" s="123"/>
      <c r="E506" s="243"/>
      <c r="F506" s="40"/>
      <c r="G506" s="40"/>
      <c r="H506" s="40"/>
      <c r="I506" s="40"/>
      <c r="J506" s="40"/>
      <c r="K506" s="46"/>
    </row>
    <row r="507" ht="19.5" customHeight="1">
      <c r="A507" s="220"/>
      <c r="B507" s="243"/>
      <c r="C507" s="46"/>
      <c r="D507" s="123"/>
      <c r="E507" s="243"/>
      <c r="F507" s="40"/>
      <c r="G507" s="40"/>
      <c r="H507" s="40"/>
      <c r="I507" s="40"/>
      <c r="J507" s="40"/>
      <c r="K507" s="46"/>
    </row>
    <row r="508" ht="19.5" customHeight="1">
      <c r="A508" s="220"/>
      <c r="B508" s="243"/>
      <c r="C508" s="46"/>
      <c r="D508" s="123"/>
      <c r="E508" s="243"/>
      <c r="F508" s="40"/>
      <c r="G508" s="40"/>
      <c r="H508" s="40"/>
      <c r="I508" s="40"/>
      <c r="J508" s="40"/>
      <c r="K508" s="46"/>
    </row>
    <row r="509" ht="19.5" customHeight="1">
      <c r="A509" s="220"/>
      <c r="B509" s="243"/>
      <c r="C509" s="46"/>
      <c r="D509" s="123"/>
      <c r="E509" s="243"/>
      <c r="F509" s="40"/>
      <c r="G509" s="40"/>
      <c r="H509" s="40"/>
      <c r="I509" s="40"/>
      <c r="J509" s="40"/>
      <c r="K509" s="46"/>
    </row>
    <row r="510" ht="19.5" customHeight="1">
      <c r="A510" s="220"/>
      <c r="B510" s="243"/>
      <c r="C510" s="46"/>
      <c r="D510" s="123"/>
      <c r="E510" s="243"/>
      <c r="F510" s="40"/>
      <c r="G510" s="40"/>
      <c r="H510" s="40"/>
      <c r="I510" s="40"/>
      <c r="J510" s="40"/>
      <c r="K510" s="46"/>
    </row>
    <row r="511" ht="19.5" customHeight="1">
      <c r="A511" s="220"/>
      <c r="B511" s="243"/>
      <c r="C511" s="46"/>
      <c r="D511" s="123"/>
      <c r="E511" s="243"/>
      <c r="F511" s="40"/>
      <c r="G511" s="40"/>
      <c r="H511" s="40"/>
      <c r="I511" s="40"/>
      <c r="J511" s="40"/>
      <c r="K511" s="46"/>
    </row>
    <row r="512" ht="19.5" customHeight="1">
      <c r="A512" s="220"/>
      <c r="B512" s="243"/>
      <c r="C512" s="46"/>
      <c r="D512" s="123"/>
      <c r="E512" s="243"/>
      <c r="F512" s="40"/>
      <c r="G512" s="40"/>
      <c r="H512" s="40"/>
      <c r="I512" s="40"/>
      <c r="J512" s="40"/>
      <c r="K512" s="46"/>
    </row>
    <row r="513" ht="19.5" customHeight="1">
      <c r="A513" s="220"/>
      <c r="B513" s="243"/>
      <c r="C513" s="46"/>
      <c r="D513" s="123"/>
      <c r="E513" s="243"/>
      <c r="F513" s="40"/>
      <c r="G513" s="40"/>
      <c r="H513" s="40"/>
      <c r="I513" s="40"/>
      <c r="J513" s="40"/>
      <c r="K513" s="46"/>
    </row>
    <row r="514" ht="19.5" customHeight="1">
      <c r="A514" s="220"/>
      <c r="B514" s="243"/>
      <c r="C514" s="46"/>
      <c r="D514" s="123"/>
      <c r="E514" s="243"/>
      <c r="F514" s="40"/>
      <c r="G514" s="40"/>
      <c r="H514" s="40"/>
      <c r="I514" s="40"/>
      <c r="J514" s="40"/>
      <c r="K514" s="46"/>
    </row>
    <row r="515" ht="19.5" customHeight="1">
      <c r="A515" s="220"/>
      <c r="B515" s="243"/>
      <c r="C515" s="46"/>
      <c r="D515" s="123"/>
      <c r="E515" s="243"/>
      <c r="F515" s="40"/>
      <c r="G515" s="40"/>
      <c r="H515" s="40"/>
      <c r="I515" s="40"/>
      <c r="J515" s="40"/>
      <c r="K515" s="46"/>
    </row>
    <row r="516" ht="19.5" customHeight="1">
      <c r="A516" s="220"/>
      <c r="B516" s="243"/>
      <c r="C516" s="46"/>
      <c r="D516" s="123"/>
      <c r="E516" s="243"/>
      <c r="F516" s="40"/>
      <c r="G516" s="40"/>
      <c r="H516" s="40"/>
      <c r="I516" s="40"/>
      <c r="J516" s="40"/>
      <c r="K516" s="46"/>
    </row>
    <row r="517" ht="19.5" customHeight="1">
      <c r="A517" s="220"/>
      <c r="B517" s="243"/>
      <c r="C517" s="46"/>
      <c r="D517" s="123"/>
      <c r="E517" s="243"/>
      <c r="F517" s="40"/>
      <c r="G517" s="40"/>
      <c r="H517" s="40"/>
      <c r="I517" s="40"/>
      <c r="J517" s="40"/>
      <c r="K517" s="46"/>
    </row>
    <row r="518" ht="19.5" customHeight="1">
      <c r="A518" s="220"/>
      <c r="B518" s="243"/>
      <c r="C518" s="46"/>
      <c r="D518" s="123"/>
      <c r="E518" s="243"/>
      <c r="F518" s="40"/>
      <c r="G518" s="40"/>
      <c r="H518" s="40"/>
      <c r="I518" s="40"/>
      <c r="J518" s="40"/>
      <c r="K518" s="46"/>
    </row>
    <row r="519" ht="19.5" customHeight="1">
      <c r="A519" s="220"/>
      <c r="B519" s="243"/>
      <c r="C519" s="46"/>
      <c r="D519" s="123"/>
      <c r="E519" s="243"/>
      <c r="F519" s="40"/>
      <c r="G519" s="40"/>
      <c r="H519" s="40"/>
      <c r="I519" s="40"/>
      <c r="J519" s="40"/>
      <c r="K519" s="46"/>
    </row>
    <row r="520" ht="19.5" customHeight="1">
      <c r="A520" s="220"/>
      <c r="B520" s="243"/>
      <c r="C520" s="46"/>
      <c r="D520" s="123"/>
      <c r="E520" s="243"/>
      <c r="F520" s="40"/>
      <c r="G520" s="40"/>
      <c r="H520" s="40"/>
      <c r="I520" s="40"/>
      <c r="J520" s="40"/>
      <c r="K520" s="46"/>
    </row>
    <row r="521" ht="19.5" customHeight="1">
      <c r="A521" s="220"/>
      <c r="B521" s="243"/>
      <c r="C521" s="46"/>
      <c r="D521" s="123"/>
      <c r="E521" s="243"/>
      <c r="F521" s="40"/>
      <c r="G521" s="40"/>
      <c r="H521" s="40"/>
      <c r="I521" s="40"/>
      <c r="J521" s="40"/>
      <c r="K521" s="46"/>
    </row>
    <row r="522" ht="19.5" customHeight="1">
      <c r="A522" s="220"/>
      <c r="B522" s="243"/>
      <c r="C522" s="46"/>
      <c r="D522" s="123"/>
      <c r="E522" s="243"/>
      <c r="F522" s="40"/>
      <c r="G522" s="40"/>
      <c r="H522" s="40"/>
      <c r="I522" s="40"/>
      <c r="J522" s="40"/>
      <c r="K522" s="46"/>
    </row>
    <row r="523" ht="19.5" customHeight="1">
      <c r="A523" s="220"/>
      <c r="B523" s="243"/>
      <c r="C523" s="46"/>
      <c r="D523" s="123"/>
      <c r="E523" s="243"/>
      <c r="F523" s="40"/>
      <c r="G523" s="40"/>
      <c r="H523" s="40"/>
      <c r="I523" s="40"/>
      <c r="J523" s="40"/>
      <c r="K523" s="46"/>
    </row>
    <row r="524" ht="19.5" customHeight="1">
      <c r="A524" s="220"/>
      <c r="B524" s="243"/>
      <c r="C524" s="46"/>
      <c r="D524" s="123"/>
      <c r="E524" s="243"/>
      <c r="F524" s="40"/>
      <c r="G524" s="40"/>
      <c r="H524" s="40"/>
      <c r="I524" s="40"/>
      <c r="J524" s="40"/>
      <c r="K524" s="46"/>
    </row>
    <row r="525" ht="19.5" customHeight="1">
      <c r="A525" s="220"/>
      <c r="B525" s="243"/>
      <c r="C525" s="46"/>
      <c r="D525" s="123"/>
      <c r="E525" s="243"/>
      <c r="F525" s="40"/>
      <c r="G525" s="40"/>
      <c r="H525" s="40"/>
      <c r="I525" s="40"/>
      <c r="J525" s="40"/>
      <c r="K525" s="46"/>
    </row>
    <row r="526" ht="19.5" customHeight="1">
      <c r="A526" s="220"/>
      <c r="B526" s="243"/>
      <c r="C526" s="46"/>
      <c r="D526" s="123"/>
      <c r="E526" s="243"/>
      <c r="F526" s="40"/>
      <c r="G526" s="40"/>
      <c r="H526" s="40"/>
      <c r="I526" s="40"/>
      <c r="J526" s="40"/>
      <c r="K526" s="46"/>
    </row>
    <row r="527" ht="19.5" customHeight="1">
      <c r="A527" s="220"/>
      <c r="B527" s="243"/>
      <c r="C527" s="46"/>
      <c r="D527" s="123"/>
      <c r="E527" s="243"/>
      <c r="F527" s="40"/>
      <c r="G527" s="40"/>
      <c r="H527" s="40"/>
      <c r="I527" s="40"/>
      <c r="J527" s="40"/>
      <c r="K527" s="46"/>
    </row>
    <row r="528" ht="19.5" customHeight="1">
      <c r="A528" s="220"/>
      <c r="B528" s="243"/>
      <c r="C528" s="46"/>
      <c r="D528" s="123"/>
      <c r="E528" s="243"/>
      <c r="F528" s="40"/>
      <c r="G528" s="40"/>
      <c r="H528" s="40"/>
      <c r="I528" s="40"/>
      <c r="J528" s="40"/>
      <c r="K528" s="46"/>
    </row>
    <row r="529" ht="19.5" customHeight="1">
      <c r="A529" s="220"/>
      <c r="B529" s="243"/>
      <c r="C529" s="46"/>
      <c r="D529" s="123"/>
      <c r="E529" s="243"/>
      <c r="F529" s="40"/>
      <c r="G529" s="40"/>
      <c r="H529" s="40"/>
      <c r="I529" s="40"/>
      <c r="J529" s="40"/>
      <c r="K529" s="46"/>
    </row>
    <row r="530" ht="19.5" customHeight="1">
      <c r="A530" s="220"/>
      <c r="B530" s="243"/>
      <c r="C530" s="46"/>
      <c r="D530" s="123"/>
      <c r="E530" s="243"/>
      <c r="F530" s="40"/>
      <c r="G530" s="40"/>
      <c r="H530" s="40"/>
      <c r="I530" s="40"/>
      <c r="J530" s="40"/>
      <c r="K530" s="46"/>
    </row>
    <row r="531" ht="19.5" customHeight="1">
      <c r="A531" s="220"/>
      <c r="B531" s="243"/>
      <c r="C531" s="46"/>
      <c r="D531" s="123"/>
      <c r="E531" s="243"/>
      <c r="F531" s="40"/>
      <c r="G531" s="40"/>
      <c r="H531" s="40"/>
      <c r="I531" s="40"/>
      <c r="J531" s="40"/>
      <c r="K531" s="46"/>
    </row>
    <row r="532" ht="19.5" customHeight="1">
      <c r="A532" s="220"/>
      <c r="B532" s="243"/>
      <c r="C532" s="46"/>
      <c r="D532" s="123"/>
      <c r="E532" s="243"/>
      <c r="F532" s="40"/>
      <c r="G532" s="40"/>
      <c r="H532" s="40"/>
      <c r="I532" s="40"/>
      <c r="J532" s="40"/>
      <c r="K532" s="46"/>
    </row>
    <row r="533" ht="19.5" customHeight="1">
      <c r="A533" s="220"/>
      <c r="B533" s="243"/>
      <c r="C533" s="46"/>
      <c r="D533" s="123"/>
      <c r="E533" s="243"/>
      <c r="F533" s="40"/>
      <c r="G533" s="40"/>
      <c r="H533" s="40"/>
      <c r="I533" s="40"/>
      <c r="J533" s="40"/>
      <c r="K533" s="46"/>
    </row>
    <row r="534" ht="19.5" customHeight="1">
      <c r="A534" s="220"/>
      <c r="B534" s="243"/>
      <c r="C534" s="46"/>
      <c r="D534" s="123"/>
      <c r="E534" s="243"/>
      <c r="F534" s="40"/>
      <c r="G534" s="40"/>
      <c r="H534" s="40"/>
      <c r="I534" s="40"/>
      <c r="J534" s="40"/>
      <c r="K534" s="46"/>
    </row>
    <row r="535" ht="19.5" customHeight="1">
      <c r="A535" s="220"/>
      <c r="B535" s="243"/>
      <c r="C535" s="46"/>
      <c r="D535" s="123"/>
      <c r="E535" s="243"/>
      <c r="F535" s="40"/>
      <c r="G535" s="40"/>
      <c r="H535" s="40"/>
      <c r="I535" s="40"/>
      <c r="J535" s="40"/>
      <c r="K535" s="46"/>
    </row>
    <row r="536" ht="19.5" customHeight="1">
      <c r="A536" s="220"/>
      <c r="B536" s="243"/>
      <c r="C536" s="46"/>
      <c r="D536" s="123"/>
      <c r="E536" s="243"/>
      <c r="F536" s="40"/>
      <c r="G536" s="40"/>
      <c r="H536" s="40"/>
      <c r="I536" s="40"/>
      <c r="J536" s="40"/>
      <c r="K536" s="46"/>
    </row>
    <row r="537" ht="19.5" customHeight="1">
      <c r="A537" s="220"/>
      <c r="B537" s="243"/>
      <c r="C537" s="46"/>
      <c r="D537" s="123"/>
      <c r="E537" s="243"/>
      <c r="F537" s="40"/>
      <c r="G537" s="40"/>
      <c r="H537" s="40"/>
      <c r="I537" s="40"/>
      <c r="J537" s="40"/>
      <c r="K537" s="46"/>
    </row>
    <row r="538" ht="19.5" customHeight="1">
      <c r="A538" s="220"/>
      <c r="B538" s="243"/>
      <c r="C538" s="46"/>
      <c r="D538" s="123"/>
      <c r="E538" s="243"/>
      <c r="F538" s="40"/>
      <c r="G538" s="40"/>
      <c r="H538" s="40"/>
      <c r="I538" s="40"/>
      <c r="J538" s="40"/>
      <c r="K538" s="46"/>
    </row>
    <row r="539" ht="19.5" customHeight="1">
      <c r="A539" s="220"/>
      <c r="B539" s="243"/>
      <c r="C539" s="46"/>
      <c r="D539" s="123"/>
      <c r="E539" s="243"/>
      <c r="F539" s="40"/>
      <c r="G539" s="40"/>
      <c r="H539" s="40"/>
      <c r="I539" s="40"/>
      <c r="J539" s="40"/>
      <c r="K539" s="46"/>
    </row>
    <row r="540" ht="19.5" customHeight="1">
      <c r="A540" s="220"/>
      <c r="B540" s="243"/>
      <c r="C540" s="46"/>
      <c r="D540" s="123"/>
      <c r="E540" s="243"/>
      <c r="F540" s="40"/>
      <c r="G540" s="40"/>
      <c r="H540" s="40"/>
      <c r="I540" s="40"/>
      <c r="J540" s="40"/>
      <c r="K540" s="46"/>
    </row>
    <row r="541" ht="19.5" customHeight="1">
      <c r="A541" s="220"/>
      <c r="B541" s="243"/>
      <c r="C541" s="46"/>
      <c r="D541" s="123"/>
      <c r="E541" s="243"/>
      <c r="F541" s="40"/>
      <c r="G541" s="40"/>
      <c r="H541" s="40"/>
      <c r="I541" s="40"/>
      <c r="J541" s="40"/>
      <c r="K541" s="46"/>
    </row>
    <row r="542" ht="19.5" customHeight="1">
      <c r="A542" s="220"/>
      <c r="B542" s="243"/>
      <c r="C542" s="46"/>
      <c r="D542" s="123"/>
      <c r="E542" s="243"/>
      <c r="F542" s="40"/>
      <c r="G542" s="40"/>
      <c r="H542" s="40"/>
      <c r="I542" s="40"/>
      <c r="J542" s="40"/>
      <c r="K542" s="46"/>
    </row>
    <row r="543" ht="19.5" customHeight="1">
      <c r="A543" s="220"/>
      <c r="B543" s="243"/>
      <c r="C543" s="46"/>
      <c r="D543" s="123"/>
      <c r="E543" s="243"/>
      <c r="F543" s="40"/>
      <c r="G543" s="40"/>
      <c r="H543" s="40"/>
      <c r="I543" s="40"/>
      <c r="J543" s="40"/>
      <c r="K543" s="46"/>
    </row>
    <row r="544" ht="19.5" customHeight="1">
      <c r="A544" s="220"/>
      <c r="B544" s="243"/>
      <c r="C544" s="46"/>
      <c r="D544" s="123"/>
      <c r="E544" s="243"/>
      <c r="F544" s="40"/>
      <c r="G544" s="40"/>
      <c r="H544" s="40"/>
      <c r="I544" s="40"/>
      <c r="J544" s="40"/>
      <c r="K544" s="46"/>
    </row>
    <row r="545" ht="19.5" customHeight="1">
      <c r="A545" s="220"/>
      <c r="B545" s="243"/>
      <c r="C545" s="46"/>
      <c r="D545" s="123"/>
      <c r="E545" s="243"/>
      <c r="F545" s="40"/>
      <c r="G545" s="40"/>
      <c r="H545" s="40"/>
      <c r="I545" s="40"/>
      <c r="J545" s="40"/>
      <c r="K545" s="46"/>
    </row>
    <row r="546" ht="19.5" customHeight="1">
      <c r="A546" s="220"/>
      <c r="B546" s="243"/>
      <c r="C546" s="46"/>
      <c r="D546" s="123"/>
      <c r="E546" s="243"/>
      <c r="F546" s="40"/>
      <c r="G546" s="40"/>
      <c r="H546" s="40"/>
      <c r="I546" s="40"/>
      <c r="J546" s="40"/>
      <c r="K546" s="46"/>
    </row>
    <row r="547" ht="19.5" customHeight="1">
      <c r="A547" s="220"/>
      <c r="B547" s="243"/>
      <c r="C547" s="46"/>
      <c r="D547" s="123"/>
      <c r="E547" s="243"/>
      <c r="F547" s="40"/>
      <c r="G547" s="40"/>
      <c r="H547" s="40"/>
      <c r="I547" s="40"/>
      <c r="J547" s="40"/>
      <c r="K547" s="46"/>
    </row>
    <row r="548" ht="19.5" customHeight="1">
      <c r="A548" s="220"/>
      <c r="B548" s="243"/>
      <c r="C548" s="46"/>
      <c r="D548" s="123"/>
      <c r="E548" s="243"/>
      <c r="F548" s="40"/>
      <c r="G548" s="40"/>
      <c r="H548" s="40"/>
      <c r="I548" s="40"/>
      <c r="J548" s="40"/>
      <c r="K548" s="46"/>
    </row>
    <row r="549" ht="19.5" customHeight="1">
      <c r="A549" s="220"/>
      <c r="B549" s="243"/>
      <c r="C549" s="46"/>
      <c r="D549" s="123"/>
      <c r="E549" s="243"/>
      <c r="F549" s="40"/>
      <c r="G549" s="40"/>
      <c r="H549" s="40"/>
      <c r="I549" s="40"/>
      <c r="J549" s="40"/>
      <c r="K549" s="46"/>
    </row>
    <row r="550" ht="19.5" customHeight="1">
      <c r="A550" s="220"/>
      <c r="B550" s="243"/>
      <c r="C550" s="46"/>
      <c r="D550" s="123"/>
      <c r="E550" s="243"/>
      <c r="F550" s="40"/>
      <c r="G550" s="40"/>
      <c r="H550" s="40"/>
      <c r="I550" s="40"/>
      <c r="J550" s="40"/>
      <c r="K550" s="46"/>
    </row>
    <row r="551" ht="19.5" customHeight="1">
      <c r="A551" s="220"/>
      <c r="B551" s="243"/>
      <c r="C551" s="46"/>
      <c r="D551" s="123"/>
      <c r="E551" s="243"/>
      <c r="F551" s="40"/>
      <c r="G551" s="40"/>
      <c r="H551" s="40"/>
      <c r="I551" s="40"/>
      <c r="J551" s="40"/>
      <c r="K551" s="46"/>
    </row>
    <row r="552" ht="19.5" customHeight="1">
      <c r="A552" s="220"/>
      <c r="B552" s="243"/>
      <c r="C552" s="46"/>
      <c r="D552" s="123"/>
      <c r="E552" s="243"/>
      <c r="F552" s="40"/>
      <c r="G552" s="40"/>
      <c r="H552" s="40"/>
      <c r="I552" s="40"/>
      <c r="J552" s="40"/>
      <c r="K552" s="46"/>
    </row>
    <row r="553" ht="19.5" customHeight="1">
      <c r="A553" s="220"/>
      <c r="B553" s="243"/>
      <c r="C553" s="46"/>
      <c r="D553" s="123"/>
      <c r="E553" s="243"/>
      <c r="F553" s="40"/>
      <c r="G553" s="40"/>
      <c r="H553" s="40"/>
      <c r="I553" s="40"/>
      <c r="J553" s="40"/>
      <c r="K553" s="46"/>
    </row>
    <row r="554" ht="19.5" customHeight="1">
      <c r="A554" s="220"/>
      <c r="B554" s="243"/>
      <c r="C554" s="46"/>
      <c r="D554" s="123"/>
      <c r="E554" s="243"/>
      <c r="F554" s="40"/>
      <c r="G554" s="40"/>
      <c r="H554" s="40"/>
      <c r="I554" s="40"/>
      <c r="J554" s="40"/>
      <c r="K554" s="46"/>
    </row>
    <row r="555" ht="19.5" customHeight="1">
      <c r="A555" s="220"/>
      <c r="B555" s="243"/>
      <c r="C555" s="46"/>
      <c r="D555" s="123"/>
      <c r="E555" s="243"/>
      <c r="F555" s="40"/>
      <c r="G555" s="40"/>
      <c r="H555" s="40"/>
      <c r="I555" s="40"/>
      <c r="J555" s="40"/>
      <c r="K555" s="46"/>
    </row>
    <row r="556" ht="19.5" customHeight="1">
      <c r="A556" s="220"/>
      <c r="B556" s="243"/>
      <c r="C556" s="46"/>
      <c r="D556" s="123"/>
      <c r="E556" s="243"/>
      <c r="F556" s="40"/>
      <c r="G556" s="40"/>
      <c r="H556" s="40"/>
      <c r="I556" s="40"/>
      <c r="J556" s="40"/>
      <c r="K556" s="46"/>
    </row>
    <row r="557" ht="19.5" customHeight="1">
      <c r="A557" s="220"/>
      <c r="B557" s="243"/>
      <c r="C557" s="46"/>
      <c r="D557" s="123"/>
      <c r="E557" s="243"/>
      <c r="F557" s="40"/>
      <c r="G557" s="40"/>
      <c r="H557" s="40"/>
      <c r="I557" s="40"/>
      <c r="J557" s="40"/>
      <c r="K557" s="46"/>
    </row>
    <row r="558" ht="19.5" customHeight="1">
      <c r="A558" s="220"/>
      <c r="B558" s="243"/>
      <c r="C558" s="46"/>
      <c r="D558" s="123"/>
      <c r="E558" s="243"/>
      <c r="F558" s="40"/>
      <c r="G558" s="40"/>
      <c r="H558" s="40"/>
      <c r="I558" s="40"/>
      <c r="J558" s="40"/>
      <c r="K558" s="46"/>
    </row>
    <row r="559" ht="19.5" customHeight="1">
      <c r="A559" s="220"/>
      <c r="B559" s="243"/>
      <c r="C559" s="46"/>
      <c r="D559" s="123"/>
      <c r="E559" s="243"/>
      <c r="F559" s="40"/>
      <c r="G559" s="40"/>
      <c r="H559" s="40"/>
      <c r="I559" s="40"/>
      <c r="J559" s="40"/>
      <c r="K559" s="46"/>
    </row>
    <row r="560" ht="19.5" customHeight="1">
      <c r="A560" s="220"/>
      <c r="B560" s="243"/>
      <c r="C560" s="46"/>
      <c r="D560" s="123"/>
      <c r="E560" s="243"/>
      <c r="F560" s="40"/>
      <c r="G560" s="40"/>
      <c r="H560" s="40"/>
      <c r="I560" s="40"/>
      <c r="J560" s="40"/>
      <c r="K560" s="46"/>
    </row>
    <row r="561" ht="19.5" customHeight="1">
      <c r="A561" s="220"/>
      <c r="B561" s="243"/>
      <c r="C561" s="46"/>
      <c r="D561" s="123"/>
      <c r="E561" s="243"/>
      <c r="F561" s="40"/>
      <c r="G561" s="40"/>
      <c r="H561" s="40"/>
      <c r="I561" s="40"/>
      <c r="J561" s="40"/>
      <c r="K561" s="46"/>
    </row>
    <row r="562" ht="19.5" customHeight="1">
      <c r="A562" s="220"/>
      <c r="B562" s="243"/>
      <c r="C562" s="46"/>
      <c r="D562" s="123"/>
      <c r="E562" s="243"/>
      <c r="F562" s="40"/>
      <c r="G562" s="40"/>
      <c r="H562" s="40"/>
      <c r="I562" s="40"/>
      <c r="J562" s="40"/>
      <c r="K562" s="46"/>
    </row>
    <row r="563" ht="19.5" customHeight="1">
      <c r="A563" s="220"/>
      <c r="B563" s="243"/>
      <c r="C563" s="46"/>
      <c r="D563" s="123"/>
      <c r="E563" s="243"/>
      <c r="F563" s="40"/>
      <c r="G563" s="40"/>
      <c r="H563" s="40"/>
      <c r="I563" s="40"/>
      <c r="J563" s="40"/>
      <c r="K563" s="46"/>
    </row>
    <row r="564" ht="19.5" customHeight="1">
      <c r="A564" s="220"/>
      <c r="B564" s="243"/>
      <c r="C564" s="46"/>
      <c r="D564" s="123"/>
      <c r="E564" s="243"/>
      <c r="F564" s="40"/>
      <c r="G564" s="40"/>
      <c r="H564" s="40"/>
      <c r="I564" s="40"/>
      <c r="J564" s="40"/>
      <c r="K564" s="46"/>
    </row>
    <row r="565" ht="19.5" customHeight="1">
      <c r="A565" s="220"/>
      <c r="B565" s="243"/>
      <c r="C565" s="46"/>
      <c r="D565" s="123"/>
      <c r="E565" s="243"/>
      <c r="F565" s="40"/>
      <c r="G565" s="40"/>
      <c r="H565" s="40"/>
      <c r="I565" s="40"/>
      <c r="J565" s="40"/>
      <c r="K565" s="46"/>
    </row>
    <row r="566" ht="19.5" customHeight="1">
      <c r="A566" s="220"/>
      <c r="B566" s="243"/>
      <c r="C566" s="46"/>
      <c r="D566" s="123"/>
      <c r="E566" s="243"/>
      <c r="F566" s="40"/>
      <c r="G566" s="40"/>
      <c r="H566" s="40"/>
      <c r="I566" s="40"/>
      <c r="J566" s="40"/>
      <c r="K566" s="46"/>
    </row>
    <row r="567" ht="19.5" customHeight="1">
      <c r="A567" s="220"/>
      <c r="B567" s="243"/>
      <c r="C567" s="46"/>
      <c r="D567" s="123"/>
      <c r="E567" s="243"/>
      <c r="F567" s="40"/>
      <c r="G567" s="40"/>
      <c r="H567" s="40"/>
      <c r="I567" s="40"/>
      <c r="J567" s="40"/>
      <c r="K567" s="46"/>
    </row>
    <row r="568" ht="19.5" customHeight="1">
      <c r="A568" s="220"/>
      <c r="B568" s="243"/>
      <c r="C568" s="46"/>
      <c r="D568" s="123"/>
      <c r="E568" s="243"/>
      <c r="F568" s="40"/>
      <c r="G568" s="40"/>
      <c r="H568" s="40"/>
      <c r="I568" s="40"/>
      <c r="J568" s="40"/>
      <c r="K568" s="46"/>
    </row>
    <row r="569" ht="19.5" customHeight="1">
      <c r="A569" s="220"/>
      <c r="B569" s="243"/>
      <c r="C569" s="46"/>
      <c r="D569" s="123"/>
      <c r="E569" s="243"/>
      <c r="F569" s="40"/>
      <c r="G569" s="40"/>
      <c r="H569" s="40"/>
      <c r="I569" s="40"/>
      <c r="J569" s="40"/>
      <c r="K569" s="46"/>
    </row>
    <row r="570" ht="19.5" customHeight="1">
      <c r="A570" s="220"/>
      <c r="B570" s="243"/>
      <c r="C570" s="46"/>
      <c r="D570" s="123"/>
      <c r="E570" s="243"/>
      <c r="F570" s="40"/>
      <c r="G570" s="40"/>
      <c r="H570" s="40"/>
      <c r="I570" s="40"/>
      <c r="J570" s="40"/>
      <c r="K570" s="46"/>
    </row>
    <row r="571" ht="19.5" customHeight="1">
      <c r="A571" s="220"/>
      <c r="B571" s="243"/>
      <c r="C571" s="46"/>
      <c r="D571" s="123"/>
      <c r="E571" s="243"/>
      <c r="F571" s="40"/>
      <c r="G571" s="40"/>
      <c r="H571" s="40"/>
      <c r="I571" s="40"/>
      <c r="J571" s="40"/>
      <c r="K571" s="46"/>
    </row>
    <row r="572" ht="19.5" customHeight="1">
      <c r="A572" s="220"/>
      <c r="B572" s="243"/>
      <c r="C572" s="46"/>
      <c r="D572" s="123"/>
      <c r="E572" s="243"/>
      <c r="F572" s="40"/>
      <c r="G572" s="40"/>
      <c r="H572" s="40"/>
      <c r="I572" s="40"/>
      <c r="J572" s="40"/>
      <c r="K572" s="46"/>
    </row>
    <row r="573" ht="19.5" customHeight="1">
      <c r="A573" s="220"/>
      <c r="B573" s="243"/>
      <c r="C573" s="46"/>
      <c r="D573" s="123"/>
      <c r="E573" s="243"/>
      <c r="F573" s="40"/>
      <c r="G573" s="40"/>
      <c r="H573" s="40"/>
      <c r="I573" s="40"/>
      <c r="J573" s="40"/>
      <c r="K573" s="46"/>
    </row>
    <row r="574" ht="19.5" customHeight="1">
      <c r="A574" s="220"/>
      <c r="B574" s="243"/>
      <c r="C574" s="46"/>
      <c r="D574" s="123"/>
      <c r="E574" s="243"/>
      <c r="F574" s="40"/>
      <c r="G574" s="40"/>
      <c r="H574" s="40"/>
      <c r="I574" s="40"/>
      <c r="J574" s="40"/>
      <c r="K574" s="46"/>
    </row>
    <row r="575" ht="19.5" customHeight="1">
      <c r="A575" s="220"/>
      <c r="B575" s="243"/>
      <c r="C575" s="46"/>
      <c r="D575" s="123"/>
      <c r="E575" s="243"/>
      <c r="F575" s="40"/>
      <c r="G575" s="40"/>
      <c r="H575" s="40"/>
      <c r="I575" s="40"/>
      <c r="J575" s="40"/>
      <c r="K575" s="46"/>
    </row>
    <row r="576" ht="19.5" customHeight="1">
      <c r="A576" s="220"/>
      <c r="B576" s="243"/>
      <c r="C576" s="46"/>
      <c r="D576" s="123"/>
      <c r="E576" s="243"/>
      <c r="F576" s="40"/>
      <c r="G576" s="40"/>
      <c r="H576" s="40"/>
      <c r="I576" s="40"/>
      <c r="J576" s="40"/>
      <c r="K576" s="46"/>
    </row>
    <row r="577" ht="19.5" customHeight="1">
      <c r="A577" s="220"/>
      <c r="B577" s="243"/>
      <c r="C577" s="46"/>
      <c r="D577" s="123"/>
      <c r="E577" s="243"/>
      <c r="F577" s="40"/>
      <c r="G577" s="40"/>
      <c r="H577" s="40"/>
      <c r="I577" s="40"/>
      <c r="J577" s="40"/>
      <c r="K577" s="46"/>
    </row>
    <row r="578" ht="19.5" customHeight="1">
      <c r="A578" s="220"/>
      <c r="B578" s="243"/>
      <c r="C578" s="46"/>
      <c r="D578" s="123"/>
      <c r="E578" s="243"/>
      <c r="F578" s="40"/>
      <c r="G578" s="40"/>
      <c r="H578" s="40"/>
      <c r="I578" s="40"/>
      <c r="J578" s="40"/>
      <c r="K578" s="46"/>
    </row>
    <row r="579" ht="19.5" customHeight="1">
      <c r="A579" s="220"/>
      <c r="B579" s="243"/>
      <c r="C579" s="46"/>
      <c r="D579" s="123"/>
      <c r="E579" s="243"/>
      <c r="F579" s="40"/>
      <c r="G579" s="40"/>
      <c r="H579" s="40"/>
      <c r="I579" s="40"/>
      <c r="J579" s="40"/>
      <c r="K579" s="46"/>
    </row>
    <row r="580" ht="19.5" customHeight="1">
      <c r="A580" s="220"/>
      <c r="B580" s="243"/>
      <c r="C580" s="46"/>
      <c r="D580" s="123"/>
      <c r="E580" s="243"/>
      <c r="F580" s="40"/>
      <c r="G580" s="40"/>
      <c r="H580" s="40"/>
      <c r="I580" s="40"/>
      <c r="J580" s="40"/>
      <c r="K580" s="46"/>
    </row>
    <row r="581" ht="19.5" customHeight="1">
      <c r="A581" s="220"/>
      <c r="B581" s="243"/>
      <c r="C581" s="46"/>
      <c r="D581" s="123"/>
      <c r="E581" s="243"/>
      <c r="F581" s="40"/>
      <c r="G581" s="40"/>
      <c r="H581" s="40"/>
      <c r="I581" s="40"/>
      <c r="J581" s="40"/>
      <c r="K581" s="46"/>
    </row>
    <row r="582" ht="19.5" customHeight="1">
      <c r="A582" s="220"/>
      <c r="B582" s="243"/>
      <c r="C582" s="46"/>
      <c r="D582" s="123"/>
      <c r="E582" s="243"/>
      <c r="F582" s="40"/>
      <c r="G582" s="40"/>
      <c r="H582" s="40"/>
      <c r="I582" s="40"/>
      <c r="J582" s="40"/>
      <c r="K582" s="46"/>
    </row>
    <row r="583" ht="19.5" customHeight="1">
      <c r="A583" s="220"/>
      <c r="B583" s="243"/>
      <c r="C583" s="46"/>
      <c r="D583" s="123"/>
      <c r="E583" s="243"/>
      <c r="F583" s="40"/>
      <c r="G583" s="40"/>
      <c r="H583" s="40"/>
      <c r="I583" s="40"/>
      <c r="J583" s="40"/>
      <c r="K583" s="46"/>
    </row>
    <row r="584" ht="19.5" customHeight="1">
      <c r="A584" s="220"/>
      <c r="B584" s="243"/>
      <c r="C584" s="46"/>
      <c r="D584" s="123"/>
      <c r="E584" s="243"/>
      <c r="F584" s="40"/>
      <c r="G584" s="40"/>
      <c r="H584" s="40"/>
      <c r="I584" s="40"/>
      <c r="J584" s="40"/>
      <c r="K584" s="46"/>
    </row>
    <row r="585" ht="19.5" customHeight="1">
      <c r="A585" s="220"/>
      <c r="B585" s="243"/>
      <c r="C585" s="46"/>
      <c r="D585" s="123"/>
      <c r="E585" s="243"/>
      <c r="F585" s="40"/>
      <c r="G585" s="40"/>
      <c r="H585" s="40"/>
      <c r="I585" s="40"/>
      <c r="J585" s="40"/>
      <c r="K585" s="46"/>
    </row>
    <row r="586" ht="19.5" customHeight="1">
      <c r="A586" s="220"/>
      <c r="B586" s="243"/>
      <c r="C586" s="46"/>
      <c r="D586" s="123"/>
      <c r="E586" s="243"/>
      <c r="F586" s="40"/>
      <c r="G586" s="40"/>
      <c r="H586" s="40"/>
      <c r="I586" s="40"/>
      <c r="J586" s="40"/>
      <c r="K586" s="46"/>
    </row>
    <row r="587" ht="19.5" customHeight="1">
      <c r="A587" s="220"/>
      <c r="B587" s="243"/>
      <c r="C587" s="46"/>
      <c r="D587" s="123"/>
      <c r="E587" s="243"/>
      <c r="F587" s="40"/>
      <c r="G587" s="40"/>
      <c r="H587" s="40"/>
      <c r="I587" s="40"/>
      <c r="J587" s="40"/>
      <c r="K587" s="46"/>
    </row>
    <row r="588" ht="19.5" customHeight="1">
      <c r="A588" s="220"/>
      <c r="B588" s="243"/>
      <c r="C588" s="46"/>
      <c r="D588" s="123"/>
      <c r="E588" s="243"/>
      <c r="F588" s="40"/>
      <c r="G588" s="40"/>
      <c r="H588" s="40"/>
      <c r="I588" s="40"/>
      <c r="J588" s="40"/>
      <c r="K588" s="46"/>
    </row>
    <row r="589" ht="19.5" customHeight="1">
      <c r="A589" s="220"/>
      <c r="B589" s="243"/>
      <c r="C589" s="46"/>
      <c r="D589" s="123"/>
      <c r="E589" s="243"/>
      <c r="F589" s="40"/>
      <c r="G589" s="40"/>
      <c r="H589" s="40"/>
      <c r="I589" s="40"/>
      <c r="J589" s="40"/>
      <c r="K589" s="46"/>
    </row>
    <row r="590" ht="19.5" customHeight="1">
      <c r="A590" s="220"/>
      <c r="B590" s="243"/>
      <c r="C590" s="46"/>
      <c r="D590" s="123"/>
      <c r="E590" s="243"/>
      <c r="F590" s="40"/>
      <c r="G590" s="40"/>
      <c r="H590" s="40"/>
      <c r="I590" s="40"/>
      <c r="J590" s="40"/>
      <c r="K590" s="46"/>
    </row>
    <row r="591" ht="19.5" customHeight="1">
      <c r="A591" s="220"/>
      <c r="B591" s="243"/>
      <c r="C591" s="46"/>
      <c r="D591" s="123"/>
      <c r="E591" s="243"/>
      <c r="F591" s="40"/>
      <c r="G591" s="40"/>
      <c r="H591" s="40"/>
      <c r="I591" s="40"/>
      <c r="J591" s="40"/>
      <c r="K591" s="46"/>
    </row>
    <row r="592" ht="19.5" customHeight="1">
      <c r="A592" s="220"/>
      <c r="B592" s="243"/>
      <c r="C592" s="46"/>
      <c r="D592" s="123"/>
      <c r="E592" s="243"/>
      <c r="F592" s="40"/>
      <c r="G592" s="40"/>
      <c r="H592" s="40"/>
      <c r="I592" s="40"/>
      <c r="J592" s="40"/>
      <c r="K592" s="46"/>
    </row>
    <row r="593" ht="19.5" customHeight="1">
      <c r="A593" s="220"/>
      <c r="B593" s="243"/>
      <c r="C593" s="46"/>
      <c r="D593" s="123"/>
      <c r="E593" s="243"/>
      <c r="F593" s="40"/>
      <c r="G593" s="40"/>
      <c r="H593" s="40"/>
      <c r="I593" s="40"/>
      <c r="J593" s="40"/>
      <c r="K593" s="46"/>
    </row>
    <row r="594" ht="19.5" customHeight="1">
      <c r="A594" s="220"/>
      <c r="B594" s="243"/>
      <c r="C594" s="46"/>
      <c r="D594" s="123"/>
      <c r="E594" s="243"/>
      <c r="F594" s="40"/>
      <c r="G594" s="40"/>
      <c r="H594" s="40"/>
      <c r="I594" s="40"/>
      <c r="J594" s="40"/>
      <c r="K594" s="46"/>
    </row>
    <row r="595" ht="19.5" customHeight="1">
      <c r="A595" s="220"/>
      <c r="B595" s="243"/>
      <c r="C595" s="46"/>
      <c r="D595" s="123"/>
      <c r="E595" s="243"/>
      <c r="F595" s="40"/>
      <c r="G595" s="40"/>
      <c r="H595" s="40"/>
      <c r="I595" s="40"/>
      <c r="J595" s="40"/>
      <c r="K595" s="46"/>
    </row>
    <row r="596" ht="19.5" customHeight="1">
      <c r="A596" s="220"/>
      <c r="B596" s="243"/>
      <c r="C596" s="46"/>
      <c r="D596" s="123"/>
      <c r="E596" s="243"/>
      <c r="F596" s="40"/>
      <c r="G596" s="40"/>
      <c r="H596" s="40"/>
      <c r="I596" s="40"/>
      <c r="J596" s="40"/>
      <c r="K596" s="46"/>
    </row>
    <row r="597" ht="19.5" customHeight="1">
      <c r="A597" s="220"/>
      <c r="B597" s="243"/>
      <c r="C597" s="46"/>
      <c r="D597" s="123"/>
      <c r="E597" s="243"/>
      <c r="F597" s="40"/>
      <c r="G597" s="40"/>
      <c r="H597" s="40"/>
      <c r="I597" s="40"/>
      <c r="J597" s="40"/>
      <c r="K597" s="46"/>
    </row>
    <row r="598" ht="19.5" customHeight="1">
      <c r="A598" s="220"/>
      <c r="B598" s="243"/>
      <c r="C598" s="46"/>
      <c r="D598" s="123"/>
      <c r="E598" s="243"/>
      <c r="F598" s="40"/>
      <c r="G598" s="40"/>
      <c r="H598" s="40"/>
      <c r="I598" s="40"/>
      <c r="J598" s="40"/>
      <c r="K598" s="46"/>
    </row>
    <row r="599" ht="19.5" customHeight="1">
      <c r="A599" s="220"/>
      <c r="B599" s="243"/>
      <c r="C599" s="46"/>
      <c r="D599" s="123"/>
      <c r="E599" s="243"/>
      <c r="F599" s="40"/>
      <c r="G599" s="40"/>
      <c r="H599" s="40"/>
      <c r="I599" s="40"/>
      <c r="J599" s="40"/>
      <c r="K599" s="46"/>
    </row>
    <row r="600" ht="19.5" customHeight="1">
      <c r="A600" s="220"/>
      <c r="B600" s="243"/>
      <c r="C600" s="46"/>
      <c r="D600" s="123"/>
      <c r="E600" s="243"/>
      <c r="F600" s="40"/>
      <c r="G600" s="40"/>
      <c r="H600" s="40"/>
      <c r="I600" s="40"/>
      <c r="J600" s="40"/>
      <c r="K600" s="46"/>
    </row>
    <row r="601" ht="19.5" customHeight="1">
      <c r="A601" s="220"/>
      <c r="B601" s="243"/>
      <c r="C601" s="46"/>
      <c r="D601" s="123"/>
      <c r="E601" s="243"/>
      <c r="F601" s="40"/>
      <c r="G601" s="40"/>
      <c r="H601" s="40"/>
      <c r="I601" s="40"/>
      <c r="J601" s="40"/>
      <c r="K601" s="46"/>
    </row>
    <row r="602" ht="19.5" customHeight="1">
      <c r="A602" s="220"/>
      <c r="B602" s="243"/>
      <c r="C602" s="46"/>
      <c r="D602" s="123"/>
      <c r="E602" s="243"/>
      <c r="F602" s="40"/>
      <c r="G602" s="40"/>
      <c r="H602" s="40"/>
      <c r="I602" s="40"/>
      <c r="J602" s="40"/>
      <c r="K602" s="46"/>
    </row>
    <row r="603" ht="19.5" customHeight="1">
      <c r="A603" s="220"/>
      <c r="B603" s="243"/>
      <c r="C603" s="46"/>
      <c r="D603" s="123"/>
      <c r="E603" s="243"/>
      <c r="F603" s="40"/>
      <c r="G603" s="40"/>
      <c r="H603" s="40"/>
      <c r="I603" s="40"/>
      <c r="J603" s="40"/>
      <c r="K603" s="46"/>
    </row>
    <row r="604" ht="19.5" customHeight="1">
      <c r="A604" s="220"/>
      <c r="B604" s="243"/>
      <c r="C604" s="46"/>
      <c r="D604" s="123"/>
      <c r="E604" s="243"/>
      <c r="F604" s="40"/>
      <c r="G604" s="40"/>
      <c r="H604" s="40"/>
      <c r="I604" s="40"/>
      <c r="J604" s="40"/>
      <c r="K604" s="46"/>
    </row>
    <row r="605" ht="19.5" customHeight="1">
      <c r="A605" s="220"/>
      <c r="B605" s="243"/>
      <c r="C605" s="46"/>
      <c r="D605" s="123"/>
      <c r="E605" s="243"/>
      <c r="F605" s="40"/>
      <c r="G605" s="40"/>
      <c r="H605" s="40"/>
      <c r="I605" s="40"/>
      <c r="J605" s="40"/>
      <c r="K605" s="46"/>
    </row>
    <row r="606" ht="19.5" customHeight="1">
      <c r="A606" s="220"/>
      <c r="B606" s="243"/>
      <c r="C606" s="46"/>
      <c r="D606" s="123"/>
      <c r="E606" s="243"/>
      <c r="F606" s="40"/>
      <c r="G606" s="40"/>
      <c r="H606" s="40"/>
      <c r="I606" s="40"/>
      <c r="J606" s="40"/>
      <c r="K606" s="46"/>
    </row>
    <row r="607" ht="19.5" customHeight="1">
      <c r="A607" s="220"/>
      <c r="B607" s="243"/>
      <c r="C607" s="46"/>
      <c r="D607" s="123"/>
      <c r="E607" s="243"/>
      <c r="F607" s="40"/>
      <c r="G607" s="40"/>
      <c r="H607" s="40"/>
      <c r="I607" s="40"/>
      <c r="J607" s="40"/>
      <c r="K607" s="46"/>
    </row>
    <row r="608" ht="19.5" customHeight="1">
      <c r="A608" s="220"/>
      <c r="B608" s="243"/>
      <c r="C608" s="46"/>
      <c r="D608" s="123"/>
      <c r="E608" s="243"/>
      <c r="F608" s="40"/>
      <c r="G608" s="40"/>
      <c r="H608" s="40"/>
      <c r="I608" s="40"/>
      <c r="J608" s="40"/>
      <c r="K608" s="46"/>
    </row>
    <row r="609" ht="19.5" customHeight="1">
      <c r="A609" s="220"/>
      <c r="B609" s="243"/>
      <c r="C609" s="46"/>
      <c r="D609" s="123"/>
      <c r="E609" s="243"/>
      <c r="F609" s="40"/>
      <c r="G609" s="40"/>
      <c r="H609" s="40"/>
      <c r="I609" s="40"/>
      <c r="J609" s="40"/>
      <c r="K609" s="46"/>
    </row>
    <row r="610" ht="19.5" customHeight="1">
      <c r="A610" s="220"/>
      <c r="B610" s="243"/>
      <c r="C610" s="46"/>
      <c r="D610" s="123"/>
      <c r="E610" s="243"/>
      <c r="F610" s="40"/>
      <c r="G610" s="40"/>
      <c r="H610" s="40"/>
      <c r="I610" s="40"/>
      <c r="J610" s="40"/>
      <c r="K610" s="46"/>
    </row>
    <row r="611" ht="19.5" customHeight="1">
      <c r="A611" s="220"/>
      <c r="B611" s="243"/>
      <c r="C611" s="46"/>
      <c r="D611" s="123"/>
      <c r="E611" s="243"/>
      <c r="F611" s="40"/>
      <c r="G611" s="40"/>
      <c r="H611" s="40"/>
      <c r="I611" s="40"/>
      <c r="J611" s="40"/>
      <c r="K611" s="46"/>
    </row>
    <row r="612" ht="19.5" customHeight="1">
      <c r="A612" s="220"/>
      <c r="B612" s="243"/>
      <c r="C612" s="46"/>
      <c r="D612" s="123"/>
      <c r="E612" s="243"/>
      <c r="F612" s="40"/>
      <c r="G612" s="40"/>
      <c r="H612" s="40"/>
      <c r="I612" s="40"/>
      <c r="J612" s="40"/>
      <c r="K612" s="46"/>
    </row>
    <row r="613" ht="19.5" customHeight="1">
      <c r="A613" s="220"/>
      <c r="B613" s="243"/>
      <c r="C613" s="46"/>
      <c r="D613" s="123"/>
      <c r="E613" s="243"/>
      <c r="F613" s="40"/>
      <c r="G613" s="40"/>
      <c r="H613" s="40"/>
      <c r="I613" s="40"/>
      <c r="J613" s="40"/>
      <c r="K613" s="46"/>
    </row>
    <row r="614" ht="19.5" customHeight="1">
      <c r="A614" s="220"/>
      <c r="B614" s="243"/>
      <c r="C614" s="46"/>
      <c r="D614" s="123"/>
      <c r="E614" s="243"/>
      <c r="F614" s="40"/>
      <c r="G614" s="40"/>
      <c r="H614" s="40"/>
      <c r="I614" s="40"/>
      <c r="J614" s="40"/>
      <c r="K614" s="46"/>
    </row>
    <row r="615" ht="19.5" customHeight="1">
      <c r="A615" s="220"/>
      <c r="B615" s="243"/>
      <c r="C615" s="46"/>
      <c r="D615" s="123"/>
      <c r="E615" s="243"/>
      <c r="F615" s="40"/>
      <c r="G615" s="40"/>
      <c r="H615" s="40"/>
      <c r="I615" s="40"/>
      <c r="J615" s="40"/>
      <c r="K615" s="46"/>
    </row>
    <row r="616" ht="19.5" customHeight="1">
      <c r="A616" s="220"/>
      <c r="B616" s="243"/>
      <c r="C616" s="46"/>
      <c r="D616" s="123"/>
      <c r="E616" s="243"/>
      <c r="F616" s="40"/>
      <c r="G616" s="40"/>
      <c r="H616" s="40"/>
      <c r="I616" s="40"/>
      <c r="J616" s="40"/>
      <c r="K616" s="46"/>
    </row>
    <row r="617" ht="19.5" customHeight="1">
      <c r="A617" s="220"/>
      <c r="B617" s="243"/>
      <c r="C617" s="46"/>
      <c r="D617" s="123"/>
      <c r="E617" s="243"/>
      <c r="F617" s="40"/>
      <c r="G617" s="40"/>
      <c r="H617" s="40"/>
      <c r="I617" s="40"/>
      <c r="J617" s="40"/>
      <c r="K617" s="46"/>
    </row>
    <row r="618" ht="19.5" customHeight="1">
      <c r="A618" s="220"/>
      <c r="B618" s="243"/>
      <c r="C618" s="46"/>
      <c r="D618" s="123"/>
      <c r="E618" s="243"/>
      <c r="F618" s="40"/>
      <c r="G618" s="40"/>
      <c r="H618" s="40"/>
      <c r="I618" s="40"/>
      <c r="J618" s="40"/>
      <c r="K618" s="46"/>
    </row>
    <row r="619" ht="19.5" customHeight="1">
      <c r="A619" s="220"/>
      <c r="B619" s="243"/>
      <c r="C619" s="46"/>
      <c r="D619" s="123"/>
      <c r="E619" s="243"/>
      <c r="F619" s="40"/>
      <c r="G619" s="40"/>
      <c r="H619" s="40"/>
      <c r="I619" s="40"/>
      <c r="J619" s="40"/>
      <c r="K619" s="46"/>
    </row>
    <row r="620" ht="19.5" customHeight="1">
      <c r="A620" s="220"/>
      <c r="B620" s="243"/>
      <c r="C620" s="46"/>
      <c r="D620" s="123"/>
      <c r="E620" s="243"/>
      <c r="F620" s="40"/>
      <c r="G620" s="40"/>
      <c r="H620" s="40"/>
      <c r="I620" s="40"/>
      <c r="J620" s="40"/>
      <c r="K620" s="46"/>
    </row>
    <row r="621" ht="19.5" customHeight="1">
      <c r="A621" s="220"/>
      <c r="B621" s="243"/>
      <c r="C621" s="46"/>
      <c r="D621" s="123"/>
      <c r="E621" s="243"/>
      <c r="F621" s="40"/>
      <c r="G621" s="40"/>
      <c r="H621" s="40"/>
      <c r="I621" s="40"/>
      <c r="J621" s="40"/>
      <c r="K621" s="46"/>
    </row>
    <row r="622" ht="19.5" customHeight="1">
      <c r="A622" s="220"/>
      <c r="B622" s="243"/>
      <c r="C622" s="46"/>
      <c r="D622" s="123"/>
      <c r="E622" s="243"/>
      <c r="F622" s="40"/>
      <c r="G622" s="40"/>
      <c r="H622" s="40"/>
      <c r="I622" s="40"/>
      <c r="J622" s="40"/>
      <c r="K622" s="46"/>
    </row>
    <row r="623" ht="19.5" customHeight="1">
      <c r="A623" s="220"/>
      <c r="B623" s="243"/>
      <c r="C623" s="46"/>
      <c r="D623" s="123"/>
      <c r="E623" s="243"/>
      <c r="F623" s="40"/>
      <c r="G623" s="40"/>
      <c r="H623" s="40"/>
      <c r="I623" s="40"/>
      <c r="J623" s="40"/>
      <c r="K623" s="46"/>
    </row>
    <row r="624" ht="19.5" customHeight="1">
      <c r="A624" s="220"/>
      <c r="B624" s="243"/>
      <c r="C624" s="46"/>
      <c r="D624" s="123"/>
      <c r="E624" s="243"/>
      <c r="F624" s="40"/>
      <c r="G624" s="40"/>
      <c r="H624" s="40"/>
      <c r="I624" s="40"/>
      <c r="J624" s="40"/>
      <c r="K624" s="46"/>
    </row>
    <row r="625" ht="19.5" customHeight="1">
      <c r="A625" s="220"/>
      <c r="B625" s="243"/>
      <c r="C625" s="46"/>
      <c r="D625" s="123"/>
      <c r="E625" s="243"/>
      <c r="F625" s="40"/>
      <c r="G625" s="40"/>
      <c r="H625" s="40"/>
      <c r="I625" s="40"/>
      <c r="J625" s="40"/>
      <c r="K625" s="46"/>
    </row>
    <row r="626" ht="19.5" customHeight="1">
      <c r="A626" s="220"/>
      <c r="B626" s="243"/>
      <c r="C626" s="46"/>
      <c r="D626" s="123"/>
      <c r="E626" s="243"/>
      <c r="F626" s="40"/>
      <c r="G626" s="40"/>
      <c r="H626" s="40"/>
      <c r="I626" s="40"/>
      <c r="J626" s="40"/>
      <c r="K626" s="46"/>
    </row>
    <row r="627" ht="19.5" customHeight="1">
      <c r="A627" s="220"/>
      <c r="B627" s="243"/>
      <c r="C627" s="46"/>
      <c r="D627" s="123"/>
      <c r="E627" s="243"/>
      <c r="F627" s="40"/>
      <c r="G627" s="40"/>
      <c r="H627" s="40"/>
      <c r="I627" s="40"/>
      <c r="J627" s="40"/>
      <c r="K627" s="46"/>
    </row>
    <row r="628" ht="19.5" customHeight="1">
      <c r="A628" s="220"/>
      <c r="B628" s="243"/>
      <c r="C628" s="46"/>
      <c r="D628" s="123"/>
      <c r="E628" s="243"/>
      <c r="F628" s="40"/>
      <c r="G628" s="40"/>
      <c r="H628" s="40"/>
      <c r="I628" s="40"/>
      <c r="J628" s="40"/>
      <c r="K628" s="46"/>
    </row>
    <row r="629" ht="19.5" customHeight="1">
      <c r="A629" s="220"/>
      <c r="B629" s="243"/>
      <c r="C629" s="46"/>
      <c r="D629" s="123"/>
      <c r="E629" s="243"/>
      <c r="F629" s="40"/>
      <c r="G629" s="40"/>
      <c r="H629" s="40"/>
      <c r="I629" s="40"/>
      <c r="J629" s="40"/>
      <c r="K629" s="46"/>
    </row>
    <row r="630" ht="19.5" customHeight="1">
      <c r="A630" s="220"/>
      <c r="B630" s="243"/>
      <c r="C630" s="46"/>
      <c r="D630" s="123"/>
      <c r="E630" s="243"/>
      <c r="F630" s="40"/>
      <c r="G630" s="40"/>
      <c r="H630" s="40"/>
      <c r="I630" s="40"/>
      <c r="J630" s="40"/>
      <c r="K630" s="46"/>
    </row>
    <row r="631" ht="19.5" customHeight="1">
      <c r="A631" s="220"/>
      <c r="B631" s="243"/>
      <c r="C631" s="46"/>
      <c r="D631" s="123"/>
      <c r="E631" s="243"/>
      <c r="F631" s="40"/>
      <c r="G631" s="40"/>
      <c r="H631" s="40"/>
      <c r="I631" s="40"/>
      <c r="J631" s="40"/>
      <c r="K631" s="46"/>
    </row>
    <row r="632" ht="19.5" customHeight="1">
      <c r="A632" s="220"/>
      <c r="B632" s="243"/>
      <c r="C632" s="46"/>
      <c r="D632" s="123"/>
      <c r="E632" s="243"/>
      <c r="F632" s="40"/>
      <c r="G632" s="40"/>
      <c r="H632" s="40"/>
      <c r="I632" s="40"/>
      <c r="J632" s="40"/>
      <c r="K632" s="46"/>
    </row>
    <row r="633" ht="19.5" customHeight="1">
      <c r="A633" s="220"/>
      <c r="B633" s="243"/>
      <c r="C633" s="46"/>
      <c r="D633" s="123"/>
      <c r="E633" s="243"/>
      <c r="F633" s="40"/>
      <c r="G633" s="40"/>
      <c r="H633" s="40"/>
      <c r="I633" s="40"/>
      <c r="J633" s="40"/>
      <c r="K633" s="46"/>
    </row>
    <row r="634" ht="19.5" customHeight="1">
      <c r="A634" s="220"/>
      <c r="B634" s="243"/>
      <c r="C634" s="46"/>
      <c r="D634" s="123"/>
      <c r="E634" s="243"/>
      <c r="F634" s="40"/>
      <c r="G634" s="40"/>
      <c r="H634" s="40"/>
      <c r="I634" s="40"/>
      <c r="J634" s="40"/>
      <c r="K634" s="46"/>
    </row>
    <row r="635" ht="19.5" customHeight="1">
      <c r="A635" s="220"/>
      <c r="B635" s="243"/>
      <c r="C635" s="46"/>
      <c r="D635" s="123"/>
      <c r="E635" s="243"/>
      <c r="F635" s="40"/>
      <c r="G635" s="40"/>
      <c r="H635" s="40"/>
      <c r="I635" s="40"/>
      <c r="J635" s="40"/>
      <c r="K635" s="46"/>
    </row>
    <row r="636" ht="19.5" customHeight="1">
      <c r="A636" s="220"/>
      <c r="B636" s="243"/>
      <c r="C636" s="46"/>
      <c r="D636" s="123"/>
      <c r="E636" s="243"/>
      <c r="F636" s="40"/>
      <c r="G636" s="40"/>
      <c r="H636" s="40"/>
      <c r="I636" s="40"/>
      <c r="J636" s="40"/>
      <c r="K636" s="46"/>
    </row>
    <row r="637" ht="19.5" customHeight="1">
      <c r="A637" s="220"/>
      <c r="B637" s="243"/>
      <c r="C637" s="46"/>
      <c r="D637" s="123"/>
      <c r="E637" s="243"/>
      <c r="F637" s="40"/>
      <c r="G637" s="40"/>
      <c r="H637" s="40"/>
      <c r="I637" s="40"/>
      <c r="J637" s="40"/>
      <c r="K637" s="46"/>
    </row>
    <row r="638" ht="19.5" customHeight="1">
      <c r="A638" s="220"/>
      <c r="B638" s="243"/>
      <c r="C638" s="46"/>
      <c r="D638" s="123"/>
      <c r="E638" s="243"/>
      <c r="F638" s="40"/>
      <c r="G638" s="40"/>
      <c r="H638" s="40"/>
      <c r="I638" s="40"/>
      <c r="J638" s="40"/>
      <c r="K638" s="46"/>
    </row>
    <row r="639" ht="19.5" customHeight="1">
      <c r="A639" s="220"/>
      <c r="B639" s="243"/>
      <c r="C639" s="46"/>
      <c r="D639" s="123"/>
      <c r="E639" s="243"/>
      <c r="F639" s="40"/>
      <c r="G639" s="40"/>
      <c r="H639" s="40"/>
      <c r="I639" s="40"/>
      <c r="J639" s="40"/>
      <c r="K639" s="46"/>
    </row>
    <row r="640" ht="19.5" customHeight="1">
      <c r="A640" s="220"/>
      <c r="B640" s="243"/>
      <c r="C640" s="46"/>
      <c r="D640" s="123"/>
      <c r="E640" s="243"/>
      <c r="F640" s="40"/>
      <c r="G640" s="40"/>
      <c r="H640" s="40"/>
      <c r="I640" s="40"/>
      <c r="J640" s="40"/>
      <c r="K640" s="46"/>
    </row>
    <row r="641" ht="19.5" customHeight="1">
      <c r="A641" s="220"/>
      <c r="B641" s="243"/>
      <c r="C641" s="46"/>
      <c r="D641" s="123"/>
      <c r="E641" s="243"/>
      <c r="F641" s="40"/>
      <c r="G641" s="40"/>
      <c r="H641" s="40"/>
      <c r="I641" s="40"/>
      <c r="J641" s="40"/>
      <c r="K641" s="46"/>
    </row>
    <row r="642" ht="19.5" customHeight="1">
      <c r="A642" s="220"/>
      <c r="B642" s="243"/>
      <c r="C642" s="46"/>
      <c r="D642" s="123"/>
      <c r="E642" s="243"/>
      <c r="F642" s="40"/>
      <c r="G642" s="40"/>
      <c r="H642" s="40"/>
      <c r="I642" s="40"/>
      <c r="J642" s="40"/>
      <c r="K642" s="46"/>
    </row>
    <row r="643" ht="19.5" customHeight="1">
      <c r="A643" s="220"/>
      <c r="B643" s="243"/>
      <c r="C643" s="46"/>
      <c r="D643" s="123"/>
      <c r="E643" s="243"/>
      <c r="F643" s="40"/>
      <c r="G643" s="40"/>
      <c r="H643" s="40"/>
      <c r="I643" s="40"/>
      <c r="J643" s="40"/>
      <c r="K643" s="46"/>
    </row>
    <row r="644" ht="19.5" customHeight="1">
      <c r="A644" s="220"/>
      <c r="B644" s="243"/>
      <c r="C644" s="46"/>
      <c r="D644" s="123"/>
      <c r="E644" s="243"/>
      <c r="F644" s="40"/>
      <c r="G644" s="40"/>
      <c r="H644" s="40"/>
      <c r="I644" s="40"/>
      <c r="J644" s="40"/>
      <c r="K644" s="46"/>
    </row>
    <row r="645" ht="19.5" customHeight="1">
      <c r="A645" s="220"/>
      <c r="B645" s="243"/>
      <c r="C645" s="46"/>
      <c r="D645" s="123"/>
      <c r="E645" s="243"/>
      <c r="F645" s="40"/>
      <c r="G645" s="40"/>
      <c r="H645" s="40"/>
      <c r="I645" s="40"/>
      <c r="J645" s="40"/>
      <c r="K645" s="46"/>
    </row>
    <row r="646" ht="19.5" customHeight="1">
      <c r="A646" s="220"/>
      <c r="B646" s="243"/>
      <c r="C646" s="46"/>
      <c r="D646" s="123"/>
      <c r="E646" s="243"/>
      <c r="F646" s="40"/>
      <c r="G646" s="40"/>
      <c r="H646" s="40"/>
      <c r="I646" s="40"/>
      <c r="J646" s="40"/>
      <c r="K646" s="46"/>
    </row>
    <row r="647" ht="19.5" customHeight="1">
      <c r="A647" s="220"/>
      <c r="B647" s="243"/>
      <c r="C647" s="46"/>
      <c r="D647" s="123"/>
      <c r="E647" s="243"/>
      <c r="F647" s="40"/>
      <c r="G647" s="40"/>
      <c r="H647" s="40"/>
      <c r="I647" s="40"/>
      <c r="J647" s="40"/>
      <c r="K647" s="46"/>
    </row>
    <row r="648" ht="19.5" customHeight="1">
      <c r="A648" s="220"/>
      <c r="B648" s="243"/>
      <c r="C648" s="46"/>
      <c r="D648" s="123"/>
      <c r="E648" s="243"/>
      <c r="F648" s="40"/>
      <c r="G648" s="40"/>
      <c r="H648" s="40"/>
      <c r="I648" s="40"/>
      <c r="J648" s="40"/>
      <c r="K648" s="46"/>
    </row>
    <row r="649" ht="19.5" customHeight="1">
      <c r="A649" s="220"/>
      <c r="B649" s="243"/>
      <c r="C649" s="46"/>
      <c r="D649" s="123"/>
      <c r="E649" s="243"/>
      <c r="F649" s="40"/>
      <c r="G649" s="40"/>
      <c r="H649" s="40"/>
      <c r="I649" s="40"/>
      <c r="J649" s="40"/>
      <c r="K649" s="46"/>
    </row>
    <row r="650" ht="19.5" customHeight="1">
      <c r="A650" s="220"/>
      <c r="B650" s="243"/>
      <c r="C650" s="46"/>
      <c r="D650" s="123"/>
      <c r="E650" s="243"/>
      <c r="F650" s="40"/>
      <c r="G650" s="40"/>
      <c r="H650" s="40"/>
      <c r="I650" s="40"/>
      <c r="J650" s="40"/>
      <c r="K650" s="46"/>
    </row>
    <row r="651" ht="19.5" customHeight="1">
      <c r="A651" s="220"/>
      <c r="B651" s="243"/>
      <c r="C651" s="46"/>
      <c r="D651" s="123"/>
      <c r="E651" s="243"/>
      <c r="F651" s="40"/>
      <c r="G651" s="40"/>
      <c r="H651" s="40"/>
      <c r="I651" s="40"/>
      <c r="J651" s="40"/>
      <c r="K651" s="46"/>
    </row>
    <row r="652" ht="19.5" customHeight="1">
      <c r="A652" s="220"/>
      <c r="B652" s="243"/>
      <c r="C652" s="46"/>
      <c r="D652" s="123"/>
      <c r="E652" s="243"/>
      <c r="F652" s="40"/>
      <c r="G652" s="40"/>
      <c r="H652" s="40"/>
      <c r="I652" s="40"/>
      <c r="J652" s="40"/>
      <c r="K652" s="46"/>
    </row>
    <row r="653" ht="19.5" customHeight="1">
      <c r="A653" s="220"/>
      <c r="B653" s="243"/>
      <c r="C653" s="46"/>
      <c r="D653" s="123"/>
      <c r="E653" s="243"/>
      <c r="F653" s="40"/>
      <c r="G653" s="40"/>
      <c r="H653" s="40"/>
      <c r="I653" s="40"/>
      <c r="J653" s="40"/>
      <c r="K653" s="46"/>
    </row>
    <row r="654" ht="19.5" customHeight="1">
      <c r="A654" s="220"/>
      <c r="B654" s="243"/>
      <c r="C654" s="46"/>
      <c r="D654" s="123"/>
      <c r="E654" s="243"/>
      <c r="F654" s="40"/>
      <c r="G654" s="40"/>
      <c r="H654" s="40"/>
      <c r="I654" s="40"/>
      <c r="J654" s="40"/>
      <c r="K654" s="46"/>
    </row>
    <row r="655" ht="19.5" customHeight="1">
      <c r="A655" s="220"/>
      <c r="B655" s="243"/>
      <c r="C655" s="46"/>
      <c r="D655" s="123"/>
      <c r="E655" s="243"/>
      <c r="F655" s="40"/>
      <c r="G655" s="40"/>
      <c r="H655" s="40"/>
      <c r="I655" s="40"/>
      <c r="J655" s="40"/>
      <c r="K655" s="46"/>
    </row>
    <row r="656" ht="19.5" customHeight="1">
      <c r="A656" s="220"/>
      <c r="B656" s="243"/>
      <c r="C656" s="46"/>
      <c r="D656" s="123"/>
      <c r="E656" s="243"/>
      <c r="F656" s="40"/>
      <c r="G656" s="40"/>
      <c r="H656" s="40"/>
      <c r="I656" s="40"/>
      <c r="J656" s="40"/>
      <c r="K656" s="46"/>
    </row>
    <row r="657" ht="19.5" customHeight="1">
      <c r="A657" s="220"/>
      <c r="B657" s="243"/>
      <c r="C657" s="46"/>
      <c r="D657" s="123"/>
      <c r="E657" s="243"/>
      <c r="F657" s="40"/>
      <c r="G657" s="40"/>
      <c r="H657" s="40"/>
      <c r="I657" s="40"/>
      <c r="J657" s="40"/>
      <c r="K657" s="46"/>
    </row>
    <row r="658" ht="19.5" customHeight="1">
      <c r="A658" s="220"/>
      <c r="B658" s="243"/>
      <c r="C658" s="46"/>
      <c r="D658" s="123"/>
      <c r="E658" s="243"/>
      <c r="F658" s="40"/>
      <c r="G658" s="40"/>
      <c r="H658" s="40"/>
      <c r="I658" s="40"/>
      <c r="J658" s="40"/>
      <c r="K658" s="46"/>
    </row>
    <row r="659" ht="19.5" customHeight="1">
      <c r="A659" s="220"/>
      <c r="B659" s="243"/>
      <c r="C659" s="46"/>
      <c r="D659" s="123"/>
      <c r="E659" s="243"/>
      <c r="F659" s="40"/>
      <c r="G659" s="40"/>
      <c r="H659" s="40"/>
      <c r="I659" s="40"/>
      <c r="J659" s="40"/>
      <c r="K659" s="46"/>
    </row>
    <row r="660" ht="19.5" customHeight="1">
      <c r="A660" s="220"/>
      <c r="B660" s="243"/>
      <c r="C660" s="46"/>
      <c r="D660" s="123"/>
      <c r="E660" s="243"/>
      <c r="F660" s="40"/>
      <c r="G660" s="40"/>
      <c r="H660" s="40"/>
      <c r="I660" s="40"/>
      <c r="J660" s="40"/>
      <c r="K660" s="46"/>
    </row>
    <row r="661" ht="19.5" customHeight="1">
      <c r="A661" s="220"/>
      <c r="B661" s="243"/>
      <c r="C661" s="46"/>
      <c r="D661" s="123"/>
      <c r="E661" s="243"/>
      <c r="F661" s="40"/>
      <c r="G661" s="40"/>
      <c r="H661" s="40"/>
      <c r="I661" s="40"/>
      <c r="J661" s="40"/>
      <c r="K661" s="46"/>
    </row>
    <row r="662" ht="19.5" customHeight="1">
      <c r="A662" s="220"/>
      <c r="B662" s="243"/>
      <c r="C662" s="46"/>
      <c r="D662" s="123"/>
      <c r="E662" s="243"/>
      <c r="F662" s="40"/>
      <c r="G662" s="40"/>
      <c r="H662" s="40"/>
      <c r="I662" s="40"/>
      <c r="J662" s="40"/>
      <c r="K662" s="46"/>
    </row>
    <row r="663" ht="19.5" customHeight="1">
      <c r="A663" s="220"/>
      <c r="B663" s="243"/>
      <c r="C663" s="46"/>
      <c r="D663" s="123"/>
      <c r="E663" s="243"/>
      <c r="F663" s="40"/>
      <c r="G663" s="40"/>
      <c r="H663" s="40"/>
      <c r="I663" s="40"/>
      <c r="J663" s="40"/>
      <c r="K663" s="46"/>
    </row>
    <row r="664" ht="19.5" customHeight="1">
      <c r="A664" s="220"/>
      <c r="B664" s="243"/>
      <c r="C664" s="46"/>
      <c r="D664" s="123"/>
      <c r="E664" s="243"/>
      <c r="F664" s="40"/>
      <c r="G664" s="40"/>
      <c r="H664" s="40"/>
      <c r="I664" s="40"/>
      <c r="J664" s="40"/>
      <c r="K664" s="46"/>
    </row>
    <row r="665" ht="19.5" customHeight="1">
      <c r="A665" s="220"/>
      <c r="B665" s="243"/>
      <c r="C665" s="46"/>
      <c r="D665" s="123"/>
      <c r="E665" s="243"/>
      <c r="F665" s="40"/>
      <c r="G665" s="40"/>
      <c r="H665" s="40"/>
      <c r="I665" s="40"/>
      <c r="J665" s="40"/>
      <c r="K665" s="46"/>
    </row>
    <row r="666" ht="19.5" customHeight="1">
      <c r="A666" s="220"/>
      <c r="B666" s="243"/>
      <c r="C666" s="46"/>
      <c r="D666" s="123"/>
      <c r="E666" s="243"/>
      <c r="F666" s="40"/>
      <c r="G666" s="40"/>
      <c r="H666" s="40"/>
      <c r="I666" s="40"/>
      <c r="J666" s="40"/>
      <c r="K666" s="46"/>
    </row>
    <row r="667" ht="19.5" customHeight="1">
      <c r="A667" s="220"/>
      <c r="B667" s="243"/>
      <c r="C667" s="46"/>
      <c r="D667" s="123"/>
      <c r="E667" s="243"/>
      <c r="F667" s="40"/>
      <c r="G667" s="40"/>
      <c r="H667" s="40"/>
      <c r="I667" s="40"/>
      <c r="J667" s="40"/>
      <c r="K667" s="46"/>
    </row>
    <row r="668" ht="19.5" customHeight="1">
      <c r="A668" s="220"/>
      <c r="B668" s="243"/>
      <c r="C668" s="46"/>
      <c r="D668" s="123"/>
      <c r="E668" s="243"/>
      <c r="F668" s="40"/>
      <c r="G668" s="40"/>
      <c r="H668" s="40"/>
      <c r="I668" s="40"/>
      <c r="J668" s="40"/>
      <c r="K668" s="46"/>
    </row>
    <row r="669" ht="19.5" customHeight="1">
      <c r="A669" s="220"/>
      <c r="B669" s="243"/>
      <c r="C669" s="46"/>
      <c r="D669" s="123"/>
      <c r="E669" s="243"/>
      <c r="F669" s="40"/>
      <c r="G669" s="40"/>
      <c r="H669" s="40"/>
      <c r="I669" s="40"/>
      <c r="J669" s="40"/>
      <c r="K669" s="46"/>
    </row>
    <row r="670" ht="19.5" customHeight="1">
      <c r="A670" s="220"/>
      <c r="B670" s="243"/>
      <c r="C670" s="46"/>
      <c r="D670" s="123"/>
      <c r="E670" s="243"/>
      <c r="F670" s="40"/>
      <c r="G670" s="40"/>
      <c r="H670" s="40"/>
      <c r="I670" s="40"/>
      <c r="J670" s="40"/>
      <c r="K670" s="46"/>
    </row>
    <row r="671" ht="19.5" customHeight="1">
      <c r="A671" s="220"/>
      <c r="B671" s="243"/>
      <c r="C671" s="46"/>
      <c r="D671" s="123"/>
      <c r="E671" s="243"/>
      <c r="F671" s="40"/>
      <c r="G671" s="40"/>
      <c r="H671" s="40"/>
      <c r="I671" s="40"/>
      <c r="J671" s="40"/>
      <c r="K671" s="46"/>
    </row>
    <row r="672" ht="19.5" customHeight="1">
      <c r="A672" s="220"/>
      <c r="B672" s="243"/>
      <c r="C672" s="46"/>
      <c r="D672" s="123"/>
      <c r="E672" s="243"/>
      <c r="F672" s="40"/>
      <c r="G672" s="40"/>
      <c r="H672" s="40"/>
      <c r="I672" s="40"/>
      <c r="J672" s="40"/>
      <c r="K672" s="46"/>
    </row>
    <row r="673" ht="19.5" customHeight="1">
      <c r="A673" s="220"/>
      <c r="B673" s="243"/>
      <c r="C673" s="46"/>
      <c r="D673" s="123"/>
      <c r="E673" s="243"/>
      <c r="F673" s="40"/>
      <c r="G673" s="40"/>
      <c r="H673" s="40"/>
      <c r="I673" s="40"/>
      <c r="J673" s="40"/>
      <c r="K673" s="46"/>
    </row>
    <row r="674" ht="19.5" customHeight="1">
      <c r="A674" s="220"/>
      <c r="B674" s="243"/>
      <c r="C674" s="46"/>
      <c r="D674" s="123"/>
      <c r="E674" s="243"/>
      <c r="F674" s="40"/>
      <c r="G674" s="40"/>
      <c r="H674" s="40"/>
      <c r="I674" s="40"/>
      <c r="J674" s="40"/>
      <c r="K674" s="46"/>
    </row>
    <row r="675" ht="19.5" customHeight="1">
      <c r="A675" s="220"/>
      <c r="B675" s="243"/>
      <c r="C675" s="46"/>
      <c r="D675" s="123"/>
      <c r="E675" s="243"/>
      <c r="F675" s="40"/>
      <c r="G675" s="40"/>
      <c r="H675" s="40"/>
      <c r="I675" s="40"/>
      <c r="J675" s="40"/>
      <c r="K675" s="46"/>
    </row>
    <row r="676" ht="19.5" customHeight="1">
      <c r="A676" s="220"/>
      <c r="B676" s="243"/>
      <c r="C676" s="46"/>
      <c r="D676" s="123"/>
      <c r="E676" s="243"/>
      <c r="F676" s="40"/>
      <c r="G676" s="40"/>
      <c r="H676" s="40"/>
      <c r="I676" s="40"/>
      <c r="J676" s="40"/>
      <c r="K676" s="46"/>
    </row>
    <row r="677" ht="19.5" customHeight="1">
      <c r="A677" s="220"/>
      <c r="B677" s="243"/>
      <c r="C677" s="46"/>
      <c r="D677" s="123"/>
      <c r="E677" s="243"/>
      <c r="F677" s="40"/>
      <c r="G677" s="40"/>
      <c r="H677" s="40"/>
      <c r="I677" s="40"/>
      <c r="J677" s="40"/>
      <c r="K677" s="46"/>
    </row>
    <row r="678" ht="19.5" customHeight="1">
      <c r="A678" s="220"/>
      <c r="B678" s="243"/>
      <c r="C678" s="46"/>
      <c r="D678" s="123"/>
      <c r="E678" s="243"/>
      <c r="F678" s="40"/>
      <c r="G678" s="40"/>
      <c r="H678" s="40"/>
      <c r="I678" s="40"/>
      <c r="J678" s="40"/>
      <c r="K678" s="46"/>
    </row>
    <row r="679" ht="19.5" customHeight="1">
      <c r="A679" s="220"/>
      <c r="B679" s="243"/>
      <c r="C679" s="46"/>
      <c r="D679" s="123"/>
      <c r="E679" s="243"/>
      <c r="F679" s="40"/>
      <c r="G679" s="40"/>
      <c r="H679" s="40"/>
      <c r="I679" s="40"/>
      <c r="J679" s="40"/>
      <c r="K679" s="46"/>
    </row>
    <row r="680" ht="19.5" customHeight="1">
      <c r="A680" s="220"/>
      <c r="B680" s="243"/>
      <c r="C680" s="46"/>
      <c r="D680" s="123"/>
      <c r="E680" s="243"/>
      <c r="F680" s="40"/>
      <c r="G680" s="40"/>
      <c r="H680" s="40"/>
      <c r="I680" s="40"/>
      <c r="J680" s="40"/>
      <c r="K680" s="46"/>
    </row>
    <row r="681" ht="19.5" customHeight="1">
      <c r="A681" s="220"/>
      <c r="B681" s="243"/>
      <c r="C681" s="46"/>
      <c r="D681" s="123"/>
      <c r="E681" s="243"/>
      <c r="F681" s="40"/>
      <c r="G681" s="40"/>
      <c r="H681" s="40"/>
      <c r="I681" s="40"/>
      <c r="J681" s="40"/>
      <c r="K681" s="46"/>
    </row>
    <row r="682" ht="19.5" customHeight="1">
      <c r="A682" s="220"/>
      <c r="B682" s="243"/>
      <c r="C682" s="46"/>
      <c r="D682" s="123"/>
      <c r="E682" s="243"/>
      <c r="F682" s="40"/>
      <c r="G682" s="40"/>
      <c r="H682" s="40"/>
      <c r="I682" s="40"/>
      <c r="J682" s="40"/>
      <c r="K682" s="46"/>
    </row>
    <row r="683" ht="19.5" customHeight="1">
      <c r="A683" s="220"/>
      <c r="B683" s="243"/>
      <c r="C683" s="46"/>
      <c r="D683" s="123"/>
      <c r="E683" s="243"/>
      <c r="F683" s="40"/>
      <c r="G683" s="40"/>
      <c r="H683" s="40"/>
      <c r="I683" s="40"/>
      <c r="J683" s="40"/>
      <c r="K683" s="46"/>
    </row>
    <row r="684" ht="19.5" customHeight="1">
      <c r="A684" s="220"/>
      <c r="B684" s="243"/>
      <c r="C684" s="46"/>
      <c r="D684" s="123"/>
      <c r="E684" s="243"/>
      <c r="F684" s="40"/>
      <c r="G684" s="40"/>
      <c r="H684" s="40"/>
      <c r="I684" s="40"/>
      <c r="J684" s="40"/>
      <c r="K684" s="46"/>
    </row>
    <row r="685" ht="19.5" customHeight="1">
      <c r="A685" s="220"/>
      <c r="B685" s="243"/>
      <c r="C685" s="46"/>
      <c r="D685" s="123"/>
      <c r="E685" s="243"/>
      <c r="F685" s="40"/>
      <c r="G685" s="40"/>
      <c r="H685" s="40"/>
      <c r="I685" s="40"/>
      <c r="J685" s="40"/>
      <c r="K685" s="46"/>
    </row>
    <row r="686" ht="19.5" customHeight="1">
      <c r="A686" s="220"/>
      <c r="B686" s="243"/>
      <c r="C686" s="46"/>
      <c r="D686" s="123"/>
      <c r="E686" s="243"/>
      <c r="F686" s="40"/>
      <c r="G686" s="40"/>
      <c r="H686" s="40"/>
      <c r="I686" s="40"/>
      <c r="J686" s="40"/>
      <c r="K686" s="46"/>
    </row>
    <row r="687" ht="19.5" customHeight="1">
      <c r="A687" s="220"/>
      <c r="B687" s="243"/>
      <c r="C687" s="46"/>
      <c r="D687" s="123"/>
      <c r="E687" s="243"/>
      <c r="F687" s="40"/>
      <c r="G687" s="40"/>
      <c r="H687" s="40"/>
      <c r="I687" s="40"/>
      <c r="J687" s="40"/>
      <c r="K687" s="46"/>
    </row>
    <row r="688" ht="19.5" customHeight="1">
      <c r="A688" s="220"/>
      <c r="B688" s="243"/>
      <c r="C688" s="46"/>
      <c r="D688" s="123"/>
      <c r="E688" s="243"/>
      <c r="F688" s="40"/>
      <c r="G688" s="40"/>
      <c r="H688" s="40"/>
      <c r="I688" s="40"/>
      <c r="J688" s="40"/>
      <c r="K688" s="46"/>
    </row>
    <row r="689" ht="19.5" customHeight="1">
      <c r="A689" s="220"/>
      <c r="B689" s="243"/>
      <c r="C689" s="46"/>
      <c r="D689" s="123"/>
      <c r="E689" s="243"/>
      <c r="F689" s="40"/>
      <c r="G689" s="40"/>
      <c r="H689" s="40"/>
      <c r="I689" s="40"/>
      <c r="J689" s="40"/>
      <c r="K689" s="46"/>
    </row>
    <row r="690" ht="19.5" customHeight="1">
      <c r="A690" s="220"/>
      <c r="B690" s="243"/>
      <c r="C690" s="46"/>
      <c r="D690" s="123"/>
      <c r="E690" s="243"/>
      <c r="F690" s="40"/>
      <c r="G690" s="40"/>
      <c r="H690" s="40"/>
      <c r="I690" s="40"/>
      <c r="J690" s="40"/>
      <c r="K690" s="46"/>
    </row>
    <row r="691" ht="19.5" customHeight="1">
      <c r="A691" s="220"/>
      <c r="B691" s="243"/>
      <c r="C691" s="46"/>
      <c r="D691" s="123"/>
      <c r="E691" s="243"/>
      <c r="F691" s="40"/>
      <c r="G691" s="40"/>
      <c r="H691" s="40"/>
      <c r="I691" s="40"/>
      <c r="J691" s="40"/>
      <c r="K691" s="46"/>
    </row>
    <row r="692" ht="19.5" customHeight="1">
      <c r="A692" s="220"/>
      <c r="B692" s="243"/>
      <c r="C692" s="46"/>
      <c r="D692" s="123"/>
      <c r="E692" s="243"/>
      <c r="F692" s="40"/>
      <c r="G692" s="40"/>
      <c r="H692" s="40"/>
      <c r="I692" s="40"/>
      <c r="J692" s="40"/>
      <c r="K692" s="46"/>
    </row>
    <row r="693" ht="19.5" customHeight="1">
      <c r="A693" s="220"/>
      <c r="B693" s="243"/>
      <c r="C693" s="46"/>
      <c r="D693" s="123"/>
      <c r="E693" s="243"/>
      <c r="F693" s="40"/>
      <c r="G693" s="40"/>
      <c r="H693" s="40"/>
      <c r="I693" s="40"/>
      <c r="J693" s="40"/>
      <c r="K693" s="46"/>
    </row>
    <row r="694" ht="19.5" customHeight="1">
      <c r="A694" s="220"/>
      <c r="B694" s="243"/>
      <c r="C694" s="46"/>
      <c r="D694" s="123"/>
      <c r="E694" s="243"/>
      <c r="F694" s="40"/>
      <c r="G694" s="40"/>
      <c r="H694" s="40"/>
      <c r="I694" s="40"/>
      <c r="J694" s="40"/>
      <c r="K694" s="46"/>
    </row>
    <row r="695" ht="19.5" customHeight="1">
      <c r="A695" s="220"/>
      <c r="B695" s="243"/>
      <c r="C695" s="46"/>
      <c r="D695" s="123"/>
      <c r="E695" s="243"/>
      <c r="F695" s="40"/>
      <c r="G695" s="40"/>
      <c r="H695" s="40"/>
      <c r="I695" s="40"/>
      <c r="J695" s="40"/>
      <c r="K695" s="46"/>
    </row>
    <row r="696" ht="19.5" customHeight="1">
      <c r="A696" s="220"/>
      <c r="B696" s="243"/>
      <c r="C696" s="46"/>
      <c r="D696" s="123"/>
      <c r="E696" s="243"/>
      <c r="F696" s="40"/>
      <c r="G696" s="40"/>
      <c r="H696" s="40"/>
      <c r="I696" s="40"/>
      <c r="J696" s="40"/>
      <c r="K696" s="46"/>
    </row>
    <row r="697" ht="19.5" customHeight="1">
      <c r="A697" s="220"/>
      <c r="B697" s="243"/>
      <c r="C697" s="46"/>
      <c r="D697" s="123"/>
      <c r="E697" s="243"/>
      <c r="F697" s="40"/>
      <c r="G697" s="40"/>
      <c r="H697" s="40"/>
      <c r="I697" s="40"/>
      <c r="J697" s="40"/>
      <c r="K697" s="46"/>
    </row>
    <row r="698" ht="19.5" customHeight="1">
      <c r="A698" s="220"/>
      <c r="B698" s="243"/>
      <c r="C698" s="46"/>
      <c r="D698" s="123"/>
      <c r="E698" s="243"/>
      <c r="F698" s="40"/>
      <c r="G698" s="40"/>
      <c r="H698" s="40"/>
      <c r="I698" s="40"/>
      <c r="J698" s="40"/>
      <c r="K698" s="46"/>
    </row>
    <row r="699" ht="19.5" customHeight="1">
      <c r="A699" s="220"/>
      <c r="B699" s="243"/>
      <c r="C699" s="46"/>
      <c r="D699" s="123"/>
      <c r="E699" s="243"/>
      <c r="F699" s="40"/>
      <c r="G699" s="40"/>
      <c r="H699" s="40"/>
      <c r="I699" s="40"/>
      <c r="J699" s="40"/>
      <c r="K699" s="46"/>
    </row>
    <row r="700" ht="19.5" customHeight="1">
      <c r="A700" s="220"/>
      <c r="B700" s="243"/>
      <c r="C700" s="46"/>
      <c r="D700" s="123"/>
      <c r="E700" s="243"/>
      <c r="F700" s="40"/>
      <c r="G700" s="40"/>
      <c r="H700" s="40"/>
      <c r="I700" s="40"/>
      <c r="J700" s="40"/>
      <c r="K700" s="46"/>
    </row>
    <row r="701" ht="19.5" customHeight="1">
      <c r="A701" s="220"/>
      <c r="B701" s="243"/>
      <c r="C701" s="46"/>
      <c r="D701" s="123"/>
      <c r="E701" s="243"/>
      <c r="F701" s="40"/>
      <c r="G701" s="40"/>
      <c r="H701" s="40"/>
      <c r="I701" s="40"/>
      <c r="J701" s="40"/>
      <c r="K701" s="46"/>
    </row>
    <row r="702" ht="19.5" customHeight="1">
      <c r="A702" s="220"/>
      <c r="B702" s="243"/>
      <c r="C702" s="46"/>
      <c r="D702" s="123"/>
      <c r="E702" s="243"/>
      <c r="F702" s="40"/>
      <c r="G702" s="40"/>
      <c r="H702" s="40"/>
      <c r="I702" s="40"/>
      <c r="J702" s="40"/>
      <c r="K702" s="46"/>
    </row>
    <row r="703" ht="19.5" customHeight="1">
      <c r="A703" s="220"/>
      <c r="B703" s="243"/>
      <c r="C703" s="46"/>
      <c r="D703" s="123"/>
      <c r="E703" s="243"/>
      <c r="F703" s="40"/>
      <c r="G703" s="40"/>
      <c r="H703" s="40"/>
      <c r="I703" s="40"/>
      <c r="J703" s="40"/>
      <c r="K703" s="46"/>
    </row>
    <row r="704" ht="19.5" customHeight="1">
      <c r="A704" s="220"/>
      <c r="B704" s="243"/>
      <c r="C704" s="46"/>
      <c r="D704" s="123"/>
      <c r="E704" s="243"/>
      <c r="F704" s="40"/>
      <c r="G704" s="40"/>
      <c r="H704" s="40"/>
      <c r="I704" s="40"/>
      <c r="J704" s="40"/>
      <c r="K704" s="46"/>
    </row>
    <row r="705" ht="19.5" customHeight="1">
      <c r="A705" s="220"/>
      <c r="B705" s="243"/>
      <c r="C705" s="46"/>
      <c r="D705" s="123"/>
      <c r="E705" s="243"/>
      <c r="F705" s="40"/>
      <c r="G705" s="40"/>
      <c r="H705" s="40"/>
      <c r="I705" s="40"/>
      <c r="J705" s="40"/>
      <c r="K705" s="46"/>
    </row>
    <row r="706" ht="19.5" customHeight="1">
      <c r="A706" s="220"/>
      <c r="B706" s="243"/>
      <c r="C706" s="46"/>
      <c r="D706" s="123"/>
      <c r="E706" s="243"/>
      <c r="F706" s="40"/>
      <c r="G706" s="40"/>
      <c r="H706" s="40"/>
      <c r="I706" s="40"/>
      <c r="J706" s="40"/>
      <c r="K706" s="46"/>
    </row>
    <row r="707" ht="19.5" customHeight="1">
      <c r="A707" s="220"/>
      <c r="B707" s="243"/>
      <c r="C707" s="46"/>
      <c r="D707" s="123"/>
      <c r="E707" s="243"/>
      <c r="F707" s="40"/>
      <c r="G707" s="40"/>
      <c r="H707" s="40"/>
      <c r="I707" s="40"/>
      <c r="J707" s="40"/>
      <c r="K707" s="46"/>
    </row>
    <row r="708" ht="19.5" customHeight="1">
      <c r="A708" s="220"/>
      <c r="B708" s="243"/>
      <c r="C708" s="46"/>
      <c r="D708" s="123"/>
      <c r="E708" s="243"/>
      <c r="F708" s="40"/>
      <c r="G708" s="40"/>
      <c r="H708" s="40"/>
      <c r="I708" s="40"/>
      <c r="J708" s="40"/>
      <c r="K708" s="46"/>
    </row>
    <row r="709" ht="19.5" customHeight="1">
      <c r="A709" s="220"/>
      <c r="B709" s="243"/>
      <c r="C709" s="46"/>
      <c r="D709" s="123"/>
      <c r="E709" s="243"/>
      <c r="F709" s="40"/>
      <c r="G709" s="40"/>
      <c r="H709" s="40"/>
      <c r="I709" s="40"/>
      <c r="J709" s="40"/>
      <c r="K709" s="46"/>
    </row>
    <row r="710" ht="19.5" customHeight="1">
      <c r="A710" s="220"/>
      <c r="B710" s="243"/>
      <c r="C710" s="46"/>
      <c r="D710" s="123"/>
      <c r="E710" s="243"/>
      <c r="F710" s="40"/>
      <c r="G710" s="40"/>
      <c r="H710" s="40"/>
      <c r="I710" s="40"/>
      <c r="J710" s="40"/>
      <c r="K710" s="46"/>
    </row>
    <row r="711" ht="19.5" customHeight="1">
      <c r="A711" s="220"/>
      <c r="B711" s="243"/>
      <c r="C711" s="46"/>
      <c r="D711" s="123"/>
      <c r="E711" s="243"/>
      <c r="F711" s="40"/>
      <c r="G711" s="40"/>
      <c r="H711" s="40"/>
      <c r="I711" s="40"/>
      <c r="J711" s="40"/>
      <c r="K711" s="46"/>
    </row>
    <row r="712" ht="19.5" customHeight="1">
      <c r="A712" s="220"/>
      <c r="B712" s="243"/>
      <c r="C712" s="46"/>
      <c r="D712" s="123"/>
      <c r="E712" s="243"/>
      <c r="F712" s="40"/>
      <c r="G712" s="40"/>
      <c r="H712" s="40"/>
      <c r="I712" s="40"/>
      <c r="J712" s="40"/>
      <c r="K712" s="46"/>
    </row>
    <row r="713" ht="19.5" customHeight="1">
      <c r="A713" s="220"/>
      <c r="B713" s="243"/>
      <c r="C713" s="46"/>
      <c r="D713" s="123"/>
      <c r="E713" s="243"/>
      <c r="F713" s="40"/>
      <c r="G713" s="40"/>
      <c r="H713" s="40"/>
      <c r="I713" s="40"/>
      <c r="J713" s="40"/>
      <c r="K713" s="46"/>
    </row>
    <row r="714" ht="19.5" customHeight="1">
      <c r="A714" s="220"/>
      <c r="B714" s="243"/>
      <c r="C714" s="46"/>
      <c r="D714" s="123"/>
      <c r="E714" s="243"/>
      <c r="F714" s="40"/>
      <c r="G714" s="40"/>
      <c r="H714" s="40"/>
      <c r="I714" s="40"/>
      <c r="J714" s="40"/>
      <c r="K714" s="46"/>
    </row>
    <row r="715" ht="19.5" customHeight="1">
      <c r="A715" s="220"/>
      <c r="B715" s="243"/>
      <c r="C715" s="46"/>
      <c r="D715" s="123"/>
      <c r="E715" s="243"/>
      <c r="F715" s="40"/>
      <c r="G715" s="40"/>
      <c r="H715" s="40"/>
      <c r="I715" s="40"/>
      <c r="J715" s="40"/>
      <c r="K715" s="46"/>
    </row>
    <row r="716" ht="19.5" customHeight="1">
      <c r="A716" s="220"/>
      <c r="B716" s="243"/>
      <c r="C716" s="46"/>
      <c r="D716" s="123"/>
      <c r="E716" s="243"/>
      <c r="F716" s="40"/>
      <c r="G716" s="40"/>
      <c r="H716" s="40"/>
      <c r="I716" s="40"/>
      <c r="J716" s="40"/>
      <c r="K716" s="46"/>
    </row>
    <row r="717" ht="19.5" customHeight="1">
      <c r="A717" s="220"/>
      <c r="B717" s="243"/>
      <c r="C717" s="46"/>
      <c r="D717" s="123"/>
      <c r="E717" s="243"/>
      <c r="F717" s="40"/>
      <c r="G717" s="40"/>
      <c r="H717" s="40"/>
      <c r="I717" s="40"/>
      <c r="J717" s="40"/>
      <c r="K717" s="46"/>
    </row>
    <row r="718" ht="19.5" customHeight="1">
      <c r="A718" s="220"/>
      <c r="B718" s="243"/>
      <c r="C718" s="46"/>
      <c r="D718" s="123"/>
      <c r="E718" s="243"/>
      <c r="F718" s="40"/>
      <c r="G718" s="40"/>
      <c r="H718" s="40"/>
      <c r="I718" s="40"/>
      <c r="J718" s="40"/>
      <c r="K718" s="46"/>
    </row>
    <row r="719" ht="19.5" customHeight="1">
      <c r="A719" s="220"/>
      <c r="B719" s="243"/>
      <c r="C719" s="46"/>
      <c r="D719" s="123"/>
      <c r="E719" s="243"/>
      <c r="F719" s="40"/>
      <c r="G719" s="40"/>
      <c r="H719" s="40"/>
      <c r="I719" s="40"/>
      <c r="J719" s="40"/>
      <c r="K719" s="46"/>
    </row>
    <row r="720" ht="19.5" customHeight="1">
      <c r="A720" s="220"/>
      <c r="B720" s="243"/>
      <c r="C720" s="46"/>
      <c r="D720" s="123"/>
      <c r="E720" s="243"/>
      <c r="F720" s="40"/>
      <c r="G720" s="40"/>
      <c r="H720" s="40"/>
      <c r="I720" s="40"/>
      <c r="J720" s="40"/>
      <c r="K720" s="46"/>
    </row>
    <row r="721" ht="19.5" customHeight="1">
      <c r="A721" s="220"/>
      <c r="B721" s="243"/>
      <c r="C721" s="46"/>
      <c r="D721" s="123"/>
      <c r="E721" s="243"/>
      <c r="F721" s="40"/>
      <c r="G721" s="40"/>
      <c r="H721" s="40"/>
      <c r="I721" s="40"/>
      <c r="J721" s="40"/>
      <c r="K721" s="46"/>
    </row>
    <row r="722" ht="19.5" customHeight="1">
      <c r="A722" s="220"/>
      <c r="B722" s="243"/>
      <c r="C722" s="46"/>
      <c r="D722" s="123"/>
      <c r="E722" s="243"/>
      <c r="F722" s="40"/>
      <c r="G722" s="40"/>
      <c r="H722" s="40"/>
      <c r="I722" s="40"/>
      <c r="J722" s="40"/>
      <c r="K722" s="46"/>
    </row>
    <row r="723" ht="19.5" customHeight="1">
      <c r="A723" s="220"/>
      <c r="B723" s="243"/>
      <c r="C723" s="46"/>
      <c r="D723" s="123"/>
      <c r="E723" s="243"/>
      <c r="F723" s="40"/>
      <c r="G723" s="40"/>
      <c r="H723" s="40"/>
      <c r="I723" s="40"/>
      <c r="J723" s="40"/>
      <c r="K723" s="46"/>
    </row>
    <row r="724" ht="19.5" customHeight="1">
      <c r="A724" s="220"/>
      <c r="B724" s="243"/>
      <c r="C724" s="46"/>
      <c r="D724" s="123"/>
      <c r="E724" s="243"/>
      <c r="F724" s="40"/>
      <c r="G724" s="40"/>
      <c r="H724" s="40"/>
      <c r="I724" s="40"/>
      <c r="J724" s="40"/>
      <c r="K724" s="46"/>
    </row>
    <row r="725" ht="19.5" customHeight="1">
      <c r="A725" s="220"/>
      <c r="B725" s="243"/>
      <c r="C725" s="46"/>
      <c r="D725" s="123"/>
      <c r="E725" s="243"/>
      <c r="F725" s="40"/>
      <c r="G725" s="40"/>
      <c r="H725" s="40"/>
      <c r="I725" s="40"/>
      <c r="J725" s="40"/>
      <c r="K725" s="46"/>
    </row>
    <row r="726" ht="19.5" customHeight="1">
      <c r="A726" s="220"/>
      <c r="B726" s="243"/>
      <c r="C726" s="46"/>
      <c r="D726" s="123"/>
      <c r="E726" s="243"/>
      <c r="F726" s="40"/>
      <c r="G726" s="40"/>
      <c r="H726" s="40"/>
      <c r="I726" s="40"/>
      <c r="J726" s="40"/>
      <c r="K726" s="46"/>
    </row>
    <row r="727" ht="19.5" customHeight="1">
      <c r="A727" s="220"/>
      <c r="B727" s="243"/>
      <c r="C727" s="46"/>
      <c r="D727" s="123"/>
      <c r="E727" s="243"/>
      <c r="F727" s="40"/>
      <c r="G727" s="40"/>
      <c r="H727" s="40"/>
      <c r="I727" s="40"/>
      <c r="J727" s="40"/>
      <c r="K727" s="46"/>
    </row>
    <row r="728" ht="19.5" customHeight="1">
      <c r="A728" s="220"/>
      <c r="B728" s="243"/>
      <c r="C728" s="46"/>
      <c r="D728" s="123"/>
      <c r="E728" s="243"/>
      <c r="F728" s="40"/>
      <c r="G728" s="40"/>
      <c r="H728" s="40"/>
      <c r="I728" s="40"/>
      <c r="J728" s="40"/>
      <c r="K728" s="46"/>
    </row>
    <row r="729" ht="19.5" customHeight="1">
      <c r="A729" s="220"/>
      <c r="B729" s="243"/>
      <c r="C729" s="46"/>
      <c r="D729" s="123"/>
      <c r="E729" s="243"/>
      <c r="F729" s="40"/>
      <c r="G729" s="40"/>
      <c r="H729" s="40"/>
      <c r="I729" s="40"/>
      <c r="J729" s="40"/>
      <c r="K729" s="46"/>
    </row>
    <row r="730" ht="19.5" customHeight="1">
      <c r="A730" s="220"/>
      <c r="B730" s="243"/>
      <c r="C730" s="46"/>
      <c r="D730" s="123"/>
      <c r="E730" s="243"/>
      <c r="F730" s="40"/>
      <c r="G730" s="40"/>
      <c r="H730" s="40"/>
      <c r="I730" s="40"/>
      <c r="J730" s="40"/>
      <c r="K730" s="46"/>
    </row>
    <row r="731" ht="19.5" customHeight="1">
      <c r="A731" s="220"/>
      <c r="B731" s="243"/>
      <c r="C731" s="46"/>
      <c r="D731" s="123"/>
      <c r="E731" s="243"/>
      <c r="F731" s="40"/>
      <c r="G731" s="40"/>
      <c r="H731" s="40"/>
      <c r="I731" s="40"/>
      <c r="J731" s="40"/>
      <c r="K731" s="46"/>
    </row>
    <row r="732" ht="19.5" customHeight="1">
      <c r="A732" s="220"/>
      <c r="B732" s="243"/>
      <c r="C732" s="46"/>
      <c r="D732" s="123"/>
      <c r="E732" s="243"/>
      <c r="F732" s="40"/>
      <c r="G732" s="40"/>
      <c r="H732" s="40"/>
      <c r="I732" s="40"/>
      <c r="J732" s="40"/>
      <c r="K732" s="46"/>
    </row>
    <row r="733" ht="19.5" customHeight="1">
      <c r="A733" s="220"/>
      <c r="B733" s="243"/>
      <c r="C733" s="46"/>
      <c r="D733" s="123"/>
      <c r="E733" s="243"/>
      <c r="F733" s="40"/>
      <c r="G733" s="40"/>
      <c r="H733" s="40"/>
      <c r="I733" s="40"/>
      <c r="J733" s="40"/>
      <c r="K733" s="46"/>
    </row>
    <row r="734" ht="19.5" customHeight="1">
      <c r="A734" s="220"/>
      <c r="B734" s="243"/>
      <c r="C734" s="46"/>
      <c r="D734" s="123"/>
      <c r="E734" s="243"/>
      <c r="F734" s="40"/>
      <c r="G734" s="40"/>
      <c r="H734" s="40"/>
      <c r="I734" s="40"/>
      <c r="J734" s="40"/>
      <c r="K734" s="46"/>
    </row>
    <row r="735" ht="19.5" customHeight="1">
      <c r="A735" s="220"/>
      <c r="B735" s="243"/>
      <c r="C735" s="46"/>
      <c r="D735" s="123"/>
      <c r="E735" s="243"/>
      <c r="F735" s="40"/>
      <c r="G735" s="40"/>
      <c r="H735" s="40"/>
      <c r="I735" s="40"/>
      <c r="J735" s="40"/>
      <c r="K735" s="46"/>
    </row>
    <row r="736" ht="19.5" customHeight="1">
      <c r="A736" s="220"/>
      <c r="B736" s="243"/>
      <c r="C736" s="46"/>
      <c r="D736" s="123"/>
      <c r="E736" s="243"/>
      <c r="F736" s="40"/>
      <c r="G736" s="40"/>
      <c r="H736" s="40"/>
      <c r="I736" s="40"/>
      <c r="J736" s="40"/>
      <c r="K736" s="46"/>
    </row>
    <row r="737" ht="19.5" customHeight="1">
      <c r="A737" s="220"/>
      <c r="B737" s="243"/>
      <c r="C737" s="46"/>
      <c r="D737" s="123"/>
      <c r="E737" s="243"/>
      <c r="F737" s="40"/>
      <c r="G737" s="40"/>
      <c r="H737" s="40"/>
      <c r="I737" s="40"/>
      <c r="J737" s="40"/>
      <c r="K737" s="46"/>
    </row>
    <row r="738" ht="19.5" customHeight="1">
      <c r="A738" s="220"/>
      <c r="B738" s="243"/>
      <c r="C738" s="46"/>
      <c r="D738" s="123"/>
      <c r="E738" s="243"/>
      <c r="F738" s="40"/>
      <c r="G738" s="40"/>
      <c r="H738" s="40"/>
      <c r="I738" s="40"/>
      <c r="J738" s="40"/>
      <c r="K738" s="46"/>
    </row>
    <row r="739" ht="19.5" customHeight="1">
      <c r="A739" s="220"/>
      <c r="B739" s="243"/>
      <c r="C739" s="46"/>
      <c r="D739" s="123"/>
      <c r="E739" s="243"/>
      <c r="F739" s="40"/>
      <c r="G739" s="40"/>
      <c r="H739" s="40"/>
      <c r="I739" s="40"/>
      <c r="J739" s="40"/>
      <c r="K739" s="46"/>
    </row>
    <row r="740" ht="19.5" customHeight="1">
      <c r="A740" s="220"/>
      <c r="B740" s="243"/>
      <c r="C740" s="46"/>
      <c r="D740" s="123"/>
      <c r="E740" s="243"/>
      <c r="F740" s="40"/>
      <c r="G740" s="40"/>
      <c r="H740" s="40"/>
      <c r="I740" s="40"/>
      <c r="J740" s="40"/>
      <c r="K740" s="46"/>
    </row>
    <row r="741" ht="19.5" customHeight="1">
      <c r="A741" s="220"/>
      <c r="B741" s="243"/>
      <c r="C741" s="46"/>
      <c r="D741" s="123"/>
      <c r="E741" s="243"/>
      <c r="F741" s="40"/>
      <c r="G741" s="40"/>
      <c r="H741" s="40"/>
      <c r="I741" s="40"/>
      <c r="J741" s="40"/>
      <c r="K741" s="46"/>
    </row>
    <row r="742" ht="19.5" customHeight="1">
      <c r="A742" s="220"/>
      <c r="B742" s="243"/>
      <c r="C742" s="46"/>
      <c r="D742" s="123"/>
      <c r="E742" s="243"/>
      <c r="F742" s="40"/>
      <c r="G742" s="40"/>
      <c r="H742" s="40"/>
      <c r="I742" s="40"/>
      <c r="J742" s="40"/>
      <c r="K742" s="46"/>
    </row>
    <row r="743" ht="19.5" customHeight="1">
      <c r="A743" s="220"/>
      <c r="B743" s="243"/>
      <c r="C743" s="46"/>
      <c r="D743" s="123"/>
      <c r="E743" s="243"/>
      <c r="F743" s="40"/>
      <c r="G743" s="40"/>
      <c r="H743" s="40"/>
      <c r="I743" s="40"/>
      <c r="J743" s="40"/>
      <c r="K743" s="46"/>
    </row>
    <row r="744" ht="19.5" customHeight="1">
      <c r="A744" s="220"/>
      <c r="B744" s="243"/>
      <c r="C744" s="46"/>
      <c r="D744" s="123"/>
      <c r="E744" s="243"/>
      <c r="F744" s="40"/>
      <c r="G744" s="40"/>
      <c r="H744" s="40"/>
      <c r="I744" s="40"/>
      <c r="J744" s="40"/>
      <c r="K744" s="46"/>
    </row>
    <row r="745" ht="19.5" customHeight="1">
      <c r="A745" s="220"/>
      <c r="B745" s="243"/>
      <c r="C745" s="46"/>
      <c r="D745" s="123"/>
      <c r="E745" s="243"/>
      <c r="F745" s="40"/>
      <c r="G745" s="40"/>
      <c r="H745" s="40"/>
      <c r="I745" s="40"/>
      <c r="J745" s="40"/>
      <c r="K745" s="46"/>
    </row>
    <row r="746" ht="19.5" customHeight="1">
      <c r="A746" s="220"/>
      <c r="B746" s="243"/>
      <c r="C746" s="46"/>
      <c r="D746" s="123"/>
      <c r="E746" s="243"/>
      <c r="F746" s="40"/>
      <c r="G746" s="40"/>
      <c r="H746" s="40"/>
      <c r="I746" s="40"/>
      <c r="J746" s="40"/>
      <c r="K746" s="46"/>
    </row>
    <row r="747" ht="19.5" customHeight="1">
      <c r="A747" s="220"/>
      <c r="B747" s="243"/>
      <c r="C747" s="46"/>
      <c r="D747" s="123"/>
      <c r="E747" s="243"/>
      <c r="F747" s="40"/>
      <c r="G747" s="40"/>
      <c r="H747" s="40"/>
      <c r="I747" s="40"/>
      <c r="J747" s="40"/>
      <c r="K747" s="46"/>
    </row>
    <row r="748" ht="19.5" customHeight="1">
      <c r="A748" s="220"/>
      <c r="B748" s="243"/>
      <c r="C748" s="46"/>
      <c r="D748" s="123"/>
      <c r="E748" s="243"/>
      <c r="F748" s="40"/>
      <c r="G748" s="40"/>
      <c r="H748" s="40"/>
      <c r="I748" s="40"/>
      <c r="J748" s="40"/>
      <c r="K748" s="46"/>
    </row>
    <row r="749" ht="19.5" customHeight="1">
      <c r="A749" s="220"/>
      <c r="B749" s="243"/>
      <c r="C749" s="46"/>
      <c r="D749" s="123"/>
      <c r="E749" s="243"/>
      <c r="F749" s="40"/>
      <c r="G749" s="40"/>
      <c r="H749" s="40"/>
      <c r="I749" s="40"/>
      <c r="J749" s="40"/>
      <c r="K749" s="46"/>
    </row>
    <row r="750" ht="19.5" customHeight="1">
      <c r="A750" s="220"/>
      <c r="B750" s="243"/>
      <c r="C750" s="46"/>
      <c r="D750" s="123"/>
      <c r="E750" s="243"/>
      <c r="F750" s="40"/>
      <c r="G750" s="40"/>
      <c r="H750" s="40"/>
      <c r="I750" s="40"/>
      <c r="J750" s="40"/>
      <c r="K750" s="46"/>
    </row>
    <row r="751" ht="19.5" customHeight="1">
      <c r="A751" s="220"/>
      <c r="B751" s="243"/>
      <c r="C751" s="46"/>
      <c r="D751" s="123"/>
      <c r="E751" s="243"/>
      <c r="F751" s="40"/>
      <c r="G751" s="40"/>
      <c r="H751" s="40"/>
      <c r="I751" s="40"/>
      <c r="J751" s="40"/>
      <c r="K751" s="46"/>
    </row>
    <row r="752" ht="19.5" customHeight="1">
      <c r="A752" s="220"/>
      <c r="B752" s="243"/>
      <c r="C752" s="46"/>
      <c r="D752" s="123"/>
      <c r="E752" s="243"/>
      <c r="F752" s="40"/>
      <c r="G752" s="40"/>
      <c r="H752" s="40"/>
      <c r="I752" s="40"/>
      <c r="J752" s="40"/>
      <c r="K752" s="46"/>
    </row>
    <row r="753" ht="19.5" customHeight="1">
      <c r="A753" s="220"/>
      <c r="B753" s="243"/>
      <c r="C753" s="46"/>
      <c r="D753" s="123"/>
      <c r="E753" s="243"/>
      <c r="F753" s="40"/>
      <c r="G753" s="40"/>
      <c r="H753" s="40"/>
      <c r="I753" s="40"/>
      <c r="J753" s="40"/>
      <c r="K753" s="46"/>
    </row>
    <row r="754" ht="19.5" customHeight="1">
      <c r="A754" s="220"/>
      <c r="B754" s="243"/>
      <c r="C754" s="46"/>
      <c r="D754" s="123"/>
      <c r="E754" s="243"/>
      <c r="F754" s="40"/>
      <c r="G754" s="40"/>
      <c r="H754" s="40"/>
      <c r="I754" s="40"/>
      <c r="J754" s="40"/>
      <c r="K754" s="46"/>
    </row>
    <row r="755" ht="19.5" customHeight="1">
      <c r="A755" s="220"/>
      <c r="B755" s="243"/>
      <c r="C755" s="46"/>
      <c r="D755" s="123"/>
      <c r="E755" s="243"/>
      <c r="F755" s="40"/>
      <c r="G755" s="40"/>
      <c r="H755" s="40"/>
      <c r="I755" s="40"/>
      <c r="J755" s="40"/>
      <c r="K755" s="46"/>
    </row>
    <row r="756" ht="19.5" customHeight="1">
      <c r="A756" s="220"/>
      <c r="B756" s="243"/>
      <c r="C756" s="46"/>
      <c r="D756" s="123"/>
      <c r="E756" s="243"/>
      <c r="F756" s="40"/>
      <c r="G756" s="40"/>
      <c r="H756" s="40"/>
      <c r="I756" s="40"/>
      <c r="J756" s="40"/>
      <c r="K756" s="46"/>
    </row>
    <row r="757" ht="19.5" customHeight="1">
      <c r="A757" s="220"/>
      <c r="B757" s="243"/>
      <c r="C757" s="46"/>
      <c r="D757" s="123"/>
      <c r="E757" s="243"/>
      <c r="F757" s="40"/>
      <c r="G757" s="40"/>
      <c r="H757" s="40"/>
      <c r="I757" s="40"/>
      <c r="J757" s="40"/>
      <c r="K757" s="46"/>
    </row>
    <row r="758" ht="19.5" customHeight="1">
      <c r="A758" s="220"/>
      <c r="B758" s="243"/>
      <c r="C758" s="46"/>
      <c r="D758" s="123"/>
      <c r="E758" s="243"/>
      <c r="F758" s="40"/>
      <c r="G758" s="40"/>
      <c r="H758" s="40"/>
      <c r="I758" s="40"/>
      <c r="J758" s="40"/>
      <c r="K758" s="46"/>
    </row>
    <row r="759" ht="19.5" customHeight="1">
      <c r="A759" s="220"/>
      <c r="B759" s="243"/>
      <c r="C759" s="46"/>
      <c r="D759" s="123"/>
      <c r="E759" s="243"/>
      <c r="F759" s="40"/>
      <c r="G759" s="40"/>
      <c r="H759" s="40"/>
      <c r="I759" s="40"/>
      <c r="J759" s="40"/>
      <c r="K759" s="46"/>
    </row>
    <row r="760" ht="19.5" customHeight="1">
      <c r="A760" s="220"/>
      <c r="B760" s="243"/>
      <c r="C760" s="46"/>
      <c r="D760" s="123"/>
      <c r="E760" s="243"/>
      <c r="F760" s="40"/>
      <c r="G760" s="40"/>
      <c r="H760" s="40"/>
      <c r="I760" s="40"/>
      <c r="J760" s="40"/>
      <c r="K760" s="46"/>
    </row>
    <row r="761" ht="19.5" customHeight="1">
      <c r="A761" s="220"/>
      <c r="B761" s="243"/>
      <c r="C761" s="46"/>
      <c r="D761" s="123"/>
      <c r="E761" s="243"/>
      <c r="F761" s="40"/>
      <c r="G761" s="40"/>
      <c r="H761" s="40"/>
      <c r="I761" s="40"/>
      <c r="J761" s="40"/>
      <c r="K761" s="46"/>
    </row>
    <row r="762" ht="19.5" customHeight="1">
      <c r="A762" s="220"/>
      <c r="B762" s="243"/>
      <c r="C762" s="46"/>
      <c r="D762" s="123"/>
      <c r="E762" s="243"/>
      <c r="F762" s="40"/>
      <c r="G762" s="40"/>
      <c r="H762" s="40"/>
      <c r="I762" s="40"/>
      <c r="J762" s="40"/>
      <c r="K762" s="46"/>
    </row>
    <row r="763" ht="19.5" customHeight="1">
      <c r="A763" s="220"/>
      <c r="B763" s="243"/>
      <c r="C763" s="46"/>
      <c r="D763" s="123"/>
      <c r="E763" s="243"/>
      <c r="F763" s="40"/>
      <c r="G763" s="40"/>
      <c r="H763" s="40"/>
      <c r="I763" s="40"/>
      <c r="J763" s="40"/>
      <c r="K763" s="46"/>
    </row>
    <row r="764" ht="19.5" customHeight="1">
      <c r="A764" s="220"/>
      <c r="B764" s="243"/>
      <c r="C764" s="46"/>
      <c r="D764" s="123"/>
      <c r="E764" s="243"/>
      <c r="F764" s="40"/>
      <c r="G764" s="40"/>
      <c r="H764" s="40"/>
      <c r="I764" s="40"/>
      <c r="J764" s="40"/>
      <c r="K764" s="46"/>
    </row>
    <row r="765" ht="19.5" customHeight="1">
      <c r="A765" s="220"/>
      <c r="B765" s="243"/>
      <c r="C765" s="46"/>
      <c r="D765" s="123"/>
      <c r="E765" s="243"/>
      <c r="F765" s="40"/>
      <c r="G765" s="40"/>
      <c r="H765" s="40"/>
      <c r="I765" s="40"/>
      <c r="J765" s="40"/>
      <c r="K765" s="46"/>
    </row>
    <row r="766" ht="19.5" customHeight="1">
      <c r="A766" s="220"/>
      <c r="B766" s="243"/>
      <c r="C766" s="46"/>
      <c r="D766" s="123"/>
      <c r="E766" s="243"/>
      <c r="F766" s="40"/>
      <c r="G766" s="40"/>
      <c r="H766" s="40"/>
      <c r="I766" s="40"/>
      <c r="J766" s="40"/>
      <c r="K766" s="46"/>
    </row>
    <row r="767" ht="19.5" customHeight="1">
      <c r="A767" s="220"/>
      <c r="B767" s="243"/>
      <c r="C767" s="46"/>
      <c r="D767" s="123"/>
      <c r="E767" s="243"/>
      <c r="F767" s="40"/>
      <c r="G767" s="40"/>
      <c r="H767" s="40"/>
      <c r="I767" s="40"/>
      <c r="J767" s="40"/>
      <c r="K767" s="46"/>
    </row>
    <row r="768" ht="19.5" customHeight="1">
      <c r="A768" s="220"/>
      <c r="B768" s="243"/>
      <c r="C768" s="46"/>
      <c r="D768" s="123"/>
      <c r="E768" s="243"/>
      <c r="F768" s="40"/>
      <c r="G768" s="40"/>
      <c r="H768" s="40"/>
      <c r="I768" s="40"/>
      <c r="J768" s="40"/>
      <c r="K768" s="46"/>
    </row>
    <row r="769" ht="19.5" customHeight="1">
      <c r="A769" s="220"/>
      <c r="B769" s="243"/>
      <c r="C769" s="46"/>
      <c r="D769" s="123"/>
      <c r="E769" s="243"/>
      <c r="F769" s="40"/>
      <c r="G769" s="40"/>
      <c r="H769" s="40"/>
      <c r="I769" s="40"/>
      <c r="J769" s="40"/>
      <c r="K769" s="46"/>
    </row>
    <row r="770" ht="19.5" customHeight="1">
      <c r="A770" s="220"/>
      <c r="B770" s="243"/>
      <c r="C770" s="46"/>
      <c r="D770" s="123"/>
      <c r="E770" s="243"/>
      <c r="F770" s="40"/>
      <c r="G770" s="40"/>
      <c r="H770" s="40"/>
      <c r="I770" s="40"/>
      <c r="J770" s="40"/>
      <c r="K770" s="46"/>
    </row>
    <row r="771" ht="19.5" customHeight="1">
      <c r="A771" s="220"/>
      <c r="B771" s="243"/>
      <c r="C771" s="46"/>
      <c r="D771" s="123"/>
      <c r="E771" s="243"/>
      <c r="F771" s="40"/>
      <c r="G771" s="40"/>
      <c r="H771" s="40"/>
      <c r="I771" s="40"/>
      <c r="J771" s="40"/>
      <c r="K771" s="46"/>
    </row>
    <row r="772" ht="19.5" customHeight="1">
      <c r="A772" s="220"/>
      <c r="B772" s="243"/>
      <c r="C772" s="46"/>
      <c r="D772" s="123"/>
      <c r="E772" s="243"/>
      <c r="F772" s="40"/>
      <c r="G772" s="40"/>
      <c r="H772" s="40"/>
      <c r="I772" s="40"/>
      <c r="J772" s="40"/>
      <c r="K772" s="46"/>
    </row>
    <row r="773" ht="19.5" customHeight="1">
      <c r="A773" s="220"/>
      <c r="B773" s="243"/>
      <c r="C773" s="46"/>
      <c r="D773" s="123"/>
      <c r="E773" s="243"/>
      <c r="F773" s="40"/>
      <c r="G773" s="40"/>
      <c r="H773" s="40"/>
      <c r="I773" s="40"/>
      <c r="J773" s="40"/>
      <c r="K773" s="46"/>
    </row>
    <row r="774" ht="19.5" customHeight="1">
      <c r="A774" s="220"/>
      <c r="B774" s="243"/>
      <c r="C774" s="46"/>
      <c r="D774" s="123"/>
      <c r="E774" s="243"/>
      <c r="F774" s="40"/>
      <c r="G774" s="40"/>
      <c r="H774" s="40"/>
      <c r="I774" s="40"/>
      <c r="J774" s="40"/>
      <c r="K774" s="46"/>
    </row>
    <row r="775" ht="19.5" customHeight="1">
      <c r="A775" s="220"/>
      <c r="B775" s="243"/>
      <c r="C775" s="46"/>
      <c r="D775" s="123"/>
      <c r="E775" s="243"/>
      <c r="F775" s="40"/>
      <c r="G775" s="40"/>
      <c r="H775" s="40"/>
      <c r="I775" s="40"/>
      <c r="J775" s="40"/>
      <c r="K775" s="46"/>
    </row>
    <row r="776" ht="19.5" customHeight="1">
      <c r="A776" s="220"/>
      <c r="B776" s="243"/>
      <c r="C776" s="46"/>
      <c r="D776" s="123"/>
      <c r="E776" s="243"/>
      <c r="F776" s="40"/>
      <c r="G776" s="40"/>
      <c r="H776" s="40"/>
      <c r="I776" s="40"/>
      <c r="J776" s="40"/>
      <c r="K776" s="46"/>
    </row>
    <row r="777" ht="19.5" customHeight="1">
      <c r="A777" s="220"/>
      <c r="B777" s="243"/>
      <c r="C777" s="46"/>
      <c r="D777" s="123"/>
      <c r="E777" s="243"/>
      <c r="F777" s="40"/>
      <c r="G777" s="40"/>
      <c r="H777" s="40"/>
      <c r="I777" s="40"/>
      <c r="J777" s="40"/>
      <c r="K777" s="46"/>
    </row>
    <row r="778" ht="19.5" customHeight="1">
      <c r="A778" s="220"/>
      <c r="B778" s="243"/>
      <c r="C778" s="46"/>
      <c r="D778" s="123"/>
      <c r="E778" s="243"/>
      <c r="F778" s="40"/>
      <c r="G778" s="40"/>
      <c r="H778" s="40"/>
      <c r="I778" s="40"/>
      <c r="J778" s="40"/>
      <c r="K778" s="46"/>
    </row>
    <row r="779" ht="19.5" customHeight="1">
      <c r="A779" s="220"/>
      <c r="B779" s="243"/>
      <c r="C779" s="46"/>
      <c r="D779" s="123"/>
      <c r="E779" s="243"/>
      <c r="F779" s="40"/>
      <c r="G779" s="40"/>
      <c r="H779" s="40"/>
      <c r="I779" s="40"/>
      <c r="J779" s="40"/>
      <c r="K779" s="46"/>
    </row>
    <row r="780" ht="19.5" customHeight="1">
      <c r="A780" s="220"/>
      <c r="B780" s="243"/>
      <c r="C780" s="46"/>
      <c r="D780" s="123"/>
      <c r="E780" s="243"/>
      <c r="F780" s="40"/>
      <c r="G780" s="40"/>
      <c r="H780" s="40"/>
      <c r="I780" s="40"/>
      <c r="J780" s="40"/>
      <c r="K780" s="46"/>
    </row>
    <row r="781" ht="19.5" customHeight="1">
      <c r="A781" s="220"/>
      <c r="B781" s="243"/>
      <c r="C781" s="46"/>
      <c r="D781" s="123"/>
      <c r="E781" s="243"/>
      <c r="F781" s="40"/>
      <c r="G781" s="40"/>
      <c r="H781" s="40"/>
      <c r="I781" s="40"/>
      <c r="J781" s="40"/>
      <c r="K781" s="46"/>
    </row>
    <row r="782" ht="19.5" customHeight="1">
      <c r="A782" s="220"/>
      <c r="B782" s="243"/>
      <c r="C782" s="46"/>
      <c r="D782" s="123"/>
      <c r="E782" s="243"/>
      <c r="F782" s="40"/>
      <c r="G782" s="40"/>
      <c r="H782" s="40"/>
      <c r="I782" s="40"/>
      <c r="J782" s="40"/>
      <c r="K782" s="46"/>
    </row>
    <row r="783" ht="19.5" customHeight="1">
      <c r="A783" s="220"/>
      <c r="B783" s="243"/>
      <c r="C783" s="46"/>
      <c r="D783" s="123"/>
      <c r="E783" s="243"/>
      <c r="F783" s="40"/>
      <c r="G783" s="40"/>
      <c r="H783" s="40"/>
      <c r="I783" s="40"/>
      <c r="J783" s="40"/>
      <c r="K783" s="46"/>
    </row>
    <row r="784" ht="19.5" customHeight="1">
      <c r="A784" s="220"/>
      <c r="B784" s="243"/>
      <c r="C784" s="46"/>
      <c r="D784" s="123"/>
      <c r="E784" s="243"/>
      <c r="F784" s="40"/>
      <c r="G784" s="40"/>
      <c r="H784" s="40"/>
      <c r="I784" s="40"/>
      <c r="J784" s="40"/>
      <c r="K784" s="46"/>
    </row>
    <row r="785" ht="19.5" customHeight="1">
      <c r="A785" s="220"/>
      <c r="B785" s="243"/>
      <c r="C785" s="46"/>
      <c r="D785" s="123"/>
      <c r="E785" s="243"/>
      <c r="F785" s="40"/>
      <c r="G785" s="40"/>
      <c r="H785" s="40"/>
      <c r="I785" s="40"/>
      <c r="J785" s="40"/>
      <c r="K785" s="46"/>
    </row>
    <row r="786" ht="19.5" customHeight="1">
      <c r="A786" s="220"/>
      <c r="B786" s="243"/>
      <c r="C786" s="46"/>
      <c r="D786" s="123"/>
      <c r="E786" s="243"/>
      <c r="F786" s="40"/>
      <c r="G786" s="40"/>
      <c r="H786" s="40"/>
      <c r="I786" s="40"/>
      <c r="J786" s="40"/>
      <c r="K786" s="46"/>
    </row>
    <row r="787" ht="19.5" customHeight="1">
      <c r="A787" s="220"/>
      <c r="B787" s="243"/>
      <c r="C787" s="46"/>
      <c r="D787" s="123"/>
      <c r="E787" s="243"/>
      <c r="F787" s="40"/>
      <c r="G787" s="40"/>
      <c r="H787" s="40"/>
      <c r="I787" s="40"/>
      <c r="J787" s="40"/>
      <c r="K787" s="46"/>
    </row>
    <row r="788" ht="19.5" customHeight="1">
      <c r="A788" s="220"/>
      <c r="B788" s="243"/>
      <c r="C788" s="46"/>
      <c r="D788" s="123"/>
      <c r="E788" s="243"/>
      <c r="F788" s="40"/>
      <c r="G788" s="40"/>
      <c r="H788" s="40"/>
      <c r="I788" s="40"/>
      <c r="J788" s="40"/>
      <c r="K788" s="46"/>
    </row>
    <row r="789" ht="19.5" customHeight="1">
      <c r="A789" s="220"/>
      <c r="B789" s="243"/>
      <c r="C789" s="46"/>
      <c r="D789" s="123"/>
      <c r="E789" s="243"/>
      <c r="F789" s="40"/>
      <c r="G789" s="40"/>
      <c r="H789" s="40"/>
      <c r="I789" s="40"/>
      <c r="J789" s="40"/>
      <c r="K789" s="46"/>
    </row>
    <row r="790" ht="19.5" customHeight="1">
      <c r="A790" s="220"/>
      <c r="B790" s="243"/>
      <c r="C790" s="46"/>
      <c r="D790" s="123"/>
      <c r="E790" s="243"/>
      <c r="F790" s="40"/>
      <c r="G790" s="40"/>
      <c r="H790" s="40"/>
      <c r="I790" s="40"/>
      <c r="J790" s="40"/>
      <c r="K790" s="46"/>
    </row>
    <row r="791" ht="19.5" customHeight="1">
      <c r="A791" s="220"/>
      <c r="B791" s="243"/>
      <c r="C791" s="46"/>
      <c r="D791" s="123"/>
      <c r="E791" s="243"/>
      <c r="F791" s="40"/>
      <c r="G791" s="40"/>
      <c r="H791" s="40"/>
      <c r="I791" s="40"/>
      <c r="J791" s="40"/>
      <c r="K791" s="46"/>
    </row>
    <row r="792" ht="19.5" customHeight="1">
      <c r="A792" s="220"/>
      <c r="B792" s="243"/>
      <c r="C792" s="46"/>
      <c r="D792" s="123"/>
      <c r="E792" s="243"/>
      <c r="F792" s="40"/>
      <c r="G792" s="40"/>
      <c r="H792" s="40"/>
      <c r="I792" s="40"/>
      <c r="J792" s="40"/>
      <c r="K792" s="46"/>
    </row>
    <row r="793" ht="19.5" customHeight="1">
      <c r="A793" s="220"/>
      <c r="B793" s="243"/>
      <c r="C793" s="46"/>
      <c r="D793" s="123"/>
      <c r="E793" s="243"/>
      <c r="F793" s="40"/>
      <c r="G793" s="40"/>
      <c r="H793" s="40"/>
      <c r="I793" s="40"/>
      <c r="J793" s="40"/>
      <c r="K793" s="46"/>
    </row>
    <row r="794" ht="19.5" customHeight="1">
      <c r="A794" s="220"/>
      <c r="B794" s="243"/>
      <c r="C794" s="46"/>
      <c r="D794" s="123"/>
      <c r="E794" s="243"/>
      <c r="F794" s="40"/>
      <c r="G794" s="40"/>
      <c r="H794" s="40"/>
      <c r="I794" s="40"/>
      <c r="J794" s="40"/>
      <c r="K794" s="46"/>
    </row>
    <row r="795" ht="19.5" customHeight="1">
      <c r="A795" s="220"/>
      <c r="B795" s="243"/>
      <c r="C795" s="46"/>
      <c r="D795" s="123"/>
      <c r="E795" s="243"/>
      <c r="F795" s="40"/>
      <c r="G795" s="40"/>
      <c r="H795" s="40"/>
      <c r="I795" s="40"/>
      <c r="J795" s="40"/>
      <c r="K795" s="46"/>
    </row>
    <row r="796" ht="19.5" customHeight="1">
      <c r="A796" s="220"/>
      <c r="B796" s="243"/>
      <c r="C796" s="46"/>
      <c r="D796" s="123"/>
      <c r="E796" s="243"/>
      <c r="F796" s="40"/>
      <c r="G796" s="40"/>
      <c r="H796" s="40"/>
      <c r="I796" s="40"/>
      <c r="J796" s="40"/>
      <c r="K796" s="46"/>
    </row>
    <row r="797" ht="19.5" customHeight="1">
      <c r="A797" s="220"/>
      <c r="B797" s="243"/>
      <c r="C797" s="46"/>
      <c r="D797" s="123"/>
      <c r="E797" s="243"/>
      <c r="F797" s="40"/>
      <c r="G797" s="40"/>
      <c r="H797" s="40"/>
      <c r="I797" s="40"/>
      <c r="J797" s="40"/>
      <c r="K797" s="46"/>
    </row>
    <row r="798" ht="19.5" customHeight="1">
      <c r="A798" s="220"/>
      <c r="B798" s="243"/>
      <c r="C798" s="46"/>
      <c r="D798" s="123"/>
      <c r="E798" s="243"/>
      <c r="F798" s="40"/>
      <c r="G798" s="40"/>
      <c r="H798" s="40"/>
      <c r="I798" s="40"/>
      <c r="J798" s="40"/>
      <c r="K798" s="46"/>
    </row>
    <row r="799" ht="19.5" customHeight="1">
      <c r="A799" s="220"/>
      <c r="B799" s="243"/>
      <c r="C799" s="46"/>
      <c r="D799" s="123"/>
      <c r="E799" s="243"/>
      <c r="F799" s="40"/>
      <c r="G799" s="40"/>
      <c r="H799" s="40"/>
      <c r="I799" s="40"/>
      <c r="J799" s="40"/>
      <c r="K799" s="46"/>
    </row>
    <row r="800" ht="19.5" customHeight="1">
      <c r="A800" s="220"/>
      <c r="B800" s="243"/>
      <c r="C800" s="46"/>
      <c r="D800" s="123"/>
      <c r="E800" s="243"/>
      <c r="F800" s="40"/>
      <c r="G800" s="40"/>
      <c r="H800" s="40"/>
      <c r="I800" s="40"/>
      <c r="J800" s="40"/>
      <c r="K800" s="46"/>
    </row>
    <row r="801" ht="19.5" customHeight="1">
      <c r="A801" s="220"/>
      <c r="B801" s="243"/>
      <c r="C801" s="46"/>
      <c r="D801" s="123"/>
      <c r="E801" s="243"/>
      <c r="F801" s="40"/>
      <c r="G801" s="40"/>
      <c r="H801" s="40"/>
      <c r="I801" s="40"/>
      <c r="J801" s="40"/>
      <c r="K801" s="46"/>
    </row>
    <row r="802" ht="19.5" customHeight="1">
      <c r="A802" s="220"/>
      <c r="B802" s="243"/>
      <c r="C802" s="46"/>
      <c r="D802" s="123"/>
      <c r="E802" s="243"/>
      <c r="F802" s="40"/>
      <c r="G802" s="40"/>
      <c r="H802" s="40"/>
      <c r="I802" s="40"/>
      <c r="J802" s="40"/>
      <c r="K802" s="46"/>
    </row>
    <row r="803" ht="19.5" customHeight="1">
      <c r="A803" s="220"/>
      <c r="B803" s="243"/>
      <c r="C803" s="46"/>
      <c r="D803" s="123"/>
      <c r="E803" s="243"/>
      <c r="F803" s="40"/>
      <c r="G803" s="40"/>
      <c r="H803" s="40"/>
      <c r="I803" s="40"/>
      <c r="J803" s="40"/>
      <c r="K803" s="46"/>
    </row>
    <row r="804" ht="19.5" customHeight="1">
      <c r="A804" s="220"/>
      <c r="B804" s="243"/>
      <c r="C804" s="46"/>
      <c r="D804" s="123"/>
      <c r="E804" s="243"/>
      <c r="F804" s="40"/>
      <c r="G804" s="40"/>
      <c r="H804" s="40"/>
      <c r="I804" s="40"/>
      <c r="J804" s="40"/>
      <c r="K804" s="46"/>
    </row>
    <row r="805" ht="19.5" customHeight="1">
      <c r="A805" s="220"/>
      <c r="B805" s="243"/>
      <c r="C805" s="46"/>
      <c r="D805" s="123"/>
      <c r="E805" s="243"/>
      <c r="F805" s="40"/>
      <c r="G805" s="40"/>
      <c r="H805" s="40"/>
      <c r="I805" s="40"/>
      <c r="J805" s="40"/>
      <c r="K805" s="46"/>
    </row>
    <row r="806" ht="19.5" customHeight="1">
      <c r="A806" s="220"/>
      <c r="B806" s="243"/>
      <c r="C806" s="46"/>
      <c r="D806" s="123"/>
      <c r="E806" s="243"/>
      <c r="F806" s="40"/>
      <c r="G806" s="40"/>
      <c r="H806" s="40"/>
      <c r="I806" s="40"/>
      <c r="J806" s="40"/>
      <c r="K806" s="46"/>
    </row>
    <row r="807" ht="19.5" customHeight="1">
      <c r="A807" s="220"/>
      <c r="B807" s="243"/>
      <c r="C807" s="46"/>
      <c r="D807" s="123"/>
      <c r="E807" s="243"/>
      <c r="F807" s="40"/>
      <c r="G807" s="40"/>
      <c r="H807" s="40"/>
      <c r="I807" s="40"/>
      <c r="J807" s="40"/>
      <c r="K807" s="46"/>
    </row>
    <row r="808" ht="19.5" customHeight="1">
      <c r="A808" s="220"/>
      <c r="B808" s="243"/>
      <c r="C808" s="46"/>
      <c r="D808" s="123"/>
      <c r="E808" s="243"/>
      <c r="F808" s="40"/>
      <c r="G808" s="40"/>
      <c r="H808" s="40"/>
      <c r="I808" s="40"/>
      <c r="J808" s="40"/>
      <c r="K808" s="46"/>
    </row>
    <row r="809" ht="19.5" customHeight="1">
      <c r="A809" s="220"/>
      <c r="B809" s="243"/>
      <c r="C809" s="46"/>
      <c r="D809" s="123"/>
      <c r="E809" s="243"/>
      <c r="F809" s="40"/>
      <c r="G809" s="40"/>
      <c r="H809" s="40"/>
      <c r="I809" s="40"/>
      <c r="J809" s="40"/>
      <c r="K809" s="46"/>
    </row>
    <row r="810" ht="19.5" customHeight="1">
      <c r="A810" s="220"/>
      <c r="B810" s="243"/>
      <c r="C810" s="46"/>
      <c r="D810" s="123"/>
      <c r="E810" s="243"/>
      <c r="F810" s="40"/>
      <c r="G810" s="40"/>
      <c r="H810" s="40"/>
      <c r="I810" s="40"/>
      <c r="J810" s="40"/>
      <c r="K810" s="46"/>
    </row>
    <row r="811" ht="19.5" customHeight="1">
      <c r="A811" s="220"/>
      <c r="B811" s="243"/>
      <c r="C811" s="46"/>
      <c r="D811" s="123"/>
      <c r="E811" s="243"/>
      <c r="F811" s="40"/>
      <c r="G811" s="40"/>
      <c r="H811" s="40"/>
      <c r="I811" s="40"/>
      <c r="J811" s="40"/>
      <c r="K811" s="46"/>
    </row>
    <row r="812" ht="19.5" customHeight="1">
      <c r="A812" s="220"/>
      <c r="B812" s="243"/>
      <c r="C812" s="46"/>
      <c r="D812" s="123"/>
      <c r="E812" s="243"/>
      <c r="F812" s="40"/>
      <c r="G812" s="40"/>
      <c r="H812" s="40"/>
      <c r="I812" s="40"/>
      <c r="J812" s="40"/>
      <c r="K812" s="46"/>
    </row>
    <row r="813" ht="19.5" customHeight="1">
      <c r="A813" s="220"/>
      <c r="B813" s="243"/>
      <c r="C813" s="46"/>
      <c r="D813" s="123"/>
      <c r="E813" s="243"/>
      <c r="F813" s="40"/>
      <c r="G813" s="40"/>
      <c r="H813" s="40"/>
      <c r="I813" s="40"/>
      <c r="J813" s="40"/>
      <c r="K813" s="46"/>
    </row>
    <row r="814" ht="19.5" customHeight="1">
      <c r="A814" s="220"/>
      <c r="B814" s="243"/>
      <c r="C814" s="46"/>
      <c r="D814" s="123"/>
      <c r="E814" s="243"/>
      <c r="F814" s="40"/>
      <c r="G814" s="40"/>
      <c r="H814" s="40"/>
      <c r="I814" s="40"/>
      <c r="J814" s="40"/>
      <c r="K814" s="46"/>
    </row>
    <row r="815" ht="19.5" customHeight="1">
      <c r="A815" s="220"/>
      <c r="B815" s="243"/>
      <c r="C815" s="46"/>
      <c r="D815" s="123"/>
      <c r="E815" s="243"/>
      <c r="F815" s="40"/>
      <c r="G815" s="40"/>
      <c r="H815" s="40"/>
      <c r="I815" s="40"/>
      <c r="J815" s="40"/>
      <c r="K815" s="46"/>
    </row>
    <row r="816" ht="19.5" customHeight="1">
      <c r="A816" s="220"/>
      <c r="B816" s="243"/>
      <c r="C816" s="46"/>
      <c r="D816" s="123"/>
      <c r="E816" s="243"/>
      <c r="F816" s="40"/>
      <c r="G816" s="40"/>
      <c r="H816" s="40"/>
      <c r="I816" s="40"/>
      <c r="J816" s="40"/>
      <c r="K816" s="46"/>
    </row>
    <row r="817" ht="19.5" customHeight="1">
      <c r="A817" s="220"/>
      <c r="B817" s="243"/>
      <c r="C817" s="46"/>
      <c r="D817" s="123"/>
      <c r="E817" s="243"/>
      <c r="F817" s="40"/>
      <c r="G817" s="40"/>
      <c r="H817" s="40"/>
      <c r="I817" s="40"/>
      <c r="J817" s="40"/>
      <c r="K817" s="46"/>
    </row>
    <row r="818" ht="19.5" customHeight="1">
      <c r="A818" s="220"/>
      <c r="B818" s="243"/>
      <c r="C818" s="46"/>
      <c r="D818" s="123"/>
      <c r="E818" s="243"/>
      <c r="F818" s="40"/>
      <c r="G818" s="40"/>
      <c r="H818" s="40"/>
      <c r="I818" s="40"/>
      <c r="J818" s="40"/>
      <c r="K818" s="46"/>
    </row>
    <row r="819" ht="19.5" customHeight="1">
      <c r="A819" s="220"/>
      <c r="B819" s="243"/>
      <c r="C819" s="46"/>
      <c r="D819" s="123"/>
      <c r="E819" s="243"/>
      <c r="F819" s="40"/>
      <c r="G819" s="40"/>
      <c r="H819" s="40"/>
      <c r="I819" s="40"/>
      <c r="J819" s="40"/>
      <c r="K819" s="46"/>
    </row>
    <row r="820" ht="19.5" customHeight="1">
      <c r="A820" s="220"/>
      <c r="B820" s="243"/>
      <c r="C820" s="46"/>
      <c r="D820" s="123"/>
      <c r="E820" s="243"/>
      <c r="F820" s="40"/>
      <c r="G820" s="40"/>
      <c r="H820" s="40"/>
      <c r="I820" s="40"/>
      <c r="J820" s="40"/>
      <c r="K820" s="46"/>
    </row>
    <row r="821" ht="19.5" customHeight="1">
      <c r="A821" s="220"/>
      <c r="B821" s="243"/>
      <c r="C821" s="46"/>
      <c r="D821" s="123"/>
      <c r="E821" s="243"/>
      <c r="F821" s="40"/>
      <c r="G821" s="40"/>
      <c r="H821" s="40"/>
      <c r="I821" s="40"/>
      <c r="J821" s="40"/>
      <c r="K821" s="46"/>
    </row>
    <row r="822" ht="19.5" customHeight="1">
      <c r="A822" s="220"/>
      <c r="B822" s="243"/>
      <c r="C822" s="46"/>
      <c r="D822" s="123"/>
      <c r="E822" s="243"/>
      <c r="F822" s="40"/>
      <c r="G822" s="40"/>
      <c r="H822" s="40"/>
      <c r="I822" s="40"/>
      <c r="J822" s="40"/>
      <c r="K822" s="46"/>
    </row>
    <row r="823" ht="19.5" customHeight="1">
      <c r="A823" s="220"/>
      <c r="B823" s="243"/>
      <c r="C823" s="46"/>
      <c r="D823" s="123"/>
      <c r="E823" s="243"/>
      <c r="F823" s="40"/>
      <c r="G823" s="40"/>
      <c r="H823" s="40"/>
      <c r="I823" s="40"/>
      <c r="J823" s="40"/>
      <c r="K823" s="46"/>
    </row>
    <row r="824" ht="19.5" customHeight="1">
      <c r="A824" s="220"/>
      <c r="B824" s="243"/>
      <c r="C824" s="46"/>
      <c r="D824" s="123"/>
      <c r="E824" s="243"/>
      <c r="F824" s="40"/>
      <c r="G824" s="40"/>
      <c r="H824" s="40"/>
      <c r="I824" s="40"/>
      <c r="J824" s="40"/>
      <c r="K824" s="46"/>
    </row>
    <row r="825" ht="19.5" customHeight="1">
      <c r="A825" s="220"/>
      <c r="B825" s="243"/>
      <c r="C825" s="46"/>
      <c r="D825" s="123"/>
      <c r="E825" s="243"/>
      <c r="F825" s="40"/>
      <c r="G825" s="40"/>
      <c r="H825" s="40"/>
      <c r="I825" s="40"/>
      <c r="J825" s="40"/>
      <c r="K825" s="46"/>
    </row>
    <row r="826" ht="19.5" customHeight="1">
      <c r="A826" s="220"/>
      <c r="B826" s="243"/>
      <c r="C826" s="46"/>
      <c r="D826" s="123"/>
      <c r="E826" s="243"/>
      <c r="F826" s="40"/>
      <c r="G826" s="40"/>
      <c r="H826" s="40"/>
      <c r="I826" s="40"/>
      <c r="J826" s="40"/>
      <c r="K826" s="46"/>
    </row>
    <row r="827" ht="19.5" customHeight="1">
      <c r="A827" s="220"/>
      <c r="B827" s="243"/>
      <c r="C827" s="46"/>
      <c r="D827" s="123"/>
      <c r="E827" s="243"/>
      <c r="F827" s="40"/>
      <c r="G827" s="40"/>
      <c r="H827" s="40"/>
      <c r="I827" s="40"/>
      <c r="J827" s="40"/>
      <c r="K827" s="46"/>
    </row>
    <row r="828" ht="19.5" customHeight="1">
      <c r="A828" s="220"/>
      <c r="B828" s="243"/>
      <c r="C828" s="46"/>
      <c r="D828" s="123"/>
      <c r="E828" s="243"/>
      <c r="F828" s="40"/>
      <c r="G828" s="40"/>
      <c r="H828" s="40"/>
      <c r="I828" s="40"/>
      <c r="J828" s="40"/>
      <c r="K828" s="46"/>
    </row>
    <row r="829" ht="19.5" customHeight="1">
      <c r="A829" s="220"/>
      <c r="B829" s="243"/>
      <c r="C829" s="46"/>
      <c r="D829" s="123"/>
      <c r="E829" s="243"/>
      <c r="F829" s="40"/>
      <c r="G829" s="40"/>
      <c r="H829" s="40"/>
      <c r="I829" s="40"/>
      <c r="J829" s="40"/>
      <c r="K829" s="46"/>
    </row>
    <row r="830" ht="19.5" customHeight="1">
      <c r="A830" s="220"/>
      <c r="B830" s="243"/>
      <c r="C830" s="46"/>
      <c r="D830" s="123"/>
      <c r="E830" s="243"/>
      <c r="F830" s="40"/>
      <c r="G830" s="40"/>
      <c r="H830" s="40"/>
      <c r="I830" s="40"/>
      <c r="J830" s="40"/>
      <c r="K830" s="46"/>
    </row>
    <row r="831" ht="19.5" customHeight="1">
      <c r="A831" s="220"/>
      <c r="B831" s="243"/>
      <c r="C831" s="46"/>
      <c r="D831" s="123"/>
      <c r="E831" s="243"/>
      <c r="F831" s="40"/>
      <c r="G831" s="40"/>
      <c r="H831" s="40"/>
      <c r="I831" s="40"/>
      <c r="J831" s="40"/>
      <c r="K831" s="46"/>
    </row>
    <row r="832" ht="19.5" customHeight="1">
      <c r="A832" s="220"/>
      <c r="B832" s="243"/>
      <c r="C832" s="46"/>
      <c r="D832" s="123"/>
      <c r="E832" s="243"/>
      <c r="F832" s="40"/>
      <c r="G832" s="40"/>
      <c r="H832" s="40"/>
      <c r="I832" s="40"/>
      <c r="J832" s="40"/>
      <c r="K832" s="46"/>
    </row>
    <row r="833" ht="19.5" customHeight="1">
      <c r="A833" s="220"/>
      <c r="B833" s="243"/>
      <c r="C833" s="46"/>
      <c r="D833" s="123"/>
      <c r="E833" s="243"/>
      <c r="F833" s="40"/>
      <c r="G833" s="40"/>
      <c r="H833" s="40"/>
      <c r="I833" s="40"/>
      <c r="J833" s="40"/>
      <c r="K833" s="46"/>
    </row>
    <row r="834" ht="19.5" customHeight="1">
      <c r="A834" s="220"/>
      <c r="B834" s="243"/>
      <c r="C834" s="46"/>
      <c r="D834" s="123"/>
      <c r="E834" s="243"/>
      <c r="F834" s="40"/>
      <c r="G834" s="40"/>
      <c r="H834" s="40"/>
      <c r="I834" s="40"/>
      <c r="J834" s="40"/>
      <c r="K834" s="46"/>
    </row>
    <row r="835" ht="19.5" customHeight="1">
      <c r="A835" s="220"/>
      <c r="B835" s="243"/>
      <c r="C835" s="46"/>
      <c r="D835" s="123"/>
      <c r="E835" s="243"/>
      <c r="F835" s="40"/>
      <c r="G835" s="40"/>
      <c r="H835" s="40"/>
      <c r="I835" s="40"/>
      <c r="J835" s="40"/>
      <c r="K835" s="46"/>
    </row>
    <row r="836" ht="19.5" customHeight="1">
      <c r="A836" s="220"/>
      <c r="B836" s="243"/>
      <c r="C836" s="46"/>
      <c r="D836" s="123"/>
      <c r="E836" s="243"/>
      <c r="F836" s="40"/>
      <c r="G836" s="40"/>
      <c r="H836" s="40"/>
      <c r="I836" s="40"/>
      <c r="J836" s="40"/>
      <c r="K836" s="46"/>
    </row>
    <row r="837" ht="19.5" customHeight="1">
      <c r="A837" s="220"/>
      <c r="B837" s="243"/>
      <c r="C837" s="46"/>
      <c r="D837" s="123"/>
      <c r="E837" s="243"/>
      <c r="F837" s="40"/>
      <c r="G837" s="40"/>
      <c r="H837" s="40"/>
      <c r="I837" s="40"/>
      <c r="J837" s="40"/>
      <c r="K837" s="46"/>
    </row>
    <row r="838" ht="19.5" customHeight="1">
      <c r="A838" s="220"/>
      <c r="B838" s="243"/>
      <c r="C838" s="46"/>
      <c r="D838" s="123"/>
      <c r="E838" s="243"/>
      <c r="F838" s="40"/>
      <c r="G838" s="40"/>
      <c r="H838" s="40"/>
      <c r="I838" s="40"/>
      <c r="J838" s="40"/>
      <c r="K838" s="46"/>
    </row>
    <row r="839" ht="19.5" customHeight="1">
      <c r="A839" s="220"/>
      <c r="B839" s="243"/>
      <c r="C839" s="46"/>
      <c r="D839" s="123"/>
      <c r="E839" s="243"/>
      <c r="F839" s="40"/>
      <c r="G839" s="40"/>
      <c r="H839" s="40"/>
      <c r="I839" s="40"/>
      <c r="J839" s="40"/>
      <c r="K839" s="46"/>
    </row>
    <row r="840" ht="19.5" customHeight="1">
      <c r="A840" s="220"/>
      <c r="B840" s="243"/>
      <c r="C840" s="46"/>
      <c r="D840" s="123"/>
      <c r="E840" s="243"/>
      <c r="F840" s="40"/>
      <c r="G840" s="40"/>
      <c r="H840" s="40"/>
      <c r="I840" s="40"/>
      <c r="J840" s="40"/>
      <c r="K840" s="46"/>
    </row>
    <row r="841" ht="19.5" customHeight="1">
      <c r="A841" s="220"/>
      <c r="B841" s="243"/>
      <c r="C841" s="46"/>
      <c r="D841" s="123"/>
      <c r="E841" s="243"/>
      <c r="F841" s="40"/>
      <c r="G841" s="40"/>
      <c r="H841" s="40"/>
      <c r="I841" s="40"/>
      <c r="J841" s="40"/>
      <c r="K841" s="46"/>
    </row>
    <row r="842" ht="19.5" customHeight="1">
      <c r="A842" s="220"/>
      <c r="B842" s="243"/>
      <c r="C842" s="46"/>
      <c r="D842" s="123"/>
      <c r="E842" s="243"/>
      <c r="F842" s="40"/>
      <c r="G842" s="40"/>
      <c r="H842" s="40"/>
      <c r="I842" s="40"/>
      <c r="J842" s="40"/>
      <c r="K842" s="46"/>
    </row>
    <row r="843" ht="19.5" customHeight="1">
      <c r="A843" s="220"/>
      <c r="B843" s="243"/>
      <c r="C843" s="46"/>
      <c r="D843" s="123"/>
      <c r="E843" s="243"/>
      <c r="F843" s="40"/>
      <c r="G843" s="40"/>
      <c r="H843" s="40"/>
      <c r="I843" s="40"/>
      <c r="J843" s="40"/>
      <c r="K843" s="46"/>
    </row>
    <row r="844" ht="19.5" customHeight="1">
      <c r="A844" s="220"/>
      <c r="B844" s="243"/>
      <c r="C844" s="46"/>
      <c r="D844" s="123"/>
      <c r="E844" s="243"/>
      <c r="F844" s="40"/>
      <c r="G844" s="40"/>
      <c r="H844" s="40"/>
      <c r="I844" s="40"/>
      <c r="J844" s="40"/>
      <c r="K844" s="46"/>
    </row>
    <row r="845" ht="19.5" customHeight="1">
      <c r="A845" s="220"/>
      <c r="B845" s="243"/>
      <c r="C845" s="46"/>
      <c r="D845" s="123"/>
      <c r="E845" s="243"/>
      <c r="F845" s="40"/>
      <c r="G845" s="40"/>
      <c r="H845" s="40"/>
      <c r="I845" s="40"/>
      <c r="J845" s="40"/>
      <c r="K845" s="46"/>
    </row>
    <row r="846" ht="19.5" customHeight="1">
      <c r="A846" s="220"/>
      <c r="B846" s="243"/>
      <c r="C846" s="46"/>
      <c r="D846" s="123"/>
      <c r="E846" s="243"/>
      <c r="F846" s="40"/>
      <c r="G846" s="40"/>
      <c r="H846" s="40"/>
      <c r="I846" s="40"/>
      <c r="J846" s="40"/>
      <c r="K846" s="46"/>
    </row>
    <row r="847" ht="19.5" customHeight="1">
      <c r="A847" s="220"/>
      <c r="B847" s="243"/>
      <c r="C847" s="46"/>
      <c r="D847" s="123"/>
      <c r="E847" s="243"/>
      <c r="F847" s="40"/>
      <c r="G847" s="40"/>
      <c r="H847" s="40"/>
      <c r="I847" s="40"/>
      <c r="J847" s="40"/>
      <c r="K847" s="46"/>
    </row>
    <row r="848" ht="19.5" customHeight="1">
      <c r="A848" s="220"/>
      <c r="B848" s="243"/>
      <c r="C848" s="46"/>
      <c r="D848" s="123"/>
      <c r="E848" s="243"/>
      <c r="F848" s="40"/>
      <c r="G848" s="40"/>
      <c r="H848" s="40"/>
      <c r="I848" s="40"/>
      <c r="J848" s="40"/>
      <c r="K848" s="46"/>
    </row>
    <row r="849" ht="19.5" customHeight="1">
      <c r="A849" s="220"/>
      <c r="B849" s="243"/>
      <c r="C849" s="46"/>
      <c r="D849" s="123"/>
      <c r="E849" s="243"/>
      <c r="F849" s="40"/>
      <c r="G849" s="40"/>
      <c r="H849" s="40"/>
      <c r="I849" s="40"/>
      <c r="J849" s="40"/>
      <c r="K849" s="46"/>
    </row>
    <row r="850" ht="19.5" customHeight="1">
      <c r="A850" s="220"/>
      <c r="B850" s="243"/>
      <c r="C850" s="46"/>
      <c r="D850" s="123"/>
      <c r="E850" s="243"/>
      <c r="F850" s="40"/>
      <c r="G850" s="40"/>
      <c r="H850" s="40"/>
      <c r="I850" s="40"/>
      <c r="J850" s="40"/>
      <c r="K850" s="46"/>
    </row>
    <row r="851" ht="19.5" customHeight="1">
      <c r="A851" s="220"/>
      <c r="B851" s="243"/>
      <c r="C851" s="46"/>
      <c r="D851" s="123"/>
      <c r="E851" s="243"/>
      <c r="F851" s="40"/>
      <c r="G851" s="40"/>
      <c r="H851" s="40"/>
      <c r="I851" s="40"/>
      <c r="J851" s="40"/>
      <c r="K851" s="46"/>
    </row>
    <row r="852" ht="19.5" customHeight="1">
      <c r="A852" s="220"/>
      <c r="B852" s="243"/>
      <c r="C852" s="46"/>
      <c r="D852" s="123"/>
      <c r="E852" s="243"/>
      <c r="F852" s="40"/>
      <c r="G852" s="40"/>
      <c r="H852" s="40"/>
      <c r="I852" s="40"/>
      <c r="J852" s="40"/>
      <c r="K852" s="46"/>
    </row>
    <row r="853" ht="19.5" customHeight="1">
      <c r="A853" s="220"/>
      <c r="B853" s="243"/>
      <c r="C853" s="46"/>
      <c r="D853" s="123"/>
      <c r="E853" s="243"/>
      <c r="F853" s="40"/>
      <c r="G853" s="40"/>
      <c r="H853" s="40"/>
      <c r="I853" s="40"/>
      <c r="J853" s="40"/>
      <c r="K853" s="46"/>
    </row>
    <row r="854" ht="19.5" customHeight="1">
      <c r="A854" s="220"/>
      <c r="B854" s="243"/>
      <c r="C854" s="46"/>
      <c r="D854" s="123"/>
      <c r="E854" s="243"/>
      <c r="F854" s="40"/>
      <c r="G854" s="40"/>
      <c r="H854" s="40"/>
      <c r="I854" s="40"/>
      <c r="J854" s="40"/>
      <c r="K854" s="46"/>
    </row>
    <row r="855" ht="19.5" customHeight="1">
      <c r="A855" s="220"/>
      <c r="B855" s="243"/>
      <c r="C855" s="46"/>
      <c r="D855" s="123"/>
      <c r="E855" s="243"/>
      <c r="F855" s="40"/>
      <c r="G855" s="40"/>
      <c r="H855" s="40"/>
      <c r="I855" s="40"/>
      <c r="J855" s="40"/>
      <c r="K855" s="46"/>
    </row>
    <row r="856" ht="19.5" customHeight="1">
      <c r="A856" s="220"/>
      <c r="B856" s="243"/>
      <c r="C856" s="46"/>
      <c r="D856" s="123"/>
      <c r="E856" s="243"/>
      <c r="F856" s="40"/>
      <c r="G856" s="40"/>
      <c r="H856" s="40"/>
      <c r="I856" s="40"/>
      <c r="J856" s="40"/>
      <c r="K856" s="46"/>
    </row>
    <row r="857" ht="19.5" customHeight="1">
      <c r="A857" s="220"/>
      <c r="B857" s="243"/>
      <c r="C857" s="46"/>
      <c r="D857" s="123"/>
      <c r="E857" s="243"/>
      <c r="F857" s="40"/>
      <c r="G857" s="40"/>
      <c r="H857" s="40"/>
      <c r="I857" s="40"/>
      <c r="J857" s="40"/>
      <c r="K857" s="46"/>
    </row>
    <row r="858" ht="19.5" customHeight="1">
      <c r="A858" s="220"/>
      <c r="B858" s="243"/>
      <c r="C858" s="46"/>
      <c r="D858" s="123"/>
      <c r="E858" s="243"/>
      <c r="F858" s="40"/>
      <c r="G858" s="40"/>
      <c r="H858" s="40"/>
      <c r="I858" s="40"/>
      <c r="J858" s="40"/>
      <c r="K858" s="46"/>
    </row>
    <row r="859" ht="19.5" customHeight="1">
      <c r="A859" s="220"/>
      <c r="B859" s="243"/>
      <c r="C859" s="46"/>
      <c r="D859" s="123"/>
      <c r="E859" s="243"/>
      <c r="F859" s="40"/>
      <c r="G859" s="40"/>
      <c r="H859" s="40"/>
      <c r="I859" s="40"/>
      <c r="J859" s="40"/>
      <c r="K859" s="46"/>
    </row>
    <row r="860" ht="19.5" customHeight="1">
      <c r="A860" s="220"/>
      <c r="B860" s="243"/>
      <c r="C860" s="46"/>
      <c r="D860" s="123"/>
      <c r="E860" s="243"/>
      <c r="F860" s="40"/>
      <c r="G860" s="40"/>
      <c r="H860" s="40"/>
      <c r="I860" s="40"/>
      <c r="J860" s="40"/>
      <c r="K860" s="46"/>
    </row>
    <row r="861" ht="19.5" customHeight="1">
      <c r="A861" s="220"/>
      <c r="B861" s="243"/>
      <c r="C861" s="46"/>
      <c r="D861" s="123"/>
      <c r="E861" s="243"/>
      <c r="F861" s="40"/>
      <c r="G861" s="40"/>
      <c r="H861" s="40"/>
      <c r="I861" s="40"/>
      <c r="J861" s="40"/>
      <c r="K861" s="46"/>
    </row>
    <row r="862" ht="19.5" customHeight="1">
      <c r="A862" s="220"/>
      <c r="B862" s="243"/>
      <c r="C862" s="46"/>
      <c r="D862" s="123"/>
      <c r="E862" s="243"/>
      <c r="F862" s="40"/>
      <c r="G862" s="40"/>
      <c r="H862" s="40"/>
      <c r="I862" s="40"/>
      <c r="J862" s="40"/>
      <c r="K862" s="46"/>
    </row>
    <row r="863" ht="19.5" customHeight="1">
      <c r="A863" s="220"/>
      <c r="B863" s="243"/>
      <c r="C863" s="46"/>
      <c r="D863" s="123"/>
      <c r="E863" s="243"/>
      <c r="F863" s="40"/>
      <c r="G863" s="40"/>
      <c r="H863" s="40"/>
      <c r="I863" s="40"/>
      <c r="J863" s="40"/>
      <c r="K863" s="46"/>
    </row>
    <row r="864" ht="19.5" customHeight="1">
      <c r="A864" s="220"/>
      <c r="B864" s="243"/>
      <c r="C864" s="46"/>
      <c r="D864" s="123"/>
      <c r="E864" s="243"/>
      <c r="F864" s="40"/>
      <c r="G864" s="40"/>
      <c r="H864" s="40"/>
      <c r="I864" s="40"/>
      <c r="J864" s="40"/>
      <c r="K864" s="46"/>
    </row>
    <row r="865" ht="19.5" customHeight="1">
      <c r="A865" s="220"/>
      <c r="B865" s="243"/>
      <c r="C865" s="46"/>
      <c r="D865" s="123"/>
      <c r="E865" s="243"/>
      <c r="F865" s="40"/>
      <c r="G865" s="40"/>
      <c r="H865" s="40"/>
      <c r="I865" s="40"/>
      <c r="J865" s="40"/>
      <c r="K865" s="46"/>
    </row>
    <row r="866" ht="19.5" customHeight="1">
      <c r="A866" s="220"/>
      <c r="B866" s="243"/>
      <c r="C866" s="46"/>
      <c r="D866" s="123"/>
      <c r="E866" s="243"/>
      <c r="F866" s="40"/>
      <c r="G866" s="40"/>
      <c r="H866" s="40"/>
      <c r="I866" s="40"/>
      <c r="J866" s="40"/>
      <c r="K866" s="46"/>
    </row>
    <row r="867" ht="19.5" customHeight="1">
      <c r="A867" s="220"/>
      <c r="B867" s="243"/>
      <c r="C867" s="46"/>
      <c r="D867" s="123"/>
      <c r="E867" s="243"/>
      <c r="F867" s="40"/>
      <c r="G867" s="40"/>
      <c r="H867" s="40"/>
      <c r="I867" s="40"/>
      <c r="J867" s="40"/>
      <c r="K867" s="46"/>
    </row>
    <row r="868" ht="19.5" customHeight="1">
      <c r="A868" s="220"/>
      <c r="B868" s="243"/>
      <c r="C868" s="46"/>
      <c r="D868" s="123"/>
      <c r="E868" s="243"/>
      <c r="F868" s="40"/>
      <c r="G868" s="40"/>
      <c r="H868" s="40"/>
      <c r="I868" s="40"/>
      <c r="J868" s="40"/>
      <c r="K868" s="46"/>
    </row>
    <row r="869" ht="19.5" customHeight="1">
      <c r="A869" s="220"/>
      <c r="B869" s="243"/>
      <c r="C869" s="46"/>
      <c r="D869" s="123"/>
      <c r="E869" s="243"/>
      <c r="F869" s="40"/>
      <c r="G869" s="40"/>
      <c r="H869" s="40"/>
      <c r="I869" s="40"/>
      <c r="J869" s="40"/>
      <c r="K869" s="46"/>
    </row>
    <row r="870" ht="19.5" customHeight="1">
      <c r="A870" s="220"/>
      <c r="B870" s="243"/>
      <c r="C870" s="46"/>
      <c r="D870" s="123"/>
      <c r="E870" s="243"/>
      <c r="F870" s="40"/>
      <c r="G870" s="40"/>
      <c r="H870" s="40"/>
      <c r="I870" s="40"/>
      <c r="J870" s="40"/>
      <c r="K870" s="46"/>
    </row>
    <row r="871" ht="19.5" customHeight="1">
      <c r="A871" s="220"/>
      <c r="B871" s="243"/>
      <c r="C871" s="46"/>
      <c r="D871" s="123"/>
      <c r="E871" s="243"/>
      <c r="F871" s="40"/>
      <c r="G871" s="40"/>
      <c r="H871" s="40"/>
      <c r="I871" s="40"/>
      <c r="J871" s="40"/>
      <c r="K871" s="46"/>
    </row>
    <row r="872" ht="19.5" customHeight="1">
      <c r="A872" s="220"/>
      <c r="B872" s="243"/>
      <c r="C872" s="46"/>
      <c r="D872" s="123"/>
      <c r="E872" s="243"/>
      <c r="F872" s="40"/>
      <c r="G872" s="40"/>
      <c r="H872" s="40"/>
      <c r="I872" s="40"/>
      <c r="J872" s="40"/>
      <c r="K872" s="46"/>
    </row>
    <row r="873" ht="19.5" customHeight="1">
      <c r="A873" s="220"/>
      <c r="B873" s="243"/>
      <c r="C873" s="46"/>
      <c r="D873" s="123"/>
      <c r="E873" s="243"/>
      <c r="F873" s="40"/>
      <c r="G873" s="40"/>
      <c r="H873" s="40"/>
      <c r="I873" s="40"/>
      <c r="J873" s="40"/>
      <c r="K873" s="46"/>
    </row>
    <row r="874" ht="19.5" customHeight="1">
      <c r="A874" s="220"/>
      <c r="B874" s="243"/>
      <c r="C874" s="46"/>
      <c r="D874" s="123"/>
      <c r="E874" s="243"/>
      <c r="F874" s="40"/>
      <c r="G874" s="40"/>
      <c r="H874" s="40"/>
      <c r="I874" s="40"/>
      <c r="J874" s="40"/>
      <c r="K874" s="46"/>
    </row>
    <row r="875" ht="19.5" customHeight="1">
      <c r="A875" s="220"/>
      <c r="B875" s="243"/>
      <c r="C875" s="46"/>
      <c r="D875" s="123"/>
      <c r="E875" s="243"/>
      <c r="F875" s="40"/>
      <c r="G875" s="40"/>
      <c r="H875" s="40"/>
      <c r="I875" s="40"/>
      <c r="J875" s="40"/>
      <c r="K875" s="46"/>
    </row>
    <row r="876" ht="19.5" customHeight="1">
      <c r="A876" s="220"/>
      <c r="B876" s="243"/>
      <c r="C876" s="46"/>
      <c r="D876" s="123"/>
      <c r="E876" s="243"/>
      <c r="F876" s="40"/>
      <c r="G876" s="40"/>
      <c r="H876" s="40"/>
      <c r="I876" s="40"/>
      <c r="J876" s="40"/>
      <c r="K876" s="46"/>
    </row>
    <row r="877" ht="19.5" customHeight="1">
      <c r="A877" s="220"/>
      <c r="B877" s="243"/>
      <c r="C877" s="46"/>
      <c r="D877" s="123"/>
      <c r="E877" s="243"/>
      <c r="F877" s="40"/>
      <c r="G877" s="40"/>
      <c r="H877" s="40"/>
      <c r="I877" s="40"/>
      <c r="J877" s="40"/>
      <c r="K877" s="46"/>
    </row>
    <row r="878" ht="19.5" customHeight="1">
      <c r="A878" s="220"/>
      <c r="B878" s="243"/>
      <c r="C878" s="46"/>
      <c r="D878" s="123"/>
      <c r="E878" s="243"/>
      <c r="F878" s="40"/>
      <c r="G878" s="40"/>
      <c r="H878" s="40"/>
      <c r="I878" s="40"/>
      <c r="J878" s="40"/>
      <c r="K878" s="46"/>
    </row>
    <row r="879" ht="19.5" customHeight="1">
      <c r="A879" s="220"/>
      <c r="B879" s="243"/>
      <c r="C879" s="46"/>
      <c r="D879" s="123"/>
      <c r="E879" s="243"/>
      <c r="F879" s="40"/>
      <c r="G879" s="40"/>
      <c r="H879" s="40"/>
      <c r="I879" s="40"/>
      <c r="J879" s="40"/>
      <c r="K879" s="46"/>
    </row>
    <row r="880" ht="19.5" customHeight="1">
      <c r="A880" s="220"/>
      <c r="B880" s="243"/>
      <c r="C880" s="46"/>
      <c r="D880" s="123"/>
      <c r="E880" s="243"/>
      <c r="F880" s="40"/>
      <c r="G880" s="40"/>
      <c r="H880" s="40"/>
      <c r="I880" s="40"/>
      <c r="J880" s="40"/>
      <c r="K880" s="46"/>
    </row>
    <row r="881" ht="19.5" customHeight="1">
      <c r="A881" s="220"/>
      <c r="B881" s="243"/>
      <c r="C881" s="46"/>
      <c r="D881" s="123"/>
      <c r="E881" s="243"/>
      <c r="F881" s="40"/>
      <c r="G881" s="40"/>
      <c r="H881" s="40"/>
      <c r="I881" s="40"/>
      <c r="J881" s="40"/>
      <c r="K881" s="46"/>
    </row>
    <row r="882" ht="19.5" customHeight="1">
      <c r="A882" s="220"/>
      <c r="B882" s="243"/>
      <c r="C882" s="46"/>
      <c r="D882" s="123"/>
      <c r="E882" s="243"/>
      <c r="F882" s="40"/>
      <c r="G882" s="40"/>
      <c r="H882" s="40"/>
      <c r="I882" s="40"/>
      <c r="J882" s="40"/>
      <c r="K882" s="46"/>
    </row>
    <row r="883" ht="19.5" customHeight="1">
      <c r="A883" s="220"/>
      <c r="B883" s="243"/>
      <c r="C883" s="46"/>
      <c r="D883" s="123"/>
      <c r="E883" s="243"/>
      <c r="F883" s="40"/>
      <c r="G883" s="40"/>
      <c r="H883" s="40"/>
      <c r="I883" s="40"/>
      <c r="J883" s="40"/>
      <c r="K883" s="46"/>
    </row>
    <row r="884" ht="19.5" customHeight="1">
      <c r="A884" s="220"/>
      <c r="B884" s="243"/>
      <c r="C884" s="46"/>
      <c r="D884" s="123"/>
      <c r="E884" s="243"/>
      <c r="F884" s="40"/>
      <c r="G884" s="40"/>
      <c r="H884" s="40"/>
      <c r="I884" s="40"/>
      <c r="J884" s="40"/>
      <c r="K884" s="46"/>
    </row>
    <row r="885" ht="19.5" customHeight="1">
      <c r="A885" s="220"/>
      <c r="B885" s="243"/>
      <c r="C885" s="46"/>
      <c r="D885" s="123"/>
      <c r="E885" s="243"/>
      <c r="F885" s="40"/>
      <c r="G885" s="40"/>
      <c r="H885" s="40"/>
      <c r="I885" s="40"/>
      <c r="J885" s="40"/>
      <c r="K885" s="46"/>
    </row>
    <row r="886" ht="19.5" customHeight="1">
      <c r="A886" s="220"/>
      <c r="B886" s="243"/>
      <c r="C886" s="46"/>
      <c r="D886" s="123"/>
      <c r="E886" s="243"/>
      <c r="F886" s="40"/>
      <c r="G886" s="40"/>
      <c r="H886" s="40"/>
      <c r="I886" s="40"/>
      <c r="J886" s="40"/>
      <c r="K886" s="46"/>
    </row>
    <row r="887" ht="19.5" customHeight="1">
      <c r="A887" s="220"/>
      <c r="B887" s="243"/>
      <c r="C887" s="46"/>
      <c r="D887" s="123"/>
      <c r="E887" s="243"/>
      <c r="F887" s="40"/>
      <c r="G887" s="40"/>
      <c r="H887" s="40"/>
      <c r="I887" s="40"/>
      <c r="J887" s="40"/>
      <c r="K887" s="46"/>
    </row>
    <row r="888" ht="19.5" customHeight="1">
      <c r="A888" s="220"/>
      <c r="B888" s="243"/>
      <c r="C888" s="46"/>
      <c r="D888" s="123"/>
      <c r="E888" s="243"/>
      <c r="F888" s="40"/>
      <c r="G888" s="40"/>
      <c r="H888" s="40"/>
      <c r="I888" s="40"/>
      <c r="J888" s="40"/>
      <c r="K888" s="46"/>
    </row>
    <row r="889" ht="19.5" customHeight="1">
      <c r="A889" s="220"/>
      <c r="B889" s="243"/>
      <c r="C889" s="46"/>
      <c r="D889" s="123"/>
      <c r="E889" s="243"/>
      <c r="F889" s="40"/>
      <c r="G889" s="40"/>
      <c r="H889" s="40"/>
      <c r="I889" s="40"/>
      <c r="J889" s="40"/>
      <c r="K889" s="46"/>
    </row>
    <row r="890" ht="19.5" customHeight="1">
      <c r="A890" s="220"/>
      <c r="B890" s="243"/>
      <c r="C890" s="46"/>
      <c r="D890" s="123"/>
      <c r="E890" s="243"/>
      <c r="F890" s="40"/>
      <c r="G890" s="40"/>
      <c r="H890" s="40"/>
      <c r="I890" s="40"/>
      <c r="J890" s="40"/>
      <c r="K890" s="46"/>
    </row>
    <row r="891" ht="19.5" customHeight="1">
      <c r="A891" s="220"/>
      <c r="B891" s="243"/>
      <c r="C891" s="46"/>
      <c r="D891" s="123"/>
      <c r="E891" s="243"/>
      <c r="F891" s="40"/>
      <c r="G891" s="40"/>
      <c r="H891" s="40"/>
      <c r="I891" s="40"/>
      <c r="J891" s="40"/>
      <c r="K891" s="46"/>
    </row>
    <row r="892" ht="19.5" customHeight="1">
      <c r="A892" s="220"/>
      <c r="B892" s="243"/>
      <c r="C892" s="46"/>
      <c r="D892" s="123"/>
      <c r="E892" s="243"/>
      <c r="F892" s="40"/>
      <c r="G892" s="40"/>
      <c r="H892" s="40"/>
      <c r="I892" s="40"/>
      <c r="J892" s="40"/>
      <c r="K892" s="46"/>
    </row>
    <row r="893" ht="19.5" customHeight="1">
      <c r="A893" s="220"/>
      <c r="B893" s="243"/>
      <c r="C893" s="46"/>
      <c r="D893" s="123"/>
      <c r="E893" s="243"/>
      <c r="F893" s="40"/>
      <c r="G893" s="40"/>
      <c r="H893" s="40"/>
      <c r="I893" s="40"/>
      <c r="J893" s="40"/>
      <c r="K893" s="46"/>
    </row>
    <row r="894" ht="19.5" customHeight="1">
      <c r="A894" s="220"/>
      <c r="B894" s="243"/>
      <c r="C894" s="46"/>
      <c r="D894" s="123"/>
      <c r="E894" s="243"/>
      <c r="F894" s="40"/>
      <c r="G894" s="40"/>
      <c r="H894" s="40"/>
      <c r="I894" s="40"/>
      <c r="J894" s="40"/>
      <c r="K894" s="46"/>
    </row>
    <row r="895" ht="19.5" customHeight="1">
      <c r="A895" s="220"/>
      <c r="B895" s="243"/>
      <c r="C895" s="46"/>
      <c r="D895" s="123"/>
      <c r="E895" s="243"/>
      <c r="F895" s="40"/>
      <c r="G895" s="40"/>
      <c r="H895" s="40"/>
      <c r="I895" s="40"/>
      <c r="J895" s="40"/>
      <c r="K895" s="46"/>
    </row>
    <row r="896" ht="19.5" customHeight="1">
      <c r="A896" s="220"/>
      <c r="B896" s="243"/>
      <c r="C896" s="46"/>
      <c r="D896" s="123"/>
      <c r="E896" s="243"/>
      <c r="F896" s="40"/>
      <c r="G896" s="40"/>
      <c r="H896" s="40"/>
      <c r="I896" s="40"/>
      <c r="J896" s="40"/>
      <c r="K896" s="46"/>
    </row>
    <row r="897" ht="19.5" customHeight="1">
      <c r="A897" s="220"/>
      <c r="B897" s="243"/>
      <c r="C897" s="46"/>
      <c r="D897" s="123"/>
      <c r="E897" s="243"/>
      <c r="F897" s="40"/>
      <c r="G897" s="40"/>
      <c r="H897" s="40"/>
      <c r="I897" s="40"/>
      <c r="J897" s="40"/>
      <c r="K897" s="46"/>
    </row>
    <row r="898" ht="19.5" customHeight="1">
      <c r="A898" s="220"/>
      <c r="B898" s="243"/>
      <c r="C898" s="46"/>
      <c r="D898" s="123"/>
      <c r="E898" s="243"/>
      <c r="F898" s="40"/>
      <c r="G898" s="40"/>
      <c r="H898" s="40"/>
      <c r="I898" s="40"/>
      <c r="J898" s="40"/>
      <c r="K898" s="46"/>
    </row>
    <row r="899" ht="19.5" customHeight="1">
      <c r="A899" s="220"/>
      <c r="B899" s="243"/>
      <c r="C899" s="46"/>
      <c r="D899" s="123"/>
      <c r="E899" s="243"/>
      <c r="F899" s="40"/>
      <c r="G899" s="40"/>
      <c r="H899" s="40"/>
      <c r="I899" s="40"/>
      <c r="J899" s="40"/>
      <c r="K899" s="46"/>
    </row>
    <row r="900" ht="19.5" customHeight="1">
      <c r="A900" s="220"/>
      <c r="B900" s="243"/>
      <c r="C900" s="46"/>
      <c r="D900" s="123"/>
      <c r="E900" s="243"/>
      <c r="F900" s="40"/>
      <c r="G900" s="40"/>
      <c r="H900" s="40"/>
      <c r="I900" s="40"/>
      <c r="J900" s="40"/>
      <c r="K900" s="46"/>
    </row>
    <row r="901" ht="19.5" customHeight="1">
      <c r="A901" s="220"/>
      <c r="B901" s="243"/>
      <c r="C901" s="46"/>
      <c r="D901" s="123"/>
      <c r="E901" s="243"/>
      <c r="F901" s="40"/>
      <c r="G901" s="40"/>
      <c r="H901" s="40"/>
      <c r="I901" s="40"/>
      <c r="J901" s="40"/>
      <c r="K901" s="46"/>
    </row>
    <row r="902" ht="19.5" customHeight="1">
      <c r="A902" s="220"/>
      <c r="B902" s="243"/>
      <c r="C902" s="46"/>
      <c r="D902" s="123"/>
      <c r="E902" s="243"/>
      <c r="F902" s="40"/>
      <c r="G902" s="40"/>
      <c r="H902" s="40"/>
      <c r="I902" s="40"/>
      <c r="J902" s="40"/>
      <c r="K902" s="46"/>
    </row>
    <row r="903" ht="19.5" customHeight="1">
      <c r="A903" s="220"/>
      <c r="B903" s="243"/>
      <c r="C903" s="46"/>
      <c r="D903" s="123"/>
      <c r="E903" s="243"/>
      <c r="F903" s="40"/>
      <c r="G903" s="40"/>
      <c r="H903" s="40"/>
      <c r="I903" s="40"/>
      <c r="J903" s="40"/>
      <c r="K903" s="46"/>
    </row>
    <row r="904" ht="19.5" customHeight="1">
      <c r="A904" s="220"/>
      <c r="B904" s="243"/>
      <c r="C904" s="46"/>
      <c r="D904" s="123"/>
      <c r="E904" s="243"/>
      <c r="F904" s="40"/>
      <c r="G904" s="40"/>
      <c r="H904" s="40"/>
      <c r="I904" s="40"/>
      <c r="J904" s="40"/>
      <c r="K904" s="46"/>
    </row>
    <row r="905" ht="19.5" customHeight="1">
      <c r="A905" s="220"/>
      <c r="B905" s="243"/>
      <c r="C905" s="46"/>
      <c r="D905" s="123"/>
      <c r="E905" s="243"/>
      <c r="F905" s="40"/>
      <c r="G905" s="40"/>
      <c r="H905" s="40"/>
      <c r="I905" s="40"/>
      <c r="J905" s="40"/>
      <c r="K905" s="46"/>
    </row>
    <row r="906" ht="19.5" customHeight="1">
      <c r="A906" s="220"/>
      <c r="B906" s="243"/>
      <c r="C906" s="46"/>
      <c r="D906" s="123"/>
      <c r="E906" s="243"/>
      <c r="F906" s="40"/>
      <c r="G906" s="40"/>
      <c r="H906" s="40"/>
      <c r="I906" s="40"/>
      <c r="J906" s="40"/>
      <c r="K906" s="46"/>
    </row>
    <row r="907" ht="19.5" customHeight="1">
      <c r="A907" s="220"/>
      <c r="B907" s="243"/>
      <c r="C907" s="46"/>
      <c r="D907" s="123"/>
      <c r="E907" s="243"/>
      <c r="F907" s="40"/>
      <c r="G907" s="40"/>
      <c r="H907" s="40"/>
      <c r="I907" s="40"/>
      <c r="J907" s="40"/>
      <c r="K907" s="46"/>
    </row>
    <row r="908" ht="19.5" customHeight="1">
      <c r="A908" s="220"/>
      <c r="B908" s="243"/>
      <c r="C908" s="46"/>
      <c r="D908" s="123"/>
      <c r="E908" s="243"/>
      <c r="F908" s="40"/>
      <c r="G908" s="40"/>
      <c r="H908" s="40"/>
      <c r="I908" s="40"/>
      <c r="J908" s="40"/>
      <c r="K908" s="46"/>
    </row>
    <row r="909" ht="19.5" customHeight="1">
      <c r="A909" s="220"/>
      <c r="B909" s="243"/>
      <c r="C909" s="46"/>
      <c r="D909" s="123"/>
      <c r="E909" s="243"/>
      <c r="F909" s="40"/>
      <c r="G909" s="40"/>
      <c r="H909" s="40"/>
      <c r="I909" s="40"/>
      <c r="J909" s="40"/>
      <c r="K909" s="46"/>
    </row>
    <row r="910" ht="19.5" customHeight="1">
      <c r="A910" s="220"/>
      <c r="B910" s="243"/>
      <c r="C910" s="46"/>
      <c r="D910" s="123"/>
      <c r="E910" s="243"/>
      <c r="F910" s="40"/>
      <c r="G910" s="40"/>
      <c r="H910" s="40"/>
      <c r="I910" s="40"/>
      <c r="J910" s="40"/>
      <c r="K910" s="46"/>
    </row>
    <row r="911" ht="19.5" customHeight="1">
      <c r="A911" s="220"/>
      <c r="B911" s="243"/>
      <c r="C911" s="46"/>
      <c r="D911" s="123"/>
      <c r="E911" s="243"/>
      <c r="F911" s="40"/>
      <c r="G911" s="40"/>
      <c r="H911" s="40"/>
      <c r="I911" s="40"/>
      <c r="J911" s="40"/>
      <c r="K911" s="46"/>
    </row>
    <row r="912" ht="19.5" customHeight="1">
      <c r="A912" s="220"/>
      <c r="B912" s="243"/>
      <c r="C912" s="46"/>
      <c r="D912" s="123"/>
      <c r="E912" s="243"/>
      <c r="F912" s="40"/>
      <c r="G912" s="40"/>
      <c r="H912" s="40"/>
      <c r="I912" s="40"/>
      <c r="J912" s="40"/>
      <c r="K912" s="46"/>
    </row>
    <row r="913" ht="19.5" customHeight="1">
      <c r="A913" s="220"/>
      <c r="B913" s="243"/>
      <c r="C913" s="46"/>
      <c r="D913" s="123"/>
      <c r="E913" s="243"/>
      <c r="F913" s="40"/>
      <c r="G913" s="40"/>
      <c r="H913" s="40"/>
      <c r="I913" s="40"/>
      <c r="J913" s="40"/>
      <c r="K913" s="46"/>
    </row>
    <row r="914" ht="19.5" customHeight="1">
      <c r="A914" s="220"/>
      <c r="B914" s="243"/>
      <c r="C914" s="46"/>
      <c r="D914" s="123"/>
      <c r="E914" s="243"/>
      <c r="F914" s="40"/>
      <c r="G914" s="40"/>
      <c r="H914" s="40"/>
      <c r="I914" s="40"/>
      <c r="J914" s="40"/>
      <c r="K914" s="46"/>
    </row>
    <row r="915" ht="19.5" customHeight="1">
      <c r="A915" s="220"/>
      <c r="B915" s="243"/>
      <c r="C915" s="46"/>
      <c r="D915" s="123"/>
      <c r="E915" s="243"/>
      <c r="F915" s="40"/>
      <c r="G915" s="40"/>
      <c r="H915" s="40"/>
      <c r="I915" s="40"/>
      <c r="J915" s="40"/>
      <c r="K915" s="46"/>
    </row>
    <row r="916" ht="19.5" customHeight="1">
      <c r="A916" s="220"/>
      <c r="B916" s="243"/>
      <c r="C916" s="46"/>
      <c r="D916" s="123"/>
      <c r="E916" s="243"/>
      <c r="F916" s="40"/>
      <c r="G916" s="40"/>
      <c r="H916" s="40"/>
      <c r="I916" s="40"/>
      <c r="J916" s="40"/>
      <c r="K916" s="46"/>
    </row>
    <row r="917" ht="19.5" customHeight="1">
      <c r="A917" s="220"/>
      <c r="B917" s="243"/>
      <c r="C917" s="46"/>
      <c r="D917" s="123"/>
      <c r="E917" s="243"/>
      <c r="F917" s="40"/>
      <c r="G917" s="40"/>
      <c r="H917" s="40"/>
      <c r="I917" s="40"/>
      <c r="J917" s="40"/>
      <c r="K917" s="46"/>
    </row>
    <row r="918" ht="19.5" customHeight="1">
      <c r="A918" s="220"/>
      <c r="B918" s="243"/>
      <c r="C918" s="46"/>
      <c r="D918" s="123"/>
      <c r="E918" s="243"/>
      <c r="F918" s="40"/>
      <c r="G918" s="40"/>
      <c r="H918" s="40"/>
      <c r="I918" s="40"/>
      <c r="J918" s="40"/>
      <c r="K918" s="46"/>
    </row>
    <row r="919" ht="19.5" customHeight="1">
      <c r="A919" s="220"/>
      <c r="B919" s="243"/>
      <c r="C919" s="46"/>
      <c r="D919" s="123"/>
      <c r="E919" s="243"/>
      <c r="F919" s="40"/>
      <c r="G919" s="40"/>
      <c r="H919" s="40"/>
      <c r="I919" s="40"/>
      <c r="J919" s="40"/>
      <c r="K919" s="46"/>
    </row>
    <row r="920" ht="19.5" customHeight="1">
      <c r="A920" s="220"/>
      <c r="B920" s="243"/>
      <c r="C920" s="46"/>
      <c r="D920" s="123"/>
      <c r="E920" s="243"/>
      <c r="F920" s="40"/>
      <c r="G920" s="40"/>
      <c r="H920" s="40"/>
      <c r="I920" s="40"/>
      <c r="J920" s="40"/>
      <c r="K920" s="46"/>
    </row>
    <row r="921" ht="19.5" customHeight="1">
      <c r="A921" s="220"/>
      <c r="B921" s="243"/>
      <c r="C921" s="46"/>
      <c r="D921" s="123"/>
      <c r="E921" s="243"/>
      <c r="F921" s="40"/>
      <c r="G921" s="40"/>
      <c r="H921" s="40"/>
      <c r="I921" s="40"/>
      <c r="J921" s="40"/>
      <c r="K921" s="46"/>
    </row>
    <row r="922" ht="19.5" customHeight="1">
      <c r="A922" s="220"/>
      <c r="B922" s="243"/>
      <c r="C922" s="46"/>
      <c r="D922" s="123"/>
      <c r="E922" s="243"/>
      <c r="F922" s="40"/>
      <c r="G922" s="40"/>
      <c r="H922" s="40"/>
      <c r="I922" s="40"/>
      <c r="J922" s="40"/>
      <c r="K922" s="46"/>
    </row>
    <row r="923" ht="19.5" customHeight="1">
      <c r="A923" s="220"/>
      <c r="B923" s="243"/>
      <c r="C923" s="46"/>
      <c r="D923" s="123"/>
      <c r="E923" s="243"/>
      <c r="F923" s="40"/>
      <c r="G923" s="40"/>
      <c r="H923" s="40"/>
      <c r="I923" s="40"/>
      <c r="J923" s="40"/>
      <c r="K923" s="46"/>
    </row>
    <row r="924" ht="19.5" customHeight="1">
      <c r="A924" s="220"/>
      <c r="B924" s="243"/>
      <c r="C924" s="46"/>
      <c r="D924" s="123"/>
      <c r="E924" s="243"/>
      <c r="F924" s="40"/>
      <c r="G924" s="40"/>
      <c r="H924" s="40"/>
      <c r="I924" s="40"/>
      <c r="J924" s="40"/>
      <c r="K924" s="46"/>
    </row>
    <row r="925" ht="19.5" customHeight="1">
      <c r="A925" s="220"/>
      <c r="B925" s="243"/>
      <c r="C925" s="46"/>
      <c r="D925" s="123"/>
      <c r="E925" s="243"/>
      <c r="F925" s="40"/>
      <c r="G925" s="40"/>
      <c r="H925" s="40"/>
      <c r="I925" s="40"/>
      <c r="J925" s="40"/>
      <c r="K925" s="46"/>
    </row>
    <row r="926" ht="19.5" customHeight="1">
      <c r="A926" s="220"/>
      <c r="B926" s="243"/>
      <c r="C926" s="46"/>
      <c r="D926" s="123"/>
      <c r="E926" s="243"/>
      <c r="F926" s="40"/>
      <c r="G926" s="40"/>
      <c r="H926" s="40"/>
      <c r="I926" s="40"/>
      <c r="J926" s="40"/>
      <c r="K926" s="46"/>
    </row>
    <row r="927" ht="19.5" customHeight="1">
      <c r="A927" s="220"/>
      <c r="B927" s="243"/>
      <c r="C927" s="46"/>
      <c r="D927" s="123"/>
      <c r="E927" s="243"/>
      <c r="F927" s="40"/>
      <c r="G927" s="40"/>
      <c r="H927" s="40"/>
      <c r="I927" s="40"/>
      <c r="J927" s="40"/>
      <c r="K927" s="46"/>
    </row>
    <row r="928" ht="19.5" customHeight="1">
      <c r="A928" s="220"/>
      <c r="B928" s="243"/>
      <c r="C928" s="46"/>
      <c r="D928" s="123"/>
      <c r="E928" s="243"/>
      <c r="F928" s="40"/>
      <c r="G928" s="40"/>
      <c r="H928" s="40"/>
      <c r="I928" s="40"/>
      <c r="J928" s="40"/>
      <c r="K928" s="46"/>
    </row>
    <row r="929" ht="19.5" customHeight="1">
      <c r="A929" s="220"/>
      <c r="B929" s="243"/>
      <c r="C929" s="46"/>
      <c r="D929" s="123"/>
      <c r="E929" s="243"/>
      <c r="F929" s="40"/>
      <c r="G929" s="40"/>
      <c r="H929" s="40"/>
      <c r="I929" s="40"/>
      <c r="J929" s="40"/>
      <c r="K929" s="46"/>
    </row>
    <row r="930" ht="19.5" customHeight="1">
      <c r="A930" s="220"/>
      <c r="B930" s="243"/>
      <c r="C930" s="46"/>
      <c r="D930" s="123"/>
      <c r="E930" s="243"/>
      <c r="F930" s="40"/>
      <c r="G930" s="40"/>
      <c r="H930" s="40"/>
      <c r="I930" s="40"/>
      <c r="J930" s="40"/>
      <c r="K930" s="46"/>
    </row>
    <row r="931" ht="19.5" customHeight="1">
      <c r="A931" s="220"/>
      <c r="B931" s="243"/>
      <c r="C931" s="46"/>
      <c r="D931" s="123"/>
      <c r="E931" s="243"/>
      <c r="F931" s="40"/>
      <c r="G931" s="40"/>
      <c r="H931" s="40"/>
      <c r="I931" s="40"/>
      <c r="J931" s="40"/>
      <c r="K931" s="46"/>
    </row>
    <row r="932" ht="19.5" customHeight="1">
      <c r="A932" s="220"/>
      <c r="B932" s="243"/>
      <c r="C932" s="46"/>
      <c r="D932" s="123"/>
      <c r="E932" s="243"/>
      <c r="F932" s="40"/>
      <c r="G932" s="40"/>
      <c r="H932" s="40"/>
      <c r="I932" s="40"/>
      <c r="J932" s="40"/>
      <c r="K932" s="46"/>
    </row>
    <row r="933" ht="19.5" customHeight="1">
      <c r="A933" s="220"/>
      <c r="B933" s="243"/>
      <c r="C933" s="46"/>
      <c r="D933" s="123"/>
      <c r="E933" s="243"/>
      <c r="F933" s="40"/>
      <c r="G933" s="40"/>
      <c r="H933" s="40"/>
      <c r="I933" s="40"/>
      <c r="J933" s="40"/>
      <c r="K933" s="46"/>
    </row>
    <row r="934" ht="19.5" customHeight="1">
      <c r="A934" s="220"/>
      <c r="B934" s="243"/>
      <c r="C934" s="46"/>
      <c r="D934" s="123"/>
      <c r="E934" s="243"/>
      <c r="F934" s="40"/>
      <c r="G934" s="40"/>
      <c r="H934" s="40"/>
      <c r="I934" s="40"/>
      <c r="J934" s="40"/>
      <c r="K934" s="46"/>
    </row>
    <row r="935" ht="19.5" customHeight="1">
      <c r="A935" s="220"/>
      <c r="B935" s="243"/>
      <c r="C935" s="46"/>
      <c r="D935" s="123"/>
      <c r="E935" s="243"/>
      <c r="F935" s="40"/>
      <c r="G935" s="40"/>
      <c r="H935" s="40"/>
      <c r="I935" s="40"/>
      <c r="J935" s="40"/>
      <c r="K935" s="46"/>
    </row>
    <row r="936" ht="19.5" customHeight="1">
      <c r="A936" s="220"/>
      <c r="B936" s="243"/>
      <c r="C936" s="46"/>
      <c r="D936" s="123"/>
      <c r="E936" s="243"/>
      <c r="F936" s="40"/>
      <c r="G936" s="40"/>
      <c r="H936" s="40"/>
      <c r="I936" s="40"/>
      <c r="J936" s="40"/>
      <c r="K936" s="46"/>
    </row>
    <row r="937" ht="19.5" customHeight="1">
      <c r="A937" s="220"/>
      <c r="B937" s="243"/>
      <c r="C937" s="46"/>
      <c r="D937" s="123"/>
      <c r="E937" s="243"/>
      <c r="F937" s="40"/>
      <c r="G937" s="40"/>
      <c r="H937" s="40"/>
      <c r="I937" s="40"/>
      <c r="J937" s="40"/>
      <c r="K937" s="46"/>
    </row>
    <row r="938" ht="19.5" customHeight="1">
      <c r="A938" s="220"/>
      <c r="B938" s="243"/>
      <c r="C938" s="46"/>
      <c r="D938" s="123"/>
      <c r="E938" s="243"/>
      <c r="F938" s="40"/>
      <c r="G938" s="40"/>
      <c r="H938" s="40"/>
      <c r="I938" s="40"/>
      <c r="J938" s="40"/>
      <c r="K938" s="46"/>
    </row>
    <row r="939" ht="19.5" customHeight="1">
      <c r="A939" s="220"/>
      <c r="B939" s="243"/>
      <c r="C939" s="46"/>
      <c r="D939" s="123"/>
      <c r="E939" s="243"/>
      <c r="F939" s="40"/>
      <c r="G939" s="40"/>
      <c r="H939" s="40"/>
      <c r="I939" s="40"/>
      <c r="J939" s="40"/>
      <c r="K939" s="46"/>
    </row>
    <row r="940" ht="19.5" customHeight="1">
      <c r="A940" s="220"/>
      <c r="B940" s="243"/>
      <c r="C940" s="46"/>
      <c r="D940" s="123"/>
      <c r="E940" s="243"/>
      <c r="F940" s="40"/>
      <c r="G940" s="40"/>
      <c r="H940" s="40"/>
      <c r="I940" s="40"/>
      <c r="J940" s="40"/>
      <c r="K940" s="46"/>
    </row>
    <row r="941" ht="19.5" customHeight="1">
      <c r="A941" s="220"/>
      <c r="B941" s="243"/>
      <c r="C941" s="46"/>
      <c r="D941" s="123"/>
      <c r="E941" s="243"/>
      <c r="F941" s="40"/>
      <c r="G941" s="40"/>
      <c r="H941" s="40"/>
      <c r="I941" s="40"/>
      <c r="J941" s="40"/>
      <c r="K941" s="46"/>
    </row>
    <row r="942" ht="19.5" customHeight="1">
      <c r="A942" s="220"/>
      <c r="B942" s="243"/>
      <c r="C942" s="46"/>
      <c r="D942" s="123"/>
      <c r="E942" s="243"/>
      <c r="F942" s="40"/>
      <c r="G942" s="40"/>
      <c r="H942" s="40"/>
      <c r="I942" s="40"/>
      <c r="J942" s="40"/>
      <c r="K942" s="46"/>
    </row>
    <row r="943" ht="19.5" customHeight="1">
      <c r="A943" s="220"/>
      <c r="B943" s="243"/>
      <c r="C943" s="46"/>
      <c r="D943" s="123"/>
      <c r="E943" s="243"/>
      <c r="F943" s="40"/>
      <c r="G943" s="40"/>
      <c r="H943" s="40"/>
      <c r="I943" s="40"/>
      <c r="J943" s="40"/>
      <c r="K943" s="46"/>
    </row>
    <row r="944" ht="19.5" customHeight="1">
      <c r="A944" s="220"/>
      <c r="B944" s="243"/>
      <c r="C944" s="46"/>
      <c r="D944" s="123"/>
      <c r="E944" s="243"/>
      <c r="F944" s="40"/>
      <c r="G944" s="40"/>
      <c r="H944" s="40"/>
      <c r="I944" s="40"/>
      <c r="J944" s="40"/>
      <c r="K944" s="46"/>
    </row>
    <row r="945" ht="19.5" customHeight="1">
      <c r="A945" s="220"/>
      <c r="B945" s="243"/>
      <c r="C945" s="46"/>
      <c r="D945" s="123"/>
      <c r="E945" s="243"/>
      <c r="F945" s="40"/>
      <c r="G945" s="40"/>
      <c r="H945" s="40"/>
      <c r="I945" s="40"/>
      <c r="J945" s="40"/>
      <c r="K945" s="46"/>
    </row>
    <row r="946" ht="19.5" customHeight="1">
      <c r="A946" s="220"/>
      <c r="B946" s="243"/>
      <c r="C946" s="46"/>
      <c r="D946" s="123"/>
      <c r="E946" s="243"/>
      <c r="F946" s="40"/>
      <c r="G946" s="40"/>
      <c r="H946" s="40"/>
      <c r="I946" s="40"/>
      <c r="J946" s="40"/>
      <c r="K946" s="46"/>
    </row>
    <row r="947" ht="19.5" customHeight="1">
      <c r="A947" s="220"/>
      <c r="B947" s="243"/>
      <c r="C947" s="46"/>
      <c r="D947" s="123"/>
      <c r="E947" s="243"/>
      <c r="F947" s="40"/>
      <c r="G947" s="40"/>
      <c r="H947" s="40"/>
      <c r="I947" s="40"/>
      <c r="J947" s="40"/>
      <c r="K947" s="46"/>
    </row>
    <row r="948" ht="19.5" customHeight="1">
      <c r="A948" s="220"/>
      <c r="B948" s="243"/>
      <c r="C948" s="46"/>
      <c r="D948" s="123"/>
      <c r="E948" s="243"/>
      <c r="F948" s="40"/>
      <c r="G948" s="40"/>
      <c r="H948" s="40"/>
      <c r="I948" s="40"/>
      <c r="J948" s="40"/>
      <c r="K948" s="46"/>
    </row>
    <row r="949" ht="19.5" customHeight="1">
      <c r="A949" s="220"/>
      <c r="B949" s="243"/>
      <c r="C949" s="46"/>
      <c r="D949" s="123"/>
      <c r="E949" s="243"/>
      <c r="F949" s="40"/>
      <c r="G949" s="40"/>
      <c r="H949" s="40"/>
      <c r="I949" s="40"/>
      <c r="J949" s="40"/>
      <c r="K949" s="46"/>
    </row>
    <row r="950" ht="19.5" customHeight="1">
      <c r="A950" s="220"/>
      <c r="B950" s="243"/>
      <c r="C950" s="46"/>
      <c r="D950" s="123"/>
      <c r="E950" s="243"/>
      <c r="F950" s="40"/>
      <c r="G950" s="40"/>
      <c r="H950" s="40"/>
      <c r="I950" s="40"/>
      <c r="J950" s="40"/>
      <c r="K950" s="46"/>
    </row>
    <row r="951" ht="19.5" customHeight="1">
      <c r="A951" s="220"/>
      <c r="B951" s="243"/>
      <c r="C951" s="46"/>
      <c r="D951" s="123"/>
      <c r="E951" s="243"/>
      <c r="F951" s="40"/>
      <c r="G951" s="40"/>
      <c r="H951" s="40"/>
      <c r="I951" s="40"/>
      <c r="J951" s="40"/>
      <c r="K951" s="46"/>
    </row>
    <row r="952" ht="19.5" customHeight="1">
      <c r="A952" s="220"/>
      <c r="B952" s="243"/>
      <c r="C952" s="46"/>
      <c r="D952" s="123"/>
      <c r="E952" s="243"/>
      <c r="F952" s="40"/>
      <c r="G952" s="40"/>
      <c r="H952" s="40"/>
      <c r="I952" s="40"/>
      <c r="J952" s="40"/>
      <c r="K952" s="46"/>
    </row>
    <row r="953" ht="19.5" customHeight="1">
      <c r="A953" s="220"/>
      <c r="B953" s="243"/>
      <c r="C953" s="46"/>
      <c r="D953" s="123"/>
      <c r="E953" s="243"/>
      <c r="F953" s="40"/>
      <c r="G953" s="40"/>
      <c r="H953" s="40"/>
      <c r="I953" s="40"/>
      <c r="J953" s="40"/>
      <c r="K953" s="46"/>
    </row>
    <row r="954" ht="19.5" customHeight="1">
      <c r="A954" s="220"/>
      <c r="B954" s="243"/>
      <c r="C954" s="46"/>
      <c r="D954" s="123"/>
      <c r="E954" s="243"/>
      <c r="F954" s="40"/>
      <c r="G954" s="40"/>
      <c r="H954" s="40"/>
      <c r="I954" s="40"/>
      <c r="J954" s="40"/>
      <c r="K954" s="46"/>
    </row>
    <row r="955" ht="19.5" customHeight="1">
      <c r="A955" s="220"/>
      <c r="B955" s="243"/>
      <c r="C955" s="46"/>
      <c r="D955" s="123"/>
      <c r="E955" s="243"/>
      <c r="F955" s="40"/>
      <c r="G955" s="40"/>
      <c r="H955" s="40"/>
      <c r="I955" s="40"/>
      <c r="J955" s="40"/>
      <c r="K955" s="46"/>
    </row>
    <row r="956" ht="19.5" customHeight="1">
      <c r="A956" s="220"/>
      <c r="B956" s="243"/>
      <c r="C956" s="46"/>
      <c r="D956" s="123"/>
      <c r="E956" s="243"/>
      <c r="F956" s="40"/>
      <c r="G956" s="40"/>
      <c r="H956" s="40"/>
      <c r="I956" s="40"/>
      <c r="J956" s="40"/>
      <c r="K956" s="46"/>
    </row>
    <row r="957" ht="19.5" customHeight="1">
      <c r="A957" s="220"/>
      <c r="B957" s="243"/>
      <c r="C957" s="46"/>
      <c r="D957" s="123"/>
      <c r="E957" s="243"/>
      <c r="F957" s="40"/>
      <c r="G957" s="40"/>
      <c r="H957" s="40"/>
      <c r="I957" s="40"/>
      <c r="J957" s="40"/>
      <c r="K957" s="46"/>
    </row>
    <row r="958" ht="19.5" customHeight="1">
      <c r="A958" s="220"/>
      <c r="B958" s="243"/>
      <c r="C958" s="46"/>
      <c r="D958" s="123"/>
      <c r="E958" s="243"/>
      <c r="F958" s="40"/>
      <c r="G958" s="40"/>
      <c r="H958" s="40"/>
      <c r="I958" s="40"/>
      <c r="J958" s="40"/>
      <c r="K958" s="46"/>
    </row>
    <row r="959" ht="19.5" customHeight="1">
      <c r="A959" s="220"/>
      <c r="B959" s="243"/>
      <c r="C959" s="46"/>
      <c r="D959" s="123"/>
      <c r="E959" s="243"/>
      <c r="F959" s="40"/>
      <c r="G959" s="40"/>
      <c r="H959" s="40"/>
      <c r="I959" s="40"/>
      <c r="J959" s="40"/>
      <c r="K959" s="46"/>
    </row>
    <row r="960" ht="19.5" customHeight="1">
      <c r="A960" s="220"/>
      <c r="B960" s="243"/>
      <c r="C960" s="46"/>
      <c r="D960" s="123"/>
      <c r="E960" s="243"/>
      <c r="F960" s="40"/>
      <c r="G960" s="40"/>
      <c r="H960" s="40"/>
      <c r="I960" s="40"/>
      <c r="J960" s="40"/>
      <c r="K960" s="46"/>
    </row>
    <row r="961" ht="19.5" customHeight="1">
      <c r="A961" s="220"/>
      <c r="B961" s="243"/>
      <c r="C961" s="46"/>
      <c r="D961" s="123"/>
      <c r="E961" s="243"/>
      <c r="F961" s="40"/>
      <c r="G961" s="40"/>
      <c r="H961" s="40"/>
      <c r="I961" s="40"/>
      <c r="J961" s="40"/>
      <c r="K961" s="46"/>
    </row>
    <row r="962" ht="19.5" customHeight="1">
      <c r="A962" s="220"/>
      <c r="B962" s="243"/>
      <c r="C962" s="46"/>
      <c r="D962" s="123"/>
      <c r="E962" s="243"/>
      <c r="F962" s="40"/>
      <c r="G962" s="40"/>
      <c r="H962" s="40"/>
      <c r="I962" s="40"/>
      <c r="J962" s="40"/>
      <c r="K962" s="46"/>
    </row>
    <row r="963" ht="19.5" customHeight="1">
      <c r="A963" s="220"/>
      <c r="B963" s="243"/>
      <c r="C963" s="46"/>
      <c r="D963" s="123"/>
      <c r="E963" s="243"/>
      <c r="F963" s="40"/>
      <c r="G963" s="40"/>
      <c r="H963" s="40"/>
      <c r="I963" s="40"/>
      <c r="J963" s="40"/>
      <c r="K963" s="46"/>
    </row>
    <row r="964" ht="19.5" customHeight="1">
      <c r="A964" s="220"/>
      <c r="B964" s="243"/>
      <c r="C964" s="46"/>
      <c r="D964" s="123"/>
      <c r="E964" s="243"/>
      <c r="F964" s="40"/>
      <c r="G964" s="40"/>
      <c r="H964" s="40"/>
      <c r="I964" s="40"/>
      <c r="J964" s="40"/>
      <c r="K964" s="46"/>
    </row>
    <row r="965" ht="19.5" customHeight="1">
      <c r="A965" s="220"/>
      <c r="B965" s="243"/>
      <c r="C965" s="46"/>
      <c r="D965" s="123"/>
      <c r="E965" s="243"/>
      <c r="F965" s="40"/>
      <c r="G965" s="40"/>
      <c r="H965" s="40"/>
      <c r="I965" s="40"/>
      <c r="J965" s="40"/>
      <c r="K965" s="46"/>
    </row>
    <row r="966" ht="19.5" customHeight="1">
      <c r="A966" s="220"/>
      <c r="B966" s="243"/>
      <c r="C966" s="46"/>
      <c r="D966" s="123"/>
      <c r="E966" s="243"/>
      <c r="F966" s="40"/>
      <c r="G966" s="40"/>
      <c r="H966" s="40"/>
      <c r="I966" s="40"/>
      <c r="J966" s="40"/>
      <c r="K966" s="46"/>
    </row>
    <row r="967" ht="19.5" customHeight="1">
      <c r="A967" s="220"/>
      <c r="B967" s="243"/>
      <c r="C967" s="46"/>
      <c r="D967" s="123"/>
      <c r="E967" s="243"/>
      <c r="F967" s="40"/>
      <c r="G967" s="40"/>
      <c r="H967" s="40"/>
      <c r="I967" s="40"/>
      <c r="J967" s="40"/>
      <c r="K967" s="46"/>
    </row>
    <row r="968" ht="19.5" customHeight="1">
      <c r="A968" s="220"/>
      <c r="B968" s="243"/>
      <c r="C968" s="46"/>
      <c r="D968" s="123"/>
      <c r="E968" s="243"/>
      <c r="F968" s="40"/>
      <c r="G968" s="40"/>
      <c r="H968" s="40"/>
      <c r="I968" s="40"/>
      <c r="J968" s="40"/>
      <c r="K968" s="46"/>
    </row>
    <row r="969" ht="19.5" customHeight="1">
      <c r="A969" s="220"/>
      <c r="B969" s="243"/>
      <c r="C969" s="46"/>
      <c r="D969" s="123"/>
      <c r="E969" s="243"/>
      <c r="F969" s="40"/>
      <c r="G969" s="40"/>
      <c r="H969" s="40"/>
      <c r="I969" s="40"/>
      <c r="J969" s="40"/>
      <c r="K969" s="46"/>
    </row>
    <row r="970" ht="19.5" customHeight="1">
      <c r="A970" s="220"/>
      <c r="B970" s="243"/>
      <c r="C970" s="46"/>
      <c r="D970" s="123"/>
      <c r="E970" s="243"/>
      <c r="F970" s="40"/>
      <c r="G970" s="40"/>
      <c r="H970" s="40"/>
      <c r="I970" s="40"/>
      <c r="J970" s="40"/>
      <c r="K970" s="46"/>
    </row>
    <row r="971" ht="19.5" customHeight="1">
      <c r="A971" s="220"/>
      <c r="B971" s="243"/>
      <c r="C971" s="46"/>
      <c r="D971" s="123"/>
      <c r="E971" s="243"/>
      <c r="F971" s="40"/>
      <c r="G971" s="40"/>
      <c r="H971" s="40"/>
      <c r="I971" s="40"/>
      <c r="J971" s="40"/>
      <c r="K971" s="46"/>
    </row>
    <row r="972" ht="19.5" customHeight="1">
      <c r="A972" s="220"/>
      <c r="B972" s="243"/>
      <c r="C972" s="46"/>
      <c r="D972" s="123"/>
      <c r="E972" s="243"/>
      <c r="F972" s="40"/>
      <c r="G972" s="40"/>
      <c r="H972" s="40"/>
      <c r="I972" s="40"/>
      <c r="J972" s="40"/>
      <c r="K972" s="46"/>
    </row>
    <row r="973" ht="19.5" customHeight="1">
      <c r="A973" s="220"/>
      <c r="B973" s="243"/>
      <c r="C973" s="46"/>
      <c r="D973" s="123"/>
      <c r="E973" s="243"/>
      <c r="F973" s="40"/>
      <c r="G973" s="40"/>
      <c r="H973" s="40"/>
      <c r="I973" s="40"/>
      <c r="J973" s="40"/>
      <c r="K973" s="46"/>
    </row>
    <row r="974" ht="19.5" customHeight="1">
      <c r="A974" s="220"/>
      <c r="B974" s="243"/>
      <c r="C974" s="46"/>
      <c r="D974" s="123"/>
      <c r="E974" s="243"/>
      <c r="F974" s="40"/>
      <c r="G974" s="40"/>
      <c r="H974" s="40"/>
      <c r="I974" s="40"/>
      <c r="J974" s="40"/>
      <c r="K974" s="46"/>
    </row>
    <row r="975" ht="19.5" customHeight="1">
      <c r="A975" s="220"/>
      <c r="B975" s="243"/>
      <c r="C975" s="46"/>
      <c r="D975" s="123"/>
      <c r="E975" s="243"/>
      <c r="F975" s="40"/>
      <c r="G975" s="40"/>
      <c r="H975" s="40"/>
      <c r="I975" s="40"/>
      <c r="J975" s="40"/>
      <c r="K975" s="46"/>
    </row>
    <row r="976" ht="19.5" customHeight="1">
      <c r="A976" s="220"/>
      <c r="B976" s="243"/>
      <c r="C976" s="46"/>
      <c r="D976" s="123"/>
      <c r="E976" s="243"/>
      <c r="F976" s="40"/>
      <c r="G976" s="40"/>
      <c r="H976" s="40"/>
      <c r="I976" s="40"/>
      <c r="J976" s="40"/>
      <c r="K976" s="46"/>
    </row>
    <row r="977" ht="19.5" customHeight="1">
      <c r="A977" s="220"/>
      <c r="B977" s="243"/>
      <c r="C977" s="46"/>
      <c r="D977" s="123"/>
      <c r="E977" s="243"/>
      <c r="F977" s="40"/>
      <c r="G977" s="40"/>
      <c r="H977" s="40"/>
      <c r="I977" s="40"/>
      <c r="J977" s="40"/>
      <c r="K977" s="46"/>
    </row>
    <row r="978" ht="19.5" customHeight="1">
      <c r="A978" s="220"/>
      <c r="B978" s="243"/>
      <c r="C978" s="46"/>
      <c r="D978" s="123"/>
      <c r="E978" s="243"/>
      <c r="F978" s="40"/>
      <c r="G978" s="40"/>
      <c r="H978" s="40"/>
      <c r="I978" s="40"/>
      <c r="J978" s="40"/>
      <c r="K978" s="46"/>
    </row>
    <row r="979" ht="19.5" customHeight="1">
      <c r="A979" s="220"/>
      <c r="B979" s="243"/>
      <c r="C979" s="46"/>
      <c r="D979" s="123"/>
      <c r="E979" s="243"/>
      <c r="F979" s="40"/>
      <c r="G979" s="40"/>
      <c r="H979" s="40"/>
      <c r="I979" s="40"/>
      <c r="J979" s="40"/>
      <c r="K979" s="46"/>
    </row>
    <row r="980" ht="19.5" customHeight="1">
      <c r="A980" s="220"/>
      <c r="B980" s="243"/>
      <c r="C980" s="46"/>
      <c r="D980" s="123"/>
      <c r="E980" s="243"/>
      <c r="F980" s="40"/>
      <c r="G980" s="40"/>
      <c r="H980" s="40"/>
      <c r="I980" s="40"/>
      <c r="J980" s="40"/>
      <c r="K980" s="46"/>
    </row>
    <row r="981" ht="19.5" customHeight="1">
      <c r="A981" s="220"/>
      <c r="B981" s="243"/>
      <c r="C981" s="46"/>
      <c r="D981" s="123"/>
      <c r="E981" s="243"/>
      <c r="F981" s="40"/>
      <c r="G981" s="40"/>
      <c r="H981" s="40"/>
      <c r="I981" s="40"/>
      <c r="J981" s="40"/>
      <c r="K981" s="46"/>
    </row>
    <row r="982" ht="19.5" customHeight="1">
      <c r="A982" s="220"/>
      <c r="B982" s="243"/>
      <c r="C982" s="46"/>
      <c r="D982" s="123"/>
      <c r="E982" s="243"/>
      <c r="F982" s="40"/>
      <c r="G982" s="40"/>
      <c r="H982" s="40"/>
      <c r="I982" s="40"/>
      <c r="J982" s="40"/>
      <c r="K982" s="46"/>
    </row>
    <row r="983" ht="19.5" customHeight="1">
      <c r="A983" s="220"/>
      <c r="B983" s="243"/>
      <c r="C983" s="46"/>
      <c r="D983" s="123"/>
      <c r="E983" s="243"/>
      <c r="F983" s="40"/>
      <c r="G983" s="40"/>
      <c r="H983" s="40"/>
      <c r="I983" s="40"/>
      <c r="J983" s="40"/>
      <c r="K983" s="46"/>
    </row>
    <row r="984" ht="19.5" customHeight="1">
      <c r="A984" s="220"/>
      <c r="B984" s="243"/>
      <c r="C984" s="46"/>
      <c r="D984" s="123"/>
      <c r="E984" s="243"/>
      <c r="F984" s="40"/>
      <c r="G984" s="40"/>
      <c r="H984" s="40"/>
      <c r="I984" s="40"/>
      <c r="J984" s="40"/>
      <c r="K984" s="46"/>
    </row>
    <row r="985" ht="19.5" customHeight="1">
      <c r="A985" s="220"/>
      <c r="B985" s="243"/>
      <c r="C985" s="46"/>
      <c r="D985" s="123"/>
      <c r="E985" s="243"/>
      <c r="F985" s="40"/>
      <c r="G985" s="40"/>
      <c r="H985" s="40"/>
      <c r="I985" s="40"/>
      <c r="J985" s="40"/>
      <c r="K985" s="46"/>
    </row>
    <row r="986" ht="19.5" customHeight="1">
      <c r="A986" s="220"/>
      <c r="B986" s="243"/>
      <c r="C986" s="46"/>
      <c r="D986" s="123"/>
      <c r="E986" s="243"/>
      <c r="F986" s="40"/>
      <c r="G986" s="40"/>
      <c r="H986" s="40"/>
      <c r="I986" s="40"/>
      <c r="J986" s="40"/>
      <c r="K986" s="46"/>
    </row>
    <row r="987" ht="19.5" customHeight="1">
      <c r="A987" s="220"/>
      <c r="B987" s="243"/>
      <c r="C987" s="46"/>
      <c r="D987" s="123"/>
      <c r="E987" s="243"/>
      <c r="F987" s="40"/>
      <c r="G987" s="40"/>
      <c r="H987" s="40"/>
      <c r="I987" s="40"/>
      <c r="J987" s="40"/>
      <c r="K987" s="46"/>
    </row>
    <row r="988" ht="19.5" customHeight="1">
      <c r="A988" s="220"/>
      <c r="B988" s="243"/>
      <c r="C988" s="46"/>
      <c r="D988" s="123"/>
      <c r="E988" s="243"/>
      <c r="F988" s="40"/>
      <c r="G988" s="40"/>
      <c r="H988" s="40"/>
      <c r="I988" s="40"/>
      <c r="J988" s="40"/>
      <c r="K988" s="46"/>
    </row>
    <row r="989" ht="19.5" customHeight="1">
      <c r="A989" s="220"/>
      <c r="B989" s="243"/>
      <c r="C989" s="46"/>
      <c r="D989" s="123"/>
      <c r="E989" s="243"/>
      <c r="F989" s="40"/>
      <c r="G989" s="40"/>
      <c r="H989" s="40"/>
      <c r="I989" s="40"/>
      <c r="J989" s="40"/>
      <c r="K989" s="46"/>
    </row>
    <row r="990" ht="19.5" customHeight="1">
      <c r="A990" s="220"/>
      <c r="B990" s="243"/>
      <c r="C990" s="46"/>
      <c r="D990" s="123"/>
      <c r="E990" s="243"/>
      <c r="F990" s="40"/>
      <c r="G990" s="40"/>
      <c r="H990" s="40"/>
      <c r="I990" s="40"/>
      <c r="J990" s="40"/>
      <c r="K990" s="46"/>
    </row>
    <row r="991" ht="19.5" customHeight="1">
      <c r="A991" s="220"/>
      <c r="B991" s="243"/>
      <c r="C991" s="46"/>
      <c r="D991" s="123"/>
      <c r="E991" s="243"/>
      <c r="F991" s="40"/>
      <c r="G991" s="40"/>
      <c r="H991" s="40"/>
      <c r="I991" s="40"/>
      <c r="J991" s="40"/>
      <c r="K991" s="46"/>
    </row>
    <row r="992" ht="19.5" customHeight="1">
      <c r="A992" s="220"/>
      <c r="B992" s="243"/>
      <c r="C992" s="46"/>
      <c r="D992" s="123"/>
      <c r="E992" s="243"/>
      <c r="F992" s="40"/>
      <c r="G992" s="40"/>
      <c r="H992" s="40"/>
      <c r="I992" s="40"/>
      <c r="J992" s="40"/>
      <c r="K992" s="46"/>
    </row>
    <row r="993" ht="19.5" customHeight="1">
      <c r="A993" s="220"/>
      <c r="B993" s="243"/>
      <c r="C993" s="46"/>
      <c r="D993" s="123"/>
      <c r="E993" s="243"/>
      <c r="F993" s="40"/>
      <c r="G993" s="40"/>
      <c r="H993" s="40"/>
      <c r="I993" s="40"/>
      <c r="J993" s="40"/>
      <c r="K993" s="46"/>
    </row>
    <row r="994" ht="19.5" customHeight="1">
      <c r="A994" s="220"/>
      <c r="B994" s="243"/>
      <c r="C994" s="46"/>
      <c r="D994" s="123"/>
      <c r="E994" s="243"/>
      <c r="F994" s="40"/>
      <c r="G994" s="40"/>
      <c r="H994" s="40"/>
      <c r="I994" s="40"/>
      <c r="J994" s="40"/>
      <c r="K994" s="46"/>
    </row>
    <row r="995" ht="19.5" customHeight="1">
      <c r="A995" s="220"/>
      <c r="B995" s="243"/>
      <c r="C995" s="46"/>
      <c r="D995" s="123"/>
      <c r="E995" s="243"/>
      <c r="F995" s="40"/>
      <c r="G995" s="40"/>
      <c r="H995" s="40"/>
      <c r="I995" s="40"/>
      <c r="J995" s="40"/>
      <c r="K995" s="46"/>
    </row>
    <row r="996" ht="19.5" customHeight="1">
      <c r="A996" s="220"/>
      <c r="B996" s="243"/>
      <c r="C996" s="46"/>
      <c r="D996" s="123"/>
      <c r="E996" s="243"/>
      <c r="F996" s="40"/>
      <c r="G996" s="40"/>
      <c r="H996" s="40"/>
      <c r="I996" s="40"/>
      <c r="J996" s="40"/>
      <c r="K996" s="46"/>
    </row>
    <row r="997" ht="19.5" customHeight="1">
      <c r="A997" s="220"/>
      <c r="B997" s="243"/>
      <c r="C997" s="46"/>
      <c r="D997" s="123"/>
      <c r="E997" s="243"/>
      <c r="F997" s="40"/>
      <c r="G997" s="40"/>
      <c r="H997" s="40"/>
      <c r="I997" s="40"/>
      <c r="J997" s="40"/>
      <c r="K997" s="46"/>
    </row>
    <row r="998" ht="19.5" customHeight="1">
      <c r="A998" s="220"/>
      <c r="B998" s="243"/>
      <c r="C998" s="46"/>
      <c r="D998" s="123"/>
      <c r="E998" s="243"/>
      <c r="F998" s="40"/>
      <c r="G998" s="40"/>
      <c r="H998" s="40"/>
      <c r="I998" s="40"/>
      <c r="J998" s="40"/>
      <c r="K998" s="46"/>
    </row>
    <row r="999" ht="19.5" customHeight="1">
      <c r="A999" s="220"/>
      <c r="B999" s="243"/>
      <c r="C999" s="46"/>
      <c r="D999" s="123"/>
      <c r="E999" s="243"/>
      <c r="F999" s="40"/>
      <c r="G999" s="40"/>
      <c r="H999" s="40"/>
      <c r="I999" s="40"/>
      <c r="J999" s="40"/>
      <c r="K999" s="46"/>
    </row>
    <row r="1000" ht="19.5" customHeight="1">
      <c r="A1000" s="220"/>
      <c r="B1000" s="243"/>
      <c r="C1000" s="46"/>
      <c r="D1000" s="123"/>
      <c r="E1000" s="243"/>
      <c r="F1000" s="40"/>
      <c r="G1000" s="40"/>
      <c r="H1000" s="40"/>
      <c r="I1000" s="40"/>
      <c r="J1000" s="40"/>
      <c r="K1000" s="46"/>
    </row>
    <row r="1001" ht="19.5" customHeight="1">
      <c r="A1001" s="220"/>
      <c r="B1001" s="243"/>
      <c r="C1001" s="46"/>
      <c r="D1001" s="123"/>
      <c r="E1001" s="243"/>
      <c r="F1001" s="40"/>
      <c r="G1001" s="40"/>
      <c r="H1001" s="40"/>
      <c r="I1001" s="40"/>
      <c r="J1001" s="40"/>
      <c r="K1001" s="46"/>
    </row>
    <row r="1002" ht="19.5" customHeight="1">
      <c r="A1002" s="220"/>
      <c r="B1002" s="243"/>
      <c r="C1002" s="46"/>
      <c r="D1002" s="123"/>
      <c r="E1002" s="243"/>
      <c r="F1002" s="40"/>
      <c r="G1002" s="40"/>
      <c r="H1002" s="40"/>
      <c r="I1002" s="40"/>
      <c r="J1002" s="40"/>
      <c r="K1002" s="46"/>
    </row>
    <row r="1003" ht="19.5" customHeight="1">
      <c r="A1003" s="220"/>
      <c r="B1003" s="243"/>
      <c r="C1003" s="46"/>
      <c r="D1003" s="123"/>
      <c r="E1003" s="243"/>
      <c r="F1003" s="40"/>
      <c r="G1003" s="40"/>
      <c r="H1003" s="40"/>
      <c r="I1003" s="40"/>
      <c r="J1003" s="40"/>
      <c r="K1003" s="46"/>
    </row>
    <row r="1004" ht="19.5" customHeight="1">
      <c r="A1004" s="220"/>
      <c r="B1004" s="243"/>
      <c r="C1004" s="46"/>
      <c r="D1004" s="123"/>
      <c r="E1004" s="243"/>
      <c r="F1004" s="40"/>
      <c r="G1004" s="40"/>
      <c r="H1004" s="40"/>
      <c r="I1004" s="40"/>
      <c r="J1004" s="40"/>
      <c r="K1004" s="46"/>
    </row>
    <row r="1005" ht="19.5" customHeight="1">
      <c r="A1005" s="220"/>
      <c r="B1005" s="243"/>
      <c r="C1005" s="46"/>
      <c r="D1005" s="123"/>
      <c r="E1005" s="243"/>
      <c r="F1005" s="40"/>
      <c r="G1005" s="40"/>
      <c r="H1005" s="40"/>
      <c r="I1005" s="40"/>
      <c r="J1005" s="40"/>
      <c r="K1005" s="46"/>
    </row>
    <row r="1006" ht="19.5" customHeight="1">
      <c r="A1006" s="220"/>
      <c r="B1006" s="243"/>
      <c r="C1006" s="46"/>
      <c r="D1006" s="123"/>
      <c r="E1006" s="243"/>
      <c r="F1006" s="40"/>
      <c r="G1006" s="40"/>
      <c r="H1006" s="40"/>
      <c r="I1006" s="40"/>
      <c r="J1006" s="40"/>
      <c r="K1006" s="46"/>
    </row>
    <row r="1007" ht="19.5" customHeight="1">
      <c r="A1007" s="220"/>
      <c r="B1007" s="243"/>
      <c r="C1007" s="46"/>
      <c r="D1007" s="123"/>
      <c r="E1007" s="243"/>
      <c r="F1007" s="40"/>
      <c r="G1007" s="40"/>
      <c r="H1007" s="40"/>
      <c r="I1007" s="40"/>
      <c r="J1007" s="40"/>
      <c r="K1007" s="46"/>
    </row>
    <row r="1008" ht="19.5" customHeight="1">
      <c r="A1008" s="220"/>
      <c r="B1008" s="243"/>
      <c r="C1008" s="46"/>
      <c r="D1008" s="123"/>
      <c r="E1008" s="243"/>
      <c r="F1008" s="40"/>
      <c r="G1008" s="40"/>
      <c r="H1008" s="40"/>
      <c r="I1008" s="40"/>
      <c r="J1008" s="40"/>
      <c r="K1008" s="46"/>
    </row>
    <row r="1009" ht="19.5" customHeight="1">
      <c r="A1009" s="220"/>
      <c r="B1009" s="243"/>
      <c r="C1009" s="46"/>
      <c r="D1009" s="123"/>
      <c r="E1009" s="243"/>
      <c r="F1009" s="40"/>
      <c r="G1009" s="40"/>
      <c r="H1009" s="40"/>
      <c r="I1009" s="40"/>
      <c r="J1009" s="40"/>
      <c r="K1009" s="46"/>
    </row>
    <row r="1010" ht="19.5" customHeight="1">
      <c r="A1010" s="220"/>
      <c r="B1010" s="243"/>
      <c r="C1010" s="46"/>
      <c r="D1010" s="123"/>
      <c r="E1010" s="243"/>
      <c r="F1010" s="40"/>
      <c r="G1010" s="40"/>
      <c r="H1010" s="40"/>
      <c r="I1010" s="40"/>
      <c r="J1010" s="40"/>
      <c r="K1010" s="46"/>
    </row>
    <row r="1011" ht="19.5" customHeight="1">
      <c r="A1011" s="220"/>
      <c r="B1011" s="243"/>
      <c r="C1011" s="46"/>
      <c r="D1011" s="123"/>
      <c r="E1011" s="243"/>
      <c r="F1011" s="40"/>
      <c r="G1011" s="40"/>
      <c r="H1011" s="40"/>
      <c r="I1011" s="40"/>
      <c r="J1011" s="40"/>
      <c r="K1011" s="46"/>
    </row>
    <row r="1012" ht="19.5" customHeight="1">
      <c r="A1012" s="220"/>
      <c r="B1012" s="243"/>
      <c r="C1012" s="46"/>
      <c r="D1012" s="123"/>
      <c r="E1012" s="243"/>
      <c r="F1012" s="40"/>
      <c r="G1012" s="40"/>
      <c r="H1012" s="40"/>
      <c r="I1012" s="40"/>
      <c r="J1012" s="40"/>
      <c r="K1012" s="46"/>
    </row>
    <row r="1013" ht="19.5" customHeight="1">
      <c r="A1013" s="220"/>
      <c r="B1013" s="243"/>
      <c r="C1013" s="46"/>
      <c r="D1013" s="123"/>
      <c r="E1013" s="243"/>
      <c r="F1013" s="40"/>
      <c r="G1013" s="40"/>
      <c r="H1013" s="40"/>
      <c r="I1013" s="40"/>
      <c r="J1013" s="40"/>
      <c r="K1013" s="46"/>
    </row>
    <row r="1014" ht="19.5" customHeight="1">
      <c r="A1014" s="220"/>
      <c r="B1014" s="243"/>
      <c r="C1014" s="46"/>
      <c r="D1014" s="123"/>
      <c r="E1014" s="243"/>
      <c r="F1014" s="40"/>
      <c r="G1014" s="40"/>
      <c r="H1014" s="40"/>
      <c r="I1014" s="40"/>
      <c r="J1014" s="40"/>
      <c r="K1014" s="46"/>
    </row>
    <row r="1015" ht="19.5" customHeight="1">
      <c r="A1015" s="220"/>
      <c r="B1015" s="243"/>
      <c r="C1015" s="46"/>
      <c r="D1015" s="123"/>
      <c r="E1015" s="243"/>
      <c r="F1015" s="40"/>
      <c r="G1015" s="40"/>
      <c r="H1015" s="40"/>
      <c r="I1015" s="40"/>
      <c r="J1015" s="40"/>
      <c r="K1015" s="46"/>
    </row>
    <row r="1016" ht="19.5" customHeight="1">
      <c r="A1016" s="220"/>
      <c r="B1016" s="243"/>
      <c r="C1016" s="46"/>
      <c r="D1016" s="123"/>
      <c r="E1016" s="243"/>
      <c r="F1016" s="40"/>
      <c r="G1016" s="40"/>
      <c r="H1016" s="40"/>
      <c r="I1016" s="40"/>
      <c r="J1016" s="40"/>
      <c r="K1016" s="46"/>
    </row>
    <row r="1017" ht="19.5" customHeight="1">
      <c r="A1017" s="220"/>
      <c r="B1017" s="243"/>
      <c r="C1017" s="46"/>
      <c r="D1017" s="123"/>
      <c r="E1017" s="243"/>
      <c r="F1017" s="40"/>
      <c r="G1017" s="40"/>
      <c r="H1017" s="40"/>
      <c r="I1017" s="40"/>
      <c r="J1017" s="40"/>
      <c r="K1017" s="46"/>
    </row>
    <row r="1018" ht="19.5" customHeight="1">
      <c r="A1018" s="220"/>
      <c r="B1018" s="243"/>
      <c r="C1018" s="46"/>
      <c r="D1018" s="123"/>
      <c r="E1018" s="243"/>
      <c r="F1018" s="40"/>
      <c r="G1018" s="40"/>
      <c r="H1018" s="40"/>
      <c r="I1018" s="40"/>
      <c r="J1018" s="40"/>
      <c r="K1018" s="46"/>
    </row>
    <row r="1019" ht="19.5" customHeight="1">
      <c r="A1019" s="220"/>
      <c r="B1019" s="243"/>
      <c r="C1019" s="46"/>
      <c r="D1019" s="123"/>
      <c r="E1019" s="243"/>
      <c r="F1019" s="40"/>
      <c r="G1019" s="40"/>
      <c r="H1019" s="40"/>
      <c r="I1019" s="40"/>
      <c r="J1019" s="40"/>
      <c r="K1019" s="46"/>
    </row>
    <row r="1020" ht="19.5" customHeight="1">
      <c r="A1020" s="220"/>
      <c r="B1020" s="243"/>
      <c r="C1020" s="46"/>
      <c r="D1020" s="123"/>
      <c r="E1020" s="243"/>
      <c r="F1020" s="40"/>
      <c r="G1020" s="40"/>
      <c r="H1020" s="40"/>
      <c r="I1020" s="40"/>
      <c r="J1020" s="40"/>
      <c r="K1020" s="46"/>
    </row>
    <row r="1021" ht="19.5" customHeight="1">
      <c r="A1021" s="220"/>
      <c r="B1021" s="243"/>
      <c r="C1021" s="46"/>
      <c r="D1021" s="123"/>
      <c r="E1021" s="243"/>
      <c r="F1021" s="40"/>
      <c r="G1021" s="40"/>
      <c r="H1021" s="40"/>
      <c r="I1021" s="40"/>
      <c r="J1021" s="40"/>
      <c r="K1021" s="46"/>
    </row>
    <row r="1022" ht="19.5" customHeight="1">
      <c r="A1022" s="220"/>
      <c r="B1022" s="243"/>
      <c r="C1022" s="46"/>
      <c r="D1022" s="123"/>
      <c r="E1022" s="243"/>
      <c r="F1022" s="40"/>
      <c r="G1022" s="40"/>
      <c r="H1022" s="40"/>
      <c r="I1022" s="40"/>
      <c r="J1022" s="40"/>
      <c r="K1022" s="46"/>
    </row>
    <row r="1023" ht="19.5" customHeight="1">
      <c r="A1023" s="220"/>
      <c r="B1023" s="243"/>
      <c r="C1023" s="46"/>
      <c r="D1023" s="123"/>
      <c r="E1023" s="243"/>
      <c r="F1023" s="40"/>
      <c r="G1023" s="40"/>
      <c r="H1023" s="40"/>
      <c r="I1023" s="40"/>
      <c r="J1023" s="40"/>
      <c r="K1023" s="46"/>
    </row>
    <row r="1024" ht="19.5" customHeight="1">
      <c r="A1024" s="220"/>
      <c r="B1024" s="243"/>
      <c r="C1024" s="46"/>
      <c r="D1024" s="123"/>
      <c r="E1024" s="243"/>
      <c r="F1024" s="40"/>
      <c r="G1024" s="40"/>
      <c r="H1024" s="40"/>
      <c r="I1024" s="40"/>
      <c r="J1024" s="40"/>
      <c r="K1024" s="46"/>
    </row>
    <row r="1025" ht="19.5" customHeight="1">
      <c r="A1025" s="220"/>
      <c r="B1025" s="243"/>
      <c r="C1025" s="46"/>
      <c r="D1025" s="123"/>
      <c r="E1025" s="243"/>
      <c r="F1025" s="40"/>
      <c r="G1025" s="40"/>
      <c r="H1025" s="40"/>
      <c r="I1025" s="40"/>
      <c r="J1025" s="40"/>
      <c r="K1025" s="46"/>
    </row>
    <row r="1026" ht="19.5" customHeight="1">
      <c r="A1026" s="220"/>
      <c r="B1026" s="243"/>
      <c r="C1026" s="46"/>
      <c r="D1026" s="123"/>
      <c r="E1026" s="243"/>
      <c r="F1026" s="40"/>
      <c r="G1026" s="40"/>
      <c r="H1026" s="40"/>
      <c r="I1026" s="40"/>
      <c r="J1026" s="40"/>
      <c r="K1026" s="46"/>
    </row>
    <row r="1027" ht="19.5" customHeight="1">
      <c r="A1027" s="220"/>
      <c r="B1027" s="243"/>
      <c r="C1027" s="46"/>
      <c r="D1027" s="123"/>
      <c r="E1027" s="243"/>
      <c r="F1027" s="40"/>
      <c r="G1027" s="40"/>
      <c r="H1027" s="40"/>
      <c r="I1027" s="40"/>
      <c r="J1027" s="40"/>
      <c r="K1027" s="46"/>
    </row>
    <row r="1028" ht="19.5" customHeight="1">
      <c r="A1028" s="220"/>
      <c r="B1028" s="243"/>
      <c r="C1028" s="46"/>
      <c r="D1028" s="123"/>
      <c r="E1028" s="243"/>
      <c r="F1028" s="40"/>
      <c r="G1028" s="40"/>
      <c r="H1028" s="40"/>
      <c r="I1028" s="40"/>
      <c r="J1028" s="40"/>
      <c r="K1028" s="46"/>
    </row>
    <row r="1029" ht="19.5" customHeight="1">
      <c r="A1029" s="220"/>
      <c r="B1029" s="243"/>
      <c r="C1029" s="46"/>
      <c r="D1029" s="123"/>
      <c r="E1029" s="243"/>
      <c r="F1029" s="40"/>
      <c r="G1029" s="40"/>
      <c r="H1029" s="40"/>
      <c r="I1029" s="40"/>
      <c r="J1029" s="40"/>
      <c r="K1029" s="46"/>
    </row>
    <row r="1030" ht="19.5" customHeight="1">
      <c r="A1030" s="220"/>
      <c r="B1030" s="243"/>
      <c r="C1030" s="46"/>
      <c r="D1030" s="123"/>
      <c r="E1030" s="243"/>
      <c r="F1030" s="40"/>
      <c r="G1030" s="40"/>
      <c r="H1030" s="40"/>
      <c r="I1030" s="40"/>
      <c r="J1030" s="40"/>
      <c r="K1030" s="46"/>
    </row>
    <row r="1031" ht="19.5" customHeight="1">
      <c r="A1031" s="220"/>
      <c r="B1031" s="243"/>
      <c r="C1031" s="46"/>
      <c r="D1031" s="123"/>
      <c r="E1031" s="243"/>
      <c r="F1031" s="40"/>
      <c r="G1031" s="40"/>
      <c r="H1031" s="40"/>
      <c r="I1031" s="40"/>
      <c r="J1031" s="40"/>
      <c r="K1031" s="46"/>
    </row>
    <row r="1032" ht="19.5" customHeight="1">
      <c r="A1032" s="220"/>
      <c r="B1032" s="243"/>
      <c r="C1032" s="46"/>
      <c r="D1032" s="123"/>
      <c r="E1032" s="243"/>
      <c r="F1032" s="40"/>
      <c r="G1032" s="40"/>
      <c r="H1032" s="40"/>
      <c r="I1032" s="40"/>
      <c r="J1032" s="40"/>
      <c r="K1032" s="46"/>
    </row>
    <row r="1033" ht="19.5" customHeight="1">
      <c r="A1033" s="220"/>
      <c r="B1033" s="243"/>
      <c r="C1033" s="46"/>
      <c r="D1033" s="123"/>
      <c r="E1033" s="243"/>
      <c r="F1033" s="40"/>
      <c r="G1033" s="40"/>
      <c r="H1033" s="40"/>
      <c r="I1033" s="40"/>
      <c r="J1033" s="40"/>
      <c r="K1033" s="46"/>
    </row>
    <row r="1034" ht="19.5" customHeight="1">
      <c r="A1034" s="220"/>
      <c r="B1034" s="243"/>
      <c r="C1034" s="46"/>
      <c r="D1034" s="123"/>
      <c r="E1034" s="243"/>
      <c r="F1034" s="40"/>
      <c r="G1034" s="40"/>
      <c r="H1034" s="40"/>
      <c r="I1034" s="40"/>
      <c r="J1034" s="40"/>
      <c r="K1034" s="46"/>
    </row>
    <row r="1035" ht="19.5" customHeight="1">
      <c r="A1035" s="220"/>
      <c r="B1035" s="243"/>
      <c r="C1035" s="46"/>
      <c r="D1035" s="123"/>
      <c r="E1035" s="243"/>
      <c r="F1035" s="40"/>
      <c r="G1035" s="40"/>
      <c r="H1035" s="40"/>
      <c r="I1035" s="40"/>
      <c r="J1035" s="40"/>
      <c r="K1035" s="46"/>
    </row>
    <row r="1036" ht="19.5" customHeight="1">
      <c r="A1036" s="220"/>
      <c r="B1036" s="243"/>
      <c r="C1036" s="46"/>
      <c r="D1036" s="123"/>
      <c r="E1036" s="243"/>
      <c r="F1036" s="40"/>
      <c r="G1036" s="40"/>
      <c r="H1036" s="40"/>
      <c r="I1036" s="40"/>
      <c r="J1036" s="40"/>
      <c r="K1036" s="46"/>
    </row>
    <row r="1037" ht="19.5" customHeight="1">
      <c r="A1037" s="220"/>
      <c r="B1037" s="243"/>
      <c r="C1037" s="46"/>
      <c r="D1037" s="123"/>
      <c r="E1037" s="243"/>
      <c r="F1037" s="40"/>
      <c r="G1037" s="40"/>
      <c r="H1037" s="40"/>
      <c r="I1037" s="40"/>
      <c r="J1037" s="40"/>
      <c r="K1037" s="46"/>
    </row>
    <row r="1038" ht="19.5" customHeight="1">
      <c r="A1038" s="220"/>
      <c r="B1038" s="243"/>
      <c r="C1038" s="46"/>
      <c r="D1038" s="123"/>
      <c r="E1038" s="243"/>
      <c r="F1038" s="40"/>
      <c r="G1038" s="40"/>
      <c r="H1038" s="40"/>
      <c r="I1038" s="40"/>
      <c r="J1038" s="40"/>
      <c r="K1038" s="46"/>
    </row>
    <row r="1039" ht="19.5" customHeight="1">
      <c r="A1039" s="220"/>
      <c r="B1039" s="243"/>
      <c r="C1039" s="46"/>
      <c r="D1039" s="123"/>
      <c r="E1039" s="243"/>
      <c r="F1039" s="40"/>
      <c r="G1039" s="40"/>
      <c r="H1039" s="40"/>
      <c r="I1039" s="40"/>
      <c r="J1039" s="40"/>
      <c r="K1039" s="46"/>
    </row>
    <row r="1040" ht="19.5" customHeight="1">
      <c r="A1040" s="220"/>
      <c r="B1040" s="243"/>
      <c r="C1040" s="46"/>
      <c r="D1040" s="123"/>
      <c r="E1040" s="243"/>
      <c r="F1040" s="40"/>
      <c r="G1040" s="40"/>
      <c r="H1040" s="40"/>
      <c r="I1040" s="40"/>
      <c r="J1040" s="40"/>
      <c r="K1040" s="46"/>
    </row>
    <row r="1041" ht="19.5" customHeight="1">
      <c r="A1041" s="220"/>
      <c r="B1041" s="243"/>
      <c r="C1041" s="46"/>
      <c r="D1041" s="123"/>
      <c r="E1041" s="243"/>
      <c r="F1041" s="40"/>
      <c r="G1041" s="40"/>
      <c r="H1041" s="40"/>
      <c r="I1041" s="40"/>
      <c r="J1041" s="40"/>
      <c r="K1041" s="46"/>
    </row>
    <row r="1042" ht="19.5" customHeight="1">
      <c r="A1042" s="220"/>
      <c r="B1042" s="243"/>
      <c r="C1042" s="46"/>
      <c r="D1042" s="123"/>
      <c r="E1042" s="243"/>
      <c r="F1042" s="40"/>
      <c r="G1042" s="40"/>
      <c r="H1042" s="40"/>
      <c r="I1042" s="40"/>
      <c r="J1042" s="40"/>
      <c r="K1042" s="46"/>
    </row>
    <row r="1043" ht="19.5" customHeight="1">
      <c r="A1043" s="220"/>
      <c r="B1043" s="243"/>
      <c r="C1043" s="46"/>
      <c r="D1043" s="123"/>
      <c r="E1043" s="243"/>
      <c r="F1043" s="40"/>
      <c r="G1043" s="40"/>
      <c r="H1043" s="40"/>
      <c r="I1043" s="40"/>
      <c r="J1043" s="40"/>
      <c r="K1043" s="46"/>
    </row>
    <row r="1044" ht="19.5" customHeight="1">
      <c r="A1044" s="220"/>
      <c r="B1044" s="243"/>
      <c r="C1044" s="46"/>
      <c r="D1044" s="123"/>
      <c r="E1044" s="243"/>
      <c r="F1044" s="40"/>
      <c r="G1044" s="40"/>
      <c r="H1044" s="40"/>
      <c r="I1044" s="40"/>
      <c r="J1044" s="40"/>
      <c r="K1044" s="46"/>
    </row>
    <row r="1045" ht="19.5" customHeight="1">
      <c r="A1045" s="220"/>
      <c r="B1045" s="243"/>
      <c r="C1045" s="46"/>
      <c r="D1045" s="123"/>
      <c r="E1045" s="243"/>
      <c r="F1045" s="40"/>
      <c r="G1045" s="40"/>
      <c r="H1045" s="40"/>
      <c r="I1045" s="40"/>
      <c r="J1045" s="40"/>
      <c r="K1045" s="46"/>
    </row>
    <row r="1046" ht="19.5" customHeight="1">
      <c r="A1046" s="220"/>
      <c r="B1046" s="243"/>
      <c r="C1046" s="46"/>
      <c r="D1046" s="123"/>
      <c r="E1046" s="243"/>
      <c r="F1046" s="40"/>
      <c r="G1046" s="40"/>
      <c r="H1046" s="40"/>
      <c r="I1046" s="40"/>
      <c r="J1046" s="40"/>
      <c r="K1046" s="46"/>
    </row>
    <row r="1047" ht="19.5" customHeight="1">
      <c r="A1047" s="220"/>
      <c r="B1047" s="243"/>
      <c r="C1047" s="46"/>
      <c r="D1047" s="123"/>
      <c r="E1047" s="243"/>
      <c r="F1047" s="40"/>
      <c r="G1047" s="40"/>
      <c r="H1047" s="40"/>
      <c r="I1047" s="40"/>
      <c r="J1047" s="40"/>
      <c r="K1047" s="46"/>
    </row>
    <row r="1048" ht="19.5" customHeight="1">
      <c r="A1048" s="220"/>
      <c r="B1048" s="243"/>
      <c r="C1048" s="46"/>
      <c r="D1048" s="123"/>
      <c r="E1048" s="243"/>
      <c r="F1048" s="40"/>
      <c r="G1048" s="40"/>
      <c r="H1048" s="40"/>
      <c r="I1048" s="40"/>
      <c r="J1048" s="40"/>
      <c r="K1048" s="46"/>
    </row>
    <row r="1049" ht="19.5" customHeight="1">
      <c r="A1049" s="220"/>
      <c r="B1049" s="243"/>
      <c r="C1049" s="46"/>
      <c r="D1049" s="123"/>
      <c r="E1049" s="243"/>
      <c r="F1049" s="40"/>
      <c r="G1049" s="40"/>
      <c r="H1049" s="40"/>
      <c r="I1049" s="40"/>
      <c r="J1049" s="40"/>
      <c r="K1049" s="46"/>
    </row>
    <row r="1050" ht="19.5" customHeight="1">
      <c r="A1050" s="220"/>
      <c r="B1050" s="243"/>
      <c r="C1050" s="46"/>
      <c r="D1050" s="123"/>
      <c r="E1050" s="243"/>
      <c r="F1050" s="40"/>
      <c r="G1050" s="40"/>
      <c r="H1050" s="40"/>
      <c r="I1050" s="40"/>
      <c r="J1050" s="40"/>
      <c r="K1050" s="46"/>
    </row>
    <row r="1051" ht="19.5" customHeight="1">
      <c r="A1051" s="220"/>
      <c r="B1051" s="243"/>
      <c r="C1051" s="46"/>
      <c r="D1051" s="123"/>
      <c r="E1051" s="243"/>
      <c r="F1051" s="40"/>
      <c r="G1051" s="40"/>
      <c r="H1051" s="40"/>
      <c r="I1051" s="40"/>
      <c r="J1051" s="40"/>
      <c r="K1051" s="46"/>
    </row>
    <row r="1052" ht="19.5" customHeight="1">
      <c r="A1052" s="220"/>
      <c r="B1052" s="243"/>
      <c r="C1052" s="46"/>
      <c r="D1052" s="123"/>
      <c r="E1052" s="243"/>
      <c r="F1052" s="40"/>
      <c r="G1052" s="40"/>
      <c r="H1052" s="40"/>
      <c r="I1052" s="40"/>
      <c r="J1052" s="40"/>
      <c r="K1052" s="46"/>
    </row>
    <row r="1053" ht="19.5" customHeight="1">
      <c r="A1053" s="220"/>
      <c r="B1053" s="243"/>
      <c r="C1053" s="46"/>
      <c r="D1053" s="123"/>
      <c r="E1053" s="243"/>
      <c r="F1053" s="40"/>
      <c r="G1053" s="40"/>
      <c r="H1053" s="40"/>
      <c r="I1053" s="40"/>
      <c r="J1053" s="40"/>
      <c r="K1053" s="46"/>
    </row>
    <row r="1054" ht="19.5" customHeight="1">
      <c r="A1054" s="220"/>
      <c r="B1054" s="243"/>
      <c r="C1054" s="46"/>
      <c r="D1054" s="123"/>
      <c r="E1054" s="243"/>
      <c r="F1054" s="40"/>
      <c r="G1054" s="40"/>
      <c r="H1054" s="40"/>
      <c r="I1054" s="40"/>
      <c r="J1054" s="40"/>
      <c r="K1054" s="46"/>
    </row>
    <row r="1055" ht="19.5" customHeight="1">
      <c r="A1055" s="220"/>
      <c r="B1055" s="243"/>
      <c r="C1055" s="46"/>
      <c r="D1055" s="123"/>
      <c r="E1055" s="243"/>
      <c r="F1055" s="40"/>
      <c r="G1055" s="40"/>
      <c r="H1055" s="40"/>
      <c r="I1055" s="40"/>
      <c r="J1055" s="40"/>
      <c r="K1055" s="46"/>
    </row>
    <row r="1056" ht="19.5" customHeight="1">
      <c r="A1056" s="220"/>
      <c r="B1056" s="243"/>
      <c r="C1056" s="46"/>
      <c r="D1056" s="123"/>
      <c r="E1056" s="243"/>
      <c r="F1056" s="40"/>
      <c r="G1056" s="40"/>
      <c r="H1056" s="40"/>
      <c r="I1056" s="40"/>
      <c r="J1056" s="40"/>
      <c r="K1056" s="46"/>
    </row>
    <row r="1057" ht="19.5" customHeight="1">
      <c r="A1057" s="220"/>
      <c r="B1057" s="243"/>
      <c r="C1057" s="46"/>
      <c r="D1057" s="123"/>
      <c r="E1057" s="243"/>
      <c r="F1057" s="40"/>
      <c r="G1057" s="40"/>
      <c r="H1057" s="40"/>
      <c r="I1057" s="40"/>
      <c r="J1057" s="40"/>
      <c r="K1057" s="46"/>
    </row>
    <row r="1058" ht="19.5" customHeight="1">
      <c r="A1058" s="220"/>
      <c r="B1058" s="243"/>
      <c r="C1058" s="46"/>
      <c r="D1058" s="123"/>
      <c r="E1058" s="243"/>
      <c r="F1058" s="40"/>
      <c r="G1058" s="40"/>
      <c r="H1058" s="40"/>
      <c r="I1058" s="40"/>
      <c r="J1058" s="40"/>
      <c r="K1058" s="46"/>
    </row>
    <row r="1059" ht="19.5" customHeight="1">
      <c r="A1059" s="220"/>
      <c r="B1059" s="243"/>
      <c r="C1059" s="46"/>
      <c r="D1059" s="123"/>
      <c r="E1059" s="243"/>
      <c r="F1059" s="40"/>
      <c r="G1059" s="40"/>
      <c r="H1059" s="40"/>
      <c r="I1059" s="40"/>
      <c r="J1059" s="40"/>
      <c r="K1059" s="46"/>
    </row>
    <row r="1060" ht="19.5" customHeight="1">
      <c r="A1060" s="220"/>
      <c r="B1060" s="243"/>
      <c r="C1060" s="46"/>
      <c r="D1060" s="123"/>
      <c r="E1060" s="243"/>
      <c r="F1060" s="40"/>
      <c r="G1060" s="40"/>
      <c r="H1060" s="40"/>
      <c r="I1060" s="40"/>
      <c r="J1060" s="40"/>
      <c r="K1060" s="46"/>
    </row>
    <row r="1061" ht="19.5" customHeight="1">
      <c r="A1061" s="220"/>
      <c r="B1061" s="243"/>
      <c r="C1061" s="46"/>
      <c r="D1061" s="123"/>
      <c r="E1061" s="243"/>
      <c r="F1061" s="40"/>
      <c r="G1061" s="40"/>
      <c r="H1061" s="40"/>
      <c r="I1061" s="40"/>
      <c r="J1061" s="40"/>
      <c r="K1061" s="46"/>
    </row>
    <row r="1062" ht="19.5" customHeight="1">
      <c r="A1062" s="220"/>
      <c r="B1062" s="243"/>
      <c r="C1062" s="46"/>
      <c r="D1062" s="123"/>
      <c r="E1062" s="243"/>
      <c r="F1062" s="40"/>
      <c r="G1062" s="40"/>
      <c r="H1062" s="40"/>
      <c r="I1062" s="40"/>
      <c r="J1062" s="40"/>
      <c r="K1062" s="46"/>
    </row>
    <row r="1063" ht="19.5" customHeight="1">
      <c r="A1063" s="220"/>
      <c r="B1063" s="243"/>
      <c r="C1063" s="46"/>
      <c r="D1063" s="123"/>
      <c r="E1063" s="243"/>
      <c r="F1063" s="40"/>
      <c r="G1063" s="40"/>
      <c r="H1063" s="40"/>
      <c r="I1063" s="40"/>
      <c r="J1063" s="40"/>
      <c r="K1063" s="46"/>
    </row>
    <row r="1064" ht="19.5" customHeight="1">
      <c r="A1064" s="220"/>
      <c r="B1064" s="243"/>
      <c r="C1064" s="46"/>
      <c r="D1064" s="123"/>
      <c r="E1064" s="243"/>
      <c r="F1064" s="40"/>
      <c r="G1064" s="40"/>
      <c r="H1064" s="40"/>
      <c r="I1064" s="40"/>
      <c r="J1064" s="40"/>
      <c r="K1064" s="46"/>
    </row>
    <row r="1065" ht="19.5" customHeight="1">
      <c r="A1065" s="220"/>
      <c r="B1065" s="243"/>
      <c r="C1065" s="46"/>
      <c r="D1065" s="123"/>
      <c r="E1065" s="243"/>
      <c r="F1065" s="40"/>
      <c r="G1065" s="40"/>
      <c r="H1065" s="40"/>
      <c r="I1065" s="40"/>
      <c r="J1065" s="40"/>
      <c r="K1065" s="46"/>
    </row>
    <row r="1066" ht="19.5" customHeight="1">
      <c r="A1066" s="220"/>
      <c r="B1066" s="243"/>
      <c r="C1066" s="46"/>
      <c r="D1066" s="123"/>
      <c r="E1066" s="243"/>
      <c r="F1066" s="40"/>
      <c r="G1066" s="40"/>
      <c r="H1066" s="40"/>
      <c r="I1066" s="40"/>
      <c r="J1066" s="40"/>
      <c r="K1066" s="46"/>
    </row>
    <row r="1067" ht="19.5" customHeight="1">
      <c r="A1067" s="220"/>
      <c r="B1067" s="243"/>
      <c r="C1067" s="46"/>
      <c r="D1067" s="123"/>
      <c r="E1067" s="243"/>
      <c r="F1067" s="40"/>
      <c r="G1067" s="40"/>
      <c r="H1067" s="40"/>
      <c r="I1067" s="40"/>
      <c r="J1067" s="40"/>
      <c r="K1067" s="46"/>
    </row>
    <row r="1068" ht="19.5" customHeight="1">
      <c r="A1068" s="220"/>
      <c r="B1068" s="243"/>
      <c r="C1068" s="46"/>
      <c r="D1068" s="123"/>
      <c r="E1068" s="243"/>
      <c r="F1068" s="40"/>
      <c r="G1068" s="40"/>
      <c r="H1068" s="40"/>
      <c r="I1068" s="40"/>
      <c r="J1068" s="40"/>
      <c r="K1068" s="46"/>
    </row>
    <row r="1069" ht="19.5" customHeight="1">
      <c r="A1069" s="220"/>
      <c r="B1069" s="243"/>
      <c r="C1069" s="46"/>
      <c r="D1069" s="123"/>
      <c r="E1069" s="243"/>
      <c r="F1069" s="40"/>
      <c r="G1069" s="40"/>
      <c r="H1069" s="40"/>
      <c r="I1069" s="40"/>
      <c r="J1069" s="40"/>
      <c r="K1069" s="46"/>
    </row>
    <row r="1070" ht="19.5" customHeight="1">
      <c r="A1070" s="220"/>
      <c r="B1070" s="243"/>
      <c r="C1070" s="46"/>
      <c r="D1070" s="123"/>
      <c r="E1070" s="243"/>
      <c r="F1070" s="40"/>
      <c r="G1070" s="40"/>
      <c r="H1070" s="40"/>
      <c r="I1070" s="40"/>
      <c r="J1070" s="40"/>
      <c r="K1070" s="46"/>
    </row>
    <row r="1071" ht="19.5" customHeight="1">
      <c r="A1071" s="220"/>
      <c r="B1071" s="243"/>
      <c r="C1071" s="46"/>
      <c r="D1071" s="123"/>
      <c r="E1071" s="243"/>
      <c r="F1071" s="40"/>
      <c r="G1071" s="40"/>
      <c r="H1071" s="40"/>
      <c r="I1071" s="40"/>
      <c r="J1071" s="40"/>
      <c r="K1071" s="46"/>
    </row>
    <row r="1072" ht="19.5" customHeight="1">
      <c r="A1072" s="220"/>
      <c r="B1072" s="243"/>
      <c r="C1072" s="46"/>
      <c r="D1072" s="123"/>
      <c r="E1072" s="243"/>
      <c r="F1072" s="40"/>
      <c r="G1072" s="40"/>
      <c r="H1072" s="40"/>
      <c r="I1072" s="40"/>
      <c r="J1072" s="40"/>
      <c r="K1072" s="46"/>
    </row>
  </sheetData>
  <mergeCells count="33">
    <mergeCell ref="A6:K6"/>
    <mergeCell ref="A7:K7"/>
    <mergeCell ref="A8:K8"/>
    <mergeCell ref="A9:A10"/>
    <mergeCell ref="B9:B10"/>
    <mergeCell ref="C9:C10"/>
    <mergeCell ref="D9:D10"/>
    <mergeCell ref="K9:K10"/>
    <mergeCell ref="E9:G9"/>
    <mergeCell ref="J9:J10"/>
    <mergeCell ref="J11:J16"/>
    <mergeCell ref="J17:J31"/>
    <mergeCell ref="J35:J36"/>
    <mergeCell ref="J38:J57"/>
    <mergeCell ref="J59:J60"/>
    <mergeCell ref="J62:J66"/>
    <mergeCell ref="J72:J74"/>
    <mergeCell ref="J77:J79"/>
    <mergeCell ref="J92:J94"/>
    <mergeCell ref="J106:J107"/>
    <mergeCell ref="J110:J111"/>
    <mergeCell ref="J113:J114"/>
    <mergeCell ref="J207:J208"/>
    <mergeCell ref="J214:J216"/>
    <mergeCell ref="J218:J222"/>
    <mergeCell ref="J315:J316"/>
    <mergeCell ref="J116:J117"/>
    <mergeCell ref="J122:J123"/>
    <mergeCell ref="J125:J126"/>
    <mergeCell ref="J145:J154"/>
    <mergeCell ref="J161:J163"/>
    <mergeCell ref="K196:K198"/>
    <mergeCell ref="J203:J204"/>
  </mergeCells>
  <printOptions/>
  <pageMargins bottom="0.787401575" footer="0.0" header="0.0" left="0.511811024" right="0.511811024" top="0.787401575"/>
  <pageSetup paperSize="9" scale="60" orientation="landscape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42.13"/>
    <col customWidth="1" min="3" max="3" width="9.13"/>
    <col customWidth="1" min="4" max="4" width="16.25"/>
    <col customWidth="1" min="5" max="5" width="19.13"/>
    <col customWidth="1" min="6" max="6" width="17.75"/>
    <col customWidth="1" min="7" max="7" width="21.88"/>
    <col customWidth="1" min="8" max="8" width="20.13"/>
    <col customWidth="1" min="9" max="9" width="16.13"/>
    <col customWidth="1" min="10" max="10" width="18.25"/>
    <col customWidth="1" min="11" max="11" width="32.38"/>
    <col customWidth="1" min="12" max="26" width="8.63"/>
  </cols>
  <sheetData>
    <row r="1" ht="19.5" customHeight="1">
      <c r="A1" s="4"/>
      <c r="B1" s="5"/>
      <c r="C1" s="6"/>
      <c r="D1" s="86"/>
      <c r="E1" s="5"/>
      <c r="F1" s="8"/>
      <c r="G1" s="8"/>
      <c r="H1" s="8"/>
      <c r="I1" s="8"/>
      <c r="J1" s="8"/>
      <c r="K1" s="9"/>
    </row>
    <row r="2" ht="19.5" customHeight="1">
      <c r="A2" s="10" t="s">
        <v>83</v>
      </c>
      <c r="B2" s="11" t="s">
        <v>84</v>
      </c>
      <c r="C2" s="12"/>
      <c r="D2" s="87"/>
      <c r="F2" s="14"/>
      <c r="G2" s="14"/>
      <c r="H2" s="14"/>
      <c r="I2" s="14"/>
      <c r="J2" s="17" t="s">
        <v>144</v>
      </c>
      <c r="K2" s="18"/>
    </row>
    <row r="3" ht="19.5" customHeight="1">
      <c r="A3" s="10" t="s">
        <v>86</v>
      </c>
      <c r="B3" s="11" t="s">
        <v>87</v>
      </c>
      <c r="C3" s="12"/>
      <c r="D3" s="87"/>
      <c r="F3" s="14"/>
      <c r="G3" s="14"/>
      <c r="H3" s="14"/>
      <c r="I3" s="14"/>
      <c r="J3" s="14"/>
      <c r="K3" s="18"/>
    </row>
    <row r="4" ht="19.5" customHeight="1">
      <c r="A4" s="19"/>
      <c r="C4" s="12"/>
      <c r="D4" s="87"/>
      <c r="F4" s="14"/>
      <c r="G4" s="14"/>
      <c r="H4" s="14"/>
      <c r="I4" s="14"/>
      <c r="J4" s="14"/>
      <c r="K4" s="18"/>
    </row>
    <row r="5" ht="19.5" customHeight="1">
      <c r="A5" s="19"/>
      <c r="C5" s="12"/>
      <c r="D5" s="87"/>
      <c r="F5" s="14"/>
      <c r="G5" s="14"/>
      <c r="H5" s="14"/>
      <c r="I5" s="14"/>
      <c r="J5" s="14"/>
      <c r="K5" s="18"/>
    </row>
    <row r="6" ht="200.25" customHeight="1">
      <c r="A6" s="20" t="s">
        <v>1536</v>
      </c>
      <c r="K6" s="21"/>
    </row>
    <row r="7" ht="64.5" customHeight="1">
      <c r="A7" s="22" t="s">
        <v>1537</v>
      </c>
      <c r="K7" s="21"/>
    </row>
    <row r="8" ht="37.5" customHeight="1">
      <c r="A8" s="88" t="s">
        <v>90</v>
      </c>
      <c r="B8" s="24"/>
      <c r="C8" s="24"/>
      <c r="D8" s="24"/>
      <c r="E8" s="24"/>
      <c r="F8" s="24"/>
      <c r="G8" s="24"/>
      <c r="H8" s="24"/>
      <c r="I8" s="24"/>
      <c r="J8" s="24"/>
      <c r="K8" s="25"/>
    </row>
    <row r="9" ht="19.5" customHeight="1">
      <c r="A9" s="26" t="s">
        <v>1</v>
      </c>
      <c r="B9" s="26" t="s">
        <v>91</v>
      </c>
      <c r="C9" s="26" t="s">
        <v>92</v>
      </c>
      <c r="D9" s="31" t="s">
        <v>93</v>
      </c>
      <c r="E9" s="27" t="s">
        <v>94</v>
      </c>
      <c r="F9" s="28"/>
      <c r="G9" s="29"/>
      <c r="H9" s="30"/>
      <c r="I9" s="30"/>
      <c r="J9" s="31" t="s">
        <v>95</v>
      </c>
      <c r="K9" s="26" t="s">
        <v>96</v>
      </c>
    </row>
    <row r="10" ht="19.5" customHeight="1">
      <c r="A10" s="32"/>
      <c r="B10" s="32"/>
      <c r="C10" s="32"/>
      <c r="D10" s="32"/>
      <c r="E10" s="33" t="s">
        <v>97</v>
      </c>
      <c r="F10" s="34" t="s">
        <v>121</v>
      </c>
      <c r="G10" s="34" t="s">
        <v>99</v>
      </c>
      <c r="H10" s="35" t="s">
        <v>100</v>
      </c>
      <c r="I10" s="35" t="s">
        <v>101</v>
      </c>
      <c r="J10" s="32"/>
      <c r="K10" s="32"/>
    </row>
    <row r="11" ht="19.5" customHeight="1">
      <c r="A11" s="443">
        <v>36908.0</v>
      </c>
      <c r="B11" s="37" t="s">
        <v>147</v>
      </c>
      <c r="C11" s="46" t="s">
        <v>148</v>
      </c>
      <c r="D11" s="78">
        <v>1.0</v>
      </c>
      <c r="E11" s="37">
        <v>0.8</v>
      </c>
      <c r="F11" s="40">
        <v>0.8</v>
      </c>
      <c r="G11" s="40">
        <v>0.8</v>
      </c>
      <c r="H11" s="40">
        <f>G11*F11*E11*D11</f>
        <v>0.512</v>
      </c>
      <c r="I11" s="42"/>
      <c r="J11" s="43">
        <f>H11-I11</f>
        <v>0.512</v>
      </c>
      <c r="K11" s="46"/>
    </row>
    <row r="12" ht="19.5" customHeight="1">
      <c r="A12" s="74" t="s">
        <v>1</v>
      </c>
      <c r="B12" s="74" t="s">
        <v>91</v>
      </c>
      <c r="C12" s="74" t="s">
        <v>92</v>
      </c>
      <c r="D12" s="76" t="s">
        <v>93</v>
      </c>
      <c r="E12" s="50" t="s">
        <v>97</v>
      </c>
      <c r="F12" s="53" t="s">
        <v>121</v>
      </c>
      <c r="G12" s="53" t="s">
        <v>99</v>
      </c>
      <c r="H12" s="75" t="s">
        <v>100</v>
      </c>
      <c r="I12" s="75" t="s">
        <v>101</v>
      </c>
      <c r="J12" s="76" t="s">
        <v>95</v>
      </c>
      <c r="K12" s="74" t="s">
        <v>96</v>
      </c>
    </row>
    <row r="13" ht="19.5" customHeight="1">
      <c r="A13" s="36">
        <v>39464.0</v>
      </c>
      <c r="B13" s="37" t="s">
        <v>150</v>
      </c>
      <c r="C13" s="38" t="s">
        <v>108</v>
      </c>
      <c r="D13" s="78">
        <v>2.0</v>
      </c>
      <c r="E13" s="37"/>
      <c r="F13" s="40">
        <f>6.3+1</f>
        <v>7.3</v>
      </c>
      <c r="G13" s="40">
        <f>5.4+1</f>
        <v>6.4</v>
      </c>
      <c r="H13" s="40">
        <f>(G13+F13)*D13</f>
        <v>27.4</v>
      </c>
      <c r="I13" s="42"/>
      <c r="J13" s="64">
        <f>H13</f>
        <v>27.4</v>
      </c>
      <c r="K13" s="46"/>
    </row>
    <row r="14" ht="19.5" customHeight="1">
      <c r="A14" s="74" t="s">
        <v>1</v>
      </c>
      <c r="B14" s="74" t="s">
        <v>91</v>
      </c>
      <c r="C14" s="74" t="s">
        <v>92</v>
      </c>
      <c r="D14" s="76" t="s">
        <v>93</v>
      </c>
      <c r="E14" s="50" t="s">
        <v>97</v>
      </c>
      <c r="F14" s="53" t="s">
        <v>121</v>
      </c>
      <c r="G14" s="53" t="s">
        <v>99</v>
      </c>
      <c r="H14" s="75" t="s">
        <v>100</v>
      </c>
      <c r="I14" s="75" t="s">
        <v>101</v>
      </c>
      <c r="J14" s="76" t="s">
        <v>95</v>
      </c>
      <c r="K14" s="74" t="s">
        <v>96</v>
      </c>
    </row>
    <row r="15" ht="19.5" customHeight="1">
      <c r="A15" s="443">
        <v>37273.0</v>
      </c>
      <c r="B15" s="49" t="s">
        <v>149</v>
      </c>
      <c r="C15" s="38" t="s">
        <v>103</v>
      </c>
      <c r="D15" s="78">
        <f>D11</f>
        <v>1</v>
      </c>
      <c r="E15" s="37"/>
      <c r="F15" s="40">
        <f t="shared" ref="F15:G15" si="1">F11</f>
        <v>0.8</v>
      </c>
      <c r="G15" s="40">
        <f t="shared" si="1"/>
        <v>0.8</v>
      </c>
      <c r="H15" s="40">
        <f>G15*F15*D15</f>
        <v>0.64</v>
      </c>
      <c r="I15" s="42"/>
      <c r="J15" s="64">
        <f>H15</f>
        <v>0.64</v>
      </c>
      <c r="K15" s="46"/>
    </row>
    <row r="16" ht="19.5" customHeight="1">
      <c r="A16" s="74" t="s">
        <v>1</v>
      </c>
      <c r="B16" s="74" t="s">
        <v>91</v>
      </c>
      <c r="C16" s="74" t="s">
        <v>92</v>
      </c>
      <c r="D16" s="76" t="s">
        <v>93</v>
      </c>
      <c r="E16" s="50" t="s">
        <v>97</v>
      </c>
      <c r="F16" s="53" t="s">
        <v>121</v>
      </c>
      <c r="G16" s="53" t="s">
        <v>99</v>
      </c>
      <c r="H16" s="75" t="s">
        <v>100</v>
      </c>
      <c r="I16" s="75" t="s">
        <v>101</v>
      </c>
      <c r="J16" s="76" t="s">
        <v>95</v>
      </c>
      <c r="K16" s="74" t="s">
        <v>96</v>
      </c>
    </row>
    <row r="17" ht="19.5" customHeight="1">
      <c r="A17" s="443">
        <v>39830.0</v>
      </c>
      <c r="B17" s="37" t="s">
        <v>333</v>
      </c>
      <c r="C17" s="46" t="s">
        <v>148</v>
      </c>
      <c r="D17" s="78">
        <f>D15</f>
        <v>1</v>
      </c>
      <c r="E17" s="37">
        <v>0.05</v>
      </c>
      <c r="F17" s="40">
        <f t="shared" ref="F17:G17" si="2">F15</f>
        <v>0.8</v>
      </c>
      <c r="G17" s="40">
        <f t="shared" si="2"/>
        <v>0.8</v>
      </c>
      <c r="H17" s="40">
        <f>G17*F17*E17*D17</f>
        <v>0.032</v>
      </c>
      <c r="I17" s="42"/>
      <c r="J17" s="64">
        <f>H17</f>
        <v>0.032</v>
      </c>
      <c r="K17" s="46"/>
    </row>
    <row r="18" ht="19.5" customHeight="1">
      <c r="A18" s="74" t="s">
        <v>1</v>
      </c>
      <c r="B18" s="74" t="s">
        <v>91</v>
      </c>
      <c r="C18" s="74" t="s">
        <v>92</v>
      </c>
      <c r="D18" s="76" t="s">
        <v>93</v>
      </c>
      <c r="E18" s="50" t="s">
        <v>97</v>
      </c>
      <c r="F18" s="53" t="s">
        <v>121</v>
      </c>
      <c r="G18" s="53" t="s">
        <v>99</v>
      </c>
      <c r="H18" s="75" t="s">
        <v>100</v>
      </c>
      <c r="I18" s="75" t="s">
        <v>101</v>
      </c>
      <c r="J18" s="76" t="s">
        <v>95</v>
      </c>
      <c r="K18" s="74" t="s">
        <v>96</v>
      </c>
    </row>
    <row r="19" ht="19.5" customHeight="1">
      <c r="A19" s="443">
        <v>37638.0</v>
      </c>
      <c r="B19" s="37" t="s">
        <v>334</v>
      </c>
      <c r="C19" s="46" t="s">
        <v>148</v>
      </c>
      <c r="D19" s="78">
        <f>D17</f>
        <v>1</v>
      </c>
      <c r="E19" s="37">
        <v>0.5</v>
      </c>
      <c r="F19" s="40">
        <v>0.25</v>
      </c>
      <c r="G19" s="40">
        <v>0.3</v>
      </c>
      <c r="H19" s="40">
        <f>G19*F19*E19*D19</f>
        <v>0.0375</v>
      </c>
      <c r="I19" s="42"/>
      <c r="J19" s="43">
        <f>H19-I19</f>
        <v>0.0375</v>
      </c>
      <c r="K19" s="46"/>
    </row>
    <row r="20" ht="19.5" customHeight="1">
      <c r="A20" s="74" t="s">
        <v>1</v>
      </c>
      <c r="B20" s="74" t="s">
        <v>91</v>
      </c>
      <c r="C20" s="74" t="s">
        <v>92</v>
      </c>
      <c r="D20" s="76" t="s">
        <v>93</v>
      </c>
      <c r="E20" s="50" t="s">
        <v>97</v>
      </c>
      <c r="F20" s="53" t="s">
        <v>121</v>
      </c>
      <c r="G20" s="53" t="s">
        <v>99</v>
      </c>
      <c r="H20" s="75" t="s">
        <v>100</v>
      </c>
      <c r="I20" s="75" t="s">
        <v>101</v>
      </c>
      <c r="J20" s="76" t="s">
        <v>95</v>
      </c>
      <c r="K20" s="74" t="s">
        <v>96</v>
      </c>
    </row>
    <row r="21" ht="19.5" customHeight="1">
      <c r="A21" s="443">
        <v>36998.0</v>
      </c>
      <c r="B21" s="37" t="s">
        <v>335</v>
      </c>
      <c r="C21" s="46" t="s">
        <v>148</v>
      </c>
      <c r="D21" s="78">
        <v>1.0</v>
      </c>
      <c r="E21" s="37">
        <v>3.0</v>
      </c>
      <c r="F21" s="40">
        <v>0.25</v>
      </c>
      <c r="G21" s="40">
        <v>0.3</v>
      </c>
      <c r="H21" s="40">
        <f>G21*F21*E21*D21</f>
        <v>0.225</v>
      </c>
      <c r="I21" s="42"/>
      <c r="J21" s="107"/>
      <c r="K21" s="46"/>
    </row>
    <row r="22" ht="19.5" customHeight="1">
      <c r="A22" s="46"/>
      <c r="B22" s="37"/>
      <c r="C22" s="46"/>
      <c r="D22" s="78"/>
      <c r="E22" s="37"/>
      <c r="F22" s="40"/>
      <c r="G22" s="40"/>
      <c r="H22" s="40"/>
      <c r="I22" s="42"/>
      <c r="J22" s="96">
        <f>SUM(H21:H22)</f>
        <v>0.225</v>
      </c>
      <c r="K22" s="79"/>
    </row>
    <row r="23" ht="19.5" customHeight="1">
      <c r="A23" s="74" t="s">
        <v>1</v>
      </c>
      <c r="B23" s="74" t="s">
        <v>91</v>
      </c>
      <c r="C23" s="74" t="s">
        <v>92</v>
      </c>
      <c r="D23" s="76" t="s">
        <v>93</v>
      </c>
      <c r="E23" s="50" t="s">
        <v>97</v>
      </c>
      <c r="F23" s="53" t="s">
        <v>121</v>
      </c>
      <c r="G23" s="53" t="s">
        <v>99</v>
      </c>
      <c r="H23" s="75" t="s">
        <v>100</v>
      </c>
      <c r="I23" s="75" t="s">
        <v>101</v>
      </c>
      <c r="J23" s="76" t="s">
        <v>95</v>
      </c>
      <c r="K23" s="74" t="s">
        <v>96</v>
      </c>
    </row>
    <row r="24" ht="19.5" customHeight="1">
      <c r="A24" s="443">
        <v>37638.0</v>
      </c>
      <c r="B24" s="37" t="s">
        <v>337</v>
      </c>
      <c r="C24" s="46" t="s">
        <v>148</v>
      </c>
      <c r="D24" s="78">
        <f>D19</f>
        <v>1</v>
      </c>
      <c r="E24" s="37">
        <v>0.25</v>
      </c>
      <c r="F24" s="40">
        <f t="shared" ref="F24:G24" si="3">F17</f>
        <v>0.8</v>
      </c>
      <c r="G24" s="40">
        <f t="shared" si="3"/>
        <v>0.8</v>
      </c>
      <c r="H24" s="40">
        <f>G24*F24*E24*D24</f>
        <v>0.16</v>
      </c>
      <c r="I24" s="42"/>
      <c r="J24" s="40"/>
      <c r="K24" s="46"/>
    </row>
    <row r="25" ht="19.5" customHeight="1">
      <c r="A25" s="46"/>
      <c r="B25" s="37"/>
      <c r="C25" s="46"/>
      <c r="D25" s="78"/>
      <c r="E25" s="37"/>
      <c r="F25" s="40"/>
      <c r="G25" s="40"/>
      <c r="H25" s="40"/>
      <c r="I25" s="42"/>
      <c r="J25" s="43">
        <f>SUM(H24:H25)</f>
        <v>0.16</v>
      </c>
      <c r="K25" s="79"/>
      <c r="L25" s="435">
        <f>J25+J19</f>
        <v>0.1975</v>
      </c>
    </row>
    <row r="26" ht="19.5" customHeight="1">
      <c r="A26" s="74" t="s">
        <v>1</v>
      </c>
      <c r="B26" s="74" t="s">
        <v>91</v>
      </c>
      <c r="C26" s="74" t="s">
        <v>92</v>
      </c>
      <c r="D26" s="76" t="s">
        <v>93</v>
      </c>
      <c r="E26" s="50" t="s">
        <v>97</v>
      </c>
      <c r="F26" s="53" t="s">
        <v>121</v>
      </c>
      <c r="G26" s="53" t="s">
        <v>99</v>
      </c>
      <c r="H26" s="75" t="s">
        <v>100</v>
      </c>
      <c r="I26" s="75" t="s">
        <v>101</v>
      </c>
      <c r="J26" s="76" t="s">
        <v>95</v>
      </c>
      <c r="K26" s="74" t="s">
        <v>96</v>
      </c>
    </row>
    <row r="27" ht="19.5" customHeight="1">
      <c r="A27" s="443">
        <v>36939.0</v>
      </c>
      <c r="B27" s="37" t="s">
        <v>338</v>
      </c>
      <c r="C27" s="46" t="s">
        <v>148</v>
      </c>
      <c r="D27" s="78">
        <v>3.0</v>
      </c>
      <c r="E27" s="37">
        <v>0.3</v>
      </c>
      <c r="F27" s="39">
        <v>6.3</v>
      </c>
      <c r="G27" s="40">
        <v>0.14</v>
      </c>
      <c r="H27" s="40">
        <f>G27*F27*E27*D27</f>
        <v>0.7938</v>
      </c>
      <c r="I27" s="42"/>
      <c r="J27" s="40"/>
      <c r="K27" s="46"/>
    </row>
    <row r="28" ht="19.5" customHeight="1">
      <c r="A28" s="46"/>
      <c r="B28" s="37"/>
      <c r="C28" s="46"/>
      <c r="D28" s="78"/>
      <c r="E28" s="37"/>
      <c r="F28" s="78"/>
      <c r="G28" s="40"/>
      <c r="H28" s="40"/>
      <c r="I28" s="42"/>
      <c r="J28" s="43">
        <f>SUM(H27:H28)</f>
        <v>0.7938</v>
      </c>
      <c r="K28" s="79"/>
      <c r="L28" s="14">
        <f>J28</f>
        <v>0.7938</v>
      </c>
    </row>
    <row r="29" ht="19.5" customHeight="1">
      <c r="A29" s="74" t="s">
        <v>1</v>
      </c>
      <c r="B29" s="74" t="s">
        <v>91</v>
      </c>
      <c r="C29" s="74" t="s">
        <v>92</v>
      </c>
      <c r="D29" s="76" t="s">
        <v>93</v>
      </c>
      <c r="E29" s="50" t="s">
        <v>97</v>
      </c>
      <c r="F29" s="53" t="s">
        <v>121</v>
      </c>
      <c r="G29" s="53" t="s">
        <v>99</v>
      </c>
      <c r="H29" s="75" t="s">
        <v>100</v>
      </c>
      <c r="I29" s="75" t="s">
        <v>101</v>
      </c>
      <c r="J29" s="76" t="s">
        <v>95</v>
      </c>
      <c r="K29" s="74" t="s">
        <v>96</v>
      </c>
    </row>
    <row r="30" ht="19.5" customHeight="1">
      <c r="A30" s="443">
        <v>39099.0</v>
      </c>
      <c r="B30" s="37" t="s">
        <v>339</v>
      </c>
      <c r="C30" s="46" t="s">
        <v>148</v>
      </c>
      <c r="D30" s="78">
        <f>H11</f>
        <v>0.512</v>
      </c>
      <c r="E30" s="37"/>
      <c r="F30" s="78"/>
      <c r="G30" s="40"/>
      <c r="H30" s="40">
        <f>D30</f>
        <v>0.512</v>
      </c>
      <c r="I30" s="42"/>
      <c r="J30" s="43">
        <f>H30</f>
        <v>0.512</v>
      </c>
      <c r="K30" s="46"/>
    </row>
    <row r="31" ht="19.5" customHeight="1">
      <c r="A31" s="443">
        <v>38734.0</v>
      </c>
      <c r="B31" s="37" t="s">
        <v>340</v>
      </c>
      <c r="C31" s="46" t="s">
        <v>148</v>
      </c>
      <c r="D31" s="78">
        <v>1.0</v>
      </c>
      <c r="E31" s="37">
        <v>0.3</v>
      </c>
      <c r="F31" s="39">
        <v>6.3</v>
      </c>
      <c r="G31" s="40">
        <v>6.5</v>
      </c>
      <c r="H31" s="40">
        <f>(G31*F31*E31)-H30</f>
        <v>11.773</v>
      </c>
      <c r="I31" s="42"/>
      <c r="J31" s="43">
        <f>H31*1.5</f>
        <v>17.6595</v>
      </c>
      <c r="K31" s="46" t="s">
        <v>341</v>
      </c>
    </row>
    <row r="32" ht="19.5" customHeight="1">
      <c r="A32" s="74" t="s">
        <v>1</v>
      </c>
      <c r="B32" s="74" t="s">
        <v>91</v>
      </c>
      <c r="C32" s="74" t="s">
        <v>92</v>
      </c>
      <c r="D32" s="76" t="s">
        <v>93</v>
      </c>
      <c r="E32" s="50" t="s">
        <v>97</v>
      </c>
      <c r="F32" s="53" t="s">
        <v>121</v>
      </c>
      <c r="G32" s="53" t="s">
        <v>99</v>
      </c>
      <c r="H32" s="75" t="s">
        <v>100</v>
      </c>
      <c r="I32" s="75" t="s">
        <v>101</v>
      </c>
      <c r="J32" s="76" t="s">
        <v>95</v>
      </c>
      <c r="K32" s="74" t="s">
        <v>96</v>
      </c>
      <c r="L32" s="14">
        <f>J22+J42</f>
        <v>1.3275</v>
      </c>
    </row>
    <row r="33" ht="19.5" customHeight="1">
      <c r="A33" s="36">
        <v>37089.0</v>
      </c>
      <c r="B33" s="37" t="s">
        <v>172</v>
      </c>
      <c r="C33" s="46" t="s">
        <v>148</v>
      </c>
      <c r="D33" s="78">
        <v>1.0</v>
      </c>
      <c r="E33" s="37">
        <v>0.05</v>
      </c>
      <c r="F33" s="39">
        <v>6.3</v>
      </c>
      <c r="G33" s="41">
        <v>5.4</v>
      </c>
      <c r="H33" s="40">
        <f>G33*F33*E33*D33</f>
        <v>1.701</v>
      </c>
      <c r="I33" s="42"/>
      <c r="J33" s="43">
        <f t="shared" ref="J33:J35" si="5">H33</f>
        <v>1.701</v>
      </c>
      <c r="K33" s="46"/>
    </row>
    <row r="34" ht="19.5" customHeight="1">
      <c r="A34" s="36">
        <v>37454.0</v>
      </c>
      <c r="B34" s="37" t="s">
        <v>342</v>
      </c>
      <c r="C34" s="46" t="s">
        <v>103</v>
      </c>
      <c r="D34" s="78">
        <v>1.0</v>
      </c>
      <c r="E34" s="37">
        <v>0.05</v>
      </c>
      <c r="F34" s="78">
        <f t="shared" ref="F34:G34" si="4">F33</f>
        <v>6.3</v>
      </c>
      <c r="G34" s="78">
        <f t="shared" si="4"/>
        <v>5.4</v>
      </c>
      <c r="H34" s="40">
        <f>G34*F34</f>
        <v>34.02</v>
      </c>
      <c r="I34" s="42"/>
      <c r="J34" s="43">
        <f t="shared" si="5"/>
        <v>34.02</v>
      </c>
      <c r="K34" s="46"/>
    </row>
    <row r="35" ht="19.5" customHeight="1">
      <c r="A35" s="36">
        <v>37819.0</v>
      </c>
      <c r="B35" s="49" t="s">
        <v>175</v>
      </c>
      <c r="C35" s="46" t="s">
        <v>103</v>
      </c>
      <c r="D35" s="78">
        <v>1.0</v>
      </c>
      <c r="E35" s="37">
        <v>1.0</v>
      </c>
      <c r="F35" s="78">
        <f t="shared" ref="F35:G35" si="6">F34</f>
        <v>6.3</v>
      </c>
      <c r="G35" s="78">
        <f t="shared" si="6"/>
        <v>5.4</v>
      </c>
      <c r="H35" s="40">
        <f>G35*F35*E35</f>
        <v>34.02</v>
      </c>
      <c r="I35" s="42"/>
      <c r="J35" s="43">
        <f t="shared" si="5"/>
        <v>34.02</v>
      </c>
      <c r="K35" s="46" t="s">
        <v>344</v>
      </c>
    </row>
    <row r="36" ht="19.5" customHeight="1">
      <c r="A36" s="444"/>
      <c r="B36" s="114"/>
      <c r="C36" s="79"/>
      <c r="D36" s="122"/>
      <c r="E36" s="37"/>
      <c r="F36" s="78"/>
      <c r="G36" s="78"/>
      <c r="H36" s="59"/>
      <c r="I36" s="82"/>
      <c r="J36" s="143"/>
      <c r="K36" s="79"/>
    </row>
    <row r="37" ht="19.5" customHeight="1">
      <c r="A37" s="74" t="s">
        <v>1</v>
      </c>
      <c r="B37" s="74" t="s">
        <v>91</v>
      </c>
      <c r="C37" s="74" t="s">
        <v>92</v>
      </c>
      <c r="D37" s="76" t="s">
        <v>93</v>
      </c>
      <c r="E37" s="50" t="s">
        <v>97</v>
      </c>
      <c r="F37" s="53" t="s">
        <v>121</v>
      </c>
      <c r="G37" s="53" t="s">
        <v>99</v>
      </c>
      <c r="H37" s="75" t="s">
        <v>100</v>
      </c>
      <c r="I37" s="75" t="s">
        <v>101</v>
      </c>
      <c r="J37" s="76" t="s">
        <v>95</v>
      </c>
      <c r="K37" s="74" t="s">
        <v>96</v>
      </c>
    </row>
    <row r="38" ht="19.5" customHeight="1">
      <c r="A38" s="443">
        <v>36967.0</v>
      </c>
      <c r="B38" s="49" t="s">
        <v>1028</v>
      </c>
      <c r="C38" s="38" t="s">
        <v>103</v>
      </c>
      <c r="D38" s="78">
        <v>3.0</v>
      </c>
      <c r="E38" s="37">
        <v>0.3</v>
      </c>
      <c r="F38" s="78">
        <f>F33</f>
        <v>6.3</v>
      </c>
      <c r="G38" s="40">
        <v>0.14</v>
      </c>
      <c r="H38" s="40">
        <f>F38*E38*D38</f>
        <v>5.67</v>
      </c>
      <c r="I38" s="42"/>
      <c r="J38" s="40"/>
      <c r="K38" s="46"/>
    </row>
    <row r="39" ht="19.5" customHeight="1">
      <c r="A39" s="46"/>
      <c r="B39" s="37"/>
      <c r="C39" s="46"/>
      <c r="D39" s="78"/>
      <c r="E39" s="37"/>
      <c r="F39" s="78"/>
      <c r="G39" s="40"/>
      <c r="H39" s="40"/>
      <c r="I39" s="42"/>
      <c r="J39" s="43">
        <f>SUM(H38:H39)</f>
        <v>5.67</v>
      </c>
      <c r="K39" s="79"/>
    </row>
    <row r="40" ht="19.5" customHeight="1">
      <c r="A40" s="74" t="s">
        <v>1</v>
      </c>
      <c r="B40" s="74" t="s">
        <v>91</v>
      </c>
      <c r="C40" s="74" t="s">
        <v>92</v>
      </c>
      <c r="D40" s="76" t="s">
        <v>93</v>
      </c>
      <c r="E40" s="50" t="s">
        <v>97</v>
      </c>
      <c r="F40" s="53" t="s">
        <v>121</v>
      </c>
      <c r="G40" s="53" t="s">
        <v>99</v>
      </c>
      <c r="H40" s="75" t="s">
        <v>100</v>
      </c>
      <c r="I40" s="75" t="s">
        <v>101</v>
      </c>
      <c r="J40" s="76" t="s">
        <v>95</v>
      </c>
      <c r="K40" s="74" t="s">
        <v>96</v>
      </c>
    </row>
    <row r="41" ht="19.5" customHeight="1">
      <c r="A41" s="443">
        <v>36998.0</v>
      </c>
      <c r="B41" s="37" t="s">
        <v>346</v>
      </c>
      <c r="C41" s="46" t="s">
        <v>148</v>
      </c>
      <c r="D41" s="78">
        <v>5.0</v>
      </c>
      <c r="E41" s="37">
        <v>0.25</v>
      </c>
      <c r="F41" s="40">
        <f>F38</f>
        <v>6.3</v>
      </c>
      <c r="G41" s="40">
        <v>0.14</v>
      </c>
      <c r="H41" s="40">
        <f>G41*F41*E41*D41</f>
        <v>1.1025</v>
      </c>
      <c r="I41" s="42"/>
      <c r="J41" s="40"/>
      <c r="K41" s="46"/>
    </row>
    <row r="42" ht="19.5" customHeight="1">
      <c r="A42" s="46"/>
      <c r="B42" s="37"/>
      <c r="C42" s="46"/>
      <c r="D42" s="78"/>
      <c r="E42" s="37"/>
      <c r="F42" s="40"/>
      <c r="G42" s="40"/>
      <c r="H42" s="40"/>
      <c r="I42" s="42"/>
      <c r="J42" s="96">
        <f>SUM(H41:H42)</f>
        <v>1.1025</v>
      </c>
      <c r="K42" s="79"/>
      <c r="L42" s="14"/>
    </row>
    <row r="43" ht="19.5" customHeight="1">
      <c r="A43" s="74" t="s">
        <v>1</v>
      </c>
      <c r="B43" s="74" t="s">
        <v>91</v>
      </c>
      <c r="C43" s="74" t="s">
        <v>92</v>
      </c>
      <c r="D43" s="76" t="s">
        <v>93</v>
      </c>
      <c r="E43" s="50" t="s">
        <v>97</v>
      </c>
      <c r="F43" s="53" t="s">
        <v>121</v>
      </c>
      <c r="G43" s="53" t="s">
        <v>99</v>
      </c>
      <c r="H43" s="75" t="s">
        <v>100</v>
      </c>
      <c r="I43" s="75" t="s">
        <v>101</v>
      </c>
      <c r="J43" s="76" t="s">
        <v>95</v>
      </c>
      <c r="K43" s="74" t="s">
        <v>96</v>
      </c>
    </row>
    <row r="44" ht="19.5" customHeight="1">
      <c r="A44" s="36">
        <v>38824.0</v>
      </c>
      <c r="B44" s="37" t="s">
        <v>176</v>
      </c>
      <c r="C44" s="46" t="s">
        <v>103</v>
      </c>
      <c r="D44" s="39">
        <v>1.0</v>
      </c>
      <c r="E44" s="37"/>
      <c r="F44" s="41">
        <v>6.3</v>
      </c>
      <c r="G44" s="41">
        <v>5.4</v>
      </c>
      <c r="H44" s="40">
        <f>F44*G44</f>
        <v>34.02</v>
      </c>
      <c r="I44" s="42"/>
      <c r="J44" s="43">
        <f>H44</f>
        <v>34.02</v>
      </c>
      <c r="K44" s="47"/>
    </row>
    <row r="45" ht="19.5" customHeight="1">
      <c r="A45" s="74" t="s">
        <v>1</v>
      </c>
      <c r="B45" s="74" t="s">
        <v>91</v>
      </c>
      <c r="C45" s="74" t="s">
        <v>92</v>
      </c>
      <c r="D45" s="76" t="s">
        <v>93</v>
      </c>
      <c r="E45" s="50" t="s">
        <v>148</v>
      </c>
      <c r="F45" s="53" t="s">
        <v>347</v>
      </c>
      <c r="G45" s="53" t="s">
        <v>348</v>
      </c>
      <c r="H45" s="75" t="s">
        <v>100</v>
      </c>
      <c r="I45" s="75" t="s">
        <v>101</v>
      </c>
      <c r="J45" s="76" t="s">
        <v>95</v>
      </c>
      <c r="K45" s="74" t="s">
        <v>96</v>
      </c>
    </row>
    <row r="46" ht="20.25" customHeight="1">
      <c r="A46" s="443">
        <v>38369.0</v>
      </c>
      <c r="B46" s="37" t="s">
        <v>349</v>
      </c>
      <c r="C46" s="46" t="s">
        <v>103</v>
      </c>
      <c r="D46" s="123">
        <v>1.0</v>
      </c>
      <c r="E46" s="41">
        <f t="shared" ref="E46:E48" si="7">D60</f>
        <v>0.1975</v>
      </c>
      <c r="F46" s="40">
        <v>10.0</v>
      </c>
      <c r="G46" s="40">
        <f t="shared" ref="G46:G48" si="8">E46/4</f>
        <v>0.049375</v>
      </c>
      <c r="H46" s="40">
        <f t="shared" ref="H46:H48" si="9">G46*F46</f>
        <v>0.49375</v>
      </c>
      <c r="I46" s="42"/>
      <c r="J46" s="107"/>
      <c r="K46" s="313" t="s">
        <v>1538</v>
      </c>
    </row>
    <row r="47" ht="18.75" customHeight="1">
      <c r="A47" s="443">
        <v>38034.0</v>
      </c>
      <c r="B47" s="37" t="s">
        <v>351</v>
      </c>
      <c r="C47" s="46" t="s">
        <v>103</v>
      </c>
      <c r="D47" s="128">
        <v>1.0</v>
      </c>
      <c r="E47" s="40">
        <f t="shared" si="7"/>
        <v>0.7938</v>
      </c>
      <c r="F47" s="40">
        <v>12.0</v>
      </c>
      <c r="G47" s="40">
        <f t="shared" si="8"/>
        <v>0.19845</v>
      </c>
      <c r="H47" s="59">
        <f t="shared" si="9"/>
        <v>2.3814</v>
      </c>
      <c r="I47" s="93"/>
      <c r="J47" s="107"/>
      <c r="K47" s="147"/>
    </row>
    <row r="48" ht="18.0" customHeight="1">
      <c r="A48" s="145" t="s">
        <v>1539</v>
      </c>
      <c r="B48" s="37" t="s">
        <v>352</v>
      </c>
      <c r="C48" s="46" t="s">
        <v>103</v>
      </c>
      <c r="D48" s="128">
        <v>1.0</v>
      </c>
      <c r="E48" s="40">
        <f t="shared" si="7"/>
        <v>1.3275</v>
      </c>
      <c r="F48" s="40">
        <v>12.0</v>
      </c>
      <c r="G48" s="40">
        <f t="shared" si="8"/>
        <v>0.331875</v>
      </c>
      <c r="H48" s="59">
        <f t="shared" si="9"/>
        <v>3.9825</v>
      </c>
      <c r="I48" s="93"/>
      <c r="J48" s="64">
        <f>SUM(H46:H48)</f>
        <v>6.85765</v>
      </c>
      <c r="K48" s="32"/>
    </row>
    <row r="49" ht="19.5" customHeight="1">
      <c r="A49" s="74" t="s">
        <v>1</v>
      </c>
      <c r="B49" s="74" t="s">
        <v>91</v>
      </c>
      <c r="C49" s="74" t="s">
        <v>92</v>
      </c>
      <c r="D49" s="76" t="s">
        <v>93</v>
      </c>
      <c r="E49" s="50" t="s">
        <v>97</v>
      </c>
      <c r="F49" s="53" t="s">
        <v>121</v>
      </c>
      <c r="G49" s="53" t="s">
        <v>99</v>
      </c>
      <c r="H49" s="75" t="s">
        <v>100</v>
      </c>
      <c r="I49" s="75" t="s">
        <v>101</v>
      </c>
      <c r="J49" s="76" t="s">
        <v>95</v>
      </c>
      <c r="K49" s="74" t="s">
        <v>96</v>
      </c>
    </row>
    <row r="50" ht="19.5" customHeight="1">
      <c r="A50" s="36">
        <v>37332.0</v>
      </c>
      <c r="B50" s="49" t="s">
        <v>1078</v>
      </c>
      <c r="C50" s="46" t="s">
        <v>103</v>
      </c>
      <c r="D50" s="39">
        <v>3.0</v>
      </c>
      <c r="E50" s="49">
        <v>3.0</v>
      </c>
      <c r="F50" s="39">
        <v>6.3</v>
      </c>
      <c r="G50" s="40">
        <v>0.09</v>
      </c>
      <c r="H50" s="40">
        <f t="shared" ref="H50:H51" si="10">F50*E50*D50</f>
        <v>56.7</v>
      </c>
      <c r="I50" s="42">
        <f>(2.75+1.89+3.21)</f>
        <v>7.85</v>
      </c>
      <c r="J50" s="40">
        <f t="shared" ref="J50:J51" si="11">H50-I50</f>
        <v>48.85</v>
      </c>
      <c r="K50" s="46"/>
    </row>
    <row r="51" ht="19.5" customHeight="1">
      <c r="A51" s="36">
        <v>37332.0</v>
      </c>
      <c r="B51" s="49" t="s">
        <v>1078</v>
      </c>
      <c r="C51" s="46" t="s">
        <v>103</v>
      </c>
      <c r="D51" s="39">
        <v>2.0</v>
      </c>
      <c r="E51" s="37">
        <v>3.0</v>
      </c>
      <c r="F51" s="39">
        <v>6.3</v>
      </c>
      <c r="G51" s="40">
        <v>0.09</v>
      </c>
      <c r="H51" s="40">
        <f t="shared" si="10"/>
        <v>37.8</v>
      </c>
      <c r="I51" s="152">
        <v>2.2</v>
      </c>
      <c r="J51" s="40">
        <f t="shared" si="11"/>
        <v>35.6</v>
      </c>
      <c r="K51" s="46"/>
    </row>
    <row r="52" ht="19.5" customHeight="1">
      <c r="A52" s="79"/>
      <c r="B52" s="95"/>
      <c r="C52" s="79"/>
      <c r="D52" s="92"/>
      <c r="E52" s="37"/>
      <c r="F52" s="78"/>
      <c r="G52" s="40"/>
      <c r="H52" s="59"/>
      <c r="I52" s="93"/>
      <c r="J52" s="96">
        <f>SUM(J50:J51)</f>
        <v>84.45</v>
      </c>
      <c r="K52" s="79"/>
    </row>
    <row r="53" ht="19.5" customHeight="1">
      <c r="A53" s="74" t="s">
        <v>1</v>
      </c>
      <c r="B53" s="74" t="s">
        <v>91</v>
      </c>
      <c r="C53" s="74" t="s">
        <v>92</v>
      </c>
      <c r="D53" s="76" t="s">
        <v>93</v>
      </c>
      <c r="E53" s="50" t="s">
        <v>97</v>
      </c>
      <c r="F53" s="53" t="s">
        <v>121</v>
      </c>
      <c r="G53" s="53" t="s">
        <v>99</v>
      </c>
      <c r="H53" s="75" t="s">
        <v>100</v>
      </c>
      <c r="I53" s="75" t="s">
        <v>101</v>
      </c>
      <c r="J53" s="76" t="s">
        <v>95</v>
      </c>
      <c r="K53" s="74" t="s">
        <v>96</v>
      </c>
    </row>
    <row r="54" ht="19.5" customHeight="1">
      <c r="A54" s="36">
        <v>37697.0</v>
      </c>
      <c r="B54" s="49" t="s">
        <v>205</v>
      </c>
      <c r="C54" s="38" t="s">
        <v>108</v>
      </c>
      <c r="D54" s="39">
        <v>3.0</v>
      </c>
      <c r="E54" s="49"/>
      <c r="F54" s="39">
        <v>6.3</v>
      </c>
      <c r="G54" s="40"/>
      <c r="H54" s="40">
        <f t="shared" ref="H54:H55" si="12">F54*D54</f>
        <v>18.9</v>
      </c>
      <c r="I54" s="42"/>
      <c r="J54" s="40">
        <f t="shared" ref="J54:J55" si="13">H54-I54</f>
        <v>18.9</v>
      </c>
      <c r="K54" s="46"/>
    </row>
    <row r="55" ht="19.5" customHeight="1">
      <c r="A55" s="36">
        <v>37697.0</v>
      </c>
      <c r="B55" s="49" t="s">
        <v>205</v>
      </c>
      <c r="C55" s="38" t="s">
        <v>108</v>
      </c>
      <c r="D55" s="39">
        <v>2.0</v>
      </c>
      <c r="E55" s="37"/>
      <c r="F55" s="39">
        <v>6.3</v>
      </c>
      <c r="G55" s="40"/>
      <c r="H55" s="40">
        <f t="shared" si="12"/>
        <v>12.6</v>
      </c>
      <c r="I55" s="152"/>
      <c r="J55" s="40">
        <f t="shared" si="13"/>
        <v>12.6</v>
      </c>
      <c r="K55" s="46"/>
    </row>
    <row r="56" ht="19.5" customHeight="1">
      <c r="A56" s="79"/>
      <c r="B56" s="95"/>
      <c r="C56" s="79"/>
      <c r="D56" s="92"/>
      <c r="E56" s="37"/>
      <c r="F56" s="78"/>
      <c r="G56" s="40"/>
      <c r="H56" s="59"/>
      <c r="I56" s="93"/>
      <c r="J56" s="96">
        <f>SUM(J54:J55)</f>
        <v>31.5</v>
      </c>
      <c r="K56" s="79"/>
    </row>
    <row r="57" ht="19.5" customHeight="1">
      <c r="A57" s="74" t="s">
        <v>1</v>
      </c>
      <c r="B57" s="74" t="s">
        <v>91</v>
      </c>
      <c r="C57" s="74" t="s">
        <v>92</v>
      </c>
      <c r="D57" s="76" t="s">
        <v>93</v>
      </c>
      <c r="E57" s="50" t="s">
        <v>97</v>
      </c>
      <c r="F57" s="53" t="s">
        <v>121</v>
      </c>
      <c r="G57" s="53" t="s">
        <v>99</v>
      </c>
      <c r="H57" s="75" t="s">
        <v>100</v>
      </c>
      <c r="I57" s="75" t="s">
        <v>101</v>
      </c>
      <c r="J57" s="76" t="s">
        <v>95</v>
      </c>
      <c r="K57" s="74" t="s">
        <v>96</v>
      </c>
    </row>
    <row r="58" ht="19.5" customHeight="1">
      <c r="A58" s="36">
        <v>39189.0</v>
      </c>
      <c r="B58" s="37" t="s">
        <v>182</v>
      </c>
      <c r="C58" s="38" t="s">
        <v>148</v>
      </c>
      <c r="D58" s="78">
        <f>J44</f>
        <v>34.02</v>
      </c>
      <c r="E58" s="49">
        <v>3.0</v>
      </c>
      <c r="F58" s="40"/>
      <c r="G58" s="40"/>
      <c r="H58" s="40">
        <f>D58*E58</f>
        <v>102.06</v>
      </c>
      <c r="I58" s="42"/>
      <c r="J58" s="43">
        <f>H58-I58</f>
        <v>102.06</v>
      </c>
      <c r="K58" s="46" t="s">
        <v>183</v>
      </c>
    </row>
    <row r="59" ht="19.5" customHeight="1">
      <c r="A59" s="74" t="s">
        <v>1</v>
      </c>
      <c r="B59" s="74" t="s">
        <v>91</v>
      </c>
      <c r="C59" s="74" t="s">
        <v>92</v>
      </c>
      <c r="D59" s="76" t="s">
        <v>93</v>
      </c>
      <c r="E59" s="50" t="s">
        <v>187</v>
      </c>
      <c r="F59" s="53"/>
      <c r="G59" s="53" t="s">
        <v>353</v>
      </c>
      <c r="H59" s="75" t="s">
        <v>100</v>
      </c>
      <c r="I59" s="75" t="s">
        <v>101</v>
      </c>
      <c r="J59" s="76" t="s">
        <v>95</v>
      </c>
      <c r="K59" s="74" t="s">
        <v>96</v>
      </c>
    </row>
    <row r="60" ht="19.5" customHeight="1">
      <c r="A60" s="443">
        <v>38003.0</v>
      </c>
      <c r="B60" s="37" t="s">
        <v>354</v>
      </c>
      <c r="C60" s="46" t="s">
        <v>158</v>
      </c>
      <c r="D60" s="78">
        <f>J25+J19</f>
        <v>0.1975</v>
      </c>
      <c r="E60" s="37">
        <v>80.0</v>
      </c>
      <c r="F60" s="40"/>
      <c r="G60" s="40">
        <f t="shared" ref="G60:G62" si="14">E60*D60</f>
        <v>15.8</v>
      </c>
      <c r="H60" s="40">
        <f t="shared" ref="H60:H62" si="15">E60*D60</f>
        <v>15.8</v>
      </c>
      <c r="I60" s="42"/>
      <c r="J60" s="107"/>
      <c r="K60" s="46" t="s">
        <v>355</v>
      </c>
    </row>
    <row r="61" ht="19.5" customHeight="1">
      <c r="A61" s="145" t="s">
        <v>1540</v>
      </c>
      <c r="B61" s="37" t="s">
        <v>356</v>
      </c>
      <c r="C61" s="46" t="s">
        <v>158</v>
      </c>
      <c r="D61" s="78">
        <f>J28</f>
        <v>0.7938</v>
      </c>
      <c r="E61" s="37">
        <v>90.0</v>
      </c>
      <c r="F61" s="40"/>
      <c r="G61" s="40">
        <f t="shared" si="14"/>
        <v>71.442</v>
      </c>
      <c r="H61" s="40">
        <f t="shared" si="15"/>
        <v>71.442</v>
      </c>
      <c r="I61" s="42"/>
      <c r="J61" s="121"/>
      <c r="K61" s="79"/>
    </row>
    <row r="62" ht="30.0" customHeight="1">
      <c r="A62" s="445" t="s">
        <v>1541</v>
      </c>
      <c r="B62" s="37" t="s">
        <v>357</v>
      </c>
      <c r="C62" s="46" t="s">
        <v>158</v>
      </c>
      <c r="D62" s="78">
        <f>J42+J22</f>
        <v>1.3275</v>
      </c>
      <c r="E62" s="37">
        <v>100.0</v>
      </c>
      <c r="F62" s="40"/>
      <c r="G62" s="40">
        <f t="shared" si="14"/>
        <v>132.75</v>
      </c>
      <c r="H62" s="40">
        <f t="shared" si="15"/>
        <v>132.75</v>
      </c>
      <c r="I62" s="42"/>
      <c r="J62" s="121"/>
      <c r="K62" s="79"/>
    </row>
    <row r="63" ht="19.5" customHeight="1">
      <c r="A63" s="46"/>
      <c r="B63" s="37" t="s">
        <v>358</v>
      </c>
      <c r="C63" s="46" t="s">
        <v>158</v>
      </c>
      <c r="D63" s="78"/>
      <c r="E63" s="49"/>
      <c r="F63" s="40"/>
      <c r="G63" s="40"/>
      <c r="H63" s="40"/>
      <c r="I63" s="42"/>
      <c r="J63" s="96">
        <f>SUM(H60:H63)</f>
        <v>219.992</v>
      </c>
      <c r="K63" s="79"/>
    </row>
    <row r="64" ht="19.5" customHeight="1">
      <c r="A64" s="74" t="s">
        <v>1</v>
      </c>
      <c r="B64" s="74" t="s">
        <v>91</v>
      </c>
      <c r="C64" s="74" t="s">
        <v>92</v>
      </c>
      <c r="D64" s="76" t="s">
        <v>93</v>
      </c>
      <c r="E64" s="50" t="s">
        <v>97</v>
      </c>
      <c r="F64" s="53" t="s">
        <v>121</v>
      </c>
      <c r="G64" s="53" t="s">
        <v>99</v>
      </c>
      <c r="H64" s="75" t="s">
        <v>100</v>
      </c>
      <c r="I64" s="75" t="s">
        <v>101</v>
      </c>
      <c r="J64" s="76" t="s">
        <v>95</v>
      </c>
      <c r="K64" s="74" t="s">
        <v>96</v>
      </c>
    </row>
    <row r="65" ht="19.5" customHeight="1">
      <c r="A65" s="46">
        <v>1.0</v>
      </c>
      <c r="B65" s="37" t="s">
        <v>184</v>
      </c>
      <c r="C65" s="46" t="s">
        <v>108</v>
      </c>
      <c r="D65" s="78"/>
      <c r="E65" s="37"/>
      <c r="F65" s="41"/>
      <c r="G65" s="40"/>
      <c r="H65" s="40"/>
      <c r="I65" s="42"/>
      <c r="J65" s="77"/>
      <c r="K65" s="46"/>
    </row>
    <row r="66" ht="19.5" customHeight="1">
      <c r="A66" s="46">
        <v>2.0</v>
      </c>
      <c r="B66" s="37" t="s">
        <v>185</v>
      </c>
      <c r="C66" s="46" t="s">
        <v>108</v>
      </c>
      <c r="D66" s="78"/>
      <c r="E66" s="37"/>
      <c r="F66" s="41"/>
      <c r="G66" s="40"/>
      <c r="H66" s="40"/>
      <c r="I66" s="42"/>
      <c r="J66" s="43">
        <f>H66+H65</f>
        <v>0</v>
      </c>
      <c r="K66" s="46" t="s">
        <v>186</v>
      </c>
    </row>
    <row r="67" ht="19.5" customHeight="1">
      <c r="A67" s="74" t="s">
        <v>1</v>
      </c>
      <c r="B67" s="74" t="s">
        <v>91</v>
      </c>
      <c r="C67" s="74" t="s">
        <v>92</v>
      </c>
      <c r="D67" s="76" t="s">
        <v>93</v>
      </c>
      <c r="E67" s="50" t="s">
        <v>187</v>
      </c>
      <c r="F67" s="53" t="s">
        <v>99</v>
      </c>
      <c r="G67" s="53" t="s">
        <v>121</v>
      </c>
      <c r="H67" s="75" t="s">
        <v>100</v>
      </c>
      <c r="I67" s="75" t="s">
        <v>101</v>
      </c>
      <c r="J67" s="76" t="s">
        <v>95</v>
      </c>
      <c r="K67" s="74" t="s">
        <v>96</v>
      </c>
    </row>
    <row r="68" ht="19.5" customHeight="1">
      <c r="A68" s="46">
        <v>1.0</v>
      </c>
      <c r="B68" s="37" t="s">
        <v>188</v>
      </c>
      <c r="C68" s="46" t="s">
        <v>103</v>
      </c>
      <c r="D68" s="78"/>
      <c r="E68" s="37"/>
      <c r="F68" s="40"/>
      <c r="G68" s="40"/>
      <c r="H68" s="40">
        <f>G68*F68</f>
        <v>0</v>
      </c>
      <c r="I68" s="42"/>
      <c r="J68" s="43">
        <f>H68-I68</f>
        <v>0</v>
      </c>
      <c r="K68" s="46" t="s">
        <v>359</v>
      </c>
    </row>
    <row r="69" ht="19.5" customHeight="1">
      <c r="A69" s="74" t="s">
        <v>1</v>
      </c>
      <c r="B69" s="74" t="s">
        <v>91</v>
      </c>
      <c r="C69" s="74" t="s">
        <v>92</v>
      </c>
      <c r="D69" s="76" t="s">
        <v>93</v>
      </c>
      <c r="E69" s="50" t="s">
        <v>187</v>
      </c>
      <c r="F69" s="53" t="s">
        <v>99</v>
      </c>
      <c r="G69" s="53" t="s">
        <v>121</v>
      </c>
      <c r="H69" s="75" t="s">
        <v>100</v>
      </c>
      <c r="I69" s="75" t="s">
        <v>101</v>
      </c>
      <c r="J69" s="76" t="s">
        <v>95</v>
      </c>
      <c r="K69" s="74" t="s">
        <v>96</v>
      </c>
    </row>
    <row r="70" ht="19.5" customHeight="1">
      <c r="A70" s="46">
        <v>1.0</v>
      </c>
      <c r="B70" s="37" t="s">
        <v>189</v>
      </c>
      <c r="C70" s="46" t="s">
        <v>103</v>
      </c>
      <c r="D70" s="78"/>
      <c r="E70" s="37"/>
      <c r="F70" s="40"/>
      <c r="G70" s="40"/>
      <c r="H70" s="40"/>
      <c r="I70" s="42"/>
      <c r="J70" s="43">
        <f>H70-I70</f>
        <v>0</v>
      </c>
      <c r="K70" s="46"/>
    </row>
    <row r="71" ht="19.5" customHeight="1">
      <c r="A71" s="74" t="s">
        <v>1</v>
      </c>
      <c r="B71" s="74" t="s">
        <v>91</v>
      </c>
      <c r="C71" s="74" t="s">
        <v>92</v>
      </c>
      <c r="D71" s="76" t="s">
        <v>93</v>
      </c>
      <c r="E71" s="50" t="s">
        <v>99</v>
      </c>
      <c r="F71" s="53" t="s">
        <v>121</v>
      </c>
      <c r="G71" s="53" t="s">
        <v>97</v>
      </c>
      <c r="H71" s="75" t="s">
        <v>100</v>
      </c>
      <c r="I71" s="75" t="s">
        <v>101</v>
      </c>
      <c r="J71" s="76" t="s">
        <v>95</v>
      </c>
      <c r="K71" s="74" t="s">
        <v>96</v>
      </c>
    </row>
    <row r="72" ht="19.5" customHeight="1">
      <c r="A72" s="46">
        <v>1.0</v>
      </c>
      <c r="B72" s="37" t="s">
        <v>1542</v>
      </c>
      <c r="C72" s="46" t="s">
        <v>103</v>
      </c>
      <c r="D72" s="78"/>
      <c r="E72" s="37"/>
      <c r="F72" s="40"/>
      <c r="G72" s="40"/>
      <c r="H72" s="40"/>
      <c r="I72" s="42"/>
      <c r="J72" s="43">
        <f>H72-I72</f>
        <v>0</v>
      </c>
      <c r="K72" s="46"/>
    </row>
    <row r="73" ht="19.5" customHeight="1">
      <c r="A73" s="74" t="s">
        <v>1</v>
      </c>
      <c r="B73" s="74" t="s">
        <v>91</v>
      </c>
      <c r="C73" s="74" t="s">
        <v>92</v>
      </c>
      <c r="D73" s="76" t="s">
        <v>93</v>
      </c>
      <c r="E73" s="50" t="s">
        <v>193</v>
      </c>
      <c r="F73" s="53" t="s">
        <v>121</v>
      </c>
      <c r="G73" s="53" t="s">
        <v>194</v>
      </c>
      <c r="H73" s="75" t="s">
        <v>100</v>
      </c>
      <c r="I73" s="75" t="s">
        <v>101</v>
      </c>
      <c r="J73" s="76" t="s">
        <v>95</v>
      </c>
      <c r="K73" s="74" t="s">
        <v>96</v>
      </c>
    </row>
    <row r="74" ht="19.5" customHeight="1">
      <c r="A74" s="443">
        <v>37059.0</v>
      </c>
      <c r="B74" s="37" t="s">
        <v>361</v>
      </c>
      <c r="C74" s="46" t="s">
        <v>103</v>
      </c>
      <c r="D74" s="78">
        <v>1.0</v>
      </c>
      <c r="E74" s="41">
        <f>J44</f>
        <v>34.02</v>
      </c>
      <c r="F74" s="40"/>
      <c r="G74" s="40"/>
      <c r="H74" s="40">
        <f>E74*D74</f>
        <v>34.02</v>
      </c>
      <c r="I74" s="42"/>
      <c r="J74" s="96">
        <f t="shared" ref="J74:J76" si="16">H74-I74</f>
        <v>34.02</v>
      </c>
      <c r="K74" s="38" t="s">
        <v>1543</v>
      </c>
    </row>
    <row r="75" ht="19.5" customHeight="1">
      <c r="A75" s="443">
        <v>37424.0</v>
      </c>
      <c r="B75" s="37" t="s">
        <v>362</v>
      </c>
      <c r="C75" s="46" t="s">
        <v>103</v>
      </c>
      <c r="D75" s="78">
        <v>3.0</v>
      </c>
      <c r="E75" s="49">
        <v>0.8</v>
      </c>
      <c r="F75" s="41">
        <v>6.3</v>
      </c>
      <c r="G75" s="40"/>
      <c r="H75" s="40">
        <f>F75*E75*D75</f>
        <v>15.12</v>
      </c>
      <c r="I75" s="42"/>
      <c r="J75" s="96">
        <f t="shared" si="16"/>
        <v>15.12</v>
      </c>
      <c r="K75" s="79"/>
    </row>
    <row r="76" ht="19.5" customHeight="1">
      <c r="A76" s="36">
        <v>37789.0</v>
      </c>
      <c r="B76" s="37" t="s">
        <v>196</v>
      </c>
      <c r="C76" s="46" t="s">
        <v>103</v>
      </c>
      <c r="D76" s="39">
        <v>1.0</v>
      </c>
      <c r="E76" s="40">
        <f>J84</f>
        <v>92.08</v>
      </c>
      <c r="F76" s="40"/>
      <c r="G76" s="40"/>
      <c r="H76" s="40">
        <f>E76*D76</f>
        <v>92.08</v>
      </c>
      <c r="I76" s="42"/>
      <c r="J76" s="96">
        <f t="shared" si="16"/>
        <v>92.08</v>
      </c>
      <c r="K76" s="79"/>
    </row>
    <row r="77" ht="19.5" customHeight="1">
      <c r="A77" s="74" t="s">
        <v>1</v>
      </c>
      <c r="B77" s="74" t="s">
        <v>91</v>
      </c>
      <c r="C77" s="74" t="s">
        <v>92</v>
      </c>
      <c r="D77" s="76" t="s">
        <v>93</v>
      </c>
      <c r="E77" s="50" t="s">
        <v>161</v>
      </c>
      <c r="F77" s="53" t="s">
        <v>99</v>
      </c>
      <c r="G77" s="53" t="s">
        <v>121</v>
      </c>
      <c r="H77" s="75" t="s">
        <v>100</v>
      </c>
      <c r="I77" s="75" t="s">
        <v>101</v>
      </c>
      <c r="J77" s="76" t="s">
        <v>95</v>
      </c>
      <c r="K77" s="74" t="s">
        <v>96</v>
      </c>
    </row>
    <row r="78" ht="19.5" customHeight="1">
      <c r="A78" s="46">
        <v>1.0</v>
      </c>
      <c r="B78" s="49" t="s">
        <v>1276</v>
      </c>
      <c r="C78" s="46" t="s">
        <v>103</v>
      </c>
      <c r="D78" s="78" t="str">
        <f>D68</f>
        <v/>
      </c>
      <c r="E78" s="37"/>
      <c r="F78" s="41"/>
      <c r="G78" s="41"/>
      <c r="H78" s="40"/>
      <c r="I78" s="42"/>
      <c r="J78" s="43">
        <f>H78-I78</f>
        <v>0</v>
      </c>
      <c r="K78" s="46"/>
    </row>
    <row r="79" ht="19.5" customHeight="1">
      <c r="A79" s="74" t="s">
        <v>1</v>
      </c>
      <c r="B79" s="74" t="s">
        <v>91</v>
      </c>
      <c r="C79" s="74" t="s">
        <v>92</v>
      </c>
      <c r="D79" s="76" t="s">
        <v>93</v>
      </c>
      <c r="E79" s="50" t="s">
        <v>97</v>
      </c>
      <c r="F79" s="53" t="s">
        <v>121</v>
      </c>
      <c r="G79" s="53" t="s">
        <v>198</v>
      </c>
      <c r="H79" s="75" t="s">
        <v>100</v>
      </c>
      <c r="I79" s="75" t="s">
        <v>101</v>
      </c>
      <c r="J79" s="76" t="s">
        <v>95</v>
      </c>
      <c r="K79" s="74" t="s">
        <v>96</v>
      </c>
    </row>
    <row r="80" ht="19.5" customHeight="1">
      <c r="A80" s="36">
        <v>37393.0</v>
      </c>
      <c r="B80" s="49" t="s">
        <v>1544</v>
      </c>
      <c r="C80" s="46" t="s">
        <v>103</v>
      </c>
      <c r="D80" s="39">
        <v>1.0</v>
      </c>
      <c r="E80" s="49">
        <v>3.0</v>
      </c>
      <c r="F80" s="78">
        <f>22.21+6+6</f>
        <v>34.21</v>
      </c>
      <c r="G80" s="41">
        <v>1.0</v>
      </c>
      <c r="H80" s="40">
        <f t="shared" ref="H80:H81" si="17">G80*F80*E80*D80</f>
        <v>102.63</v>
      </c>
      <c r="I80" s="42">
        <f>(2.75+1.89+3.21+2.7)</f>
        <v>10.55</v>
      </c>
      <c r="J80" s="64">
        <f t="shared" ref="J80:J82" si="18">H80-I80</f>
        <v>92.08</v>
      </c>
      <c r="K80" s="46"/>
    </row>
    <row r="81" ht="19.5" customHeight="1">
      <c r="A81" s="36">
        <v>37028.0</v>
      </c>
      <c r="B81" s="49" t="s">
        <v>1279</v>
      </c>
      <c r="C81" s="46" t="s">
        <v>103</v>
      </c>
      <c r="D81" s="39">
        <v>1.0</v>
      </c>
      <c r="E81" s="37">
        <v>3.0</v>
      </c>
      <c r="F81" s="39">
        <f>23.41</f>
        <v>23.41</v>
      </c>
      <c r="G81" s="41">
        <v>1.0</v>
      </c>
      <c r="H81" s="40">
        <f t="shared" si="17"/>
        <v>70.23</v>
      </c>
      <c r="I81" s="42">
        <f>(2.75+1.89+2.7)</f>
        <v>7.34</v>
      </c>
      <c r="J81" s="64">
        <f t="shared" si="18"/>
        <v>62.89</v>
      </c>
      <c r="K81" s="46"/>
    </row>
    <row r="82" ht="19.5" customHeight="1">
      <c r="A82" s="36">
        <v>37758.0</v>
      </c>
      <c r="B82" s="49" t="s">
        <v>1545</v>
      </c>
      <c r="C82" s="46" t="s">
        <v>103</v>
      </c>
      <c r="D82" s="39">
        <f>H88</f>
        <v>30.6</v>
      </c>
      <c r="E82" s="49"/>
      <c r="F82" s="39"/>
      <c r="G82" s="41"/>
      <c r="H82" s="40">
        <f>D82</f>
        <v>30.6</v>
      </c>
      <c r="I82" s="93"/>
      <c r="J82" s="64">
        <f t="shared" si="18"/>
        <v>30.6</v>
      </c>
      <c r="K82" s="79"/>
    </row>
    <row r="83" ht="19.5" customHeight="1">
      <c r="A83" s="74" t="s">
        <v>1</v>
      </c>
      <c r="B83" s="74" t="s">
        <v>91</v>
      </c>
      <c r="C83" s="74" t="s">
        <v>92</v>
      </c>
      <c r="D83" s="76" t="s">
        <v>93</v>
      </c>
      <c r="E83" s="50" t="s">
        <v>97</v>
      </c>
      <c r="F83" s="53" t="s">
        <v>121</v>
      </c>
      <c r="G83" s="53" t="s">
        <v>198</v>
      </c>
      <c r="H83" s="75" t="s">
        <v>100</v>
      </c>
      <c r="I83" s="75" t="s">
        <v>101</v>
      </c>
      <c r="J83" s="76" t="s">
        <v>95</v>
      </c>
      <c r="K83" s="74" t="s">
        <v>96</v>
      </c>
    </row>
    <row r="84" ht="19.5" customHeight="1">
      <c r="A84" s="36">
        <v>38124.0</v>
      </c>
      <c r="B84" s="49" t="s">
        <v>1546</v>
      </c>
      <c r="C84" s="46" t="s">
        <v>103</v>
      </c>
      <c r="D84" s="39">
        <v>1.0</v>
      </c>
      <c r="E84" s="49">
        <v>3.0</v>
      </c>
      <c r="F84" s="78">
        <f>22.21+6+6</f>
        <v>34.21</v>
      </c>
      <c r="G84" s="41">
        <v>1.0</v>
      </c>
      <c r="H84" s="40">
        <f t="shared" ref="H84:H85" si="19">G84*F84*E84*D84</f>
        <v>102.63</v>
      </c>
      <c r="I84" s="42">
        <f>(2.75+1.89+3.21+2.7)</f>
        <v>10.55</v>
      </c>
      <c r="J84" s="64">
        <f t="shared" ref="J84:J86" si="20">H84-I84</f>
        <v>92.08</v>
      </c>
      <c r="K84" s="46"/>
    </row>
    <row r="85" ht="19.5" customHeight="1">
      <c r="A85" s="36">
        <v>38489.0</v>
      </c>
      <c r="B85" s="49" t="s">
        <v>1283</v>
      </c>
      <c r="C85" s="46" t="s">
        <v>103</v>
      </c>
      <c r="D85" s="39">
        <v>1.0</v>
      </c>
      <c r="E85" s="37">
        <v>3.0</v>
      </c>
      <c r="F85" s="39">
        <f>23.41</f>
        <v>23.41</v>
      </c>
      <c r="G85" s="41">
        <v>1.0</v>
      </c>
      <c r="H85" s="40">
        <f t="shared" si="19"/>
        <v>70.23</v>
      </c>
      <c r="I85" s="42">
        <f>(2.75+1.89+2.7)</f>
        <v>7.34</v>
      </c>
      <c r="J85" s="64">
        <f t="shared" si="20"/>
        <v>62.89</v>
      </c>
      <c r="K85" s="46"/>
    </row>
    <row r="86" ht="19.5" customHeight="1">
      <c r="A86" s="36">
        <v>38854.0</v>
      </c>
      <c r="B86" s="49" t="s">
        <v>1547</v>
      </c>
      <c r="C86" s="46" t="s">
        <v>103</v>
      </c>
      <c r="D86" s="39">
        <f>H88</f>
        <v>30.6</v>
      </c>
      <c r="E86" s="49"/>
      <c r="F86" s="39"/>
      <c r="G86" s="41"/>
      <c r="H86" s="40">
        <f>D86</f>
        <v>30.6</v>
      </c>
      <c r="I86" s="93"/>
      <c r="J86" s="64">
        <f t="shared" si="20"/>
        <v>30.6</v>
      </c>
      <c r="K86" s="46"/>
    </row>
    <row r="87" ht="19.5" customHeight="1">
      <c r="A87" s="74" t="s">
        <v>1</v>
      </c>
      <c r="B87" s="74" t="s">
        <v>91</v>
      </c>
      <c r="C87" s="74" t="s">
        <v>92</v>
      </c>
      <c r="D87" s="76" t="s">
        <v>93</v>
      </c>
      <c r="E87" s="50" t="s">
        <v>97</v>
      </c>
      <c r="F87" s="53" t="s">
        <v>121</v>
      </c>
      <c r="G87" s="53" t="s">
        <v>198</v>
      </c>
      <c r="H87" s="75" t="s">
        <v>100</v>
      </c>
      <c r="I87" s="75" t="s">
        <v>101</v>
      </c>
      <c r="J87" s="76" t="s">
        <v>95</v>
      </c>
      <c r="K87" s="74" t="s">
        <v>96</v>
      </c>
    </row>
    <row r="88" ht="43.5" customHeight="1">
      <c r="A88" s="446" t="s">
        <v>1548</v>
      </c>
      <c r="B88" s="447" t="s">
        <v>1549</v>
      </c>
      <c r="C88" s="448" t="s">
        <v>103</v>
      </c>
      <c r="D88" s="449">
        <v>1.0</v>
      </c>
      <c r="E88" s="447">
        <v>5.1</v>
      </c>
      <c r="F88" s="449">
        <v>6.0</v>
      </c>
      <c r="G88" s="450">
        <v>1.0</v>
      </c>
      <c r="H88" s="450">
        <f>F88*E88*D88*G88</f>
        <v>30.6</v>
      </c>
      <c r="I88" s="451"/>
      <c r="J88" s="452">
        <f>H88</f>
        <v>30.6</v>
      </c>
      <c r="K88" s="131"/>
    </row>
    <row r="89" ht="19.5" customHeight="1">
      <c r="A89" s="46"/>
      <c r="B89" s="37"/>
      <c r="C89" s="46"/>
      <c r="D89" s="78"/>
      <c r="E89" s="37"/>
      <c r="F89" s="78"/>
      <c r="G89" s="40"/>
      <c r="H89" s="40"/>
      <c r="I89" s="93"/>
      <c r="J89" s="107"/>
      <c r="K89" s="132"/>
    </row>
    <row r="90" ht="19.5" customHeight="1">
      <c r="A90" s="74" t="s">
        <v>1</v>
      </c>
      <c r="B90" s="74" t="s">
        <v>91</v>
      </c>
      <c r="C90" s="74" t="s">
        <v>92</v>
      </c>
      <c r="D90" s="76" t="s">
        <v>93</v>
      </c>
      <c r="E90" s="50" t="s">
        <v>97</v>
      </c>
      <c r="F90" s="53" t="s">
        <v>121</v>
      </c>
      <c r="G90" s="53" t="s">
        <v>206</v>
      </c>
      <c r="H90" s="75" t="s">
        <v>100</v>
      </c>
      <c r="I90" s="75" t="s">
        <v>101</v>
      </c>
      <c r="J90" s="76" t="s">
        <v>95</v>
      </c>
      <c r="K90" s="74" t="s">
        <v>96</v>
      </c>
    </row>
    <row r="91" ht="19.5" customHeight="1">
      <c r="A91" s="36">
        <v>39219.0</v>
      </c>
      <c r="B91" s="49" t="s">
        <v>1550</v>
      </c>
      <c r="C91" s="46" t="s">
        <v>103</v>
      </c>
      <c r="D91" s="39">
        <v>1.0</v>
      </c>
      <c r="E91" s="49">
        <v>3.0</v>
      </c>
      <c r="F91" s="78">
        <f>22.21+6+6</f>
        <v>34.21</v>
      </c>
      <c r="G91" s="41">
        <v>1.0</v>
      </c>
      <c r="H91" s="40">
        <f t="shared" ref="H91:H92" si="21">G91*F91*E91*D91</f>
        <v>102.63</v>
      </c>
      <c r="I91" s="42">
        <f>(2.75+1.89+3.21+2.7)</f>
        <v>10.55</v>
      </c>
      <c r="J91" s="64">
        <f t="shared" ref="J91:J92" si="22">H91-I91</f>
        <v>92.08</v>
      </c>
      <c r="K91" s="79"/>
    </row>
    <row r="92" ht="19.5" customHeight="1">
      <c r="A92" s="36">
        <v>39585.0</v>
      </c>
      <c r="B92" s="49" t="s">
        <v>1551</v>
      </c>
      <c r="C92" s="46" t="s">
        <v>103</v>
      </c>
      <c r="D92" s="39">
        <v>1.0</v>
      </c>
      <c r="E92" s="37">
        <v>3.0</v>
      </c>
      <c r="F92" s="39">
        <f>23.41</f>
        <v>23.41</v>
      </c>
      <c r="G92" s="41">
        <v>1.0</v>
      </c>
      <c r="H92" s="40">
        <f t="shared" si="21"/>
        <v>70.23</v>
      </c>
      <c r="I92" s="42">
        <f>(2.75+1.89+2.7)</f>
        <v>7.34</v>
      </c>
      <c r="J92" s="64">
        <f t="shared" si="22"/>
        <v>62.89</v>
      </c>
      <c r="K92" s="46"/>
    </row>
    <row r="93" ht="19.5" customHeight="1">
      <c r="A93" s="97"/>
      <c r="B93" s="95"/>
      <c r="C93" s="79" t="s">
        <v>103</v>
      </c>
      <c r="D93" s="92"/>
      <c r="E93" s="37"/>
      <c r="F93" s="78"/>
      <c r="G93" s="40"/>
      <c r="H93" s="59"/>
      <c r="I93" s="93"/>
      <c r="J93" s="453"/>
      <c r="K93" s="79"/>
    </row>
    <row r="94" ht="19.5" customHeight="1">
      <c r="A94" s="74" t="s">
        <v>1</v>
      </c>
      <c r="B94" s="74" t="s">
        <v>91</v>
      </c>
      <c r="C94" s="74" t="s">
        <v>92</v>
      </c>
      <c r="D94" s="76" t="s">
        <v>93</v>
      </c>
      <c r="E94" s="50" t="s">
        <v>97</v>
      </c>
      <c r="F94" s="53" t="s">
        <v>121</v>
      </c>
      <c r="G94" s="53" t="s">
        <v>99</v>
      </c>
      <c r="H94" s="75" t="s">
        <v>100</v>
      </c>
      <c r="I94" s="75" t="s">
        <v>101</v>
      </c>
      <c r="J94" s="76" t="s">
        <v>95</v>
      </c>
      <c r="K94" s="74" t="s">
        <v>96</v>
      </c>
    </row>
    <row r="95" ht="19.5" customHeight="1">
      <c r="A95" s="36">
        <v>37151.0</v>
      </c>
      <c r="B95" s="49" t="s">
        <v>1552</v>
      </c>
      <c r="C95" s="46" t="s">
        <v>103</v>
      </c>
      <c r="D95" s="78">
        <v>1.0</v>
      </c>
      <c r="E95" s="116">
        <v>2.1</v>
      </c>
      <c r="F95" s="39"/>
      <c r="G95" s="40">
        <v>0.9</v>
      </c>
      <c r="H95" s="40">
        <f t="shared" ref="H95:H97" si="23">G95*E95*D95</f>
        <v>1.89</v>
      </c>
      <c r="I95" s="42"/>
      <c r="J95" s="64">
        <f t="shared" ref="J95:J98" si="24">H95</f>
        <v>1.89</v>
      </c>
      <c r="K95" s="46"/>
    </row>
    <row r="96" ht="19.5" customHeight="1">
      <c r="A96" s="36">
        <v>37516.0</v>
      </c>
      <c r="B96" s="49" t="s">
        <v>1553</v>
      </c>
      <c r="C96" s="46" t="s">
        <v>103</v>
      </c>
      <c r="D96" s="78">
        <v>1.0</v>
      </c>
      <c r="E96" s="110">
        <v>1.1</v>
      </c>
      <c r="F96" s="78"/>
      <c r="G96" s="41">
        <v>2.0</v>
      </c>
      <c r="H96" s="40">
        <f t="shared" si="23"/>
        <v>2.2</v>
      </c>
      <c r="I96" s="42"/>
      <c r="J96" s="69">
        <f t="shared" si="24"/>
        <v>2.2</v>
      </c>
      <c r="K96" s="46"/>
    </row>
    <row r="97" ht="19.5" customHeight="1">
      <c r="A97" s="36">
        <v>37881.0</v>
      </c>
      <c r="B97" s="49" t="s">
        <v>1554</v>
      </c>
      <c r="C97" s="46" t="s">
        <v>103</v>
      </c>
      <c r="D97" s="78">
        <v>1.0</v>
      </c>
      <c r="E97" s="110">
        <v>1.1</v>
      </c>
      <c r="F97" s="78"/>
      <c r="G97" s="41">
        <v>2.5</v>
      </c>
      <c r="H97" s="40">
        <f t="shared" si="23"/>
        <v>2.75</v>
      </c>
      <c r="I97" s="42"/>
      <c r="J97" s="64">
        <f t="shared" si="24"/>
        <v>2.75</v>
      </c>
      <c r="K97" s="46"/>
    </row>
    <row r="98" ht="19.5" customHeight="1">
      <c r="A98" s="36">
        <v>38247.0</v>
      </c>
      <c r="B98" s="49" t="s">
        <v>224</v>
      </c>
      <c r="C98" s="38" t="s">
        <v>103</v>
      </c>
      <c r="D98" s="39">
        <v>1.0</v>
      </c>
      <c r="E98" s="37"/>
      <c r="F98" s="78"/>
      <c r="G98" s="40"/>
      <c r="H98" s="40">
        <f>(G97+E97)*2+(G96+E96)*2</f>
        <v>13.4</v>
      </c>
      <c r="I98" s="42"/>
      <c r="J98" s="64">
        <f t="shared" si="24"/>
        <v>13.4</v>
      </c>
      <c r="K98" s="79"/>
    </row>
    <row r="99" ht="19.5" customHeight="1">
      <c r="A99" s="74" t="s">
        <v>1</v>
      </c>
      <c r="B99" s="74" t="s">
        <v>91</v>
      </c>
      <c r="C99" s="74" t="s">
        <v>92</v>
      </c>
      <c r="D99" s="76" t="s">
        <v>93</v>
      </c>
      <c r="E99" s="50" t="s">
        <v>97</v>
      </c>
      <c r="F99" s="53" t="s">
        <v>121</v>
      </c>
      <c r="G99" s="53" t="s">
        <v>99</v>
      </c>
      <c r="H99" s="75" t="s">
        <v>100</v>
      </c>
      <c r="I99" s="75" t="s">
        <v>101</v>
      </c>
      <c r="J99" s="76" t="s">
        <v>95</v>
      </c>
      <c r="K99" s="74" t="s">
        <v>96</v>
      </c>
    </row>
    <row r="100" ht="19.5" customHeight="1">
      <c r="A100" s="36">
        <v>38063.0</v>
      </c>
      <c r="B100" s="49" t="s">
        <v>227</v>
      </c>
      <c r="C100" s="38" t="s">
        <v>108</v>
      </c>
      <c r="D100" s="78">
        <v>1.0</v>
      </c>
      <c r="E100" s="116"/>
      <c r="F100" s="40">
        <f>0.9+0.8</f>
        <v>1.7</v>
      </c>
      <c r="G100" s="40"/>
      <c r="H100" s="40">
        <f t="shared" ref="H100:H102" si="25">F100*D100</f>
        <v>1.7</v>
      </c>
      <c r="I100" s="42"/>
      <c r="J100" s="107"/>
      <c r="K100" s="46"/>
    </row>
    <row r="101" ht="19.5" customHeight="1">
      <c r="A101" s="36">
        <v>38063.0</v>
      </c>
      <c r="B101" s="49" t="s">
        <v>233</v>
      </c>
      <c r="C101" s="38" t="s">
        <v>108</v>
      </c>
      <c r="D101" s="78">
        <v>1.0</v>
      </c>
      <c r="E101" s="110"/>
      <c r="F101" s="41">
        <f>2+0.8</f>
        <v>2.8</v>
      </c>
      <c r="G101" s="41"/>
      <c r="H101" s="40">
        <f t="shared" si="25"/>
        <v>2.8</v>
      </c>
      <c r="I101" s="42"/>
      <c r="J101" s="454"/>
      <c r="K101" s="46"/>
    </row>
    <row r="102" ht="19.5" customHeight="1">
      <c r="A102" s="36">
        <v>38063.0</v>
      </c>
      <c r="B102" s="49" t="s">
        <v>1555</v>
      </c>
      <c r="C102" s="38" t="s">
        <v>108</v>
      </c>
      <c r="D102" s="78">
        <v>1.0</v>
      </c>
      <c r="E102" s="110"/>
      <c r="F102" s="41">
        <f>2.5+0.8</f>
        <v>3.3</v>
      </c>
      <c r="G102" s="41"/>
      <c r="H102" s="40">
        <f t="shared" si="25"/>
        <v>3.3</v>
      </c>
      <c r="I102" s="42"/>
      <c r="J102" s="107"/>
      <c r="K102" s="46"/>
    </row>
    <row r="103" ht="19.5" customHeight="1">
      <c r="A103" s="36"/>
      <c r="B103" s="49"/>
      <c r="C103" s="38"/>
      <c r="D103" s="39"/>
      <c r="E103" s="37"/>
      <c r="F103" s="40"/>
      <c r="G103" s="40"/>
      <c r="H103" s="40"/>
      <c r="I103" s="42"/>
      <c r="J103" s="64">
        <f>SUM(H100:H102)</f>
        <v>7.8</v>
      </c>
      <c r="K103" s="79"/>
    </row>
    <row r="104" ht="19.5" customHeight="1">
      <c r="A104" s="117">
        <v>38428.0</v>
      </c>
      <c r="B104" s="49" t="s">
        <v>238</v>
      </c>
      <c r="C104" s="38" t="s">
        <v>108</v>
      </c>
      <c r="D104" s="78">
        <v>1.0</v>
      </c>
      <c r="E104" s="110"/>
      <c r="F104" s="41">
        <f>2+0.8</f>
        <v>2.8</v>
      </c>
      <c r="G104" s="41"/>
      <c r="H104" s="59">
        <f t="shared" ref="H104:H105" si="26">F104*D104</f>
        <v>2.8</v>
      </c>
      <c r="I104" s="82"/>
      <c r="J104" s="121"/>
      <c r="K104" s="79"/>
    </row>
    <row r="105" ht="19.5" customHeight="1">
      <c r="A105" s="117">
        <v>38428.0</v>
      </c>
      <c r="B105" s="49" t="s">
        <v>1556</v>
      </c>
      <c r="C105" s="83" t="s">
        <v>108</v>
      </c>
      <c r="D105" s="78">
        <v>1.0</v>
      </c>
      <c r="E105" s="110"/>
      <c r="F105" s="41">
        <f>2.5+0.8</f>
        <v>3.3</v>
      </c>
      <c r="G105" s="41"/>
      <c r="H105" s="59">
        <f t="shared" si="26"/>
        <v>3.3</v>
      </c>
      <c r="I105" s="82"/>
      <c r="J105" s="121"/>
      <c r="K105" s="79"/>
    </row>
    <row r="106" ht="19.5" customHeight="1">
      <c r="A106" s="117"/>
      <c r="B106" s="114"/>
      <c r="C106" s="83"/>
      <c r="D106" s="115"/>
      <c r="E106" s="37"/>
      <c r="F106" s="78"/>
      <c r="G106" s="40"/>
      <c r="H106" s="59"/>
      <c r="I106" s="82"/>
      <c r="J106" s="109">
        <f>SUM(H104:H105)</f>
        <v>6.1</v>
      </c>
      <c r="K106" s="79"/>
    </row>
    <row r="107" ht="19.5" customHeight="1">
      <c r="A107" s="74" t="s">
        <v>1</v>
      </c>
      <c r="B107" s="74" t="s">
        <v>91</v>
      </c>
      <c r="C107" s="74" t="s">
        <v>92</v>
      </c>
      <c r="D107" s="76" t="s">
        <v>93</v>
      </c>
      <c r="E107" s="50" t="s">
        <v>161</v>
      </c>
      <c r="F107" s="53" t="s">
        <v>121</v>
      </c>
      <c r="G107" s="53" t="s">
        <v>99</v>
      </c>
      <c r="H107" s="75" t="s">
        <v>100</v>
      </c>
      <c r="I107" s="75" t="s">
        <v>101</v>
      </c>
      <c r="J107" s="76" t="s">
        <v>95</v>
      </c>
      <c r="K107" s="74" t="s">
        <v>96</v>
      </c>
    </row>
    <row r="108" ht="19.5" customHeight="1">
      <c r="A108" s="36">
        <v>38185.0</v>
      </c>
      <c r="B108" s="37" t="s">
        <v>162</v>
      </c>
      <c r="C108" s="46" t="s">
        <v>103</v>
      </c>
      <c r="D108" s="39">
        <v>1.0</v>
      </c>
      <c r="E108" s="37">
        <v>2.0</v>
      </c>
      <c r="F108" s="78">
        <f>6.3</f>
        <v>6.3</v>
      </c>
      <c r="G108" s="40">
        <v>1.0</v>
      </c>
      <c r="H108" s="40">
        <f>G108*E108*D108*F108</f>
        <v>12.6</v>
      </c>
      <c r="I108" s="42"/>
      <c r="J108" s="40"/>
      <c r="K108" s="46"/>
    </row>
    <row r="109" ht="19.5" customHeight="1">
      <c r="A109" s="46"/>
      <c r="B109" s="37"/>
      <c r="C109" s="46"/>
      <c r="D109" s="78"/>
      <c r="E109" s="37"/>
      <c r="F109" s="78"/>
      <c r="G109" s="40"/>
      <c r="H109" s="40"/>
      <c r="I109" s="42"/>
      <c r="J109" s="64">
        <f>SUM(H108:H109)</f>
        <v>12.6</v>
      </c>
      <c r="K109" s="46"/>
    </row>
    <row r="110" ht="19.5" customHeight="1">
      <c r="A110" s="74" t="s">
        <v>1</v>
      </c>
      <c r="B110" s="74" t="s">
        <v>91</v>
      </c>
      <c r="C110" s="74" t="s">
        <v>92</v>
      </c>
      <c r="D110" s="76" t="s">
        <v>93</v>
      </c>
      <c r="E110" s="50" t="s">
        <v>161</v>
      </c>
      <c r="F110" s="53" t="s">
        <v>121</v>
      </c>
      <c r="G110" s="53" t="s">
        <v>99</v>
      </c>
      <c r="H110" s="75" t="s">
        <v>100</v>
      </c>
      <c r="I110" s="75" t="s">
        <v>101</v>
      </c>
      <c r="J110" s="76" t="s">
        <v>95</v>
      </c>
      <c r="K110" s="74" t="s">
        <v>96</v>
      </c>
    </row>
    <row r="111" ht="19.5" customHeight="1">
      <c r="A111" s="443">
        <v>37485.0</v>
      </c>
      <c r="B111" s="37" t="s">
        <v>1557</v>
      </c>
      <c r="C111" s="46" t="s">
        <v>106</v>
      </c>
      <c r="D111" s="39">
        <v>1.0</v>
      </c>
      <c r="E111" s="49">
        <v>1.0</v>
      </c>
      <c r="F111" s="78"/>
      <c r="G111" s="40"/>
      <c r="H111" s="40">
        <f>E111*D111</f>
        <v>1</v>
      </c>
      <c r="I111" s="42"/>
      <c r="J111" s="40"/>
      <c r="K111" s="46"/>
    </row>
    <row r="112" ht="19.5" customHeight="1">
      <c r="A112" s="46"/>
      <c r="B112" s="37"/>
      <c r="C112" s="46"/>
      <c r="D112" s="78"/>
      <c r="E112" s="37"/>
      <c r="F112" s="78"/>
      <c r="G112" s="40"/>
      <c r="H112" s="40"/>
      <c r="I112" s="42"/>
      <c r="J112" s="64">
        <f>SUM(H111:H112)</f>
        <v>1</v>
      </c>
      <c r="K112" s="46"/>
    </row>
    <row r="113" ht="19.5" customHeight="1">
      <c r="A113" s="145" t="s">
        <v>1558</v>
      </c>
      <c r="B113" s="37" t="s">
        <v>376</v>
      </c>
      <c r="C113" s="46" t="s">
        <v>106</v>
      </c>
      <c r="D113" s="39">
        <v>1.0</v>
      </c>
      <c r="E113" s="49">
        <v>1.0</v>
      </c>
      <c r="F113" s="78"/>
      <c r="G113" s="40"/>
      <c r="H113" s="40">
        <f>E113*D113</f>
        <v>1</v>
      </c>
      <c r="I113" s="42"/>
      <c r="J113" s="64">
        <f>H113</f>
        <v>1</v>
      </c>
      <c r="K113" s="79"/>
    </row>
    <row r="114" ht="19.5" customHeight="1">
      <c r="A114" s="74" t="s">
        <v>1</v>
      </c>
      <c r="B114" s="74" t="s">
        <v>91</v>
      </c>
      <c r="C114" s="74" t="s">
        <v>92</v>
      </c>
      <c r="D114" s="76" t="s">
        <v>93</v>
      </c>
      <c r="E114" s="50" t="s">
        <v>161</v>
      </c>
      <c r="F114" s="53" t="s">
        <v>121</v>
      </c>
      <c r="G114" s="53" t="s">
        <v>99</v>
      </c>
      <c r="H114" s="75" t="s">
        <v>100</v>
      </c>
      <c r="I114" s="75" t="s">
        <v>101</v>
      </c>
      <c r="J114" s="76" t="s">
        <v>95</v>
      </c>
      <c r="K114" s="74" t="s">
        <v>96</v>
      </c>
    </row>
    <row r="115" ht="19.5" customHeight="1">
      <c r="A115" s="36" t="s">
        <v>1559</v>
      </c>
      <c r="B115" s="49" t="s">
        <v>1560</v>
      </c>
      <c r="C115" s="46" t="s">
        <v>103</v>
      </c>
      <c r="D115" s="78">
        <v>1.0</v>
      </c>
      <c r="E115" s="37">
        <v>1.0</v>
      </c>
      <c r="F115" s="39">
        <f>3+1.67</f>
        <v>4.67</v>
      </c>
      <c r="G115" s="40">
        <v>0.6</v>
      </c>
      <c r="H115" s="40">
        <f t="shared" ref="H115:H119" si="27">G115*F115*E115*D115</f>
        <v>2.802</v>
      </c>
      <c r="I115" s="42"/>
      <c r="J115" s="40"/>
      <c r="K115" s="46"/>
    </row>
    <row r="116" ht="19.5" customHeight="1">
      <c r="A116" s="36" t="s">
        <v>1559</v>
      </c>
      <c r="B116" s="49" t="s">
        <v>1560</v>
      </c>
      <c r="C116" s="46" t="s">
        <v>103</v>
      </c>
      <c r="D116" s="78">
        <v>1.0</v>
      </c>
      <c r="E116" s="37">
        <v>1.0</v>
      </c>
      <c r="F116" s="39">
        <v>0.4</v>
      </c>
      <c r="G116" s="41">
        <v>0.95</v>
      </c>
      <c r="H116" s="40">
        <f t="shared" si="27"/>
        <v>0.38</v>
      </c>
      <c r="I116" s="42"/>
      <c r="J116" s="40"/>
      <c r="K116" s="46"/>
    </row>
    <row r="117" ht="19.5" customHeight="1">
      <c r="A117" s="36" t="s">
        <v>1559</v>
      </c>
      <c r="B117" s="49" t="s">
        <v>1560</v>
      </c>
      <c r="C117" s="46" t="s">
        <v>103</v>
      </c>
      <c r="D117" s="78">
        <v>1.0</v>
      </c>
      <c r="E117" s="37">
        <v>1.0</v>
      </c>
      <c r="F117" s="39">
        <v>2.83</v>
      </c>
      <c r="G117" s="41">
        <v>0.6</v>
      </c>
      <c r="H117" s="40">
        <f t="shared" si="27"/>
        <v>1.698</v>
      </c>
      <c r="I117" s="42"/>
      <c r="J117" s="40"/>
      <c r="K117" s="46"/>
    </row>
    <row r="118" ht="19.5" customHeight="1">
      <c r="A118" s="36" t="s">
        <v>1559</v>
      </c>
      <c r="B118" s="49" t="s">
        <v>1560</v>
      </c>
      <c r="C118" s="46" t="s">
        <v>103</v>
      </c>
      <c r="D118" s="78">
        <v>1.0</v>
      </c>
      <c r="E118" s="37">
        <v>1.0</v>
      </c>
      <c r="F118" s="78">
        <v>2.7</v>
      </c>
      <c r="G118" s="41">
        <v>0.95</v>
      </c>
      <c r="H118" s="40">
        <f t="shared" si="27"/>
        <v>2.565</v>
      </c>
      <c r="I118" s="42"/>
      <c r="J118" s="40"/>
      <c r="K118" s="46"/>
    </row>
    <row r="119" ht="19.5" customHeight="1">
      <c r="A119" s="36" t="s">
        <v>1559</v>
      </c>
      <c r="B119" s="49" t="s">
        <v>1560</v>
      </c>
      <c r="C119" s="46" t="s">
        <v>103</v>
      </c>
      <c r="D119" s="78">
        <v>1.0</v>
      </c>
      <c r="E119" s="37">
        <v>1.0</v>
      </c>
      <c r="F119" s="39">
        <f>0.9+0.3</f>
        <v>1.2</v>
      </c>
      <c r="G119" s="41">
        <v>0.3</v>
      </c>
      <c r="H119" s="40">
        <f t="shared" si="27"/>
        <v>0.36</v>
      </c>
      <c r="I119" s="93"/>
      <c r="J119" s="64">
        <f>SUM(H115:H119)</f>
        <v>7.805</v>
      </c>
      <c r="K119" s="79"/>
    </row>
    <row r="120" ht="19.5" customHeight="1">
      <c r="A120" s="74" t="s">
        <v>1</v>
      </c>
      <c r="B120" s="74" t="s">
        <v>91</v>
      </c>
      <c r="C120" s="74" t="s">
        <v>92</v>
      </c>
      <c r="D120" s="76" t="s">
        <v>93</v>
      </c>
      <c r="E120" s="50" t="s">
        <v>161</v>
      </c>
      <c r="F120" s="53" t="s">
        <v>121</v>
      </c>
      <c r="G120" s="53" t="s">
        <v>97</v>
      </c>
      <c r="H120" s="75" t="s">
        <v>100</v>
      </c>
      <c r="I120" s="75" t="s">
        <v>101</v>
      </c>
      <c r="J120" s="76" t="s">
        <v>95</v>
      </c>
      <c r="K120" s="74" t="s">
        <v>96</v>
      </c>
    </row>
    <row r="121" ht="19.5" customHeight="1">
      <c r="A121" s="46">
        <v>1.0</v>
      </c>
      <c r="B121" s="37" t="s">
        <v>244</v>
      </c>
      <c r="C121" s="46" t="s">
        <v>103</v>
      </c>
      <c r="D121" s="78"/>
      <c r="E121" s="37"/>
      <c r="F121" s="78"/>
      <c r="G121" s="40"/>
      <c r="H121" s="40"/>
      <c r="I121" s="42"/>
      <c r="J121" s="40"/>
      <c r="K121" s="46"/>
    </row>
    <row r="122" ht="19.5" customHeight="1">
      <c r="A122" s="46">
        <v>2.0</v>
      </c>
      <c r="B122" s="37" t="s">
        <v>244</v>
      </c>
      <c r="C122" s="46" t="s">
        <v>103</v>
      </c>
      <c r="D122" s="78"/>
      <c r="E122" s="37"/>
      <c r="F122" s="78"/>
      <c r="G122" s="40"/>
      <c r="H122" s="40"/>
      <c r="I122" s="42"/>
      <c r="J122" s="64">
        <f>SUM(H121:H122)</f>
        <v>0</v>
      </c>
      <c r="K122" s="46"/>
    </row>
    <row r="123" ht="19.5" customHeight="1">
      <c r="A123" s="74" t="s">
        <v>1</v>
      </c>
      <c r="B123" s="74" t="s">
        <v>91</v>
      </c>
      <c r="C123" s="74" t="s">
        <v>92</v>
      </c>
      <c r="D123" s="76" t="s">
        <v>93</v>
      </c>
      <c r="E123" s="50" t="s">
        <v>161</v>
      </c>
      <c r="F123" s="53"/>
      <c r="G123" s="53"/>
      <c r="H123" s="75" t="s">
        <v>100</v>
      </c>
      <c r="I123" s="75" t="s">
        <v>101</v>
      </c>
      <c r="J123" s="76" t="s">
        <v>95</v>
      </c>
      <c r="K123" s="74" t="s">
        <v>96</v>
      </c>
    </row>
    <row r="124" ht="19.5" customHeight="1">
      <c r="A124" s="46">
        <v>1.0</v>
      </c>
      <c r="B124" s="37" t="s">
        <v>245</v>
      </c>
      <c r="C124" s="46" t="s">
        <v>106</v>
      </c>
      <c r="D124" s="78">
        <v>2.0</v>
      </c>
      <c r="E124" s="37">
        <v>1.0</v>
      </c>
      <c r="F124" s="78"/>
      <c r="G124" s="40"/>
      <c r="H124" s="40">
        <f>E124*D124+6</f>
        <v>8</v>
      </c>
      <c r="I124" s="42"/>
      <c r="J124" s="64">
        <f t="shared" ref="J124:J142" si="28">H124</f>
        <v>8</v>
      </c>
      <c r="K124" s="46"/>
    </row>
    <row r="125" ht="19.5" customHeight="1">
      <c r="A125" s="46">
        <v>2.0</v>
      </c>
      <c r="B125" s="37" t="s">
        <v>245</v>
      </c>
      <c r="C125" s="46" t="s">
        <v>106</v>
      </c>
      <c r="D125" s="78">
        <v>2.0</v>
      </c>
      <c r="E125" s="37">
        <v>1.0</v>
      </c>
      <c r="F125" s="78"/>
      <c r="G125" s="40"/>
      <c r="H125" s="40">
        <f t="shared" ref="H125:H139" si="29">E125*D125</f>
        <v>2</v>
      </c>
      <c r="I125" s="42"/>
      <c r="J125" s="64">
        <f t="shared" si="28"/>
        <v>2</v>
      </c>
      <c r="K125" s="46"/>
    </row>
    <row r="126" ht="19.5" customHeight="1">
      <c r="A126" s="46">
        <v>3.0</v>
      </c>
      <c r="B126" s="37" t="s">
        <v>246</v>
      </c>
      <c r="C126" s="46" t="s">
        <v>106</v>
      </c>
      <c r="D126" s="78">
        <v>8.0</v>
      </c>
      <c r="E126" s="37">
        <v>1.0</v>
      </c>
      <c r="F126" s="78"/>
      <c r="G126" s="40"/>
      <c r="H126" s="40">
        <f t="shared" si="29"/>
        <v>8</v>
      </c>
      <c r="I126" s="42"/>
      <c r="J126" s="64">
        <f t="shared" si="28"/>
        <v>8</v>
      </c>
      <c r="K126" s="46"/>
    </row>
    <row r="127" ht="19.5" customHeight="1">
      <c r="A127" s="46">
        <v>4.0</v>
      </c>
      <c r="B127" s="37" t="s">
        <v>246</v>
      </c>
      <c r="C127" s="46" t="s">
        <v>106</v>
      </c>
      <c r="D127" s="78"/>
      <c r="E127" s="37"/>
      <c r="F127" s="78"/>
      <c r="G127" s="40"/>
      <c r="H127" s="40">
        <f t="shared" si="29"/>
        <v>0</v>
      </c>
      <c r="I127" s="42"/>
      <c r="J127" s="64">
        <f t="shared" si="28"/>
        <v>0</v>
      </c>
      <c r="K127" s="46"/>
    </row>
    <row r="128" ht="19.5" customHeight="1">
      <c r="A128" s="46">
        <v>5.0</v>
      </c>
      <c r="B128" s="37" t="s">
        <v>247</v>
      </c>
      <c r="C128" s="46" t="s">
        <v>106</v>
      </c>
      <c r="D128" s="78"/>
      <c r="E128" s="37"/>
      <c r="F128" s="78"/>
      <c r="G128" s="40"/>
      <c r="H128" s="40">
        <f t="shared" si="29"/>
        <v>0</v>
      </c>
      <c r="I128" s="42"/>
      <c r="J128" s="64">
        <f t="shared" si="28"/>
        <v>0</v>
      </c>
      <c r="K128" s="46"/>
    </row>
    <row r="129" ht="19.5" customHeight="1">
      <c r="A129" s="46">
        <v>6.0</v>
      </c>
      <c r="B129" s="37" t="s">
        <v>248</v>
      </c>
      <c r="C129" s="46" t="s">
        <v>106</v>
      </c>
      <c r="D129" s="78">
        <v>4.0</v>
      </c>
      <c r="E129" s="37">
        <v>1.0</v>
      </c>
      <c r="F129" s="78"/>
      <c r="G129" s="40"/>
      <c r="H129" s="40">
        <f t="shared" si="29"/>
        <v>4</v>
      </c>
      <c r="I129" s="42"/>
      <c r="J129" s="64">
        <f t="shared" si="28"/>
        <v>4</v>
      </c>
      <c r="K129" s="46"/>
    </row>
    <row r="130" ht="19.5" customHeight="1">
      <c r="A130" s="46">
        <v>7.0</v>
      </c>
      <c r="B130" s="37" t="s">
        <v>249</v>
      </c>
      <c r="C130" s="46" t="s">
        <v>106</v>
      </c>
      <c r="D130" s="78"/>
      <c r="E130" s="37"/>
      <c r="F130" s="78"/>
      <c r="G130" s="40"/>
      <c r="H130" s="40">
        <f t="shared" si="29"/>
        <v>0</v>
      </c>
      <c r="I130" s="42"/>
      <c r="J130" s="64">
        <f t="shared" si="28"/>
        <v>0</v>
      </c>
      <c r="K130" s="46"/>
    </row>
    <row r="131" ht="19.5" customHeight="1">
      <c r="A131" s="46">
        <v>8.0</v>
      </c>
      <c r="B131" s="37" t="s">
        <v>250</v>
      </c>
      <c r="C131" s="46" t="s">
        <v>106</v>
      </c>
      <c r="D131" s="123">
        <f>H130+H129+H128+H127+H126</f>
        <v>12</v>
      </c>
      <c r="E131" s="37">
        <v>1.0</v>
      </c>
      <c r="F131" s="40"/>
      <c r="G131" s="40"/>
      <c r="H131" s="40">
        <f t="shared" si="29"/>
        <v>12</v>
      </c>
      <c r="I131" s="40"/>
      <c r="J131" s="64">
        <f t="shared" si="28"/>
        <v>12</v>
      </c>
      <c r="K131" s="46"/>
    </row>
    <row r="132" ht="19.5" customHeight="1">
      <c r="A132" s="46">
        <v>9.0</v>
      </c>
      <c r="B132" s="37" t="s">
        <v>251</v>
      </c>
      <c r="C132" s="46" t="s">
        <v>106</v>
      </c>
      <c r="D132" s="123">
        <f>H125+H124</f>
        <v>10</v>
      </c>
      <c r="E132" s="37">
        <v>1.0</v>
      </c>
      <c r="F132" s="40"/>
      <c r="G132" s="40"/>
      <c r="H132" s="40">
        <f t="shared" si="29"/>
        <v>10</v>
      </c>
      <c r="I132" s="40"/>
      <c r="J132" s="64">
        <f t="shared" si="28"/>
        <v>10</v>
      </c>
      <c r="K132" s="46"/>
    </row>
    <row r="133" ht="19.5" customHeight="1">
      <c r="A133" s="46">
        <v>10.0</v>
      </c>
      <c r="B133" s="37" t="s">
        <v>252</v>
      </c>
      <c r="C133" s="46" t="s">
        <v>108</v>
      </c>
      <c r="D133" s="123"/>
      <c r="E133" s="37">
        <v>1.0</v>
      </c>
      <c r="F133" s="40"/>
      <c r="G133" s="40"/>
      <c r="H133" s="40">
        <f t="shared" si="29"/>
        <v>0</v>
      </c>
      <c r="I133" s="40"/>
      <c r="J133" s="64">
        <f t="shared" si="28"/>
        <v>0</v>
      </c>
      <c r="K133" s="46"/>
    </row>
    <row r="134" ht="19.5" customHeight="1">
      <c r="A134" s="46">
        <v>11.0</v>
      </c>
      <c r="B134" s="37" t="s">
        <v>641</v>
      </c>
      <c r="C134" s="46" t="s">
        <v>108</v>
      </c>
      <c r="D134" s="123">
        <v>50.0</v>
      </c>
      <c r="E134" s="37">
        <v>1.0</v>
      </c>
      <c r="F134" s="40"/>
      <c r="G134" s="40"/>
      <c r="H134" s="40">
        <f t="shared" si="29"/>
        <v>50</v>
      </c>
      <c r="I134" s="40"/>
      <c r="J134" s="64">
        <f t="shared" si="28"/>
        <v>50</v>
      </c>
      <c r="K134" s="46"/>
    </row>
    <row r="135" ht="19.5" customHeight="1">
      <c r="A135" s="46">
        <v>12.0</v>
      </c>
      <c r="B135" s="37" t="s">
        <v>254</v>
      </c>
      <c r="C135" s="46" t="s">
        <v>108</v>
      </c>
      <c r="D135" s="123">
        <v>80.0</v>
      </c>
      <c r="E135" s="37">
        <v>1.0</v>
      </c>
      <c r="F135" s="40"/>
      <c r="G135" s="40"/>
      <c r="H135" s="40">
        <f t="shared" si="29"/>
        <v>80</v>
      </c>
      <c r="I135" s="40"/>
      <c r="J135" s="64">
        <f t="shared" si="28"/>
        <v>80</v>
      </c>
      <c r="K135" s="46"/>
    </row>
    <row r="136" ht="19.5" customHeight="1">
      <c r="A136" s="46">
        <f t="shared" ref="A136:A142" si="30">A135+1</f>
        <v>13</v>
      </c>
      <c r="B136" s="37" t="s">
        <v>255</v>
      </c>
      <c r="C136" s="46" t="s">
        <v>108</v>
      </c>
      <c r="D136" s="123">
        <v>12.0</v>
      </c>
      <c r="E136" s="37">
        <v>19.0</v>
      </c>
      <c r="F136" s="40"/>
      <c r="G136" s="40"/>
      <c r="H136" s="40">
        <f t="shared" si="29"/>
        <v>228</v>
      </c>
      <c r="I136" s="40"/>
      <c r="J136" s="64">
        <f t="shared" si="28"/>
        <v>228</v>
      </c>
      <c r="K136" s="46"/>
    </row>
    <row r="137" ht="19.5" customHeight="1">
      <c r="A137" s="46">
        <f t="shared" si="30"/>
        <v>14</v>
      </c>
      <c r="B137" s="37" t="s">
        <v>256</v>
      </c>
      <c r="C137" s="46" t="s">
        <v>108</v>
      </c>
      <c r="D137" s="123">
        <v>20.0</v>
      </c>
      <c r="E137" s="37">
        <v>1.0</v>
      </c>
      <c r="F137" s="40"/>
      <c r="G137" s="40"/>
      <c r="H137" s="40">
        <f t="shared" si="29"/>
        <v>20</v>
      </c>
      <c r="I137" s="40"/>
      <c r="J137" s="64">
        <f t="shared" si="28"/>
        <v>20</v>
      </c>
      <c r="K137" s="46"/>
    </row>
    <row r="138" ht="19.5" customHeight="1">
      <c r="A138" s="46">
        <f t="shared" si="30"/>
        <v>15</v>
      </c>
      <c r="B138" s="37" t="s">
        <v>1301</v>
      </c>
      <c r="C138" s="46" t="s">
        <v>106</v>
      </c>
      <c r="D138" s="123">
        <v>1.0</v>
      </c>
      <c r="E138" s="37">
        <v>1.0</v>
      </c>
      <c r="F138" s="40"/>
      <c r="G138" s="40"/>
      <c r="H138" s="40">
        <f t="shared" si="29"/>
        <v>1</v>
      </c>
      <c r="I138" s="40"/>
      <c r="J138" s="64">
        <f t="shared" si="28"/>
        <v>1</v>
      </c>
      <c r="K138" s="46"/>
    </row>
    <row r="139" ht="19.5" customHeight="1">
      <c r="A139" s="46">
        <f t="shared" si="30"/>
        <v>16</v>
      </c>
      <c r="B139" s="37" t="s">
        <v>258</v>
      </c>
      <c r="C139" s="46" t="s">
        <v>106</v>
      </c>
      <c r="D139" s="123">
        <v>2.0</v>
      </c>
      <c r="E139" s="37">
        <v>1.0</v>
      </c>
      <c r="F139" s="40"/>
      <c r="G139" s="40"/>
      <c r="H139" s="40">
        <f t="shared" si="29"/>
        <v>2</v>
      </c>
      <c r="I139" s="40"/>
      <c r="J139" s="64">
        <f t="shared" si="28"/>
        <v>2</v>
      </c>
      <c r="K139" s="46"/>
    </row>
    <row r="140" ht="19.5" customHeight="1">
      <c r="A140" s="46">
        <f t="shared" si="30"/>
        <v>17</v>
      </c>
      <c r="B140" s="37" t="s">
        <v>259</v>
      </c>
      <c r="C140" s="46" t="s">
        <v>108</v>
      </c>
      <c r="D140" s="123"/>
      <c r="E140" s="37"/>
      <c r="F140" s="40"/>
      <c r="G140" s="40"/>
      <c r="H140" s="40"/>
      <c r="I140" s="40"/>
      <c r="J140" s="64" t="str">
        <f t="shared" si="28"/>
        <v/>
      </c>
      <c r="K140" s="46"/>
    </row>
    <row r="141" ht="19.5" customHeight="1">
      <c r="A141" s="46">
        <f t="shared" si="30"/>
        <v>18</v>
      </c>
      <c r="B141" s="37" t="s">
        <v>260</v>
      </c>
      <c r="C141" s="46" t="s">
        <v>108</v>
      </c>
      <c r="D141" s="123"/>
      <c r="E141" s="37"/>
      <c r="F141" s="40"/>
      <c r="G141" s="40"/>
      <c r="H141" s="40"/>
      <c r="I141" s="40"/>
      <c r="J141" s="64" t="str">
        <f t="shared" si="28"/>
        <v/>
      </c>
      <c r="K141" s="46"/>
    </row>
    <row r="142" ht="19.5" customHeight="1">
      <c r="A142" s="46">
        <f t="shared" si="30"/>
        <v>19</v>
      </c>
      <c r="B142" s="37" t="s">
        <v>261</v>
      </c>
      <c r="C142" s="46" t="s">
        <v>106</v>
      </c>
      <c r="D142" s="123"/>
      <c r="E142" s="37"/>
      <c r="F142" s="40"/>
      <c r="G142" s="40"/>
      <c r="H142" s="40"/>
      <c r="I142" s="40"/>
      <c r="J142" s="64" t="str">
        <f t="shared" si="28"/>
        <v/>
      </c>
      <c r="K142" s="46"/>
    </row>
    <row r="143" ht="19.5" customHeight="1">
      <c r="A143" s="12"/>
      <c r="C143" s="12"/>
      <c r="D143" s="87"/>
      <c r="F143" s="14"/>
      <c r="G143" s="14"/>
      <c r="H143" s="14"/>
      <c r="I143" s="14"/>
      <c r="J143" s="14"/>
      <c r="K143" s="12"/>
    </row>
    <row r="144" ht="19.5" customHeight="1">
      <c r="A144" s="74" t="s">
        <v>1</v>
      </c>
      <c r="B144" s="74" t="s">
        <v>91</v>
      </c>
      <c r="C144" s="74" t="s">
        <v>92</v>
      </c>
      <c r="D144" s="76" t="s">
        <v>93</v>
      </c>
      <c r="E144" s="50" t="s">
        <v>161</v>
      </c>
      <c r="F144" s="53" t="s">
        <v>121</v>
      </c>
      <c r="G144" s="53" t="s">
        <v>99</v>
      </c>
      <c r="H144" s="53" t="s">
        <v>100</v>
      </c>
      <c r="I144" s="53" t="s">
        <v>101</v>
      </c>
      <c r="J144" s="76" t="s">
        <v>95</v>
      </c>
      <c r="K144" s="74" t="s">
        <v>96</v>
      </c>
    </row>
    <row r="145" ht="19.5" customHeight="1">
      <c r="A145" s="46">
        <v>1.0</v>
      </c>
      <c r="B145" s="37" t="s">
        <v>262</v>
      </c>
      <c r="C145" s="46" t="s">
        <v>108</v>
      </c>
      <c r="D145" s="78">
        <v>24.0</v>
      </c>
      <c r="E145" s="37">
        <v>1.0</v>
      </c>
      <c r="F145" s="78"/>
      <c r="G145" s="40"/>
      <c r="H145" s="40">
        <f t="shared" ref="H145:H168" si="31">E145*D145</f>
        <v>24</v>
      </c>
      <c r="I145" s="42"/>
      <c r="J145" s="64">
        <f t="shared" ref="J145:J168" si="32">H145</f>
        <v>24</v>
      </c>
      <c r="K145" s="46"/>
    </row>
    <row r="146" ht="19.5" customHeight="1">
      <c r="A146" s="46">
        <f t="shared" ref="A146:A165" si="33">A145+1</f>
        <v>2</v>
      </c>
      <c r="B146" s="37" t="s">
        <v>263</v>
      </c>
      <c r="C146" s="46" t="s">
        <v>108</v>
      </c>
      <c r="D146" s="123">
        <v>12.0</v>
      </c>
      <c r="E146" s="37">
        <v>1.0</v>
      </c>
      <c r="F146" s="40"/>
      <c r="G146" s="40"/>
      <c r="H146" s="40">
        <f t="shared" si="31"/>
        <v>12</v>
      </c>
      <c r="I146" s="40"/>
      <c r="J146" s="64">
        <f t="shared" si="32"/>
        <v>12</v>
      </c>
      <c r="K146" s="46"/>
    </row>
    <row r="147" ht="19.5" customHeight="1">
      <c r="A147" s="46">
        <f t="shared" si="33"/>
        <v>3</v>
      </c>
      <c r="B147" s="37" t="s">
        <v>264</v>
      </c>
      <c r="C147" s="46" t="s">
        <v>108</v>
      </c>
      <c r="D147" s="123">
        <v>12.0</v>
      </c>
      <c r="E147" s="37">
        <v>1.0</v>
      </c>
      <c r="F147" s="40"/>
      <c r="G147" s="40"/>
      <c r="H147" s="40">
        <f t="shared" si="31"/>
        <v>12</v>
      </c>
      <c r="I147" s="40"/>
      <c r="J147" s="64">
        <f t="shared" si="32"/>
        <v>12</v>
      </c>
      <c r="K147" s="46"/>
    </row>
    <row r="148" ht="19.5" customHeight="1">
      <c r="A148" s="46">
        <f t="shared" si="33"/>
        <v>4</v>
      </c>
      <c r="B148" s="37" t="s">
        <v>265</v>
      </c>
      <c r="C148" s="46" t="s">
        <v>106</v>
      </c>
      <c r="D148" s="123">
        <v>2.0</v>
      </c>
      <c r="E148" s="37">
        <v>1.0</v>
      </c>
      <c r="F148" s="40"/>
      <c r="G148" s="40"/>
      <c r="H148" s="40">
        <f t="shared" si="31"/>
        <v>2</v>
      </c>
      <c r="I148" s="40"/>
      <c r="J148" s="64">
        <f t="shared" si="32"/>
        <v>2</v>
      </c>
      <c r="K148" s="46"/>
    </row>
    <row r="149" ht="19.5" customHeight="1">
      <c r="A149" s="46">
        <f t="shared" si="33"/>
        <v>5</v>
      </c>
      <c r="B149" s="37" t="s">
        <v>266</v>
      </c>
      <c r="C149" s="46" t="s">
        <v>106</v>
      </c>
      <c r="D149" s="123">
        <v>2.0</v>
      </c>
      <c r="E149" s="37">
        <v>1.0</v>
      </c>
      <c r="F149" s="40"/>
      <c r="G149" s="40"/>
      <c r="H149" s="40">
        <f t="shared" si="31"/>
        <v>2</v>
      </c>
      <c r="I149" s="40"/>
      <c r="J149" s="64">
        <f t="shared" si="32"/>
        <v>2</v>
      </c>
      <c r="K149" s="46"/>
    </row>
    <row r="150" ht="19.5" customHeight="1">
      <c r="A150" s="46">
        <f t="shared" si="33"/>
        <v>6</v>
      </c>
      <c r="B150" s="37" t="s">
        <v>267</v>
      </c>
      <c r="C150" s="46" t="s">
        <v>106</v>
      </c>
      <c r="D150" s="123">
        <v>2.0</v>
      </c>
      <c r="E150" s="37">
        <v>1.0</v>
      </c>
      <c r="F150" s="40"/>
      <c r="G150" s="40"/>
      <c r="H150" s="40">
        <f t="shared" si="31"/>
        <v>2</v>
      </c>
      <c r="I150" s="40"/>
      <c r="J150" s="64">
        <f t="shared" si="32"/>
        <v>2</v>
      </c>
      <c r="K150" s="46"/>
    </row>
    <row r="151" ht="19.5" customHeight="1">
      <c r="A151" s="46">
        <f t="shared" si="33"/>
        <v>7</v>
      </c>
      <c r="B151" s="37" t="s">
        <v>268</v>
      </c>
      <c r="C151" s="46" t="s">
        <v>106</v>
      </c>
      <c r="D151" s="123">
        <v>2.0</v>
      </c>
      <c r="E151" s="37">
        <v>1.0</v>
      </c>
      <c r="F151" s="40"/>
      <c r="G151" s="40"/>
      <c r="H151" s="40">
        <f t="shared" si="31"/>
        <v>2</v>
      </c>
      <c r="I151" s="40"/>
      <c r="J151" s="64">
        <f t="shared" si="32"/>
        <v>2</v>
      </c>
      <c r="K151" s="46"/>
    </row>
    <row r="152" ht="19.5" customHeight="1">
      <c r="A152" s="46">
        <f t="shared" si="33"/>
        <v>8</v>
      </c>
      <c r="B152" s="37" t="s">
        <v>269</v>
      </c>
      <c r="C152" s="46" t="s">
        <v>106</v>
      </c>
      <c r="D152" s="123">
        <v>2.0</v>
      </c>
      <c r="E152" s="37">
        <v>1.0</v>
      </c>
      <c r="F152" s="40"/>
      <c r="G152" s="40"/>
      <c r="H152" s="40">
        <f t="shared" si="31"/>
        <v>2</v>
      </c>
      <c r="I152" s="40"/>
      <c r="J152" s="64">
        <f t="shared" si="32"/>
        <v>2</v>
      </c>
      <c r="K152" s="46"/>
    </row>
    <row r="153" ht="19.5" customHeight="1">
      <c r="A153" s="46">
        <f t="shared" si="33"/>
        <v>9</v>
      </c>
      <c r="B153" s="37" t="s">
        <v>270</v>
      </c>
      <c r="C153" s="46" t="s">
        <v>106</v>
      </c>
      <c r="D153" s="123">
        <v>2.0</v>
      </c>
      <c r="E153" s="37">
        <v>1.0</v>
      </c>
      <c r="F153" s="40"/>
      <c r="G153" s="40"/>
      <c r="H153" s="40">
        <f t="shared" si="31"/>
        <v>2</v>
      </c>
      <c r="I153" s="40"/>
      <c r="J153" s="64">
        <f t="shared" si="32"/>
        <v>2</v>
      </c>
      <c r="K153" s="46"/>
    </row>
    <row r="154" ht="19.5" customHeight="1">
      <c r="A154" s="46">
        <f t="shared" si="33"/>
        <v>10</v>
      </c>
      <c r="B154" s="37" t="s">
        <v>271</v>
      </c>
      <c r="C154" s="46" t="s">
        <v>106</v>
      </c>
      <c r="D154" s="123">
        <v>2.0</v>
      </c>
      <c r="E154" s="37">
        <v>1.0</v>
      </c>
      <c r="F154" s="40"/>
      <c r="G154" s="40"/>
      <c r="H154" s="40">
        <f t="shared" si="31"/>
        <v>2</v>
      </c>
      <c r="I154" s="40"/>
      <c r="J154" s="64">
        <f t="shared" si="32"/>
        <v>2</v>
      </c>
      <c r="K154" s="46"/>
    </row>
    <row r="155" ht="19.5" customHeight="1">
      <c r="A155" s="46">
        <f t="shared" si="33"/>
        <v>11</v>
      </c>
      <c r="B155" s="37" t="s">
        <v>272</v>
      </c>
      <c r="C155" s="46" t="s">
        <v>106</v>
      </c>
      <c r="D155" s="123">
        <v>2.0</v>
      </c>
      <c r="E155" s="37">
        <v>1.0</v>
      </c>
      <c r="F155" s="40"/>
      <c r="G155" s="40"/>
      <c r="H155" s="40">
        <f t="shared" si="31"/>
        <v>2</v>
      </c>
      <c r="I155" s="40"/>
      <c r="J155" s="64">
        <f t="shared" si="32"/>
        <v>2</v>
      </c>
      <c r="K155" s="46"/>
    </row>
    <row r="156" ht="19.5" customHeight="1">
      <c r="A156" s="46">
        <f t="shared" si="33"/>
        <v>12</v>
      </c>
      <c r="B156" s="37" t="s">
        <v>273</v>
      </c>
      <c r="C156" s="46" t="s">
        <v>106</v>
      </c>
      <c r="D156" s="123">
        <v>2.0</v>
      </c>
      <c r="E156" s="37">
        <v>1.0</v>
      </c>
      <c r="F156" s="40"/>
      <c r="G156" s="40"/>
      <c r="H156" s="40">
        <f t="shared" si="31"/>
        <v>2</v>
      </c>
      <c r="I156" s="40"/>
      <c r="J156" s="64">
        <f t="shared" si="32"/>
        <v>2</v>
      </c>
      <c r="K156" s="46"/>
    </row>
    <row r="157" ht="19.5" customHeight="1">
      <c r="A157" s="46">
        <f t="shared" si="33"/>
        <v>13</v>
      </c>
      <c r="B157" s="37" t="s">
        <v>274</v>
      </c>
      <c r="C157" s="46" t="s">
        <v>106</v>
      </c>
      <c r="D157" s="123">
        <v>2.0</v>
      </c>
      <c r="E157" s="37">
        <v>1.0</v>
      </c>
      <c r="F157" s="40"/>
      <c r="G157" s="40"/>
      <c r="H157" s="40">
        <f t="shared" si="31"/>
        <v>2</v>
      </c>
      <c r="I157" s="40"/>
      <c r="J157" s="64">
        <f t="shared" si="32"/>
        <v>2</v>
      </c>
      <c r="K157" s="46"/>
    </row>
    <row r="158" ht="19.5" customHeight="1">
      <c r="A158" s="46">
        <f t="shared" si="33"/>
        <v>14</v>
      </c>
      <c r="B158" s="37" t="s">
        <v>275</v>
      </c>
      <c r="C158" s="46" t="s">
        <v>106</v>
      </c>
      <c r="D158" s="123">
        <v>2.0</v>
      </c>
      <c r="E158" s="37">
        <v>1.0</v>
      </c>
      <c r="F158" s="40"/>
      <c r="G158" s="40"/>
      <c r="H158" s="40">
        <f t="shared" si="31"/>
        <v>2</v>
      </c>
      <c r="I158" s="40"/>
      <c r="J158" s="64">
        <f t="shared" si="32"/>
        <v>2</v>
      </c>
      <c r="K158" s="46"/>
    </row>
    <row r="159" ht="19.5" customHeight="1">
      <c r="A159" s="46">
        <f t="shared" si="33"/>
        <v>15</v>
      </c>
      <c r="B159" s="37" t="s">
        <v>276</v>
      </c>
      <c r="C159" s="46" t="s">
        <v>106</v>
      </c>
      <c r="D159" s="123">
        <v>2.0</v>
      </c>
      <c r="E159" s="37">
        <v>1.0</v>
      </c>
      <c r="F159" s="40"/>
      <c r="G159" s="40"/>
      <c r="H159" s="40">
        <f t="shared" si="31"/>
        <v>2</v>
      </c>
      <c r="I159" s="40"/>
      <c r="J159" s="64">
        <f t="shared" si="32"/>
        <v>2</v>
      </c>
      <c r="K159" s="46"/>
    </row>
    <row r="160" ht="19.5" customHeight="1">
      <c r="A160" s="46">
        <f t="shared" si="33"/>
        <v>16</v>
      </c>
      <c r="B160" s="37" t="s">
        <v>277</v>
      </c>
      <c r="C160" s="46" t="s">
        <v>106</v>
      </c>
      <c r="D160" s="123">
        <v>2.0</v>
      </c>
      <c r="E160" s="37">
        <v>1.0</v>
      </c>
      <c r="F160" s="40"/>
      <c r="G160" s="40"/>
      <c r="H160" s="40">
        <f t="shared" si="31"/>
        <v>2</v>
      </c>
      <c r="I160" s="40"/>
      <c r="J160" s="64">
        <f t="shared" si="32"/>
        <v>2</v>
      </c>
      <c r="K160" s="46"/>
    </row>
    <row r="161" ht="19.5" customHeight="1">
      <c r="A161" s="46">
        <f t="shared" si="33"/>
        <v>17</v>
      </c>
      <c r="B161" s="37" t="s">
        <v>278</v>
      </c>
      <c r="C161" s="46" t="s">
        <v>106</v>
      </c>
      <c r="D161" s="123">
        <v>2.0</v>
      </c>
      <c r="E161" s="37">
        <v>1.0</v>
      </c>
      <c r="F161" s="40"/>
      <c r="G161" s="40"/>
      <c r="H161" s="40">
        <f t="shared" si="31"/>
        <v>2</v>
      </c>
      <c r="I161" s="40"/>
      <c r="J161" s="64">
        <f t="shared" si="32"/>
        <v>2</v>
      </c>
      <c r="K161" s="46"/>
    </row>
    <row r="162" ht="19.5" customHeight="1">
      <c r="A162" s="46">
        <f t="shared" si="33"/>
        <v>18</v>
      </c>
      <c r="B162" s="37" t="s">
        <v>279</v>
      </c>
      <c r="C162" s="46" t="s">
        <v>106</v>
      </c>
      <c r="D162" s="123">
        <v>2.0</v>
      </c>
      <c r="E162" s="37">
        <v>1.0</v>
      </c>
      <c r="F162" s="40"/>
      <c r="G162" s="40"/>
      <c r="H162" s="40">
        <f t="shared" si="31"/>
        <v>2</v>
      </c>
      <c r="I162" s="40"/>
      <c r="J162" s="64">
        <f t="shared" si="32"/>
        <v>2</v>
      </c>
      <c r="K162" s="46"/>
    </row>
    <row r="163" ht="19.5" customHeight="1">
      <c r="A163" s="46">
        <f t="shared" si="33"/>
        <v>19</v>
      </c>
      <c r="B163" s="37" t="s">
        <v>280</v>
      </c>
      <c r="C163" s="46" t="s">
        <v>106</v>
      </c>
      <c r="D163" s="123">
        <v>5.0</v>
      </c>
      <c r="E163" s="37">
        <v>1.0</v>
      </c>
      <c r="F163" s="40"/>
      <c r="G163" s="40"/>
      <c r="H163" s="40">
        <f t="shared" si="31"/>
        <v>5</v>
      </c>
      <c r="I163" s="40"/>
      <c r="J163" s="64">
        <f t="shared" si="32"/>
        <v>5</v>
      </c>
      <c r="K163" s="46"/>
    </row>
    <row r="164" ht="19.5" customHeight="1">
      <c r="A164" s="46">
        <f t="shared" si="33"/>
        <v>20</v>
      </c>
      <c r="B164" s="37" t="s">
        <v>281</v>
      </c>
      <c r="C164" s="46" t="s">
        <v>106</v>
      </c>
      <c r="D164" s="123"/>
      <c r="E164" s="37"/>
      <c r="F164" s="40"/>
      <c r="G164" s="40"/>
      <c r="H164" s="40">
        <f t="shared" si="31"/>
        <v>0</v>
      </c>
      <c r="I164" s="40"/>
      <c r="J164" s="64">
        <f t="shared" si="32"/>
        <v>0</v>
      </c>
      <c r="K164" s="46"/>
    </row>
    <row r="165" ht="19.5" customHeight="1">
      <c r="A165" s="46">
        <f t="shared" si="33"/>
        <v>21</v>
      </c>
      <c r="B165" s="37" t="s">
        <v>378</v>
      </c>
      <c r="C165" s="46" t="s">
        <v>106</v>
      </c>
      <c r="D165" s="123"/>
      <c r="E165" s="37"/>
      <c r="F165" s="40"/>
      <c r="G165" s="40"/>
      <c r="H165" s="40">
        <f t="shared" si="31"/>
        <v>0</v>
      </c>
      <c r="I165" s="40"/>
      <c r="J165" s="64">
        <f t="shared" si="32"/>
        <v>0</v>
      </c>
      <c r="K165" s="46"/>
    </row>
    <row r="166" ht="19.5" customHeight="1">
      <c r="A166" s="100" t="s">
        <v>1561</v>
      </c>
      <c r="B166" s="49" t="s">
        <v>1562</v>
      </c>
      <c r="C166" s="46" t="s">
        <v>106</v>
      </c>
      <c r="D166" s="125">
        <v>3.0</v>
      </c>
      <c r="E166" s="37">
        <v>1.0</v>
      </c>
      <c r="F166" s="40"/>
      <c r="G166" s="40"/>
      <c r="H166" s="40">
        <f t="shared" si="31"/>
        <v>3</v>
      </c>
      <c r="I166" s="40"/>
      <c r="J166" s="64">
        <f t="shared" si="32"/>
        <v>3</v>
      </c>
      <c r="K166" s="46"/>
    </row>
    <row r="167" ht="19.5" customHeight="1">
      <c r="A167" s="46"/>
      <c r="B167" s="37" t="s">
        <v>285</v>
      </c>
      <c r="C167" s="46" t="s">
        <v>106</v>
      </c>
      <c r="D167" s="123"/>
      <c r="E167" s="37"/>
      <c r="F167" s="40"/>
      <c r="G167" s="40"/>
      <c r="H167" s="40">
        <f t="shared" si="31"/>
        <v>0</v>
      </c>
      <c r="I167" s="40"/>
      <c r="J167" s="64">
        <f t="shared" si="32"/>
        <v>0</v>
      </c>
      <c r="K167" s="79"/>
    </row>
    <row r="168" ht="19.5" customHeight="1">
      <c r="A168" s="46"/>
      <c r="B168" s="37" t="s">
        <v>286</v>
      </c>
      <c r="C168" s="46" t="s">
        <v>106</v>
      </c>
      <c r="D168" s="123"/>
      <c r="E168" s="37"/>
      <c r="F168" s="40"/>
      <c r="G168" s="40"/>
      <c r="H168" s="40">
        <f t="shared" si="31"/>
        <v>0</v>
      </c>
      <c r="I168" s="40"/>
      <c r="J168" s="64">
        <f t="shared" si="32"/>
        <v>0</v>
      </c>
      <c r="K168" s="79"/>
    </row>
    <row r="169" ht="19.5" customHeight="1">
      <c r="A169" s="74" t="s">
        <v>1</v>
      </c>
      <c r="B169" s="74" t="s">
        <v>91</v>
      </c>
      <c r="C169" s="74" t="s">
        <v>92</v>
      </c>
      <c r="D169" s="76" t="s">
        <v>93</v>
      </c>
      <c r="E169" s="50" t="s">
        <v>161</v>
      </c>
      <c r="F169" s="53" t="s">
        <v>121</v>
      </c>
      <c r="G169" s="53" t="s">
        <v>99</v>
      </c>
      <c r="H169" s="53" t="s">
        <v>100</v>
      </c>
      <c r="I169" s="53" t="s">
        <v>101</v>
      </c>
      <c r="J169" s="76" t="s">
        <v>95</v>
      </c>
      <c r="K169" s="74" t="s">
        <v>96</v>
      </c>
    </row>
    <row r="170" ht="19.5" customHeight="1">
      <c r="A170" s="46">
        <v>1.0</v>
      </c>
      <c r="B170" s="37" t="s">
        <v>287</v>
      </c>
      <c r="C170" s="46" t="s">
        <v>108</v>
      </c>
      <c r="D170" s="78">
        <v>0.0</v>
      </c>
      <c r="E170" s="37">
        <v>1.0</v>
      </c>
      <c r="F170" s="78"/>
      <c r="G170" s="40"/>
      <c r="H170" s="40">
        <f t="shared" ref="H170:H210" si="34">E170*D170</f>
        <v>0</v>
      </c>
      <c r="I170" s="42"/>
      <c r="J170" s="64">
        <f t="shared" ref="J170:J210" si="35">H170</f>
        <v>0</v>
      </c>
      <c r="K170" s="46"/>
    </row>
    <row r="171" ht="19.5" customHeight="1">
      <c r="A171" s="46">
        <f t="shared" ref="A171:A210" si="36">A170+1</f>
        <v>2</v>
      </c>
      <c r="B171" s="37" t="s">
        <v>288</v>
      </c>
      <c r="C171" s="46" t="s">
        <v>108</v>
      </c>
      <c r="D171" s="78"/>
      <c r="E171" s="37">
        <v>1.0</v>
      </c>
      <c r="F171" s="78"/>
      <c r="G171" s="40"/>
      <c r="H171" s="40">
        <f t="shared" si="34"/>
        <v>0</v>
      </c>
      <c r="I171" s="42"/>
      <c r="J171" s="64">
        <f t="shared" si="35"/>
        <v>0</v>
      </c>
      <c r="K171" s="46"/>
    </row>
    <row r="172" ht="19.5" customHeight="1">
      <c r="A172" s="46">
        <f t="shared" si="36"/>
        <v>3</v>
      </c>
      <c r="B172" s="37" t="s">
        <v>289</v>
      </c>
      <c r="C172" s="46" t="s">
        <v>108</v>
      </c>
      <c r="D172" s="78"/>
      <c r="E172" s="37">
        <v>1.0</v>
      </c>
      <c r="F172" s="78"/>
      <c r="G172" s="40"/>
      <c r="H172" s="40">
        <f t="shared" si="34"/>
        <v>0</v>
      </c>
      <c r="I172" s="42"/>
      <c r="J172" s="64">
        <f t="shared" si="35"/>
        <v>0</v>
      </c>
      <c r="K172" s="46"/>
    </row>
    <row r="173" ht="19.5" customHeight="1">
      <c r="A173" s="46">
        <f t="shared" si="36"/>
        <v>4</v>
      </c>
      <c r="B173" s="37" t="s">
        <v>263</v>
      </c>
      <c r="C173" s="46" t="s">
        <v>108</v>
      </c>
      <c r="D173" s="78"/>
      <c r="E173" s="37">
        <v>1.0</v>
      </c>
      <c r="F173" s="78"/>
      <c r="G173" s="40"/>
      <c r="H173" s="40">
        <f t="shared" si="34"/>
        <v>0</v>
      </c>
      <c r="I173" s="42"/>
      <c r="J173" s="64">
        <f t="shared" si="35"/>
        <v>0</v>
      </c>
      <c r="K173" s="46"/>
    </row>
    <row r="174" ht="19.5" customHeight="1">
      <c r="A174" s="46">
        <f t="shared" si="36"/>
        <v>5</v>
      </c>
      <c r="B174" s="37" t="s">
        <v>264</v>
      </c>
      <c r="C174" s="46" t="s">
        <v>108</v>
      </c>
      <c r="D174" s="123"/>
      <c r="E174" s="37">
        <v>1.0</v>
      </c>
      <c r="F174" s="40"/>
      <c r="G174" s="40"/>
      <c r="H174" s="40">
        <f t="shared" si="34"/>
        <v>0</v>
      </c>
      <c r="I174" s="40"/>
      <c r="J174" s="64">
        <f t="shared" si="35"/>
        <v>0</v>
      </c>
      <c r="K174" s="46"/>
    </row>
    <row r="175" ht="19.5" customHeight="1">
      <c r="A175" s="46">
        <f t="shared" si="36"/>
        <v>6</v>
      </c>
      <c r="B175" s="37" t="s">
        <v>290</v>
      </c>
      <c r="C175" s="46" t="s">
        <v>108</v>
      </c>
      <c r="D175" s="123">
        <v>24.0</v>
      </c>
      <c r="E175" s="37">
        <v>1.0</v>
      </c>
      <c r="F175" s="40"/>
      <c r="G175" s="40"/>
      <c r="H175" s="40">
        <f t="shared" si="34"/>
        <v>24</v>
      </c>
      <c r="I175" s="40"/>
      <c r="J175" s="64">
        <f t="shared" si="35"/>
        <v>24</v>
      </c>
      <c r="K175" s="46"/>
    </row>
    <row r="176" ht="19.5" customHeight="1">
      <c r="A176" s="46">
        <f t="shared" si="36"/>
        <v>7</v>
      </c>
      <c r="B176" s="37" t="s">
        <v>291</v>
      </c>
      <c r="C176" s="46" t="s">
        <v>108</v>
      </c>
      <c r="D176" s="123">
        <v>24.0</v>
      </c>
      <c r="E176" s="37">
        <v>1.0</v>
      </c>
      <c r="F176" s="40"/>
      <c r="G176" s="40"/>
      <c r="H176" s="40">
        <f t="shared" si="34"/>
        <v>24</v>
      </c>
      <c r="I176" s="40"/>
      <c r="J176" s="64">
        <f t="shared" si="35"/>
        <v>24</v>
      </c>
      <c r="K176" s="46"/>
    </row>
    <row r="177" ht="19.5" customHeight="1">
      <c r="A177" s="46">
        <f t="shared" si="36"/>
        <v>8</v>
      </c>
      <c r="B177" s="37" t="s">
        <v>292</v>
      </c>
      <c r="C177" s="46" t="s">
        <v>106</v>
      </c>
      <c r="D177" s="123">
        <v>0.0</v>
      </c>
      <c r="E177" s="37">
        <v>1.0</v>
      </c>
      <c r="F177" s="40"/>
      <c r="G177" s="40"/>
      <c r="H177" s="40">
        <f t="shared" si="34"/>
        <v>0</v>
      </c>
      <c r="I177" s="40"/>
      <c r="J177" s="64">
        <f t="shared" si="35"/>
        <v>0</v>
      </c>
      <c r="K177" s="46"/>
    </row>
    <row r="178" ht="19.5" customHeight="1">
      <c r="A178" s="46">
        <f t="shared" si="36"/>
        <v>9</v>
      </c>
      <c r="B178" s="37" t="s">
        <v>293</v>
      </c>
      <c r="C178" s="46" t="s">
        <v>106</v>
      </c>
      <c r="D178" s="123"/>
      <c r="E178" s="37">
        <v>1.0</v>
      </c>
      <c r="F178" s="40"/>
      <c r="G178" s="40"/>
      <c r="H178" s="40">
        <f t="shared" si="34"/>
        <v>0</v>
      </c>
      <c r="I178" s="40"/>
      <c r="J178" s="64">
        <f t="shared" si="35"/>
        <v>0</v>
      </c>
      <c r="K178" s="46"/>
    </row>
    <row r="179" ht="19.5" customHeight="1">
      <c r="A179" s="46">
        <f t="shared" si="36"/>
        <v>10</v>
      </c>
      <c r="B179" s="37" t="s">
        <v>294</v>
      </c>
      <c r="C179" s="46" t="s">
        <v>106</v>
      </c>
      <c r="D179" s="123"/>
      <c r="E179" s="37">
        <v>1.0</v>
      </c>
      <c r="F179" s="40"/>
      <c r="G179" s="40"/>
      <c r="H179" s="40">
        <f t="shared" si="34"/>
        <v>0</v>
      </c>
      <c r="I179" s="40"/>
      <c r="J179" s="64">
        <f t="shared" si="35"/>
        <v>0</v>
      </c>
      <c r="K179" s="46"/>
    </row>
    <row r="180" ht="19.5" customHeight="1">
      <c r="A180" s="46">
        <f t="shared" si="36"/>
        <v>11</v>
      </c>
      <c r="B180" s="37" t="s">
        <v>295</v>
      </c>
      <c r="C180" s="46" t="s">
        <v>106</v>
      </c>
      <c r="D180" s="123"/>
      <c r="E180" s="37">
        <v>1.0</v>
      </c>
      <c r="F180" s="40"/>
      <c r="G180" s="40"/>
      <c r="H180" s="40">
        <f t="shared" si="34"/>
        <v>0</v>
      </c>
      <c r="I180" s="40"/>
      <c r="J180" s="64">
        <f t="shared" si="35"/>
        <v>0</v>
      </c>
      <c r="K180" s="46"/>
    </row>
    <row r="181" ht="19.5" customHeight="1">
      <c r="A181" s="46">
        <f t="shared" si="36"/>
        <v>12</v>
      </c>
      <c r="B181" s="37" t="s">
        <v>270</v>
      </c>
      <c r="C181" s="46" t="s">
        <v>106</v>
      </c>
      <c r="D181" s="123"/>
      <c r="E181" s="37">
        <v>1.0</v>
      </c>
      <c r="F181" s="40"/>
      <c r="G181" s="40"/>
      <c r="H181" s="40">
        <f t="shared" si="34"/>
        <v>0</v>
      </c>
      <c r="I181" s="40"/>
      <c r="J181" s="64">
        <f t="shared" si="35"/>
        <v>0</v>
      </c>
      <c r="K181" s="46"/>
    </row>
    <row r="182" ht="19.5" customHeight="1">
      <c r="A182" s="46">
        <f t="shared" si="36"/>
        <v>13</v>
      </c>
      <c r="B182" s="37" t="s">
        <v>296</v>
      </c>
      <c r="C182" s="46" t="s">
        <v>106</v>
      </c>
      <c r="D182" s="123">
        <v>2.0</v>
      </c>
      <c r="E182" s="37">
        <v>2.0</v>
      </c>
      <c r="F182" s="40"/>
      <c r="G182" s="40"/>
      <c r="H182" s="40">
        <f t="shared" si="34"/>
        <v>4</v>
      </c>
      <c r="I182" s="40"/>
      <c r="J182" s="64">
        <f t="shared" si="35"/>
        <v>4</v>
      </c>
      <c r="K182" s="46"/>
    </row>
    <row r="183" ht="19.5" customHeight="1">
      <c r="A183" s="46">
        <f t="shared" si="36"/>
        <v>14</v>
      </c>
      <c r="B183" s="37" t="s">
        <v>297</v>
      </c>
      <c r="C183" s="46" t="s">
        <v>106</v>
      </c>
      <c r="D183" s="123">
        <v>4.0</v>
      </c>
      <c r="E183" s="37">
        <v>2.0</v>
      </c>
      <c r="F183" s="40"/>
      <c r="G183" s="40"/>
      <c r="H183" s="40">
        <f t="shared" si="34"/>
        <v>8</v>
      </c>
      <c r="I183" s="40"/>
      <c r="J183" s="64">
        <f t="shared" si="35"/>
        <v>8</v>
      </c>
      <c r="K183" s="46"/>
    </row>
    <row r="184" ht="19.5" customHeight="1">
      <c r="A184" s="46">
        <f t="shared" si="36"/>
        <v>15</v>
      </c>
      <c r="B184" s="37" t="s">
        <v>298</v>
      </c>
      <c r="C184" s="46" t="s">
        <v>106</v>
      </c>
      <c r="D184" s="123"/>
      <c r="E184" s="37">
        <v>1.0</v>
      </c>
      <c r="F184" s="40"/>
      <c r="G184" s="40"/>
      <c r="H184" s="40">
        <f t="shared" si="34"/>
        <v>0</v>
      </c>
      <c r="I184" s="40"/>
      <c r="J184" s="64">
        <f t="shared" si="35"/>
        <v>0</v>
      </c>
      <c r="K184" s="46"/>
    </row>
    <row r="185" ht="19.5" customHeight="1">
      <c r="A185" s="46">
        <f t="shared" si="36"/>
        <v>16</v>
      </c>
      <c r="B185" s="37" t="s">
        <v>299</v>
      </c>
      <c r="C185" s="46" t="s">
        <v>106</v>
      </c>
      <c r="D185" s="123"/>
      <c r="E185" s="37">
        <v>1.0</v>
      </c>
      <c r="F185" s="40"/>
      <c r="G185" s="40"/>
      <c r="H185" s="40">
        <f t="shared" si="34"/>
        <v>0</v>
      </c>
      <c r="I185" s="40"/>
      <c r="J185" s="64">
        <f t="shared" si="35"/>
        <v>0</v>
      </c>
      <c r="K185" s="46"/>
    </row>
    <row r="186" ht="19.5" customHeight="1">
      <c r="A186" s="46">
        <f t="shared" si="36"/>
        <v>17</v>
      </c>
      <c r="B186" s="37" t="s">
        <v>300</v>
      </c>
      <c r="C186" s="46" t="s">
        <v>106</v>
      </c>
      <c r="D186" s="123"/>
      <c r="E186" s="37">
        <v>1.0</v>
      </c>
      <c r="F186" s="40"/>
      <c r="G186" s="40"/>
      <c r="H186" s="40">
        <f t="shared" si="34"/>
        <v>0</v>
      </c>
      <c r="I186" s="40"/>
      <c r="J186" s="64">
        <f t="shared" si="35"/>
        <v>0</v>
      </c>
      <c r="K186" s="46"/>
    </row>
    <row r="187" ht="19.5" customHeight="1">
      <c r="A187" s="46">
        <f t="shared" si="36"/>
        <v>18</v>
      </c>
      <c r="B187" s="37" t="s">
        <v>301</v>
      </c>
      <c r="C187" s="46" t="s">
        <v>106</v>
      </c>
      <c r="D187" s="123"/>
      <c r="E187" s="37">
        <v>1.0</v>
      </c>
      <c r="F187" s="40"/>
      <c r="G187" s="40"/>
      <c r="H187" s="40">
        <f t="shared" si="34"/>
        <v>0</v>
      </c>
      <c r="I187" s="40"/>
      <c r="J187" s="64">
        <f t="shared" si="35"/>
        <v>0</v>
      </c>
      <c r="K187" s="46"/>
    </row>
    <row r="188" ht="19.5" customHeight="1">
      <c r="A188" s="46">
        <f t="shared" si="36"/>
        <v>19</v>
      </c>
      <c r="B188" s="37" t="s">
        <v>302</v>
      </c>
      <c r="C188" s="46" t="s">
        <v>106</v>
      </c>
      <c r="D188" s="123"/>
      <c r="E188" s="37">
        <v>1.0</v>
      </c>
      <c r="F188" s="40"/>
      <c r="G188" s="40"/>
      <c r="H188" s="40">
        <f t="shared" si="34"/>
        <v>0</v>
      </c>
      <c r="I188" s="40"/>
      <c r="J188" s="64">
        <f t="shared" si="35"/>
        <v>0</v>
      </c>
      <c r="K188" s="46"/>
    </row>
    <row r="189" ht="19.5" customHeight="1">
      <c r="A189" s="46">
        <f t="shared" si="36"/>
        <v>20</v>
      </c>
      <c r="B189" s="37" t="s">
        <v>303</v>
      </c>
      <c r="C189" s="46" t="s">
        <v>106</v>
      </c>
      <c r="D189" s="123">
        <v>1.0</v>
      </c>
      <c r="E189" s="37">
        <v>1.0</v>
      </c>
      <c r="F189" s="40"/>
      <c r="G189" s="40"/>
      <c r="H189" s="40">
        <f t="shared" si="34"/>
        <v>1</v>
      </c>
      <c r="I189" s="40"/>
      <c r="J189" s="64">
        <f t="shared" si="35"/>
        <v>1</v>
      </c>
      <c r="K189" s="46"/>
    </row>
    <row r="190" ht="19.5" customHeight="1">
      <c r="A190" s="46">
        <f t="shared" si="36"/>
        <v>21</v>
      </c>
      <c r="B190" s="37" t="s">
        <v>304</v>
      </c>
      <c r="C190" s="46" t="s">
        <v>106</v>
      </c>
      <c r="D190" s="123">
        <v>4.0</v>
      </c>
      <c r="E190" s="37">
        <v>1.0</v>
      </c>
      <c r="F190" s="40"/>
      <c r="G190" s="40"/>
      <c r="H190" s="40">
        <f t="shared" si="34"/>
        <v>4</v>
      </c>
      <c r="I190" s="40"/>
      <c r="J190" s="64">
        <f t="shared" si="35"/>
        <v>4</v>
      </c>
      <c r="K190" s="46"/>
    </row>
    <row r="191" ht="19.5" customHeight="1">
      <c r="A191" s="46">
        <f t="shared" si="36"/>
        <v>22</v>
      </c>
      <c r="B191" s="37" t="s">
        <v>305</v>
      </c>
      <c r="C191" s="46" t="s">
        <v>106</v>
      </c>
      <c r="D191" s="123">
        <v>0.0</v>
      </c>
      <c r="E191" s="37">
        <v>1.0</v>
      </c>
      <c r="F191" s="40"/>
      <c r="G191" s="40"/>
      <c r="H191" s="40">
        <f t="shared" si="34"/>
        <v>0</v>
      </c>
      <c r="I191" s="40"/>
      <c r="J191" s="64">
        <f t="shared" si="35"/>
        <v>0</v>
      </c>
      <c r="K191" s="46"/>
    </row>
    <row r="192" ht="19.5" customHeight="1">
      <c r="A192" s="46">
        <f t="shared" si="36"/>
        <v>23</v>
      </c>
      <c r="B192" s="37" t="s">
        <v>306</v>
      </c>
      <c r="C192" s="46" t="s">
        <v>106</v>
      </c>
      <c r="D192" s="123"/>
      <c r="E192" s="37">
        <v>1.0</v>
      </c>
      <c r="F192" s="40"/>
      <c r="G192" s="40"/>
      <c r="H192" s="40">
        <f t="shared" si="34"/>
        <v>0</v>
      </c>
      <c r="I192" s="40"/>
      <c r="J192" s="64">
        <f t="shared" si="35"/>
        <v>0</v>
      </c>
      <c r="K192" s="46"/>
    </row>
    <row r="193" ht="19.5" customHeight="1">
      <c r="A193" s="46">
        <f t="shared" si="36"/>
        <v>24</v>
      </c>
      <c r="B193" s="37" t="s">
        <v>307</v>
      </c>
      <c r="C193" s="46" t="s">
        <v>106</v>
      </c>
      <c r="D193" s="123"/>
      <c r="E193" s="37">
        <v>1.0</v>
      </c>
      <c r="F193" s="40"/>
      <c r="G193" s="40"/>
      <c r="H193" s="40">
        <f t="shared" si="34"/>
        <v>0</v>
      </c>
      <c r="I193" s="40"/>
      <c r="J193" s="64">
        <f t="shared" si="35"/>
        <v>0</v>
      </c>
      <c r="K193" s="46"/>
    </row>
    <row r="194" ht="19.5" customHeight="1">
      <c r="A194" s="46">
        <f t="shared" si="36"/>
        <v>25</v>
      </c>
      <c r="B194" s="37" t="s">
        <v>308</v>
      </c>
      <c r="C194" s="46" t="s">
        <v>106</v>
      </c>
      <c r="D194" s="123"/>
      <c r="E194" s="37">
        <v>1.0</v>
      </c>
      <c r="F194" s="40"/>
      <c r="G194" s="40"/>
      <c r="H194" s="40">
        <f t="shared" si="34"/>
        <v>0</v>
      </c>
      <c r="I194" s="40"/>
      <c r="J194" s="64">
        <f t="shared" si="35"/>
        <v>0</v>
      </c>
      <c r="K194" s="46"/>
    </row>
    <row r="195" ht="19.5" customHeight="1">
      <c r="A195" s="46">
        <f t="shared" si="36"/>
        <v>26</v>
      </c>
      <c r="B195" s="37" t="s">
        <v>309</v>
      </c>
      <c r="C195" s="46" t="s">
        <v>106</v>
      </c>
      <c r="D195" s="123"/>
      <c r="E195" s="37">
        <v>1.0</v>
      </c>
      <c r="F195" s="40"/>
      <c r="G195" s="40"/>
      <c r="H195" s="40">
        <f t="shared" si="34"/>
        <v>0</v>
      </c>
      <c r="I195" s="40"/>
      <c r="J195" s="64">
        <f t="shared" si="35"/>
        <v>0</v>
      </c>
      <c r="K195" s="46"/>
    </row>
    <row r="196" ht="19.5" customHeight="1">
      <c r="A196" s="46">
        <f t="shared" si="36"/>
        <v>27</v>
      </c>
      <c r="B196" s="37" t="s">
        <v>310</v>
      </c>
      <c r="C196" s="46" t="s">
        <v>106</v>
      </c>
      <c r="D196" s="123">
        <v>2.0</v>
      </c>
      <c r="E196" s="37">
        <v>1.0</v>
      </c>
      <c r="F196" s="40"/>
      <c r="G196" s="40"/>
      <c r="H196" s="40">
        <f t="shared" si="34"/>
        <v>2</v>
      </c>
      <c r="I196" s="40"/>
      <c r="J196" s="64">
        <f t="shared" si="35"/>
        <v>2</v>
      </c>
      <c r="K196" s="46"/>
    </row>
    <row r="197" ht="19.5" customHeight="1">
      <c r="A197" s="46">
        <f t="shared" si="36"/>
        <v>28</v>
      </c>
      <c r="B197" s="37" t="s">
        <v>311</v>
      </c>
      <c r="C197" s="46" t="s">
        <v>106</v>
      </c>
      <c r="D197" s="123">
        <v>2.0</v>
      </c>
      <c r="E197" s="37">
        <v>1.0</v>
      </c>
      <c r="F197" s="40"/>
      <c r="G197" s="40"/>
      <c r="H197" s="40">
        <f t="shared" si="34"/>
        <v>2</v>
      </c>
      <c r="I197" s="40"/>
      <c r="J197" s="64">
        <f t="shared" si="35"/>
        <v>2</v>
      </c>
      <c r="K197" s="46"/>
    </row>
    <row r="198" ht="19.5" customHeight="1">
      <c r="A198" s="46">
        <f t="shared" si="36"/>
        <v>29</v>
      </c>
      <c r="B198" s="37" t="s">
        <v>312</v>
      </c>
      <c r="C198" s="46" t="s">
        <v>106</v>
      </c>
      <c r="D198" s="123">
        <v>2.0</v>
      </c>
      <c r="E198" s="37">
        <v>1.0</v>
      </c>
      <c r="F198" s="40"/>
      <c r="G198" s="40"/>
      <c r="H198" s="40">
        <f t="shared" si="34"/>
        <v>2</v>
      </c>
      <c r="I198" s="40"/>
      <c r="J198" s="64">
        <f t="shared" si="35"/>
        <v>2</v>
      </c>
      <c r="K198" s="46"/>
    </row>
    <row r="199" ht="19.5" customHeight="1">
      <c r="A199" s="46">
        <f t="shared" si="36"/>
        <v>30</v>
      </c>
      <c r="B199" s="37" t="s">
        <v>313</v>
      </c>
      <c r="C199" s="46" t="s">
        <v>106</v>
      </c>
      <c r="D199" s="123">
        <v>3.0</v>
      </c>
      <c r="E199" s="37">
        <v>1.0</v>
      </c>
      <c r="F199" s="40"/>
      <c r="G199" s="40"/>
      <c r="H199" s="40">
        <f t="shared" si="34"/>
        <v>3</v>
      </c>
      <c r="I199" s="40"/>
      <c r="J199" s="64">
        <f t="shared" si="35"/>
        <v>3</v>
      </c>
      <c r="K199" s="46"/>
    </row>
    <row r="200" ht="19.5" customHeight="1">
      <c r="A200" s="46">
        <f t="shared" si="36"/>
        <v>31</v>
      </c>
      <c r="B200" s="37" t="s">
        <v>314</v>
      </c>
      <c r="C200" s="46" t="s">
        <v>106</v>
      </c>
      <c r="D200" s="123">
        <v>1.0</v>
      </c>
      <c r="E200" s="37">
        <v>1.0</v>
      </c>
      <c r="F200" s="40"/>
      <c r="G200" s="40"/>
      <c r="H200" s="40">
        <f t="shared" si="34"/>
        <v>1</v>
      </c>
      <c r="I200" s="40"/>
      <c r="J200" s="64">
        <f t="shared" si="35"/>
        <v>1</v>
      </c>
      <c r="K200" s="46"/>
    </row>
    <row r="201" ht="19.5" customHeight="1">
      <c r="A201" s="46">
        <f t="shared" si="36"/>
        <v>32</v>
      </c>
      <c r="B201" s="37" t="s">
        <v>315</v>
      </c>
      <c r="C201" s="46" t="s">
        <v>106</v>
      </c>
      <c r="D201" s="123">
        <v>1.0</v>
      </c>
      <c r="E201" s="37">
        <v>1.0</v>
      </c>
      <c r="F201" s="40"/>
      <c r="G201" s="40"/>
      <c r="H201" s="40">
        <f t="shared" si="34"/>
        <v>1</v>
      </c>
      <c r="I201" s="40"/>
      <c r="J201" s="64">
        <f t="shared" si="35"/>
        <v>1</v>
      </c>
      <c r="K201" s="46"/>
    </row>
    <row r="202" ht="19.5" customHeight="1">
      <c r="A202" s="46">
        <f t="shared" si="36"/>
        <v>33</v>
      </c>
      <c r="B202" s="37" t="s">
        <v>316</v>
      </c>
      <c r="C202" s="46" t="s">
        <v>106</v>
      </c>
      <c r="D202" s="123"/>
      <c r="E202" s="37">
        <v>1.0</v>
      </c>
      <c r="F202" s="40"/>
      <c r="G202" s="40"/>
      <c r="H202" s="40">
        <f t="shared" si="34"/>
        <v>0</v>
      </c>
      <c r="I202" s="40"/>
      <c r="J202" s="64">
        <f t="shared" si="35"/>
        <v>0</v>
      </c>
      <c r="K202" s="46"/>
    </row>
    <row r="203" ht="19.5" customHeight="1">
      <c r="A203" s="46">
        <f t="shared" si="36"/>
        <v>34</v>
      </c>
      <c r="B203" s="37" t="s">
        <v>317</v>
      </c>
      <c r="C203" s="46" t="s">
        <v>106</v>
      </c>
      <c r="D203" s="123">
        <v>1.0</v>
      </c>
      <c r="E203" s="37">
        <v>1.0</v>
      </c>
      <c r="F203" s="40"/>
      <c r="G203" s="40"/>
      <c r="H203" s="40">
        <f t="shared" si="34"/>
        <v>1</v>
      </c>
      <c r="I203" s="40"/>
      <c r="J203" s="64">
        <f t="shared" si="35"/>
        <v>1</v>
      </c>
      <c r="K203" s="46"/>
    </row>
    <row r="204" ht="19.5" customHeight="1">
      <c r="A204" s="46">
        <f t="shared" si="36"/>
        <v>35</v>
      </c>
      <c r="B204" s="37" t="s">
        <v>1563</v>
      </c>
      <c r="C204" s="46" t="s">
        <v>106</v>
      </c>
      <c r="D204" s="123">
        <v>1.0</v>
      </c>
      <c r="E204" s="37">
        <v>1.0</v>
      </c>
      <c r="F204" s="40"/>
      <c r="G204" s="40"/>
      <c r="H204" s="40">
        <f t="shared" si="34"/>
        <v>1</v>
      </c>
      <c r="I204" s="40"/>
      <c r="J204" s="64">
        <f t="shared" si="35"/>
        <v>1</v>
      </c>
      <c r="K204" s="46"/>
    </row>
    <row r="205" ht="19.5" customHeight="1">
      <c r="A205" s="46">
        <f t="shared" si="36"/>
        <v>36</v>
      </c>
      <c r="B205" s="37" t="s">
        <v>319</v>
      </c>
      <c r="C205" s="46" t="s">
        <v>106</v>
      </c>
      <c r="D205" s="123">
        <v>5.0</v>
      </c>
      <c r="E205" s="37">
        <v>1.0</v>
      </c>
      <c r="F205" s="40"/>
      <c r="G205" s="40"/>
      <c r="H205" s="40">
        <f t="shared" si="34"/>
        <v>5</v>
      </c>
      <c r="I205" s="40"/>
      <c r="J205" s="64">
        <f t="shared" si="35"/>
        <v>5</v>
      </c>
      <c r="K205" s="46"/>
    </row>
    <row r="206" ht="19.5" customHeight="1">
      <c r="A206" s="46">
        <f t="shared" si="36"/>
        <v>37</v>
      </c>
      <c r="B206" s="37" t="s">
        <v>320</v>
      </c>
      <c r="C206" s="46" t="s">
        <v>106</v>
      </c>
      <c r="D206" s="123">
        <v>5.0</v>
      </c>
      <c r="E206" s="37">
        <v>1.0</v>
      </c>
      <c r="F206" s="40"/>
      <c r="G206" s="40"/>
      <c r="H206" s="40">
        <f t="shared" si="34"/>
        <v>5</v>
      </c>
      <c r="I206" s="40"/>
      <c r="J206" s="64">
        <f t="shared" si="35"/>
        <v>5</v>
      </c>
      <c r="K206" s="46"/>
    </row>
    <row r="207" ht="19.5" customHeight="1">
      <c r="A207" s="46">
        <f t="shared" si="36"/>
        <v>38</v>
      </c>
      <c r="B207" s="37" t="s">
        <v>321</v>
      </c>
      <c r="C207" s="46" t="s">
        <v>106</v>
      </c>
      <c r="D207" s="123"/>
      <c r="E207" s="37">
        <v>1.0</v>
      </c>
      <c r="F207" s="40"/>
      <c r="G207" s="40"/>
      <c r="H207" s="40">
        <f t="shared" si="34"/>
        <v>0</v>
      </c>
      <c r="I207" s="40"/>
      <c r="J207" s="64">
        <f t="shared" si="35"/>
        <v>0</v>
      </c>
      <c r="K207" s="46"/>
    </row>
    <row r="208" ht="19.5" customHeight="1">
      <c r="A208" s="46">
        <f t="shared" si="36"/>
        <v>39</v>
      </c>
      <c r="B208" s="37" t="s">
        <v>322</v>
      </c>
      <c r="C208" s="46" t="s">
        <v>106</v>
      </c>
      <c r="D208" s="123"/>
      <c r="E208" s="37">
        <v>1.0</v>
      </c>
      <c r="F208" s="40"/>
      <c r="G208" s="40"/>
      <c r="H208" s="40">
        <f t="shared" si="34"/>
        <v>0</v>
      </c>
      <c r="I208" s="40"/>
      <c r="J208" s="64">
        <f t="shared" si="35"/>
        <v>0</v>
      </c>
      <c r="K208" s="46"/>
    </row>
    <row r="209" ht="19.5" customHeight="1">
      <c r="A209" s="46">
        <f t="shared" si="36"/>
        <v>40</v>
      </c>
      <c r="B209" s="37" t="s">
        <v>323</v>
      </c>
      <c r="C209" s="46" t="s">
        <v>108</v>
      </c>
      <c r="D209" s="123">
        <v>10.0</v>
      </c>
      <c r="E209" s="37">
        <v>1.0</v>
      </c>
      <c r="F209" s="40"/>
      <c r="G209" s="40"/>
      <c r="H209" s="40">
        <f t="shared" si="34"/>
        <v>10</v>
      </c>
      <c r="I209" s="40"/>
      <c r="J209" s="64">
        <f t="shared" si="35"/>
        <v>10</v>
      </c>
      <c r="K209" s="46"/>
    </row>
    <row r="210" ht="19.5" customHeight="1">
      <c r="A210" s="46">
        <f t="shared" si="36"/>
        <v>41</v>
      </c>
      <c r="B210" s="37" t="s">
        <v>324</v>
      </c>
      <c r="C210" s="46" t="s">
        <v>325</v>
      </c>
      <c r="D210" s="123">
        <v>1.0</v>
      </c>
      <c r="E210" s="37">
        <v>1.0</v>
      </c>
      <c r="F210" s="40"/>
      <c r="G210" s="40"/>
      <c r="H210" s="40">
        <f t="shared" si="34"/>
        <v>1</v>
      </c>
      <c r="I210" s="40"/>
      <c r="J210" s="64">
        <f t="shared" si="35"/>
        <v>1</v>
      </c>
      <c r="K210" s="46"/>
    </row>
    <row r="211" ht="19.5" customHeight="1">
      <c r="A211" s="12"/>
      <c r="C211" s="12"/>
      <c r="D211" s="87"/>
      <c r="F211" s="14"/>
      <c r="G211" s="14"/>
      <c r="H211" s="14"/>
      <c r="I211" s="14"/>
      <c r="J211" s="14"/>
      <c r="K211" s="12"/>
    </row>
    <row r="212" ht="19.5" customHeight="1">
      <c r="A212" s="74" t="s">
        <v>1</v>
      </c>
      <c r="B212" s="74" t="s">
        <v>91</v>
      </c>
      <c r="C212" s="74" t="s">
        <v>92</v>
      </c>
      <c r="D212" s="76" t="s">
        <v>93</v>
      </c>
      <c r="E212" s="50" t="s">
        <v>161</v>
      </c>
      <c r="F212" s="53" t="s">
        <v>121</v>
      </c>
      <c r="G212" s="53" t="s">
        <v>99</v>
      </c>
      <c r="H212" s="53" t="s">
        <v>100</v>
      </c>
      <c r="I212" s="53" t="s">
        <v>101</v>
      </c>
      <c r="J212" s="76" t="s">
        <v>95</v>
      </c>
      <c r="K212" s="74" t="s">
        <v>96</v>
      </c>
    </row>
    <row r="213" ht="19.5" customHeight="1">
      <c r="A213" s="46">
        <v>1.0</v>
      </c>
      <c r="B213" s="37" t="s">
        <v>326</v>
      </c>
      <c r="C213" s="46" t="s">
        <v>106</v>
      </c>
      <c r="D213" s="78"/>
      <c r="E213" s="37"/>
      <c r="F213" s="78"/>
      <c r="G213" s="40"/>
      <c r="H213" s="40">
        <f t="shared" ref="H213:H216" si="37">E213*D213</f>
        <v>0</v>
      </c>
      <c r="I213" s="42"/>
      <c r="J213" s="43">
        <f t="shared" ref="J213:J216" si="38">H213</f>
        <v>0</v>
      </c>
      <c r="K213" s="46"/>
    </row>
    <row r="214" ht="19.5" customHeight="1">
      <c r="A214" s="46">
        <v>2.0</v>
      </c>
      <c r="B214" s="37" t="s">
        <v>327</v>
      </c>
      <c r="C214" s="46" t="s">
        <v>106</v>
      </c>
      <c r="D214" s="125">
        <v>1.0</v>
      </c>
      <c r="E214" s="49">
        <v>1.0</v>
      </c>
      <c r="F214" s="40"/>
      <c r="G214" s="40"/>
      <c r="H214" s="40">
        <f t="shared" si="37"/>
        <v>1</v>
      </c>
      <c r="I214" s="40"/>
      <c r="J214" s="43">
        <f t="shared" si="38"/>
        <v>1</v>
      </c>
      <c r="K214" s="46"/>
    </row>
    <row r="215" ht="19.5" customHeight="1">
      <c r="A215" s="46">
        <v>3.0</v>
      </c>
      <c r="B215" s="37" t="s">
        <v>379</v>
      </c>
      <c r="C215" s="46" t="s">
        <v>106</v>
      </c>
      <c r="D215" s="125">
        <v>1.0</v>
      </c>
      <c r="E215" s="49">
        <v>1.0</v>
      </c>
      <c r="F215" s="40"/>
      <c r="G215" s="40"/>
      <c r="H215" s="40">
        <f t="shared" si="37"/>
        <v>1</v>
      </c>
      <c r="I215" s="40"/>
      <c r="J215" s="43">
        <f t="shared" si="38"/>
        <v>1</v>
      </c>
      <c r="K215" s="46"/>
    </row>
    <row r="216" ht="19.5" customHeight="1">
      <c r="A216" s="46">
        <v>4.0</v>
      </c>
      <c r="B216" s="37" t="s">
        <v>330</v>
      </c>
      <c r="C216" s="46" t="s">
        <v>103</v>
      </c>
      <c r="D216" s="123"/>
      <c r="E216" s="37"/>
      <c r="F216" s="40"/>
      <c r="G216" s="40"/>
      <c r="H216" s="40">
        <f t="shared" si="37"/>
        <v>0</v>
      </c>
      <c r="I216" s="40"/>
      <c r="J216" s="43">
        <f t="shared" si="38"/>
        <v>0</v>
      </c>
      <c r="K216" s="46"/>
    </row>
    <row r="217" ht="19.5" customHeight="1">
      <c r="A217" s="12"/>
      <c r="C217" s="12"/>
      <c r="D217" s="87"/>
      <c r="F217" s="14"/>
      <c r="G217" s="14"/>
      <c r="H217" s="14"/>
      <c r="I217" s="14"/>
      <c r="J217" s="14"/>
      <c r="K217" s="12"/>
    </row>
    <row r="218" ht="19.5" customHeight="1">
      <c r="A218" s="12"/>
      <c r="C218" s="12"/>
      <c r="D218" s="87"/>
      <c r="F218" s="14"/>
      <c r="G218" s="14"/>
      <c r="H218" s="14"/>
      <c r="I218" s="14"/>
      <c r="J218" s="14"/>
      <c r="K218" s="12"/>
    </row>
    <row r="219" ht="19.5" customHeight="1">
      <c r="A219" s="12"/>
      <c r="C219" s="12"/>
      <c r="D219" s="87"/>
      <c r="F219" s="14"/>
      <c r="G219" s="14"/>
      <c r="H219" s="14"/>
      <c r="I219" s="14"/>
      <c r="J219" s="14"/>
      <c r="K219" s="12"/>
    </row>
    <row r="220" ht="19.5" customHeight="1">
      <c r="A220" s="12"/>
      <c r="C220" s="12"/>
      <c r="D220" s="87"/>
      <c r="F220" s="14"/>
      <c r="G220" s="14"/>
      <c r="H220" s="14"/>
      <c r="I220" s="14"/>
      <c r="J220" s="14"/>
      <c r="K220" s="12"/>
    </row>
    <row r="221" ht="19.5" customHeight="1">
      <c r="A221" s="12"/>
      <c r="C221" s="12"/>
      <c r="D221" s="87"/>
      <c r="F221" s="14"/>
      <c r="G221" s="14"/>
      <c r="H221" s="14"/>
      <c r="I221" s="14"/>
      <c r="J221" s="14"/>
      <c r="K221" s="12"/>
    </row>
    <row r="222" ht="19.5" customHeight="1">
      <c r="A222" s="12"/>
      <c r="C222" s="12"/>
      <c r="D222" s="87"/>
      <c r="F222" s="14"/>
      <c r="G222" s="14"/>
      <c r="H222" s="14"/>
      <c r="I222" s="14"/>
      <c r="J222" s="14"/>
      <c r="K222" s="12"/>
    </row>
    <row r="223" ht="19.5" customHeight="1">
      <c r="A223" s="12"/>
      <c r="C223" s="12"/>
      <c r="D223" s="87"/>
      <c r="F223" s="14"/>
      <c r="G223" s="14"/>
      <c r="H223" s="14"/>
      <c r="I223" s="14"/>
      <c r="J223" s="14"/>
      <c r="K223" s="12"/>
    </row>
    <row r="224" ht="19.5" customHeight="1">
      <c r="A224" s="12"/>
      <c r="C224" s="12"/>
      <c r="D224" s="87"/>
      <c r="F224" s="14"/>
      <c r="G224" s="14"/>
      <c r="H224" s="14"/>
      <c r="I224" s="14"/>
      <c r="J224" s="14"/>
      <c r="K224" s="12"/>
    </row>
    <row r="225" ht="19.5" customHeight="1">
      <c r="A225" s="12"/>
      <c r="C225" s="12"/>
      <c r="D225" s="87"/>
      <c r="F225" s="14"/>
      <c r="G225" s="14"/>
      <c r="H225" s="14"/>
      <c r="I225" s="14"/>
      <c r="J225" s="14"/>
      <c r="K225" s="12"/>
    </row>
    <row r="226" ht="19.5" customHeight="1">
      <c r="A226" s="12"/>
      <c r="C226" s="12"/>
      <c r="D226" s="87"/>
      <c r="F226" s="14"/>
      <c r="G226" s="14"/>
      <c r="H226" s="14"/>
      <c r="I226" s="14"/>
      <c r="J226" s="14"/>
      <c r="K226" s="12"/>
    </row>
    <row r="227" ht="19.5" customHeight="1">
      <c r="A227" s="12"/>
      <c r="C227" s="12"/>
      <c r="D227" s="87"/>
      <c r="F227" s="14"/>
      <c r="G227" s="14"/>
      <c r="H227" s="14"/>
      <c r="I227" s="14"/>
      <c r="J227" s="14"/>
      <c r="K227" s="12"/>
    </row>
    <row r="228" ht="19.5" customHeight="1">
      <c r="A228" s="12"/>
      <c r="C228" s="12"/>
      <c r="D228" s="87"/>
      <c r="F228" s="14"/>
      <c r="G228" s="14"/>
      <c r="H228" s="14"/>
      <c r="I228" s="14"/>
      <c r="J228" s="14"/>
      <c r="K228" s="12"/>
    </row>
    <row r="229" ht="19.5" customHeight="1">
      <c r="A229" s="12"/>
      <c r="C229" s="12"/>
      <c r="D229" s="87"/>
      <c r="F229" s="14"/>
      <c r="G229" s="14"/>
      <c r="H229" s="14"/>
      <c r="I229" s="14"/>
      <c r="J229" s="14"/>
      <c r="K229" s="12"/>
    </row>
    <row r="230" ht="19.5" customHeight="1">
      <c r="A230" s="12"/>
      <c r="C230" s="12"/>
      <c r="D230" s="87"/>
      <c r="F230" s="14"/>
      <c r="G230" s="14"/>
      <c r="H230" s="14"/>
      <c r="I230" s="14"/>
      <c r="J230" s="14"/>
      <c r="K230" s="12"/>
    </row>
    <row r="231" ht="19.5" customHeight="1">
      <c r="A231" s="12"/>
      <c r="C231" s="12"/>
      <c r="D231" s="87"/>
      <c r="F231" s="14"/>
      <c r="G231" s="14"/>
      <c r="H231" s="14"/>
      <c r="I231" s="14"/>
      <c r="J231" s="14"/>
      <c r="K231" s="12"/>
    </row>
    <row r="232" ht="19.5" customHeight="1">
      <c r="A232" s="12"/>
      <c r="C232" s="12"/>
      <c r="D232" s="87"/>
      <c r="F232" s="14"/>
      <c r="G232" s="14"/>
      <c r="H232" s="14"/>
      <c r="I232" s="14"/>
      <c r="J232" s="14"/>
      <c r="K232" s="12"/>
    </row>
    <row r="233" ht="19.5" customHeight="1">
      <c r="A233" s="12"/>
      <c r="C233" s="12"/>
      <c r="D233" s="87"/>
      <c r="F233" s="14"/>
      <c r="G233" s="14"/>
      <c r="H233" s="14"/>
      <c r="I233" s="14"/>
      <c r="J233" s="14"/>
      <c r="K233" s="12"/>
    </row>
    <row r="234" ht="19.5" customHeight="1">
      <c r="A234" s="12"/>
      <c r="C234" s="12"/>
      <c r="D234" s="87"/>
      <c r="F234" s="14"/>
      <c r="G234" s="14"/>
      <c r="H234" s="14"/>
      <c r="I234" s="14"/>
      <c r="J234" s="14"/>
      <c r="K234" s="12"/>
    </row>
    <row r="235" ht="19.5" customHeight="1">
      <c r="A235" s="12"/>
      <c r="C235" s="12"/>
      <c r="D235" s="87"/>
      <c r="F235" s="14"/>
      <c r="G235" s="14"/>
      <c r="H235" s="14"/>
      <c r="I235" s="14"/>
      <c r="J235" s="14"/>
      <c r="K235" s="12"/>
    </row>
    <row r="236" ht="19.5" customHeight="1">
      <c r="A236" s="12"/>
      <c r="C236" s="12"/>
      <c r="D236" s="87"/>
      <c r="F236" s="14"/>
      <c r="G236" s="14"/>
      <c r="H236" s="14"/>
      <c r="I236" s="14"/>
      <c r="J236" s="14"/>
      <c r="K236" s="12"/>
    </row>
    <row r="237" ht="19.5" customHeight="1">
      <c r="A237" s="12"/>
      <c r="C237" s="12"/>
      <c r="D237" s="87"/>
      <c r="F237" s="14"/>
      <c r="G237" s="14"/>
      <c r="H237" s="14"/>
      <c r="I237" s="14"/>
      <c r="J237" s="14"/>
      <c r="K237" s="12"/>
    </row>
    <row r="238" ht="19.5" customHeight="1">
      <c r="A238" s="12"/>
      <c r="C238" s="12"/>
      <c r="D238" s="87"/>
      <c r="F238" s="14"/>
      <c r="G238" s="14"/>
      <c r="H238" s="14"/>
      <c r="I238" s="14"/>
      <c r="J238" s="14"/>
      <c r="K238" s="12"/>
    </row>
    <row r="239" ht="19.5" customHeight="1">
      <c r="A239" s="12"/>
      <c r="C239" s="12"/>
      <c r="D239" s="87"/>
      <c r="F239" s="14"/>
      <c r="G239" s="14"/>
      <c r="H239" s="14"/>
      <c r="I239" s="14"/>
      <c r="J239" s="14"/>
      <c r="K239" s="12"/>
    </row>
    <row r="240" ht="19.5" customHeight="1">
      <c r="A240" s="12"/>
      <c r="C240" s="12"/>
      <c r="D240" s="87"/>
      <c r="F240" s="14"/>
      <c r="G240" s="14"/>
      <c r="H240" s="14"/>
      <c r="I240" s="14"/>
      <c r="J240" s="14"/>
      <c r="K240" s="12"/>
    </row>
    <row r="241" ht="19.5" customHeight="1">
      <c r="A241" s="12"/>
      <c r="C241" s="12"/>
      <c r="D241" s="87"/>
      <c r="F241" s="14"/>
      <c r="G241" s="14"/>
      <c r="H241" s="14"/>
      <c r="I241" s="14"/>
      <c r="J241" s="14"/>
      <c r="K241" s="12"/>
    </row>
    <row r="242" ht="19.5" customHeight="1">
      <c r="A242" s="12"/>
      <c r="C242" s="12"/>
      <c r="D242" s="87"/>
      <c r="F242" s="14"/>
      <c r="G242" s="14"/>
      <c r="H242" s="14"/>
      <c r="I242" s="14"/>
      <c r="J242" s="14"/>
      <c r="K242" s="12"/>
    </row>
    <row r="243" ht="19.5" customHeight="1">
      <c r="A243" s="12"/>
      <c r="C243" s="12"/>
      <c r="D243" s="87"/>
      <c r="F243" s="14"/>
      <c r="G243" s="14"/>
      <c r="H243" s="14"/>
      <c r="I243" s="14"/>
      <c r="J243" s="14"/>
      <c r="K243" s="12"/>
    </row>
    <row r="244" ht="19.5" customHeight="1">
      <c r="A244" s="12"/>
      <c r="C244" s="12"/>
      <c r="D244" s="87"/>
      <c r="F244" s="14"/>
      <c r="G244" s="14"/>
      <c r="H244" s="14"/>
      <c r="I244" s="14"/>
      <c r="J244" s="14"/>
      <c r="K244" s="12"/>
    </row>
    <row r="245" ht="19.5" customHeight="1">
      <c r="A245" s="12"/>
      <c r="C245" s="12"/>
      <c r="D245" s="87"/>
      <c r="F245" s="14"/>
      <c r="G245" s="14"/>
      <c r="H245" s="14"/>
      <c r="I245" s="14"/>
      <c r="J245" s="14"/>
      <c r="K245" s="12"/>
    </row>
    <row r="246" ht="19.5" customHeight="1">
      <c r="A246" s="12"/>
      <c r="C246" s="12"/>
      <c r="D246" s="87"/>
      <c r="F246" s="14"/>
      <c r="G246" s="14"/>
      <c r="H246" s="14"/>
      <c r="I246" s="14"/>
      <c r="J246" s="14"/>
      <c r="K246" s="12"/>
    </row>
    <row r="247" ht="19.5" customHeight="1">
      <c r="A247" s="12"/>
      <c r="C247" s="12"/>
      <c r="D247" s="87"/>
      <c r="F247" s="14"/>
      <c r="G247" s="14"/>
      <c r="H247" s="14"/>
      <c r="I247" s="14"/>
      <c r="J247" s="14"/>
      <c r="K247" s="12"/>
    </row>
    <row r="248" ht="19.5" customHeight="1">
      <c r="A248" s="12"/>
      <c r="C248" s="12"/>
      <c r="D248" s="87"/>
      <c r="F248" s="14"/>
      <c r="G248" s="14"/>
      <c r="H248" s="14"/>
      <c r="I248" s="14"/>
      <c r="J248" s="14"/>
      <c r="K248" s="12"/>
    </row>
    <row r="249" ht="19.5" customHeight="1">
      <c r="A249" s="12"/>
      <c r="C249" s="12"/>
      <c r="D249" s="87"/>
      <c r="F249" s="14"/>
      <c r="G249" s="14"/>
      <c r="H249" s="14"/>
      <c r="I249" s="14"/>
      <c r="J249" s="14"/>
      <c r="K249" s="12"/>
    </row>
    <row r="250" ht="19.5" customHeight="1">
      <c r="A250" s="12"/>
      <c r="C250" s="12"/>
      <c r="D250" s="87"/>
      <c r="F250" s="14"/>
      <c r="G250" s="14"/>
      <c r="H250" s="14"/>
      <c r="I250" s="14"/>
      <c r="J250" s="14"/>
      <c r="K250" s="12"/>
    </row>
    <row r="251" ht="19.5" customHeight="1">
      <c r="A251" s="12"/>
      <c r="C251" s="12"/>
      <c r="D251" s="87"/>
      <c r="F251" s="14"/>
      <c r="G251" s="14"/>
      <c r="H251" s="14"/>
      <c r="I251" s="14"/>
      <c r="J251" s="14"/>
      <c r="K251" s="12"/>
    </row>
    <row r="252" ht="19.5" customHeight="1">
      <c r="A252" s="12"/>
      <c r="C252" s="12"/>
      <c r="D252" s="87"/>
      <c r="F252" s="14"/>
      <c r="G252" s="14"/>
      <c r="H252" s="14"/>
      <c r="I252" s="14"/>
      <c r="J252" s="14"/>
      <c r="K252" s="12"/>
    </row>
    <row r="253" ht="19.5" customHeight="1">
      <c r="A253" s="12"/>
      <c r="C253" s="12"/>
      <c r="D253" s="87"/>
      <c r="F253" s="14"/>
      <c r="G253" s="14"/>
      <c r="H253" s="14"/>
      <c r="I253" s="14"/>
      <c r="J253" s="14"/>
      <c r="K253" s="12"/>
    </row>
    <row r="254" ht="19.5" customHeight="1">
      <c r="A254" s="12"/>
      <c r="C254" s="12"/>
      <c r="D254" s="87"/>
      <c r="F254" s="14"/>
      <c r="G254" s="14"/>
      <c r="H254" s="14"/>
      <c r="I254" s="14"/>
      <c r="J254" s="14"/>
      <c r="K254" s="12"/>
    </row>
    <row r="255" ht="19.5" customHeight="1">
      <c r="A255" s="12"/>
      <c r="C255" s="12"/>
      <c r="D255" s="87"/>
      <c r="F255" s="14"/>
      <c r="G255" s="14"/>
      <c r="H255" s="14"/>
      <c r="I255" s="14"/>
      <c r="J255" s="14"/>
      <c r="K255" s="12"/>
    </row>
    <row r="256" ht="19.5" customHeight="1">
      <c r="A256" s="12"/>
      <c r="C256" s="12"/>
      <c r="D256" s="87"/>
      <c r="F256" s="14"/>
      <c r="G256" s="14"/>
      <c r="H256" s="14"/>
      <c r="I256" s="14"/>
      <c r="J256" s="14"/>
      <c r="K256" s="12"/>
    </row>
    <row r="257" ht="19.5" customHeight="1">
      <c r="A257" s="12"/>
      <c r="C257" s="12"/>
      <c r="D257" s="87"/>
      <c r="F257" s="14"/>
      <c r="G257" s="14"/>
      <c r="H257" s="14"/>
      <c r="I257" s="14"/>
      <c r="J257" s="14"/>
      <c r="K257" s="12"/>
    </row>
    <row r="258" ht="19.5" customHeight="1">
      <c r="A258" s="12"/>
      <c r="C258" s="12"/>
      <c r="D258" s="87"/>
      <c r="F258" s="14"/>
      <c r="G258" s="14"/>
      <c r="H258" s="14"/>
      <c r="I258" s="14"/>
      <c r="J258" s="14"/>
      <c r="K258" s="12"/>
    </row>
    <row r="259" ht="19.5" customHeight="1">
      <c r="A259" s="12"/>
      <c r="C259" s="12"/>
      <c r="D259" s="87"/>
      <c r="F259" s="14"/>
      <c r="G259" s="14"/>
      <c r="H259" s="14"/>
      <c r="I259" s="14"/>
      <c r="J259" s="14"/>
      <c r="K259" s="12"/>
    </row>
    <row r="260" ht="19.5" customHeight="1">
      <c r="A260" s="12"/>
      <c r="C260" s="12"/>
      <c r="D260" s="87"/>
      <c r="F260" s="14"/>
      <c r="G260" s="14"/>
      <c r="H260" s="14"/>
      <c r="I260" s="14"/>
      <c r="J260" s="14"/>
      <c r="K260" s="12"/>
    </row>
    <row r="261" ht="19.5" customHeight="1">
      <c r="A261" s="12"/>
      <c r="C261" s="12"/>
      <c r="D261" s="87"/>
      <c r="F261" s="14"/>
      <c r="G261" s="14"/>
      <c r="H261" s="14"/>
      <c r="I261" s="14"/>
      <c r="J261" s="14"/>
      <c r="K261" s="12"/>
    </row>
    <row r="262" ht="19.5" customHeight="1">
      <c r="A262" s="12"/>
      <c r="C262" s="12"/>
      <c r="D262" s="87"/>
      <c r="F262" s="14"/>
      <c r="G262" s="14"/>
      <c r="H262" s="14"/>
      <c r="I262" s="14"/>
      <c r="J262" s="14"/>
      <c r="K262" s="12"/>
    </row>
    <row r="263" ht="19.5" customHeight="1">
      <c r="A263" s="12"/>
      <c r="C263" s="12"/>
      <c r="D263" s="87"/>
      <c r="F263" s="14"/>
      <c r="G263" s="14"/>
      <c r="H263" s="14"/>
      <c r="I263" s="14"/>
      <c r="J263" s="14"/>
      <c r="K263" s="12"/>
    </row>
    <row r="264" ht="19.5" customHeight="1">
      <c r="A264" s="12"/>
      <c r="C264" s="12"/>
      <c r="D264" s="87"/>
      <c r="F264" s="14"/>
      <c r="G264" s="14"/>
      <c r="H264" s="14"/>
      <c r="I264" s="14"/>
      <c r="J264" s="14"/>
      <c r="K264" s="12"/>
    </row>
    <row r="265" ht="19.5" customHeight="1">
      <c r="A265" s="12"/>
      <c r="C265" s="12"/>
      <c r="D265" s="87"/>
      <c r="F265" s="14"/>
      <c r="G265" s="14"/>
      <c r="H265" s="14"/>
      <c r="I265" s="14"/>
      <c r="J265" s="14"/>
      <c r="K265" s="12"/>
    </row>
    <row r="266" ht="19.5" customHeight="1">
      <c r="A266" s="12"/>
      <c r="C266" s="12"/>
      <c r="D266" s="87"/>
      <c r="F266" s="14"/>
      <c r="G266" s="14"/>
      <c r="H266" s="14"/>
      <c r="I266" s="14"/>
      <c r="J266" s="14"/>
      <c r="K266" s="12"/>
    </row>
    <row r="267" ht="19.5" customHeight="1">
      <c r="A267" s="12"/>
      <c r="C267" s="12"/>
      <c r="D267" s="87"/>
      <c r="F267" s="14"/>
      <c r="G267" s="14"/>
      <c r="H267" s="14"/>
      <c r="I267" s="14"/>
      <c r="J267" s="14"/>
      <c r="K267" s="12"/>
    </row>
    <row r="268" ht="19.5" customHeight="1">
      <c r="A268" s="12"/>
      <c r="C268" s="12"/>
      <c r="D268" s="87"/>
      <c r="F268" s="14"/>
      <c r="G268" s="14"/>
      <c r="H268" s="14"/>
      <c r="I268" s="14"/>
      <c r="J268" s="14"/>
      <c r="K268" s="12"/>
    </row>
    <row r="269" ht="19.5" customHeight="1">
      <c r="A269" s="12"/>
      <c r="C269" s="12"/>
      <c r="D269" s="87"/>
      <c r="F269" s="14"/>
      <c r="G269" s="14"/>
      <c r="H269" s="14"/>
      <c r="I269" s="14"/>
      <c r="J269" s="14"/>
      <c r="K269" s="12"/>
    </row>
    <row r="270" ht="19.5" customHeight="1">
      <c r="A270" s="12"/>
      <c r="C270" s="12"/>
      <c r="D270" s="87"/>
      <c r="F270" s="14"/>
      <c r="G270" s="14"/>
      <c r="H270" s="14"/>
      <c r="I270" s="14"/>
      <c r="J270" s="14"/>
      <c r="K270" s="12"/>
    </row>
    <row r="271" ht="19.5" customHeight="1">
      <c r="A271" s="12"/>
      <c r="C271" s="12"/>
      <c r="D271" s="87"/>
      <c r="F271" s="14"/>
      <c r="G271" s="14"/>
      <c r="H271" s="14"/>
      <c r="I271" s="14"/>
      <c r="J271" s="14"/>
      <c r="K271" s="12"/>
    </row>
    <row r="272" ht="19.5" customHeight="1">
      <c r="A272" s="12"/>
      <c r="C272" s="12"/>
      <c r="D272" s="87"/>
      <c r="F272" s="14"/>
      <c r="G272" s="14"/>
      <c r="H272" s="14"/>
      <c r="I272" s="14"/>
      <c r="J272" s="14"/>
      <c r="K272" s="12"/>
    </row>
    <row r="273" ht="19.5" customHeight="1">
      <c r="A273" s="12"/>
      <c r="C273" s="12"/>
      <c r="D273" s="87"/>
      <c r="F273" s="14"/>
      <c r="G273" s="14"/>
      <c r="H273" s="14"/>
      <c r="I273" s="14"/>
      <c r="J273" s="14"/>
      <c r="K273" s="12"/>
    </row>
    <row r="274" ht="19.5" customHeight="1">
      <c r="A274" s="12"/>
      <c r="C274" s="12"/>
      <c r="D274" s="87"/>
      <c r="F274" s="14"/>
      <c r="G274" s="14"/>
      <c r="H274" s="14"/>
      <c r="I274" s="14"/>
      <c r="J274" s="14"/>
      <c r="K274" s="12"/>
    </row>
    <row r="275" ht="19.5" customHeight="1">
      <c r="A275" s="12"/>
      <c r="C275" s="12"/>
      <c r="D275" s="87"/>
      <c r="F275" s="14"/>
      <c r="G275" s="14"/>
      <c r="H275" s="14"/>
      <c r="I275" s="14"/>
      <c r="J275" s="14"/>
      <c r="K275" s="12"/>
    </row>
    <row r="276" ht="19.5" customHeight="1">
      <c r="A276" s="12"/>
      <c r="C276" s="12"/>
      <c r="D276" s="87"/>
      <c r="F276" s="14"/>
      <c r="G276" s="14"/>
      <c r="H276" s="14"/>
      <c r="I276" s="14"/>
      <c r="J276" s="14"/>
      <c r="K276" s="12"/>
    </row>
    <row r="277" ht="19.5" customHeight="1">
      <c r="A277" s="12"/>
      <c r="C277" s="12"/>
      <c r="D277" s="87"/>
      <c r="F277" s="14"/>
      <c r="G277" s="14"/>
      <c r="H277" s="14"/>
      <c r="I277" s="14"/>
      <c r="J277" s="14"/>
      <c r="K277" s="12"/>
    </row>
    <row r="278" ht="19.5" customHeight="1">
      <c r="A278" s="12"/>
      <c r="C278" s="12"/>
      <c r="D278" s="87"/>
      <c r="F278" s="14"/>
      <c r="G278" s="14"/>
      <c r="H278" s="14"/>
      <c r="I278" s="14"/>
      <c r="J278" s="14"/>
      <c r="K278" s="12"/>
    </row>
    <row r="279" ht="19.5" customHeight="1">
      <c r="A279" s="12"/>
      <c r="C279" s="12"/>
      <c r="D279" s="87"/>
      <c r="F279" s="14"/>
      <c r="G279" s="14"/>
      <c r="H279" s="14"/>
      <c r="I279" s="14"/>
      <c r="J279" s="14"/>
      <c r="K279" s="12"/>
    </row>
    <row r="280" ht="19.5" customHeight="1">
      <c r="A280" s="12"/>
      <c r="C280" s="12"/>
      <c r="D280" s="87"/>
      <c r="F280" s="14"/>
      <c r="G280" s="14"/>
      <c r="H280" s="14"/>
      <c r="I280" s="14"/>
      <c r="J280" s="14"/>
      <c r="K280" s="12"/>
    </row>
    <row r="281" ht="19.5" customHeight="1">
      <c r="A281" s="12"/>
      <c r="C281" s="12"/>
      <c r="D281" s="87"/>
      <c r="F281" s="14"/>
      <c r="G281" s="14"/>
      <c r="H281" s="14"/>
      <c r="I281" s="14"/>
      <c r="J281" s="14"/>
      <c r="K281" s="12"/>
    </row>
    <row r="282" ht="19.5" customHeight="1">
      <c r="A282" s="12"/>
      <c r="C282" s="12"/>
      <c r="D282" s="87"/>
      <c r="F282" s="14"/>
      <c r="G282" s="14"/>
      <c r="H282" s="14"/>
      <c r="I282" s="14"/>
      <c r="J282" s="14"/>
      <c r="K282" s="12"/>
    </row>
    <row r="283" ht="19.5" customHeight="1">
      <c r="A283" s="12"/>
      <c r="C283" s="12"/>
      <c r="D283" s="87"/>
      <c r="F283" s="14"/>
      <c r="G283" s="14"/>
      <c r="H283" s="14"/>
      <c r="I283" s="14"/>
      <c r="J283" s="14"/>
      <c r="K283" s="12"/>
    </row>
    <row r="284" ht="19.5" customHeight="1">
      <c r="A284" s="12"/>
      <c r="C284" s="12"/>
      <c r="D284" s="87"/>
      <c r="F284" s="14"/>
      <c r="G284" s="14"/>
      <c r="H284" s="14"/>
      <c r="I284" s="14"/>
      <c r="J284" s="14"/>
      <c r="K284" s="12"/>
    </row>
    <row r="285" ht="19.5" customHeight="1">
      <c r="A285" s="12"/>
      <c r="C285" s="12"/>
      <c r="D285" s="87"/>
      <c r="F285" s="14"/>
      <c r="G285" s="14"/>
      <c r="H285" s="14"/>
      <c r="I285" s="14"/>
      <c r="J285" s="14"/>
      <c r="K285" s="12"/>
    </row>
    <row r="286" ht="19.5" customHeight="1">
      <c r="A286" s="12"/>
      <c r="C286" s="12"/>
      <c r="D286" s="87"/>
      <c r="F286" s="14"/>
      <c r="G286" s="14"/>
      <c r="H286" s="14"/>
      <c r="I286" s="14"/>
      <c r="J286" s="14"/>
      <c r="K286" s="12"/>
    </row>
    <row r="287" ht="19.5" customHeight="1">
      <c r="A287" s="12"/>
      <c r="C287" s="12"/>
      <c r="D287" s="87"/>
      <c r="F287" s="14"/>
      <c r="G287" s="14"/>
      <c r="H287" s="14"/>
      <c r="I287" s="14"/>
      <c r="J287" s="14"/>
      <c r="K287" s="12"/>
    </row>
    <row r="288" ht="19.5" customHeight="1">
      <c r="A288" s="12"/>
      <c r="C288" s="12"/>
      <c r="D288" s="87"/>
      <c r="F288" s="14"/>
      <c r="G288" s="14"/>
      <c r="H288" s="14"/>
      <c r="I288" s="14"/>
      <c r="J288" s="14"/>
      <c r="K288" s="12"/>
    </row>
    <row r="289" ht="19.5" customHeight="1">
      <c r="A289" s="12"/>
      <c r="C289" s="12"/>
      <c r="D289" s="87"/>
      <c r="F289" s="14"/>
      <c r="G289" s="14"/>
      <c r="H289" s="14"/>
      <c r="I289" s="14"/>
      <c r="J289" s="14"/>
      <c r="K289" s="12"/>
    </row>
    <row r="290" ht="19.5" customHeight="1">
      <c r="A290" s="12"/>
      <c r="C290" s="12"/>
      <c r="D290" s="87"/>
      <c r="F290" s="14"/>
      <c r="G290" s="14"/>
      <c r="H290" s="14"/>
      <c r="I290" s="14"/>
      <c r="J290" s="14"/>
      <c r="K290" s="12"/>
    </row>
    <row r="291" ht="19.5" customHeight="1">
      <c r="A291" s="12"/>
      <c r="C291" s="12"/>
      <c r="D291" s="87"/>
      <c r="F291" s="14"/>
      <c r="G291" s="14"/>
      <c r="H291" s="14"/>
      <c r="I291" s="14"/>
      <c r="J291" s="14"/>
      <c r="K291" s="12"/>
    </row>
    <row r="292" ht="19.5" customHeight="1">
      <c r="A292" s="12"/>
      <c r="C292" s="12"/>
      <c r="D292" s="87"/>
      <c r="F292" s="14"/>
      <c r="G292" s="14"/>
      <c r="H292" s="14"/>
      <c r="I292" s="14"/>
      <c r="J292" s="14"/>
      <c r="K292" s="12"/>
    </row>
    <row r="293" ht="19.5" customHeight="1">
      <c r="A293" s="12"/>
      <c r="C293" s="12"/>
      <c r="D293" s="87"/>
      <c r="F293" s="14"/>
      <c r="G293" s="14"/>
      <c r="H293" s="14"/>
      <c r="I293" s="14"/>
      <c r="J293" s="14"/>
      <c r="K293" s="12"/>
    </row>
    <row r="294" ht="19.5" customHeight="1">
      <c r="A294" s="12"/>
      <c r="C294" s="12"/>
      <c r="D294" s="87"/>
      <c r="F294" s="14"/>
      <c r="G294" s="14"/>
      <c r="H294" s="14"/>
      <c r="I294" s="14"/>
      <c r="J294" s="14"/>
      <c r="K294" s="12"/>
    </row>
    <row r="295" ht="19.5" customHeight="1">
      <c r="A295" s="12"/>
      <c r="C295" s="12"/>
      <c r="D295" s="87"/>
      <c r="F295" s="14"/>
      <c r="G295" s="14"/>
      <c r="H295" s="14"/>
      <c r="I295" s="14"/>
      <c r="J295" s="14"/>
      <c r="K295" s="12"/>
    </row>
    <row r="296" ht="19.5" customHeight="1">
      <c r="A296" s="12"/>
      <c r="C296" s="12"/>
      <c r="D296" s="87"/>
      <c r="F296" s="14"/>
      <c r="G296" s="14"/>
      <c r="H296" s="14"/>
      <c r="I296" s="14"/>
      <c r="J296" s="14"/>
      <c r="K296" s="12"/>
    </row>
    <row r="297" ht="19.5" customHeight="1">
      <c r="A297" s="12"/>
      <c r="C297" s="12"/>
      <c r="D297" s="87"/>
      <c r="F297" s="14"/>
      <c r="G297" s="14"/>
      <c r="H297" s="14"/>
      <c r="I297" s="14"/>
      <c r="J297" s="14"/>
      <c r="K297" s="12"/>
    </row>
    <row r="298" ht="19.5" customHeight="1">
      <c r="A298" s="12"/>
      <c r="C298" s="12"/>
      <c r="D298" s="87"/>
      <c r="F298" s="14"/>
      <c r="G298" s="14"/>
      <c r="H298" s="14"/>
      <c r="I298" s="14"/>
      <c r="J298" s="14"/>
      <c r="K298" s="12"/>
    </row>
    <row r="299" ht="19.5" customHeight="1">
      <c r="A299" s="12"/>
      <c r="C299" s="12"/>
      <c r="D299" s="87"/>
      <c r="F299" s="14"/>
      <c r="G299" s="14"/>
      <c r="H299" s="14"/>
      <c r="I299" s="14"/>
      <c r="J299" s="14"/>
      <c r="K299" s="12"/>
    </row>
    <row r="300" ht="19.5" customHeight="1">
      <c r="A300" s="12"/>
      <c r="C300" s="12"/>
      <c r="D300" s="87"/>
      <c r="F300" s="14"/>
      <c r="G300" s="14"/>
      <c r="H300" s="14"/>
      <c r="I300" s="14"/>
      <c r="J300" s="14"/>
      <c r="K300" s="12"/>
    </row>
    <row r="301" ht="19.5" customHeight="1">
      <c r="A301" s="12"/>
      <c r="C301" s="12"/>
      <c r="D301" s="87"/>
      <c r="F301" s="14"/>
      <c r="G301" s="14"/>
      <c r="H301" s="14"/>
      <c r="I301" s="14"/>
      <c r="J301" s="14"/>
      <c r="K301" s="12"/>
    </row>
    <row r="302" ht="19.5" customHeight="1">
      <c r="A302" s="12"/>
      <c r="C302" s="12"/>
      <c r="D302" s="87"/>
      <c r="F302" s="14"/>
      <c r="G302" s="14"/>
      <c r="H302" s="14"/>
      <c r="I302" s="14"/>
      <c r="J302" s="14"/>
      <c r="K302" s="12"/>
    </row>
    <row r="303" ht="19.5" customHeight="1">
      <c r="A303" s="12"/>
      <c r="C303" s="12"/>
      <c r="D303" s="87"/>
      <c r="F303" s="14"/>
      <c r="G303" s="14"/>
      <c r="H303" s="14"/>
      <c r="I303" s="14"/>
      <c r="J303" s="14"/>
      <c r="K303" s="12"/>
    </row>
    <row r="304" ht="19.5" customHeight="1">
      <c r="A304" s="12"/>
      <c r="C304" s="12"/>
      <c r="D304" s="87"/>
      <c r="F304" s="14"/>
      <c r="G304" s="14"/>
      <c r="H304" s="14"/>
      <c r="I304" s="14"/>
      <c r="J304" s="14"/>
      <c r="K304" s="12"/>
    </row>
    <row r="305" ht="19.5" customHeight="1">
      <c r="A305" s="12"/>
      <c r="C305" s="12"/>
      <c r="D305" s="87"/>
      <c r="F305" s="14"/>
      <c r="G305" s="14"/>
      <c r="H305" s="14"/>
      <c r="I305" s="14"/>
      <c r="J305" s="14"/>
      <c r="K305" s="12"/>
    </row>
    <row r="306" ht="19.5" customHeight="1">
      <c r="A306" s="12"/>
      <c r="C306" s="12"/>
      <c r="D306" s="87"/>
      <c r="F306" s="14"/>
      <c r="G306" s="14"/>
      <c r="H306" s="14"/>
      <c r="I306" s="14"/>
      <c r="J306" s="14"/>
      <c r="K306" s="12"/>
    </row>
    <row r="307" ht="19.5" customHeight="1">
      <c r="A307" s="12"/>
      <c r="C307" s="12"/>
      <c r="D307" s="87"/>
      <c r="F307" s="14"/>
      <c r="G307" s="14"/>
      <c r="H307" s="14"/>
      <c r="I307" s="14"/>
      <c r="J307" s="14"/>
      <c r="K307" s="12"/>
    </row>
    <row r="308" ht="19.5" customHeight="1">
      <c r="A308" s="12"/>
      <c r="C308" s="12"/>
      <c r="D308" s="87"/>
      <c r="F308" s="14"/>
      <c r="G308" s="14"/>
      <c r="H308" s="14"/>
      <c r="I308" s="14"/>
      <c r="J308" s="14"/>
      <c r="K308" s="12"/>
    </row>
    <row r="309" ht="19.5" customHeight="1">
      <c r="A309" s="12"/>
      <c r="C309" s="12"/>
      <c r="D309" s="87"/>
      <c r="F309" s="14"/>
      <c r="G309" s="14"/>
      <c r="H309" s="14"/>
      <c r="I309" s="14"/>
      <c r="J309" s="14"/>
      <c r="K309" s="12"/>
    </row>
    <row r="310" ht="19.5" customHeight="1">
      <c r="A310" s="12"/>
      <c r="C310" s="12"/>
      <c r="D310" s="87"/>
      <c r="F310" s="14"/>
      <c r="G310" s="14"/>
      <c r="H310" s="14"/>
      <c r="I310" s="14"/>
      <c r="J310" s="14"/>
      <c r="K310" s="12"/>
    </row>
    <row r="311" ht="19.5" customHeight="1">
      <c r="A311" s="12"/>
      <c r="C311" s="12"/>
      <c r="D311" s="87"/>
      <c r="F311" s="14"/>
      <c r="G311" s="14"/>
      <c r="H311" s="14"/>
      <c r="I311" s="14"/>
      <c r="J311" s="14"/>
      <c r="K311" s="12"/>
    </row>
    <row r="312" ht="19.5" customHeight="1">
      <c r="A312" s="12"/>
      <c r="C312" s="12"/>
      <c r="D312" s="87"/>
      <c r="F312" s="14"/>
      <c r="G312" s="14"/>
      <c r="H312" s="14"/>
      <c r="I312" s="14"/>
      <c r="J312" s="14"/>
      <c r="K312" s="12"/>
    </row>
    <row r="313" ht="19.5" customHeight="1">
      <c r="A313" s="12"/>
      <c r="C313" s="12"/>
      <c r="D313" s="87"/>
      <c r="F313" s="14"/>
      <c r="G313" s="14"/>
      <c r="H313" s="14"/>
      <c r="I313" s="14"/>
      <c r="J313" s="14"/>
      <c r="K313" s="12"/>
    </row>
    <row r="314" ht="19.5" customHeight="1">
      <c r="A314" s="12"/>
      <c r="C314" s="12"/>
      <c r="D314" s="87"/>
      <c r="F314" s="14"/>
      <c r="G314" s="14"/>
      <c r="H314" s="14"/>
      <c r="I314" s="14"/>
      <c r="J314" s="14"/>
      <c r="K314" s="12"/>
    </row>
    <row r="315" ht="19.5" customHeight="1">
      <c r="A315" s="12"/>
      <c r="C315" s="12"/>
      <c r="D315" s="87"/>
      <c r="F315" s="14"/>
      <c r="G315" s="14"/>
      <c r="H315" s="14"/>
      <c r="I315" s="14"/>
      <c r="J315" s="14"/>
      <c r="K315" s="12"/>
    </row>
    <row r="316" ht="19.5" customHeight="1">
      <c r="A316" s="12"/>
      <c r="C316" s="12"/>
      <c r="D316" s="87"/>
      <c r="F316" s="14"/>
      <c r="G316" s="14"/>
      <c r="H316" s="14"/>
      <c r="I316" s="14"/>
      <c r="J316" s="14"/>
      <c r="K316" s="12"/>
    </row>
    <row r="317" ht="19.5" customHeight="1">
      <c r="A317" s="12"/>
      <c r="C317" s="12"/>
      <c r="D317" s="87"/>
      <c r="F317" s="14"/>
      <c r="G317" s="14"/>
      <c r="H317" s="14"/>
      <c r="I317" s="14"/>
      <c r="J317" s="14"/>
      <c r="K317" s="12"/>
    </row>
    <row r="318" ht="19.5" customHeight="1">
      <c r="A318" s="12"/>
      <c r="C318" s="12"/>
      <c r="D318" s="87"/>
      <c r="F318" s="14"/>
      <c r="G318" s="14"/>
      <c r="H318" s="14"/>
      <c r="I318" s="14"/>
      <c r="J318" s="14"/>
      <c r="K318" s="12"/>
    </row>
    <row r="319" ht="19.5" customHeight="1">
      <c r="A319" s="12"/>
      <c r="C319" s="12"/>
      <c r="D319" s="87"/>
      <c r="F319" s="14"/>
      <c r="G319" s="14"/>
      <c r="H319" s="14"/>
      <c r="I319" s="14"/>
      <c r="J319" s="14"/>
      <c r="K319" s="12"/>
    </row>
    <row r="320" ht="19.5" customHeight="1">
      <c r="A320" s="12"/>
      <c r="C320" s="12"/>
      <c r="D320" s="87"/>
      <c r="F320" s="14"/>
      <c r="G320" s="14"/>
      <c r="H320" s="14"/>
      <c r="I320" s="14"/>
      <c r="J320" s="14"/>
      <c r="K320" s="12"/>
    </row>
    <row r="321" ht="19.5" customHeight="1">
      <c r="A321" s="12"/>
      <c r="C321" s="12"/>
      <c r="D321" s="87"/>
      <c r="F321" s="14"/>
      <c r="G321" s="14"/>
      <c r="H321" s="14"/>
      <c r="I321" s="14"/>
      <c r="J321" s="14"/>
      <c r="K321" s="12"/>
    </row>
    <row r="322" ht="19.5" customHeight="1">
      <c r="A322" s="12"/>
      <c r="C322" s="12"/>
      <c r="D322" s="87"/>
      <c r="F322" s="14"/>
      <c r="G322" s="14"/>
      <c r="H322" s="14"/>
      <c r="I322" s="14"/>
      <c r="J322" s="14"/>
      <c r="K322" s="12"/>
    </row>
    <row r="323" ht="19.5" customHeight="1">
      <c r="A323" s="12"/>
      <c r="C323" s="12"/>
      <c r="D323" s="87"/>
      <c r="F323" s="14"/>
      <c r="G323" s="14"/>
      <c r="H323" s="14"/>
      <c r="I323" s="14"/>
      <c r="J323" s="14"/>
      <c r="K323" s="12"/>
    </row>
    <row r="324" ht="19.5" customHeight="1">
      <c r="A324" s="12"/>
      <c r="C324" s="12"/>
      <c r="D324" s="87"/>
      <c r="F324" s="14"/>
      <c r="G324" s="14"/>
      <c r="H324" s="14"/>
      <c r="I324" s="14"/>
      <c r="J324" s="14"/>
      <c r="K324" s="12"/>
    </row>
    <row r="325" ht="19.5" customHeight="1">
      <c r="A325" s="12"/>
      <c r="C325" s="12"/>
      <c r="D325" s="87"/>
      <c r="F325" s="14"/>
      <c r="G325" s="14"/>
      <c r="H325" s="14"/>
      <c r="I325" s="14"/>
      <c r="J325" s="14"/>
      <c r="K325" s="12"/>
    </row>
    <row r="326" ht="19.5" customHeight="1">
      <c r="A326" s="12"/>
      <c r="C326" s="12"/>
      <c r="D326" s="87"/>
      <c r="F326" s="14"/>
      <c r="G326" s="14"/>
      <c r="H326" s="14"/>
      <c r="I326" s="14"/>
      <c r="J326" s="14"/>
      <c r="K326" s="12"/>
    </row>
    <row r="327" ht="19.5" customHeight="1">
      <c r="A327" s="12"/>
      <c r="C327" s="12"/>
      <c r="D327" s="87"/>
      <c r="F327" s="14"/>
      <c r="G327" s="14"/>
      <c r="H327" s="14"/>
      <c r="I327" s="14"/>
      <c r="J327" s="14"/>
      <c r="K327" s="12"/>
    </row>
    <row r="328" ht="19.5" customHeight="1">
      <c r="A328" s="12"/>
      <c r="C328" s="12"/>
      <c r="D328" s="87"/>
      <c r="F328" s="14"/>
      <c r="G328" s="14"/>
      <c r="H328" s="14"/>
      <c r="I328" s="14"/>
      <c r="J328" s="14"/>
      <c r="K328" s="12"/>
    </row>
    <row r="329" ht="19.5" customHeight="1">
      <c r="A329" s="12"/>
      <c r="C329" s="12"/>
      <c r="D329" s="87"/>
      <c r="F329" s="14"/>
      <c r="G329" s="14"/>
      <c r="H329" s="14"/>
      <c r="I329" s="14"/>
      <c r="J329" s="14"/>
      <c r="K329" s="12"/>
    </row>
    <row r="330" ht="19.5" customHeight="1">
      <c r="A330" s="12"/>
      <c r="C330" s="12"/>
      <c r="D330" s="87"/>
      <c r="F330" s="14"/>
      <c r="G330" s="14"/>
      <c r="H330" s="14"/>
      <c r="I330" s="14"/>
      <c r="J330" s="14"/>
      <c r="K330" s="12"/>
    </row>
    <row r="331" ht="19.5" customHeight="1">
      <c r="A331" s="12"/>
      <c r="C331" s="12"/>
      <c r="D331" s="87"/>
      <c r="F331" s="14"/>
      <c r="G331" s="14"/>
      <c r="H331" s="14"/>
      <c r="I331" s="14"/>
      <c r="J331" s="14"/>
      <c r="K331" s="12"/>
    </row>
    <row r="332" ht="19.5" customHeight="1">
      <c r="A332" s="12"/>
      <c r="C332" s="12"/>
      <c r="D332" s="87"/>
      <c r="F332" s="14"/>
      <c r="G332" s="14"/>
      <c r="H332" s="14"/>
      <c r="I332" s="14"/>
      <c r="J332" s="14"/>
      <c r="K332" s="12"/>
    </row>
    <row r="333" ht="19.5" customHeight="1">
      <c r="A333" s="12"/>
      <c r="C333" s="12"/>
      <c r="D333" s="87"/>
      <c r="F333" s="14"/>
      <c r="G333" s="14"/>
      <c r="H333" s="14"/>
      <c r="I333" s="14"/>
      <c r="J333" s="14"/>
      <c r="K333" s="12"/>
    </row>
    <row r="334" ht="19.5" customHeight="1">
      <c r="A334" s="12"/>
      <c r="C334" s="12"/>
      <c r="D334" s="87"/>
      <c r="F334" s="14"/>
      <c r="G334" s="14"/>
      <c r="H334" s="14"/>
      <c r="I334" s="14"/>
      <c r="J334" s="14"/>
      <c r="K334" s="12"/>
    </row>
    <row r="335" ht="19.5" customHeight="1">
      <c r="A335" s="12"/>
      <c r="C335" s="12"/>
      <c r="D335" s="87"/>
      <c r="F335" s="14"/>
      <c r="G335" s="14"/>
      <c r="H335" s="14"/>
      <c r="I335" s="14"/>
      <c r="J335" s="14"/>
      <c r="K335" s="12"/>
    </row>
    <row r="336" ht="19.5" customHeight="1">
      <c r="A336" s="12"/>
      <c r="C336" s="12"/>
      <c r="D336" s="87"/>
      <c r="F336" s="14"/>
      <c r="G336" s="14"/>
      <c r="H336" s="14"/>
      <c r="I336" s="14"/>
      <c r="J336" s="14"/>
      <c r="K336" s="12"/>
    </row>
    <row r="337" ht="19.5" customHeight="1">
      <c r="A337" s="12"/>
      <c r="C337" s="12"/>
      <c r="D337" s="87"/>
      <c r="F337" s="14"/>
      <c r="G337" s="14"/>
      <c r="H337" s="14"/>
      <c r="I337" s="14"/>
      <c r="J337" s="14"/>
      <c r="K337" s="12"/>
    </row>
    <row r="338" ht="19.5" customHeight="1">
      <c r="A338" s="12"/>
      <c r="C338" s="12"/>
      <c r="D338" s="87"/>
      <c r="F338" s="14"/>
      <c r="G338" s="14"/>
      <c r="H338" s="14"/>
      <c r="I338" s="14"/>
      <c r="J338" s="14"/>
      <c r="K338" s="12"/>
    </row>
    <row r="339" ht="19.5" customHeight="1">
      <c r="A339" s="12"/>
      <c r="C339" s="12"/>
      <c r="D339" s="87"/>
      <c r="F339" s="14"/>
      <c r="G339" s="14"/>
      <c r="H339" s="14"/>
      <c r="I339" s="14"/>
      <c r="J339" s="14"/>
      <c r="K339" s="12"/>
    </row>
    <row r="340" ht="19.5" customHeight="1">
      <c r="A340" s="12"/>
      <c r="C340" s="12"/>
      <c r="D340" s="87"/>
      <c r="F340" s="14"/>
      <c r="G340" s="14"/>
      <c r="H340" s="14"/>
      <c r="I340" s="14"/>
      <c r="J340" s="14"/>
      <c r="K340" s="12"/>
    </row>
    <row r="341" ht="19.5" customHeight="1">
      <c r="A341" s="12"/>
      <c r="C341" s="12"/>
      <c r="D341" s="87"/>
      <c r="F341" s="14"/>
      <c r="G341" s="14"/>
      <c r="H341" s="14"/>
      <c r="I341" s="14"/>
      <c r="J341" s="14"/>
      <c r="K341" s="12"/>
    </row>
    <row r="342" ht="19.5" customHeight="1">
      <c r="A342" s="12"/>
      <c r="C342" s="12"/>
      <c r="D342" s="87"/>
      <c r="F342" s="14"/>
      <c r="G342" s="14"/>
      <c r="H342" s="14"/>
      <c r="I342" s="14"/>
      <c r="J342" s="14"/>
      <c r="K342" s="12"/>
    </row>
    <row r="343" ht="19.5" customHeight="1">
      <c r="A343" s="12"/>
      <c r="C343" s="12"/>
      <c r="D343" s="87"/>
      <c r="F343" s="14"/>
      <c r="G343" s="14"/>
      <c r="H343" s="14"/>
      <c r="I343" s="14"/>
      <c r="J343" s="14"/>
      <c r="K343" s="12"/>
    </row>
    <row r="344" ht="19.5" customHeight="1">
      <c r="A344" s="12"/>
      <c r="C344" s="12"/>
      <c r="D344" s="87"/>
      <c r="F344" s="14"/>
      <c r="G344" s="14"/>
      <c r="H344" s="14"/>
      <c r="I344" s="14"/>
      <c r="J344" s="14"/>
      <c r="K344" s="12"/>
    </row>
    <row r="345" ht="19.5" customHeight="1">
      <c r="A345" s="12"/>
      <c r="C345" s="12"/>
      <c r="D345" s="87"/>
      <c r="F345" s="14"/>
      <c r="G345" s="14"/>
      <c r="H345" s="14"/>
      <c r="I345" s="14"/>
      <c r="J345" s="14"/>
      <c r="K345" s="12"/>
    </row>
    <row r="346" ht="19.5" customHeight="1">
      <c r="A346" s="12"/>
      <c r="C346" s="12"/>
      <c r="D346" s="87"/>
      <c r="F346" s="14"/>
      <c r="G346" s="14"/>
      <c r="H346" s="14"/>
      <c r="I346" s="14"/>
      <c r="J346" s="14"/>
      <c r="K346" s="12"/>
    </row>
    <row r="347" ht="19.5" customHeight="1">
      <c r="A347" s="12"/>
      <c r="C347" s="12"/>
      <c r="D347" s="87"/>
      <c r="F347" s="14"/>
      <c r="G347" s="14"/>
      <c r="H347" s="14"/>
      <c r="I347" s="14"/>
      <c r="J347" s="14"/>
      <c r="K347" s="12"/>
    </row>
    <row r="348" ht="19.5" customHeight="1">
      <c r="A348" s="12"/>
      <c r="C348" s="12"/>
      <c r="D348" s="87"/>
      <c r="F348" s="14"/>
      <c r="G348" s="14"/>
      <c r="H348" s="14"/>
      <c r="I348" s="14"/>
      <c r="J348" s="14"/>
      <c r="K348" s="12"/>
    </row>
    <row r="349" ht="19.5" customHeight="1">
      <c r="A349" s="12"/>
      <c r="C349" s="12"/>
      <c r="D349" s="87"/>
      <c r="F349" s="14"/>
      <c r="G349" s="14"/>
      <c r="H349" s="14"/>
      <c r="I349" s="14"/>
      <c r="J349" s="14"/>
      <c r="K349" s="12"/>
    </row>
    <row r="350" ht="19.5" customHeight="1">
      <c r="A350" s="12"/>
      <c r="C350" s="12"/>
      <c r="D350" s="87"/>
      <c r="F350" s="14"/>
      <c r="G350" s="14"/>
      <c r="H350" s="14"/>
      <c r="I350" s="14"/>
      <c r="J350" s="14"/>
      <c r="K350" s="12"/>
    </row>
    <row r="351" ht="19.5" customHeight="1">
      <c r="A351" s="12"/>
      <c r="C351" s="12"/>
      <c r="D351" s="87"/>
      <c r="F351" s="14"/>
      <c r="G351" s="14"/>
      <c r="H351" s="14"/>
      <c r="I351" s="14"/>
      <c r="J351" s="14"/>
      <c r="K351" s="12"/>
    </row>
    <row r="352" ht="19.5" customHeight="1">
      <c r="A352" s="12"/>
      <c r="C352" s="12"/>
      <c r="D352" s="87"/>
      <c r="F352" s="14"/>
      <c r="G352" s="14"/>
      <c r="H352" s="14"/>
      <c r="I352" s="14"/>
      <c r="J352" s="14"/>
      <c r="K352" s="12"/>
    </row>
    <row r="353" ht="19.5" customHeight="1">
      <c r="A353" s="12"/>
      <c r="C353" s="12"/>
      <c r="D353" s="87"/>
      <c r="F353" s="14"/>
      <c r="G353" s="14"/>
      <c r="H353" s="14"/>
      <c r="I353" s="14"/>
      <c r="J353" s="14"/>
      <c r="K353" s="12"/>
    </row>
    <row r="354" ht="19.5" customHeight="1">
      <c r="A354" s="12"/>
      <c r="C354" s="12"/>
      <c r="D354" s="87"/>
      <c r="F354" s="14"/>
      <c r="G354" s="14"/>
      <c r="H354" s="14"/>
      <c r="I354" s="14"/>
      <c r="J354" s="14"/>
      <c r="K354" s="12"/>
    </row>
    <row r="355" ht="19.5" customHeight="1">
      <c r="A355" s="12"/>
      <c r="C355" s="12"/>
      <c r="D355" s="87"/>
      <c r="F355" s="14"/>
      <c r="G355" s="14"/>
      <c r="H355" s="14"/>
      <c r="I355" s="14"/>
      <c r="J355" s="14"/>
      <c r="K355" s="12"/>
    </row>
    <row r="356" ht="19.5" customHeight="1">
      <c r="A356" s="12"/>
      <c r="C356" s="12"/>
      <c r="D356" s="87"/>
      <c r="F356" s="14"/>
      <c r="G356" s="14"/>
      <c r="H356" s="14"/>
      <c r="I356" s="14"/>
      <c r="J356" s="14"/>
      <c r="K356" s="12"/>
    </row>
    <row r="357" ht="19.5" customHeight="1">
      <c r="A357" s="12"/>
      <c r="C357" s="12"/>
      <c r="D357" s="87"/>
      <c r="F357" s="14"/>
      <c r="G357" s="14"/>
      <c r="H357" s="14"/>
      <c r="I357" s="14"/>
      <c r="J357" s="14"/>
      <c r="K357" s="12"/>
    </row>
    <row r="358" ht="19.5" customHeight="1">
      <c r="A358" s="12"/>
      <c r="C358" s="12"/>
      <c r="D358" s="87"/>
      <c r="F358" s="14"/>
      <c r="G358" s="14"/>
      <c r="H358" s="14"/>
      <c r="I358" s="14"/>
      <c r="J358" s="14"/>
      <c r="K358" s="12"/>
    </row>
    <row r="359" ht="19.5" customHeight="1">
      <c r="A359" s="12"/>
      <c r="C359" s="12"/>
      <c r="D359" s="87"/>
      <c r="F359" s="14"/>
      <c r="G359" s="14"/>
      <c r="H359" s="14"/>
      <c r="I359" s="14"/>
      <c r="J359" s="14"/>
      <c r="K359" s="12"/>
    </row>
    <row r="360" ht="19.5" customHeight="1">
      <c r="A360" s="12"/>
      <c r="C360" s="12"/>
      <c r="D360" s="87"/>
      <c r="F360" s="14"/>
      <c r="G360" s="14"/>
      <c r="H360" s="14"/>
      <c r="I360" s="14"/>
      <c r="J360" s="14"/>
      <c r="K360" s="12"/>
    </row>
    <row r="361" ht="19.5" customHeight="1">
      <c r="A361" s="12"/>
      <c r="C361" s="12"/>
      <c r="D361" s="87"/>
      <c r="F361" s="14"/>
      <c r="G361" s="14"/>
      <c r="H361" s="14"/>
      <c r="I361" s="14"/>
      <c r="J361" s="14"/>
      <c r="K361" s="12"/>
    </row>
    <row r="362" ht="19.5" customHeight="1">
      <c r="A362" s="12"/>
      <c r="C362" s="12"/>
      <c r="D362" s="87"/>
      <c r="F362" s="14"/>
      <c r="G362" s="14"/>
      <c r="H362" s="14"/>
      <c r="I362" s="14"/>
      <c r="J362" s="14"/>
      <c r="K362" s="12"/>
    </row>
    <row r="363" ht="19.5" customHeight="1">
      <c r="A363" s="12"/>
      <c r="C363" s="12"/>
      <c r="D363" s="87"/>
      <c r="F363" s="14"/>
      <c r="G363" s="14"/>
      <c r="H363" s="14"/>
      <c r="I363" s="14"/>
      <c r="J363" s="14"/>
      <c r="K363" s="12"/>
    </row>
    <row r="364" ht="19.5" customHeight="1">
      <c r="A364" s="12"/>
      <c r="C364" s="12"/>
      <c r="D364" s="87"/>
      <c r="F364" s="14"/>
      <c r="G364" s="14"/>
      <c r="H364" s="14"/>
      <c r="I364" s="14"/>
      <c r="J364" s="14"/>
      <c r="K364" s="12"/>
    </row>
    <row r="365" ht="19.5" customHeight="1">
      <c r="A365" s="12"/>
      <c r="C365" s="12"/>
      <c r="D365" s="87"/>
      <c r="F365" s="14"/>
      <c r="G365" s="14"/>
      <c r="H365" s="14"/>
      <c r="I365" s="14"/>
      <c r="J365" s="14"/>
      <c r="K365" s="12"/>
    </row>
    <row r="366" ht="19.5" customHeight="1">
      <c r="A366" s="12"/>
      <c r="C366" s="12"/>
      <c r="D366" s="87"/>
      <c r="F366" s="14"/>
      <c r="G366" s="14"/>
      <c r="H366" s="14"/>
      <c r="I366" s="14"/>
      <c r="J366" s="14"/>
      <c r="K366" s="12"/>
    </row>
    <row r="367" ht="19.5" customHeight="1">
      <c r="A367" s="12"/>
      <c r="C367" s="12"/>
      <c r="D367" s="87"/>
      <c r="F367" s="14"/>
      <c r="G367" s="14"/>
      <c r="H367" s="14"/>
      <c r="I367" s="14"/>
      <c r="J367" s="14"/>
      <c r="K367" s="12"/>
    </row>
    <row r="368" ht="19.5" customHeight="1">
      <c r="A368" s="12"/>
      <c r="C368" s="12"/>
      <c r="D368" s="87"/>
      <c r="F368" s="14"/>
      <c r="G368" s="14"/>
      <c r="H368" s="14"/>
      <c r="I368" s="14"/>
      <c r="J368" s="14"/>
      <c r="K368" s="12"/>
    </row>
    <row r="369" ht="19.5" customHeight="1">
      <c r="A369" s="12"/>
      <c r="C369" s="12"/>
      <c r="D369" s="87"/>
      <c r="F369" s="14"/>
      <c r="G369" s="14"/>
      <c r="H369" s="14"/>
      <c r="I369" s="14"/>
      <c r="J369" s="14"/>
      <c r="K369" s="12"/>
    </row>
    <row r="370" ht="19.5" customHeight="1">
      <c r="A370" s="12"/>
      <c r="C370" s="12"/>
      <c r="D370" s="87"/>
      <c r="F370" s="14"/>
      <c r="G370" s="14"/>
      <c r="H370" s="14"/>
      <c r="I370" s="14"/>
      <c r="J370" s="14"/>
      <c r="K370" s="12"/>
    </row>
    <row r="371" ht="19.5" customHeight="1">
      <c r="A371" s="12"/>
      <c r="C371" s="12"/>
      <c r="D371" s="87"/>
      <c r="F371" s="14"/>
      <c r="G371" s="14"/>
      <c r="H371" s="14"/>
      <c r="I371" s="14"/>
      <c r="J371" s="14"/>
      <c r="K371" s="12"/>
    </row>
    <row r="372" ht="19.5" customHeight="1">
      <c r="A372" s="12"/>
      <c r="C372" s="12"/>
      <c r="D372" s="87"/>
      <c r="F372" s="14"/>
      <c r="G372" s="14"/>
      <c r="H372" s="14"/>
      <c r="I372" s="14"/>
      <c r="J372" s="14"/>
      <c r="K372" s="12"/>
    </row>
    <row r="373" ht="19.5" customHeight="1">
      <c r="A373" s="12"/>
      <c r="C373" s="12"/>
      <c r="D373" s="87"/>
      <c r="F373" s="14"/>
      <c r="G373" s="14"/>
      <c r="H373" s="14"/>
      <c r="I373" s="14"/>
      <c r="J373" s="14"/>
      <c r="K373" s="12"/>
    </row>
    <row r="374" ht="19.5" customHeight="1">
      <c r="A374" s="12"/>
      <c r="C374" s="12"/>
      <c r="D374" s="87"/>
      <c r="F374" s="14"/>
      <c r="G374" s="14"/>
      <c r="H374" s="14"/>
      <c r="I374" s="14"/>
      <c r="J374" s="14"/>
      <c r="K374" s="12"/>
    </row>
    <row r="375" ht="19.5" customHeight="1">
      <c r="A375" s="12"/>
      <c r="C375" s="12"/>
      <c r="D375" s="87"/>
      <c r="F375" s="14"/>
      <c r="G375" s="14"/>
      <c r="H375" s="14"/>
      <c r="I375" s="14"/>
      <c r="J375" s="14"/>
      <c r="K375" s="12"/>
    </row>
    <row r="376" ht="19.5" customHeight="1">
      <c r="A376" s="12"/>
      <c r="C376" s="12"/>
      <c r="D376" s="87"/>
      <c r="F376" s="14"/>
      <c r="G376" s="14"/>
      <c r="H376" s="14"/>
      <c r="I376" s="14"/>
      <c r="J376" s="14"/>
      <c r="K376" s="12"/>
    </row>
    <row r="377" ht="19.5" customHeight="1">
      <c r="A377" s="12"/>
      <c r="C377" s="12"/>
      <c r="D377" s="87"/>
      <c r="F377" s="14"/>
      <c r="G377" s="14"/>
      <c r="H377" s="14"/>
      <c r="I377" s="14"/>
      <c r="J377" s="14"/>
      <c r="K377" s="12"/>
    </row>
    <row r="378" ht="19.5" customHeight="1">
      <c r="A378" s="12"/>
      <c r="C378" s="12"/>
      <c r="D378" s="87"/>
      <c r="F378" s="14"/>
      <c r="G378" s="14"/>
      <c r="H378" s="14"/>
      <c r="I378" s="14"/>
      <c r="J378" s="14"/>
      <c r="K378" s="12"/>
    </row>
    <row r="379" ht="19.5" customHeight="1">
      <c r="A379" s="12"/>
      <c r="C379" s="12"/>
      <c r="D379" s="87"/>
      <c r="F379" s="14"/>
      <c r="G379" s="14"/>
      <c r="H379" s="14"/>
      <c r="I379" s="14"/>
      <c r="J379" s="14"/>
      <c r="K379" s="12"/>
    </row>
    <row r="380" ht="19.5" customHeight="1">
      <c r="A380" s="12"/>
      <c r="C380" s="12"/>
      <c r="D380" s="87"/>
      <c r="F380" s="14"/>
      <c r="G380" s="14"/>
      <c r="H380" s="14"/>
      <c r="I380" s="14"/>
      <c r="J380" s="14"/>
      <c r="K380" s="12"/>
    </row>
    <row r="381" ht="19.5" customHeight="1">
      <c r="A381" s="12"/>
      <c r="C381" s="12"/>
      <c r="D381" s="87"/>
      <c r="F381" s="14"/>
      <c r="G381" s="14"/>
      <c r="H381" s="14"/>
      <c r="I381" s="14"/>
      <c r="J381" s="14"/>
      <c r="K381" s="12"/>
    </row>
    <row r="382" ht="19.5" customHeight="1">
      <c r="A382" s="12"/>
      <c r="C382" s="12"/>
      <c r="D382" s="87"/>
      <c r="F382" s="14"/>
      <c r="G382" s="14"/>
      <c r="H382" s="14"/>
      <c r="I382" s="14"/>
      <c r="J382" s="14"/>
      <c r="K382" s="12"/>
    </row>
    <row r="383" ht="19.5" customHeight="1">
      <c r="A383" s="12"/>
      <c r="C383" s="12"/>
      <c r="D383" s="87"/>
      <c r="F383" s="14"/>
      <c r="G383" s="14"/>
      <c r="H383" s="14"/>
      <c r="I383" s="14"/>
      <c r="J383" s="14"/>
      <c r="K383" s="12"/>
    </row>
    <row r="384" ht="19.5" customHeight="1">
      <c r="A384" s="12"/>
      <c r="C384" s="12"/>
      <c r="D384" s="87"/>
      <c r="F384" s="14"/>
      <c r="G384" s="14"/>
      <c r="H384" s="14"/>
      <c r="I384" s="14"/>
      <c r="J384" s="14"/>
      <c r="K384" s="12"/>
    </row>
    <row r="385" ht="19.5" customHeight="1">
      <c r="A385" s="12"/>
      <c r="C385" s="12"/>
      <c r="D385" s="87"/>
      <c r="F385" s="14"/>
      <c r="G385" s="14"/>
      <c r="H385" s="14"/>
      <c r="I385" s="14"/>
      <c r="J385" s="14"/>
      <c r="K385" s="12"/>
    </row>
    <row r="386" ht="19.5" customHeight="1">
      <c r="A386" s="12"/>
      <c r="C386" s="12"/>
      <c r="D386" s="87"/>
      <c r="F386" s="14"/>
      <c r="G386" s="14"/>
      <c r="H386" s="14"/>
      <c r="I386" s="14"/>
      <c r="J386" s="14"/>
      <c r="K386" s="12"/>
    </row>
    <row r="387" ht="19.5" customHeight="1">
      <c r="A387" s="12"/>
      <c r="C387" s="12"/>
      <c r="D387" s="87"/>
      <c r="F387" s="14"/>
      <c r="G387" s="14"/>
      <c r="H387" s="14"/>
      <c r="I387" s="14"/>
      <c r="J387" s="14"/>
      <c r="K387" s="12"/>
    </row>
    <row r="388" ht="19.5" customHeight="1">
      <c r="A388" s="12"/>
      <c r="C388" s="12"/>
      <c r="D388" s="87"/>
      <c r="F388" s="14"/>
      <c r="G388" s="14"/>
      <c r="H388" s="14"/>
      <c r="I388" s="14"/>
      <c r="J388" s="14"/>
      <c r="K388" s="12"/>
    </row>
    <row r="389" ht="19.5" customHeight="1">
      <c r="A389" s="12"/>
      <c r="C389" s="12"/>
      <c r="D389" s="87"/>
      <c r="F389" s="14"/>
      <c r="G389" s="14"/>
      <c r="H389" s="14"/>
      <c r="I389" s="14"/>
      <c r="J389" s="14"/>
      <c r="K389" s="12"/>
    </row>
    <row r="390" ht="19.5" customHeight="1">
      <c r="A390" s="12"/>
      <c r="C390" s="12"/>
      <c r="D390" s="87"/>
      <c r="F390" s="14"/>
      <c r="G390" s="14"/>
      <c r="H390" s="14"/>
      <c r="I390" s="14"/>
      <c r="J390" s="14"/>
      <c r="K390" s="12"/>
    </row>
    <row r="391" ht="19.5" customHeight="1">
      <c r="A391" s="12"/>
      <c r="C391" s="12"/>
      <c r="D391" s="87"/>
      <c r="F391" s="14"/>
      <c r="G391" s="14"/>
      <c r="H391" s="14"/>
      <c r="I391" s="14"/>
      <c r="J391" s="14"/>
      <c r="K391" s="12"/>
    </row>
    <row r="392" ht="19.5" customHeight="1">
      <c r="A392" s="12"/>
      <c r="C392" s="12"/>
      <c r="D392" s="87"/>
      <c r="F392" s="14"/>
      <c r="G392" s="14"/>
      <c r="H392" s="14"/>
      <c r="I392" s="14"/>
      <c r="J392" s="14"/>
      <c r="K392" s="12"/>
    </row>
    <row r="393" ht="19.5" customHeight="1">
      <c r="A393" s="12"/>
      <c r="C393" s="12"/>
      <c r="D393" s="87"/>
      <c r="F393" s="14"/>
      <c r="G393" s="14"/>
      <c r="H393" s="14"/>
      <c r="I393" s="14"/>
      <c r="J393" s="14"/>
      <c r="K393" s="12"/>
    </row>
    <row r="394" ht="19.5" customHeight="1">
      <c r="A394" s="12"/>
      <c r="C394" s="12"/>
      <c r="D394" s="87"/>
      <c r="F394" s="14"/>
      <c r="G394" s="14"/>
      <c r="H394" s="14"/>
      <c r="I394" s="14"/>
      <c r="J394" s="14"/>
      <c r="K394" s="12"/>
    </row>
    <row r="395" ht="19.5" customHeight="1">
      <c r="A395" s="12"/>
      <c r="C395" s="12"/>
      <c r="D395" s="87"/>
      <c r="F395" s="14"/>
      <c r="G395" s="14"/>
      <c r="H395" s="14"/>
      <c r="I395" s="14"/>
      <c r="J395" s="14"/>
      <c r="K395" s="12"/>
    </row>
    <row r="396" ht="19.5" customHeight="1">
      <c r="A396" s="12"/>
      <c r="C396" s="12"/>
      <c r="D396" s="87"/>
      <c r="F396" s="14"/>
      <c r="G396" s="14"/>
      <c r="H396" s="14"/>
      <c r="I396" s="14"/>
      <c r="J396" s="14"/>
      <c r="K396" s="12"/>
    </row>
    <row r="397" ht="19.5" customHeight="1">
      <c r="A397" s="12"/>
      <c r="C397" s="12"/>
      <c r="D397" s="87"/>
      <c r="F397" s="14"/>
      <c r="G397" s="14"/>
      <c r="H397" s="14"/>
      <c r="I397" s="14"/>
      <c r="J397" s="14"/>
      <c r="K397" s="12"/>
    </row>
    <row r="398" ht="19.5" customHeight="1">
      <c r="A398" s="12"/>
      <c r="C398" s="12"/>
      <c r="D398" s="87"/>
      <c r="F398" s="14"/>
      <c r="G398" s="14"/>
      <c r="H398" s="14"/>
      <c r="I398" s="14"/>
      <c r="J398" s="14"/>
      <c r="K398" s="12"/>
    </row>
    <row r="399" ht="19.5" customHeight="1">
      <c r="A399" s="12"/>
      <c r="C399" s="12"/>
      <c r="D399" s="87"/>
      <c r="F399" s="14"/>
      <c r="G399" s="14"/>
      <c r="H399" s="14"/>
      <c r="I399" s="14"/>
      <c r="J399" s="14"/>
      <c r="K399" s="12"/>
    </row>
    <row r="400" ht="19.5" customHeight="1">
      <c r="A400" s="12"/>
      <c r="C400" s="12"/>
      <c r="D400" s="87"/>
      <c r="F400" s="14"/>
      <c r="G400" s="14"/>
      <c r="H400" s="14"/>
      <c r="I400" s="14"/>
      <c r="J400" s="14"/>
      <c r="K400" s="12"/>
    </row>
    <row r="401" ht="19.5" customHeight="1">
      <c r="A401" s="12"/>
      <c r="C401" s="12"/>
      <c r="D401" s="87"/>
      <c r="F401" s="14"/>
      <c r="G401" s="14"/>
      <c r="H401" s="14"/>
      <c r="I401" s="14"/>
      <c r="J401" s="14"/>
      <c r="K401" s="12"/>
    </row>
    <row r="402" ht="19.5" customHeight="1">
      <c r="A402" s="12"/>
      <c r="C402" s="12"/>
      <c r="D402" s="87"/>
      <c r="F402" s="14"/>
      <c r="G402" s="14"/>
      <c r="H402" s="14"/>
      <c r="I402" s="14"/>
      <c r="J402" s="14"/>
      <c r="K402" s="12"/>
    </row>
    <row r="403" ht="19.5" customHeight="1">
      <c r="A403" s="12"/>
      <c r="C403" s="12"/>
      <c r="D403" s="87"/>
      <c r="F403" s="14"/>
      <c r="G403" s="14"/>
      <c r="H403" s="14"/>
      <c r="I403" s="14"/>
      <c r="J403" s="14"/>
      <c r="K403" s="12"/>
    </row>
    <row r="404" ht="19.5" customHeight="1">
      <c r="A404" s="12"/>
      <c r="C404" s="12"/>
      <c r="D404" s="87"/>
      <c r="F404" s="14"/>
      <c r="G404" s="14"/>
      <c r="H404" s="14"/>
      <c r="I404" s="14"/>
      <c r="J404" s="14"/>
      <c r="K404" s="12"/>
    </row>
    <row r="405" ht="19.5" customHeight="1">
      <c r="A405" s="12"/>
      <c r="C405" s="12"/>
      <c r="D405" s="87"/>
      <c r="F405" s="14"/>
      <c r="G405" s="14"/>
      <c r="H405" s="14"/>
      <c r="I405" s="14"/>
      <c r="J405" s="14"/>
      <c r="K405" s="12"/>
    </row>
    <row r="406" ht="19.5" customHeight="1">
      <c r="A406" s="12"/>
      <c r="C406" s="12"/>
      <c r="D406" s="87"/>
      <c r="F406" s="14"/>
      <c r="G406" s="14"/>
      <c r="H406" s="14"/>
      <c r="I406" s="14"/>
      <c r="J406" s="14"/>
      <c r="K406" s="12"/>
    </row>
    <row r="407" ht="19.5" customHeight="1">
      <c r="A407" s="12"/>
      <c r="C407" s="12"/>
      <c r="D407" s="87"/>
      <c r="F407" s="14"/>
      <c r="G407" s="14"/>
      <c r="H407" s="14"/>
      <c r="I407" s="14"/>
      <c r="J407" s="14"/>
      <c r="K407" s="12"/>
    </row>
    <row r="408" ht="19.5" customHeight="1">
      <c r="A408" s="12"/>
      <c r="C408" s="12"/>
      <c r="D408" s="87"/>
      <c r="F408" s="14"/>
      <c r="G408" s="14"/>
      <c r="H408" s="14"/>
      <c r="I408" s="14"/>
      <c r="J408" s="14"/>
      <c r="K408" s="12"/>
    </row>
    <row r="409" ht="19.5" customHeight="1">
      <c r="A409" s="12"/>
      <c r="C409" s="12"/>
      <c r="D409" s="87"/>
      <c r="F409" s="14"/>
      <c r="G409" s="14"/>
      <c r="H409" s="14"/>
      <c r="I409" s="14"/>
      <c r="J409" s="14"/>
      <c r="K409" s="12"/>
    </row>
    <row r="410" ht="19.5" customHeight="1">
      <c r="A410" s="12"/>
      <c r="C410" s="12"/>
      <c r="D410" s="87"/>
      <c r="F410" s="14"/>
      <c r="G410" s="14"/>
      <c r="H410" s="14"/>
      <c r="I410" s="14"/>
      <c r="J410" s="14"/>
      <c r="K410" s="12"/>
    </row>
    <row r="411" ht="19.5" customHeight="1">
      <c r="A411" s="12"/>
      <c r="C411" s="12"/>
      <c r="D411" s="87"/>
      <c r="F411" s="14"/>
      <c r="G411" s="14"/>
      <c r="H411" s="14"/>
      <c r="I411" s="14"/>
      <c r="J411" s="14"/>
      <c r="K411" s="12"/>
    </row>
    <row r="412" ht="19.5" customHeight="1">
      <c r="A412" s="12"/>
      <c r="C412" s="12"/>
      <c r="D412" s="87"/>
      <c r="F412" s="14"/>
      <c r="G412" s="14"/>
      <c r="H412" s="14"/>
      <c r="I412" s="14"/>
      <c r="J412" s="14"/>
      <c r="K412" s="12"/>
    </row>
    <row r="413" ht="19.5" customHeight="1">
      <c r="A413" s="12"/>
      <c r="C413" s="12"/>
      <c r="D413" s="87"/>
      <c r="F413" s="14"/>
      <c r="G413" s="14"/>
      <c r="H413" s="14"/>
      <c r="I413" s="14"/>
      <c r="J413" s="14"/>
      <c r="K413" s="12"/>
    </row>
    <row r="414" ht="19.5" customHeight="1">
      <c r="A414" s="12"/>
      <c r="C414" s="12"/>
      <c r="D414" s="87"/>
      <c r="F414" s="14"/>
      <c r="G414" s="14"/>
      <c r="H414" s="14"/>
      <c r="I414" s="14"/>
      <c r="J414" s="14"/>
      <c r="K414" s="12"/>
    </row>
    <row r="415" ht="19.5" customHeight="1">
      <c r="A415" s="12"/>
      <c r="C415" s="12"/>
      <c r="D415" s="87"/>
      <c r="F415" s="14"/>
      <c r="G415" s="14"/>
      <c r="H415" s="14"/>
      <c r="I415" s="14"/>
      <c r="J415" s="14"/>
      <c r="K415" s="12"/>
    </row>
    <row r="416" ht="19.5" customHeight="1">
      <c r="A416" s="12"/>
      <c r="C416" s="12"/>
      <c r="D416" s="87"/>
      <c r="F416" s="14"/>
      <c r="G416" s="14"/>
      <c r="H416" s="14"/>
      <c r="I416" s="14"/>
      <c r="J416" s="14"/>
      <c r="K416" s="12"/>
    </row>
    <row r="417" ht="19.5" customHeight="1">
      <c r="A417" s="12"/>
      <c r="C417" s="12"/>
      <c r="D417" s="87"/>
      <c r="F417" s="14"/>
      <c r="G417" s="14"/>
      <c r="H417" s="14"/>
      <c r="I417" s="14"/>
      <c r="J417" s="14"/>
      <c r="K417" s="12"/>
    </row>
    <row r="418" ht="19.5" customHeight="1">
      <c r="A418" s="12"/>
      <c r="C418" s="12"/>
      <c r="D418" s="87"/>
      <c r="F418" s="14"/>
      <c r="G418" s="14"/>
      <c r="H418" s="14"/>
      <c r="I418" s="14"/>
      <c r="J418" s="14"/>
      <c r="K418" s="12"/>
    </row>
    <row r="419" ht="19.5" customHeight="1">
      <c r="A419" s="12"/>
      <c r="C419" s="12"/>
      <c r="D419" s="87"/>
      <c r="F419" s="14"/>
      <c r="G419" s="14"/>
      <c r="H419" s="14"/>
      <c r="I419" s="14"/>
      <c r="J419" s="14"/>
      <c r="K419" s="12"/>
    </row>
    <row r="420" ht="19.5" customHeight="1">
      <c r="A420" s="12"/>
      <c r="C420" s="12"/>
      <c r="D420" s="87"/>
      <c r="F420" s="14"/>
      <c r="G420" s="14"/>
      <c r="H420" s="14"/>
      <c r="I420" s="14"/>
      <c r="J420" s="14"/>
      <c r="K420" s="12"/>
    </row>
    <row r="421" ht="19.5" customHeight="1">
      <c r="A421" s="12"/>
      <c r="C421" s="12"/>
      <c r="D421" s="87"/>
      <c r="F421" s="14"/>
      <c r="G421" s="14"/>
      <c r="H421" s="14"/>
      <c r="I421" s="14"/>
      <c r="J421" s="14"/>
      <c r="K421" s="12"/>
    </row>
    <row r="422" ht="19.5" customHeight="1">
      <c r="A422" s="12"/>
      <c r="C422" s="12"/>
      <c r="D422" s="87"/>
      <c r="F422" s="14"/>
      <c r="G422" s="14"/>
      <c r="H422" s="14"/>
      <c r="I422" s="14"/>
      <c r="J422" s="14"/>
      <c r="K422" s="12"/>
    </row>
    <row r="423" ht="19.5" customHeight="1">
      <c r="A423" s="12"/>
      <c r="C423" s="12"/>
      <c r="D423" s="87"/>
      <c r="F423" s="14"/>
      <c r="G423" s="14"/>
      <c r="H423" s="14"/>
      <c r="I423" s="14"/>
      <c r="J423" s="14"/>
      <c r="K423" s="12"/>
    </row>
    <row r="424" ht="19.5" customHeight="1">
      <c r="A424" s="12"/>
      <c r="C424" s="12"/>
      <c r="D424" s="87"/>
      <c r="F424" s="14"/>
      <c r="G424" s="14"/>
      <c r="H424" s="14"/>
      <c r="I424" s="14"/>
      <c r="J424" s="14"/>
      <c r="K424" s="12"/>
    </row>
    <row r="425" ht="19.5" customHeight="1">
      <c r="A425" s="12"/>
      <c r="C425" s="12"/>
      <c r="D425" s="87"/>
      <c r="F425" s="14"/>
      <c r="G425" s="14"/>
      <c r="H425" s="14"/>
      <c r="I425" s="14"/>
      <c r="J425" s="14"/>
      <c r="K425" s="12"/>
    </row>
    <row r="426" ht="19.5" customHeight="1">
      <c r="A426" s="12"/>
      <c r="C426" s="12"/>
      <c r="D426" s="87"/>
      <c r="F426" s="14"/>
      <c r="G426" s="14"/>
      <c r="H426" s="14"/>
      <c r="I426" s="14"/>
      <c r="J426" s="14"/>
      <c r="K426" s="12"/>
    </row>
    <row r="427" ht="19.5" customHeight="1">
      <c r="A427" s="12"/>
      <c r="C427" s="12"/>
      <c r="D427" s="87"/>
      <c r="F427" s="14"/>
      <c r="G427" s="14"/>
      <c r="H427" s="14"/>
      <c r="I427" s="14"/>
      <c r="J427" s="14"/>
      <c r="K427" s="12"/>
    </row>
    <row r="428" ht="19.5" customHeight="1">
      <c r="A428" s="12"/>
      <c r="C428" s="12"/>
      <c r="D428" s="87"/>
      <c r="F428" s="14"/>
      <c r="G428" s="14"/>
      <c r="H428" s="14"/>
      <c r="I428" s="14"/>
      <c r="J428" s="14"/>
      <c r="K428" s="12"/>
    </row>
    <row r="429" ht="19.5" customHeight="1">
      <c r="A429" s="12"/>
      <c r="C429" s="12"/>
      <c r="D429" s="87"/>
      <c r="F429" s="14"/>
      <c r="G429" s="14"/>
      <c r="H429" s="14"/>
      <c r="I429" s="14"/>
      <c r="J429" s="14"/>
      <c r="K429" s="12"/>
    </row>
    <row r="430" ht="19.5" customHeight="1">
      <c r="A430" s="12"/>
      <c r="C430" s="12"/>
      <c r="D430" s="87"/>
      <c r="F430" s="14"/>
      <c r="G430" s="14"/>
      <c r="H430" s="14"/>
      <c r="I430" s="14"/>
      <c r="J430" s="14"/>
      <c r="K430" s="12"/>
    </row>
    <row r="431" ht="19.5" customHeight="1">
      <c r="A431" s="12"/>
      <c r="C431" s="12"/>
      <c r="D431" s="87"/>
      <c r="F431" s="14"/>
      <c r="G431" s="14"/>
      <c r="H431" s="14"/>
      <c r="I431" s="14"/>
      <c r="J431" s="14"/>
      <c r="K431" s="12"/>
    </row>
    <row r="432" ht="19.5" customHeight="1">
      <c r="A432" s="12"/>
      <c r="C432" s="12"/>
      <c r="D432" s="87"/>
      <c r="F432" s="14"/>
      <c r="G432" s="14"/>
      <c r="H432" s="14"/>
      <c r="I432" s="14"/>
      <c r="J432" s="14"/>
      <c r="K432" s="12"/>
    </row>
    <row r="433" ht="19.5" customHeight="1">
      <c r="A433" s="12"/>
      <c r="C433" s="12"/>
      <c r="D433" s="87"/>
      <c r="F433" s="14"/>
      <c r="G433" s="14"/>
      <c r="H433" s="14"/>
      <c r="I433" s="14"/>
      <c r="J433" s="14"/>
      <c r="K433" s="12"/>
    </row>
    <row r="434" ht="19.5" customHeight="1">
      <c r="A434" s="12"/>
      <c r="C434" s="12"/>
      <c r="D434" s="87"/>
      <c r="F434" s="14"/>
      <c r="G434" s="14"/>
      <c r="H434" s="14"/>
      <c r="I434" s="14"/>
      <c r="J434" s="14"/>
      <c r="K434" s="12"/>
    </row>
    <row r="435" ht="19.5" customHeight="1">
      <c r="A435" s="12"/>
      <c r="C435" s="12"/>
      <c r="D435" s="87"/>
      <c r="F435" s="14"/>
      <c r="G435" s="14"/>
      <c r="H435" s="14"/>
      <c r="I435" s="14"/>
      <c r="J435" s="14"/>
      <c r="K435" s="12"/>
    </row>
    <row r="436" ht="19.5" customHeight="1">
      <c r="A436" s="12"/>
      <c r="C436" s="12"/>
      <c r="D436" s="87"/>
      <c r="F436" s="14"/>
      <c r="G436" s="14"/>
      <c r="H436" s="14"/>
      <c r="I436" s="14"/>
      <c r="J436" s="14"/>
      <c r="K436" s="12"/>
    </row>
    <row r="437" ht="19.5" customHeight="1">
      <c r="A437" s="12"/>
      <c r="C437" s="12"/>
      <c r="D437" s="87"/>
      <c r="F437" s="14"/>
      <c r="G437" s="14"/>
      <c r="H437" s="14"/>
      <c r="I437" s="14"/>
      <c r="J437" s="14"/>
      <c r="K437" s="12"/>
    </row>
    <row r="438" ht="19.5" customHeight="1">
      <c r="A438" s="12"/>
      <c r="C438" s="12"/>
      <c r="D438" s="87"/>
      <c r="F438" s="14"/>
      <c r="G438" s="14"/>
      <c r="H438" s="14"/>
      <c r="I438" s="14"/>
      <c r="J438" s="14"/>
      <c r="K438" s="12"/>
    </row>
    <row r="439" ht="19.5" customHeight="1">
      <c r="A439" s="12"/>
      <c r="C439" s="12"/>
      <c r="D439" s="87"/>
      <c r="F439" s="14"/>
      <c r="G439" s="14"/>
      <c r="H439" s="14"/>
      <c r="I439" s="14"/>
      <c r="J439" s="14"/>
      <c r="K439" s="12"/>
    </row>
    <row r="440" ht="19.5" customHeight="1">
      <c r="A440" s="12"/>
      <c r="C440" s="12"/>
      <c r="D440" s="87"/>
      <c r="F440" s="14"/>
      <c r="G440" s="14"/>
      <c r="H440" s="14"/>
      <c r="I440" s="14"/>
      <c r="J440" s="14"/>
      <c r="K440" s="12"/>
    </row>
    <row r="441" ht="19.5" customHeight="1">
      <c r="A441" s="12"/>
      <c r="C441" s="12"/>
      <c r="D441" s="87"/>
      <c r="F441" s="14"/>
      <c r="G441" s="14"/>
      <c r="H441" s="14"/>
      <c r="I441" s="14"/>
      <c r="J441" s="14"/>
      <c r="K441" s="12"/>
    </row>
    <row r="442" ht="19.5" customHeight="1">
      <c r="A442" s="12"/>
      <c r="C442" s="12"/>
      <c r="D442" s="87"/>
      <c r="F442" s="14"/>
      <c r="G442" s="14"/>
      <c r="H442" s="14"/>
      <c r="I442" s="14"/>
      <c r="J442" s="14"/>
      <c r="K442" s="12"/>
    </row>
    <row r="443" ht="19.5" customHeight="1">
      <c r="A443" s="12"/>
      <c r="C443" s="12"/>
      <c r="D443" s="87"/>
      <c r="F443" s="14"/>
      <c r="G443" s="14"/>
      <c r="H443" s="14"/>
      <c r="I443" s="14"/>
      <c r="J443" s="14"/>
      <c r="K443" s="12"/>
    </row>
    <row r="444" ht="19.5" customHeight="1">
      <c r="A444" s="12"/>
      <c r="C444" s="12"/>
      <c r="D444" s="87"/>
      <c r="F444" s="14"/>
      <c r="G444" s="14"/>
      <c r="H444" s="14"/>
      <c r="I444" s="14"/>
      <c r="J444" s="14"/>
      <c r="K444" s="12"/>
    </row>
    <row r="445" ht="19.5" customHeight="1">
      <c r="A445" s="12"/>
      <c r="C445" s="12"/>
      <c r="D445" s="87"/>
      <c r="F445" s="14"/>
      <c r="G445" s="14"/>
      <c r="H445" s="14"/>
      <c r="I445" s="14"/>
      <c r="J445" s="14"/>
      <c r="K445" s="12"/>
    </row>
    <row r="446" ht="19.5" customHeight="1">
      <c r="A446" s="12"/>
      <c r="C446" s="12"/>
      <c r="D446" s="87"/>
      <c r="F446" s="14"/>
      <c r="G446" s="14"/>
      <c r="H446" s="14"/>
      <c r="I446" s="14"/>
      <c r="J446" s="14"/>
      <c r="K446" s="12"/>
    </row>
    <row r="447" ht="19.5" customHeight="1">
      <c r="A447" s="12"/>
      <c r="C447" s="12"/>
      <c r="D447" s="87"/>
      <c r="F447" s="14"/>
      <c r="G447" s="14"/>
      <c r="H447" s="14"/>
      <c r="I447" s="14"/>
      <c r="J447" s="14"/>
      <c r="K447" s="12"/>
    </row>
    <row r="448" ht="19.5" customHeight="1">
      <c r="A448" s="12"/>
      <c r="C448" s="12"/>
      <c r="D448" s="87"/>
      <c r="F448" s="14"/>
      <c r="G448" s="14"/>
      <c r="H448" s="14"/>
      <c r="I448" s="14"/>
      <c r="J448" s="14"/>
      <c r="K448" s="12"/>
    </row>
    <row r="449" ht="19.5" customHeight="1">
      <c r="A449" s="12"/>
      <c r="C449" s="12"/>
      <c r="D449" s="87"/>
      <c r="F449" s="14"/>
      <c r="G449" s="14"/>
      <c r="H449" s="14"/>
      <c r="I449" s="14"/>
      <c r="J449" s="14"/>
      <c r="K449" s="12"/>
    </row>
    <row r="450" ht="19.5" customHeight="1">
      <c r="A450" s="12"/>
      <c r="C450" s="12"/>
      <c r="D450" s="87"/>
      <c r="F450" s="14"/>
      <c r="G450" s="14"/>
      <c r="H450" s="14"/>
      <c r="I450" s="14"/>
      <c r="J450" s="14"/>
      <c r="K450" s="12"/>
    </row>
    <row r="451" ht="19.5" customHeight="1">
      <c r="A451" s="12"/>
      <c r="C451" s="12"/>
      <c r="D451" s="87"/>
      <c r="F451" s="14"/>
      <c r="G451" s="14"/>
      <c r="H451" s="14"/>
      <c r="I451" s="14"/>
      <c r="J451" s="14"/>
      <c r="K451" s="12"/>
    </row>
    <row r="452" ht="19.5" customHeight="1">
      <c r="A452" s="12"/>
      <c r="C452" s="12"/>
      <c r="D452" s="87"/>
      <c r="F452" s="14"/>
      <c r="G452" s="14"/>
      <c r="H452" s="14"/>
      <c r="I452" s="14"/>
      <c r="J452" s="14"/>
      <c r="K452" s="12"/>
    </row>
    <row r="453" ht="19.5" customHeight="1">
      <c r="A453" s="12"/>
      <c r="C453" s="12"/>
      <c r="D453" s="87"/>
      <c r="F453" s="14"/>
      <c r="G453" s="14"/>
      <c r="H453" s="14"/>
      <c r="I453" s="14"/>
      <c r="J453" s="14"/>
      <c r="K453" s="12"/>
    </row>
    <row r="454" ht="19.5" customHeight="1">
      <c r="A454" s="12"/>
      <c r="C454" s="12"/>
      <c r="D454" s="87"/>
      <c r="F454" s="14"/>
      <c r="G454" s="14"/>
      <c r="H454" s="14"/>
      <c r="I454" s="14"/>
      <c r="J454" s="14"/>
      <c r="K454" s="12"/>
    </row>
    <row r="455" ht="19.5" customHeight="1">
      <c r="A455" s="12"/>
      <c r="C455" s="12"/>
      <c r="D455" s="87"/>
      <c r="F455" s="14"/>
      <c r="G455" s="14"/>
      <c r="H455" s="14"/>
      <c r="I455" s="14"/>
      <c r="J455" s="14"/>
      <c r="K455" s="12"/>
    </row>
    <row r="456" ht="19.5" customHeight="1">
      <c r="A456" s="12"/>
      <c r="C456" s="12"/>
      <c r="D456" s="87"/>
      <c r="F456" s="14"/>
      <c r="G456" s="14"/>
      <c r="H456" s="14"/>
      <c r="I456" s="14"/>
      <c r="J456" s="14"/>
      <c r="K456" s="12"/>
    </row>
    <row r="457" ht="19.5" customHeight="1">
      <c r="A457" s="12"/>
      <c r="C457" s="12"/>
      <c r="D457" s="87"/>
      <c r="F457" s="14"/>
      <c r="G457" s="14"/>
      <c r="H457" s="14"/>
      <c r="I457" s="14"/>
      <c r="J457" s="14"/>
      <c r="K457" s="12"/>
    </row>
    <row r="458" ht="19.5" customHeight="1">
      <c r="A458" s="12"/>
      <c r="C458" s="12"/>
      <c r="D458" s="87"/>
      <c r="F458" s="14"/>
      <c r="G458" s="14"/>
      <c r="H458" s="14"/>
      <c r="I458" s="14"/>
      <c r="J458" s="14"/>
      <c r="K458" s="12"/>
    </row>
    <row r="459" ht="19.5" customHeight="1">
      <c r="A459" s="12"/>
      <c r="C459" s="12"/>
      <c r="D459" s="87"/>
      <c r="F459" s="14"/>
      <c r="G459" s="14"/>
      <c r="H459" s="14"/>
      <c r="I459" s="14"/>
      <c r="J459" s="14"/>
      <c r="K459" s="12"/>
    </row>
    <row r="460" ht="19.5" customHeight="1">
      <c r="A460" s="12"/>
      <c r="C460" s="12"/>
      <c r="D460" s="87"/>
      <c r="F460" s="14"/>
      <c r="G460" s="14"/>
      <c r="H460" s="14"/>
      <c r="I460" s="14"/>
      <c r="J460" s="14"/>
      <c r="K460" s="12"/>
    </row>
    <row r="461" ht="19.5" customHeight="1">
      <c r="A461" s="12"/>
      <c r="C461" s="12"/>
      <c r="D461" s="87"/>
      <c r="F461" s="14"/>
      <c r="G461" s="14"/>
      <c r="H461" s="14"/>
      <c r="I461" s="14"/>
      <c r="J461" s="14"/>
      <c r="K461" s="12"/>
    </row>
    <row r="462" ht="19.5" customHeight="1">
      <c r="A462" s="12"/>
      <c r="C462" s="12"/>
      <c r="D462" s="87"/>
      <c r="F462" s="14"/>
      <c r="G462" s="14"/>
      <c r="H462" s="14"/>
      <c r="I462" s="14"/>
      <c r="J462" s="14"/>
      <c r="K462" s="12"/>
    </row>
    <row r="463" ht="19.5" customHeight="1">
      <c r="A463" s="12"/>
      <c r="C463" s="12"/>
      <c r="D463" s="87"/>
      <c r="F463" s="14"/>
      <c r="G463" s="14"/>
      <c r="H463" s="14"/>
      <c r="I463" s="14"/>
      <c r="J463" s="14"/>
      <c r="K463" s="12"/>
    </row>
    <row r="464" ht="19.5" customHeight="1">
      <c r="A464" s="12"/>
      <c r="C464" s="12"/>
      <c r="D464" s="87"/>
      <c r="F464" s="14"/>
      <c r="G464" s="14"/>
      <c r="H464" s="14"/>
      <c r="I464" s="14"/>
      <c r="J464" s="14"/>
      <c r="K464" s="12"/>
    </row>
    <row r="465" ht="19.5" customHeight="1">
      <c r="A465" s="12"/>
      <c r="C465" s="12"/>
      <c r="D465" s="87"/>
      <c r="F465" s="14"/>
      <c r="G465" s="14"/>
      <c r="H465" s="14"/>
      <c r="I465" s="14"/>
      <c r="J465" s="14"/>
      <c r="K465" s="12"/>
    </row>
    <row r="466" ht="19.5" customHeight="1">
      <c r="A466" s="12"/>
      <c r="C466" s="12"/>
      <c r="D466" s="87"/>
      <c r="F466" s="14"/>
      <c r="G466" s="14"/>
      <c r="H466" s="14"/>
      <c r="I466" s="14"/>
      <c r="J466" s="14"/>
      <c r="K466" s="12"/>
    </row>
    <row r="467" ht="19.5" customHeight="1">
      <c r="A467" s="12"/>
      <c r="C467" s="12"/>
      <c r="D467" s="87"/>
      <c r="F467" s="14"/>
      <c r="G467" s="14"/>
      <c r="H467" s="14"/>
      <c r="I467" s="14"/>
      <c r="J467" s="14"/>
      <c r="K467" s="12"/>
    </row>
    <row r="468" ht="19.5" customHeight="1">
      <c r="A468" s="12"/>
      <c r="C468" s="12"/>
      <c r="D468" s="87"/>
      <c r="F468" s="14"/>
      <c r="G468" s="14"/>
      <c r="H468" s="14"/>
      <c r="I468" s="14"/>
      <c r="J468" s="14"/>
      <c r="K468" s="12"/>
    </row>
    <row r="469" ht="19.5" customHeight="1">
      <c r="A469" s="12"/>
      <c r="C469" s="12"/>
      <c r="D469" s="87"/>
      <c r="F469" s="14"/>
      <c r="G469" s="14"/>
      <c r="H469" s="14"/>
      <c r="I469" s="14"/>
      <c r="J469" s="14"/>
      <c r="K469" s="12"/>
    </row>
    <row r="470" ht="19.5" customHeight="1">
      <c r="A470" s="12"/>
      <c r="C470" s="12"/>
      <c r="D470" s="87"/>
      <c r="F470" s="14"/>
      <c r="G470" s="14"/>
      <c r="H470" s="14"/>
      <c r="I470" s="14"/>
      <c r="J470" s="14"/>
      <c r="K470" s="12"/>
    </row>
    <row r="471" ht="19.5" customHeight="1">
      <c r="A471" s="12"/>
      <c r="C471" s="12"/>
      <c r="D471" s="87"/>
      <c r="F471" s="14"/>
      <c r="G471" s="14"/>
      <c r="H471" s="14"/>
      <c r="I471" s="14"/>
      <c r="J471" s="14"/>
      <c r="K471" s="12"/>
    </row>
    <row r="472" ht="19.5" customHeight="1">
      <c r="A472" s="12"/>
      <c r="C472" s="12"/>
      <c r="D472" s="87"/>
      <c r="F472" s="14"/>
      <c r="G472" s="14"/>
      <c r="H472" s="14"/>
      <c r="I472" s="14"/>
      <c r="J472" s="14"/>
      <c r="K472" s="12"/>
    </row>
    <row r="473" ht="19.5" customHeight="1">
      <c r="A473" s="12"/>
      <c r="C473" s="12"/>
      <c r="D473" s="87"/>
      <c r="F473" s="14"/>
      <c r="G473" s="14"/>
      <c r="H473" s="14"/>
      <c r="I473" s="14"/>
      <c r="J473" s="14"/>
      <c r="K473" s="12"/>
    </row>
    <row r="474" ht="19.5" customHeight="1">
      <c r="A474" s="12"/>
      <c r="C474" s="12"/>
      <c r="D474" s="87"/>
      <c r="F474" s="14"/>
      <c r="G474" s="14"/>
      <c r="H474" s="14"/>
      <c r="I474" s="14"/>
      <c r="J474" s="14"/>
      <c r="K474" s="12"/>
    </row>
    <row r="475" ht="19.5" customHeight="1">
      <c r="A475" s="12"/>
      <c r="C475" s="12"/>
      <c r="D475" s="87"/>
      <c r="F475" s="14"/>
      <c r="G475" s="14"/>
      <c r="H475" s="14"/>
      <c r="I475" s="14"/>
      <c r="J475" s="14"/>
      <c r="K475" s="12"/>
    </row>
    <row r="476" ht="19.5" customHeight="1">
      <c r="A476" s="12"/>
      <c r="C476" s="12"/>
      <c r="D476" s="87"/>
      <c r="F476" s="14"/>
      <c r="G476" s="14"/>
      <c r="H476" s="14"/>
      <c r="I476" s="14"/>
      <c r="J476" s="14"/>
      <c r="K476" s="12"/>
    </row>
    <row r="477" ht="19.5" customHeight="1">
      <c r="A477" s="12"/>
      <c r="C477" s="12"/>
      <c r="D477" s="87"/>
      <c r="F477" s="14"/>
      <c r="G477" s="14"/>
      <c r="H477" s="14"/>
      <c r="I477" s="14"/>
      <c r="J477" s="14"/>
      <c r="K477" s="12"/>
    </row>
    <row r="478" ht="19.5" customHeight="1">
      <c r="A478" s="12"/>
      <c r="C478" s="12"/>
      <c r="D478" s="87"/>
      <c r="F478" s="14"/>
      <c r="G478" s="14"/>
      <c r="H478" s="14"/>
      <c r="I478" s="14"/>
      <c r="J478" s="14"/>
      <c r="K478" s="12"/>
    </row>
    <row r="479" ht="19.5" customHeight="1">
      <c r="A479" s="12"/>
      <c r="C479" s="12"/>
      <c r="D479" s="87"/>
      <c r="F479" s="14"/>
      <c r="G479" s="14"/>
      <c r="H479" s="14"/>
      <c r="I479" s="14"/>
      <c r="J479" s="14"/>
      <c r="K479" s="12"/>
    </row>
    <row r="480" ht="19.5" customHeight="1">
      <c r="A480" s="12"/>
      <c r="C480" s="12"/>
      <c r="D480" s="87"/>
      <c r="F480" s="14"/>
      <c r="G480" s="14"/>
      <c r="H480" s="14"/>
      <c r="I480" s="14"/>
      <c r="J480" s="14"/>
      <c r="K480" s="12"/>
    </row>
    <row r="481" ht="19.5" customHeight="1">
      <c r="A481" s="12"/>
      <c r="C481" s="12"/>
      <c r="D481" s="87"/>
      <c r="F481" s="14"/>
      <c r="G481" s="14"/>
      <c r="H481" s="14"/>
      <c r="I481" s="14"/>
      <c r="J481" s="14"/>
      <c r="K481" s="12"/>
    </row>
    <row r="482" ht="19.5" customHeight="1">
      <c r="A482" s="12"/>
      <c r="C482" s="12"/>
      <c r="D482" s="87"/>
      <c r="F482" s="14"/>
      <c r="G482" s="14"/>
      <c r="H482" s="14"/>
      <c r="I482" s="14"/>
      <c r="J482" s="14"/>
      <c r="K482" s="12"/>
    </row>
    <row r="483" ht="19.5" customHeight="1">
      <c r="A483" s="12"/>
      <c r="C483" s="12"/>
      <c r="D483" s="87"/>
      <c r="F483" s="14"/>
      <c r="G483" s="14"/>
      <c r="H483" s="14"/>
      <c r="I483" s="14"/>
      <c r="J483" s="14"/>
      <c r="K483" s="12"/>
    </row>
    <row r="484" ht="19.5" customHeight="1">
      <c r="A484" s="12"/>
      <c r="C484" s="12"/>
      <c r="D484" s="87"/>
      <c r="F484" s="14"/>
      <c r="G484" s="14"/>
      <c r="H484" s="14"/>
      <c r="I484" s="14"/>
      <c r="J484" s="14"/>
      <c r="K484" s="12"/>
    </row>
    <row r="485" ht="19.5" customHeight="1">
      <c r="A485" s="12"/>
      <c r="C485" s="12"/>
      <c r="D485" s="87"/>
      <c r="F485" s="14"/>
      <c r="G485" s="14"/>
      <c r="H485" s="14"/>
      <c r="I485" s="14"/>
      <c r="J485" s="14"/>
      <c r="K485" s="12"/>
    </row>
    <row r="486" ht="19.5" customHeight="1">
      <c r="A486" s="12"/>
      <c r="C486" s="12"/>
      <c r="D486" s="87"/>
      <c r="F486" s="14"/>
      <c r="G486" s="14"/>
      <c r="H486" s="14"/>
      <c r="I486" s="14"/>
      <c r="J486" s="14"/>
      <c r="K486" s="12"/>
    </row>
    <row r="487" ht="19.5" customHeight="1">
      <c r="A487" s="12"/>
      <c r="C487" s="12"/>
      <c r="D487" s="87"/>
      <c r="F487" s="14"/>
      <c r="G487" s="14"/>
      <c r="H487" s="14"/>
      <c r="I487" s="14"/>
      <c r="J487" s="14"/>
      <c r="K487" s="12"/>
    </row>
    <row r="488" ht="19.5" customHeight="1">
      <c r="A488" s="12"/>
      <c r="C488" s="12"/>
      <c r="D488" s="87"/>
      <c r="F488" s="14"/>
      <c r="G488" s="14"/>
      <c r="H488" s="14"/>
      <c r="I488" s="14"/>
      <c r="J488" s="14"/>
      <c r="K488" s="12"/>
    </row>
    <row r="489" ht="19.5" customHeight="1">
      <c r="A489" s="12"/>
      <c r="C489" s="12"/>
      <c r="D489" s="87"/>
      <c r="F489" s="14"/>
      <c r="G489" s="14"/>
      <c r="H489" s="14"/>
      <c r="I489" s="14"/>
      <c r="J489" s="14"/>
      <c r="K489" s="12"/>
    </row>
    <row r="490" ht="19.5" customHeight="1">
      <c r="A490" s="12"/>
      <c r="C490" s="12"/>
      <c r="D490" s="87"/>
      <c r="F490" s="14"/>
      <c r="G490" s="14"/>
      <c r="H490" s="14"/>
      <c r="I490" s="14"/>
      <c r="J490" s="14"/>
      <c r="K490" s="12"/>
    </row>
    <row r="491" ht="19.5" customHeight="1">
      <c r="A491" s="12"/>
      <c r="C491" s="12"/>
      <c r="D491" s="87"/>
      <c r="F491" s="14"/>
      <c r="G491" s="14"/>
      <c r="H491" s="14"/>
      <c r="I491" s="14"/>
      <c r="J491" s="14"/>
      <c r="K491" s="12"/>
    </row>
    <row r="492" ht="19.5" customHeight="1">
      <c r="A492" s="12"/>
      <c r="C492" s="12"/>
      <c r="D492" s="87"/>
      <c r="F492" s="14"/>
      <c r="G492" s="14"/>
      <c r="H492" s="14"/>
      <c r="I492" s="14"/>
      <c r="J492" s="14"/>
      <c r="K492" s="12"/>
    </row>
    <row r="493" ht="19.5" customHeight="1">
      <c r="A493" s="12"/>
      <c r="C493" s="12"/>
      <c r="D493" s="87"/>
      <c r="F493" s="14"/>
      <c r="G493" s="14"/>
      <c r="H493" s="14"/>
      <c r="I493" s="14"/>
      <c r="J493" s="14"/>
      <c r="K493" s="12"/>
    </row>
    <row r="494" ht="19.5" customHeight="1">
      <c r="A494" s="12"/>
      <c r="C494" s="12"/>
      <c r="D494" s="87"/>
      <c r="F494" s="14"/>
      <c r="G494" s="14"/>
      <c r="H494" s="14"/>
      <c r="I494" s="14"/>
      <c r="J494" s="14"/>
      <c r="K494" s="12"/>
    </row>
    <row r="495" ht="19.5" customHeight="1">
      <c r="A495" s="12"/>
      <c r="C495" s="12"/>
      <c r="D495" s="87"/>
      <c r="F495" s="14"/>
      <c r="G495" s="14"/>
      <c r="H495" s="14"/>
      <c r="I495" s="14"/>
      <c r="J495" s="14"/>
      <c r="K495" s="12"/>
    </row>
    <row r="496" ht="19.5" customHeight="1">
      <c r="A496" s="12"/>
      <c r="C496" s="12"/>
      <c r="D496" s="87"/>
      <c r="F496" s="14"/>
      <c r="G496" s="14"/>
      <c r="H496" s="14"/>
      <c r="I496" s="14"/>
      <c r="J496" s="14"/>
      <c r="K496" s="12"/>
    </row>
    <row r="497" ht="19.5" customHeight="1">
      <c r="A497" s="12"/>
      <c r="C497" s="12"/>
      <c r="D497" s="87"/>
      <c r="F497" s="14"/>
      <c r="G497" s="14"/>
      <c r="H497" s="14"/>
      <c r="I497" s="14"/>
      <c r="J497" s="14"/>
      <c r="K497" s="12"/>
    </row>
    <row r="498" ht="19.5" customHeight="1">
      <c r="A498" s="12"/>
      <c r="C498" s="12"/>
      <c r="D498" s="87"/>
      <c r="F498" s="14"/>
      <c r="G498" s="14"/>
      <c r="H498" s="14"/>
      <c r="I498" s="14"/>
      <c r="J498" s="14"/>
      <c r="K498" s="12"/>
    </row>
    <row r="499" ht="19.5" customHeight="1">
      <c r="A499" s="12"/>
      <c r="C499" s="12"/>
      <c r="D499" s="87"/>
      <c r="F499" s="14"/>
      <c r="G499" s="14"/>
      <c r="H499" s="14"/>
      <c r="I499" s="14"/>
      <c r="J499" s="14"/>
      <c r="K499" s="12"/>
    </row>
    <row r="500" ht="19.5" customHeight="1">
      <c r="A500" s="12"/>
      <c r="C500" s="12"/>
      <c r="D500" s="87"/>
      <c r="F500" s="14"/>
      <c r="G500" s="14"/>
      <c r="H500" s="14"/>
      <c r="I500" s="14"/>
      <c r="J500" s="14"/>
      <c r="K500" s="12"/>
    </row>
    <row r="501" ht="19.5" customHeight="1">
      <c r="A501" s="12"/>
      <c r="C501" s="12"/>
      <c r="D501" s="87"/>
      <c r="F501" s="14"/>
      <c r="G501" s="14"/>
      <c r="H501" s="14"/>
      <c r="I501" s="14"/>
      <c r="J501" s="14"/>
      <c r="K501" s="12"/>
    </row>
    <row r="502" ht="19.5" customHeight="1">
      <c r="A502" s="12"/>
      <c r="C502" s="12"/>
      <c r="D502" s="87"/>
      <c r="F502" s="14"/>
      <c r="G502" s="14"/>
      <c r="H502" s="14"/>
      <c r="I502" s="14"/>
      <c r="J502" s="14"/>
      <c r="K502" s="12"/>
    </row>
    <row r="503" ht="19.5" customHeight="1">
      <c r="A503" s="12"/>
      <c r="C503" s="12"/>
      <c r="D503" s="87"/>
      <c r="F503" s="14"/>
      <c r="G503" s="14"/>
      <c r="H503" s="14"/>
      <c r="I503" s="14"/>
      <c r="J503" s="14"/>
      <c r="K503" s="12"/>
    </row>
    <row r="504" ht="19.5" customHeight="1">
      <c r="A504" s="12"/>
      <c r="C504" s="12"/>
      <c r="D504" s="87"/>
      <c r="F504" s="14"/>
      <c r="G504" s="14"/>
      <c r="H504" s="14"/>
      <c r="I504" s="14"/>
      <c r="J504" s="14"/>
      <c r="K504" s="12"/>
    </row>
    <row r="505" ht="19.5" customHeight="1">
      <c r="A505" s="12"/>
      <c r="C505" s="12"/>
      <c r="D505" s="87"/>
      <c r="F505" s="14"/>
      <c r="G505" s="14"/>
      <c r="H505" s="14"/>
      <c r="I505" s="14"/>
      <c r="J505" s="14"/>
      <c r="K505" s="12"/>
    </row>
    <row r="506" ht="19.5" customHeight="1">
      <c r="A506" s="12"/>
      <c r="C506" s="12"/>
      <c r="D506" s="87"/>
      <c r="F506" s="14"/>
      <c r="G506" s="14"/>
      <c r="H506" s="14"/>
      <c r="I506" s="14"/>
      <c r="J506" s="14"/>
      <c r="K506" s="12"/>
    </row>
    <row r="507" ht="19.5" customHeight="1">
      <c r="A507" s="12"/>
      <c r="C507" s="12"/>
      <c r="D507" s="87"/>
      <c r="F507" s="14"/>
      <c r="G507" s="14"/>
      <c r="H507" s="14"/>
      <c r="I507" s="14"/>
      <c r="J507" s="14"/>
      <c r="K507" s="12"/>
    </row>
    <row r="508" ht="19.5" customHeight="1">
      <c r="A508" s="12"/>
      <c r="C508" s="12"/>
      <c r="D508" s="87"/>
      <c r="F508" s="14"/>
      <c r="G508" s="14"/>
      <c r="H508" s="14"/>
      <c r="I508" s="14"/>
      <c r="J508" s="14"/>
      <c r="K508" s="12"/>
    </row>
    <row r="509" ht="19.5" customHeight="1">
      <c r="A509" s="12"/>
      <c r="C509" s="12"/>
      <c r="D509" s="87"/>
      <c r="F509" s="14"/>
      <c r="G509" s="14"/>
      <c r="H509" s="14"/>
      <c r="I509" s="14"/>
      <c r="J509" s="14"/>
      <c r="K509" s="12"/>
    </row>
    <row r="510" ht="19.5" customHeight="1">
      <c r="A510" s="12"/>
      <c r="C510" s="12"/>
      <c r="D510" s="87"/>
      <c r="F510" s="14"/>
      <c r="G510" s="14"/>
      <c r="H510" s="14"/>
      <c r="I510" s="14"/>
      <c r="J510" s="14"/>
      <c r="K510" s="12"/>
    </row>
    <row r="511" ht="19.5" customHeight="1">
      <c r="A511" s="12"/>
      <c r="C511" s="12"/>
      <c r="D511" s="87"/>
      <c r="F511" s="14"/>
      <c r="G511" s="14"/>
      <c r="H511" s="14"/>
      <c r="I511" s="14"/>
      <c r="J511" s="14"/>
      <c r="K511" s="12"/>
    </row>
    <row r="512" ht="19.5" customHeight="1">
      <c r="A512" s="12"/>
      <c r="C512" s="12"/>
      <c r="D512" s="87"/>
      <c r="F512" s="14"/>
      <c r="G512" s="14"/>
      <c r="H512" s="14"/>
      <c r="I512" s="14"/>
      <c r="J512" s="14"/>
      <c r="K512" s="12"/>
    </row>
    <row r="513" ht="19.5" customHeight="1">
      <c r="A513" s="12"/>
      <c r="C513" s="12"/>
      <c r="D513" s="87"/>
      <c r="F513" s="14"/>
      <c r="G513" s="14"/>
      <c r="H513" s="14"/>
      <c r="I513" s="14"/>
      <c r="J513" s="14"/>
      <c r="K513" s="12"/>
    </row>
    <row r="514" ht="19.5" customHeight="1">
      <c r="A514" s="12"/>
      <c r="C514" s="12"/>
      <c r="D514" s="87"/>
      <c r="F514" s="14"/>
      <c r="G514" s="14"/>
      <c r="H514" s="14"/>
      <c r="I514" s="14"/>
      <c r="J514" s="14"/>
      <c r="K514" s="12"/>
    </row>
    <row r="515" ht="19.5" customHeight="1">
      <c r="A515" s="12"/>
      <c r="C515" s="12"/>
      <c r="D515" s="87"/>
      <c r="F515" s="14"/>
      <c r="G515" s="14"/>
      <c r="H515" s="14"/>
      <c r="I515" s="14"/>
      <c r="J515" s="14"/>
      <c r="K515" s="12"/>
    </row>
    <row r="516" ht="19.5" customHeight="1">
      <c r="A516" s="12"/>
      <c r="C516" s="12"/>
      <c r="D516" s="87"/>
      <c r="F516" s="14"/>
      <c r="G516" s="14"/>
      <c r="H516" s="14"/>
      <c r="I516" s="14"/>
      <c r="J516" s="14"/>
      <c r="K516" s="12"/>
    </row>
    <row r="517" ht="19.5" customHeight="1">
      <c r="A517" s="12"/>
      <c r="C517" s="12"/>
      <c r="D517" s="87"/>
      <c r="F517" s="14"/>
      <c r="G517" s="14"/>
      <c r="H517" s="14"/>
      <c r="I517" s="14"/>
      <c r="J517" s="14"/>
      <c r="K517" s="12"/>
    </row>
    <row r="518" ht="19.5" customHeight="1">
      <c r="A518" s="12"/>
      <c r="C518" s="12"/>
      <c r="D518" s="87"/>
      <c r="F518" s="14"/>
      <c r="G518" s="14"/>
      <c r="H518" s="14"/>
      <c r="I518" s="14"/>
      <c r="J518" s="14"/>
      <c r="K518" s="12"/>
    </row>
    <row r="519" ht="19.5" customHeight="1">
      <c r="A519" s="12"/>
      <c r="C519" s="12"/>
      <c r="D519" s="87"/>
      <c r="F519" s="14"/>
      <c r="G519" s="14"/>
      <c r="H519" s="14"/>
      <c r="I519" s="14"/>
      <c r="J519" s="14"/>
      <c r="K519" s="12"/>
    </row>
    <row r="520" ht="19.5" customHeight="1">
      <c r="A520" s="12"/>
      <c r="C520" s="12"/>
      <c r="D520" s="87"/>
      <c r="F520" s="14"/>
      <c r="G520" s="14"/>
      <c r="H520" s="14"/>
      <c r="I520" s="14"/>
      <c r="J520" s="14"/>
      <c r="K520" s="12"/>
    </row>
    <row r="521" ht="19.5" customHeight="1">
      <c r="A521" s="12"/>
      <c r="C521" s="12"/>
      <c r="D521" s="87"/>
      <c r="F521" s="14"/>
      <c r="G521" s="14"/>
      <c r="H521" s="14"/>
      <c r="I521" s="14"/>
      <c r="J521" s="14"/>
      <c r="K521" s="12"/>
    </row>
    <row r="522" ht="19.5" customHeight="1">
      <c r="A522" s="12"/>
      <c r="C522" s="12"/>
      <c r="D522" s="87"/>
      <c r="F522" s="14"/>
      <c r="G522" s="14"/>
      <c r="H522" s="14"/>
      <c r="I522" s="14"/>
      <c r="J522" s="14"/>
      <c r="K522" s="12"/>
    </row>
    <row r="523" ht="19.5" customHeight="1">
      <c r="A523" s="12"/>
      <c r="C523" s="12"/>
      <c r="D523" s="87"/>
      <c r="F523" s="14"/>
      <c r="G523" s="14"/>
      <c r="H523" s="14"/>
      <c r="I523" s="14"/>
      <c r="J523" s="14"/>
      <c r="K523" s="12"/>
    </row>
    <row r="524" ht="19.5" customHeight="1">
      <c r="A524" s="12"/>
      <c r="C524" s="12"/>
      <c r="D524" s="87"/>
      <c r="F524" s="14"/>
      <c r="G524" s="14"/>
      <c r="H524" s="14"/>
      <c r="I524" s="14"/>
      <c r="J524" s="14"/>
      <c r="K524" s="12"/>
    </row>
    <row r="525" ht="19.5" customHeight="1">
      <c r="A525" s="12"/>
      <c r="C525" s="12"/>
      <c r="D525" s="87"/>
      <c r="F525" s="14"/>
      <c r="G525" s="14"/>
      <c r="H525" s="14"/>
      <c r="I525" s="14"/>
      <c r="J525" s="14"/>
      <c r="K525" s="12"/>
    </row>
    <row r="526" ht="19.5" customHeight="1">
      <c r="A526" s="12"/>
      <c r="C526" s="12"/>
      <c r="D526" s="87"/>
      <c r="F526" s="14"/>
      <c r="G526" s="14"/>
      <c r="H526" s="14"/>
      <c r="I526" s="14"/>
      <c r="J526" s="14"/>
      <c r="K526" s="12"/>
    </row>
    <row r="527" ht="19.5" customHeight="1">
      <c r="A527" s="12"/>
      <c r="C527" s="12"/>
      <c r="D527" s="87"/>
      <c r="F527" s="14"/>
      <c r="G527" s="14"/>
      <c r="H527" s="14"/>
      <c r="I527" s="14"/>
      <c r="J527" s="14"/>
      <c r="K527" s="12"/>
    </row>
    <row r="528" ht="19.5" customHeight="1">
      <c r="A528" s="12"/>
      <c r="C528" s="12"/>
      <c r="D528" s="87"/>
      <c r="F528" s="14"/>
      <c r="G528" s="14"/>
      <c r="H528" s="14"/>
      <c r="I528" s="14"/>
      <c r="J528" s="14"/>
      <c r="K528" s="12"/>
    </row>
    <row r="529" ht="19.5" customHeight="1">
      <c r="A529" s="12"/>
      <c r="C529" s="12"/>
      <c r="D529" s="87"/>
      <c r="F529" s="14"/>
      <c r="G529" s="14"/>
      <c r="H529" s="14"/>
      <c r="I529" s="14"/>
      <c r="J529" s="14"/>
      <c r="K529" s="12"/>
    </row>
    <row r="530" ht="19.5" customHeight="1">
      <c r="A530" s="12"/>
      <c r="C530" s="12"/>
      <c r="D530" s="87"/>
      <c r="F530" s="14"/>
      <c r="G530" s="14"/>
      <c r="H530" s="14"/>
      <c r="I530" s="14"/>
      <c r="J530" s="14"/>
      <c r="K530" s="12"/>
    </row>
    <row r="531" ht="19.5" customHeight="1">
      <c r="A531" s="12"/>
      <c r="C531" s="12"/>
      <c r="D531" s="87"/>
      <c r="F531" s="14"/>
      <c r="G531" s="14"/>
      <c r="H531" s="14"/>
      <c r="I531" s="14"/>
      <c r="J531" s="14"/>
      <c r="K531" s="12"/>
    </row>
    <row r="532" ht="19.5" customHeight="1">
      <c r="A532" s="12"/>
      <c r="C532" s="12"/>
      <c r="D532" s="87"/>
      <c r="F532" s="14"/>
      <c r="G532" s="14"/>
      <c r="H532" s="14"/>
      <c r="I532" s="14"/>
      <c r="J532" s="14"/>
      <c r="K532" s="12"/>
    </row>
    <row r="533" ht="19.5" customHeight="1">
      <c r="A533" s="12"/>
      <c r="C533" s="12"/>
      <c r="D533" s="87"/>
      <c r="F533" s="14"/>
      <c r="G533" s="14"/>
      <c r="H533" s="14"/>
      <c r="I533" s="14"/>
      <c r="J533" s="14"/>
      <c r="K533" s="12"/>
    </row>
    <row r="534" ht="19.5" customHeight="1">
      <c r="A534" s="12"/>
      <c r="C534" s="12"/>
      <c r="D534" s="87"/>
      <c r="F534" s="14"/>
      <c r="G534" s="14"/>
      <c r="H534" s="14"/>
      <c r="I534" s="14"/>
      <c r="J534" s="14"/>
      <c r="K534" s="12"/>
    </row>
    <row r="535" ht="19.5" customHeight="1">
      <c r="A535" s="12"/>
      <c r="C535" s="12"/>
      <c r="D535" s="87"/>
      <c r="F535" s="14"/>
      <c r="G535" s="14"/>
      <c r="H535" s="14"/>
      <c r="I535" s="14"/>
      <c r="J535" s="14"/>
      <c r="K535" s="12"/>
    </row>
    <row r="536" ht="19.5" customHeight="1">
      <c r="A536" s="12"/>
      <c r="C536" s="12"/>
      <c r="D536" s="87"/>
      <c r="F536" s="14"/>
      <c r="G536" s="14"/>
      <c r="H536" s="14"/>
      <c r="I536" s="14"/>
      <c r="J536" s="14"/>
      <c r="K536" s="12"/>
    </row>
    <row r="537" ht="19.5" customHeight="1">
      <c r="A537" s="12"/>
      <c r="C537" s="12"/>
      <c r="D537" s="87"/>
      <c r="F537" s="14"/>
      <c r="G537" s="14"/>
      <c r="H537" s="14"/>
      <c r="I537" s="14"/>
      <c r="J537" s="14"/>
      <c r="K537" s="12"/>
    </row>
    <row r="538" ht="19.5" customHeight="1">
      <c r="A538" s="12"/>
      <c r="C538" s="12"/>
      <c r="D538" s="87"/>
      <c r="F538" s="14"/>
      <c r="G538" s="14"/>
      <c r="H538" s="14"/>
      <c r="I538" s="14"/>
      <c r="J538" s="14"/>
      <c r="K538" s="12"/>
    </row>
    <row r="539" ht="19.5" customHeight="1">
      <c r="A539" s="12"/>
      <c r="C539" s="12"/>
      <c r="D539" s="87"/>
      <c r="F539" s="14"/>
      <c r="G539" s="14"/>
      <c r="H539" s="14"/>
      <c r="I539" s="14"/>
      <c r="J539" s="14"/>
      <c r="K539" s="12"/>
    </row>
    <row r="540" ht="19.5" customHeight="1">
      <c r="A540" s="12"/>
      <c r="C540" s="12"/>
      <c r="D540" s="87"/>
      <c r="F540" s="14"/>
      <c r="G540" s="14"/>
      <c r="H540" s="14"/>
      <c r="I540" s="14"/>
      <c r="J540" s="14"/>
      <c r="K540" s="12"/>
    </row>
    <row r="541" ht="19.5" customHeight="1">
      <c r="A541" s="12"/>
      <c r="C541" s="12"/>
      <c r="D541" s="87"/>
      <c r="F541" s="14"/>
      <c r="G541" s="14"/>
      <c r="H541" s="14"/>
      <c r="I541" s="14"/>
      <c r="J541" s="14"/>
      <c r="K541" s="12"/>
    </row>
    <row r="542" ht="19.5" customHeight="1">
      <c r="A542" s="12"/>
      <c r="C542" s="12"/>
      <c r="D542" s="87"/>
      <c r="F542" s="14"/>
      <c r="G542" s="14"/>
      <c r="H542" s="14"/>
      <c r="I542" s="14"/>
      <c r="J542" s="14"/>
      <c r="K542" s="12"/>
    </row>
    <row r="543" ht="19.5" customHeight="1">
      <c r="A543" s="12"/>
      <c r="C543" s="12"/>
      <c r="D543" s="87"/>
      <c r="F543" s="14"/>
      <c r="G543" s="14"/>
      <c r="H543" s="14"/>
      <c r="I543" s="14"/>
      <c r="J543" s="14"/>
      <c r="K543" s="12"/>
    </row>
    <row r="544" ht="19.5" customHeight="1">
      <c r="A544" s="12"/>
      <c r="C544" s="12"/>
      <c r="D544" s="87"/>
      <c r="F544" s="14"/>
      <c r="G544" s="14"/>
      <c r="H544" s="14"/>
      <c r="I544" s="14"/>
      <c r="J544" s="14"/>
      <c r="K544" s="12"/>
    </row>
    <row r="545" ht="19.5" customHeight="1">
      <c r="A545" s="12"/>
      <c r="C545" s="12"/>
      <c r="D545" s="87"/>
      <c r="F545" s="14"/>
      <c r="G545" s="14"/>
      <c r="H545" s="14"/>
      <c r="I545" s="14"/>
      <c r="J545" s="14"/>
      <c r="K545" s="12"/>
    </row>
    <row r="546" ht="19.5" customHeight="1">
      <c r="A546" s="12"/>
      <c r="C546" s="12"/>
      <c r="D546" s="87"/>
      <c r="F546" s="14"/>
      <c r="G546" s="14"/>
      <c r="H546" s="14"/>
      <c r="I546" s="14"/>
      <c r="J546" s="14"/>
      <c r="K546" s="12"/>
    </row>
    <row r="547" ht="19.5" customHeight="1">
      <c r="A547" s="12"/>
      <c r="C547" s="12"/>
      <c r="D547" s="87"/>
      <c r="F547" s="14"/>
      <c r="G547" s="14"/>
      <c r="H547" s="14"/>
      <c r="I547" s="14"/>
      <c r="J547" s="14"/>
      <c r="K547" s="12"/>
    </row>
    <row r="548" ht="19.5" customHeight="1">
      <c r="A548" s="12"/>
      <c r="C548" s="12"/>
      <c r="D548" s="87"/>
      <c r="F548" s="14"/>
      <c r="G548" s="14"/>
      <c r="H548" s="14"/>
      <c r="I548" s="14"/>
      <c r="J548" s="14"/>
      <c r="K548" s="12"/>
    </row>
    <row r="549" ht="19.5" customHeight="1">
      <c r="A549" s="12"/>
      <c r="C549" s="12"/>
      <c r="D549" s="87"/>
      <c r="F549" s="14"/>
      <c r="G549" s="14"/>
      <c r="H549" s="14"/>
      <c r="I549" s="14"/>
      <c r="J549" s="14"/>
      <c r="K549" s="12"/>
    </row>
    <row r="550" ht="19.5" customHeight="1">
      <c r="A550" s="12"/>
      <c r="C550" s="12"/>
      <c r="D550" s="87"/>
      <c r="F550" s="14"/>
      <c r="G550" s="14"/>
      <c r="H550" s="14"/>
      <c r="I550" s="14"/>
      <c r="J550" s="14"/>
      <c r="K550" s="12"/>
    </row>
    <row r="551" ht="19.5" customHeight="1">
      <c r="A551" s="12"/>
      <c r="C551" s="12"/>
      <c r="D551" s="87"/>
      <c r="F551" s="14"/>
      <c r="G551" s="14"/>
      <c r="H551" s="14"/>
      <c r="I551" s="14"/>
      <c r="J551" s="14"/>
      <c r="K551" s="12"/>
    </row>
    <row r="552" ht="19.5" customHeight="1">
      <c r="A552" s="12"/>
      <c r="C552" s="12"/>
      <c r="D552" s="87"/>
      <c r="F552" s="14"/>
      <c r="G552" s="14"/>
      <c r="H552" s="14"/>
      <c r="I552" s="14"/>
      <c r="J552" s="14"/>
      <c r="K552" s="12"/>
    </row>
    <row r="553" ht="19.5" customHeight="1">
      <c r="A553" s="12"/>
      <c r="C553" s="12"/>
      <c r="D553" s="87"/>
      <c r="F553" s="14"/>
      <c r="G553" s="14"/>
      <c r="H553" s="14"/>
      <c r="I553" s="14"/>
      <c r="J553" s="14"/>
      <c r="K553" s="12"/>
    </row>
    <row r="554" ht="19.5" customHeight="1">
      <c r="A554" s="12"/>
      <c r="C554" s="12"/>
      <c r="D554" s="87"/>
      <c r="F554" s="14"/>
      <c r="G554" s="14"/>
      <c r="H554" s="14"/>
      <c r="I554" s="14"/>
      <c r="J554" s="14"/>
      <c r="K554" s="12"/>
    </row>
    <row r="555" ht="19.5" customHeight="1">
      <c r="A555" s="12"/>
      <c r="C555" s="12"/>
      <c r="D555" s="87"/>
      <c r="F555" s="14"/>
      <c r="G555" s="14"/>
      <c r="H555" s="14"/>
      <c r="I555" s="14"/>
      <c r="J555" s="14"/>
      <c r="K555" s="12"/>
    </row>
    <row r="556" ht="19.5" customHeight="1">
      <c r="A556" s="12"/>
      <c r="C556" s="12"/>
      <c r="D556" s="87"/>
      <c r="F556" s="14"/>
      <c r="G556" s="14"/>
      <c r="H556" s="14"/>
      <c r="I556" s="14"/>
      <c r="J556" s="14"/>
      <c r="K556" s="12"/>
    </row>
    <row r="557" ht="19.5" customHeight="1">
      <c r="A557" s="12"/>
      <c r="C557" s="12"/>
      <c r="D557" s="87"/>
      <c r="F557" s="14"/>
      <c r="G557" s="14"/>
      <c r="H557" s="14"/>
      <c r="I557" s="14"/>
      <c r="J557" s="14"/>
      <c r="K557" s="12"/>
    </row>
    <row r="558" ht="19.5" customHeight="1">
      <c r="A558" s="12"/>
      <c r="C558" s="12"/>
      <c r="D558" s="87"/>
      <c r="F558" s="14"/>
      <c r="G558" s="14"/>
      <c r="H558" s="14"/>
      <c r="I558" s="14"/>
      <c r="J558" s="14"/>
      <c r="K558" s="12"/>
    </row>
    <row r="559" ht="19.5" customHeight="1">
      <c r="A559" s="12"/>
      <c r="C559" s="12"/>
      <c r="D559" s="87"/>
      <c r="F559" s="14"/>
      <c r="G559" s="14"/>
      <c r="H559" s="14"/>
      <c r="I559" s="14"/>
      <c r="J559" s="14"/>
      <c r="K559" s="12"/>
    </row>
    <row r="560" ht="19.5" customHeight="1">
      <c r="A560" s="12"/>
      <c r="C560" s="12"/>
      <c r="D560" s="87"/>
      <c r="F560" s="14"/>
      <c r="G560" s="14"/>
      <c r="H560" s="14"/>
      <c r="I560" s="14"/>
      <c r="J560" s="14"/>
      <c r="K560" s="12"/>
    </row>
    <row r="561" ht="19.5" customHeight="1">
      <c r="A561" s="12"/>
      <c r="C561" s="12"/>
      <c r="D561" s="87"/>
      <c r="F561" s="14"/>
      <c r="G561" s="14"/>
      <c r="H561" s="14"/>
      <c r="I561" s="14"/>
      <c r="J561" s="14"/>
      <c r="K561" s="12"/>
    </row>
    <row r="562" ht="19.5" customHeight="1">
      <c r="A562" s="12"/>
      <c r="C562" s="12"/>
      <c r="D562" s="87"/>
      <c r="F562" s="14"/>
      <c r="G562" s="14"/>
      <c r="H562" s="14"/>
      <c r="I562" s="14"/>
      <c r="J562" s="14"/>
      <c r="K562" s="12"/>
    </row>
    <row r="563" ht="19.5" customHeight="1">
      <c r="A563" s="12"/>
      <c r="C563" s="12"/>
      <c r="D563" s="87"/>
      <c r="F563" s="14"/>
      <c r="G563" s="14"/>
      <c r="H563" s="14"/>
      <c r="I563" s="14"/>
      <c r="J563" s="14"/>
      <c r="K563" s="12"/>
    </row>
    <row r="564" ht="19.5" customHeight="1">
      <c r="A564" s="12"/>
      <c r="C564" s="12"/>
      <c r="D564" s="87"/>
      <c r="F564" s="14"/>
      <c r="G564" s="14"/>
      <c r="H564" s="14"/>
      <c r="I564" s="14"/>
      <c r="J564" s="14"/>
      <c r="K564" s="12"/>
    </row>
    <row r="565" ht="19.5" customHeight="1">
      <c r="A565" s="12"/>
      <c r="C565" s="12"/>
      <c r="D565" s="87"/>
      <c r="F565" s="14"/>
      <c r="G565" s="14"/>
      <c r="H565" s="14"/>
      <c r="I565" s="14"/>
      <c r="J565" s="14"/>
      <c r="K565" s="12"/>
    </row>
    <row r="566" ht="19.5" customHeight="1">
      <c r="A566" s="12"/>
      <c r="C566" s="12"/>
      <c r="D566" s="87"/>
      <c r="F566" s="14"/>
      <c r="G566" s="14"/>
      <c r="H566" s="14"/>
      <c r="I566" s="14"/>
      <c r="J566" s="14"/>
      <c r="K566" s="12"/>
    </row>
    <row r="567" ht="19.5" customHeight="1">
      <c r="A567" s="12"/>
      <c r="C567" s="12"/>
      <c r="D567" s="87"/>
      <c r="F567" s="14"/>
      <c r="G567" s="14"/>
      <c r="H567" s="14"/>
      <c r="I567" s="14"/>
      <c r="J567" s="14"/>
      <c r="K567" s="12"/>
    </row>
    <row r="568" ht="19.5" customHeight="1">
      <c r="A568" s="12"/>
      <c r="C568" s="12"/>
      <c r="D568" s="87"/>
      <c r="F568" s="14"/>
      <c r="G568" s="14"/>
      <c r="H568" s="14"/>
      <c r="I568" s="14"/>
      <c r="J568" s="14"/>
      <c r="K568" s="12"/>
    </row>
    <row r="569" ht="19.5" customHeight="1">
      <c r="A569" s="12"/>
      <c r="C569" s="12"/>
      <c r="D569" s="87"/>
      <c r="F569" s="14"/>
      <c r="G569" s="14"/>
      <c r="H569" s="14"/>
      <c r="I569" s="14"/>
      <c r="J569" s="14"/>
      <c r="K569" s="12"/>
    </row>
    <row r="570" ht="19.5" customHeight="1">
      <c r="A570" s="12"/>
      <c r="C570" s="12"/>
      <c r="D570" s="87"/>
      <c r="F570" s="14"/>
      <c r="G570" s="14"/>
      <c r="H570" s="14"/>
      <c r="I570" s="14"/>
      <c r="J570" s="14"/>
      <c r="K570" s="12"/>
    </row>
    <row r="571" ht="19.5" customHeight="1">
      <c r="A571" s="12"/>
      <c r="C571" s="12"/>
      <c r="D571" s="87"/>
      <c r="F571" s="14"/>
      <c r="G571" s="14"/>
      <c r="H571" s="14"/>
      <c r="I571" s="14"/>
      <c r="J571" s="14"/>
      <c r="K571" s="12"/>
    </row>
    <row r="572" ht="19.5" customHeight="1">
      <c r="A572" s="12"/>
      <c r="C572" s="12"/>
      <c r="D572" s="87"/>
      <c r="F572" s="14"/>
      <c r="G572" s="14"/>
      <c r="H572" s="14"/>
      <c r="I572" s="14"/>
      <c r="J572" s="14"/>
      <c r="K572" s="12"/>
    </row>
    <row r="573" ht="19.5" customHeight="1">
      <c r="A573" s="12"/>
      <c r="C573" s="12"/>
      <c r="D573" s="87"/>
      <c r="F573" s="14"/>
      <c r="G573" s="14"/>
      <c r="H573" s="14"/>
      <c r="I573" s="14"/>
      <c r="J573" s="14"/>
      <c r="K573" s="12"/>
    </row>
    <row r="574" ht="19.5" customHeight="1">
      <c r="A574" s="12"/>
      <c r="C574" s="12"/>
      <c r="D574" s="87"/>
      <c r="F574" s="14"/>
      <c r="G574" s="14"/>
      <c r="H574" s="14"/>
      <c r="I574" s="14"/>
      <c r="J574" s="14"/>
      <c r="K574" s="12"/>
    </row>
    <row r="575" ht="19.5" customHeight="1">
      <c r="A575" s="12"/>
      <c r="C575" s="12"/>
      <c r="D575" s="87"/>
      <c r="F575" s="14"/>
      <c r="G575" s="14"/>
      <c r="H575" s="14"/>
      <c r="I575" s="14"/>
      <c r="J575" s="14"/>
      <c r="K575" s="12"/>
    </row>
    <row r="576" ht="19.5" customHeight="1">
      <c r="A576" s="12"/>
      <c r="C576" s="12"/>
      <c r="D576" s="87"/>
      <c r="F576" s="14"/>
      <c r="G576" s="14"/>
      <c r="H576" s="14"/>
      <c r="I576" s="14"/>
      <c r="J576" s="14"/>
      <c r="K576" s="12"/>
    </row>
    <row r="577" ht="19.5" customHeight="1">
      <c r="A577" s="12"/>
      <c r="C577" s="12"/>
      <c r="D577" s="87"/>
      <c r="F577" s="14"/>
      <c r="G577" s="14"/>
      <c r="H577" s="14"/>
      <c r="I577" s="14"/>
      <c r="J577" s="14"/>
      <c r="K577" s="12"/>
    </row>
    <row r="578" ht="19.5" customHeight="1">
      <c r="A578" s="12"/>
      <c r="C578" s="12"/>
      <c r="D578" s="87"/>
      <c r="F578" s="14"/>
      <c r="G578" s="14"/>
      <c r="H578" s="14"/>
      <c r="I578" s="14"/>
      <c r="J578" s="14"/>
      <c r="K578" s="12"/>
    </row>
    <row r="579" ht="19.5" customHeight="1">
      <c r="A579" s="12"/>
      <c r="C579" s="12"/>
      <c r="D579" s="87"/>
      <c r="F579" s="14"/>
      <c r="G579" s="14"/>
      <c r="H579" s="14"/>
      <c r="I579" s="14"/>
      <c r="J579" s="14"/>
      <c r="K579" s="12"/>
    </row>
    <row r="580" ht="19.5" customHeight="1">
      <c r="A580" s="12"/>
      <c r="C580" s="12"/>
      <c r="D580" s="87"/>
      <c r="F580" s="14"/>
      <c r="G580" s="14"/>
      <c r="H580" s="14"/>
      <c r="I580" s="14"/>
      <c r="J580" s="14"/>
      <c r="K580" s="12"/>
    </row>
    <row r="581" ht="19.5" customHeight="1">
      <c r="A581" s="12"/>
      <c r="C581" s="12"/>
      <c r="D581" s="87"/>
      <c r="F581" s="14"/>
      <c r="G581" s="14"/>
      <c r="H581" s="14"/>
      <c r="I581" s="14"/>
      <c r="J581" s="14"/>
      <c r="K581" s="12"/>
    </row>
    <row r="582" ht="19.5" customHeight="1">
      <c r="A582" s="12"/>
      <c r="C582" s="12"/>
      <c r="D582" s="87"/>
      <c r="F582" s="14"/>
      <c r="G582" s="14"/>
      <c r="H582" s="14"/>
      <c r="I582" s="14"/>
      <c r="J582" s="14"/>
      <c r="K582" s="12"/>
    </row>
    <row r="583" ht="19.5" customHeight="1">
      <c r="A583" s="12"/>
      <c r="C583" s="12"/>
      <c r="D583" s="87"/>
      <c r="F583" s="14"/>
      <c r="G583" s="14"/>
      <c r="H583" s="14"/>
      <c r="I583" s="14"/>
      <c r="J583" s="14"/>
      <c r="K583" s="12"/>
    </row>
    <row r="584" ht="19.5" customHeight="1">
      <c r="A584" s="12"/>
      <c r="C584" s="12"/>
      <c r="D584" s="87"/>
      <c r="F584" s="14"/>
      <c r="G584" s="14"/>
      <c r="H584" s="14"/>
      <c r="I584" s="14"/>
      <c r="J584" s="14"/>
      <c r="K584" s="12"/>
    </row>
    <row r="585" ht="19.5" customHeight="1">
      <c r="A585" s="12"/>
      <c r="C585" s="12"/>
      <c r="D585" s="87"/>
      <c r="F585" s="14"/>
      <c r="G585" s="14"/>
      <c r="H585" s="14"/>
      <c r="I585" s="14"/>
      <c r="J585" s="14"/>
      <c r="K585" s="12"/>
    </row>
    <row r="586" ht="19.5" customHeight="1">
      <c r="A586" s="12"/>
      <c r="C586" s="12"/>
      <c r="D586" s="87"/>
      <c r="F586" s="14"/>
      <c r="G586" s="14"/>
      <c r="H586" s="14"/>
      <c r="I586" s="14"/>
      <c r="J586" s="14"/>
      <c r="K586" s="12"/>
    </row>
    <row r="587" ht="19.5" customHeight="1">
      <c r="A587" s="12"/>
      <c r="C587" s="12"/>
      <c r="D587" s="87"/>
      <c r="F587" s="14"/>
      <c r="G587" s="14"/>
      <c r="H587" s="14"/>
      <c r="I587" s="14"/>
      <c r="J587" s="14"/>
      <c r="K587" s="12"/>
    </row>
    <row r="588" ht="19.5" customHeight="1">
      <c r="A588" s="12"/>
      <c r="C588" s="12"/>
      <c r="D588" s="87"/>
      <c r="F588" s="14"/>
      <c r="G588" s="14"/>
      <c r="H588" s="14"/>
      <c r="I588" s="14"/>
      <c r="J588" s="14"/>
      <c r="K588" s="12"/>
    </row>
    <row r="589" ht="19.5" customHeight="1">
      <c r="A589" s="12"/>
      <c r="C589" s="12"/>
      <c r="D589" s="87"/>
      <c r="F589" s="14"/>
      <c r="G589" s="14"/>
      <c r="H589" s="14"/>
      <c r="I589" s="14"/>
      <c r="J589" s="14"/>
      <c r="K589" s="12"/>
    </row>
    <row r="590" ht="19.5" customHeight="1">
      <c r="A590" s="12"/>
      <c r="C590" s="12"/>
      <c r="D590" s="87"/>
      <c r="F590" s="14"/>
      <c r="G590" s="14"/>
      <c r="H590" s="14"/>
      <c r="I590" s="14"/>
      <c r="J590" s="14"/>
      <c r="K590" s="12"/>
    </row>
    <row r="591" ht="19.5" customHeight="1">
      <c r="A591" s="12"/>
      <c r="C591" s="12"/>
      <c r="D591" s="87"/>
      <c r="F591" s="14"/>
      <c r="G591" s="14"/>
      <c r="H591" s="14"/>
      <c r="I591" s="14"/>
      <c r="J591" s="14"/>
      <c r="K591" s="12"/>
    </row>
    <row r="592" ht="19.5" customHeight="1">
      <c r="A592" s="12"/>
      <c r="C592" s="12"/>
      <c r="D592" s="87"/>
      <c r="F592" s="14"/>
      <c r="G592" s="14"/>
      <c r="H592" s="14"/>
      <c r="I592" s="14"/>
      <c r="J592" s="14"/>
      <c r="K592" s="12"/>
    </row>
    <row r="593" ht="19.5" customHeight="1">
      <c r="A593" s="12"/>
      <c r="C593" s="12"/>
      <c r="D593" s="87"/>
      <c r="F593" s="14"/>
      <c r="G593" s="14"/>
      <c r="H593" s="14"/>
      <c r="I593" s="14"/>
      <c r="J593" s="14"/>
      <c r="K593" s="12"/>
    </row>
    <row r="594" ht="19.5" customHeight="1">
      <c r="A594" s="12"/>
      <c r="C594" s="12"/>
      <c r="D594" s="87"/>
      <c r="F594" s="14"/>
      <c r="G594" s="14"/>
      <c r="H594" s="14"/>
      <c r="I594" s="14"/>
      <c r="J594" s="14"/>
      <c r="K594" s="12"/>
    </row>
    <row r="595" ht="19.5" customHeight="1">
      <c r="A595" s="12"/>
      <c r="C595" s="12"/>
      <c r="D595" s="87"/>
      <c r="F595" s="14"/>
      <c r="G595" s="14"/>
      <c r="H595" s="14"/>
      <c r="I595" s="14"/>
      <c r="J595" s="14"/>
      <c r="K595" s="12"/>
    </row>
    <row r="596" ht="19.5" customHeight="1">
      <c r="A596" s="12"/>
      <c r="C596" s="12"/>
      <c r="D596" s="87"/>
      <c r="F596" s="14"/>
      <c r="G596" s="14"/>
      <c r="H596" s="14"/>
      <c r="I596" s="14"/>
      <c r="J596" s="14"/>
      <c r="K596" s="12"/>
    </row>
    <row r="597" ht="19.5" customHeight="1">
      <c r="A597" s="12"/>
      <c r="C597" s="12"/>
      <c r="D597" s="87"/>
      <c r="F597" s="14"/>
      <c r="G597" s="14"/>
      <c r="H597" s="14"/>
      <c r="I597" s="14"/>
      <c r="J597" s="14"/>
      <c r="K597" s="12"/>
    </row>
    <row r="598" ht="19.5" customHeight="1">
      <c r="A598" s="12"/>
      <c r="C598" s="12"/>
      <c r="D598" s="87"/>
      <c r="F598" s="14"/>
      <c r="G598" s="14"/>
      <c r="H598" s="14"/>
      <c r="I598" s="14"/>
      <c r="J598" s="14"/>
      <c r="K598" s="12"/>
    </row>
    <row r="599" ht="19.5" customHeight="1">
      <c r="A599" s="12"/>
      <c r="C599" s="12"/>
      <c r="D599" s="87"/>
      <c r="F599" s="14"/>
      <c r="G599" s="14"/>
      <c r="H599" s="14"/>
      <c r="I599" s="14"/>
      <c r="J599" s="14"/>
      <c r="K599" s="12"/>
    </row>
    <row r="600" ht="19.5" customHeight="1">
      <c r="A600" s="12"/>
      <c r="C600" s="12"/>
      <c r="D600" s="87"/>
      <c r="F600" s="14"/>
      <c r="G600" s="14"/>
      <c r="H600" s="14"/>
      <c r="I600" s="14"/>
      <c r="J600" s="14"/>
      <c r="K600" s="12"/>
    </row>
    <row r="601" ht="19.5" customHeight="1">
      <c r="A601" s="12"/>
      <c r="C601" s="12"/>
      <c r="D601" s="87"/>
      <c r="F601" s="14"/>
      <c r="G601" s="14"/>
      <c r="H601" s="14"/>
      <c r="I601" s="14"/>
      <c r="J601" s="14"/>
      <c r="K601" s="12"/>
    </row>
    <row r="602" ht="19.5" customHeight="1">
      <c r="A602" s="12"/>
      <c r="C602" s="12"/>
      <c r="D602" s="87"/>
      <c r="F602" s="14"/>
      <c r="G602" s="14"/>
      <c r="H602" s="14"/>
      <c r="I602" s="14"/>
      <c r="J602" s="14"/>
      <c r="K602" s="12"/>
    </row>
    <row r="603" ht="19.5" customHeight="1">
      <c r="A603" s="12"/>
      <c r="C603" s="12"/>
      <c r="D603" s="87"/>
      <c r="F603" s="14"/>
      <c r="G603" s="14"/>
      <c r="H603" s="14"/>
      <c r="I603" s="14"/>
      <c r="J603" s="14"/>
      <c r="K603" s="12"/>
    </row>
    <row r="604" ht="19.5" customHeight="1">
      <c r="A604" s="12"/>
      <c r="C604" s="12"/>
      <c r="D604" s="87"/>
      <c r="F604" s="14"/>
      <c r="G604" s="14"/>
      <c r="H604" s="14"/>
      <c r="I604" s="14"/>
      <c r="J604" s="14"/>
      <c r="K604" s="12"/>
    </row>
    <row r="605" ht="19.5" customHeight="1">
      <c r="A605" s="12"/>
      <c r="C605" s="12"/>
      <c r="D605" s="87"/>
      <c r="F605" s="14"/>
      <c r="G605" s="14"/>
      <c r="H605" s="14"/>
      <c r="I605" s="14"/>
      <c r="J605" s="14"/>
      <c r="K605" s="12"/>
    </row>
    <row r="606" ht="19.5" customHeight="1">
      <c r="A606" s="12"/>
      <c r="C606" s="12"/>
      <c r="D606" s="87"/>
      <c r="F606" s="14"/>
      <c r="G606" s="14"/>
      <c r="H606" s="14"/>
      <c r="I606" s="14"/>
      <c r="J606" s="14"/>
      <c r="K606" s="12"/>
    </row>
    <row r="607" ht="19.5" customHeight="1">
      <c r="A607" s="12"/>
      <c r="C607" s="12"/>
      <c r="D607" s="87"/>
      <c r="F607" s="14"/>
      <c r="G607" s="14"/>
      <c r="H607" s="14"/>
      <c r="I607" s="14"/>
      <c r="J607" s="14"/>
      <c r="K607" s="12"/>
    </row>
    <row r="608" ht="19.5" customHeight="1">
      <c r="A608" s="12"/>
      <c r="C608" s="12"/>
      <c r="D608" s="87"/>
      <c r="F608" s="14"/>
      <c r="G608" s="14"/>
      <c r="H608" s="14"/>
      <c r="I608" s="14"/>
      <c r="J608" s="14"/>
      <c r="K608" s="12"/>
    </row>
    <row r="609" ht="19.5" customHeight="1">
      <c r="A609" s="12"/>
      <c r="C609" s="12"/>
      <c r="D609" s="87"/>
      <c r="F609" s="14"/>
      <c r="G609" s="14"/>
      <c r="H609" s="14"/>
      <c r="I609" s="14"/>
      <c r="J609" s="14"/>
      <c r="K609" s="12"/>
    </row>
    <row r="610" ht="19.5" customHeight="1">
      <c r="A610" s="12"/>
      <c r="C610" s="12"/>
      <c r="D610" s="87"/>
      <c r="F610" s="14"/>
      <c r="G610" s="14"/>
      <c r="H610" s="14"/>
      <c r="I610" s="14"/>
      <c r="J610" s="14"/>
      <c r="K610" s="12"/>
    </row>
    <row r="611" ht="19.5" customHeight="1">
      <c r="A611" s="12"/>
      <c r="C611" s="12"/>
      <c r="D611" s="87"/>
      <c r="F611" s="14"/>
      <c r="G611" s="14"/>
      <c r="H611" s="14"/>
      <c r="I611" s="14"/>
      <c r="J611" s="14"/>
      <c r="K611" s="12"/>
    </row>
    <row r="612" ht="19.5" customHeight="1">
      <c r="A612" s="12"/>
      <c r="C612" s="12"/>
      <c r="D612" s="87"/>
      <c r="F612" s="14"/>
      <c r="G612" s="14"/>
      <c r="H612" s="14"/>
      <c r="I612" s="14"/>
      <c r="J612" s="14"/>
      <c r="K612" s="12"/>
    </row>
    <row r="613" ht="19.5" customHeight="1">
      <c r="A613" s="12"/>
      <c r="C613" s="12"/>
      <c r="D613" s="87"/>
      <c r="F613" s="14"/>
      <c r="G613" s="14"/>
      <c r="H613" s="14"/>
      <c r="I613" s="14"/>
      <c r="J613" s="14"/>
      <c r="K613" s="12"/>
    </row>
    <row r="614" ht="19.5" customHeight="1">
      <c r="A614" s="12"/>
      <c r="C614" s="12"/>
      <c r="D614" s="87"/>
      <c r="F614" s="14"/>
      <c r="G614" s="14"/>
      <c r="H614" s="14"/>
      <c r="I614" s="14"/>
      <c r="J614" s="14"/>
      <c r="K614" s="12"/>
    </row>
    <row r="615" ht="19.5" customHeight="1">
      <c r="A615" s="12"/>
      <c r="C615" s="12"/>
      <c r="D615" s="87"/>
      <c r="F615" s="14"/>
      <c r="G615" s="14"/>
      <c r="H615" s="14"/>
      <c r="I615" s="14"/>
      <c r="J615" s="14"/>
      <c r="K615" s="12"/>
    </row>
    <row r="616" ht="19.5" customHeight="1">
      <c r="A616" s="12"/>
      <c r="C616" s="12"/>
      <c r="D616" s="87"/>
      <c r="F616" s="14"/>
      <c r="G616" s="14"/>
      <c r="H616" s="14"/>
      <c r="I616" s="14"/>
      <c r="J616" s="14"/>
      <c r="K616" s="12"/>
    </row>
    <row r="617" ht="19.5" customHeight="1">
      <c r="A617" s="12"/>
      <c r="C617" s="12"/>
      <c r="D617" s="87"/>
      <c r="F617" s="14"/>
      <c r="G617" s="14"/>
      <c r="H617" s="14"/>
      <c r="I617" s="14"/>
      <c r="J617" s="14"/>
      <c r="K617" s="12"/>
    </row>
    <row r="618" ht="19.5" customHeight="1">
      <c r="A618" s="12"/>
      <c r="C618" s="12"/>
      <c r="D618" s="87"/>
      <c r="F618" s="14"/>
      <c r="G618" s="14"/>
      <c r="H618" s="14"/>
      <c r="I618" s="14"/>
      <c r="J618" s="14"/>
      <c r="K618" s="12"/>
    </row>
    <row r="619" ht="19.5" customHeight="1">
      <c r="A619" s="12"/>
      <c r="C619" s="12"/>
      <c r="D619" s="87"/>
      <c r="F619" s="14"/>
      <c r="G619" s="14"/>
      <c r="H619" s="14"/>
      <c r="I619" s="14"/>
      <c r="J619" s="14"/>
      <c r="K619" s="12"/>
    </row>
    <row r="620" ht="19.5" customHeight="1">
      <c r="A620" s="12"/>
      <c r="C620" s="12"/>
      <c r="D620" s="87"/>
      <c r="F620" s="14"/>
      <c r="G620" s="14"/>
      <c r="H620" s="14"/>
      <c r="I620" s="14"/>
      <c r="J620" s="14"/>
      <c r="K620" s="12"/>
    </row>
    <row r="621" ht="19.5" customHeight="1">
      <c r="A621" s="12"/>
      <c r="C621" s="12"/>
      <c r="D621" s="87"/>
      <c r="F621" s="14"/>
      <c r="G621" s="14"/>
      <c r="H621" s="14"/>
      <c r="I621" s="14"/>
      <c r="J621" s="14"/>
      <c r="K621" s="12"/>
    </row>
    <row r="622" ht="19.5" customHeight="1">
      <c r="A622" s="12"/>
      <c r="C622" s="12"/>
      <c r="D622" s="87"/>
      <c r="F622" s="14"/>
      <c r="G622" s="14"/>
      <c r="H622" s="14"/>
      <c r="I622" s="14"/>
      <c r="J622" s="14"/>
      <c r="K622" s="12"/>
    </row>
    <row r="623" ht="19.5" customHeight="1">
      <c r="A623" s="12"/>
      <c r="C623" s="12"/>
      <c r="D623" s="87"/>
      <c r="F623" s="14"/>
      <c r="G623" s="14"/>
      <c r="H623" s="14"/>
      <c r="I623" s="14"/>
      <c r="J623" s="14"/>
      <c r="K623" s="12"/>
    </row>
    <row r="624" ht="19.5" customHeight="1">
      <c r="A624" s="12"/>
      <c r="C624" s="12"/>
      <c r="D624" s="87"/>
      <c r="F624" s="14"/>
      <c r="G624" s="14"/>
      <c r="H624" s="14"/>
      <c r="I624" s="14"/>
      <c r="J624" s="14"/>
      <c r="K624" s="12"/>
    </row>
    <row r="625" ht="19.5" customHeight="1">
      <c r="A625" s="12"/>
      <c r="C625" s="12"/>
      <c r="D625" s="87"/>
      <c r="F625" s="14"/>
      <c r="G625" s="14"/>
      <c r="H625" s="14"/>
      <c r="I625" s="14"/>
      <c r="J625" s="14"/>
      <c r="K625" s="12"/>
    </row>
    <row r="626" ht="19.5" customHeight="1">
      <c r="A626" s="12"/>
      <c r="C626" s="12"/>
      <c r="D626" s="87"/>
      <c r="F626" s="14"/>
      <c r="G626" s="14"/>
      <c r="H626" s="14"/>
      <c r="I626" s="14"/>
      <c r="J626" s="14"/>
      <c r="K626" s="12"/>
    </row>
    <row r="627" ht="19.5" customHeight="1">
      <c r="A627" s="12"/>
      <c r="C627" s="12"/>
      <c r="D627" s="87"/>
      <c r="F627" s="14"/>
      <c r="G627" s="14"/>
      <c r="H627" s="14"/>
      <c r="I627" s="14"/>
      <c r="J627" s="14"/>
      <c r="K627" s="12"/>
    </row>
    <row r="628" ht="19.5" customHeight="1">
      <c r="A628" s="12"/>
      <c r="C628" s="12"/>
      <c r="D628" s="87"/>
      <c r="F628" s="14"/>
      <c r="G628" s="14"/>
      <c r="H628" s="14"/>
      <c r="I628" s="14"/>
      <c r="J628" s="14"/>
      <c r="K628" s="12"/>
    </row>
    <row r="629" ht="19.5" customHeight="1">
      <c r="A629" s="12"/>
      <c r="C629" s="12"/>
      <c r="D629" s="87"/>
      <c r="F629" s="14"/>
      <c r="G629" s="14"/>
      <c r="H629" s="14"/>
      <c r="I629" s="14"/>
      <c r="J629" s="14"/>
      <c r="K629" s="12"/>
    </row>
    <row r="630" ht="19.5" customHeight="1">
      <c r="A630" s="12"/>
      <c r="C630" s="12"/>
      <c r="D630" s="87"/>
      <c r="F630" s="14"/>
      <c r="G630" s="14"/>
      <c r="H630" s="14"/>
      <c r="I630" s="14"/>
      <c r="J630" s="14"/>
      <c r="K630" s="12"/>
    </row>
    <row r="631" ht="19.5" customHeight="1">
      <c r="A631" s="12"/>
      <c r="C631" s="12"/>
      <c r="D631" s="87"/>
      <c r="F631" s="14"/>
      <c r="G631" s="14"/>
      <c r="H631" s="14"/>
      <c r="I631" s="14"/>
      <c r="J631" s="14"/>
      <c r="K631" s="12"/>
    </row>
    <row r="632" ht="19.5" customHeight="1">
      <c r="A632" s="12"/>
      <c r="C632" s="12"/>
      <c r="D632" s="87"/>
      <c r="F632" s="14"/>
      <c r="G632" s="14"/>
      <c r="H632" s="14"/>
      <c r="I632" s="14"/>
      <c r="J632" s="14"/>
      <c r="K632" s="12"/>
    </row>
    <row r="633" ht="19.5" customHeight="1">
      <c r="A633" s="12"/>
      <c r="C633" s="12"/>
      <c r="D633" s="87"/>
      <c r="F633" s="14"/>
      <c r="G633" s="14"/>
      <c r="H633" s="14"/>
      <c r="I633" s="14"/>
      <c r="J633" s="14"/>
      <c r="K633" s="12"/>
    </row>
    <row r="634" ht="19.5" customHeight="1">
      <c r="A634" s="12"/>
      <c r="C634" s="12"/>
      <c r="D634" s="87"/>
      <c r="F634" s="14"/>
      <c r="G634" s="14"/>
      <c r="H634" s="14"/>
      <c r="I634" s="14"/>
      <c r="J634" s="14"/>
      <c r="K634" s="12"/>
    </row>
    <row r="635" ht="19.5" customHeight="1">
      <c r="A635" s="12"/>
      <c r="C635" s="12"/>
      <c r="D635" s="87"/>
      <c r="F635" s="14"/>
      <c r="G635" s="14"/>
      <c r="H635" s="14"/>
      <c r="I635" s="14"/>
      <c r="J635" s="14"/>
      <c r="K635" s="12"/>
    </row>
    <row r="636" ht="19.5" customHeight="1">
      <c r="A636" s="12"/>
      <c r="C636" s="12"/>
      <c r="D636" s="87"/>
      <c r="F636" s="14"/>
      <c r="G636" s="14"/>
      <c r="H636" s="14"/>
      <c r="I636" s="14"/>
      <c r="J636" s="14"/>
      <c r="K636" s="12"/>
    </row>
    <row r="637" ht="19.5" customHeight="1">
      <c r="A637" s="12"/>
      <c r="C637" s="12"/>
      <c r="D637" s="87"/>
      <c r="F637" s="14"/>
      <c r="G637" s="14"/>
      <c r="H637" s="14"/>
      <c r="I637" s="14"/>
      <c r="J637" s="14"/>
      <c r="K637" s="12"/>
    </row>
    <row r="638" ht="19.5" customHeight="1">
      <c r="A638" s="12"/>
      <c r="C638" s="12"/>
      <c r="D638" s="87"/>
      <c r="F638" s="14"/>
      <c r="G638" s="14"/>
      <c r="H638" s="14"/>
      <c r="I638" s="14"/>
      <c r="J638" s="14"/>
      <c r="K638" s="12"/>
    </row>
    <row r="639" ht="19.5" customHeight="1">
      <c r="A639" s="12"/>
      <c r="C639" s="12"/>
      <c r="D639" s="87"/>
      <c r="F639" s="14"/>
      <c r="G639" s="14"/>
      <c r="H639" s="14"/>
      <c r="I639" s="14"/>
      <c r="J639" s="14"/>
      <c r="K639" s="12"/>
    </row>
    <row r="640" ht="19.5" customHeight="1">
      <c r="A640" s="12"/>
      <c r="C640" s="12"/>
      <c r="D640" s="87"/>
      <c r="F640" s="14"/>
      <c r="G640" s="14"/>
      <c r="H640" s="14"/>
      <c r="I640" s="14"/>
      <c r="J640" s="14"/>
      <c r="K640" s="12"/>
    </row>
    <row r="641" ht="19.5" customHeight="1">
      <c r="A641" s="12"/>
      <c r="C641" s="12"/>
      <c r="D641" s="87"/>
      <c r="F641" s="14"/>
      <c r="G641" s="14"/>
      <c r="H641" s="14"/>
      <c r="I641" s="14"/>
      <c r="J641" s="14"/>
      <c r="K641" s="12"/>
    </row>
    <row r="642" ht="19.5" customHeight="1">
      <c r="A642" s="12"/>
      <c r="C642" s="12"/>
      <c r="D642" s="87"/>
      <c r="F642" s="14"/>
      <c r="G642" s="14"/>
      <c r="H642" s="14"/>
      <c r="I642" s="14"/>
      <c r="J642" s="14"/>
      <c r="K642" s="12"/>
    </row>
    <row r="643" ht="19.5" customHeight="1">
      <c r="A643" s="12"/>
      <c r="C643" s="12"/>
      <c r="D643" s="87"/>
      <c r="F643" s="14"/>
      <c r="G643" s="14"/>
      <c r="H643" s="14"/>
      <c r="I643" s="14"/>
      <c r="J643" s="14"/>
      <c r="K643" s="12"/>
    </row>
    <row r="644" ht="19.5" customHeight="1">
      <c r="A644" s="12"/>
      <c r="C644" s="12"/>
      <c r="D644" s="87"/>
      <c r="F644" s="14"/>
      <c r="G644" s="14"/>
      <c r="H644" s="14"/>
      <c r="I644" s="14"/>
      <c r="J644" s="14"/>
      <c r="K644" s="12"/>
    </row>
    <row r="645" ht="19.5" customHeight="1">
      <c r="A645" s="12"/>
      <c r="C645" s="12"/>
      <c r="D645" s="87"/>
      <c r="F645" s="14"/>
      <c r="G645" s="14"/>
      <c r="H645" s="14"/>
      <c r="I645" s="14"/>
      <c r="J645" s="14"/>
      <c r="K645" s="12"/>
    </row>
    <row r="646" ht="19.5" customHeight="1">
      <c r="A646" s="12"/>
      <c r="C646" s="12"/>
      <c r="D646" s="87"/>
      <c r="F646" s="14"/>
      <c r="G646" s="14"/>
      <c r="H646" s="14"/>
      <c r="I646" s="14"/>
      <c r="J646" s="14"/>
      <c r="K646" s="12"/>
    </row>
    <row r="647" ht="19.5" customHeight="1">
      <c r="A647" s="12"/>
      <c r="C647" s="12"/>
      <c r="D647" s="87"/>
      <c r="F647" s="14"/>
      <c r="G647" s="14"/>
      <c r="H647" s="14"/>
      <c r="I647" s="14"/>
      <c r="J647" s="14"/>
      <c r="K647" s="12"/>
    </row>
    <row r="648" ht="19.5" customHeight="1">
      <c r="A648" s="12"/>
      <c r="C648" s="12"/>
      <c r="D648" s="87"/>
      <c r="F648" s="14"/>
      <c r="G648" s="14"/>
      <c r="H648" s="14"/>
      <c r="I648" s="14"/>
      <c r="J648" s="14"/>
      <c r="K648" s="12"/>
    </row>
    <row r="649" ht="19.5" customHeight="1">
      <c r="A649" s="12"/>
      <c r="C649" s="12"/>
      <c r="D649" s="87"/>
      <c r="F649" s="14"/>
      <c r="G649" s="14"/>
      <c r="H649" s="14"/>
      <c r="I649" s="14"/>
      <c r="J649" s="14"/>
      <c r="K649" s="12"/>
    </row>
    <row r="650" ht="19.5" customHeight="1">
      <c r="A650" s="12"/>
      <c r="C650" s="12"/>
      <c r="D650" s="87"/>
      <c r="F650" s="14"/>
      <c r="G650" s="14"/>
      <c r="H650" s="14"/>
      <c r="I650" s="14"/>
      <c r="J650" s="14"/>
      <c r="K650" s="12"/>
    </row>
    <row r="651" ht="19.5" customHeight="1">
      <c r="A651" s="12"/>
      <c r="C651" s="12"/>
      <c r="D651" s="87"/>
      <c r="F651" s="14"/>
      <c r="G651" s="14"/>
      <c r="H651" s="14"/>
      <c r="I651" s="14"/>
      <c r="J651" s="14"/>
      <c r="K651" s="12"/>
    </row>
    <row r="652" ht="19.5" customHeight="1">
      <c r="A652" s="12"/>
      <c r="C652" s="12"/>
      <c r="D652" s="87"/>
      <c r="F652" s="14"/>
      <c r="G652" s="14"/>
      <c r="H652" s="14"/>
      <c r="I652" s="14"/>
      <c r="J652" s="14"/>
      <c r="K652" s="12"/>
    </row>
    <row r="653" ht="19.5" customHeight="1">
      <c r="A653" s="12"/>
      <c r="C653" s="12"/>
      <c r="D653" s="87"/>
      <c r="F653" s="14"/>
      <c r="G653" s="14"/>
      <c r="H653" s="14"/>
      <c r="I653" s="14"/>
      <c r="J653" s="14"/>
      <c r="K653" s="12"/>
    </row>
    <row r="654" ht="19.5" customHeight="1">
      <c r="A654" s="12"/>
      <c r="C654" s="12"/>
      <c r="D654" s="87"/>
      <c r="F654" s="14"/>
      <c r="G654" s="14"/>
      <c r="H654" s="14"/>
      <c r="I654" s="14"/>
      <c r="J654" s="14"/>
      <c r="K654" s="12"/>
    </row>
    <row r="655" ht="19.5" customHeight="1">
      <c r="A655" s="12"/>
      <c r="C655" s="12"/>
      <c r="D655" s="87"/>
      <c r="F655" s="14"/>
      <c r="G655" s="14"/>
      <c r="H655" s="14"/>
      <c r="I655" s="14"/>
      <c r="J655" s="14"/>
      <c r="K655" s="12"/>
    </row>
    <row r="656" ht="19.5" customHeight="1">
      <c r="A656" s="12"/>
      <c r="C656" s="12"/>
      <c r="D656" s="87"/>
      <c r="F656" s="14"/>
      <c r="G656" s="14"/>
      <c r="H656" s="14"/>
      <c r="I656" s="14"/>
      <c r="J656" s="14"/>
      <c r="K656" s="12"/>
    </row>
    <row r="657" ht="19.5" customHeight="1">
      <c r="A657" s="12"/>
      <c r="C657" s="12"/>
      <c r="D657" s="87"/>
      <c r="F657" s="14"/>
      <c r="G657" s="14"/>
      <c r="H657" s="14"/>
      <c r="I657" s="14"/>
      <c r="J657" s="14"/>
      <c r="K657" s="12"/>
    </row>
    <row r="658" ht="19.5" customHeight="1">
      <c r="A658" s="12"/>
      <c r="C658" s="12"/>
      <c r="D658" s="87"/>
      <c r="F658" s="14"/>
      <c r="G658" s="14"/>
      <c r="H658" s="14"/>
      <c r="I658" s="14"/>
      <c r="J658" s="14"/>
      <c r="K658" s="12"/>
    </row>
    <row r="659" ht="19.5" customHeight="1">
      <c r="A659" s="12"/>
      <c r="C659" s="12"/>
      <c r="D659" s="87"/>
      <c r="F659" s="14"/>
      <c r="G659" s="14"/>
      <c r="H659" s="14"/>
      <c r="I659" s="14"/>
      <c r="J659" s="14"/>
      <c r="K659" s="12"/>
    </row>
    <row r="660" ht="19.5" customHeight="1">
      <c r="A660" s="12"/>
      <c r="C660" s="12"/>
      <c r="D660" s="87"/>
      <c r="F660" s="14"/>
      <c r="G660" s="14"/>
      <c r="H660" s="14"/>
      <c r="I660" s="14"/>
      <c r="J660" s="14"/>
      <c r="K660" s="12"/>
    </row>
    <row r="661" ht="19.5" customHeight="1">
      <c r="A661" s="12"/>
      <c r="C661" s="12"/>
      <c r="D661" s="87"/>
      <c r="F661" s="14"/>
      <c r="G661" s="14"/>
      <c r="H661" s="14"/>
      <c r="I661" s="14"/>
      <c r="J661" s="14"/>
      <c r="K661" s="12"/>
    </row>
    <row r="662" ht="19.5" customHeight="1">
      <c r="A662" s="12"/>
      <c r="C662" s="12"/>
      <c r="D662" s="87"/>
      <c r="F662" s="14"/>
      <c r="G662" s="14"/>
      <c r="H662" s="14"/>
      <c r="I662" s="14"/>
      <c r="J662" s="14"/>
      <c r="K662" s="12"/>
    </row>
    <row r="663" ht="19.5" customHeight="1">
      <c r="A663" s="12"/>
      <c r="C663" s="12"/>
      <c r="D663" s="87"/>
      <c r="F663" s="14"/>
      <c r="G663" s="14"/>
      <c r="H663" s="14"/>
      <c r="I663" s="14"/>
      <c r="J663" s="14"/>
      <c r="K663" s="12"/>
    </row>
    <row r="664" ht="19.5" customHeight="1">
      <c r="A664" s="12"/>
      <c r="C664" s="12"/>
      <c r="D664" s="87"/>
      <c r="F664" s="14"/>
      <c r="G664" s="14"/>
      <c r="H664" s="14"/>
      <c r="I664" s="14"/>
      <c r="J664" s="14"/>
      <c r="K664" s="12"/>
    </row>
    <row r="665" ht="19.5" customHeight="1">
      <c r="A665" s="12"/>
      <c r="C665" s="12"/>
      <c r="D665" s="87"/>
      <c r="F665" s="14"/>
      <c r="G665" s="14"/>
      <c r="H665" s="14"/>
      <c r="I665" s="14"/>
      <c r="J665" s="14"/>
      <c r="K665" s="12"/>
    </row>
    <row r="666" ht="19.5" customHeight="1">
      <c r="A666" s="12"/>
      <c r="C666" s="12"/>
      <c r="D666" s="87"/>
      <c r="F666" s="14"/>
      <c r="G666" s="14"/>
      <c r="H666" s="14"/>
      <c r="I666" s="14"/>
      <c r="J666" s="14"/>
      <c r="K666" s="12"/>
    </row>
    <row r="667" ht="19.5" customHeight="1">
      <c r="A667" s="12"/>
      <c r="C667" s="12"/>
      <c r="D667" s="87"/>
      <c r="F667" s="14"/>
      <c r="G667" s="14"/>
      <c r="H667" s="14"/>
      <c r="I667" s="14"/>
      <c r="J667" s="14"/>
      <c r="K667" s="12"/>
    </row>
    <row r="668" ht="19.5" customHeight="1">
      <c r="A668" s="12"/>
      <c r="C668" s="12"/>
      <c r="D668" s="87"/>
      <c r="F668" s="14"/>
      <c r="G668" s="14"/>
      <c r="H668" s="14"/>
      <c r="I668" s="14"/>
      <c r="J668" s="14"/>
      <c r="K668" s="12"/>
    </row>
    <row r="669" ht="19.5" customHeight="1">
      <c r="A669" s="12"/>
      <c r="C669" s="12"/>
      <c r="D669" s="87"/>
      <c r="F669" s="14"/>
      <c r="G669" s="14"/>
      <c r="H669" s="14"/>
      <c r="I669" s="14"/>
      <c r="J669" s="14"/>
      <c r="K669" s="12"/>
    </row>
    <row r="670" ht="19.5" customHeight="1">
      <c r="A670" s="12"/>
      <c r="C670" s="12"/>
      <c r="D670" s="87"/>
      <c r="F670" s="14"/>
      <c r="G670" s="14"/>
      <c r="H670" s="14"/>
      <c r="I670" s="14"/>
      <c r="J670" s="14"/>
      <c r="K670" s="12"/>
    </row>
    <row r="671" ht="19.5" customHeight="1">
      <c r="A671" s="12"/>
      <c r="C671" s="12"/>
      <c r="D671" s="87"/>
      <c r="F671" s="14"/>
      <c r="G671" s="14"/>
      <c r="H671" s="14"/>
      <c r="I671" s="14"/>
      <c r="J671" s="14"/>
      <c r="K671" s="12"/>
    </row>
    <row r="672" ht="19.5" customHeight="1">
      <c r="A672" s="12"/>
      <c r="C672" s="12"/>
      <c r="D672" s="87"/>
      <c r="F672" s="14"/>
      <c r="G672" s="14"/>
      <c r="H672" s="14"/>
      <c r="I672" s="14"/>
      <c r="J672" s="14"/>
      <c r="K672" s="12"/>
    </row>
    <row r="673" ht="19.5" customHeight="1">
      <c r="A673" s="12"/>
      <c r="C673" s="12"/>
      <c r="D673" s="87"/>
      <c r="F673" s="14"/>
      <c r="G673" s="14"/>
      <c r="H673" s="14"/>
      <c r="I673" s="14"/>
      <c r="J673" s="14"/>
      <c r="K673" s="12"/>
    </row>
    <row r="674" ht="19.5" customHeight="1">
      <c r="A674" s="12"/>
      <c r="C674" s="12"/>
      <c r="D674" s="87"/>
      <c r="F674" s="14"/>
      <c r="G674" s="14"/>
      <c r="H674" s="14"/>
      <c r="I674" s="14"/>
      <c r="J674" s="14"/>
      <c r="K674" s="12"/>
    </row>
    <row r="675" ht="19.5" customHeight="1">
      <c r="A675" s="12"/>
      <c r="C675" s="12"/>
      <c r="D675" s="87"/>
      <c r="F675" s="14"/>
      <c r="G675" s="14"/>
      <c r="H675" s="14"/>
      <c r="I675" s="14"/>
      <c r="J675" s="14"/>
      <c r="K675" s="12"/>
    </row>
    <row r="676" ht="19.5" customHeight="1">
      <c r="A676" s="12"/>
      <c r="C676" s="12"/>
      <c r="D676" s="87"/>
      <c r="F676" s="14"/>
      <c r="G676" s="14"/>
      <c r="H676" s="14"/>
      <c r="I676" s="14"/>
      <c r="J676" s="14"/>
      <c r="K676" s="12"/>
    </row>
    <row r="677" ht="19.5" customHeight="1">
      <c r="A677" s="12"/>
      <c r="C677" s="12"/>
      <c r="D677" s="87"/>
      <c r="F677" s="14"/>
      <c r="G677" s="14"/>
      <c r="H677" s="14"/>
      <c r="I677" s="14"/>
      <c r="J677" s="14"/>
      <c r="K677" s="12"/>
    </row>
    <row r="678" ht="19.5" customHeight="1">
      <c r="A678" s="12"/>
      <c r="C678" s="12"/>
      <c r="D678" s="87"/>
      <c r="F678" s="14"/>
      <c r="G678" s="14"/>
      <c r="H678" s="14"/>
      <c r="I678" s="14"/>
      <c r="J678" s="14"/>
      <c r="K678" s="12"/>
    </row>
    <row r="679" ht="19.5" customHeight="1">
      <c r="A679" s="12"/>
      <c r="C679" s="12"/>
      <c r="D679" s="87"/>
      <c r="F679" s="14"/>
      <c r="G679" s="14"/>
      <c r="H679" s="14"/>
      <c r="I679" s="14"/>
      <c r="J679" s="14"/>
      <c r="K679" s="12"/>
    </row>
    <row r="680" ht="19.5" customHeight="1">
      <c r="A680" s="12"/>
      <c r="C680" s="12"/>
      <c r="D680" s="87"/>
      <c r="F680" s="14"/>
      <c r="G680" s="14"/>
      <c r="H680" s="14"/>
      <c r="I680" s="14"/>
      <c r="J680" s="14"/>
      <c r="K680" s="12"/>
    </row>
    <row r="681" ht="19.5" customHeight="1">
      <c r="A681" s="12"/>
      <c r="C681" s="12"/>
      <c r="D681" s="87"/>
      <c r="F681" s="14"/>
      <c r="G681" s="14"/>
      <c r="H681" s="14"/>
      <c r="I681" s="14"/>
      <c r="J681" s="14"/>
      <c r="K681" s="12"/>
    </row>
    <row r="682" ht="19.5" customHeight="1">
      <c r="A682" s="12"/>
      <c r="C682" s="12"/>
      <c r="D682" s="87"/>
      <c r="F682" s="14"/>
      <c r="G682" s="14"/>
      <c r="H682" s="14"/>
      <c r="I682" s="14"/>
      <c r="J682" s="14"/>
      <c r="K682" s="12"/>
    </row>
    <row r="683" ht="19.5" customHeight="1">
      <c r="A683" s="12"/>
      <c r="C683" s="12"/>
      <c r="D683" s="87"/>
      <c r="F683" s="14"/>
      <c r="G683" s="14"/>
      <c r="H683" s="14"/>
      <c r="I683" s="14"/>
      <c r="J683" s="14"/>
      <c r="K683" s="12"/>
    </row>
    <row r="684" ht="19.5" customHeight="1">
      <c r="A684" s="12"/>
      <c r="C684" s="12"/>
      <c r="D684" s="87"/>
      <c r="F684" s="14"/>
      <c r="G684" s="14"/>
      <c r="H684" s="14"/>
      <c r="I684" s="14"/>
      <c r="J684" s="14"/>
      <c r="K684" s="12"/>
    </row>
    <row r="685" ht="19.5" customHeight="1">
      <c r="A685" s="12"/>
      <c r="C685" s="12"/>
      <c r="D685" s="87"/>
      <c r="F685" s="14"/>
      <c r="G685" s="14"/>
      <c r="H685" s="14"/>
      <c r="I685" s="14"/>
      <c r="J685" s="14"/>
      <c r="K685" s="12"/>
    </row>
    <row r="686" ht="19.5" customHeight="1">
      <c r="A686" s="12"/>
      <c r="C686" s="12"/>
      <c r="D686" s="87"/>
      <c r="F686" s="14"/>
      <c r="G686" s="14"/>
      <c r="H686" s="14"/>
      <c r="I686" s="14"/>
      <c r="J686" s="14"/>
      <c r="K686" s="12"/>
    </row>
    <row r="687" ht="19.5" customHeight="1">
      <c r="A687" s="12"/>
      <c r="C687" s="12"/>
      <c r="D687" s="87"/>
      <c r="F687" s="14"/>
      <c r="G687" s="14"/>
      <c r="H687" s="14"/>
      <c r="I687" s="14"/>
      <c r="J687" s="14"/>
      <c r="K687" s="12"/>
    </row>
    <row r="688" ht="19.5" customHeight="1">
      <c r="A688" s="12"/>
      <c r="C688" s="12"/>
      <c r="D688" s="87"/>
      <c r="F688" s="14"/>
      <c r="G688" s="14"/>
      <c r="H688" s="14"/>
      <c r="I688" s="14"/>
      <c r="J688" s="14"/>
      <c r="K688" s="12"/>
    </row>
    <row r="689" ht="19.5" customHeight="1">
      <c r="A689" s="12"/>
      <c r="C689" s="12"/>
      <c r="D689" s="87"/>
      <c r="F689" s="14"/>
      <c r="G689" s="14"/>
      <c r="H689" s="14"/>
      <c r="I689" s="14"/>
      <c r="J689" s="14"/>
      <c r="K689" s="12"/>
    </row>
    <row r="690" ht="19.5" customHeight="1">
      <c r="A690" s="12"/>
      <c r="C690" s="12"/>
      <c r="D690" s="87"/>
      <c r="F690" s="14"/>
      <c r="G690" s="14"/>
      <c r="H690" s="14"/>
      <c r="I690" s="14"/>
      <c r="J690" s="14"/>
      <c r="K690" s="12"/>
    </row>
    <row r="691" ht="19.5" customHeight="1">
      <c r="A691" s="12"/>
      <c r="C691" s="12"/>
      <c r="D691" s="87"/>
      <c r="F691" s="14"/>
      <c r="G691" s="14"/>
      <c r="H691" s="14"/>
      <c r="I691" s="14"/>
      <c r="J691" s="14"/>
      <c r="K691" s="12"/>
    </row>
    <row r="692" ht="19.5" customHeight="1">
      <c r="A692" s="12"/>
      <c r="C692" s="12"/>
      <c r="D692" s="87"/>
      <c r="F692" s="14"/>
      <c r="G692" s="14"/>
      <c r="H692" s="14"/>
      <c r="I692" s="14"/>
      <c r="J692" s="14"/>
      <c r="K692" s="12"/>
    </row>
    <row r="693" ht="19.5" customHeight="1">
      <c r="A693" s="12"/>
      <c r="C693" s="12"/>
      <c r="D693" s="87"/>
      <c r="F693" s="14"/>
      <c r="G693" s="14"/>
      <c r="H693" s="14"/>
      <c r="I693" s="14"/>
      <c r="J693" s="14"/>
      <c r="K693" s="12"/>
    </row>
    <row r="694" ht="19.5" customHeight="1">
      <c r="A694" s="12"/>
      <c r="C694" s="12"/>
      <c r="D694" s="87"/>
      <c r="F694" s="14"/>
      <c r="G694" s="14"/>
      <c r="H694" s="14"/>
      <c r="I694" s="14"/>
      <c r="J694" s="14"/>
      <c r="K694" s="12"/>
    </row>
    <row r="695" ht="19.5" customHeight="1">
      <c r="A695" s="12"/>
      <c r="C695" s="12"/>
      <c r="D695" s="87"/>
      <c r="F695" s="14"/>
      <c r="G695" s="14"/>
      <c r="H695" s="14"/>
      <c r="I695" s="14"/>
      <c r="J695" s="14"/>
      <c r="K695" s="12"/>
    </row>
    <row r="696" ht="19.5" customHeight="1">
      <c r="A696" s="12"/>
      <c r="C696" s="12"/>
      <c r="D696" s="87"/>
      <c r="F696" s="14"/>
      <c r="G696" s="14"/>
      <c r="H696" s="14"/>
      <c r="I696" s="14"/>
      <c r="J696" s="14"/>
      <c r="K696" s="12"/>
    </row>
    <row r="697" ht="19.5" customHeight="1">
      <c r="A697" s="12"/>
      <c r="C697" s="12"/>
      <c r="D697" s="87"/>
      <c r="F697" s="14"/>
      <c r="G697" s="14"/>
      <c r="H697" s="14"/>
      <c r="I697" s="14"/>
      <c r="J697" s="14"/>
      <c r="K697" s="12"/>
    </row>
    <row r="698" ht="19.5" customHeight="1">
      <c r="A698" s="12"/>
      <c r="C698" s="12"/>
      <c r="D698" s="87"/>
      <c r="F698" s="14"/>
      <c r="G698" s="14"/>
      <c r="H698" s="14"/>
      <c r="I698" s="14"/>
      <c r="J698" s="14"/>
      <c r="K698" s="12"/>
    </row>
    <row r="699" ht="19.5" customHeight="1">
      <c r="A699" s="12"/>
      <c r="C699" s="12"/>
      <c r="D699" s="87"/>
      <c r="F699" s="14"/>
      <c r="G699" s="14"/>
      <c r="H699" s="14"/>
      <c r="I699" s="14"/>
      <c r="J699" s="14"/>
      <c r="K699" s="12"/>
    </row>
    <row r="700" ht="19.5" customHeight="1">
      <c r="A700" s="12"/>
      <c r="C700" s="12"/>
      <c r="D700" s="87"/>
      <c r="F700" s="14"/>
      <c r="G700" s="14"/>
      <c r="H700" s="14"/>
      <c r="I700" s="14"/>
      <c r="J700" s="14"/>
      <c r="K700" s="12"/>
    </row>
    <row r="701" ht="19.5" customHeight="1">
      <c r="A701" s="12"/>
      <c r="C701" s="12"/>
      <c r="D701" s="87"/>
      <c r="F701" s="14"/>
      <c r="G701" s="14"/>
      <c r="H701" s="14"/>
      <c r="I701" s="14"/>
      <c r="J701" s="14"/>
      <c r="K701" s="12"/>
    </row>
    <row r="702" ht="19.5" customHeight="1">
      <c r="A702" s="12"/>
      <c r="C702" s="12"/>
      <c r="D702" s="87"/>
      <c r="F702" s="14"/>
      <c r="G702" s="14"/>
      <c r="H702" s="14"/>
      <c r="I702" s="14"/>
      <c r="J702" s="14"/>
      <c r="K702" s="12"/>
    </row>
    <row r="703" ht="19.5" customHeight="1">
      <c r="A703" s="12"/>
      <c r="C703" s="12"/>
      <c r="D703" s="87"/>
      <c r="F703" s="14"/>
      <c r="G703" s="14"/>
      <c r="H703" s="14"/>
      <c r="I703" s="14"/>
      <c r="J703" s="14"/>
      <c r="K703" s="12"/>
    </row>
    <row r="704" ht="19.5" customHeight="1">
      <c r="A704" s="12"/>
      <c r="C704" s="12"/>
      <c r="D704" s="87"/>
      <c r="F704" s="14"/>
      <c r="G704" s="14"/>
      <c r="H704" s="14"/>
      <c r="I704" s="14"/>
      <c r="J704" s="14"/>
      <c r="K704" s="12"/>
    </row>
    <row r="705" ht="19.5" customHeight="1">
      <c r="A705" s="12"/>
      <c r="C705" s="12"/>
      <c r="D705" s="87"/>
      <c r="F705" s="14"/>
      <c r="G705" s="14"/>
      <c r="H705" s="14"/>
      <c r="I705" s="14"/>
      <c r="J705" s="14"/>
      <c r="K705" s="12"/>
    </row>
    <row r="706" ht="19.5" customHeight="1">
      <c r="A706" s="12"/>
      <c r="C706" s="12"/>
      <c r="D706" s="87"/>
      <c r="F706" s="14"/>
      <c r="G706" s="14"/>
      <c r="H706" s="14"/>
      <c r="I706" s="14"/>
      <c r="J706" s="14"/>
      <c r="K706" s="12"/>
    </row>
    <row r="707" ht="19.5" customHeight="1">
      <c r="A707" s="12"/>
      <c r="C707" s="12"/>
      <c r="D707" s="87"/>
      <c r="F707" s="14"/>
      <c r="G707" s="14"/>
      <c r="H707" s="14"/>
      <c r="I707" s="14"/>
      <c r="J707" s="14"/>
      <c r="K707" s="12"/>
    </row>
    <row r="708" ht="19.5" customHeight="1">
      <c r="A708" s="12"/>
      <c r="C708" s="12"/>
      <c r="D708" s="87"/>
      <c r="F708" s="14"/>
      <c r="G708" s="14"/>
      <c r="H708" s="14"/>
      <c r="I708" s="14"/>
      <c r="J708" s="14"/>
      <c r="K708" s="12"/>
    </row>
    <row r="709" ht="19.5" customHeight="1">
      <c r="A709" s="12"/>
      <c r="C709" s="12"/>
      <c r="D709" s="87"/>
      <c r="F709" s="14"/>
      <c r="G709" s="14"/>
      <c r="H709" s="14"/>
      <c r="I709" s="14"/>
      <c r="J709" s="14"/>
      <c r="K709" s="12"/>
    </row>
    <row r="710" ht="19.5" customHeight="1">
      <c r="A710" s="12"/>
      <c r="C710" s="12"/>
      <c r="D710" s="87"/>
      <c r="F710" s="14"/>
      <c r="G710" s="14"/>
      <c r="H710" s="14"/>
      <c r="I710" s="14"/>
      <c r="J710" s="14"/>
      <c r="K710" s="12"/>
    </row>
    <row r="711" ht="19.5" customHeight="1">
      <c r="A711" s="12"/>
      <c r="C711" s="12"/>
      <c r="D711" s="87"/>
      <c r="F711" s="14"/>
      <c r="G711" s="14"/>
      <c r="H711" s="14"/>
      <c r="I711" s="14"/>
      <c r="J711" s="14"/>
      <c r="K711" s="12"/>
    </row>
    <row r="712" ht="19.5" customHeight="1">
      <c r="A712" s="12"/>
      <c r="C712" s="12"/>
      <c r="D712" s="87"/>
      <c r="F712" s="14"/>
      <c r="G712" s="14"/>
      <c r="H712" s="14"/>
      <c r="I712" s="14"/>
      <c r="J712" s="14"/>
      <c r="K712" s="12"/>
    </row>
    <row r="713" ht="19.5" customHeight="1">
      <c r="A713" s="12"/>
      <c r="C713" s="12"/>
      <c r="D713" s="87"/>
      <c r="F713" s="14"/>
      <c r="G713" s="14"/>
      <c r="H713" s="14"/>
      <c r="I713" s="14"/>
      <c r="J713" s="14"/>
      <c r="K713" s="12"/>
    </row>
    <row r="714" ht="19.5" customHeight="1">
      <c r="A714" s="12"/>
      <c r="C714" s="12"/>
      <c r="D714" s="87"/>
      <c r="F714" s="14"/>
      <c r="G714" s="14"/>
      <c r="H714" s="14"/>
      <c r="I714" s="14"/>
      <c r="J714" s="14"/>
      <c r="K714" s="12"/>
    </row>
    <row r="715" ht="19.5" customHeight="1">
      <c r="A715" s="12"/>
      <c r="C715" s="12"/>
      <c r="D715" s="87"/>
      <c r="F715" s="14"/>
      <c r="G715" s="14"/>
      <c r="H715" s="14"/>
      <c r="I715" s="14"/>
      <c r="J715" s="14"/>
      <c r="K715" s="12"/>
    </row>
    <row r="716" ht="19.5" customHeight="1">
      <c r="A716" s="12"/>
      <c r="C716" s="12"/>
      <c r="D716" s="87"/>
      <c r="F716" s="14"/>
      <c r="G716" s="14"/>
      <c r="H716" s="14"/>
      <c r="I716" s="14"/>
      <c r="J716" s="14"/>
      <c r="K716" s="12"/>
    </row>
    <row r="717" ht="19.5" customHeight="1">
      <c r="A717" s="12"/>
      <c r="C717" s="12"/>
      <c r="D717" s="87"/>
      <c r="F717" s="14"/>
      <c r="G717" s="14"/>
      <c r="H717" s="14"/>
      <c r="I717" s="14"/>
      <c r="J717" s="14"/>
      <c r="K717" s="12"/>
    </row>
    <row r="718" ht="19.5" customHeight="1">
      <c r="A718" s="12"/>
      <c r="C718" s="12"/>
      <c r="D718" s="87"/>
      <c r="F718" s="14"/>
      <c r="G718" s="14"/>
      <c r="H718" s="14"/>
      <c r="I718" s="14"/>
      <c r="J718" s="14"/>
      <c r="K718" s="12"/>
    </row>
    <row r="719" ht="19.5" customHeight="1">
      <c r="A719" s="12"/>
      <c r="C719" s="12"/>
      <c r="D719" s="87"/>
      <c r="F719" s="14"/>
      <c r="G719" s="14"/>
      <c r="H719" s="14"/>
      <c r="I719" s="14"/>
      <c r="J719" s="14"/>
      <c r="K719" s="12"/>
    </row>
    <row r="720" ht="19.5" customHeight="1">
      <c r="A720" s="12"/>
      <c r="C720" s="12"/>
      <c r="D720" s="87"/>
      <c r="F720" s="14"/>
      <c r="G720" s="14"/>
      <c r="H720" s="14"/>
      <c r="I720" s="14"/>
      <c r="J720" s="14"/>
      <c r="K720" s="12"/>
    </row>
    <row r="721" ht="19.5" customHeight="1">
      <c r="A721" s="12"/>
      <c r="C721" s="12"/>
      <c r="D721" s="87"/>
      <c r="F721" s="14"/>
      <c r="G721" s="14"/>
      <c r="H721" s="14"/>
      <c r="I721" s="14"/>
      <c r="J721" s="14"/>
      <c r="K721" s="12"/>
    </row>
    <row r="722" ht="19.5" customHeight="1">
      <c r="A722" s="12"/>
      <c r="C722" s="12"/>
      <c r="D722" s="87"/>
      <c r="F722" s="14"/>
      <c r="G722" s="14"/>
      <c r="H722" s="14"/>
      <c r="I722" s="14"/>
      <c r="J722" s="14"/>
      <c r="K722" s="12"/>
    </row>
    <row r="723" ht="19.5" customHeight="1">
      <c r="A723" s="12"/>
      <c r="C723" s="12"/>
      <c r="D723" s="87"/>
      <c r="F723" s="14"/>
      <c r="G723" s="14"/>
      <c r="H723" s="14"/>
      <c r="I723" s="14"/>
      <c r="J723" s="14"/>
      <c r="K723" s="12"/>
    </row>
    <row r="724" ht="19.5" customHeight="1">
      <c r="A724" s="12"/>
      <c r="C724" s="12"/>
      <c r="D724" s="87"/>
      <c r="F724" s="14"/>
      <c r="G724" s="14"/>
      <c r="H724" s="14"/>
      <c r="I724" s="14"/>
      <c r="J724" s="14"/>
      <c r="K724" s="12"/>
    </row>
    <row r="725" ht="19.5" customHeight="1">
      <c r="A725" s="12"/>
      <c r="C725" s="12"/>
      <c r="D725" s="87"/>
      <c r="F725" s="14"/>
      <c r="G725" s="14"/>
      <c r="H725" s="14"/>
      <c r="I725" s="14"/>
      <c r="J725" s="14"/>
      <c r="K725" s="12"/>
    </row>
    <row r="726" ht="19.5" customHeight="1">
      <c r="A726" s="12"/>
      <c r="C726" s="12"/>
      <c r="D726" s="87"/>
      <c r="F726" s="14"/>
      <c r="G726" s="14"/>
      <c r="H726" s="14"/>
      <c r="I726" s="14"/>
      <c r="J726" s="14"/>
      <c r="K726" s="12"/>
    </row>
    <row r="727" ht="19.5" customHeight="1">
      <c r="A727" s="12"/>
      <c r="C727" s="12"/>
      <c r="D727" s="87"/>
      <c r="F727" s="14"/>
      <c r="G727" s="14"/>
      <c r="H727" s="14"/>
      <c r="I727" s="14"/>
      <c r="J727" s="14"/>
      <c r="K727" s="12"/>
    </row>
    <row r="728" ht="19.5" customHeight="1">
      <c r="A728" s="12"/>
      <c r="C728" s="12"/>
      <c r="D728" s="87"/>
      <c r="F728" s="14"/>
      <c r="G728" s="14"/>
      <c r="H728" s="14"/>
      <c r="I728" s="14"/>
      <c r="J728" s="14"/>
      <c r="K728" s="12"/>
    </row>
    <row r="729" ht="19.5" customHeight="1">
      <c r="A729" s="12"/>
      <c r="C729" s="12"/>
      <c r="D729" s="87"/>
      <c r="F729" s="14"/>
      <c r="G729" s="14"/>
      <c r="H729" s="14"/>
      <c r="I729" s="14"/>
      <c r="J729" s="14"/>
      <c r="K729" s="12"/>
    </row>
    <row r="730" ht="19.5" customHeight="1">
      <c r="A730" s="12"/>
      <c r="C730" s="12"/>
      <c r="D730" s="87"/>
      <c r="F730" s="14"/>
      <c r="G730" s="14"/>
      <c r="H730" s="14"/>
      <c r="I730" s="14"/>
      <c r="J730" s="14"/>
      <c r="K730" s="12"/>
    </row>
    <row r="731" ht="19.5" customHeight="1">
      <c r="A731" s="12"/>
      <c r="C731" s="12"/>
      <c r="D731" s="87"/>
      <c r="F731" s="14"/>
      <c r="G731" s="14"/>
      <c r="H731" s="14"/>
      <c r="I731" s="14"/>
      <c r="J731" s="14"/>
      <c r="K731" s="12"/>
    </row>
    <row r="732" ht="19.5" customHeight="1">
      <c r="A732" s="12"/>
      <c r="C732" s="12"/>
      <c r="D732" s="87"/>
      <c r="F732" s="14"/>
      <c r="G732" s="14"/>
      <c r="H732" s="14"/>
      <c r="I732" s="14"/>
      <c r="J732" s="14"/>
      <c r="K732" s="12"/>
    </row>
    <row r="733" ht="19.5" customHeight="1">
      <c r="A733" s="12"/>
      <c r="C733" s="12"/>
      <c r="D733" s="87"/>
      <c r="F733" s="14"/>
      <c r="G733" s="14"/>
      <c r="H733" s="14"/>
      <c r="I733" s="14"/>
      <c r="J733" s="14"/>
      <c r="K733" s="12"/>
    </row>
    <row r="734" ht="19.5" customHeight="1">
      <c r="A734" s="12"/>
      <c r="C734" s="12"/>
      <c r="D734" s="87"/>
      <c r="F734" s="14"/>
      <c r="G734" s="14"/>
      <c r="H734" s="14"/>
      <c r="I734" s="14"/>
      <c r="J734" s="14"/>
      <c r="K734" s="12"/>
    </row>
    <row r="735" ht="19.5" customHeight="1">
      <c r="A735" s="12"/>
      <c r="C735" s="12"/>
      <c r="D735" s="87"/>
      <c r="F735" s="14"/>
      <c r="G735" s="14"/>
      <c r="H735" s="14"/>
      <c r="I735" s="14"/>
      <c r="J735" s="14"/>
      <c r="K735" s="12"/>
    </row>
    <row r="736" ht="19.5" customHeight="1">
      <c r="A736" s="12"/>
      <c r="C736" s="12"/>
      <c r="D736" s="87"/>
      <c r="F736" s="14"/>
      <c r="G736" s="14"/>
      <c r="H736" s="14"/>
      <c r="I736" s="14"/>
      <c r="J736" s="14"/>
      <c r="K736" s="12"/>
    </row>
    <row r="737" ht="19.5" customHeight="1">
      <c r="A737" s="12"/>
      <c r="C737" s="12"/>
      <c r="D737" s="87"/>
      <c r="F737" s="14"/>
      <c r="G737" s="14"/>
      <c r="H737" s="14"/>
      <c r="I737" s="14"/>
      <c r="J737" s="14"/>
      <c r="K737" s="12"/>
    </row>
    <row r="738" ht="19.5" customHeight="1">
      <c r="A738" s="12"/>
      <c r="C738" s="12"/>
      <c r="D738" s="87"/>
      <c r="F738" s="14"/>
      <c r="G738" s="14"/>
      <c r="H738" s="14"/>
      <c r="I738" s="14"/>
      <c r="J738" s="14"/>
      <c r="K738" s="12"/>
    </row>
    <row r="739" ht="19.5" customHeight="1">
      <c r="A739" s="12"/>
      <c r="C739" s="12"/>
      <c r="D739" s="87"/>
      <c r="F739" s="14"/>
      <c r="G739" s="14"/>
      <c r="H739" s="14"/>
      <c r="I739" s="14"/>
      <c r="J739" s="14"/>
      <c r="K739" s="12"/>
    </row>
    <row r="740" ht="19.5" customHeight="1">
      <c r="A740" s="12"/>
      <c r="C740" s="12"/>
      <c r="D740" s="87"/>
      <c r="F740" s="14"/>
      <c r="G740" s="14"/>
      <c r="H740" s="14"/>
      <c r="I740" s="14"/>
      <c r="J740" s="14"/>
      <c r="K740" s="12"/>
    </row>
    <row r="741" ht="19.5" customHeight="1">
      <c r="A741" s="12"/>
      <c r="C741" s="12"/>
      <c r="D741" s="87"/>
      <c r="F741" s="14"/>
      <c r="G741" s="14"/>
      <c r="H741" s="14"/>
      <c r="I741" s="14"/>
      <c r="J741" s="14"/>
      <c r="K741" s="12"/>
    </row>
    <row r="742" ht="19.5" customHeight="1">
      <c r="A742" s="12"/>
      <c r="C742" s="12"/>
      <c r="D742" s="87"/>
      <c r="F742" s="14"/>
      <c r="G742" s="14"/>
      <c r="H742" s="14"/>
      <c r="I742" s="14"/>
      <c r="J742" s="14"/>
      <c r="K742" s="12"/>
    </row>
    <row r="743" ht="19.5" customHeight="1">
      <c r="A743" s="12"/>
      <c r="C743" s="12"/>
      <c r="D743" s="87"/>
      <c r="F743" s="14"/>
      <c r="G743" s="14"/>
      <c r="H743" s="14"/>
      <c r="I743" s="14"/>
      <c r="J743" s="14"/>
      <c r="K743" s="12"/>
    </row>
    <row r="744" ht="19.5" customHeight="1">
      <c r="A744" s="12"/>
      <c r="C744" s="12"/>
      <c r="D744" s="87"/>
      <c r="F744" s="14"/>
      <c r="G744" s="14"/>
      <c r="H744" s="14"/>
      <c r="I744" s="14"/>
      <c r="J744" s="14"/>
      <c r="K744" s="12"/>
    </row>
    <row r="745" ht="19.5" customHeight="1">
      <c r="A745" s="12"/>
      <c r="C745" s="12"/>
      <c r="D745" s="87"/>
      <c r="F745" s="14"/>
      <c r="G745" s="14"/>
      <c r="H745" s="14"/>
      <c r="I745" s="14"/>
      <c r="J745" s="14"/>
      <c r="K745" s="12"/>
    </row>
    <row r="746" ht="19.5" customHeight="1">
      <c r="A746" s="12"/>
      <c r="C746" s="12"/>
      <c r="D746" s="87"/>
      <c r="F746" s="14"/>
      <c r="G746" s="14"/>
      <c r="H746" s="14"/>
      <c r="I746" s="14"/>
      <c r="J746" s="14"/>
      <c r="K746" s="12"/>
    </row>
    <row r="747" ht="19.5" customHeight="1">
      <c r="A747" s="12"/>
      <c r="C747" s="12"/>
      <c r="D747" s="87"/>
      <c r="F747" s="14"/>
      <c r="G747" s="14"/>
      <c r="H747" s="14"/>
      <c r="I747" s="14"/>
      <c r="J747" s="14"/>
      <c r="K747" s="12"/>
    </row>
    <row r="748" ht="19.5" customHeight="1">
      <c r="A748" s="12"/>
      <c r="C748" s="12"/>
      <c r="D748" s="87"/>
      <c r="F748" s="14"/>
      <c r="G748" s="14"/>
      <c r="H748" s="14"/>
      <c r="I748" s="14"/>
      <c r="J748" s="14"/>
      <c r="K748" s="12"/>
    </row>
    <row r="749" ht="19.5" customHeight="1">
      <c r="A749" s="12"/>
      <c r="C749" s="12"/>
      <c r="D749" s="87"/>
      <c r="F749" s="14"/>
      <c r="G749" s="14"/>
      <c r="H749" s="14"/>
      <c r="I749" s="14"/>
      <c r="J749" s="14"/>
      <c r="K749" s="12"/>
    </row>
    <row r="750" ht="19.5" customHeight="1">
      <c r="A750" s="12"/>
      <c r="C750" s="12"/>
      <c r="D750" s="87"/>
      <c r="F750" s="14"/>
      <c r="G750" s="14"/>
      <c r="H750" s="14"/>
      <c r="I750" s="14"/>
      <c r="J750" s="14"/>
      <c r="K750" s="12"/>
    </row>
    <row r="751" ht="19.5" customHeight="1">
      <c r="A751" s="12"/>
      <c r="C751" s="12"/>
      <c r="D751" s="87"/>
      <c r="F751" s="14"/>
      <c r="G751" s="14"/>
      <c r="H751" s="14"/>
      <c r="I751" s="14"/>
      <c r="J751" s="14"/>
      <c r="K751" s="12"/>
    </row>
    <row r="752" ht="19.5" customHeight="1">
      <c r="A752" s="12"/>
      <c r="C752" s="12"/>
      <c r="D752" s="87"/>
      <c r="F752" s="14"/>
      <c r="G752" s="14"/>
      <c r="H752" s="14"/>
      <c r="I752" s="14"/>
      <c r="J752" s="14"/>
      <c r="K752" s="12"/>
    </row>
    <row r="753" ht="19.5" customHeight="1">
      <c r="A753" s="12"/>
      <c r="C753" s="12"/>
      <c r="D753" s="87"/>
      <c r="F753" s="14"/>
      <c r="G753" s="14"/>
      <c r="H753" s="14"/>
      <c r="I753" s="14"/>
      <c r="J753" s="14"/>
      <c r="K753" s="12"/>
    </row>
    <row r="754" ht="19.5" customHeight="1">
      <c r="A754" s="12"/>
      <c r="C754" s="12"/>
      <c r="D754" s="87"/>
      <c r="F754" s="14"/>
      <c r="G754" s="14"/>
      <c r="H754" s="14"/>
      <c r="I754" s="14"/>
      <c r="J754" s="14"/>
      <c r="K754" s="12"/>
    </row>
    <row r="755" ht="19.5" customHeight="1">
      <c r="A755" s="12"/>
      <c r="C755" s="12"/>
      <c r="D755" s="87"/>
      <c r="F755" s="14"/>
      <c r="G755" s="14"/>
      <c r="H755" s="14"/>
      <c r="I755" s="14"/>
      <c r="J755" s="14"/>
      <c r="K755" s="12"/>
    </row>
    <row r="756" ht="19.5" customHeight="1">
      <c r="A756" s="12"/>
      <c r="C756" s="12"/>
      <c r="D756" s="87"/>
      <c r="F756" s="14"/>
      <c r="G756" s="14"/>
      <c r="H756" s="14"/>
      <c r="I756" s="14"/>
      <c r="J756" s="14"/>
      <c r="K756" s="12"/>
    </row>
    <row r="757" ht="19.5" customHeight="1">
      <c r="A757" s="12"/>
      <c r="C757" s="12"/>
      <c r="D757" s="87"/>
      <c r="F757" s="14"/>
      <c r="G757" s="14"/>
      <c r="H757" s="14"/>
      <c r="I757" s="14"/>
      <c r="J757" s="14"/>
      <c r="K757" s="12"/>
    </row>
    <row r="758" ht="19.5" customHeight="1">
      <c r="A758" s="12"/>
      <c r="C758" s="12"/>
      <c r="D758" s="87"/>
      <c r="F758" s="14"/>
      <c r="G758" s="14"/>
      <c r="H758" s="14"/>
      <c r="I758" s="14"/>
      <c r="J758" s="14"/>
      <c r="K758" s="12"/>
    </row>
    <row r="759" ht="19.5" customHeight="1">
      <c r="A759" s="12"/>
      <c r="C759" s="12"/>
      <c r="D759" s="87"/>
      <c r="F759" s="14"/>
      <c r="G759" s="14"/>
      <c r="H759" s="14"/>
      <c r="I759" s="14"/>
      <c r="J759" s="14"/>
      <c r="K759" s="12"/>
    </row>
    <row r="760" ht="19.5" customHeight="1">
      <c r="A760" s="12"/>
      <c r="C760" s="12"/>
      <c r="D760" s="87"/>
      <c r="F760" s="14"/>
      <c r="G760" s="14"/>
      <c r="H760" s="14"/>
      <c r="I760" s="14"/>
      <c r="J760" s="14"/>
      <c r="K760" s="12"/>
    </row>
    <row r="761" ht="19.5" customHeight="1">
      <c r="A761" s="12"/>
      <c r="C761" s="12"/>
      <c r="D761" s="87"/>
      <c r="F761" s="14"/>
      <c r="G761" s="14"/>
      <c r="H761" s="14"/>
      <c r="I761" s="14"/>
      <c r="J761" s="14"/>
      <c r="K761" s="12"/>
    </row>
    <row r="762" ht="19.5" customHeight="1">
      <c r="A762" s="12"/>
      <c r="C762" s="12"/>
      <c r="D762" s="87"/>
      <c r="F762" s="14"/>
      <c r="G762" s="14"/>
      <c r="H762" s="14"/>
      <c r="I762" s="14"/>
      <c r="J762" s="14"/>
      <c r="K762" s="12"/>
    </row>
    <row r="763" ht="19.5" customHeight="1">
      <c r="A763" s="12"/>
      <c r="C763" s="12"/>
      <c r="D763" s="87"/>
      <c r="F763" s="14"/>
      <c r="G763" s="14"/>
      <c r="H763" s="14"/>
      <c r="I763" s="14"/>
      <c r="J763" s="14"/>
      <c r="K763" s="12"/>
    </row>
    <row r="764" ht="19.5" customHeight="1">
      <c r="A764" s="12"/>
      <c r="C764" s="12"/>
      <c r="D764" s="87"/>
      <c r="F764" s="14"/>
      <c r="G764" s="14"/>
      <c r="H764" s="14"/>
      <c r="I764" s="14"/>
      <c r="J764" s="14"/>
      <c r="K764" s="12"/>
    </row>
    <row r="765" ht="19.5" customHeight="1">
      <c r="A765" s="12"/>
      <c r="C765" s="12"/>
      <c r="D765" s="87"/>
      <c r="F765" s="14"/>
      <c r="G765" s="14"/>
      <c r="H765" s="14"/>
      <c r="I765" s="14"/>
      <c r="J765" s="14"/>
      <c r="K765" s="12"/>
    </row>
    <row r="766" ht="19.5" customHeight="1">
      <c r="A766" s="12"/>
      <c r="C766" s="12"/>
      <c r="D766" s="87"/>
      <c r="F766" s="14"/>
      <c r="G766" s="14"/>
      <c r="H766" s="14"/>
      <c r="I766" s="14"/>
      <c r="J766" s="14"/>
      <c r="K766" s="12"/>
    </row>
    <row r="767" ht="19.5" customHeight="1">
      <c r="A767" s="12"/>
      <c r="C767" s="12"/>
      <c r="D767" s="87"/>
      <c r="F767" s="14"/>
      <c r="G767" s="14"/>
      <c r="H767" s="14"/>
      <c r="I767" s="14"/>
      <c r="J767" s="14"/>
      <c r="K767" s="12"/>
    </row>
    <row r="768" ht="19.5" customHeight="1">
      <c r="A768" s="12"/>
      <c r="C768" s="12"/>
      <c r="D768" s="87"/>
      <c r="F768" s="14"/>
      <c r="G768" s="14"/>
      <c r="H768" s="14"/>
      <c r="I768" s="14"/>
      <c r="J768" s="14"/>
      <c r="K768" s="12"/>
    </row>
    <row r="769" ht="19.5" customHeight="1">
      <c r="A769" s="12"/>
      <c r="C769" s="12"/>
      <c r="D769" s="87"/>
      <c r="F769" s="14"/>
      <c r="G769" s="14"/>
      <c r="H769" s="14"/>
      <c r="I769" s="14"/>
      <c r="J769" s="14"/>
      <c r="K769" s="12"/>
    </row>
    <row r="770" ht="19.5" customHeight="1">
      <c r="A770" s="12"/>
      <c r="C770" s="12"/>
      <c r="D770" s="87"/>
      <c r="F770" s="14"/>
      <c r="G770" s="14"/>
      <c r="H770" s="14"/>
      <c r="I770" s="14"/>
      <c r="J770" s="14"/>
      <c r="K770" s="12"/>
    </row>
    <row r="771" ht="19.5" customHeight="1">
      <c r="A771" s="12"/>
      <c r="C771" s="12"/>
      <c r="D771" s="87"/>
      <c r="F771" s="14"/>
      <c r="G771" s="14"/>
      <c r="H771" s="14"/>
      <c r="I771" s="14"/>
      <c r="J771" s="14"/>
      <c r="K771" s="12"/>
    </row>
    <row r="772" ht="19.5" customHeight="1">
      <c r="A772" s="12"/>
      <c r="C772" s="12"/>
      <c r="D772" s="87"/>
      <c r="F772" s="14"/>
      <c r="G772" s="14"/>
      <c r="H772" s="14"/>
      <c r="I772" s="14"/>
      <c r="J772" s="14"/>
      <c r="K772" s="12"/>
    </row>
    <row r="773" ht="19.5" customHeight="1">
      <c r="A773" s="12"/>
      <c r="C773" s="12"/>
      <c r="D773" s="87"/>
      <c r="F773" s="14"/>
      <c r="G773" s="14"/>
      <c r="H773" s="14"/>
      <c r="I773" s="14"/>
      <c r="J773" s="14"/>
      <c r="K773" s="12"/>
    </row>
    <row r="774" ht="19.5" customHeight="1">
      <c r="A774" s="12"/>
      <c r="C774" s="12"/>
      <c r="D774" s="87"/>
      <c r="F774" s="14"/>
      <c r="G774" s="14"/>
      <c r="H774" s="14"/>
      <c r="I774" s="14"/>
      <c r="J774" s="14"/>
      <c r="K774" s="12"/>
    </row>
    <row r="775" ht="19.5" customHeight="1">
      <c r="A775" s="12"/>
      <c r="C775" s="12"/>
      <c r="D775" s="87"/>
      <c r="F775" s="14"/>
      <c r="G775" s="14"/>
      <c r="H775" s="14"/>
      <c r="I775" s="14"/>
      <c r="J775" s="14"/>
      <c r="K775" s="12"/>
    </row>
    <row r="776" ht="19.5" customHeight="1">
      <c r="A776" s="12"/>
      <c r="C776" s="12"/>
      <c r="D776" s="87"/>
      <c r="F776" s="14"/>
      <c r="G776" s="14"/>
      <c r="H776" s="14"/>
      <c r="I776" s="14"/>
      <c r="J776" s="14"/>
      <c r="K776" s="12"/>
    </row>
    <row r="777" ht="19.5" customHeight="1">
      <c r="A777" s="12"/>
      <c r="C777" s="12"/>
      <c r="D777" s="87"/>
      <c r="F777" s="14"/>
      <c r="G777" s="14"/>
      <c r="H777" s="14"/>
      <c r="I777" s="14"/>
      <c r="J777" s="14"/>
      <c r="K777" s="12"/>
    </row>
    <row r="778" ht="19.5" customHeight="1">
      <c r="A778" s="12"/>
      <c r="C778" s="12"/>
      <c r="D778" s="87"/>
      <c r="F778" s="14"/>
      <c r="G778" s="14"/>
      <c r="H778" s="14"/>
      <c r="I778" s="14"/>
      <c r="J778" s="14"/>
      <c r="K778" s="12"/>
    </row>
    <row r="779" ht="19.5" customHeight="1">
      <c r="A779" s="12"/>
      <c r="C779" s="12"/>
      <c r="D779" s="87"/>
      <c r="F779" s="14"/>
      <c r="G779" s="14"/>
      <c r="H779" s="14"/>
      <c r="I779" s="14"/>
      <c r="J779" s="14"/>
      <c r="K779" s="12"/>
    </row>
    <row r="780" ht="19.5" customHeight="1">
      <c r="A780" s="12"/>
      <c r="C780" s="12"/>
      <c r="D780" s="87"/>
      <c r="F780" s="14"/>
      <c r="G780" s="14"/>
      <c r="H780" s="14"/>
      <c r="I780" s="14"/>
      <c r="J780" s="14"/>
      <c r="K780" s="12"/>
    </row>
    <row r="781" ht="19.5" customHeight="1">
      <c r="A781" s="12"/>
      <c r="C781" s="12"/>
      <c r="D781" s="87"/>
      <c r="F781" s="14"/>
      <c r="G781" s="14"/>
      <c r="H781" s="14"/>
      <c r="I781" s="14"/>
      <c r="J781" s="14"/>
      <c r="K781" s="12"/>
    </row>
    <row r="782" ht="19.5" customHeight="1">
      <c r="A782" s="12"/>
      <c r="C782" s="12"/>
      <c r="D782" s="87"/>
      <c r="F782" s="14"/>
      <c r="G782" s="14"/>
      <c r="H782" s="14"/>
      <c r="I782" s="14"/>
      <c r="J782" s="14"/>
      <c r="K782" s="12"/>
    </row>
    <row r="783" ht="19.5" customHeight="1">
      <c r="A783" s="12"/>
      <c r="C783" s="12"/>
      <c r="D783" s="87"/>
      <c r="F783" s="14"/>
      <c r="G783" s="14"/>
      <c r="H783" s="14"/>
      <c r="I783" s="14"/>
      <c r="J783" s="14"/>
      <c r="K783" s="12"/>
    </row>
    <row r="784" ht="19.5" customHeight="1">
      <c r="A784" s="12"/>
      <c r="C784" s="12"/>
      <c r="D784" s="87"/>
      <c r="F784" s="14"/>
      <c r="G784" s="14"/>
      <c r="H784" s="14"/>
      <c r="I784" s="14"/>
      <c r="J784" s="14"/>
      <c r="K784" s="12"/>
    </row>
    <row r="785" ht="19.5" customHeight="1">
      <c r="A785" s="12"/>
      <c r="C785" s="12"/>
      <c r="D785" s="87"/>
      <c r="F785" s="14"/>
      <c r="G785" s="14"/>
      <c r="H785" s="14"/>
      <c r="I785" s="14"/>
      <c r="J785" s="14"/>
      <c r="K785" s="12"/>
    </row>
    <row r="786" ht="19.5" customHeight="1">
      <c r="A786" s="12"/>
      <c r="C786" s="12"/>
      <c r="D786" s="87"/>
      <c r="F786" s="14"/>
      <c r="G786" s="14"/>
      <c r="H786" s="14"/>
      <c r="I786" s="14"/>
      <c r="J786" s="14"/>
      <c r="K786" s="12"/>
    </row>
    <row r="787" ht="19.5" customHeight="1">
      <c r="A787" s="12"/>
      <c r="C787" s="12"/>
      <c r="D787" s="87"/>
      <c r="F787" s="14"/>
      <c r="G787" s="14"/>
      <c r="H787" s="14"/>
      <c r="I787" s="14"/>
      <c r="J787" s="14"/>
      <c r="K787" s="12"/>
    </row>
    <row r="788" ht="19.5" customHeight="1">
      <c r="A788" s="12"/>
      <c r="C788" s="12"/>
      <c r="D788" s="87"/>
      <c r="F788" s="14"/>
      <c r="G788" s="14"/>
      <c r="H788" s="14"/>
      <c r="I788" s="14"/>
      <c r="J788" s="14"/>
      <c r="K788" s="12"/>
    </row>
    <row r="789" ht="19.5" customHeight="1">
      <c r="A789" s="12"/>
      <c r="C789" s="12"/>
      <c r="D789" s="87"/>
      <c r="F789" s="14"/>
      <c r="G789" s="14"/>
      <c r="H789" s="14"/>
      <c r="I789" s="14"/>
      <c r="J789" s="14"/>
      <c r="K789" s="12"/>
    </row>
    <row r="790" ht="19.5" customHeight="1">
      <c r="A790" s="12"/>
      <c r="C790" s="12"/>
      <c r="D790" s="87"/>
      <c r="F790" s="14"/>
      <c r="G790" s="14"/>
      <c r="H790" s="14"/>
      <c r="I790" s="14"/>
      <c r="J790" s="14"/>
      <c r="K790" s="12"/>
    </row>
    <row r="791" ht="19.5" customHeight="1">
      <c r="A791" s="12"/>
      <c r="C791" s="12"/>
      <c r="D791" s="87"/>
      <c r="F791" s="14"/>
      <c r="G791" s="14"/>
      <c r="H791" s="14"/>
      <c r="I791" s="14"/>
      <c r="J791" s="14"/>
      <c r="K791" s="12"/>
    </row>
    <row r="792" ht="19.5" customHeight="1">
      <c r="A792" s="12"/>
      <c r="C792" s="12"/>
      <c r="D792" s="87"/>
      <c r="F792" s="14"/>
      <c r="G792" s="14"/>
      <c r="H792" s="14"/>
      <c r="I792" s="14"/>
      <c r="J792" s="14"/>
      <c r="K792" s="12"/>
    </row>
    <row r="793" ht="19.5" customHeight="1">
      <c r="A793" s="12"/>
      <c r="C793" s="12"/>
      <c r="D793" s="87"/>
      <c r="F793" s="14"/>
      <c r="G793" s="14"/>
      <c r="H793" s="14"/>
      <c r="I793" s="14"/>
      <c r="J793" s="14"/>
      <c r="K793" s="12"/>
    </row>
    <row r="794" ht="19.5" customHeight="1">
      <c r="A794" s="12"/>
      <c r="C794" s="12"/>
      <c r="D794" s="87"/>
      <c r="F794" s="14"/>
      <c r="G794" s="14"/>
      <c r="H794" s="14"/>
      <c r="I794" s="14"/>
      <c r="J794" s="14"/>
      <c r="K794" s="12"/>
    </row>
    <row r="795" ht="19.5" customHeight="1">
      <c r="A795" s="12"/>
      <c r="C795" s="12"/>
      <c r="D795" s="87"/>
      <c r="F795" s="14"/>
      <c r="G795" s="14"/>
      <c r="H795" s="14"/>
      <c r="I795" s="14"/>
      <c r="J795" s="14"/>
      <c r="K795" s="12"/>
    </row>
    <row r="796" ht="19.5" customHeight="1">
      <c r="A796" s="12"/>
      <c r="C796" s="12"/>
      <c r="D796" s="87"/>
      <c r="F796" s="14"/>
      <c r="G796" s="14"/>
      <c r="H796" s="14"/>
      <c r="I796" s="14"/>
      <c r="J796" s="14"/>
      <c r="K796" s="12"/>
    </row>
    <row r="797" ht="19.5" customHeight="1">
      <c r="A797" s="12"/>
      <c r="C797" s="12"/>
      <c r="D797" s="87"/>
      <c r="F797" s="14"/>
      <c r="G797" s="14"/>
      <c r="H797" s="14"/>
      <c r="I797" s="14"/>
      <c r="J797" s="14"/>
      <c r="K797" s="12"/>
    </row>
    <row r="798" ht="19.5" customHeight="1">
      <c r="A798" s="12"/>
      <c r="C798" s="12"/>
      <c r="D798" s="87"/>
      <c r="F798" s="14"/>
      <c r="G798" s="14"/>
      <c r="H798" s="14"/>
      <c r="I798" s="14"/>
      <c r="J798" s="14"/>
      <c r="K798" s="12"/>
    </row>
    <row r="799" ht="19.5" customHeight="1">
      <c r="A799" s="12"/>
      <c r="C799" s="12"/>
      <c r="D799" s="87"/>
      <c r="F799" s="14"/>
      <c r="G799" s="14"/>
      <c r="H799" s="14"/>
      <c r="I799" s="14"/>
      <c r="J799" s="14"/>
      <c r="K799" s="12"/>
    </row>
    <row r="800" ht="19.5" customHeight="1">
      <c r="A800" s="12"/>
      <c r="C800" s="12"/>
      <c r="D800" s="87"/>
      <c r="F800" s="14"/>
      <c r="G800" s="14"/>
      <c r="H800" s="14"/>
      <c r="I800" s="14"/>
      <c r="J800" s="14"/>
      <c r="K800" s="12"/>
    </row>
    <row r="801" ht="19.5" customHeight="1">
      <c r="A801" s="12"/>
      <c r="C801" s="12"/>
      <c r="D801" s="87"/>
      <c r="F801" s="14"/>
      <c r="G801" s="14"/>
      <c r="H801" s="14"/>
      <c r="I801" s="14"/>
      <c r="J801" s="14"/>
      <c r="K801" s="12"/>
    </row>
    <row r="802" ht="19.5" customHeight="1">
      <c r="A802" s="12"/>
      <c r="C802" s="12"/>
      <c r="D802" s="87"/>
      <c r="F802" s="14"/>
      <c r="G802" s="14"/>
      <c r="H802" s="14"/>
      <c r="I802" s="14"/>
      <c r="J802" s="14"/>
      <c r="K802" s="12"/>
    </row>
    <row r="803" ht="19.5" customHeight="1">
      <c r="A803" s="12"/>
      <c r="C803" s="12"/>
      <c r="D803" s="87"/>
      <c r="F803" s="14"/>
      <c r="G803" s="14"/>
      <c r="H803" s="14"/>
      <c r="I803" s="14"/>
      <c r="J803" s="14"/>
      <c r="K803" s="12"/>
    </row>
    <row r="804" ht="19.5" customHeight="1">
      <c r="A804" s="12"/>
      <c r="C804" s="12"/>
      <c r="D804" s="87"/>
      <c r="F804" s="14"/>
      <c r="G804" s="14"/>
      <c r="H804" s="14"/>
      <c r="I804" s="14"/>
      <c r="J804" s="14"/>
      <c r="K804" s="12"/>
    </row>
    <row r="805" ht="19.5" customHeight="1">
      <c r="A805" s="12"/>
      <c r="C805" s="12"/>
      <c r="D805" s="87"/>
      <c r="F805" s="14"/>
      <c r="G805" s="14"/>
      <c r="H805" s="14"/>
      <c r="I805" s="14"/>
      <c r="J805" s="14"/>
      <c r="K805" s="12"/>
    </row>
    <row r="806" ht="19.5" customHeight="1">
      <c r="A806" s="12"/>
      <c r="C806" s="12"/>
      <c r="D806" s="87"/>
      <c r="F806" s="14"/>
      <c r="G806" s="14"/>
      <c r="H806" s="14"/>
      <c r="I806" s="14"/>
      <c r="J806" s="14"/>
      <c r="K806" s="12"/>
    </row>
    <row r="807" ht="19.5" customHeight="1">
      <c r="A807" s="12"/>
      <c r="C807" s="12"/>
      <c r="D807" s="87"/>
      <c r="F807" s="14"/>
      <c r="G807" s="14"/>
      <c r="H807" s="14"/>
      <c r="I807" s="14"/>
      <c r="J807" s="14"/>
      <c r="K807" s="12"/>
    </row>
    <row r="808" ht="19.5" customHeight="1">
      <c r="A808" s="12"/>
      <c r="C808" s="12"/>
      <c r="D808" s="87"/>
      <c r="F808" s="14"/>
      <c r="G808" s="14"/>
      <c r="H808" s="14"/>
      <c r="I808" s="14"/>
      <c r="J808" s="14"/>
      <c r="K808" s="12"/>
    </row>
    <row r="809" ht="19.5" customHeight="1">
      <c r="A809" s="12"/>
      <c r="C809" s="12"/>
      <c r="D809" s="87"/>
      <c r="F809" s="14"/>
      <c r="G809" s="14"/>
      <c r="H809" s="14"/>
      <c r="I809" s="14"/>
      <c r="J809" s="14"/>
      <c r="K809" s="12"/>
    </row>
    <row r="810" ht="19.5" customHeight="1">
      <c r="A810" s="12"/>
      <c r="C810" s="12"/>
      <c r="D810" s="87"/>
      <c r="F810" s="14"/>
      <c r="G810" s="14"/>
      <c r="H810" s="14"/>
      <c r="I810" s="14"/>
      <c r="J810" s="14"/>
      <c r="K810" s="12"/>
    </row>
    <row r="811" ht="19.5" customHeight="1">
      <c r="A811" s="12"/>
      <c r="C811" s="12"/>
      <c r="D811" s="87"/>
      <c r="F811" s="14"/>
      <c r="G811" s="14"/>
      <c r="H811" s="14"/>
      <c r="I811" s="14"/>
      <c r="J811" s="14"/>
      <c r="K811" s="12"/>
    </row>
    <row r="812" ht="19.5" customHeight="1">
      <c r="A812" s="12"/>
      <c r="C812" s="12"/>
      <c r="D812" s="87"/>
      <c r="F812" s="14"/>
      <c r="G812" s="14"/>
      <c r="H812" s="14"/>
      <c r="I812" s="14"/>
      <c r="J812" s="14"/>
      <c r="K812" s="12"/>
    </row>
    <row r="813" ht="19.5" customHeight="1">
      <c r="A813" s="12"/>
      <c r="C813" s="12"/>
      <c r="D813" s="87"/>
      <c r="F813" s="14"/>
      <c r="G813" s="14"/>
      <c r="H813" s="14"/>
      <c r="I813" s="14"/>
      <c r="J813" s="14"/>
      <c r="K813" s="12"/>
    </row>
    <row r="814" ht="19.5" customHeight="1">
      <c r="A814" s="12"/>
      <c r="C814" s="12"/>
      <c r="D814" s="87"/>
      <c r="F814" s="14"/>
      <c r="G814" s="14"/>
      <c r="H814" s="14"/>
      <c r="I814" s="14"/>
      <c r="J814" s="14"/>
      <c r="K814" s="12"/>
    </row>
    <row r="815" ht="19.5" customHeight="1">
      <c r="A815" s="12"/>
      <c r="C815" s="12"/>
      <c r="D815" s="87"/>
      <c r="F815" s="14"/>
      <c r="G815" s="14"/>
      <c r="H815" s="14"/>
      <c r="I815" s="14"/>
      <c r="J815" s="14"/>
      <c r="K815" s="12"/>
    </row>
    <row r="816" ht="19.5" customHeight="1">
      <c r="A816" s="12"/>
      <c r="C816" s="12"/>
      <c r="D816" s="87"/>
      <c r="F816" s="14"/>
      <c r="G816" s="14"/>
      <c r="H816" s="14"/>
      <c r="I816" s="14"/>
      <c r="J816" s="14"/>
      <c r="K816" s="12"/>
    </row>
    <row r="817" ht="19.5" customHeight="1">
      <c r="A817" s="12"/>
      <c r="C817" s="12"/>
      <c r="D817" s="87"/>
      <c r="F817" s="14"/>
      <c r="G817" s="14"/>
      <c r="H817" s="14"/>
      <c r="I817" s="14"/>
      <c r="J817" s="14"/>
      <c r="K817" s="12"/>
    </row>
    <row r="818" ht="19.5" customHeight="1">
      <c r="A818" s="12"/>
      <c r="C818" s="12"/>
      <c r="D818" s="87"/>
      <c r="F818" s="14"/>
      <c r="G818" s="14"/>
      <c r="H818" s="14"/>
      <c r="I818" s="14"/>
      <c r="J818" s="14"/>
      <c r="K818" s="12"/>
    </row>
    <row r="819" ht="19.5" customHeight="1">
      <c r="A819" s="12"/>
      <c r="C819" s="12"/>
      <c r="D819" s="87"/>
      <c r="F819" s="14"/>
      <c r="G819" s="14"/>
      <c r="H819" s="14"/>
      <c r="I819" s="14"/>
      <c r="J819" s="14"/>
      <c r="K819" s="12"/>
    </row>
    <row r="820" ht="19.5" customHeight="1">
      <c r="A820" s="12"/>
      <c r="C820" s="12"/>
      <c r="D820" s="87"/>
      <c r="F820" s="14"/>
      <c r="G820" s="14"/>
      <c r="H820" s="14"/>
      <c r="I820" s="14"/>
      <c r="J820" s="14"/>
      <c r="K820" s="12"/>
    </row>
    <row r="821" ht="19.5" customHeight="1">
      <c r="A821" s="12"/>
      <c r="C821" s="12"/>
      <c r="D821" s="87"/>
      <c r="F821" s="14"/>
      <c r="G821" s="14"/>
      <c r="H821" s="14"/>
      <c r="I821" s="14"/>
      <c r="J821" s="14"/>
      <c r="K821" s="12"/>
    </row>
    <row r="822" ht="19.5" customHeight="1">
      <c r="A822" s="12"/>
      <c r="C822" s="12"/>
      <c r="D822" s="87"/>
      <c r="F822" s="14"/>
      <c r="G822" s="14"/>
      <c r="H822" s="14"/>
      <c r="I822" s="14"/>
      <c r="J822" s="14"/>
      <c r="K822" s="12"/>
    </row>
    <row r="823" ht="19.5" customHeight="1">
      <c r="A823" s="12"/>
      <c r="C823" s="12"/>
      <c r="D823" s="87"/>
      <c r="F823" s="14"/>
      <c r="G823" s="14"/>
      <c r="H823" s="14"/>
      <c r="I823" s="14"/>
      <c r="J823" s="14"/>
      <c r="K823" s="12"/>
    </row>
    <row r="824" ht="19.5" customHeight="1">
      <c r="A824" s="12"/>
      <c r="C824" s="12"/>
      <c r="D824" s="87"/>
      <c r="F824" s="14"/>
      <c r="G824" s="14"/>
      <c r="H824" s="14"/>
      <c r="I824" s="14"/>
      <c r="J824" s="14"/>
      <c r="K824" s="12"/>
    </row>
    <row r="825" ht="19.5" customHeight="1">
      <c r="A825" s="12"/>
      <c r="C825" s="12"/>
      <c r="D825" s="87"/>
      <c r="F825" s="14"/>
      <c r="G825" s="14"/>
      <c r="H825" s="14"/>
      <c r="I825" s="14"/>
      <c r="J825" s="14"/>
      <c r="K825" s="12"/>
    </row>
    <row r="826" ht="19.5" customHeight="1">
      <c r="A826" s="12"/>
      <c r="C826" s="12"/>
      <c r="D826" s="87"/>
      <c r="F826" s="14"/>
      <c r="G826" s="14"/>
      <c r="H826" s="14"/>
      <c r="I826" s="14"/>
      <c r="J826" s="14"/>
      <c r="K826" s="12"/>
    </row>
    <row r="827" ht="19.5" customHeight="1">
      <c r="A827" s="12"/>
      <c r="C827" s="12"/>
      <c r="D827" s="87"/>
      <c r="F827" s="14"/>
      <c r="G827" s="14"/>
      <c r="H827" s="14"/>
      <c r="I827" s="14"/>
      <c r="J827" s="14"/>
      <c r="K827" s="12"/>
    </row>
    <row r="828" ht="19.5" customHeight="1">
      <c r="A828" s="12"/>
      <c r="C828" s="12"/>
      <c r="D828" s="87"/>
      <c r="F828" s="14"/>
      <c r="G828" s="14"/>
      <c r="H828" s="14"/>
      <c r="I828" s="14"/>
      <c r="J828" s="14"/>
      <c r="K828" s="12"/>
    </row>
    <row r="829" ht="19.5" customHeight="1">
      <c r="A829" s="12"/>
      <c r="C829" s="12"/>
      <c r="D829" s="87"/>
      <c r="F829" s="14"/>
      <c r="G829" s="14"/>
      <c r="H829" s="14"/>
      <c r="I829" s="14"/>
      <c r="J829" s="14"/>
      <c r="K829" s="12"/>
    </row>
    <row r="830" ht="19.5" customHeight="1">
      <c r="A830" s="12"/>
      <c r="C830" s="12"/>
      <c r="D830" s="87"/>
      <c r="F830" s="14"/>
      <c r="G830" s="14"/>
      <c r="H830" s="14"/>
      <c r="I830" s="14"/>
      <c r="J830" s="14"/>
      <c r="K830" s="12"/>
    </row>
    <row r="831" ht="19.5" customHeight="1">
      <c r="A831" s="12"/>
      <c r="C831" s="12"/>
      <c r="D831" s="87"/>
      <c r="F831" s="14"/>
      <c r="G831" s="14"/>
      <c r="H831" s="14"/>
      <c r="I831" s="14"/>
      <c r="J831" s="14"/>
      <c r="K831" s="12"/>
    </row>
    <row r="832" ht="19.5" customHeight="1">
      <c r="A832" s="12"/>
      <c r="C832" s="12"/>
      <c r="D832" s="87"/>
      <c r="F832" s="14"/>
      <c r="G832" s="14"/>
      <c r="H832" s="14"/>
      <c r="I832" s="14"/>
      <c r="J832" s="14"/>
      <c r="K832" s="12"/>
    </row>
    <row r="833" ht="19.5" customHeight="1">
      <c r="A833" s="12"/>
      <c r="C833" s="12"/>
      <c r="D833" s="87"/>
      <c r="F833" s="14"/>
      <c r="G833" s="14"/>
      <c r="H833" s="14"/>
      <c r="I833" s="14"/>
      <c r="J833" s="14"/>
      <c r="K833" s="12"/>
    </row>
    <row r="834" ht="19.5" customHeight="1">
      <c r="A834" s="12"/>
      <c r="C834" s="12"/>
      <c r="D834" s="87"/>
      <c r="F834" s="14"/>
      <c r="G834" s="14"/>
      <c r="H834" s="14"/>
      <c r="I834" s="14"/>
      <c r="J834" s="14"/>
      <c r="K834" s="12"/>
    </row>
    <row r="835" ht="19.5" customHeight="1">
      <c r="A835" s="12"/>
      <c r="C835" s="12"/>
      <c r="D835" s="87"/>
      <c r="F835" s="14"/>
      <c r="G835" s="14"/>
      <c r="H835" s="14"/>
      <c r="I835" s="14"/>
      <c r="J835" s="14"/>
      <c r="K835" s="12"/>
    </row>
    <row r="836" ht="19.5" customHeight="1">
      <c r="A836" s="12"/>
      <c r="C836" s="12"/>
      <c r="D836" s="87"/>
      <c r="F836" s="14"/>
      <c r="G836" s="14"/>
      <c r="H836" s="14"/>
      <c r="I836" s="14"/>
      <c r="J836" s="14"/>
      <c r="K836" s="12"/>
    </row>
    <row r="837" ht="19.5" customHeight="1">
      <c r="A837" s="12"/>
      <c r="C837" s="12"/>
      <c r="D837" s="87"/>
      <c r="F837" s="14"/>
      <c r="G837" s="14"/>
      <c r="H837" s="14"/>
      <c r="I837" s="14"/>
      <c r="J837" s="14"/>
      <c r="K837" s="12"/>
    </row>
    <row r="838" ht="19.5" customHeight="1">
      <c r="A838" s="12"/>
      <c r="C838" s="12"/>
      <c r="D838" s="87"/>
      <c r="F838" s="14"/>
      <c r="G838" s="14"/>
      <c r="H838" s="14"/>
      <c r="I838" s="14"/>
      <c r="J838" s="14"/>
      <c r="K838" s="12"/>
    </row>
    <row r="839" ht="19.5" customHeight="1">
      <c r="A839" s="12"/>
      <c r="C839" s="12"/>
      <c r="D839" s="87"/>
      <c r="F839" s="14"/>
      <c r="G839" s="14"/>
      <c r="H839" s="14"/>
      <c r="I839" s="14"/>
      <c r="J839" s="14"/>
      <c r="K839" s="12"/>
    </row>
    <row r="840" ht="19.5" customHeight="1">
      <c r="A840" s="12"/>
      <c r="C840" s="12"/>
      <c r="D840" s="87"/>
      <c r="F840" s="14"/>
      <c r="G840" s="14"/>
      <c r="H840" s="14"/>
      <c r="I840" s="14"/>
      <c r="J840" s="14"/>
      <c r="K840" s="12"/>
    </row>
    <row r="841" ht="19.5" customHeight="1">
      <c r="A841" s="12"/>
      <c r="C841" s="12"/>
      <c r="D841" s="87"/>
      <c r="F841" s="14"/>
      <c r="G841" s="14"/>
      <c r="H841" s="14"/>
      <c r="I841" s="14"/>
      <c r="J841" s="14"/>
      <c r="K841" s="12"/>
    </row>
    <row r="842" ht="19.5" customHeight="1">
      <c r="A842" s="12"/>
      <c r="C842" s="12"/>
      <c r="D842" s="87"/>
      <c r="F842" s="14"/>
      <c r="G842" s="14"/>
      <c r="H842" s="14"/>
      <c r="I842" s="14"/>
      <c r="J842" s="14"/>
      <c r="K842" s="12"/>
    </row>
    <row r="843" ht="19.5" customHeight="1">
      <c r="A843" s="12"/>
      <c r="C843" s="12"/>
      <c r="D843" s="87"/>
      <c r="F843" s="14"/>
      <c r="G843" s="14"/>
      <c r="H843" s="14"/>
      <c r="I843" s="14"/>
      <c r="J843" s="14"/>
      <c r="K843" s="12"/>
    </row>
    <row r="844" ht="19.5" customHeight="1">
      <c r="A844" s="12"/>
      <c r="C844" s="12"/>
      <c r="D844" s="87"/>
      <c r="F844" s="14"/>
      <c r="G844" s="14"/>
      <c r="H844" s="14"/>
      <c r="I844" s="14"/>
      <c r="J844" s="14"/>
      <c r="K844" s="12"/>
    </row>
    <row r="845" ht="19.5" customHeight="1">
      <c r="A845" s="12"/>
      <c r="C845" s="12"/>
      <c r="D845" s="87"/>
      <c r="F845" s="14"/>
      <c r="G845" s="14"/>
      <c r="H845" s="14"/>
      <c r="I845" s="14"/>
      <c r="J845" s="14"/>
      <c r="K845" s="12"/>
    </row>
    <row r="846" ht="19.5" customHeight="1">
      <c r="A846" s="12"/>
      <c r="C846" s="12"/>
      <c r="D846" s="87"/>
      <c r="F846" s="14"/>
      <c r="G846" s="14"/>
      <c r="H846" s="14"/>
      <c r="I846" s="14"/>
      <c r="J846" s="14"/>
      <c r="K846" s="12"/>
    </row>
    <row r="847" ht="19.5" customHeight="1">
      <c r="A847" s="12"/>
      <c r="C847" s="12"/>
      <c r="D847" s="87"/>
      <c r="F847" s="14"/>
      <c r="G847" s="14"/>
      <c r="H847" s="14"/>
      <c r="I847" s="14"/>
      <c r="J847" s="14"/>
      <c r="K847" s="12"/>
    </row>
    <row r="848" ht="19.5" customHeight="1">
      <c r="A848" s="12"/>
      <c r="C848" s="12"/>
      <c r="D848" s="87"/>
      <c r="F848" s="14"/>
      <c r="G848" s="14"/>
      <c r="H848" s="14"/>
      <c r="I848" s="14"/>
      <c r="J848" s="14"/>
      <c r="K848" s="12"/>
    </row>
    <row r="849" ht="19.5" customHeight="1">
      <c r="A849" s="12"/>
      <c r="C849" s="12"/>
      <c r="D849" s="87"/>
      <c r="F849" s="14"/>
      <c r="G849" s="14"/>
      <c r="H849" s="14"/>
      <c r="I849" s="14"/>
      <c r="J849" s="14"/>
      <c r="K849" s="12"/>
    </row>
    <row r="850" ht="19.5" customHeight="1">
      <c r="A850" s="12"/>
      <c r="C850" s="12"/>
      <c r="D850" s="87"/>
      <c r="F850" s="14"/>
      <c r="G850" s="14"/>
      <c r="H850" s="14"/>
      <c r="I850" s="14"/>
      <c r="J850" s="14"/>
      <c r="K850" s="12"/>
    </row>
    <row r="851" ht="19.5" customHeight="1">
      <c r="A851" s="12"/>
      <c r="C851" s="12"/>
      <c r="D851" s="87"/>
      <c r="F851" s="14"/>
      <c r="G851" s="14"/>
      <c r="H851" s="14"/>
      <c r="I851" s="14"/>
      <c r="J851" s="14"/>
      <c r="K851" s="12"/>
    </row>
    <row r="852" ht="19.5" customHeight="1">
      <c r="A852" s="12"/>
      <c r="C852" s="12"/>
      <c r="D852" s="87"/>
      <c r="F852" s="14"/>
      <c r="G852" s="14"/>
      <c r="H852" s="14"/>
      <c r="I852" s="14"/>
      <c r="J852" s="14"/>
      <c r="K852" s="12"/>
    </row>
    <row r="853" ht="19.5" customHeight="1">
      <c r="A853" s="12"/>
      <c r="C853" s="12"/>
      <c r="D853" s="87"/>
      <c r="F853" s="14"/>
      <c r="G853" s="14"/>
      <c r="H853" s="14"/>
      <c r="I853" s="14"/>
      <c r="J853" s="14"/>
      <c r="K853" s="12"/>
    </row>
    <row r="854" ht="19.5" customHeight="1">
      <c r="A854" s="12"/>
      <c r="C854" s="12"/>
      <c r="D854" s="87"/>
      <c r="F854" s="14"/>
      <c r="G854" s="14"/>
      <c r="H854" s="14"/>
      <c r="I854" s="14"/>
      <c r="J854" s="14"/>
      <c r="K854" s="12"/>
    </row>
    <row r="855" ht="19.5" customHeight="1">
      <c r="A855" s="12"/>
      <c r="C855" s="12"/>
      <c r="D855" s="87"/>
      <c r="F855" s="14"/>
      <c r="G855" s="14"/>
      <c r="H855" s="14"/>
      <c r="I855" s="14"/>
      <c r="J855" s="14"/>
      <c r="K855" s="12"/>
    </row>
    <row r="856" ht="19.5" customHeight="1">
      <c r="A856" s="12"/>
      <c r="C856" s="12"/>
      <c r="D856" s="87"/>
      <c r="F856" s="14"/>
      <c r="G856" s="14"/>
      <c r="H856" s="14"/>
      <c r="I856" s="14"/>
      <c r="J856" s="14"/>
      <c r="K856" s="12"/>
    </row>
    <row r="857" ht="19.5" customHeight="1">
      <c r="A857" s="12"/>
      <c r="C857" s="12"/>
      <c r="D857" s="87"/>
      <c r="F857" s="14"/>
      <c r="G857" s="14"/>
      <c r="H857" s="14"/>
      <c r="I857" s="14"/>
      <c r="J857" s="14"/>
      <c r="K857" s="12"/>
    </row>
    <row r="858" ht="19.5" customHeight="1">
      <c r="A858" s="12"/>
      <c r="C858" s="12"/>
      <c r="D858" s="87"/>
      <c r="F858" s="14"/>
      <c r="G858" s="14"/>
      <c r="H858" s="14"/>
      <c r="I858" s="14"/>
      <c r="J858" s="14"/>
      <c r="K858" s="12"/>
    </row>
    <row r="859" ht="19.5" customHeight="1">
      <c r="A859" s="12"/>
      <c r="C859" s="12"/>
      <c r="D859" s="87"/>
      <c r="F859" s="14"/>
      <c r="G859" s="14"/>
      <c r="H859" s="14"/>
      <c r="I859" s="14"/>
      <c r="J859" s="14"/>
      <c r="K859" s="12"/>
    </row>
    <row r="860" ht="19.5" customHeight="1">
      <c r="A860" s="12"/>
      <c r="C860" s="12"/>
      <c r="D860" s="87"/>
      <c r="F860" s="14"/>
      <c r="G860" s="14"/>
      <c r="H860" s="14"/>
      <c r="I860" s="14"/>
      <c r="J860" s="14"/>
      <c r="K860" s="12"/>
    </row>
    <row r="861" ht="19.5" customHeight="1">
      <c r="A861" s="12"/>
      <c r="C861" s="12"/>
      <c r="D861" s="87"/>
      <c r="F861" s="14"/>
      <c r="G861" s="14"/>
      <c r="H861" s="14"/>
      <c r="I861" s="14"/>
      <c r="J861" s="14"/>
      <c r="K861" s="12"/>
    </row>
    <row r="862" ht="19.5" customHeight="1">
      <c r="A862" s="12"/>
      <c r="C862" s="12"/>
      <c r="D862" s="87"/>
      <c r="F862" s="14"/>
      <c r="G862" s="14"/>
      <c r="H862" s="14"/>
      <c r="I862" s="14"/>
      <c r="J862" s="14"/>
      <c r="K862" s="12"/>
    </row>
    <row r="863" ht="19.5" customHeight="1">
      <c r="A863" s="12"/>
      <c r="C863" s="12"/>
      <c r="D863" s="87"/>
      <c r="F863" s="14"/>
      <c r="G863" s="14"/>
      <c r="H863" s="14"/>
      <c r="I863" s="14"/>
      <c r="J863" s="14"/>
      <c r="K863" s="12"/>
    </row>
    <row r="864" ht="19.5" customHeight="1">
      <c r="A864" s="12"/>
      <c r="C864" s="12"/>
      <c r="D864" s="87"/>
      <c r="F864" s="14"/>
      <c r="G864" s="14"/>
      <c r="H864" s="14"/>
      <c r="I864" s="14"/>
      <c r="J864" s="14"/>
      <c r="K864" s="12"/>
    </row>
    <row r="865" ht="19.5" customHeight="1">
      <c r="A865" s="12"/>
      <c r="C865" s="12"/>
      <c r="D865" s="87"/>
      <c r="F865" s="14"/>
      <c r="G865" s="14"/>
      <c r="H865" s="14"/>
      <c r="I865" s="14"/>
      <c r="J865" s="14"/>
      <c r="K865" s="12"/>
    </row>
    <row r="866" ht="19.5" customHeight="1">
      <c r="A866" s="12"/>
      <c r="C866" s="12"/>
      <c r="D866" s="87"/>
      <c r="F866" s="14"/>
      <c r="G866" s="14"/>
      <c r="H866" s="14"/>
      <c r="I866" s="14"/>
      <c r="J866" s="14"/>
      <c r="K866" s="12"/>
    </row>
    <row r="867" ht="19.5" customHeight="1">
      <c r="A867" s="12"/>
      <c r="C867" s="12"/>
      <c r="D867" s="87"/>
      <c r="F867" s="14"/>
      <c r="G867" s="14"/>
      <c r="H867" s="14"/>
      <c r="I867" s="14"/>
      <c r="J867" s="14"/>
      <c r="K867" s="12"/>
    </row>
    <row r="868" ht="19.5" customHeight="1">
      <c r="A868" s="12"/>
      <c r="C868" s="12"/>
      <c r="D868" s="87"/>
      <c r="F868" s="14"/>
      <c r="G868" s="14"/>
      <c r="H868" s="14"/>
      <c r="I868" s="14"/>
      <c r="J868" s="14"/>
      <c r="K868" s="12"/>
    </row>
    <row r="869" ht="19.5" customHeight="1">
      <c r="A869" s="12"/>
      <c r="C869" s="12"/>
      <c r="D869" s="87"/>
      <c r="F869" s="14"/>
      <c r="G869" s="14"/>
      <c r="H869" s="14"/>
      <c r="I869" s="14"/>
      <c r="J869" s="14"/>
      <c r="K869" s="12"/>
    </row>
    <row r="870" ht="19.5" customHeight="1">
      <c r="A870" s="12"/>
      <c r="C870" s="12"/>
      <c r="D870" s="87"/>
      <c r="F870" s="14"/>
      <c r="G870" s="14"/>
      <c r="H870" s="14"/>
      <c r="I870" s="14"/>
      <c r="J870" s="14"/>
      <c r="K870" s="12"/>
    </row>
    <row r="871" ht="19.5" customHeight="1">
      <c r="A871" s="12"/>
      <c r="C871" s="12"/>
      <c r="D871" s="87"/>
      <c r="F871" s="14"/>
      <c r="G871" s="14"/>
      <c r="H871" s="14"/>
      <c r="I871" s="14"/>
      <c r="J871" s="14"/>
      <c r="K871" s="12"/>
    </row>
    <row r="872" ht="19.5" customHeight="1">
      <c r="A872" s="12"/>
      <c r="C872" s="12"/>
      <c r="D872" s="87"/>
      <c r="F872" s="14"/>
      <c r="G872" s="14"/>
      <c r="H872" s="14"/>
      <c r="I872" s="14"/>
      <c r="J872" s="14"/>
      <c r="K872" s="12"/>
    </row>
    <row r="873" ht="19.5" customHeight="1">
      <c r="A873" s="12"/>
      <c r="C873" s="12"/>
      <c r="D873" s="87"/>
      <c r="F873" s="14"/>
      <c r="G873" s="14"/>
      <c r="H873" s="14"/>
      <c r="I873" s="14"/>
      <c r="J873" s="14"/>
      <c r="K873" s="12"/>
    </row>
    <row r="874" ht="19.5" customHeight="1">
      <c r="A874" s="12"/>
      <c r="C874" s="12"/>
      <c r="D874" s="87"/>
      <c r="F874" s="14"/>
      <c r="G874" s="14"/>
      <c r="H874" s="14"/>
      <c r="I874" s="14"/>
      <c r="J874" s="14"/>
      <c r="K874" s="12"/>
    </row>
    <row r="875" ht="19.5" customHeight="1">
      <c r="A875" s="12"/>
      <c r="C875" s="12"/>
      <c r="D875" s="87"/>
      <c r="F875" s="14"/>
      <c r="G875" s="14"/>
      <c r="H875" s="14"/>
      <c r="I875" s="14"/>
      <c r="J875" s="14"/>
      <c r="K875" s="12"/>
    </row>
    <row r="876" ht="19.5" customHeight="1">
      <c r="A876" s="12"/>
      <c r="C876" s="12"/>
      <c r="D876" s="87"/>
      <c r="F876" s="14"/>
      <c r="G876" s="14"/>
      <c r="H876" s="14"/>
      <c r="I876" s="14"/>
      <c r="J876" s="14"/>
      <c r="K876" s="12"/>
    </row>
    <row r="877" ht="19.5" customHeight="1">
      <c r="A877" s="12"/>
      <c r="C877" s="12"/>
      <c r="D877" s="87"/>
      <c r="F877" s="14"/>
      <c r="G877" s="14"/>
      <c r="H877" s="14"/>
      <c r="I877" s="14"/>
      <c r="J877" s="14"/>
      <c r="K877" s="12"/>
    </row>
    <row r="878" ht="19.5" customHeight="1">
      <c r="A878" s="12"/>
      <c r="C878" s="12"/>
      <c r="D878" s="87"/>
      <c r="F878" s="14"/>
      <c r="G878" s="14"/>
      <c r="H878" s="14"/>
      <c r="I878" s="14"/>
      <c r="J878" s="14"/>
      <c r="K878" s="12"/>
    </row>
    <row r="879" ht="19.5" customHeight="1">
      <c r="A879" s="12"/>
      <c r="C879" s="12"/>
      <c r="D879" s="87"/>
      <c r="F879" s="14"/>
      <c r="G879" s="14"/>
      <c r="H879" s="14"/>
      <c r="I879" s="14"/>
      <c r="J879" s="14"/>
      <c r="K879" s="12"/>
    </row>
    <row r="880" ht="19.5" customHeight="1">
      <c r="A880" s="12"/>
      <c r="C880" s="12"/>
      <c r="D880" s="87"/>
      <c r="F880" s="14"/>
      <c r="G880" s="14"/>
      <c r="H880" s="14"/>
      <c r="I880" s="14"/>
      <c r="J880" s="14"/>
      <c r="K880" s="12"/>
    </row>
    <row r="881" ht="19.5" customHeight="1">
      <c r="A881" s="12"/>
      <c r="C881" s="12"/>
      <c r="D881" s="87"/>
      <c r="F881" s="14"/>
      <c r="G881" s="14"/>
      <c r="H881" s="14"/>
      <c r="I881" s="14"/>
      <c r="J881" s="14"/>
      <c r="K881" s="12"/>
    </row>
    <row r="882" ht="19.5" customHeight="1">
      <c r="A882" s="12"/>
      <c r="C882" s="12"/>
      <c r="D882" s="87"/>
      <c r="F882" s="14"/>
      <c r="G882" s="14"/>
      <c r="H882" s="14"/>
      <c r="I882" s="14"/>
      <c r="J882" s="14"/>
      <c r="K882" s="12"/>
    </row>
    <row r="883" ht="19.5" customHeight="1">
      <c r="A883" s="12"/>
      <c r="C883" s="12"/>
      <c r="D883" s="87"/>
      <c r="F883" s="14"/>
      <c r="G883" s="14"/>
      <c r="H883" s="14"/>
      <c r="I883" s="14"/>
      <c r="J883" s="14"/>
      <c r="K883" s="12"/>
    </row>
    <row r="884" ht="19.5" customHeight="1">
      <c r="A884" s="12"/>
      <c r="C884" s="12"/>
      <c r="D884" s="87"/>
      <c r="F884" s="14"/>
      <c r="G884" s="14"/>
      <c r="H884" s="14"/>
      <c r="I884" s="14"/>
      <c r="J884" s="14"/>
      <c r="K884" s="12"/>
    </row>
    <row r="885" ht="19.5" customHeight="1">
      <c r="A885" s="12"/>
      <c r="C885" s="12"/>
      <c r="D885" s="87"/>
      <c r="F885" s="14"/>
      <c r="G885" s="14"/>
      <c r="H885" s="14"/>
      <c r="I885" s="14"/>
      <c r="J885" s="14"/>
      <c r="K885" s="12"/>
    </row>
    <row r="886" ht="19.5" customHeight="1">
      <c r="A886" s="12"/>
      <c r="C886" s="12"/>
      <c r="D886" s="87"/>
      <c r="F886" s="14"/>
      <c r="G886" s="14"/>
      <c r="H886" s="14"/>
      <c r="I886" s="14"/>
      <c r="J886" s="14"/>
      <c r="K886" s="12"/>
    </row>
    <row r="887" ht="19.5" customHeight="1">
      <c r="A887" s="12"/>
      <c r="C887" s="12"/>
      <c r="D887" s="87"/>
      <c r="F887" s="14"/>
      <c r="G887" s="14"/>
      <c r="H887" s="14"/>
      <c r="I887" s="14"/>
      <c r="J887" s="14"/>
      <c r="K887" s="12"/>
    </row>
    <row r="888" ht="19.5" customHeight="1">
      <c r="A888" s="12"/>
      <c r="C888" s="12"/>
      <c r="D888" s="87"/>
      <c r="F888" s="14"/>
      <c r="G888" s="14"/>
      <c r="H888" s="14"/>
      <c r="I888" s="14"/>
      <c r="J888" s="14"/>
      <c r="K888" s="12"/>
    </row>
    <row r="889" ht="19.5" customHeight="1">
      <c r="A889" s="12"/>
      <c r="C889" s="12"/>
      <c r="D889" s="87"/>
      <c r="F889" s="14"/>
      <c r="G889" s="14"/>
      <c r="H889" s="14"/>
      <c r="I889" s="14"/>
      <c r="J889" s="14"/>
      <c r="K889" s="12"/>
    </row>
    <row r="890" ht="19.5" customHeight="1">
      <c r="A890" s="12"/>
      <c r="C890" s="12"/>
      <c r="D890" s="87"/>
      <c r="F890" s="14"/>
      <c r="G890" s="14"/>
      <c r="H890" s="14"/>
      <c r="I890" s="14"/>
      <c r="J890" s="14"/>
      <c r="K890" s="12"/>
    </row>
    <row r="891" ht="19.5" customHeight="1">
      <c r="A891" s="12"/>
      <c r="C891" s="12"/>
      <c r="D891" s="87"/>
      <c r="F891" s="14"/>
      <c r="G891" s="14"/>
      <c r="H891" s="14"/>
      <c r="I891" s="14"/>
      <c r="J891" s="14"/>
      <c r="K891" s="12"/>
    </row>
    <row r="892" ht="19.5" customHeight="1">
      <c r="A892" s="12"/>
      <c r="C892" s="12"/>
      <c r="D892" s="87"/>
      <c r="F892" s="14"/>
      <c r="G892" s="14"/>
      <c r="H892" s="14"/>
      <c r="I892" s="14"/>
      <c r="J892" s="14"/>
      <c r="K892" s="12"/>
    </row>
    <row r="893" ht="19.5" customHeight="1">
      <c r="A893" s="12"/>
      <c r="C893" s="12"/>
      <c r="D893" s="87"/>
      <c r="F893" s="14"/>
      <c r="G893" s="14"/>
      <c r="H893" s="14"/>
      <c r="I893" s="14"/>
      <c r="J893" s="14"/>
      <c r="K893" s="12"/>
    </row>
    <row r="894" ht="19.5" customHeight="1">
      <c r="A894" s="12"/>
      <c r="C894" s="12"/>
      <c r="D894" s="87"/>
      <c r="F894" s="14"/>
      <c r="G894" s="14"/>
      <c r="H894" s="14"/>
      <c r="I894" s="14"/>
      <c r="J894" s="14"/>
      <c r="K894" s="12"/>
    </row>
    <row r="895" ht="19.5" customHeight="1">
      <c r="A895" s="12"/>
      <c r="C895" s="12"/>
      <c r="D895" s="87"/>
      <c r="F895" s="14"/>
      <c r="G895" s="14"/>
      <c r="H895" s="14"/>
      <c r="I895" s="14"/>
      <c r="J895" s="14"/>
      <c r="K895" s="12"/>
    </row>
    <row r="896" ht="19.5" customHeight="1">
      <c r="A896" s="12"/>
      <c r="C896" s="12"/>
      <c r="D896" s="87"/>
      <c r="F896" s="14"/>
      <c r="G896" s="14"/>
      <c r="H896" s="14"/>
      <c r="I896" s="14"/>
      <c r="J896" s="14"/>
      <c r="K896" s="12"/>
    </row>
    <row r="897" ht="19.5" customHeight="1">
      <c r="A897" s="12"/>
      <c r="C897" s="12"/>
      <c r="D897" s="87"/>
      <c r="F897" s="14"/>
      <c r="G897" s="14"/>
      <c r="H897" s="14"/>
      <c r="I897" s="14"/>
      <c r="J897" s="14"/>
      <c r="K897" s="12"/>
    </row>
    <row r="898" ht="19.5" customHeight="1">
      <c r="A898" s="12"/>
      <c r="C898" s="12"/>
      <c r="D898" s="87"/>
      <c r="F898" s="14"/>
      <c r="G898" s="14"/>
      <c r="H898" s="14"/>
      <c r="I898" s="14"/>
      <c r="J898" s="14"/>
      <c r="K898" s="12"/>
    </row>
    <row r="899" ht="19.5" customHeight="1">
      <c r="A899" s="12"/>
      <c r="C899" s="12"/>
      <c r="D899" s="87"/>
      <c r="F899" s="14"/>
      <c r="G899" s="14"/>
      <c r="H899" s="14"/>
      <c r="I899" s="14"/>
      <c r="J899" s="14"/>
      <c r="K899" s="12"/>
    </row>
    <row r="900" ht="19.5" customHeight="1">
      <c r="A900" s="12"/>
      <c r="C900" s="12"/>
      <c r="D900" s="87"/>
      <c r="F900" s="14"/>
      <c r="G900" s="14"/>
      <c r="H900" s="14"/>
      <c r="I900" s="14"/>
      <c r="J900" s="14"/>
      <c r="K900" s="12"/>
    </row>
    <row r="901" ht="19.5" customHeight="1">
      <c r="A901" s="12"/>
      <c r="C901" s="12"/>
      <c r="D901" s="87"/>
      <c r="F901" s="14"/>
      <c r="G901" s="14"/>
      <c r="H901" s="14"/>
      <c r="I901" s="14"/>
      <c r="J901" s="14"/>
      <c r="K901" s="12"/>
    </row>
    <row r="902" ht="19.5" customHeight="1">
      <c r="A902" s="12"/>
      <c r="C902" s="12"/>
      <c r="D902" s="87"/>
      <c r="F902" s="14"/>
      <c r="G902" s="14"/>
      <c r="H902" s="14"/>
      <c r="I902" s="14"/>
      <c r="J902" s="14"/>
      <c r="K902" s="12"/>
    </row>
    <row r="903" ht="19.5" customHeight="1">
      <c r="A903" s="12"/>
      <c r="C903" s="12"/>
      <c r="D903" s="87"/>
      <c r="F903" s="14"/>
      <c r="G903" s="14"/>
      <c r="H903" s="14"/>
      <c r="I903" s="14"/>
      <c r="J903" s="14"/>
      <c r="K903" s="12"/>
    </row>
    <row r="904" ht="19.5" customHeight="1">
      <c r="A904" s="12"/>
      <c r="C904" s="12"/>
      <c r="D904" s="87"/>
      <c r="F904" s="14"/>
      <c r="G904" s="14"/>
      <c r="H904" s="14"/>
      <c r="I904" s="14"/>
      <c r="J904" s="14"/>
      <c r="K904" s="12"/>
    </row>
    <row r="905" ht="19.5" customHeight="1">
      <c r="A905" s="12"/>
      <c r="C905" s="12"/>
      <c r="D905" s="87"/>
      <c r="F905" s="14"/>
      <c r="G905" s="14"/>
      <c r="H905" s="14"/>
      <c r="I905" s="14"/>
      <c r="J905" s="14"/>
      <c r="K905" s="12"/>
    </row>
    <row r="906" ht="19.5" customHeight="1">
      <c r="A906" s="12"/>
      <c r="C906" s="12"/>
      <c r="D906" s="87"/>
      <c r="F906" s="14"/>
      <c r="G906" s="14"/>
      <c r="H906" s="14"/>
      <c r="I906" s="14"/>
      <c r="J906" s="14"/>
      <c r="K906" s="12"/>
    </row>
    <row r="907" ht="19.5" customHeight="1">
      <c r="A907" s="12"/>
      <c r="C907" s="12"/>
      <c r="D907" s="87"/>
      <c r="F907" s="14"/>
      <c r="G907" s="14"/>
      <c r="H907" s="14"/>
      <c r="I907" s="14"/>
      <c r="J907" s="14"/>
      <c r="K907" s="12"/>
    </row>
    <row r="908" ht="19.5" customHeight="1">
      <c r="A908" s="12"/>
      <c r="C908" s="12"/>
      <c r="D908" s="87"/>
      <c r="F908" s="14"/>
      <c r="G908" s="14"/>
      <c r="H908" s="14"/>
      <c r="I908" s="14"/>
      <c r="J908" s="14"/>
      <c r="K908" s="12"/>
    </row>
    <row r="909" ht="19.5" customHeight="1">
      <c r="A909" s="12"/>
      <c r="C909" s="12"/>
      <c r="D909" s="87"/>
      <c r="F909" s="14"/>
      <c r="G909" s="14"/>
      <c r="H909" s="14"/>
      <c r="I909" s="14"/>
      <c r="J909" s="14"/>
      <c r="K909" s="12"/>
    </row>
    <row r="910" ht="19.5" customHeight="1">
      <c r="A910" s="12"/>
      <c r="C910" s="12"/>
      <c r="D910" s="87"/>
      <c r="F910" s="14"/>
      <c r="G910" s="14"/>
      <c r="H910" s="14"/>
      <c r="I910" s="14"/>
      <c r="J910" s="14"/>
      <c r="K910" s="12"/>
    </row>
    <row r="911" ht="19.5" customHeight="1">
      <c r="A911" s="12"/>
      <c r="C911" s="12"/>
      <c r="D911" s="87"/>
      <c r="F911" s="14"/>
      <c r="G911" s="14"/>
      <c r="H911" s="14"/>
      <c r="I911" s="14"/>
      <c r="J911" s="14"/>
      <c r="K911" s="12"/>
    </row>
    <row r="912" ht="19.5" customHeight="1">
      <c r="A912" s="12"/>
      <c r="C912" s="12"/>
      <c r="D912" s="87"/>
      <c r="F912" s="14"/>
      <c r="G912" s="14"/>
      <c r="H912" s="14"/>
      <c r="I912" s="14"/>
      <c r="J912" s="14"/>
      <c r="K912" s="12"/>
    </row>
    <row r="913" ht="19.5" customHeight="1">
      <c r="A913" s="12"/>
      <c r="C913" s="12"/>
      <c r="D913" s="87"/>
      <c r="F913" s="14"/>
      <c r="G913" s="14"/>
      <c r="H913" s="14"/>
      <c r="I913" s="14"/>
      <c r="J913" s="14"/>
      <c r="K913" s="12"/>
    </row>
    <row r="914" ht="19.5" customHeight="1">
      <c r="A914" s="12"/>
      <c r="C914" s="12"/>
      <c r="D914" s="87"/>
      <c r="F914" s="14"/>
      <c r="G914" s="14"/>
      <c r="H914" s="14"/>
      <c r="I914" s="14"/>
      <c r="J914" s="14"/>
      <c r="K914" s="12"/>
    </row>
    <row r="915" ht="19.5" customHeight="1">
      <c r="A915" s="12"/>
      <c r="C915" s="12"/>
      <c r="D915" s="87"/>
      <c r="F915" s="14"/>
      <c r="G915" s="14"/>
      <c r="H915" s="14"/>
      <c r="I915" s="14"/>
      <c r="J915" s="14"/>
      <c r="K915" s="12"/>
    </row>
    <row r="916" ht="19.5" customHeight="1">
      <c r="A916" s="12"/>
      <c r="C916" s="12"/>
      <c r="D916" s="87"/>
      <c r="F916" s="14"/>
      <c r="G916" s="14"/>
      <c r="H916" s="14"/>
      <c r="I916" s="14"/>
      <c r="J916" s="14"/>
      <c r="K916" s="12"/>
    </row>
    <row r="917" ht="19.5" customHeight="1">
      <c r="A917" s="12"/>
      <c r="C917" s="12"/>
      <c r="D917" s="87"/>
      <c r="F917" s="14"/>
      <c r="G917" s="14"/>
      <c r="H917" s="14"/>
      <c r="I917" s="14"/>
      <c r="J917" s="14"/>
      <c r="K917" s="12"/>
    </row>
    <row r="918" ht="19.5" customHeight="1">
      <c r="A918" s="12"/>
      <c r="C918" s="12"/>
      <c r="D918" s="87"/>
      <c r="F918" s="14"/>
      <c r="G918" s="14"/>
      <c r="H918" s="14"/>
      <c r="I918" s="14"/>
      <c r="J918" s="14"/>
      <c r="K918" s="12"/>
    </row>
    <row r="919" ht="19.5" customHeight="1">
      <c r="A919" s="12"/>
      <c r="C919" s="12"/>
      <c r="D919" s="87"/>
      <c r="F919" s="14"/>
      <c r="G919" s="14"/>
      <c r="H919" s="14"/>
      <c r="I919" s="14"/>
      <c r="J919" s="14"/>
      <c r="K919" s="12"/>
    </row>
    <row r="920" ht="19.5" customHeight="1">
      <c r="A920" s="12"/>
      <c r="C920" s="12"/>
      <c r="D920" s="87"/>
      <c r="F920" s="14"/>
      <c r="G920" s="14"/>
      <c r="H920" s="14"/>
      <c r="I920" s="14"/>
      <c r="J920" s="14"/>
      <c r="K920" s="12"/>
    </row>
    <row r="921" ht="19.5" customHeight="1">
      <c r="A921" s="12"/>
      <c r="C921" s="12"/>
      <c r="D921" s="87"/>
      <c r="F921" s="14"/>
      <c r="G921" s="14"/>
      <c r="H921" s="14"/>
      <c r="I921" s="14"/>
      <c r="J921" s="14"/>
      <c r="K921" s="12"/>
    </row>
    <row r="922" ht="19.5" customHeight="1">
      <c r="A922" s="12"/>
      <c r="C922" s="12"/>
      <c r="D922" s="87"/>
      <c r="F922" s="14"/>
      <c r="G922" s="14"/>
      <c r="H922" s="14"/>
      <c r="I922" s="14"/>
      <c r="J922" s="14"/>
      <c r="K922" s="12"/>
    </row>
    <row r="923" ht="19.5" customHeight="1">
      <c r="A923" s="12"/>
      <c r="C923" s="12"/>
      <c r="D923" s="87"/>
      <c r="F923" s="14"/>
      <c r="G923" s="14"/>
      <c r="H923" s="14"/>
      <c r="I923" s="14"/>
      <c r="J923" s="14"/>
      <c r="K923" s="12"/>
    </row>
    <row r="924" ht="19.5" customHeight="1">
      <c r="A924" s="12"/>
      <c r="C924" s="12"/>
      <c r="D924" s="87"/>
      <c r="F924" s="14"/>
      <c r="G924" s="14"/>
      <c r="H924" s="14"/>
      <c r="I924" s="14"/>
      <c r="J924" s="14"/>
      <c r="K924" s="12"/>
    </row>
    <row r="925" ht="19.5" customHeight="1">
      <c r="A925" s="12"/>
      <c r="C925" s="12"/>
      <c r="D925" s="87"/>
      <c r="F925" s="14"/>
      <c r="G925" s="14"/>
      <c r="H925" s="14"/>
      <c r="I925" s="14"/>
      <c r="J925" s="14"/>
      <c r="K925" s="12"/>
    </row>
    <row r="926" ht="19.5" customHeight="1">
      <c r="A926" s="12"/>
      <c r="C926" s="12"/>
      <c r="D926" s="87"/>
      <c r="F926" s="14"/>
      <c r="G926" s="14"/>
      <c r="H926" s="14"/>
      <c r="I926" s="14"/>
      <c r="J926" s="14"/>
      <c r="K926" s="12"/>
    </row>
    <row r="927" ht="19.5" customHeight="1">
      <c r="A927" s="12"/>
      <c r="C927" s="12"/>
      <c r="D927" s="87"/>
      <c r="F927" s="14"/>
      <c r="G927" s="14"/>
      <c r="H927" s="14"/>
      <c r="I927" s="14"/>
      <c r="J927" s="14"/>
      <c r="K927" s="12"/>
    </row>
    <row r="928" ht="19.5" customHeight="1">
      <c r="A928" s="12"/>
      <c r="C928" s="12"/>
      <c r="D928" s="87"/>
      <c r="F928" s="14"/>
      <c r="G928" s="14"/>
      <c r="H928" s="14"/>
      <c r="I928" s="14"/>
      <c r="J928" s="14"/>
      <c r="K928" s="12"/>
    </row>
    <row r="929" ht="19.5" customHeight="1">
      <c r="A929" s="12"/>
      <c r="C929" s="12"/>
      <c r="D929" s="87"/>
      <c r="F929" s="14"/>
      <c r="G929" s="14"/>
      <c r="H929" s="14"/>
      <c r="I929" s="14"/>
      <c r="J929" s="14"/>
      <c r="K929" s="12"/>
    </row>
    <row r="930" ht="19.5" customHeight="1">
      <c r="A930" s="12"/>
      <c r="C930" s="12"/>
      <c r="D930" s="87"/>
      <c r="F930" s="14"/>
      <c r="G930" s="14"/>
      <c r="H930" s="14"/>
      <c r="I930" s="14"/>
      <c r="J930" s="14"/>
      <c r="K930" s="12"/>
    </row>
    <row r="931" ht="19.5" customHeight="1">
      <c r="A931" s="12"/>
      <c r="C931" s="12"/>
      <c r="D931" s="87"/>
      <c r="F931" s="14"/>
      <c r="G931" s="14"/>
      <c r="H931" s="14"/>
      <c r="I931" s="14"/>
      <c r="J931" s="14"/>
      <c r="K931" s="12"/>
    </row>
    <row r="932" ht="19.5" customHeight="1">
      <c r="A932" s="12"/>
      <c r="C932" s="12"/>
      <c r="D932" s="87"/>
      <c r="F932" s="14"/>
      <c r="G932" s="14"/>
      <c r="H932" s="14"/>
      <c r="I932" s="14"/>
      <c r="J932" s="14"/>
      <c r="K932" s="12"/>
    </row>
    <row r="933" ht="19.5" customHeight="1">
      <c r="A933" s="12"/>
      <c r="C933" s="12"/>
      <c r="D933" s="87"/>
      <c r="F933" s="14"/>
      <c r="G933" s="14"/>
      <c r="H933" s="14"/>
      <c r="I933" s="14"/>
      <c r="J933" s="14"/>
      <c r="K933" s="12"/>
    </row>
    <row r="934" ht="19.5" customHeight="1">
      <c r="A934" s="12"/>
      <c r="C934" s="12"/>
      <c r="D934" s="87"/>
      <c r="F934" s="14"/>
      <c r="G934" s="14"/>
      <c r="H934" s="14"/>
      <c r="I934" s="14"/>
      <c r="J934" s="14"/>
      <c r="K934" s="12"/>
    </row>
    <row r="935" ht="19.5" customHeight="1">
      <c r="A935" s="12"/>
      <c r="C935" s="12"/>
      <c r="D935" s="87"/>
      <c r="F935" s="14"/>
      <c r="G935" s="14"/>
      <c r="H935" s="14"/>
      <c r="I935" s="14"/>
      <c r="J935" s="14"/>
      <c r="K935" s="12"/>
    </row>
    <row r="936" ht="19.5" customHeight="1">
      <c r="A936" s="12"/>
      <c r="C936" s="12"/>
      <c r="D936" s="87"/>
      <c r="F936" s="14"/>
      <c r="G936" s="14"/>
      <c r="H936" s="14"/>
      <c r="I936" s="14"/>
      <c r="J936" s="14"/>
      <c r="K936" s="12"/>
    </row>
    <row r="937" ht="19.5" customHeight="1">
      <c r="A937" s="12"/>
      <c r="C937" s="12"/>
      <c r="D937" s="87"/>
      <c r="F937" s="14"/>
      <c r="G937" s="14"/>
      <c r="H937" s="14"/>
      <c r="I937" s="14"/>
      <c r="J937" s="14"/>
      <c r="K937" s="12"/>
    </row>
    <row r="938" ht="19.5" customHeight="1">
      <c r="A938" s="12"/>
      <c r="C938" s="12"/>
      <c r="D938" s="87"/>
      <c r="F938" s="14"/>
      <c r="G938" s="14"/>
      <c r="H938" s="14"/>
      <c r="I938" s="14"/>
      <c r="J938" s="14"/>
      <c r="K938" s="12"/>
    </row>
    <row r="939" ht="19.5" customHeight="1">
      <c r="A939" s="12"/>
      <c r="C939" s="12"/>
      <c r="D939" s="87"/>
      <c r="F939" s="14"/>
      <c r="G939" s="14"/>
      <c r="H939" s="14"/>
      <c r="I939" s="14"/>
      <c r="J939" s="14"/>
      <c r="K939" s="12"/>
    </row>
    <row r="940" ht="19.5" customHeight="1">
      <c r="A940" s="12"/>
      <c r="C940" s="12"/>
      <c r="D940" s="87"/>
      <c r="F940" s="14"/>
      <c r="G940" s="14"/>
      <c r="H940" s="14"/>
      <c r="I940" s="14"/>
      <c r="J940" s="14"/>
      <c r="K940" s="12"/>
    </row>
    <row r="941" ht="19.5" customHeight="1">
      <c r="A941" s="12"/>
      <c r="C941" s="12"/>
      <c r="D941" s="87"/>
      <c r="F941" s="14"/>
      <c r="G941" s="14"/>
      <c r="H941" s="14"/>
      <c r="I941" s="14"/>
      <c r="J941" s="14"/>
      <c r="K941" s="12"/>
    </row>
    <row r="942" ht="19.5" customHeight="1">
      <c r="A942" s="12"/>
      <c r="C942" s="12"/>
      <c r="D942" s="87"/>
      <c r="F942" s="14"/>
      <c r="G942" s="14"/>
      <c r="H942" s="14"/>
      <c r="I942" s="14"/>
      <c r="J942" s="14"/>
      <c r="K942" s="12"/>
    </row>
    <row r="943" ht="19.5" customHeight="1">
      <c r="A943" s="12"/>
      <c r="C943" s="12"/>
      <c r="D943" s="87"/>
      <c r="F943" s="14"/>
      <c r="G943" s="14"/>
      <c r="H943" s="14"/>
      <c r="I943" s="14"/>
      <c r="J943" s="14"/>
      <c r="K943" s="12"/>
    </row>
    <row r="944" ht="19.5" customHeight="1">
      <c r="A944" s="12"/>
      <c r="C944" s="12"/>
      <c r="D944" s="87"/>
      <c r="F944" s="14"/>
      <c r="G944" s="14"/>
      <c r="H944" s="14"/>
      <c r="I944" s="14"/>
      <c r="J944" s="14"/>
      <c r="K944" s="12"/>
    </row>
    <row r="945" ht="19.5" customHeight="1">
      <c r="A945" s="12"/>
      <c r="C945" s="12"/>
      <c r="D945" s="87"/>
      <c r="F945" s="14"/>
      <c r="G945" s="14"/>
      <c r="H945" s="14"/>
      <c r="I945" s="14"/>
      <c r="J945" s="14"/>
      <c r="K945" s="12"/>
    </row>
    <row r="946" ht="19.5" customHeight="1">
      <c r="A946" s="12"/>
      <c r="C946" s="12"/>
      <c r="D946" s="87"/>
      <c r="F946" s="14"/>
      <c r="G946" s="14"/>
      <c r="H946" s="14"/>
      <c r="I946" s="14"/>
      <c r="J946" s="14"/>
      <c r="K946" s="12"/>
    </row>
    <row r="947" ht="19.5" customHeight="1">
      <c r="A947" s="12"/>
      <c r="C947" s="12"/>
      <c r="D947" s="87"/>
      <c r="F947" s="14"/>
      <c r="G947" s="14"/>
      <c r="H947" s="14"/>
      <c r="I947" s="14"/>
      <c r="J947" s="14"/>
      <c r="K947" s="12"/>
    </row>
    <row r="948" ht="19.5" customHeight="1">
      <c r="A948" s="12"/>
      <c r="C948" s="12"/>
      <c r="D948" s="87"/>
      <c r="F948" s="14"/>
      <c r="G948" s="14"/>
      <c r="H948" s="14"/>
      <c r="I948" s="14"/>
      <c r="J948" s="14"/>
      <c r="K948" s="12"/>
    </row>
    <row r="949" ht="19.5" customHeight="1">
      <c r="A949" s="12"/>
      <c r="C949" s="12"/>
      <c r="D949" s="87"/>
      <c r="F949" s="14"/>
      <c r="G949" s="14"/>
      <c r="H949" s="14"/>
      <c r="I949" s="14"/>
      <c r="J949" s="14"/>
      <c r="K949" s="12"/>
    </row>
    <row r="950" ht="19.5" customHeight="1">
      <c r="A950" s="12"/>
      <c r="C950" s="12"/>
      <c r="D950" s="87"/>
      <c r="F950" s="14"/>
      <c r="G950" s="14"/>
      <c r="H950" s="14"/>
      <c r="I950" s="14"/>
      <c r="J950" s="14"/>
      <c r="K950" s="12"/>
    </row>
    <row r="951" ht="19.5" customHeight="1">
      <c r="A951" s="12"/>
      <c r="C951" s="12"/>
      <c r="D951" s="87"/>
      <c r="F951" s="14"/>
      <c r="G951" s="14"/>
      <c r="H951" s="14"/>
      <c r="I951" s="14"/>
      <c r="J951" s="14"/>
      <c r="K951" s="12"/>
    </row>
    <row r="952" ht="19.5" customHeight="1">
      <c r="A952" s="12"/>
      <c r="C952" s="12"/>
      <c r="D952" s="87"/>
      <c r="F952" s="14"/>
      <c r="G952" s="14"/>
      <c r="H952" s="14"/>
      <c r="I952" s="14"/>
      <c r="J952" s="14"/>
      <c r="K952" s="12"/>
    </row>
    <row r="953" ht="19.5" customHeight="1">
      <c r="A953" s="12"/>
      <c r="C953" s="12"/>
      <c r="D953" s="87"/>
      <c r="F953" s="14"/>
      <c r="G953" s="14"/>
      <c r="H953" s="14"/>
      <c r="I953" s="14"/>
      <c r="J953" s="14"/>
      <c r="K953" s="12"/>
    </row>
    <row r="954" ht="19.5" customHeight="1">
      <c r="A954" s="12"/>
      <c r="C954" s="12"/>
      <c r="D954" s="87"/>
      <c r="F954" s="14"/>
      <c r="G954" s="14"/>
      <c r="H954" s="14"/>
      <c r="I954" s="14"/>
      <c r="J954" s="14"/>
      <c r="K954" s="12"/>
    </row>
    <row r="955" ht="19.5" customHeight="1">
      <c r="A955" s="12"/>
      <c r="C955" s="12"/>
      <c r="D955" s="87"/>
      <c r="F955" s="14"/>
      <c r="G955" s="14"/>
      <c r="H955" s="14"/>
      <c r="I955" s="14"/>
      <c r="J955" s="14"/>
      <c r="K955" s="12"/>
    </row>
    <row r="956" ht="19.5" customHeight="1">
      <c r="A956" s="12"/>
      <c r="C956" s="12"/>
      <c r="D956" s="87"/>
      <c r="F956" s="14"/>
      <c r="G956" s="14"/>
      <c r="H956" s="14"/>
      <c r="I956" s="14"/>
      <c r="J956" s="14"/>
      <c r="K956" s="12"/>
    </row>
    <row r="957" ht="19.5" customHeight="1">
      <c r="A957" s="12"/>
      <c r="C957" s="12"/>
      <c r="D957" s="87"/>
      <c r="F957" s="14"/>
      <c r="G957" s="14"/>
      <c r="H957" s="14"/>
      <c r="I957" s="14"/>
      <c r="J957" s="14"/>
      <c r="K957" s="12"/>
    </row>
    <row r="958" ht="19.5" customHeight="1">
      <c r="A958" s="12"/>
      <c r="C958" s="12"/>
      <c r="D958" s="87"/>
      <c r="F958" s="14"/>
      <c r="G958" s="14"/>
      <c r="H958" s="14"/>
      <c r="I958" s="14"/>
      <c r="J958" s="14"/>
      <c r="K958" s="12"/>
    </row>
    <row r="959" ht="19.5" customHeight="1">
      <c r="A959" s="12"/>
      <c r="C959" s="12"/>
      <c r="D959" s="87"/>
      <c r="F959" s="14"/>
      <c r="G959" s="14"/>
      <c r="H959" s="14"/>
      <c r="I959" s="14"/>
      <c r="J959" s="14"/>
      <c r="K959" s="12"/>
    </row>
    <row r="960" ht="19.5" customHeight="1">
      <c r="A960" s="12"/>
      <c r="C960" s="12"/>
      <c r="D960" s="87"/>
      <c r="F960" s="14"/>
      <c r="G960" s="14"/>
      <c r="H960" s="14"/>
      <c r="I960" s="14"/>
      <c r="J960" s="14"/>
      <c r="K960" s="12"/>
    </row>
    <row r="961" ht="19.5" customHeight="1">
      <c r="A961" s="12"/>
      <c r="C961" s="12"/>
      <c r="D961" s="87"/>
      <c r="F961" s="14"/>
      <c r="G961" s="14"/>
      <c r="H961" s="14"/>
      <c r="I961" s="14"/>
      <c r="J961" s="14"/>
      <c r="K961" s="12"/>
    </row>
    <row r="962" ht="19.5" customHeight="1">
      <c r="A962" s="12"/>
      <c r="C962" s="12"/>
      <c r="D962" s="87"/>
      <c r="F962" s="14"/>
      <c r="G962" s="14"/>
      <c r="H962" s="14"/>
      <c r="I962" s="14"/>
      <c r="J962" s="14"/>
      <c r="K962" s="12"/>
    </row>
    <row r="963" ht="19.5" customHeight="1">
      <c r="A963" s="12"/>
      <c r="C963" s="12"/>
      <c r="D963" s="87"/>
      <c r="F963" s="14"/>
      <c r="G963" s="14"/>
      <c r="H963" s="14"/>
      <c r="I963" s="14"/>
      <c r="J963" s="14"/>
      <c r="K963" s="12"/>
    </row>
    <row r="964" ht="19.5" customHeight="1">
      <c r="A964" s="12"/>
      <c r="C964" s="12"/>
      <c r="D964" s="87"/>
      <c r="F964" s="14"/>
      <c r="G964" s="14"/>
      <c r="H964" s="14"/>
      <c r="I964" s="14"/>
      <c r="J964" s="14"/>
      <c r="K964" s="12"/>
    </row>
    <row r="965" ht="19.5" customHeight="1">
      <c r="A965" s="12"/>
      <c r="C965" s="12"/>
      <c r="D965" s="87"/>
      <c r="F965" s="14"/>
      <c r="G965" s="14"/>
      <c r="H965" s="14"/>
      <c r="I965" s="14"/>
      <c r="J965" s="14"/>
      <c r="K965" s="12"/>
    </row>
    <row r="966" ht="19.5" customHeight="1">
      <c r="A966" s="12"/>
      <c r="C966" s="12"/>
      <c r="D966" s="87"/>
      <c r="F966" s="14"/>
      <c r="G966" s="14"/>
      <c r="H966" s="14"/>
      <c r="I966" s="14"/>
      <c r="J966" s="14"/>
      <c r="K966" s="12"/>
    </row>
    <row r="967" ht="19.5" customHeight="1">
      <c r="A967" s="12"/>
      <c r="C967" s="12"/>
      <c r="D967" s="87"/>
      <c r="F967" s="14"/>
      <c r="G967" s="14"/>
      <c r="H967" s="14"/>
      <c r="I967" s="14"/>
      <c r="J967" s="14"/>
      <c r="K967" s="12"/>
    </row>
    <row r="968" ht="19.5" customHeight="1">
      <c r="A968" s="12"/>
      <c r="C968" s="12"/>
      <c r="D968" s="87"/>
      <c r="F968" s="14"/>
      <c r="G968" s="14"/>
      <c r="H968" s="14"/>
      <c r="I968" s="14"/>
      <c r="J968" s="14"/>
      <c r="K968" s="12"/>
    </row>
    <row r="969" ht="19.5" customHeight="1">
      <c r="A969" s="12"/>
      <c r="C969" s="12"/>
      <c r="D969" s="87"/>
      <c r="F969" s="14"/>
      <c r="G969" s="14"/>
      <c r="H969" s="14"/>
      <c r="I969" s="14"/>
      <c r="J969" s="14"/>
      <c r="K969" s="12"/>
    </row>
    <row r="970" ht="19.5" customHeight="1">
      <c r="A970" s="12"/>
      <c r="C970" s="12"/>
      <c r="D970" s="87"/>
      <c r="F970" s="14"/>
      <c r="G970" s="14"/>
      <c r="H970" s="14"/>
      <c r="I970" s="14"/>
      <c r="J970" s="14"/>
      <c r="K970" s="12"/>
    </row>
    <row r="971" ht="19.5" customHeight="1">
      <c r="A971" s="12"/>
      <c r="C971" s="12"/>
      <c r="D971" s="87"/>
      <c r="F971" s="14"/>
      <c r="G971" s="14"/>
      <c r="H971" s="14"/>
      <c r="I971" s="14"/>
      <c r="J971" s="14"/>
      <c r="K971" s="12"/>
    </row>
    <row r="972" ht="19.5" customHeight="1">
      <c r="A972" s="12"/>
      <c r="C972" s="12"/>
      <c r="D972" s="87"/>
      <c r="F972" s="14"/>
      <c r="G972" s="14"/>
      <c r="H972" s="14"/>
      <c r="I972" s="14"/>
      <c r="J972" s="14"/>
      <c r="K972" s="12"/>
    </row>
    <row r="973" ht="19.5" customHeight="1">
      <c r="A973" s="12"/>
      <c r="C973" s="12"/>
      <c r="D973" s="87"/>
      <c r="F973" s="14"/>
      <c r="G973" s="14"/>
      <c r="H973" s="14"/>
      <c r="I973" s="14"/>
      <c r="J973" s="14"/>
      <c r="K973" s="12"/>
    </row>
    <row r="974" ht="19.5" customHeight="1">
      <c r="A974" s="12"/>
      <c r="C974" s="12"/>
      <c r="D974" s="87"/>
      <c r="F974" s="14"/>
      <c r="G974" s="14"/>
      <c r="H974" s="14"/>
      <c r="I974" s="14"/>
      <c r="J974" s="14"/>
      <c r="K974" s="12"/>
    </row>
    <row r="975" ht="19.5" customHeight="1">
      <c r="A975" s="12"/>
      <c r="C975" s="12"/>
      <c r="D975" s="87"/>
      <c r="F975" s="14"/>
      <c r="G975" s="14"/>
      <c r="H975" s="14"/>
      <c r="I975" s="14"/>
      <c r="J975" s="14"/>
      <c r="K975" s="12"/>
    </row>
    <row r="976" ht="19.5" customHeight="1">
      <c r="A976" s="12"/>
      <c r="C976" s="12"/>
      <c r="D976" s="87"/>
      <c r="F976" s="14"/>
      <c r="G976" s="14"/>
      <c r="H976" s="14"/>
      <c r="I976" s="14"/>
      <c r="J976" s="14"/>
      <c r="K976" s="12"/>
    </row>
    <row r="977" ht="19.5" customHeight="1">
      <c r="A977" s="12"/>
      <c r="C977" s="12"/>
      <c r="D977" s="87"/>
      <c r="F977" s="14"/>
      <c r="G977" s="14"/>
      <c r="H977" s="14"/>
      <c r="I977" s="14"/>
      <c r="J977" s="14"/>
      <c r="K977" s="12"/>
    </row>
    <row r="978" ht="19.5" customHeight="1">
      <c r="A978" s="12"/>
      <c r="C978" s="12"/>
      <c r="D978" s="87"/>
      <c r="F978" s="14"/>
      <c r="G978" s="14"/>
      <c r="H978" s="14"/>
      <c r="I978" s="14"/>
      <c r="J978" s="14"/>
      <c r="K978" s="12"/>
    </row>
    <row r="979" ht="19.5" customHeight="1">
      <c r="A979" s="12"/>
      <c r="C979" s="12"/>
      <c r="D979" s="87"/>
      <c r="F979" s="14"/>
      <c r="G979" s="14"/>
      <c r="H979" s="14"/>
      <c r="I979" s="14"/>
      <c r="J979" s="14"/>
      <c r="K979" s="12"/>
    </row>
    <row r="980" ht="19.5" customHeight="1">
      <c r="A980" s="12"/>
      <c r="C980" s="12"/>
      <c r="D980" s="87"/>
      <c r="F980" s="14"/>
      <c r="G980" s="14"/>
      <c r="H980" s="14"/>
      <c r="I980" s="14"/>
      <c r="J980" s="14"/>
      <c r="K980" s="12"/>
    </row>
    <row r="981" ht="19.5" customHeight="1">
      <c r="A981" s="12"/>
      <c r="C981" s="12"/>
      <c r="D981" s="87"/>
      <c r="F981" s="14"/>
      <c r="G981" s="14"/>
      <c r="H981" s="14"/>
      <c r="I981" s="14"/>
      <c r="J981" s="14"/>
      <c r="K981" s="12"/>
    </row>
    <row r="982" ht="19.5" customHeight="1">
      <c r="A982" s="12"/>
      <c r="C982" s="12"/>
      <c r="D982" s="87"/>
      <c r="F982" s="14"/>
      <c r="G982" s="14"/>
      <c r="H982" s="14"/>
      <c r="I982" s="14"/>
      <c r="J982" s="14"/>
      <c r="K982" s="12"/>
    </row>
    <row r="983" ht="19.5" customHeight="1">
      <c r="A983" s="12"/>
      <c r="C983" s="12"/>
      <c r="D983" s="87"/>
      <c r="F983" s="14"/>
      <c r="G983" s="14"/>
      <c r="H983" s="14"/>
      <c r="I983" s="14"/>
      <c r="J983" s="14"/>
      <c r="K983" s="12"/>
    </row>
    <row r="984" ht="19.5" customHeight="1">
      <c r="A984" s="12"/>
      <c r="C984" s="12"/>
      <c r="D984" s="87"/>
      <c r="F984" s="14"/>
      <c r="G984" s="14"/>
      <c r="H984" s="14"/>
      <c r="I984" s="14"/>
      <c r="J984" s="14"/>
      <c r="K984" s="12"/>
    </row>
    <row r="985" ht="19.5" customHeight="1">
      <c r="A985" s="12"/>
      <c r="C985" s="12"/>
      <c r="D985" s="87"/>
      <c r="F985" s="14"/>
      <c r="G985" s="14"/>
      <c r="H985" s="14"/>
      <c r="I985" s="14"/>
      <c r="J985" s="14"/>
      <c r="K985" s="12"/>
    </row>
    <row r="986" ht="19.5" customHeight="1">
      <c r="A986" s="12"/>
      <c r="C986" s="12"/>
      <c r="D986" s="87"/>
      <c r="F986" s="14"/>
      <c r="G986" s="14"/>
      <c r="H986" s="14"/>
      <c r="I986" s="14"/>
      <c r="J986" s="14"/>
      <c r="K986" s="12"/>
    </row>
    <row r="987" ht="19.5" customHeight="1">
      <c r="A987" s="12"/>
      <c r="C987" s="12"/>
      <c r="D987" s="87"/>
      <c r="F987" s="14"/>
      <c r="G987" s="14"/>
      <c r="H987" s="14"/>
      <c r="I987" s="14"/>
      <c r="J987" s="14"/>
      <c r="K987" s="12"/>
    </row>
    <row r="988" ht="19.5" customHeight="1">
      <c r="A988" s="12"/>
      <c r="C988" s="12"/>
      <c r="D988" s="87"/>
      <c r="F988" s="14"/>
      <c r="G988" s="14"/>
      <c r="H988" s="14"/>
      <c r="I988" s="14"/>
      <c r="J988" s="14"/>
      <c r="K988" s="12"/>
    </row>
    <row r="989" ht="19.5" customHeight="1">
      <c r="A989" s="12"/>
      <c r="C989" s="12"/>
      <c r="D989" s="87"/>
      <c r="F989" s="14"/>
      <c r="G989" s="14"/>
      <c r="H989" s="14"/>
      <c r="I989" s="14"/>
      <c r="J989" s="14"/>
      <c r="K989" s="12"/>
    </row>
    <row r="990" ht="19.5" customHeight="1">
      <c r="A990" s="12"/>
      <c r="C990" s="12"/>
      <c r="D990" s="87"/>
      <c r="F990" s="14"/>
      <c r="G990" s="14"/>
      <c r="H990" s="14"/>
      <c r="I990" s="14"/>
      <c r="J990" s="14"/>
      <c r="K990" s="12"/>
    </row>
    <row r="991" ht="19.5" customHeight="1">
      <c r="A991" s="12"/>
      <c r="C991" s="12"/>
      <c r="D991" s="87"/>
      <c r="F991" s="14"/>
      <c r="G991" s="14"/>
      <c r="H991" s="14"/>
      <c r="I991" s="14"/>
      <c r="J991" s="14"/>
      <c r="K991" s="12"/>
    </row>
    <row r="992" ht="19.5" customHeight="1">
      <c r="A992" s="12"/>
      <c r="C992" s="12"/>
      <c r="D992" s="87"/>
      <c r="F992" s="14"/>
      <c r="G992" s="14"/>
      <c r="H992" s="14"/>
      <c r="I992" s="14"/>
      <c r="J992" s="14"/>
      <c r="K992" s="12"/>
    </row>
    <row r="993" ht="19.5" customHeight="1">
      <c r="A993" s="12"/>
      <c r="C993" s="12"/>
      <c r="D993" s="87"/>
      <c r="F993" s="14"/>
      <c r="G993" s="14"/>
      <c r="H993" s="14"/>
      <c r="I993" s="14"/>
      <c r="J993" s="14"/>
      <c r="K993" s="12"/>
    </row>
    <row r="994" ht="19.5" customHeight="1">
      <c r="A994" s="12"/>
      <c r="C994" s="12"/>
      <c r="D994" s="87"/>
      <c r="F994" s="14"/>
      <c r="G994" s="14"/>
      <c r="H994" s="14"/>
      <c r="I994" s="14"/>
      <c r="J994" s="14"/>
      <c r="K994" s="12"/>
    </row>
    <row r="995" ht="19.5" customHeight="1">
      <c r="A995" s="12"/>
      <c r="C995" s="12"/>
      <c r="D995" s="87"/>
      <c r="F995" s="14"/>
      <c r="G995" s="14"/>
      <c r="H995" s="14"/>
      <c r="I995" s="14"/>
      <c r="J995" s="14"/>
      <c r="K995" s="12"/>
    </row>
    <row r="996" ht="19.5" customHeight="1">
      <c r="A996" s="12"/>
      <c r="C996" s="12"/>
      <c r="D996" s="87"/>
      <c r="F996" s="14"/>
      <c r="G996" s="14"/>
      <c r="H996" s="14"/>
      <c r="I996" s="14"/>
      <c r="J996" s="14"/>
      <c r="K996" s="12"/>
    </row>
    <row r="997" ht="19.5" customHeight="1">
      <c r="A997" s="12"/>
      <c r="C997" s="12"/>
      <c r="D997" s="87"/>
      <c r="F997" s="14"/>
      <c r="G997" s="14"/>
      <c r="H997" s="14"/>
      <c r="I997" s="14"/>
      <c r="J997" s="14"/>
      <c r="K997" s="12"/>
    </row>
    <row r="998" ht="19.5" customHeight="1">
      <c r="A998" s="12"/>
      <c r="C998" s="12"/>
      <c r="D998" s="87"/>
      <c r="F998" s="14"/>
      <c r="G998" s="14"/>
      <c r="H998" s="14"/>
      <c r="I998" s="14"/>
      <c r="J998" s="14"/>
      <c r="K998" s="12"/>
    </row>
    <row r="999" ht="19.5" customHeight="1">
      <c r="A999" s="12"/>
      <c r="C999" s="12"/>
      <c r="D999" s="87"/>
      <c r="F999" s="14"/>
      <c r="G999" s="14"/>
      <c r="H999" s="14"/>
      <c r="I999" s="14"/>
      <c r="J999" s="14"/>
      <c r="K999" s="12"/>
    </row>
    <row r="1000" ht="19.5" customHeight="1">
      <c r="A1000" s="12"/>
      <c r="C1000" s="12"/>
      <c r="D1000" s="87"/>
      <c r="F1000" s="14"/>
      <c r="G1000" s="14"/>
      <c r="H1000" s="14"/>
      <c r="I1000" s="14"/>
      <c r="J1000" s="14"/>
      <c r="K1000" s="12"/>
    </row>
    <row r="1001" ht="19.5" customHeight="1">
      <c r="A1001" s="12"/>
      <c r="C1001" s="12"/>
      <c r="D1001" s="87"/>
      <c r="F1001" s="14"/>
      <c r="G1001" s="14"/>
      <c r="H1001" s="14"/>
      <c r="I1001" s="14"/>
      <c r="J1001" s="14"/>
      <c r="K1001" s="12"/>
    </row>
    <row r="1002" ht="19.5" customHeight="1">
      <c r="A1002" s="12"/>
      <c r="C1002" s="12"/>
      <c r="D1002" s="87"/>
      <c r="F1002" s="14"/>
      <c r="G1002" s="14"/>
      <c r="H1002" s="14"/>
      <c r="I1002" s="14"/>
      <c r="J1002" s="14"/>
      <c r="K1002" s="12"/>
    </row>
    <row r="1003" ht="19.5" customHeight="1">
      <c r="A1003" s="12"/>
      <c r="C1003" s="12"/>
      <c r="D1003" s="87"/>
      <c r="F1003" s="14"/>
      <c r="G1003" s="14"/>
      <c r="H1003" s="14"/>
      <c r="I1003" s="14"/>
      <c r="J1003" s="14"/>
      <c r="K1003" s="12"/>
    </row>
    <row r="1004" ht="19.5" customHeight="1">
      <c r="A1004" s="12"/>
      <c r="C1004" s="12"/>
      <c r="D1004" s="87"/>
      <c r="F1004" s="14"/>
      <c r="G1004" s="14"/>
      <c r="H1004" s="14"/>
      <c r="I1004" s="14"/>
      <c r="J1004" s="14"/>
      <c r="K1004" s="12"/>
    </row>
    <row r="1005" ht="19.5" customHeight="1">
      <c r="A1005" s="12"/>
      <c r="C1005" s="12"/>
      <c r="D1005" s="87"/>
      <c r="F1005" s="14"/>
      <c r="G1005" s="14"/>
      <c r="H1005" s="14"/>
      <c r="I1005" s="14"/>
      <c r="J1005" s="14"/>
      <c r="K1005" s="12"/>
    </row>
    <row r="1006" ht="19.5" customHeight="1">
      <c r="A1006" s="12"/>
      <c r="C1006" s="12"/>
      <c r="D1006" s="87"/>
      <c r="F1006" s="14"/>
      <c r="G1006" s="14"/>
      <c r="H1006" s="14"/>
      <c r="I1006" s="14"/>
      <c r="J1006" s="14"/>
      <c r="K1006" s="12"/>
    </row>
    <row r="1007" ht="19.5" customHeight="1">
      <c r="A1007" s="12"/>
      <c r="C1007" s="12"/>
      <c r="D1007" s="87"/>
      <c r="F1007" s="14"/>
      <c r="G1007" s="14"/>
      <c r="H1007" s="14"/>
      <c r="I1007" s="14"/>
      <c r="J1007" s="14"/>
      <c r="K1007" s="12"/>
    </row>
    <row r="1008" ht="19.5" customHeight="1">
      <c r="A1008" s="12"/>
      <c r="C1008" s="12"/>
      <c r="D1008" s="87"/>
      <c r="F1008" s="14"/>
      <c r="G1008" s="14"/>
      <c r="H1008" s="14"/>
      <c r="I1008" s="14"/>
      <c r="J1008" s="14"/>
      <c r="K1008" s="12"/>
    </row>
    <row r="1009" ht="19.5" customHeight="1">
      <c r="A1009" s="12"/>
      <c r="C1009" s="12"/>
      <c r="D1009" s="87"/>
      <c r="F1009" s="14"/>
      <c r="G1009" s="14"/>
      <c r="H1009" s="14"/>
      <c r="I1009" s="14"/>
      <c r="J1009" s="14"/>
      <c r="K1009" s="12"/>
    </row>
    <row r="1010" ht="19.5" customHeight="1">
      <c r="A1010" s="12"/>
      <c r="C1010" s="12"/>
      <c r="D1010" s="87"/>
      <c r="F1010" s="14"/>
      <c r="G1010" s="14"/>
      <c r="H1010" s="14"/>
      <c r="I1010" s="14"/>
      <c r="J1010" s="14"/>
      <c r="K1010" s="12"/>
    </row>
    <row r="1011" ht="19.5" customHeight="1">
      <c r="A1011" s="12"/>
      <c r="C1011" s="12"/>
      <c r="D1011" s="87"/>
      <c r="F1011" s="14"/>
      <c r="G1011" s="14"/>
      <c r="H1011" s="14"/>
      <c r="I1011" s="14"/>
      <c r="J1011" s="14"/>
      <c r="K1011" s="12"/>
    </row>
    <row r="1012" ht="19.5" customHeight="1">
      <c r="A1012" s="12"/>
      <c r="C1012" s="12"/>
      <c r="D1012" s="87"/>
      <c r="F1012" s="14"/>
      <c r="G1012" s="14"/>
      <c r="H1012" s="14"/>
      <c r="I1012" s="14"/>
      <c r="J1012" s="14"/>
      <c r="K1012" s="12"/>
    </row>
    <row r="1013" ht="19.5" customHeight="1">
      <c r="A1013" s="12"/>
      <c r="C1013" s="12"/>
      <c r="D1013" s="87"/>
      <c r="F1013" s="14"/>
      <c r="G1013" s="14"/>
      <c r="H1013" s="14"/>
      <c r="I1013" s="14"/>
      <c r="J1013" s="14"/>
      <c r="K1013" s="12"/>
    </row>
    <row r="1014" ht="19.5" customHeight="1">
      <c r="A1014" s="12"/>
      <c r="C1014" s="12"/>
      <c r="D1014" s="87"/>
      <c r="F1014" s="14"/>
      <c r="G1014" s="14"/>
      <c r="H1014" s="14"/>
      <c r="I1014" s="14"/>
      <c r="J1014" s="14"/>
      <c r="K1014" s="12"/>
    </row>
  </sheetData>
  <mergeCells count="11">
    <mergeCell ref="E9:G9"/>
    <mergeCell ref="J9:J10"/>
    <mergeCell ref="K46:K48"/>
    <mergeCell ref="A6:K6"/>
    <mergeCell ref="A7:K7"/>
    <mergeCell ref="A8:K8"/>
    <mergeCell ref="A9:A10"/>
    <mergeCell ref="B9:B10"/>
    <mergeCell ref="C9:C10"/>
    <mergeCell ref="D9:D10"/>
    <mergeCell ref="K9:K10"/>
  </mergeCells>
  <printOptions/>
  <pageMargins bottom="0.787401575" footer="0.0" header="0.0" left="0.511811024" right="0.511811024" top="0.787401575"/>
  <pageSetup paperSize="9" scale="60" orientation="landscape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34.38"/>
    <col customWidth="1" min="3" max="3" width="9.13"/>
    <col customWidth="1" min="4" max="4" width="16.25"/>
    <col customWidth="1" min="5" max="5" width="19.13"/>
    <col customWidth="1" min="6" max="6" width="17.75"/>
    <col customWidth="1" min="7" max="7" width="14.13"/>
    <col customWidth="1" min="8" max="8" width="20.13"/>
    <col customWidth="1" min="9" max="9" width="12.13"/>
    <col customWidth="1" min="10" max="10" width="18.25"/>
    <col customWidth="1" min="11" max="11" width="32.38"/>
    <col customWidth="1" min="12" max="26" width="8.63"/>
  </cols>
  <sheetData>
    <row r="1" ht="19.5" customHeight="1">
      <c r="A1" s="4"/>
      <c r="B1" s="5"/>
      <c r="C1" s="6"/>
      <c r="D1" s="86"/>
      <c r="E1" s="5"/>
      <c r="F1" s="8"/>
      <c r="G1" s="8"/>
      <c r="H1" s="8"/>
      <c r="I1" s="8"/>
      <c r="J1" s="8"/>
      <c r="K1" s="9"/>
    </row>
    <row r="2" ht="19.5" customHeight="1">
      <c r="A2" s="10" t="s">
        <v>83</v>
      </c>
      <c r="B2" s="11" t="s">
        <v>84</v>
      </c>
      <c r="C2" s="12"/>
      <c r="D2" s="87"/>
      <c r="F2" s="14"/>
      <c r="G2" s="14"/>
      <c r="H2" s="14"/>
      <c r="I2" s="14"/>
      <c r="J2" s="17" t="s">
        <v>144</v>
      </c>
      <c r="K2" s="18"/>
    </row>
    <row r="3" ht="19.5" customHeight="1">
      <c r="A3" s="10" t="s">
        <v>86</v>
      </c>
      <c r="B3" s="11" t="s">
        <v>87</v>
      </c>
      <c r="C3" s="12"/>
      <c r="D3" s="87"/>
      <c r="F3" s="14"/>
      <c r="G3" s="14"/>
      <c r="H3" s="14"/>
      <c r="I3" s="14"/>
      <c r="J3" s="14"/>
      <c r="K3" s="18"/>
    </row>
    <row r="4" ht="19.5" customHeight="1">
      <c r="A4" s="19"/>
      <c r="C4" s="12"/>
      <c r="D4" s="87"/>
      <c r="F4" s="14"/>
      <c r="G4" s="14"/>
      <c r="H4" s="14"/>
      <c r="I4" s="14"/>
      <c r="J4" s="14"/>
      <c r="K4" s="18"/>
    </row>
    <row r="5" ht="19.5" customHeight="1">
      <c r="A5" s="19"/>
      <c r="C5" s="12"/>
      <c r="D5" s="87"/>
      <c r="F5" s="14"/>
      <c r="G5" s="14"/>
      <c r="H5" s="14"/>
      <c r="I5" s="14"/>
      <c r="J5" s="14"/>
      <c r="K5" s="18"/>
    </row>
    <row r="6" ht="200.25" customHeight="1">
      <c r="A6" s="20" t="s">
        <v>1564</v>
      </c>
      <c r="K6" s="21"/>
    </row>
    <row r="7" ht="64.5" customHeight="1">
      <c r="A7" s="22" t="s">
        <v>1565</v>
      </c>
      <c r="K7" s="21"/>
    </row>
    <row r="8" ht="37.5" customHeight="1">
      <c r="A8" s="455" t="s">
        <v>90</v>
      </c>
      <c r="K8" s="456"/>
    </row>
    <row r="9" ht="19.5" customHeight="1">
      <c r="A9" s="457" t="s">
        <v>1</v>
      </c>
      <c r="B9" s="457" t="s">
        <v>91</v>
      </c>
      <c r="C9" s="457" t="s">
        <v>92</v>
      </c>
      <c r="D9" s="458" t="s">
        <v>93</v>
      </c>
      <c r="E9" s="459" t="s">
        <v>94</v>
      </c>
      <c r="F9" s="28"/>
      <c r="G9" s="29"/>
      <c r="H9" s="460"/>
      <c r="I9" s="460"/>
      <c r="J9" s="458" t="s">
        <v>95</v>
      </c>
      <c r="K9" s="457" t="s">
        <v>96</v>
      </c>
    </row>
    <row r="10" ht="19.5" customHeight="1">
      <c r="A10" s="32"/>
      <c r="B10" s="32"/>
      <c r="C10" s="32"/>
      <c r="D10" s="32"/>
      <c r="E10" s="461" t="s">
        <v>97</v>
      </c>
      <c r="F10" s="462" t="s">
        <v>121</v>
      </c>
      <c r="G10" s="462" t="s">
        <v>99</v>
      </c>
      <c r="H10" s="462" t="s">
        <v>100</v>
      </c>
      <c r="I10" s="462" t="s">
        <v>101</v>
      </c>
      <c r="J10" s="32"/>
      <c r="K10" s="32"/>
    </row>
    <row r="11" ht="19.5" customHeight="1">
      <c r="A11" s="463">
        <v>1.0</v>
      </c>
      <c r="B11" s="464" t="s">
        <v>147</v>
      </c>
      <c r="C11" s="465" t="s">
        <v>148</v>
      </c>
      <c r="D11" s="466">
        <v>31.0</v>
      </c>
      <c r="E11" s="467">
        <v>0.8</v>
      </c>
      <c r="F11" s="468">
        <v>1.2</v>
      </c>
      <c r="G11" s="468">
        <v>1.2</v>
      </c>
      <c r="H11" s="468">
        <v>35.71</v>
      </c>
      <c r="I11" s="469"/>
      <c r="J11" s="470">
        <v>35.71</v>
      </c>
      <c r="K11" s="471"/>
    </row>
    <row r="12" ht="19.5" customHeight="1">
      <c r="A12" s="472" t="s">
        <v>1</v>
      </c>
      <c r="B12" s="473" t="s">
        <v>91</v>
      </c>
      <c r="C12" s="473" t="s">
        <v>92</v>
      </c>
      <c r="D12" s="474" t="s">
        <v>93</v>
      </c>
      <c r="E12" s="475" t="s">
        <v>97</v>
      </c>
      <c r="F12" s="476" t="s">
        <v>121</v>
      </c>
      <c r="G12" s="476" t="s">
        <v>99</v>
      </c>
      <c r="H12" s="476" t="s">
        <v>100</v>
      </c>
      <c r="I12" s="476" t="s">
        <v>101</v>
      </c>
      <c r="J12" s="474" t="s">
        <v>95</v>
      </c>
      <c r="K12" s="473" t="s">
        <v>96</v>
      </c>
    </row>
    <row r="13" ht="19.5" customHeight="1">
      <c r="A13" s="477">
        <v>1.0</v>
      </c>
      <c r="B13" s="478" t="s">
        <v>150</v>
      </c>
      <c r="C13" s="479" t="s">
        <v>148</v>
      </c>
      <c r="D13" s="480">
        <v>2.0</v>
      </c>
      <c r="E13" s="481"/>
      <c r="F13" s="468">
        <v>26.3</v>
      </c>
      <c r="G13" s="468">
        <v>22.75</v>
      </c>
      <c r="H13" s="468">
        <v>98.1</v>
      </c>
      <c r="I13" s="469"/>
      <c r="J13" s="482">
        <v>98.1</v>
      </c>
      <c r="K13" s="483"/>
    </row>
    <row r="14" ht="19.5" customHeight="1">
      <c r="A14" s="472" t="s">
        <v>1</v>
      </c>
      <c r="B14" s="473" t="s">
        <v>91</v>
      </c>
      <c r="C14" s="473" t="s">
        <v>92</v>
      </c>
      <c r="D14" s="474" t="s">
        <v>93</v>
      </c>
      <c r="E14" s="475" t="s">
        <v>97</v>
      </c>
      <c r="F14" s="476" t="s">
        <v>121</v>
      </c>
      <c r="G14" s="476" t="s">
        <v>99</v>
      </c>
      <c r="H14" s="476" t="s">
        <v>100</v>
      </c>
      <c r="I14" s="476" t="s">
        <v>101</v>
      </c>
      <c r="J14" s="474" t="s">
        <v>95</v>
      </c>
      <c r="K14" s="473" t="s">
        <v>96</v>
      </c>
    </row>
    <row r="15" ht="19.5" customHeight="1">
      <c r="A15" s="477">
        <v>1.0</v>
      </c>
      <c r="B15" s="478" t="s">
        <v>332</v>
      </c>
      <c r="C15" s="479" t="s">
        <v>148</v>
      </c>
      <c r="D15" s="480">
        <v>31.0</v>
      </c>
      <c r="E15" s="481"/>
      <c r="F15" s="468">
        <v>1.2</v>
      </c>
      <c r="G15" s="468">
        <v>1.2</v>
      </c>
      <c r="H15" s="468">
        <v>44.64</v>
      </c>
      <c r="I15" s="469"/>
      <c r="J15" s="482">
        <v>44.64</v>
      </c>
      <c r="K15" s="483"/>
    </row>
    <row r="16" ht="19.5" customHeight="1">
      <c r="A16" s="472" t="s">
        <v>1</v>
      </c>
      <c r="B16" s="473" t="s">
        <v>91</v>
      </c>
      <c r="C16" s="473" t="s">
        <v>92</v>
      </c>
      <c r="D16" s="474" t="s">
        <v>93</v>
      </c>
      <c r="E16" s="475" t="s">
        <v>97</v>
      </c>
      <c r="F16" s="476" t="s">
        <v>121</v>
      </c>
      <c r="G16" s="476" t="s">
        <v>99</v>
      </c>
      <c r="H16" s="476">
        <v>8.0</v>
      </c>
      <c r="I16" s="476" t="s">
        <v>101</v>
      </c>
      <c r="J16" s="474" t="s">
        <v>95</v>
      </c>
      <c r="K16" s="473" t="s">
        <v>96</v>
      </c>
    </row>
    <row r="17" ht="19.5" customHeight="1">
      <c r="A17" s="477">
        <v>1.0</v>
      </c>
      <c r="B17" s="478" t="s">
        <v>333</v>
      </c>
      <c r="C17" s="479" t="s">
        <v>148</v>
      </c>
      <c r="D17" s="480">
        <v>31.0</v>
      </c>
      <c r="E17" s="467">
        <v>0.05</v>
      </c>
      <c r="F17" s="468">
        <v>1.2</v>
      </c>
      <c r="G17" s="468">
        <v>1.2</v>
      </c>
      <c r="H17" s="468">
        <v>2.23</v>
      </c>
      <c r="I17" s="469"/>
      <c r="J17" s="482">
        <v>2.23</v>
      </c>
      <c r="K17" s="483"/>
    </row>
    <row r="18" ht="19.5" customHeight="1">
      <c r="A18" s="472" t="s">
        <v>1</v>
      </c>
      <c r="B18" s="473" t="s">
        <v>91</v>
      </c>
      <c r="C18" s="473" t="s">
        <v>92</v>
      </c>
      <c r="D18" s="474" t="s">
        <v>93</v>
      </c>
      <c r="E18" s="475" t="s">
        <v>97</v>
      </c>
      <c r="F18" s="476" t="s">
        <v>121</v>
      </c>
      <c r="G18" s="476" t="s">
        <v>99</v>
      </c>
      <c r="H18" s="476" t="s">
        <v>100</v>
      </c>
      <c r="I18" s="476" t="s">
        <v>101</v>
      </c>
      <c r="J18" s="474" t="s">
        <v>95</v>
      </c>
      <c r="K18" s="473" t="s">
        <v>96</v>
      </c>
    </row>
    <row r="19" ht="19.5" customHeight="1">
      <c r="A19" s="477">
        <v>1.0</v>
      </c>
      <c r="B19" s="478" t="s">
        <v>339</v>
      </c>
      <c r="C19" s="479" t="s">
        <v>148</v>
      </c>
      <c r="D19" s="480">
        <v>35.71</v>
      </c>
      <c r="E19" s="481"/>
      <c r="F19" s="484"/>
      <c r="G19" s="485"/>
      <c r="H19" s="468">
        <v>35.71</v>
      </c>
      <c r="I19" s="469"/>
      <c r="J19" s="486">
        <v>35.71</v>
      </c>
      <c r="K19" s="483"/>
    </row>
    <row r="20" ht="19.5" customHeight="1">
      <c r="A20" s="472" t="s">
        <v>1</v>
      </c>
      <c r="B20" s="473" t="s">
        <v>91</v>
      </c>
      <c r="C20" s="473" t="s">
        <v>92</v>
      </c>
      <c r="D20" s="474" t="s">
        <v>93</v>
      </c>
      <c r="E20" s="475" t="s">
        <v>97</v>
      </c>
      <c r="F20" s="476" t="s">
        <v>121</v>
      </c>
      <c r="G20" s="476" t="s">
        <v>99</v>
      </c>
      <c r="H20" s="476" t="s">
        <v>100</v>
      </c>
      <c r="I20" s="476" t="s">
        <v>101</v>
      </c>
      <c r="J20" s="474" t="s">
        <v>95</v>
      </c>
      <c r="K20" s="473" t="s">
        <v>96</v>
      </c>
    </row>
    <row r="21" ht="19.5" customHeight="1">
      <c r="A21" s="477">
        <v>1.0</v>
      </c>
      <c r="B21" s="478" t="s">
        <v>172</v>
      </c>
      <c r="C21" s="479" t="s">
        <v>148</v>
      </c>
      <c r="D21" s="480">
        <v>1.0</v>
      </c>
      <c r="E21" s="467">
        <v>0.05</v>
      </c>
      <c r="F21" s="466">
        <v>24.3</v>
      </c>
      <c r="G21" s="468">
        <v>20.75</v>
      </c>
      <c r="H21" s="468">
        <v>25.21</v>
      </c>
      <c r="I21" s="469"/>
      <c r="J21" s="486">
        <v>25.21</v>
      </c>
      <c r="K21" s="483"/>
    </row>
    <row r="22" ht="19.5" customHeight="1">
      <c r="A22" s="463">
        <v>1.0</v>
      </c>
      <c r="B22" s="464" t="s">
        <v>342</v>
      </c>
      <c r="C22" s="465" t="s">
        <v>103</v>
      </c>
      <c r="D22" s="466">
        <v>1.0</v>
      </c>
      <c r="E22" s="467">
        <v>0.05</v>
      </c>
      <c r="F22" s="466">
        <v>24.3</v>
      </c>
      <c r="G22" s="466">
        <v>20.75</v>
      </c>
      <c r="H22" s="468">
        <v>504.23</v>
      </c>
      <c r="I22" s="469"/>
      <c r="J22" s="470">
        <v>504.23</v>
      </c>
      <c r="K22" s="471"/>
    </row>
    <row r="23" ht="19.5" customHeight="1">
      <c r="A23" s="463">
        <v>1.0</v>
      </c>
      <c r="B23" s="487" t="s">
        <v>1566</v>
      </c>
      <c r="C23" s="465" t="s">
        <v>103</v>
      </c>
      <c r="D23" s="466">
        <v>1.0</v>
      </c>
      <c r="E23" s="467">
        <v>1.0</v>
      </c>
      <c r="F23" s="466">
        <v>24.3</v>
      </c>
      <c r="G23" s="466">
        <v>20.75</v>
      </c>
      <c r="H23" s="468">
        <v>504.23</v>
      </c>
      <c r="I23" s="469"/>
      <c r="J23" s="470">
        <v>504.23</v>
      </c>
      <c r="K23" s="465" t="s">
        <v>344</v>
      </c>
    </row>
    <row r="24" ht="19.5" customHeight="1">
      <c r="A24" s="472" t="s">
        <v>1</v>
      </c>
      <c r="B24" s="473" t="s">
        <v>91</v>
      </c>
      <c r="C24" s="473" t="s">
        <v>92</v>
      </c>
      <c r="D24" s="474" t="s">
        <v>93</v>
      </c>
      <c r="E24" s="475" t="s">
        <v>97</v>
      </c>
      <c r="F24" s="476" t="s">
        <v>121</v>
      </c>
      <c r="G24" s="476" t="s">
        <v>99</v>
      </c>
      <c r="H24" s="476" t="s">
        <v>100</v>
      </c>
      <c r="I24" s="476" t="s">
        <v>101</v>
      </c>
      <c r="J24" s="474" t="s">
        <v>95</v>
      </c>
      <c r="K24" s="473" t="s">
        <v>96</v>
      </c>
    </row>
    <row r="25" ht="19.5" customHeight="1">
      <c r="A25" s="477">
        <v>1.0</v>
      </c>
      <c r="B25" s="478" t="s">
        <v>345</v>
      </c>
      <c r="C25" s="479" t="s">
        <v>148</v>
      </c>
      <c r="D25" s="480">
        <v>5.0</v>
      </c>
      <c r="E25" s="467">
        <v>0.3</v>
      </c>
      <c r="F25" s="466">
        <v>24.3</v>
      </c>
      <c r="G25" s="468">
        <v>0.14</v>
      </c>
      <c r="H25" s="468">
        <v>5.1</v>
      </c>
      <c r="I25" s="469"/>
      <c r="J25" s="488"/>
      <c r="K25" s="483"/>
    </row>
    <row r="26" ht="19.5" customHeight="1">
      <c r="A26" s="463">
        <v>2.0</v>
      </c>
      <c r="B26" s="464" t="s">
        <v>345</v>
      </c>
      <c r="C26" s="465" t="s">
        <v>148</v>
      </c>
      <c r="D26" s="466">
        <v>2.0</v>
      </c>
      <c r="E26" s="467">
        <v>0.3</v>
      </c>
      <c r="F26" s="466">
        <v>20.75</v>
      </c>
      <c r="G26" s="468">
        <v>0.14</v>
      </c>
      <c r="H26" s="468">
        <v>1.74</v>
      </c>
      <c r="I26" s="469"/>
      <c r="J26" s="489"/>
      <c r="K26" s="471"/>
    </row>
    <row r="27" ht="19.5" customHeight="1">
      <c r="A27" s="463">
        <v>3.0</v>
      </c>
      <c r="B27" s="464" t="s">
        <v>345</v>
      </c>
      <c r="C27" s="465" t="s">
        <v>148</v>
      </c>
      <c r="D27" s="466">
        <v>1.0</v>
      </c>
      <c r="E27" s="467">
        <v>0.3</v>
      </c>
      <c r="F27" s="466">
        <v>5.5</v>
      </c>
      <c r="G27" s="468">
        <v>0.14</v>
      </c>
      <c r="H27" s="468">
        <v>0.23</v>
      </c>
      <c r="I27" s="469"/>
      <c r="J27" s="489"/>
      <c r="K27" s="490"/>
    </row>
    <row r="28" ht="19.5" customHeight="1">
      <c r="A28" s="463">
        <v>4.0</v>
      </c>
      <c r="B28" s="464" t="s">
        <v>345</v>
      </c>
      <c r="C28" s="465" t="s">
        <v>148</v>
      </c>
      <c r="D28" s="466">
        <v>1.0</v>
      </c>
      <c r="E28" s="467">
        <v>0.3</v>
      </c>
      <c r="F28" s="466">
        <v>7.0</v>
      </c>
      <c r="G28" s="468">
        <v>0.14</v>
      </c>
      <c r="H28" s="468">
        <v>0.29</v>
      </c>
      <c r="I28" s="469"/>
      <c r="J28" s="489"/>
      <c r="K28" s="491"/>
    </row>
    <row r="29" ht="19.5" customHeight="1">
      <c r="A29" s="463">
        <v>5.0</v>
      </c>
      <c r="B29" s="464" t="s">
        <v>345</v>
      </c>
      <c r="C29" s="465" t="s">
        <v>148</v>
      </c>
      <c r="D29" s="466">
        <v>2.0</v>
      </c>
      <c r="E29" s="467">
        <v>0.3</v>
      </c>
      <c r="F29" s="466">
        <v>2.5</v>
      </c>
      <c r="G29" s="468">
        <v>0.14</v>
      </c>
      <c r="H29" s="468">
        <v>0.21</v>
      </c>
      <c r="I29" s="469"/>
      <c r="J29" s="470">
        <v>7.58</v>
      </c>
      <c r="K29" s="491"/>
      <c r="L29" s="14"/>
    </row>
    <row r="30" ht="19.5" customHeight="1">
      <c r="A30" s="472" t="s">
        <v>1</v>
      </c>
      <c r="B30" s="473" t="s">
        <v>91</v>
      </c>
      <c r="C30" s="473" t="s">
        <v>92</v>
      </c>
      <c r="D30" s="474" t="s">
        <v>93</v>
      </c>
      <c r="E30" s="475" t="s">
        <v>97</v>
      </c>
      <c r="F30" s="476" t="s">
        <v>121</v>
      </c>
      <c r="G30" s="476" t="s">
        <v>99</v>
      </c>
      <c r="H30" s="476" t="s">
        <v>100</v>
      </c>
      <c r="I30" s="476" t="s">
        <v>101</v>
      </c>
      <c r="J30" s="474" t="s">
        <v>95</v>
      </c>
      <c r="K30" s="492" t="s">
        <v>96</v>
      </c>
      <c r="L30" s="14"/>
    </row>
    <row r="31" ht="19.5" customHeight="1">
      <c r="A31" s="477">
        <v>1.0</v>
      </c>
      <c r="B31" s="478" t="s">
        <v>177</v>
      </c>
      <c r="C31" s="479" t="s">
        <v>103</v>
      </c>
      <c r="D31" s="480">
        <v>3.0</v>
      </c>
      <c r="E31" s="467">
        <v>3.5</v>
      </c>
      <c r="F31" s="466">
        <v>24.3</v>
      </c>
      <c r="G31" s="468">
        <v>0.09</v>
      </c>
      <c r="H31" s="468">
        <v>255.15</v>
      </c>
      <c r="I31" s="493">
        <v>43.7</v>
      </c>
      <c r="J31" s="494">
        <v>211.45</v>
      </c>
      <c r="K31" s="483"/>
      <c r="L31" s="14"/>
    </row>
    <row r="32" ht="19.5" customHeight="1">
      <c r="A32" s="463">
        <v>2.0</v>
      </c>
      <c r="B32" s="464" t="s">
        <v>177</v>
      </c>
      <c r="C32" s="465" t="s">
        <v>103</v>
      </c>
      <c r="D32" s="466">
        <v>4.0</v>
      </c>
      <c r="E32" s="467">
        <v>3.5</v>
      </c>
      <c r="F32" s="466">
        <v>16.3</v>
      </c>
      <c r="G32" s="468">
        <v>0.09</v>
      </c>
      <c r="H32" s="468">
        <v>228.2</v>
      </c>
      <c r="I32" s="493">
        <v>6.8</v>
      </c>
      <c r="J32" s="468">
        <v>221.4</v>
      </c>
      <c r="K32" s="471"/>
      <c r="L32" s="14"/>
    </row>
    <row r="33" ht="19.5" customHeight="1">
      <c r="A33" s="463">
        <v>3.0</v>
      </c>
      <c r="B33" s="464" t="s">
        <v>177</v>
      </c>
      <c r="C33" s="465" t="s">
        <v>103</v>
      </c>
      <c r="D33" s="466">
        <v>1.0</v>
      </c>
      <c r="E33" s="467">
        <v>3.5</v>
      </c>
      <c r="F33" s="466">
        <v>28.74</v>
      </c>
      <c r="G33" s="468">
        <v>0.09</v>
      </c>
      <c r="H33" s="468">
        <v>100.59</v>
      </c>
      <c r="I33" s="493">
        <v>8.52</v>
      </c>
      <c r="J33" s="468">
        <v>92.07</v>
      </c>
      <c r="K33" s="471"/>
    </row>
    <row r="34" ht="19.5" customHeight="1">
      <c r="A34" s="495"/>
      <c r="B34" s="496"/>
      <c r="C34" s="490"/>
      <c r="D34" s="497"/>
      <c r="E34" s="481"/>
      <c r="F34" s="484"/>
      <c r="G34" s="485"/>
      <c r="H34" s="485"/>
      <c r="I34" s="469"/>
      <c r="J34" s="498">
        <v>524.92</v>
      </c>
      <c r="K34" s="490"/>
    </row>
    <row r="35" ht="19.5" customHeight="1">
      <c r="A35" s="463">
        <v>1.0</v>
      </c>
      <c r="B35" s="499" t="s">
        <v>72</v>
      </c>
      <c r="C35" s="500" t="s">
        <v>108</v>
      </c>
      <c r="D35" s="501">
        <v>1.0</v>
      </c>
      <c r="E35" s="481"/>
      <c r="F35" s="466">
        <v>166.84</v>
      </c>
      <c r="G35" s="485"/>
      <c r="H35" s="468">
        <v>166.84</v>
      </c>
      <c r="I35" s="469"/>
      <c r="J35" s="502">
        <v>166.84</v>
      </c>
      <c r="K35" s="491"/>
    </row>
    <row r="36" ht="19.5" customHeight="1">
      <c r="A36" s="495"/>
      <c r="B36" s="503"/>
      <c r="C36" s="491"/>
      <c r="D36" s="504"/>
      <c r="E36" s="481"/>
      <c r="F36" s="484"/>
      <c r="G36" s="485"/>
      <c r="H36" s="485"/>
      <c r="I36" s="469"/>
      <c r="J36" s="505"/>
      <c r="K36" s="491"/>
      <c r="L36" s="14"/>
    </row>
    <row r="37" ht="19.5" customHeight="1">
      <c r="A37" s="463">
        <v>1.0</v>
      </c>
      <c r="B37" s="478" t="s">
        <v>1567</v>
      </c>
      <c r="C37" s="479" t="s">
        <v>108</v>
      </c>
      <c r="D37" s="480">
        <v>9.0</v>
      </c>
      <c r="E37" s="467">
        <v>2.1</v>
      </c>
      <c r="F37" s="466">
        <v>0.9</v>
      </c>
      <c r="G37" s="468">
        <v>0.5</v>
      </c>
      <c r="H37" s="468">
        <v>12.6</v>
      </c>
      <c r="I37" s="469"/>
      <c r="J37" s="269">
        <v>12.6</v>
      </c>
      <c r="K37" s="491"/>
    </row>
    <row r="38" ht="19.5" customHeight="1">
      <c r="A38" s="463">
        <v>2.0</v>
      </c>
      <c r="B38" s="464" t="s">
        <v>1567</v>
      </c>
      <c r="C38" s="465" t="s">
        <v>108</v>
      </c>
      <c r="D38" s="466">
        <v>8.0</v>
      </c>
      <c r="E38" s="467">
        <v>1.65</v>
      </c>
      <c r="F38" s="466">
        <v>0.84</v>
      </c>
      <c r="G38" s="468">
        <v>0.5</v>
      </c>
      <c r="H38" s="468">
        <v>10.72</v>
      </c>
      <c r="I38" s="469"/>
      <c r="J38" s="269">
        <v>10.72</v>
      </c>
      <c r="K38" s="491"/>
    </row>
    <row r="39" ht="19.5" customHeight="1">
      <c r="A39" s="463">
        <v>3.0</v>
      </c>
      <c r="B39" s="464" t="s">
        <v>1568</v>
      </c>
      <c r="C39" s="465" t="s">
        <v>108</v>
      </c>
      <c r="D39" s="466">
        <v>5.0</v>
      </c>
      <c r="E39" s="467">
        <v>1.1</v>
      </c>
      <c r="F39" s="466">
        <v>3.5</v>
      </c>
      <c r="G39" s="468">
        <v>0.5</v>
      </c>
      <c r="H39" s="468">
        <v>20.0</v>
      </c>
      <c r="I39" s="469"/>
      <c r="J39" s="269">
        <v>20.0</v>
      </c>
      <c r="K39" s="491"/>
    </row>
    <row r="40" ht="19.5" customHeight="1">
      <c r="A40" s="506">
        <v>4.0</v>
      </c>
      <c r="B40" s="464" t="s">
        <v>1568</v>
      </c>
      <c r="C40" s="465" t="s">
        <v>108</v>
      </c>
      <c r="D40" s="466">
        <v>5.0</v>
      </c>
      <c r="E40" s="467">
        <v>0.5</v>
      </c>
      <c r="F40" s="466">
        <v>3.4</v>
      </c>
      <c r="G40" s="468">
        <v>0.5</v>
      </c>
      <c r="H40" s="468">
        <v>19.5</v>
      </c>
      <c r="I40" s="469"/>
      <c r="J40" s="269">
        <v>19.5</v>
      </c>
      <c r="K40" s="491"/>
    </row>
    <row r="41" ht="19.5" customHeight="1">
      <c r="A41" s="507">
        <v>5.0</v>
      </c>
      <c r="B41" s="464" t="s">
        <v>1568</v>
      </c>
      <c r="C41" s="465" t="s">
        <v>108</v>
      </c>
      <c r="D41" s="466">
        <v>2.0</v>
      </c>
      <c r="E41" s="467">
        <v>0.5</v>
      </c>
      <c r="F41" s="466">
        <v>1.0</v>
      </c>
      <c r="G41" s="468">
        <v>0.5</v>
      </c>
      <c r="H41" s="468">
        <v>3.0</v>
      </c>
      <c r="I41" s="469"/>
      <c r="J41" s="269">
        <v>3.0</v>
      </c>
      <c r="K41" s="491"/>
    </row>
    <row r="42" ht="19.5" customHeight="1">
      <c r="A42" s="507">
        <v>6.0</v>
      </c>
      <c r="B42" s="464" t="s">
        <v>1568</v>
      </c>
      <c r="C42" s="465" t="s">
        <v>108</v>
      </c>
      <c r="D42" s="466">
        <v>2.0</v>
      </c>
      <c r="E42" s="467">
        <v>0.5</v>
      </c>
      <c r="F42" s="466">
        <v>1.8</v>
      </c>
      <c r="G42" s="468">
        <v>0.5</v>
      </c>
      <c r="H42" s="468">
        <v>4.6</v>
      </c>
      <c r="I42" s="469"/>
      <c r="J42" s="269">
        <v>4.6</v>
      </c>
      <c r="K42" s="491"/>
    </row>
    <row r="43" ht="19.5" customHeight="1">
      <c r="A43" s="477" t="s">
        <v>1569</v>
      </c>
      <c r="B43" s="464" t="s">
        <v>1570</v>
      </c>
      <c r="C43" s="465" t="s">
        <v>108</v>
      </c>
      <c r="D43" s="484"/>
      <c r="E43" s="481"/>
      <c r="F43" s="484"/>
      <c r="G43" s="468">
        <v>70.42</v>
      </c>
      <c r="H43" s="485"/>
      <c r="I43" s="469"/>
      <c r="J43" s="498">
        <v>70.42</v>
      </c>
      <c r="K43" s="491"/>
    </row>
    <row r="44" ht="19.5" customHeight="1">
      <c r="A44" s="463" t="s">
        <v>1571</v>
      </c>
      <c r="B44" s="508" t="s">
        <v>1572</v>
      </c>
      <c r="C44" s="465" t="s">
        <v>108</v>
      </c>
      <c r="D44" s="497"/>
      <c r="E44" s="481"/>
      <c r="F44" s="484"/>
      <c r="G44" s="468">
        <v>47.1</v>
      </c>
      <c r="H44" s="485"/>
      <c r="I44" s="469"/>
      <c r="J44" s="502">
        <v>47.1</v>
      </c>
      <c r="K44" s="491"/>
    </row>
    <row r="45" ht="19.5" customHeight="1">
      <c r="A45" s="472" t="s">
        <v>1</v>
      </c>
      <c r="B45" s="492" t="s">
        <v>91</v>
      </c>
      <c r="C45" s="473" t="s">
        <v>92</v>
      </c>
      <c r="D45" s="509" t="s">
        <v>93</v>
      </c>
      <c r="E45" s="475" t="s">
        <v>97</v>
      </c>
      <c r="F45" s="476" t="s">
        <v>121</v>
      </c>
      <c r="G45" s="476" t="s">
        <v>99</v>
      </c>
      <c r="H45" s="476" t="s">
        <v>100</v>
      </c>
      <c r="I45" s="476" t="s">
        <v>101</v>
      </c>
      <c r="J45" s="509" t="s">
        <v>95</v>
      </c>
      <c r="K45" s="492" t="s">
        <v>96</v>
      </c>
    </row>
    <row r="46" ht="19.5" customHeight="1">
      <c r="A46" s="477">
        <v>1.0</v>
      </c>
      <c r="B46" s="478" t="s">
        <v>185</v>
      </c>
      <c r="C46" s="479" t="s">
        <v>108</v>
      </c>
      <c r="D46" s="480">
        <v>4.0</v>
      </c>
      <c r="E46" s="481"/>
      <c r="F46" s="468">
        <v>10.5</v>
      </c>
      <c r="G46" s="485"/>
      <c r="H46" s="468">
        <v>42.0</v>
      </c>
      <c r="I46" s="469"/>
      <c r="J46" s="486">
        <v>42.0</v>
      </c>
      <c r="K46" s="483"/>
    </row>
    <row r="47" ht="19.5" customHeight="1">
      <c r="A47" s="472" t="s">
        <v>1</v>
      </c>
      <c r="B47" s="473" t="s">
        <v>91</v>
      </c>
      <c r="C47" s="473" t="s">
        <v>92</v>
      </c>
      <c r="D47" s="474" t="s">
        <v>93</v>
      </c>
      <c r="E47" s="475" t="s">
        <v>187</v>
      </c>
      <c r="F47" s="476" t="s">
        <v>99</v>
      </c>
      <c r="G47" s="476" t="s">
        <v>121</v>
      </c>
      <c r="H47" s="476" t="s">
        <v>100</v>
      </c>
      <c r="I47" s="476" t="s">
        <v>101</v>
      </c>
      <c r="J47" s="474" t="s">
        <v>95</v>
      </c>
      <c r="K47" s="473" t="s">
        <v>96</v>
      </c>
    </row>
    <row r="48" ht="19.5" customHeight="1">
      <c r="A48" s="477">
        <v>1.0</v>
      </c>
      <c r="B48" s="478" t="s">
        <v>189</v>
      </c>
      <c r="C48" s="479" t="s">
        <v>103</v>
      </c>
      <c r="D48" s="480">
        <v>1.0</v>
      </c>
      <c r="E48" s="467">
        <v>6.0</v>
      </c>
      <c r="F48" s="468">
        <v>20.75</v>
      </c>
      <c r="G48" s="468">
        <v>24.3</v>
      </c>
      <c r="H48" s="468">
        <v>504.23</v>
      </c>
      <c r="I48" s="469"/>
      <c r="J48" s="486">
        <v>504.23</v>
      </c>
      <c r="K48" s="483"/>
      <c r="L48" s="14"/>
    </row>
    <row r="49" ht="19.5" customHeight="1">
      <c r="A49" s="472" t="s">
        <v>1</v>
      </c>
      <c r="B49" s="473" t="s">
        <v>91</v>
      </c>
      <c r="C49" s="473" t="s">
        <v>92</v>
      </c>
      <c r="D49" s="474" t="s">
        <v>93</v>
      </c>
      <c r="E49" s="475" t="s">
        <v>99</v>
      </c>
      <c r="F49" s="476" t="s">
        <v>121</v>
      </c>
      <c r="G49" s="476" t="s">
        <v>97</v>
      </c>
      <c r="H49" s="476" t="s">
        <v>100</v>
      </c>
      <c r="I49" s="476" t="s">
        <v>101</v>
      </c>
      <c r="J49" s="474" t="s">
        <v>95</v>
      </c>
      <c r="K49" s="473" t="s">
        <v>96</v>
      </c>
      <c r="L49" s="14"/>
    </row>
    <row r="50" ht="19.5" customHeight="1">
      <c r="A50" s="477">
        <v>1.0</v>
      </c>
      <c r="B50" s="478" t="s">
        <v>1573</v>
      </c>
      <c r="C50" s="479" t="s">
        <v>103</v>
      </c>
      <c r="D50" s="510"/>
      <c r="E50" s="481"/>
      <c r="F50" s="485"/>
      <c r="G50" s="485"/>
      <c r="H50" s="485"/>
      <c r="I50" s="469"/>
      <c r="J50" s="486" t="s">
        <v>1574</v>
      </c>
      <c r="K50" s="483"/>
      <c r="L50" s="14"/>
    </row>
    <row r="51" ht="19.5" customHeight="1">
      <c r="A51" s="472" t="s">
        <v>1</v>
      </c>
      <c r="B51" s="473" t="s">
        <v>91</v>
      </c>
      <c r="C51" s="473" t="s">
        <v>92</v>
      </c>
      <c r="D51" s="474" t="s">
        <v>93</v>
      </c>
      <c r="E51" s="475" t="s">
        <v>193</v>
      </c>
      <c r="F51" s="476" t="s">
        <v>121</v>
      </c>
      <c r="G51" s="476" t="s">
        <v>194</v>
      </c>
      <c r="H51" s="476" t="s">
        <v>100</v>
      </c>
      <c r="I51" s="476" t="s">
        <v>101</v>
      </c>
      <c r="J51" s="474" t="s">
        <v>95</v>
      </c>
      <c r="K51" s="473" t="s">
        <v>96</v>
      </c>
      <c r="L51" s="14"/>
    </row>
    <row r="52" ht="19.5" customHeight="1">
      <c r="A52" s="477">
        <v>1.0</v>
      </c>
      <c r="B52" s="478" t="s">
        <v>923</v>
      </c>
      <c r="C52" s="479" t="s">
        <v>103</v>
      </c>
      <c r="D52" s="480">
        <v>1.0</v>
      </c>
      <c r="E52" s="467">
        <v>100.0</v>
      </c>
      <c r="F52" s="485"/>
      <c r="G52" s="485"/>
      <c r="H52" s="468">
        <v>100.0</v>
      </c>
      <c r="I52" s="469"/>
      <c r="J52" s="502">
        <v>100.0</v>
      </c>
      <c r="K52" s="491"/>
      <c r="L52" s="14"/>
    </row>
    <row r="53" ht="19.5" customHeight="1">
      <c r="A53" s="495"/>
      <c r="B53" s="481"/>
      <c r="C53" s="471"/>
      <c r="D53" s="484"/>
      <c r="E53" s="481"/>
      <c r="F53" s="485"/>
      <c r="G53" s="485"/>
      <c r="H53" s="485"/>
      <c r="I53" s="469"/>
      <c r="J53" s="511"/>
      <c r="K53" s="491"/>
    </row>
    <row r="54" ht="19.5" customHeight="1">
      <c r="A54" s="463">
        <v>1.0</v>
      </c>
      <c r="B54" s="464" t="s">
        <v>362</v>
      </c>
      <c r="C54" s="465" t="s">
        <v>103</v>
      </c>
      <c r="D54" s="466">
        <v>5.0</v>
      </c>
      <c r="E54" s="467">
        <v>0.8</v>
      </c>
      <c r="F54" s="468">
        <v>24.3</v>
      </c>
      <c r="G54" s="485"/>
      <c r="H54" s="468">
        <v>97.2</v>
      </c>
      <c r="I54" s="469"/>
      <c r="J54" s="512"/>
      <c r="K54" s="491"/>
    </row>
    <row r="55" ht="19.5" customHeight="1">
      <c r="A55" s="463">
        <v>2.0</v>
      </c>
      <c r="B55" s="464" t="s">
        <v>362</v>
      </c>
      <c r="C55" s="465" t="s">
        <v>103</v>
      </c>
      <c r="D55" s="466">
        <v>3.0</v>
      </c>
      <c r="E55" s="467">
        <v>0.8</v>
      </c>
      <c r="F55" s="468">
        <v>20.75</v>
      </c>
      <c r="G55" s="485"/>
      <c r="H55" s="468">
        <v>49.8</v>
      </c>
      <c r="I55" s="469"/>
      <c r="J55" s="513"/>
      <c r="K55" s="491"/>
    </row>
    <row r="56" ht="20.25" customHeight="1">
      <c r="A56" s="463">
        <v>3.0</v>
      </c>
      <c r="B56" s="464" t="s">
        <v>362</v>
      </c>
      <c r="C56" s="465" t="s">
        <v>103</v>
      </c>
      <c r="D56" s="466">
        <v>1.0</v>
      </c>
      <c r="E56" s="467">
        <v>0.8</v>
      </c>
      <c r="F56" s="468">
        <v>5.5</v>
      </c>
      <c r="G56" s="485"/>
      <c r="H56" s="468">
        <v>4.4</v>
      </c>
      <c r="I56" s="469"/>
      <c r="J56" s="514"/>
      <c r="K56" s="491"/>
    </row>
    <row r="57" ht="18.75" customHeight="1">
      <c r="A57" s="463">
        <v>4.0</v>
      </c>
      <c r="B57" s="464" t="s">
        <v>362</v>
      </c>
      <c r="C57" s="465" t="s">
        <v>103</v>
      </c>
      <c r="D57" s="466">
        <v>1.0</v>
      </c>
      <c r="E57" s="467">
        <v>0.8</v>
      </c>
      <c r="F57" s="468">
        <v>7.0</v>
      </c>
      <c r="G57" s="485"/>
      <c r="H57" s="468">
        <v>5.6</v>
      </c>
      <c r="I57" s="469"/>
      <c r="J57" s="514"/>
      <c r="K57" s="491"/>
    </row>
    <row r="58" ht="18.0" customHeight="1">
      <c r="A58" s="463">
        <v>5.0</v>
      </c>
      <c r="B58" s="464" t="s">
        <v>362</v>
      </c>
      <c r="C58" s="465" t="s">
        <v>103</v>
      </c>
      <c r="D58" s="466">
        <v>2.0</v>
      </c>
      <c r="E58" s="467">
        <v>0.8</v>
      </c>
      <c r="F58" s="468">
        <v>2.5</v>
      </c>
      <c r="G58" s="485"/>
      <c r="H58" s="468">
        <v>4.0</v>
      </c>
      <c r="I58" s="469"/>
      <c r="J58" s="502">
        <v>161.0</v>
      </c>
      <c r="K58" s="491"/>
    </row>
    <row r="59" ht="19.5" customHeight="1">
      <c r="A59" s="472" t="s">
        <v>1</v>
      </c>
      <c r="B59" s="473" t="s">
        <v>91</v>
      </c>
      <c r="C59" s="473" t="s">
        <v>92</v>
      </c>
      <c r="D59" s="474" t="s">
        <v>93</v>
      </c>
      <c r="E59" s="475" t="s">
        <v>161</v>
      </c>
      <c r="F59" s="476" t="s">
        <v>99</v>
      </c>
      <c r="G59" s="476" t="s">
        <v>121</v>
      </c>
      <c r="H59" s="476" t="s">
        <v>100</v>
      </c>
      <c r="I59" s="476" t="s">
        <v>101</v>
      </c>
      <c r="J59" s="509" t="s">
        <v>95</v>
      </c>
      <c r="K59" s="492" t="s">
        <v>96</v>
      </c>
    </row>
    <row r="60" ht="19.5" customHeight="1">
      <c r="A60" s="477">
        <v>1.0</v>
      </c>
      <c r="B60" s="478" t="s">
        <v>197</v>
      </c>
      <c r="C60" s="479" t="s">
        <v>103</v>
      </c>
      <c r="D60" s="480">
        <v>1.0</v>
      </c>
      <c r="E60" s="467">
        <v>1.0</v>
      </c>
      <c r="F60" s="468">
        <v>24.3</v>
      </c>
      <c r="G60" s="468">
        <v>20.75</v>
      </c>
      <c r="H60" s="468">
        <v>504.23</v>
      </c>
      <c r="I60" s="469"/>
      <c r="J60" s="486">
        <v>504.23</v>
      </c>
      <c r="K60" s="483"/>
    </row>
    <row r="61" ht="19.5" customHeight="1">
      <c r="A61" s="472" t="s">
        <v>1</v>
      </c>
      <c r="B61" s="473" t="s">
        <v>91</v>
      </c>
      <c r="C61" s="473" t="s">
        <v>92</v>
      </c>
      <c r="D61" s="474" t="s">
        <v>93</v>
      </c>
      <c r="E61" s="475" t="s">
        <v>97</v>
      </c>
      <c r="F61" s="476" t="s">
        <v>121</v>
      </c>
      <c r="G61" s="476" t="s">
        <v>198</v>
      </c>
      <c r="H61" s="476" t="s">
        <v>100</v>
      </c>
      <c r="I61" s="476" t="s">
        <v>101</v>
      </c>
      <c r="J61" s="474" t="s">
        <v>95</v>
      </c>
      <c r="K61" s="473" t="s">
        <v>96</v>
      </c>
    </row>
    <row r="62" ht="19.5" customHeight="1">
      <c r="A62" s="477">
        <v>1.0</v>
      </c>
      <c r="B62" s="478" t="s">
        <v>199</v>
      </c>
      <c r="C62" s="479" t="s">
        <v>103</v>
      </c>
      <c r="D62" s="480">
        <v>3.0</v>
      </c>
      <c r="E62" s="467">
        <v>3.5</v>
      </c>
      <c r="F62" s="466">
        <v>24.3</v>
      </c>
      <c r="G62" s="468">
        <v>2.0</v>
      </c>
      <c r="H62" s="468">
        <v>510.3</v>
      </c>
      <c r="I62" s="493">
        <v>87.4</v>
      </c>
      <c r="J62" s="494">
        <v>422.9</v>
      </c>
      <c r="K62" s="483"/>
    </row>
    <row r="63" ht="19.5" customHeight="1">
      <c r="A63" s="463">
        <v>2.0</v>
      </c>
      <c r="B63" s="464" t="s">
        <v>199</v>
      </c>
      <c r="C63" s="465" t="s">
        <v>103</v>
      </c>
      <c r="D63" s="466">
        <v>4.0</v>
      </c>
      <c r="E63" s="467">
        <v>3.5</v>
      </c>
      <c r="F63" s="466">
        <v>16.3</v>
      </c>
      <c r="G63" s="468">
        <v>2.0</v>
      </c>
      <c r="H63" s="468">
        <v>456.4</v>
      </c>
      <c r="I63" s="493">
        <v>87.4</v>
      </c>
      <c r="J63" s="468">
        <v>369.0</v>
      </c>
      <c r="K63" s="471"/>
    </row>
    <row r="64" ht="19.5" customHeight="1">
      <c r="A64" s="463">
        <v>3.0</v>
      </c>
      <c r="B64" s="464" t="s">
        <v>199</v>
      </c>
      <c r="C64" s="465" t="s">
        <v>103</v>
      </c>
      <c r="D64" s="466">
        <v>1.0</v>
      </c>
      <c r="E64" s="467">
        <v>3.5</v>
      </c>
      <c r="F64" s="466">
        <v>28.74</v>
      </c>
      <c r="G64" s="468">
        <v>2.0</v>
      </c>
      <c r="H64" s="468">
        <v>201.18</v>
      </c>
      <c r="I64" s="493">
        <v>87.4</v>
      </c>
      <c r="J64" s="468">
        <v>113.78</v>
      </c>
      <c r="K64" s="490"/>
    </row>
    <row r="65" ht="19.5" customHeight="1">
      <c r="A65" s="463">
        <v>4.0</v>
      </c>
      <c r="B65" s="464" t="s">
        <v>199</v>
      </c>
      <c r="C65" s="465" t="s">
        <v>103</v>
      </c>
      <c r="D65" s="484"/>
      <c r="E65" s="481"/>
      <c r="F65" s="484"/>
      <c r="G65" s="485"/>
      <c r="H65" s="468" t="s">
        <v>1574</v>
      </c>
      <c r="I65" s="493" t="s">
        <v>1574</v>
      </c>
      <c r="J65" s="468" t="s">
        <v>1574</v>
      </c>
      <c r="K65" s="491"/>
    </row>
    <row r="66" ht="19.5" customHeight="1">
      <c r="A66" s="463">
        <v>5.0</v>
      </c>
      <c r="B66" s="464" t="s">
        <v>199</v>
      </c>
      <c r="C66" s="465" t="s">
        <v>103</v>
      </c>
      <c r="D66" s="484"/>
      <c r="E66" s="481"/>
      <c r="F66" s="484"/>
      <c r="G66" s="485"/>
      <c r="H66" s="468" t="s">
        <v>1574</v>
      </c>
      <c r="I66" s="493" t="s">
        <v>1574</v>
      </c>
      <c r="J66" s="468" t="s">
        <v>1574</v>
      </c>
      <c r="K66" s="491"/>
    </row>
    <row r="67" ht="19.5" customHeight="1">
      <c r="A67" s="495"/>
      <c r="B67" s="496"/>
      <c r="C67" s="490"/>
      <c r="D67" s="497"/>
      <c r="E67" s="481"/>
      <c r="F67" s="484"/>
      <c r="G67" s="485"/>
      <c r="H67" s="485"/>
      <c r="I67" s="469"/>
      <c r="J67" s="498">
        <v>905.68</v>
      </c>
      <c r="K67" s="491"/>
    </row>
    <row r="68" ht="19.5" customHeight="1">
      <c r="A68" s="472" t="s">
        <v>1</v>
      </c>
      <c r="B68" s="492" t="s">
        <v>91</v>
      </c>
      <c r="C68" s="492" t="s">
        <v>92</v>
      </c>
      <c r="D68" s="509" t="s">
        <v>93</v>
      </c>
      <c r="E68" s="475" t="s">
        <v>97</v>
      </c>
      <c r="F68" s="476" t="s">
        <v>121</v>
      </c>
      <c r="G68" s="476" t="s">
        <v>198</v>
      </c>
      <c r="H68" s="476" t="s">
        <v>100</v>
      </c>
      <c r="I68" s="476" t="s">
        <v>101</v>
      </c>
      <c r="J68" s="509" t="s">
        <v>95</v>
      </c>
      <c r="K68" s="492" t="s">
        <v>96</v>
      </c>
    </row>
    <row r="69" ht="19.5" customHeight="1">
      <c r="A69" s="477">
        <v>1.0</v>
      </c>
      <c r="B69" s="478" t="s">
        <v>204</v>
      </c>
      <c r="C69" s="479" t="s">
        <v>103</v>
      </c>
      <c r="D69" s="480">
        <v>3.0</v>
      </c>
      <c r="E69" s="467">
        <v>3.5</v>
      </c>
      <c r="F69" s="466">
        <v>24.3</v>
      </c>
      <c r="G69" s="468">
        <v>2.0</v>
      </c>
      <c r="H69" s="468">
        <v>510.3</v>
      </c>
      <c r="I69" s="493">
        <v>87.4</v>
      </c>
      <c r="J69" s="494">
        <v>422.9</v>
      </c>
      <c r="K69" s="483"/>
    </row>
    <row r="70" ht="19.5" customHeight="1">
      <c r="A70" s="463">
        <v>2.0</v>
      </c>
      <c r="B70" s="464" t="s">
        <v>204</v>
      </c>
      <c r="C70" s="465" t="s">
        <v>103</v>
      </c>
      <c r="D70" s="466">
        <v>4.0</v>
      </c>
      <c r="E70" s="467">
        <v>3.5</v>
      </c>
      <c r="F70" s="466">
        <v>16.3</v>
      </c>
      <c r="G70" s="468">
        <v>2.0</v>
      </c>
      <c r="H70" s="468">
        <v>456.4</v>
      </c>
      <c r="I70" s="493">
        <v>87.4</v>
      </c>
      <c r="J70" s="468">
        <v>369.0</v>
      </c>
      <c r="K70" s="471"/>
    </row>
    <row r="71" ht="19.5" customHeight="1">
      <c r="A71" s="463">
        <v>3.0</v>
      </c>
      <c r="B71" s="464" t="s">
        <v>204</v>
      </c>
      <c r="C71" s="465" t="s">
        <v>103</v>
      </c>
      <c r="D71" s="466">
        <v>1.0</v>
      </c>
      <c r="E71" s="467">
        <v>3.5</v>
      </c>
      <c r="F71" s="466">
        <v>28.74</v>
      </c>
      <c r="G71" s="468">
        <v>2.0</v>
      </c>
      <c r="H71" s="468">
        <v>201.18</v>
      </c>
      <c r="I71" s="493">
        <v>87.4</v>
      </c>
      <c r="J71" s="468">
        <v>113.78</v>
      </c>
      <c r="K71" s="471"/>
    </row>
    <row r="72" ht="19.5" customHeight="1">
      <c r="A72" s="495"/>
      <c r="B72" s="481"/>
      <c r="C72" s="490"/>
      <c r="D72" s="497"/>
      <c r="E72" s="481"/>
      <c r="F72" s="484"/>
      <c r="G72" s="485"/>
      <c r="H72" s="485"/>
      <c r="I72" s="469"/>
      <c r="J72" s="498">
        <v>905.68</v>
      </c>
      <c r="K72" s="471"/>
    </row>
    <row r="73" ht="19.5" customHeight="1">
      <c r="A73" s="472" t="s">
        <v>1</v>
      </c>
      <c r="B73" s="473" t="s">
        <v>91</v>
      </c>
      <c r="C73" s="492" t="s">
        <v>92</v>
      </c>
      <c r="D73" s="509" t="s">
        <v>93</v>
      </c>
      <c r="E73" s="475" t="s">
        <v>97</v>
      </c>
      <c r="F73" s="476" t="s">
        <v>121</v>
      </c>
      <c r="G73" s="476" t="s">
        <v>198</v>
      </c>
      <c r="H73" s="476" t="s">
        <v>100</v>
      </c>
      <c r="I73" s="476" t="s">
        <v>101</v>
      </c>
      <c r="J73" s="509" t="s">
        <v>95</v>
      </c>
      <c r="K73" s="473" t="s">
        <v>96</v>
      </c>
    </row>
    <row r="74" ht="19.5" customHeight="1">
      <c r="A74" s="477">
        <v>1.0</v>
      </c>
      <c r="B74" s="478" t="s">
        <v>1575</v>
      </c>
      <c r="C74" s="479" t="s">
        <v>103</v>
      </c>
      <c r="D74" s="510"/>
      <c r="E74" s="481"/>
      <c r="F74" s="484"/>
      <c r="G74" s="485"/>
      <c r="H74" s="468" t="s">
        <v>1574</v>
      </c>
      <c r="I74" s="469"/>
      <c r="J74" s="482">
        <v>335.34</v>
      </c>
      <c r="K74" s="515" t="s">
        <v>1576</v>
      </c>
    </row>
    <row r="75" ht="19.5" customHeight="1">
      <c r="A75" s="472" t="s">
        <v>1</v>
      </c>
      <c r="B75" s="473" t="s">
        <v>91</v>
      </c>
      <c r="C75" s="473" t="s">
        <v>92</v>
      </c>
      <c r="D75" s="474" t="s">
        <v>93</v>
      </c>
      <c r="E75" s="475" t="s">
        <v>97</v>
      </c>
      <c r="F75" s="476" t="s">
        <v>121</v>
      </c>
      <c r="G75" s="476" t="s">
        <v>198</v>
      </c>
      <c r="H75" s="476" t="s">
        <v>100</v>
      </c>
      <c r="I75" s="476" t="s">
        <v>101</v>
      </c>
      <c r="J75" s="474" t="s">
        <v>95</v>
      </c>
      <c r="K75" s="492" t="s">
        <v>96</v>
      </c>
    </row>
    <row r="76" ht="19.5" customHeight="1">
      <c r="A76" s="477">
        <v>1.0</v>
      </c>
      <c r="B76" s="478" t="s">
        <v>175</v>
      </c>
      <c r="C76" s="479" t="s">
        <v>103</v>
      </c>
      <c r="D76" s="480">
        <v>5.0</v>
      </c>
      <c r="E76" s="467">
        <v>1.6</v>
      </c>
      <c r="F76" s="466">
        <v>8.15</v>
      </c>
      <c r="G76" s="468">
        <v>2.0</v>
      </c>
      <c r="H76" s="468">
        <v>130.4</v>
      </c>
      <c r="I76" s="493">
        <v>28.32</v>
      </c>
      <c r="J76" s="494">
        <v>102.08</v>
      </c>
      <c r="K76" s="483"/>
    </row>
    <row r="77" ht="19.5" customHeight="1">
      <c r="A77" s="463">
        <v>2.0</v>
      </c>
      <c r="B77" s="464" t="s">
        <v>175</v>
      </c>
      <c r="C77" s="465" t="s">
        <v>103</v>
      </c>
      <c r="D77" s="466">
        <v>2.0</v>
      </c>
      <c r="E77" s="467">
        <v>1.6</v>
      </c>
      <c r="F77" s="466">
        <v>8.15</v>
      </c>
      <c r="G77" s="468">
        <v>1.0</v>
      </c>
      <c r="H77" s="468">
        <v>26.08</v>
      </c>
      <c r="I77" s="469"/>
      <c r="J77" s="468">
        <v>26.08</v>
      </c>
      <c r="K77" s="471"/>
    </row>
    <row r="78" ht="19.5" customHeight="1">
      <c r="A78" s="463">
        <v>3.0</v>
      </c>
      <c r="B78" s="464" t="s">
        <v>175</v>
      </c>
      <c r="C78" s="465" t="s">
        <v>103</v>
      </c>
      <c r="D78" s="466">
        <v>1.0</v>
      </c>
      <c r="E78" s="467">
        <v>1.6</v>
      </c>
      <c r="F78" s="466">
        <v>8.15</v>
      </c>
      <c r="G78" s="468">
        <v>1.0</v>
      </c>
      <c r="H78" s="468">
        <v>13.04</v>
      </c>
      <c r="I78" s="493">
        <v>3.54</v>
      </c>
      <c r="J78" s="468">
        <v>9.5</v>
      </c>
      <c r="K78" s="471"/>
    </row>
    <row r="79" ht="19.5" customHeight="1">
      <c r="A79" s="463">
        <v>4.0</v>
      </c>
      <c r="B79" s="464" t="s">
        <v>175</v>
      </c>
      <c r="C79" s="465" t="s">
        <v>103</v>
      </c>
      <c r="D79" s="466">
        <v>2.0</v>
      </c>
      <c r="E79" s="467">
        <v>1.6</v>
      </c>
      <c r="F79" s="466">
        <v>6.6</v>
      </c>
      <c r="G79" s="468">
        <v>1.0</v>
      </c>
      <c r="H79" s="468">
        <v>21.12</v>
      </c>
      <c r="I79" s="493">
        <v>5.76</v>
      </c>
      <c r="J79" s="468">
        <v>15.36</v>
      </c>
      <c r="K79" s="471"/>
    </row>
    <row r="80" ht="19.5" customHeight="1">
      <c r="A80" s="463">
        <v>5.0</v>
      </c>
      <c r="B80" s="464" t="s">
        <v>175</v>
      </c>
      <c r="C80" s="465" t="s">
        <v>103</v>
      </c>
      <c r="D80" s="466">
        <v>5.0</v>
      </c>
      <c r="E80" s="467">
        <v>1.6</v>
      </c>
      <c r="F80" s="466">
        <v>8.22</v>
      </c>
      <c r="G80" s="468">
        <v>2.0</v>
      </c>
      <c r="H80" s="468">
        <v>131.52</v>
      </c>
      <c r="I80" s="469"/>
      <c r="J80" s="468">
        <v>131.52</v>
      </c>
      <c r="K80" s="471"/>
    </row>
    <row r="81" ht="19.5" customHeight="1">
      <c r="A81" s="463">
        <v>6.0</v>
      </c>
      <c r="B81" s="464" t="s">
        <v>175</v>
      </c>
      <c r="C81" s="465" t="s">
        <v>103</v>
      </c>
      <c r="D81" s="466">
        <v>2.0</v>
      </c>
      <c r="E81" s="467">
        <v>1.6</v>
      </c>
      <c r="F81" s="466">
        <v>8.22</v>
      </c>
      <c r="G81" s="468">
        <v>1.0</v>
      </c>
      <c r="H81" s="468">
        <v>26.3</v>
      </c>
      <c r="I81" s="469"/>
      <c r="J81" s="468">
        <v>26.3</v>
      </c>
      <c r="K81" s="471"/>
    </row>
    <row r="82" ht="19.5" customHeight="1">
      <c r="A82" s="463">
        <v>7.0</v>
      </c>
      <c r="B82" s="464" t="s">
        <v>175</v>
      </c>
      <c r="C82" s="465" t="s">
        <v>103</v>
      </c>
      <c r="D82" s="466">
        <v>1.0</v>
      </c>
      <c r="E82" s="467">
        <v>3.0</v>
      </c>
      <c r="F82" s="466">
        <v>54.48</v>
      </c>
      <c r="G82" s="468">
        <v>1.0</v>
      </c>
      <c r="H82" s="468">
        <v>163.44</v>
      </c>
      <c r="I82" s="493">
        <v>10.36</v>
      </c>
      <c r="J82" s="468">
        <v>153.08</v>
      </c>
      <c r="K82" s="471"/>
    </row>
    <row r="83" ht="19.5" customHeight="1">
      <c r="A83" s="463">
        <v>8.0</v>
      </c>
      <c r="B83" s="464" t="s">
        <v>175</v>
      </c>
      <c r="C83" s="465" t="s">
        <v>103</v>
      </c>
      <c r="D83" s="466">
        <v>2.0</v>
      </c>
      <c r="E83" s="467">
        <v>3.0</v>
      </c>
      <c r="F83" s="466">
        <v>1.63</v>
      </c>
      <c r="G83" s="468">
        <v>2.0</v>
      </c>
      <c r="H83" s="468">
        <v>19.56</v>
      </c>
      <c r="I83" s="469"/>
      <c r="J83" s="468">
        <v>19.56</v>
      </c>
      <c r="K83" s="471"/>
    </row>
    <row r="84" ht="19.5" customHeight="1">
      <c r="A84" s="463">
        <v>9.0</v>
      </c>
      <c r="B84" s="464" t="s">
        <v>175</v>
      </c>
      <c r="C84" s="465" t="s">
        <v>103</v>
      </c>
      <c r="D84" s="466">
        <v>1.0</v>
      </c>
      <c r="E84" s="467">
        <v>3.0</v>
      </c>
      <c r="F84" s="466">
        <v>32.0</v>
      </c>
      <c r="G84" s="468">
        <v>1.0</v>
      </c>
      <c r="H84" s="468">
        <v>96.0</v>
      </c>
      <c r="I84" s="493">
        <v>9.14</v>
      </c>
      <c r="J84" s="468">
        <v>86.86</v>
      </c>
      <c r="K84" s="471"/>
    </row>
    <row r="85" ht="19.5" customHeight="1">
      <c r="A85" s="495"/>
      <c r="B85" s="496"/>
      <c r="C85" s="516" t="s">
        <v>103</v>
      </c>
      <c r="D85" s="497"/>
      <c r="E85" s="481"/>
      <c r="F85" s="484"/>
      <c r="G85" s="485"/>
      <c r="H85" s="485"/>
      <c r="I85" s="469"/>
      <c r="J85" s="517">
        <v>570.34</v>
      </c>
      <c r="K85" s="490"/>
    </row>
    <row r="86" ht="19.5" customHeight="1">
      <c r="A86" s="472" t="s">
        <v>1</v>
      </c>
      <c r="B86" s="492" t="s">
        <v>91</v>
      </c>
      <c r="C86" s="492" t="s">
        <v>92</v>
      </c>
      <c r="D86" s="509" t="s">
        <v>93</v>
      </c>
      <c r="E86" s="475" t="s">
        <v>97</v>
      </c>
      <c r="F86" s="476" t="s">
        <v>121</v>
      </c>
      <c r="G86" s="476" t="s">
        <v>99</v>
      </c>
      <c r="H86" s="476" t="s">
        <v>100</v>
      </c>
      <c r="I86" s="476" t="s">
        <v>101</v>
      </c>
      <c r="J86" s="509" t="s">
        <v>95</v>
      </c>
      <c r="K86" s="492" t="s">
        <v>96</v>
      </c>
    </row>
    <row r="87" ht="19.5" customHeight="1">
      <c r="A87" s="477">
        <v>1.0</v>
      </c>
      <c r="B87" s="478" t="s">
        <v>369</v>
      </c>
      <c r="C87" s="479" t="s">
        <v>103</v>
      </c>
      <c r="D87" s="480">
        <v>9.0</v>
      </c>
      <c r="E87" s="467">
        <v>2.1</v>
      </c>
      <c r="F87" s="466">
        <v>0.9</v>
      </c>
      <c r="G87" s="485"/>
      <c r="H87" s="468">
        <v>17.01</v>
      </c>
      <c r="I87" s="469"/>
      <c r="J87" s="263">
        <v>17.01</v>
      </c>
      <c r="K87" s="483"/>
    </row>
    <row r="88" ht="19.5" customHeight="1">
      <c r="A88" s="463">
        <v>2.0</v>
      </c>
      <c r="B88" s="464" t="s">
        <v>369</v>
      </c>
      <c r="C88" s="465" t="s">
        <v>103</v>
      </c>
      <c r="D88" s="466">
        <v>8.0</v>
      </c>
      <c r="E88" s="467">
        <v>1.65</v>
      </c>
      <c r="F88" s="466">
        <v>0.84</v>
      </c>
      <c r="G88" s="485"/>
      <c r="H88" s="468">
        <v>11.09</v>
      </c>
      <c r="I88" s="469"/>
      <c r="J88" s="269">
        <v>11.09</v>
      </c>
      <c r="K88" s="471"/>
    </row>
    <row r="89" ht="19.5" customHeight="1">
      <c r="A89" s="463">
        <v>3.0</v>
      </c>
      <c r="B89" s="464" t="s">
        <v>369</v>
      </c>
      <c r="C89" s="471"/>
      <c r="D89" s="484"/>
      <c r="E89" s="481"/>
      <c r="F89" s="484"/>
      <c r="G89" s="485"/>
      <c r="H89" s="468" t="s">
        <v>1574</v>
      </c>
      <c r="I89" s="469"/>
      <c r="J89" s="518">
        <v>28.1</v>
      </c>
      <c r="K89" s="471"/>
    </row>
    <row r="90" ht="19.5" customHeight="1">
      <c r="A90" s="495"/>
      <c r="B90" s="481"/>
      <c r="C90" s="471"/>
      <c r="D90" s="484"/>
      <c r="E90" s="481"/>
      <c r="F90" s="484"/>
      <c r="G90" s="485"/>
      <c r="H90" s="485"/>
      <c r="I90" s="469"/>
      <c r="J90" s="519"/>
      <c r="K90" s="495"/>
    </row>
    <row r="91" ht="19.5" customHeight="1">
      <c r="A91" s="463">
        <v>1.0</v>
      </c>
      <c r="B91" s="464" t="s">
        <v>371</v>
      </c>
      <c r="C91" s="465" t="s">
        <v>103</v>
      </c>
      <c r="D91" s="466">
        <v>5.0</v>
      </c>
      <c r="E91" s="467">
        <v>1.1</v>
      </c>
      <c r="F91" s="466">
        <v>3.5</v>
      </c>
      <c r="G91" s="485"/>
      <c r="H91" s="468">
        <v>19.25</v>
      </c>
      <c r="I91" s="469"/>
      <c r="J91" s="263">
        <v>19.25</v>
      </c>
      <c r="K91" s="471"/>
    </row>
    <row r="92" ht="19.5" customHeight="1">
      <c r="A92" s="463">
        <v>2.0</v>
      </c>
      <c r="B92" s="464" t="s">
        <v>371</v>
      </c>
      <c r="C92" s="465" t="s">
        <v>103</v>
      </c>
      <c r="D92" s="466">
        <v>5.0</v>
      </c>
      <c r="E92" s="467">
        <v>0.5</v>
      </c>
      <c r="F92" s="466">
        <v>3.4</v>
      </c>
      <c r="G92" s="485"/>
      <c r="H92" s="468">
        <v>8.5</v>
      </c>
      <c r="I92" s="469"/>
      <c r="J92" s="269">
        <v>8.5</v>
      </c>
      <c r="K92" s="471"/>
    </row>
    <row r="93" ht="19.5" customHeight="1">
      <c r="A93" s="463">
        <v>3.0</v>
      </c>
      <c r="B93" s="464" t="s">
        <v>371</v>
      </c>
      <c r="C93" s="465" t="s">
        <v>103</v>
      </c>
      <c r="D93" s="466">
        <v>2.0</v>
      </c>
      <c r="E93" s="467">
        <v>0.5</v>
      </c>
      <c r="F93" s="466">
        <v>1.0</v>
      </c>
      <c r="G93" s="485"/>
      <c r="H93" s="468">
        <v>1.0</v>
      </c>
      <c r="I93" s="469"/>
      <c r="J93" s="269">
        <v>1.0</v>
      </c>
      <c r="K93" s="471"/>
    </row>
    <row r="94" ht="19.5" customHeight="1">
      <c r="A94" s="463">
        <v>4.0</v>
      </c>
      <c r="B94" s="464" t="s">
        <v>371</v>
      </c>
      <c r="C94" s="465" t="s">
        <v>103</v>
      </c>
      <c r="D94" s="466">
        <v>2.0</v>
      </c>
      <c r="E94" s="467">
        <v>0.5</v>
      </c>
      <c r="F94" s="466">
        <v>1.8</v>
      </c>
      <c r="G94" s="485"/>
      <c r="H94" s="468">
        <v>1.8</v>
      </c>
      <c r="I94" s="469"/>
      <c r="J94" s="269">
        <v>1.8</v>
      </c>
      <c r="K94" s="471"/>
    </row>
    <row r="95" ht="19.5" customHeight="1">
      <c r="A95" s="463">
        <v>5.0</v>
      </c>
      <c r="B95" s="464" t="s">
        <v>371</v>
      </c>
      <c r="C95" s="465" t="s">
        <v>103</v>
      </c>
      <c r="D95" s="484"/>
      <c r="E95" s="481"/>
      <c r="F95" s="484"/>
      <c r="G95" s="485"/>
      <c r="H95" s="485"/>
      <c r="I95" s="469"/>
      <c r="J95" s="518">
        <v>30.55</v>
      </c>
      <c r="K95" s="490"/>
    </row>
    <row r="96" ht="19.5" customHeight="1">
      <c r="A96" s="495"/>
      <c r="B96" s="481"/>
      <c r="C96" s="471"/>
      <c r="D96" s="484"/>
      <c r="E96" s="481"/>
      <c r="F96" s="484"/>
      <c r="G96" s="485"/>
      <c r="H96" s="485"/>
      <c r="I96" s="469"/>
      <c r="J96" s="520"/>
      <c r="K96" s="491"/>
    </row>
    <row r="97" ht="19.5" customHeight="1">
      <c r="A97" s="463">
        <v>1.0</v>
      </c>
      <c r="B97" s="464" t="s">
        <v>636</v>
      </c>
      <c r="C97" s="465" t="s">
        <v>108</v>
      </c>
      <c r="D97" s="484"/>
      <c r="E97" s="464">
        <v>64.2</v>
      </c>
      <c r="F97" s="466">
        <v>95.02</v>
      </c>
      <c r="G97" s="485"/>
      <c r="H97" s="485"/>
      <c r="I97" s="469"/>
      <c r="J97" s="518">
        <v>159.22</v>
      </c>
      <c r="K97" s="483"/>
    </row>
    <row r="98" ht="19.5" customHeight="1">
      <c r="A98" s="472" t="s">
        <v>1</v>
      </c>
      <c r="B98" s="473" t="s">
        <v>91</v>
      </c>
      <c r="C98" s="473" t="s">
        <v>92</v>
      </c>
      <c r="D98" s="474" t="s">
        <v>93</v>
      </c>
      <c r="E98" s="475" t="s">
        <v>161</v>
      </c>
      <c r="F98" s="476" t="s">
        <v>121</v>
      </c>
      <c r="G98" s="476" t="s">
        <v>99</v>
      </c>
      <c r="H98" s="476" t="s">
        <v>100</v>
      </c>
      <c r="I98" s="476" t="s">
        <v>101</v>
      </c>
      <c r="J98" s="474" t="s">
        <v>95</v>
      </c>
      <c r="K98" s="473" t="s">
        <v>96</v>
      </c>
    </row>
    <row r="99" ht="19.5" customHeight="1">
      <c r="A99" s="477">
        <v>1.0</v>
      </c>
      <c r="B99" s="478" t="s">
        <v>374</v>
      </c>
      <c r="C99" s="479" t="s">
        <v>106</v>
      </c>
      <c r="D99" s="480">
        <v>10.0</v>
      </c>
      <c r="E99" s="467">
        <v>1.0</v>
      </c>
      <c r="F99" s="484"/>
      <c r="G99" s="468">
        <v>1.0</v>
      </c>
      <c r="H99" s="468">
        <v>10.0</v>
      </c>
      <c r="I99" s="469"/>
      <c r="J99" s="488"/>
      <c r="K99" s="483"/>
    </row>
    <row r="100" ht="19.5" customHeight="1">
      <c r="A100" s="463">
        <v>2.0</v>
      </c>
      <c r="B100" s="464" t="s">
        <v>375</v>
      </c>
      <c r="C100" s="465" t="s">
        <v>106</v>
      </c>
      <c r="D100" s="484"/>
      <c r="E100" s="481"/>
      <c r="F100" s="484"/>
      <c r="G100" s="485"/>
      <c r="H100" s="485"/>
      <c r="I100" s="469"/>
      <c r="J100" s="521">
        <v>10.0</v>
      </c>
      <c r="K100" s="471"/>
    </row>
    <row r="101" ht="19.5" customHeight="1">
      <c r="A101" s="463">
        <v>3.0</v>
      </c>
      <c r="B101" s="464" t="s">
        <v>376</v>
      </c>
      <c r="C101" s="465" t="s">
        <v>106</v>
      </c>
      <c r="D101" s="466">
        <v>10.0</v>
      </c>
      <c r="E101" s="467">
        <v>1.0</v>
      </c>
      <c r="F101" s="484"/>
      <c r="G101" s="468">
        <v>1.0</v>
      </c>
      <c r="H101" s="468">
        <v>10.0</v>
      </c>
      <c r="I101" s="469"/>
      <c r="J101" s="521">
        <v>10.0</v>
      </c>
      <c r="K101" s="490"/>
    </row>
    <row r="102" ht="19.5" customHeight="1">
      <c r="A102" s="472" t="s">
        <v>1</v>
      </c>
      <c r="B102" s="473" t="s">
        <v>91</v>
      </c>
      <c r="C102" s="473" t="s">
        <v>92</v>
      </c>
      <c r="D102" s="474" t="s">
        <v>93</v>
      </c>
      <c r="E102" s="475" t="s">
        <v>161</v>
      </c>
      <c r="F102" s="476" t="s">
        <v>121</v>
      </c>
      <c r="G102" s="476" t="s">
        <v>99</v>
      </c>
      <c r="H102" s="476" t="s">
        <v>100</v>
      </c>
      <c r="I102" s="476" t="s">
        <v>101</v>
      </c>
      <c r="J102" s="474" t="s">
        <v>95</v>
      </c>
      <c r="K102" s="492" t="s">
        <v>96</v>
      </c>
    </row>
    <row r="103" ht="19.5" customHeight="1">
      <c r="A103" s="477">
        <v>1.0</v>
      </c>
      <c r="B103" s="522" t="s">
        <v>242</v>
      </c>
      <c r="C103" s="479" t="s">
        <v>103</v>
      </c>
      <c r="D103" s="480">
        <v>1.0</v>
      </c>
      <c r="E103" s="467">
        <v>1.0</v>
      </c>
      <c r="F103" s="466">
        <v>2.4</v>
      </c>
      <c r="G103" s="468">
        <v>0.6</v>
      </c>
      <c r="H103" s="468">
        <v>1.44</v>
      </c>
      <c r="I103" s="469"/>
      <c r="J103" s="494">
        <v>1.44</v>
      </c>
      <c r="K103" s="260" t="s">
        <v>1577</v>
      </c>
    </row>
    <row r="104" ht="19.5" customHeight="1">
      <c r="A104" s="463">
        <v>2.0</v>
      </c>
      <c r="B104" s="487" t="s">
        <v>242</v>
      </c>
      <c r="C104" s="465" t="s">
        <v>103</v>
      </c>
      <c r="D104" s="466">
        <v>1.0</v>
      </c>
      <c r="E104" s="467">
        <v>1.0</v>
      </c>
      <c r="F104" s="466">
        <v>4.5</v>
      </c>
      <c r="G104" s="468">
        <v>0.6</v>
      </c>
      <c r="H104" s="468">
        <v>2.7</v>
      </c>
      <c r="I104" s="469"/>
      <c r="J104" s="468">
        <v>2.7</v>
      </c>
      <c r="K104" s="266" t="s">
        <v>1578</v>
      </c>
    </row>
    <row r="105" ht="19.5" customHeight="1">
      <c r="A105" s="463">
        <v>3.0</v>
      </c>
      <c r="B105" s="487" t="s">
        <v>242</v>
      </c>
      <c r="C105" s="465" t="s">
        <v>103</v>
      </c>
      <c r="D105" s="466">
        <v>1.0</v>
      </c>
      <c r="E105" s="467">
        <v>1.0</v>
      </c>
      <c r="F105" s="466">
        <v>21.26</v>
      </c>
      <c r="G105" s="468">
        <v>0.6</v>
      </c>
      <c r="H105" s="468">
        <v>12.76</v>
      </c>
      <c r="I105" s="469"/>
      <c r="J105" s="468">
        <v>12.76</v>
      </c>
      <c r="K105" s="266" t="s">
        <v>1579</v>
      </c>
    </row>
    <row r="106" ht="19.5" customHeight="1">
      <c r="A106" s="463">
        <v>4.0</v>
      </c>
      <c r="B106" s="487" t="s">
        <v>242</v>
      </c>
      <c r="C106" s="465" t="s">
        <v>103</v>
      </c>
      <c r="D106" s="466">
        <v>1.0</v>
      </c>
      <c r="E106" s="467">
        <v>1.0</v>
      </c>
      <c r="F106" s="466">
        <v>28.16</v>
      </c>
      <c r="G106" s="468">
        <v>0.2</v>
      </c>
      <c r="H106" s="468">
        <v>5.63</v>
      </c>
      <c r="I106" s="469"/>
      <c r="J106" s="468">
        <v>5.63</v>
      </c>
      <c r="K106" s="266" t="s">
        <v>1580</v>
      </c>
    </row>
    <row r="107" ht="19.5" customHeight="1">
      <c r="A107" s="463">
        <v>5.0</v>
      </c>
      <c r="B107" s="487" t="s">
        <v>242</v>
      </c>
      <c r="C107" s="465" t="s">
        <v>103</v>
      </c>
      <c r="D107" s="466">
        <v>2.0</v>
      </c>
      <c r="E107" s="467">
        <v>1.0</v>
      </c>
      <c r="F107" s="466">
        <v>4.7</v>
      </c>
      <c r="G107" s="468">
        <v>1.35</v>
      </c>
      <c r="H107" s="468">
        <v>12.69</v>
      </c>
      <c r="I107" s="469"/>
      <c r="J107" s="468">
        <v>12.69</v>
      </c>
      <c r="K107" s="266" t="s">
        <v>1581</v>
      </c>
    </row>
    <row r="108" ht="19.5" customHeight="1">
      <c r="A108" s="495"/>
      <c r="B108" s="481"/>
      <c r="C108" s="471"/>
      <c r="D108" s="484"/>
      <c r="E108" s="481"/>
      <c r="F108" s="484"/>
      <c r="G108" s="485"/>
      <c r="H108" s="485"/>
      <c r="I108" s="469"/>
      <c r="J108" s="518">
        <v>35.22</v>
      </c>
      <c r="K108" s="490"/>
    </row>
    <row r="109" ht="19.5" customHeight="1">
      <c r="A109" s="506">
        <v>1.0</v>
      </c>
      <c r="B109" s="523" t="s">
        <v>1582</v>
      </c>
      <c r="C109" s="465" t="s">
        <v>103</v>
      </c>
      <c r="D109" s="524">
        <v>4.0</v>
      </c>
      <c r="E109" s="467">
        <v>1.0</v>
      </c>
      <c r="F109" s="466">
        <v>1.43</v>
      </c>
      <c r="G109" s="468">
        <v>1.8</v>
      </c>
      <c r="H109" s="468">
        <v>10.3</v>
      </c>
      <c r="I109" s="469"/>
      <c r="J109" s="468">
        <v>10.3</v>
      </c>
      <c r="K109" s="491"/>
    </row>
    <row r="110" ht="19.5" customHeight="1">
      <c r="A110" s="507">
        <v>2.0</v>
      </c>
      <c r="B110" s="525" t="s">
        <v>1582</v>
      </c>
      <c r="C110" s="490"/>
      <c r="D110" s="501">
        <v>6.0</v>
      </c>
      <c r="E110" s="467">
        <v>1.0</v>
      </c>
      <c r="F110" s="466">
        <v>0.13</v>
      </c>
      <c r="G110" s="468">
        <v>1.8</v>
      </c>
      <c r="H110" s="468">
        <v>1.4</v>
      </c>
      <c r="I110" s="469"/>
      <c r="J110" s="468">
        <v>1.4</v>
      </c>
      <c r="K110" s="491"/>
    </row>
    <row r="111" ht="19.5" customHeight="1">
      <c r="A111" s="507">
        <v>3.0</v>
      </c>
      <c r="B111" s="525" t="s">
        <v>1582</v>
      </c>
      <c r="C111" s="491"/>
      <c r="D111" s="501">
        <v>1.0</v>
      </c>
      <c r="E111" s="467">
        <v>1.0</v>
      </c>
      <c r="F111" s="466">
        <v>0.86</v>
      </c>
      <c r="G111" s="468">
        <v>1.8</v>
      </c>
      <c r="H111" s="468">
        <v>1.55</v>
      </c>
      <c r="I111" s="469"/>
      <c r="J111" s="468">
        <v>1.55</v>
      </c>
      <c r="K111" s="491"/>
    </row>
    <row r="112" ht="19.5" customHeight="1">
      <c r="A112" s="507">
        <v>4.0</v>
      </c>
      <c r="B112" s="525" t="s">
        <v>1582</v>
      </c>
      <c r="C112" s="491"/>
      <c r="D112" s="501">
        <v>2.0</v>
      </c>
      <c r="E112" s="467">
        <v>1.0</v>
      </c>
      <c r="F112" s="466">
        <v>0.43</v>
      </c>
      <c r="G112" s="468">
        <v>1.8</v>
      </c>
      <c r="H112" s="468">
        <v>1.55</v>
      </c>
      <c r="I112" s="469"/>
      <c r="J112" s="468">
        <v>1.55</v>
      </c>
      <c r="K112" s="491"/>
    </row>
    <row r="113" ht="19.5" customHeight="1">
      <c r="A113" s="526"/>
      <c r="B113" s="503"/>
      <c r="C113" s="491"/>
      <c r="D113" s="504"/>
      <c r="E113" s="481"/>
      <c r="F113" s="484"/>
      <c r="G113" s="485"/>
      <c r="H113" s="485"/>
      <c r="I113" s="469"/>
      <c r="J113" s="517">
        <v>14.8</v>
      </c>
      <c r="K113" s="491"/>
    </row>
    <row r="114" ht="19.5" customHeight="1">
      <c r="A114" s="526"/>
      <c r="B114" s="527"/>
      <c r="C114" s="528"/>
      <c r="D114" s="504"/>
      <c r="E114" s="481"/>
      <c r="F114" s="484"/>
      <c r="G114" s="485"/>
      <c r="H114" s="485"/>
      <c r="I114" s="469"/>
      <c r="J114" s="514"/>
      <c r="K114" s="491"/>
    </row>
    <row r="115" ht="19.5" customHeight="1">
      <c r="A115" s="507">
        <v>1.0</v>
      </c>
      <c r="B115" s="525" t="s">
        <v>2</v>
      </c>
      <c r="C115" s="529" t="s">
        <v>108</v>
      </c>
      <c r="D115" s="501">
        <v>9.0</v>
      </c>
      <c r="E115" s="467">
        <v>1.0</v>
      </c>
      <c r="F115" s="466">
        <v>0.96</v>
      </c>
      <c r="G115" s="468">
        <v>1.0</v>
      </c>
      <c r="H115" s="468">
        <v>8.64</v>
      </c>
      <c r="I115" s="469"/>
      <c r="J115" s="530">
        <v>8.64</v>
      </c>
      <c r="K115" s="491"/>
    </row>
    <row r="116" ht="19.5" customHeight="1">
      <c r="A116" s="531" t="s">
        <v>1</v>
      </c>
      <c r="B116" s="492" t="s">
        <v>91</v>
      </c>
      <c r="C116" s="492" t="s">
        <v>92</v>
      </c>
      <c r="D116" s="509" t="s">
        <v>93</v>
      </c>
      <c r="E116" s="475" t="s">
        <v>161</v>
      </c>
      <c r="F116" s="476" t="s">
        <v>121</v>
      </c>
      <c r="G116" s="476" t="s">
        <v>97</v>
      </c>
      <c r="H116" s="476" t="s">
        <v>100</v>
      </c>
      <c r="I116" s="476" t="s">
        <v>101</v>
      </c>
      <c r="J116" s="509" t="s">
        <v>95</v>
      </c>
      <c r="K116" s="492" t="s">
        <v>96</v>
      </c>
    </row>
    <row r="117" ht="19.5" customHeight="1">
      <c r="A117" s="477">
        <v>1.0</v>
      </c>
      <c r="B117" s="478" t="s">
        <v>244</v>
      </c>
      <c r="C117" s="479" t="s">
        <v>103</v>
      </c>
      <c r="D117" s="480">
        <v>8.0</v>
      </c>
      <c r="E117" s="467">
        <v>1.0</v>
      </c>
      <c r="F117" s="466">
        <v>1.5</v>
      </c>
      <c r="G117" s="468">
        <v>1.8</v>
      </c>
      <c r="H117" s="468">
        <v>12.0</v>
      </c>
      <c r="I117" s="469"/>
      <c r="J117" s="488"/>
      <c r="K117" s="483"/>
    </row>
    <row r="118" ht="19.5" customHeight="1">
      <c r="A118" s="463">
        <v>2.0</v>
      </c>
      <c r="B118" s="464" t="s">
        <v>244</v>
      </c>
      <c r="C118" s="465" t="s">
        <v>103</v>
      </c>
      <c r="D118" s="466">
        <v>8.0</v>
      </c>
      <c r="E118" s="467">
        <v>1.0</v>
      </c>
      <c r="F118" s="466">
        <v>0.5</v>
      </c>
      <c r="G118" s="468">
        <v>1.8</v>
      </c>
      <c r="H118" s="468">
        <v>0.9</v>
      </c>
      <c r="I118" s="469"/>
      <c r="J118" s="517">
        <v>12.9</v>
      </c>
      <c r="K118" s="471"/>
    </row>
    <row r="119" ht="19.5" customHeight="1">
      <c r="A119" s="472" t="s">
        <v>1</v>
      </c>
      <c r="B119" s="473" t="s">
        <v>91</v>
      </c>
      <c r="C119" s="473" t="s">
        <v>92</v>
      </c>
      <c r="D119" s="474" t="s">
        <v>93</v>
      </c>
      <c r="E119" s="475" t="s">
        <v>161</v>
      </c>
      <c r="F119" s="532"/>
      <c r="G119" s="532"/>
      <c r="H119" s="476" t="s">
        <v>100</v>
      </c>
      <c r="I119" s="476" t="s">
        <v>101</v>
      </c>
      <c r="J119" s="509" t="s">
        <v>95</v>
      </c>
      <c r="K119" s="473" t="s">
        <v>96</v>
      </c>
    </row>
    <row r="120" ht="19.5" customHeight="1">
      <c r="A120" s="477">
        <v>1.0</v>
      </c>
      <c r="B120" s="478" t="s">
        <v>245</v>
      </c>
      <c r="C120" s="479" t="s">
        <v>106</v>
      </c>
      <c r="D120" s="480">
        <v>4.0</v>
      </c>
      <c r="E120" s="467">
        <v>6.0</v>
      </c>
      <c r="F120" s="484"/>
      <c r="G120" s="485"/>
      <c r="H120" s="468">
        <v>30.0</v>
      </c>
      <c r="I120" s="469"/>
      <c r="J120" s="482">
        <v>30.0</v>
      </c>
      <c r="K120" s="483"/>
    </row>
    <row r="121" ht="19.5" customHeight="1">
      <c r="A121" s="463">
        <v>2.0</v>
      </c>
      <c r="B121" s="464" t="s">
        <v>245</v>
      </c>
      <c r="C121" s="465" t="s">
        <v>106</v>
      </c>
      <c r="D121" s="466">
        <v>12.0</v>
      </c>
      <c r="E121" s="467">
        <v>1.0</v>
      </c>
      <c r="F121" s="484"/>
      <c r="G121" s="485"/>
      <c r="H121" s="468">
        <v>12.0</v>
      </c>
      <c r="I121" s="469"/>
      <c r="J121" s="518">
        <v>12.0</v>
      </c>
      <c r="K121" s="471"/>
    </row>
    <row r="122" ht="19.5" customHeight="1">
      <c r="A122" s="463">
        <v>3.0</v>
      </c>
      <c r="B122" s="464" t="s">
        <v>246</v>
      </c>
      <c r="C122" s="465" t="s">
        <v>106</v>
      </c>
      <c r="D122" s="466">
        <v>4.0</v>
      </c>
      <c r="E122" s="467">
        <v>12.0</v>
      </c>
      <c r="F122" s="484"/>
      <c r="G122" s="485"/>
      <c r="H122" s="468">
        <v>48.0</v>
      </c>
      <c r="I122" s="469"/>
      <c r="J122" s="518">
        <v>48.0</v>
      </c>
      <c r="K122" s="471"/>
    </row>
    <row r="123" ht="19.5" customHeight="1">
      <c r="A123" s="463">
        <v>4.0</v>
      </c>
      <c r="B123" s="464" t="s">
        <v>246</v>
      </c>
      <c r="C123" s="465" t="s">
        <v>106</v>
      </c>
      <c r="D123" s="466">
        <v>8.0</v>
      </c>
      <c r="E123" s="467">
        <v>1.0</v>
      </c>
      <c r="F123" s="484"/>
      <c r="G123" s="485"/>
      <c r="H123" s="468">
        <v>8.0</v>
      </c>
      <c r="I123" s="469"/>
      <c r="J123" s="518">
        <v>8.0</v>
      </c>
      <c r="K123" s="471"/>
    </row>
    <row r="124" ht="19.5" customHeight="1">
      <c r="A124" s="463">
        <v>5.0</v>
      </c>
      <c r="B124" s="464" t="s">
        <v>247</v>
      </c>
      <c r="C124" s="465" t="s">
        <v>106</v>
      </c>
      <c r="D124" s="466">
        <v>2.0</v>
      </c>
      <c r="E124" s="467">
        <v>1.0</v>
      </c>
      <c r="F124" s="484"/>
      <c r="G124" s="485"/>
      <c r="H124" s="468">
        <v>2.0</v>
      </c>
      <c r="I124" s="469"/>
      <c r="J124" s="518">
        <v>2.0</v>
      </c>
      <c r="K124" s="471"/>
    </row>
    <row r="125" ht="19.5" customHeight="1">
      <c r="A125" s="463">
        <v>6.0</v>
      </c>
      <c r="B125" s="464" t="s">
        <v>248</v>
      </c>
      <c r="C125" s="465" t="s">
        <v>106</v>
      </c>
      <c r="D125" s="466">
        <v>4.0</v>
      </c>
      <c r="E125" s="467">
        <v>1.0</v>
      </c>
      <c r="F125" s="484"/>
      <c r="G125" s="485"/>
      <c r="H125" s="468">
        <v>4.0</v>
      </c>
      <c r="I125" s="469"/>
      <c r="J125" s="518">
        <v>4.0</v>
      </c>
      <c r="K125" s="471"/>
    </row>
    <row r="126" ht="19.5" customHeight="1">
      <c r="A126" s="463">
        <v>7.0</v>
      </c>
      <c r="B126" s="464" t="s">
        <v>249</v>
      </c>
      <c r="C126" s="465" t="s">
        <v>106</v>
      </c>
      <c r="D126" s="466">
        <v>11.0</v>
      </c>
      <c r="E126" s="467">
        <v>1.0</v>
      </c>
      <c r="F126" s="484"/>
      <c r="G126" s="485"/>
      <c r="H126" s="468">
        <v>11.0</v>
      </c>
      <c r="I126" s="469"/>
      <c r="J126" s="518">
        <v>11.0</v>
      </c>
      <c r="K126" s="471"/>
    </row>
    <row r="127" ht="19.5" customHeight="1">
      <c r="A127" s="463">
        <v>8.0</v>
      </c>
      <c r="B127" s="464" t="s">
        <v>1583</v>
      </c>
      <c r="C127" s="465" t="s">
        <v>106</v>
      </c>
      <c r="D127" s="533">
        <v>73.0</v>
      </c>
      <c r="E127" s="467">
        <v>1.0</v>
      </c>
      <c r="F127" s="485"/>
      <c r="G127" s="485"/>
      <c r="H127" s="468">
        <v>73.0</v>
      </c>
      <c r="I127" s="485"/>
      <c r="J127" s="518">
        <v>73.0</v>
      </c>
      <c r="K127" s="471"/>
    </row>
    <row r="128" ht="19.5" customHeight="1">
      <c r="A128" s="463">
        <v>9.0</v>
      </c>
      <c r="B128" s="464" t="s">
        <v>251</v>
      </c>
      <c r="C128" s="465" t="s">
        <v>106</v>
      </c>
      <c r="D128" s="533">
        <v>42.0</v>
      </c>
      <c r="E128" s="467">
        <v>1.0</v>
      </c>
      <c r="F128" s="485"/>
      <c r="G128" s="485"/>
      <c r="H128" s="468">
        <v>42.0</v>
      </c>
      <c r="I128" s="485"/>
      <c r="J128" s="518">
        <v>42.0</v>
      </c>
      <c r="K128" s="471"/>
    </row>
    <row r="129" ht="19.5" customHeight="1">
      <c r="A129" s="463">
        <v>10.0</v>
      </c>
      <c r="B129" s="464" t="s">
        <v>252</v>
      </c>
      <c r="C129" s="465" t="s">
        <v>108</v>
      </c>
      <c r="D129" s="533">
        <v>800.0</v>
      </c>
      <c r="E129" s="467">
        <v>1.0</v>
      </c>
      <c r="F129" s="485"/>
      <c r="G129" s="485"/>
      <c r="H129" s="468">
        <v>800.0</v>
      </c>
      <c r="I129" s="485"/>
      <c r="J129" s="518">
        <v>800.0</v>
      </c>
      <c r="K129" s="471"/>
    </row>
    <row r="130" ht="19.5" customHeight="1">
      <c r="A130" s="463">
        <v>11.0</v>
      </c>
      <c r="B130" s="464" t="s">
        <v>253</v>
      </c>
      <c r="C130" s="465" t="s">
        <v>108</v>
      </c>
      <c r="D130" s="533">
        <v>300.0</v>
      </c>
      <c r="E130" s="467">
        <v>1.0</v>
      </c>
      <c r="F130" s="485"/>
      <c r="G130" s="485"/>
      <c r="H130" s="468">
        <v>300.0</v>
      </c>
      <c r="I130" s="485"/>
      <c r="J130" s="518">
        <v>300.0</v>
      </c>
      <c r="K130" s="471"/>
    </row>
    <row r="131" ht="19.5" customHeight="1">
      <c r="A131" s="463">
        <v>12.0</v>
      </c>
      <c r="B131" s="464" t="s">
        <v>254</v>
      </c>
      <c r="C131" s="465" t="s">
        <v>108</v>
      </c>
      <c r="D131" s="533">
        <v>3000.0</v>
      </c>
      <c r="E131" s="467">
        <v>1.0</v>
      </c>
      <c r="F131" s="485"/>
      <c r="G131" s="485"/>
      <c r="H131" s="468">
        <v>3000.0</v>
      </c>
      <c r="I131" s="485"/>
      <c r="J131" s="518">
        <v>3000.0</v>
      </c>
      <c r="K131" s="471"/>
    </row>
    <row r="132" ht="19.5" customHeight="1">
      <c r="A132" s="463">
        <v>13.0</v>
      </c>
      <c r="B132" s="464" t="s">
        <v>255</v>
      </c>
      <c r="C132" s="465" t="s">
        <v>108</v>
      </c>
      <c r="D132" s="533">
        <v>22.0</v>
      </c>
      <c r="E132" s="467">
        <v>19.0</v>
      </c>
      <c r="F132" s="485"/>
      <c r="G132" s="485"/>
      <c r="H132" s="468">
        <v>418.0</v>
      </c>
      <c r="I132" s="485"/>
      <c r="J132" s="518">
        <v>418.0</v>
      </c>
      <c r="K132" s="471"/>
    </row>
    <row r="133" ht="19.5" customHeight="1">
      <c r="A133" s="463">
        <v>14.0</v>
      </c>
      <c r="B133" s="464" t="s">
        <v>256</v>
      </c>
      <c r="C133" s="465" t="s">
        <v>108</v>
      </c>
      <c r="D133" s="533">
        <v>100.0</v>
      </c>
      <c r="E133" s="467">
        <v>1.0</v>
      </c>
      <c r="F133" s="485"/>
      <c r="G133" s="485"/>
      <c r="H133" s="468">
        <v>100.0</v>
      </c>
      <c r="I133" s="485"/>
      <c r="J133" s="518">
        <v>100.0</v>
      </c>
      <c r="K133" s="471"/>
    </row>
    <row r="134" ht="19.5" customHeight="1">
      <c r="A134" s="463">
        <v>15.0</v>
      </c>
      <c r="B134" s="464" t="s">
        <v>257</v>
      </c>
      <c r="C134" s="465" t="s">
        <v>106</v>
      </c>
      <c r="D134" s="533">
        <v>2.0</v>
      </c>
      <c r="E134" s="467">
        <v>1.0</v>
      </c>
      <c r="F134" s="485"/>
      <c r="G134" s="485"/>
      <c r="H134" s="468">
        <v>2.0</v>
      </c>
      <c r="I134" s="485"/>
      <c r="J134" s="518">
        <v>2.0</v>
      </c>
      <c r="K134" s="471"/>
    </row>
    <row r="135" ht="19.5" customHeight="1">
      <c r="A135" s="463">
        <v>16.0</v>
      </c>
      <c r="B135" s="464" t="s">
        <v>258</v>
      </c>
      <c r="C135" s="465" t="s">
        <v>106</v>
      </c>
      <c r="D135" s="533">
        <v>6.0</v>
      </c>
      <c r="E135" s="467">
        <v>1.0</v>
      </c>
      <c r="F135" s="485"/>
      <c r="G135" s="485"/>
      <c r="H135" s="468">
        <v>6.0</v>
      </c>
      <c r="I135" s="485"/>
      <c r="J135" s="518">
        <v>6.0</v>
      </c>
      <c r="K135" s="471"/>
    </row>
    <row r="136" ht="19.5" customHeight="1">
      <c r="A136" s="463">
        <v>17.0</v>
      </c>
      <c r="B136" s="464" t="s">
        <v>259</v>
      </c>
      <c r="C136" s="465" t="s">
        <v>108</v>
      </c>
      <c r="D136" s="533">
        <v>100.0</v>
      </c>
      <c r="E136" s="467">
        <v>1.0</v>
      </c>
      <c r="F136" s="485"/>
      <c r="G136" s="485"/>
      <c r="H136" s="468">
        <v>100.0</v>
      </c>
      <c r="I136" s="485"/>
      <c r="J136" s="518">
        <v>100.0</v>
      </c>
      <c r="K136" s="471"/>
    </row>
    <row r="137" ht="19.5" customHeight="1">
      <c r="A137" s="463">
        <v>18.0</v>
      </c>
      <c r="B137" s="464" t="s">
        <v>260</v>
      </c>
      <c r="C137" s="465" t="s">
        <v>108</v>
      </c>
      <c r="D137" s="533">
        <v>84.64</v>
      </c>
      <c r="E137" s="467">
        <v>1.0</v>
      </c>
      <c r="F137" s="485"/>
      <c r="G137" s="485"/>
      <c r="H137" s="468">
        <v>84.64</v>
      </c>
      <c r="I137" s="485"/>
      <c r="J137" s="518">
        <v>84.64</v>
      </c>
      <c r="K137" s="471"/>
    </row>
    <row r="138" ht="19.5" customHeight="1">
      <c r="A138" s="463">
        <v>19.0</v>
      </c>
      <c r="B138" s="464" t="s">
        <v>261</v>
      </c>
      <c r="C138" s="465" t="s">
        <v>106</v>
      </c>
      <c r="D138" s="533">
        <v>6.0</v>
      </c>
      <c r="E138" s="467">
        <v>1.0</v>
      </c>
      <c r="F138" s="485"/>
      <c r="G138" s="485"/>
      <c r="H138" s="468">
        <v>6.0</v>
      </c>
      <c r="I138" s="485"/>
      <c r="J138" s="518">
        <v>6.0</v>
      </c>
      <c r="K138" s="471"/>
    </row>
    <row r="139" ht="19.5" customHeight="1">
      <c r="A139" s="534"/>
      <c r="B139" s="535"/>
      <c r="C139" s="534"/>
      <c r="D139" s="536"/>
      <c r="E139" s="535"/>
      <c r="F139" s="519"/>
      <c r="G139" s="519"/>
      <c r="H139" s="519"/>
      <c r="I139" s="519"/>
      <c r="J139" s="519"/>
      <c r="K139" s="534"/>
    </row>
    <row r="140" ht="19.5" customHeight="1">
      <c r="A140" s="531" t="s">
        <v>1</v>
      </c>
      <c r="B140" s="492" t="s">
        <v>91</v>
      </c>
      <c r="C140" s="492" t="s">
        <v>92</v>
      </c>
      <c r="D140" s="509" t="s">
        <v>93</v>
      </c>
      <c r="E140" s="537" t="s">
        <v>161</v>
      </c>
      <c r="F140" s="538" t="s">
        <v>121</v>
      </c>
      <c r="G140" s="538" t="s">
        <v>99</v>
      </c>
      <c r="H140" s="538" t="s">
        <v>100</v>
      </c>
      <c r="I140" s="538" t="s">
        <v>101</v>
      </c>
      <c r="J140" s="509" t="s">
        <v>95</v>
      </c>
      <c r="K140" s="492" t="s">
        <v>96</v>
      </c>
    </row>
    <row r="141" ht="19.5" customHeight="1">
      <c r="A141" s="477">
        <v>1.0</v>
      </c>
      <c r="B141" s="478" t="s">
        <v>262</v>
      </c>
      <c r="C141" s="479" t="s">
        <v>108</v>
      </c>
      <c r="D141" s="480">
        <v>200.0</v>
      </c>
      <c r="E141" s="467">
        <v>1.0</v>
      </c>
      <c r="F141" s="484"/>
      <c r="G141" s="485"/>
      <c r="H141" s="468">
        <v>200.0</v>
      </c>
      <c r="I141" s="469"/>
      <c r="J141" s="482">
        <v>200.0</v>
      </c>
      <c r="K141" s="483"/>
    </row>
    <row r="142" ht="19.5" customHeight="1">
      <c r="A142" s="463">
        <v>2.0</v>
      </c>
      <c r="B142" s="464" t="s">
        <v>263</v>
      </c>
      <c r="C142" s="465" t="s">
        <v>108</v>
      </c>
      <c r="D142" s="533">
        <v>100.0</v>
      </c>
      <c r="E142" s="467">
        <v>1.0</v>
      </c>
      <c r="F142" s="485"/>
      <c r="G142" s="485"/>
      <c r="H142" s="468">
        <v>100.0</v>
      </c>
      <c r="I142" s="485"/>
      <c r="J142" s="518">
        <v>100.0</v>
      </c>
      <c r="K142" s="471"/>
    </row>
    <row r="143" ht="19.5" customHeight="1">
      <c r="A143" s="463">
        <v>3.0</v>
      </c>
      <c r="B143" s="464" t="s">
        <v>264</v>
      </c>
      <c r="C143" s="465" t="s">
        <v>108</v>
      </c>
      <c r="D143" s="533">
        <v>100.0</v>
      </c>
      <c r="E143" s="467">
        <v>1.0</v>
      </c>
      <c r="F143" s="485"/>
      <c r="G143" s="485"/>
      <c r="H143" s="468">
        <v>100.0</v>
      </c>
      <c r="I143" s="485"/>
      <c r="J143" s="518">
        <v>100.0</v>
      </c>
      <c r="K143" s="471"/>
    </row>
    <row r="144" ht="19.5" customHeight="1">
      <c r="A144" s="463">
        <v>4.0</v>
      </c>
      <c r="B144" s="464" t="s">
        <v>265</v>
      </c>
      <c r="C144" s="465" t="s">
        <v>106</v>
      </c>
      <c r="D144" s="533">
        <v>4.0</v>
      </c>
      <c r="E144" s="467">
        <v>1.0</v>
      </c>
      <c r="F144" s="485"/>
      <c r="G144" s="485"/>
      <c r="H144" s="468">
        <v>4.0</v>
      </c>
      <c r="I144" s="485"/>
      <c r="J144" s="518">
        <v>4.0</v>
      </c>
      <c r="K144" s="471"/>
    </row>
    <row r="145" ht="19.5" customHeight="1">
      <c r="A145" s="463">
        <v>5.0</v>
      </c>
      <c r="B145" s="464" t="s">
        <v>266</v>
      </c>
      <c r="C145" s="465" t="s">
        <v>106</v>
      </c>
      <c r="D145" s="533">
        <v>8.0</v>
      </c>
      <c r="E145" s="467">
        <v>1.0</v>
      </c>
      <c r="F145" s="485"/>
      <c r="G145" s="485"/>
      <c r="H145" s="468">
        <v>8.0</v>
      </c>
      <c r="I145" s="485"/>
      <c r="J145" s="518">
        <v>8.0</v>
      </c>
      <c r="K145" s="471"/>
    </row>
    <row r="146" ht="19.5" customHeight="1">
      <c r="A146" s="463">
        <v>6.0</v>
      </c>
      <c r="B146" s="464" t="s">
        <v>267</v>
      </c>
      <c r="C146" s="465" t="s">
        <v>106</v>
      </c>
      <c r="D146" s="533">
        <v>8.0</v>
      </c>
      <c r="E146" s="467">
        <v>1.0</v>
      </c>
      <c r="F146" s="485"/>
      <c r="G146" s="485"/>
      <c r="H146" s="468">
        <v>8.0</v>
      </c>
      <c r="I146" s="485"/>
      <c r="J146" s="518">
        <v>8.0</v>
      </c>
      <c r="K146" s="471"/>
    </row>
    <row r="147" ht="19.5" customHeight="1">
      <c r="A147" s="463">
        <v>7.0</v>
      </c>
      <c r="B147" s="464" t="s">
        <v>268</v>
      </c>
      <c r="C147" s="465" t="s">
        <v>106</v>
      </c>
      <c r="D147" s="533">
        <v>8.0</v>
      </c>
      <c r="E147" s="467">
        <v>1.0</v>
      </c>
      <c r="F147" s="485"/>
      <c r="G147" s="485"/>
      <c r="H147" s="468">
        <v>8.0</v>
      </c>
      <c r="I147" s="485"/>
      <c r="J147" s="539">
        <v>8.0</v>
      </c>
      <c r="K147" s="471"/>
    </row>
    <row r="148" ht="19.5" customHeight="1">
      <c r="A148" s="463">
        <v>8.0</v>
      </c>
      <c r="B148" s="464" t="s">
        <v>269</v>
      </c>
      <c r="C148" s="465" t="s">
        <v>106</v>
      </c>
      <c r="D148" s="533">
        <v>8.0</v>
      </c>
      <c r="E148" s="467">
        <v>1.0</v>
      </c>
      <c r="F148" s="485"/>
      <c r="G148" s="485"/>
      <c r="H148" s="468">
        <v>8.0</v>
      </c>
      <c r="I148" s="485"/>
      <c r="J148" s="518">
        <v>8.0</v>
      </c>
      <c r="K148" s="471"/>
    </row>
    <row r="149" ht="19.5" customHeight="1">
      <c r="A149" s="463">
        <v>9.0</v>
      </c>
      <c r="B149" s="464" t="s">
        <v>270</v>
      </c>
      <c r="C149" s="465" t="s">
        <v>106</v>
      </c>
      <c r="D149" s="533">
        <v>8.0</v>
      </c>
      <c r="E149" s="467">
        <v>1.0</v>
      </c>
      <c r="F149" s="485"/>
      <c r="G149" s="485"/>
      <c r="H149" s="468">
        <v>8.0</v>
      </c>
      <c r="I149" s="485"/>
      <c r="J149" s="518">
        <v>8.0</v>
      </c>
      <c r="K149" s="471"/>
    </row>
    <row r="150" ht="19.5" customHeight="1">
      <c r="A150" s="463">
        <v>10.0</v>
      </c>
      <c r="B150" s="464" t="s">
        <v>271</v>
      </c>
      <c r="C150" s="465" t="s">
        <v>106</v>
      </c>
      <c r="D150" s="533">
        <v>8.0</v>
      </c>
      <c r="E150" s="467">
        <v>1.0</v>
      </c>
      <c r="F150" s="485"/>
      <c r="G150" s="485"/>
      <c r="H150" s="468">
        <v>8.0</v>
      </c>
      <c r="I150" s="485"/>
      <c r="J150" s="518">
        <v>8.0</v>
      </c>
      <c r="K150" s="471"/>
    </row>
    <row r="151" ht="19.5" customHeight="1">
      <c r="A151" s="463">
        <v>11.0</v>
      </c>
      <c r="B151" s="464" t="s">
        <v>272</v>
      </c>
      <c r="C151" s="465" t="s">
        <v>106</v>
      </c>
      <c r="D151" s="533">
        <v>8.0</v>
      </c>
      <c r="E151" s="467">
        <v>1.0</v>
      </c>
      <c r="F151" s="485"/>
      <c r="G151" s="485"/>
      <c r="H151" s="468">
        <v>8.0</v>
      </c>
      <c r="I151" s="485"/>
      <c r="J151" s="539">
        <v>8.0</v>
      </c>
      <c r="K151" s="471"/>
    </row>
    <row r="152" ht="19.5" customHeight="1">
      <c r="A152" s="463">
        <v>12.0</v>
      </c>
      <c r="B152" s="464" t="s">
        <v>273</v>
      </c>
      <c r="C152" s="465" t="s">
        <v>106</v>
      </c>
      <c r="D152" s="533">
        <v>4.0</v>
      </c>
      <c r="E152" s="467">
        <v>1.0</v>
      </c>
      <c r="F152" s="485"/>
      <c r="G152" s="485"/>
      <c r="H152" s="468">
        <v>4.0</v>
      </c>
      <c r="I152" s="485"/>
      <c r="J152" s="539">
        <v>4.0</v>
      </c>
      <c r="K152" s="471"/>
    </row>
    <row r="153" ht="19.5" customHeight="1">
      <c r="A153" s="463">
        <v>13.0</v>
      </c>
      <c r="B153" s="464" t="s">
        <v>274</v>
      </c>
      <c r="C153" s="465" t="s">
        <v>106</v>
      </c>
      <c r="D153" s="533">
        <v>4.0</v>
      </c>
      <c r="E153" s="467">
        <v>1.0</v>
      </c>
      <c r="F153" s="485"/>
      <c r="G153" s="485"/>
      <c r="H153" s="468">
        <v>4.0</v>
      </c>
      <c r="I153" s="485"/>
      <c r="J153" s="518">
        <v>4.0</v>
      </c>
      <c r="K153" s="471"/>
    </row>
    <row r="154" ht="19.5" customHeight="1">
      <c r="A154" s="463">
        <v>14.0</v>
      </c>
      <c r="B154" s="464" t="s">
        <v>275</v>
      </c>
      <c r="C154" s="465" t="s">
        <v>106</v>
      </c>
      <c r="D154" s="533">
        <v>4.0</v>
      </c>
      <c r="E154" s="467">
        <v>1.0</v>
      </c>
      <c r="F154" s="485"/>
      <c r="G154" s="485"/>
      <c r="H154" s="468">
        <v>4.0</v>
      </c>
      <c r="I154" s="485"/>
      <c r="J154" s="518">
        <v>4.0</v>
      </c>
      <c r="K154" s="471"/>
    </row>
    <row r="155" ht="19.5" customHeight="1">
      <c r="A155" s="463">
        <v>15.0</v>
      </c>
      <c r="B155" s="464" t="s">
        <v>276</v>
      </c>
      <c r="C155" s="465" t="s">
        <v>106</v>
      </c>
      <c r="D155" s="533">
        <v>4.0</v>
      </c>
      <c r="E155" s="467">
        <v>1.0</v>
      </c>
      <c r="F155" s="485"/>
      <c r="G155" s="485"/>
      <c r="H155" s="468">
        <v>4.0</v>
      </c>
      <c r="I155" s="485"/>
      <c r="J155" s="518">
        <v>4.0</v>
      </c>
      <c r="K155" s="471"/>
    </row>
    <row r="156" ht="19.5" customHeight="1">
      <c r="A156" s="463">
        <v>16.0</v>
      </c>
      <c r="B156" s="464" t="s">
        <v>277</v>
      </c>
      <c r="C156" s="465" t="s">
        <v>106</v>
      </c>
      <c r="D156" s="533">
        <v>3.0</v>
      </c>
      <c r="E156" s="467">
        <v>1.0</v>
      </c>
      <c r="F156" s="485"/>
      <c r="G156" s="485"/>
      <c r="H156" s="468">
        <v>3.0</v>
      </c>
      <c r="I156" s="485"/>
      <c r="J156" s="518">
        <v>3.0</v>
      </c>
      <c r="K156" s="471"/>
    </row>
    <row r="157" ht="19.5" customHeight="1">
      <c r="A157" s="463">
        <v>17.0</v>
      </c>
      <c r="B157" s="464" t="s">
        <v>278</v>
      </c>
      <c r="C157" s="465" t="s">
        <v>106</v>
      </c>
      <c r="D157" s="533">
        <v>3.0</v>
      </c>
      <c r="E157" s="467">
        <v>1.0</v>
      </c>
      <c r="F157" s="485"/>
      <c r="G157" s="485"/>
      <c r="H157" s="468">
        <v>3.0</v>
      </c>
      <c r="I157" s="485"/>
      <c r="J157" s="518">
        <v>3.0</v>
      </c>
      <c r="K157" s="471"/>
    </row>
    <row r="158" ht="19.5" customHeight="1">
      <c r="A158" s="463">
        <v>18.0</v>
      </c>
      <c r="B158" s="464" t="s">
        <v>279</v>
      </c>
      <c r="C158" s="465" t="s">
        <v>106</v>
      </c>
      <c r="D158" s="533">
        <v>10.0</v>
      </c>
      <c r="E158" s="467">
        <v>1.0</v>
      </c>
      <c r="F158" s="485"/>
      <c r="G158" s="485"/>
      <c r="H158" s="468">
        <v>10.0</v>
      </c>
      <c r="I158" s="485"/>
      <c r="J158" s="518">
        <v>10.0</v>
      </c>
      <c r="K158" s="471"/>
    </row>
    <row r="159" ht="19.5" customHeight="1">
      <c r="A159" s="463">
        <v>19.0</v>
      </c>
      <c r="B159" s="464" t="s">
        <v>280</v>
      </c>
      <c r="C159" s="465" t="s">
        <v>106</v>
      </c>
      <c r="D159" s="533">
        <v>14.0</v>
      </c>
      <c r="E159" s="467">
        <v>1.0</v>
      </c>
      <c r="F159" s="485"/>
      <c r="G159" s="485"/>
      <c r="H159" s="468">
        <v>14.0</v>
      </c>
      <c r="I159" s="485"/>
      <c r="J159" s="518">
        <v>14.0</v>
      </c>
      <c r="K159" s="471"/>
    </row>
    <row r="160" ht="19.5" customHeight="1">
      <c r="A160" s="463">
        <v>20.0</v>
      </c>
      <c r="B160" s="464" t="s">
        <v>281</v>
      </c>
      <c r="C160" s="465" t="s">
        <v>106</v>
      </c>
      <c r="D160" s="533">
        <v>8.0</v>
      </c>
      <c r="E160" s="467">
        <v>1.0</v>
      </c>
      <c r="F160" s="485"/>
      <c r="G160" s="485"/>
      <c r="H160" s="468">
        <v>8.0</v>
      </c>
      <c r="I160" s="485"/>
      <c r="J160" s="518">
        <v>8.0</v>
      </c>
      <c r="K160" s="471"/>
    </row>
    <row r="161" ht="19.5" customHeight="1">
      <c r="A161" s="463">
        <v>21.0</v>
      </c>
      <c r="B161" s="464" t="s">
        <v>378</v>
      </c>
      <c r="C161" s="465" t="s">
        <v>106</v>
      </c>
      <c r="D161" s="533">
        <v>2.0</v>
      </c>
      <c r="E161" s="467">
        <v>1.0</v>
      </c>
      <c r="F161" s="485"/>
      <c r="G161" s="485"/>
      <c r="H161" s="468">
        <v>2.0</v>
      </c>
      <c r="I161" s="485"/>
      <c r="J161" s="518">
        <v>2.0</v>
      </c>
      <c r="K161" s="471"/>
    </row>
    <row r="162" ht="19.5" customHeight="1">
      <c r="A162" s="463">
        <v>22.0</v>
      </c>
      <c r="B162" s="464" t="s">
        <v>284</v>
      </c>
      <c r="C162" s="465" t="s">
        <v>106</v>
      </c>
      <c r="D162" s="533">
        <v>8.0</v>
      </c>
      <c r="E162" s="467">
        <v>1.0</v>
      </c>
      <c r="F162" s="485"/>
      <c r="G162" s="485"/>
      <c r="H162" s="468">
        <v>8.0</v>
      </c>
      <c r="I162" s="485"/>
      <c r="J162" s="518">
        <v>8.0</v>
      </c>
      <c r="K162" s="471"/>
    </row>
    <row r="163" ht="19.5" customHeight="1">
      <c r="A163" s="463">
        <v>23.0</v>
      </c>
      <c r="B163" s="464" t="s">
        <v>285</v>
      </c>
      <c r="C163" s="465" t="s">
        <v>106</v>
      </c>
      <c r="D163" s="533">
        <v>3.0</v>
      </c>
      <c r="E163" s="467">
        <v>1.0</v>
      </c>
      <c r="F163" s="485"/>
      <c r="G163" s="485"/>
      <c r="H163" s="468">
        <v>3.0</v>
      </c>
      <c r="I163" s="485"/>
      <c r="J163" s="518">
        <v>3.0</v>
      </c>
      <c r="K163" s="490"/>
    </row>
    <row r="164" ht="19.5" customHeight="1">
      <c r="A164" s="463">
        <v>24.0</v>
      </c>
      <c r="B164" s="464" t="s">
        <v>286</v>
      </c>
      <c r="C164" s="465" t="s">
        <v>106</v>
      </c>
      <c r="D164" s="533">
        <v>2.0</v>
      </c>
      <c r="E164" s="467">
        <v>1.0</v>
      </c>
      <c r="F164" s="485"/>
      <c r="G164" s="485"/>
      <c r="H164" s="468">
        <v>2.0</v>
      </c>
      <c r="I164" s="485"/>
      <c r="J164" s="518">
        <v>2.0</v>
      </c>
      <c r="K164" s="491"/>
    </row>
    <row r="165" ht="19.5" customHeight="1">
      <c r="A165" s="472" t="s">
        <v>1</v>
      </c>
      <c r="B165" s="473" t="s">
        <v>91</v>
      </c>
      <c r="C165" s="473" t="s">
        <v>92</v>
      </c>
      <c r="D165" s="474" t="s">
        <v>93</v>
      </c>
      <c r="E165" s="475" t="s">
        <v>161</v>
      </c>
      <c r="F165" s="476" t="s">
        <v>121</v>
      </c>
      <c r="G165" s="476" t="s">
        <v>99</v>
      </c>
      <c r="H165" s="476" t="s">
        <v>100</v>
      </c>
      <c r="I165" s="476" t="s">
        <v>101</v>
      </c>
      <c r="J165" s="474" t="s">
        <v>95</v>
      </c>
      <c r="K165" s="492" t="s">
        <v>96</v>
      </c>
    </row>
    <row r="166" ht="19.5" customHeight="1">
      <c r="A166" s="477">
        <v>1.0</v>
      </c>
      <c r="B166" s="478" t="s">
        <v>287</v>
      </c>
      <c r="C166" s="479" t="s">
        <v>108</v>
      </c>
      <c r="D166" s="480" t="s">
        <v>1574</v>
      </c>
      <c r="E166" s="467">
        <v>1.0</v>
      </c>
      <c r="F166" s="484"/>
      <c r="G166" s="485"/>
      <c r="H166" s="468" t="s">
        <v>1574</v>
      </c>
      <c r="I166" s="469"/>
      <c r="J166" s="482" t="s">
        <v>1574</v>
      </c>
      <c r="K166" s="483"/>
    </row>
    <row r="167" ht="19.5" customHeight="1">
      <c r="A167" s="463">
        <v>2.0</v>
      </c>
      <c r="B167" s="464" t="s">
        <v>288</v>
      </c>
      <c r="C167" s="465" t="s">
        <v>108</v>
      </c>
      <c r="D167" s="466">
        <v>100.0</v>
      </c>
      <c r="E167" s="467">
        <v>1.0</v>
      </c>
      <c r="F167" s="484"/>
      <c r="G167" s="485"/>
      <c r="H167" s="468">
        <v>100.0</v>
      </c>
      <c r="I167" s="469"/>
      <c r="J167" s="518">
        <v>100.0</v>
      </c>
      <c r="K167" s="471"/>
    </row>
    <row r="168" ht="19.5" customHeight="1">
      <c r="A168" s="463">
        <v>3.0</v>
      </c>
      <c r="B168" s="464" t="s">
        <v>289</v>
      </c>
      <c r="C168" s="465" t="s">
        <v>108</v>
      </c>
      <c r="D168" s="466">
        <v>50.0</v>
      </c>
      <c r="E168" s="467">
        <v>1.0</v>
      </c>
      <c r="F168" s="484"/>
      <c r="G168" s="485"/>
      <c r="H168" s="468">
        <v>50.0</v>
      </c>
      <c r="I168" s="469"/>
      <c r="J168" s="518">
        <v>50.0</v>
      </c>
      <c r="K168" s="471"/>
    </row>
    <row r="169" ht="19.5" customHeight="1">
      <c r="A169" s="463">
        <v>4.0</v>
      </c>
      <c r="B169" s="464" t="s">
        <v>263</v>
      </c>
      <c r="C169" s="465" t="s">
        <v>108</v>
      </c>
      <c r="D169" s="466">
        <v>100.0</v>
      </c>
      <c r="E169" s="467">
        <v>1.0</v>
      </c>
      <c r="F169" s="484"/>
      <c r="G169" s="485"/>
      <c r="H169" s="468">
        <v>100.0</v>
      </c>
      <c r="I169" s="469"/>
      <c r="J169" s="518">
        <v>100.0</v>
      </c>
      <c r="K169" s="471"/>
    </row>
    <row r="170" ht="19.5" customHeight="1">
      <c r="A170" s="463">
        <v>5.0</v>
      </c>
      <c r="B170" s="464" t="s">
        <v>264</v>
      </c>
      <c r="C170" s="465" t="s">
        <v>108</v>
      </c>
      <c r="D170" s="533">
        <v>100.0</v>
      </c>
      <c r="E170" s="467">
        <v>1.0</v>
      </c>
      <c r="F170" s="485"/>
      <c r="G170" s="485"/>
      <c r="H170" s="468">
        <v>100.0</v>
      </c>
      <c r="I170" s="485"/>
      <c r="J170" s="518">
        <v>100.0</v>
      </c>
      <c r="K170" s="471"/>
    </row>
    <row r="171" ht="19.5" customHeight="1">
      <c r="A171" s="463">
        <v>6.0</v>
      </c>
      <c r="B171" s="464" t="s">
        <v>290</v>
      </c>
      <c r="C171" s="465" t="s">
        <v>108</v>
      </c>
      <c r="D171" s="533">
        <v>24.0</v>
      </c>
      <c r="E171" s="467">
        <v>1.0</v>
      </c>
      <c r="F171" s="485"/>
      <c r="G171" s="485"/>
      <c r="H171" s="468">
        <v>24.0</v>
      </c>
      <c r="I171" s="485"/>
      <c r="J171" s="539">
        <v>24.0</v>
      </c>
      <c r="K171" s="471"/>
    </row>
    <row r="172" ht="19.5" customHeight="1">
      <c r="A172" s="463">
        <v>7.0</v>
      </c>
      <c r="B172" s="464" t="s">
        <v>291</v>
      </c>
      <c r="C172" s="465" t="s">
        <v>108</v>
      </c>
      <c r="D172" s="533">
        <v>60.0</v>
      </c>
      <c r="E172" s="467">
        <v>1.0</v>
      </c>
      <c r="F172" s="485"/>
      <c r="G172" s="485"/>
      <c r="H172" s="468">
        <v>60.0</v>
      </c>
      <c r="I172" s="485"/>
      <c r="J172" s="539">
        <v>60.0</v>
      </c>
      <c r="K172" s="471"/>
    </row>
    <row r="173" ht="19.5" customHeight="1">
      <c r="A173" s="463">
        <v>8.0</v>
      </c>
      <c r="B173" s="464" t="s">
        <v>292</v>
      </c>
      <c r="C173" s="465" t="s">
        <v>106</v>
      </c>
      <c r="D173" s="533" t="s">
        <v>1574</v>
      </c>
      <c r="E173" s="467">
        <v>1.0</v>
      </c>
      <c r="F173" s="485"/>
      <c r="G173" s="485"/>
      <c r="H173" s="468" t="s">
        <v>1574</v>
      </c>
      <c r="I173" s="485"/>
      <c r="J173" s="518" t="s">
        <v>1574</v>
      </c>
      <c r="K173" s="471"/>
    </row>
    <row r="174" ht="19.5" customHeight="1">
      <c r="A174" s="463">
        <v>9.0</v>
      </c>
      <c r="B174" s="464" t="s">
        <v>293</v>
      </c>
      <c r="C174" s="465" t="s">
        <v>106</v>
      </c>
      <c r="D174" s="533">
        <v>2.0</v>
      </c>
      <c r="E174" s="467">
        <v>1.0</v>
      </c>
      <c r="F174" s="485"/>
      <c r="G174" s="485"/>
      <c r="H174" s="468">
        <v>2.0</v>
      </c>
      <c r="I174" s="485"/>
      <c r="J174" s="518">
        <v>2.0</v>
      </c>
      <c r="K174" s="471"/>
    </row>
    <row r="175" ht="19.5" customHeight="1">
      <c r="A175" s="463">
        <v>10.0</v>
      </c>
      <c r="B175" s="464" t="s">
        <v>294</v>
      </c>
      <c r="C175" s="465" t="s">
        <v>106</v>
      </c>
      <c r="D175" s="533">
        <v>2.0</v>
      </c>
      <c r="E175" s="467">
        <v>1.0</v>
      </c>
      <c r="F175" s="485"/>
      <c r="G175" s="485"/>
      <c r="H175" s="468">
        <v>2.0</v>
      </c>
      <c r="I175" s="485"/>
      <c r="J175" s="518">
        <v>2.0</v>
      </c>
      <c r="K175" s="471"/>
    </row>
    <row r="176" ht="19.5" customHeight="1">
      <c r="A176" s="463">
        <v>11.0</v>
      </c>
      <c r="B176" s="464" t="s">
        <v>295</v>
      </c>
      <c r="C176" s="465" t="s">
        <v>106</v>
      </c>
      <c r="D176" s="533">
        <v>2.0</v>
      </c>
      <c r="E176" s="467">
        <v>1.0</v>
      </c>
      <c r="F176" s="485"/>
      <c r="G176" s="485"/>
      <c r="H176" s="468">
        <v>2.0</v>
      </c>
      <c r="I176" s="485"/>
      <c r="J176" s="539">
        <v>2.0</v>
      </c>
      <c r="K176" s="471"/>
    </row>
    <row r="177" ht="19.5" customHeight="1">
      <c r="A177" s="463">
        <v>12.0</v>
      </c>
      <c r="B177" s="464" t="s">
        <v>270</v>
      </c>
      <c r="C177" s="465" t="s">
        <v>106</v>
      </c>
      <c r="D177" s="533">
        <v>2.0</v>
      </c>
      <c r="E177" s="467">
        <v>1.0</v>
      </c>
      <c r="F177" s="485"/>
      <c r="G177" s="485"/>
      <c r="H177" s="468">
        <v>2.0</v>
      </c>
      <c r="I177" s="485"/>
      <c r="J177" s="539">
        <v>2.0</v>
      </c>
      <c r="K177" s="471"/>
    </row>
    <row r="178" ht="19.5" customHeight="1">
      <c r="A178" s="463">
        <v>13.0</v>
      </c>
      <c r="B178" s="464" t="s">
        <v>296</v>
      </c>
      <c r="C178" s="465" t="s">
        <v>106</v>
      </c>
      <c r="D178" s="533">
        <v>2.0</v>
      </c>
      <c r="E178" s="467">
        <v>2.0</v>
      </c>
      <c r="F178" s="485"/>
      <c r="G178" s="485"/>
      <c r="H178" s="468">
        <v>4.0</v>
      </c>
      <c r="I178" s="485"/>
      <c r="J178" s="539">
        <v>4.0</v>
      </c>
      <c r="K178" s="471"/>
    </row>
    <row r="179" ht="19.5" customHeight="1">
      <c r="A179" s="463">
        <v>14.0</v>
      </c>
      <c r="B179" s="464" t="s">
        <v>297</v>
      </c>
      <c r="C179" s="465" t="s">
        <v>106</v>
      </c>
      <c r="D179" s="533">
        <v>4.0</v>
      </c>
      <c r="E179" s="467">
        <v>2.0</v>
      </c>
      <c r="F179" s="485"/>
      <c r="G179" s="485"/>
      <c r="H179" s="468">
        <v>8.0</v>
      </c>
      <c r="I179" s="485"/>
      <c r="J179" s="539">
        <v>8.0</v>
      </c>
      <c r="K179" s="471"/>
    </row>
    <row r="180" ht="19.5" customHeight="1">
      <c r="A180" s="463">
        <v>15.0</v>
      </c>
      <c r="B180" s="464" t="s">
        <v>298</v>
      </c>
      <c r="C180" s="465" t="s">
        <v>106</v>
      </c>
      <c r="D180" s="533">
        <v>2.0</v>
      </c>
      <c r="E180" s="467">
        <v>1.0</v>
      </c>
      <c r="F180" s="485"/>
      <c r="G180" s="485"/>
      <c r="H180" s="468">
        <v>2.0</v>
      </c>
      <c r="I180" s="485"/>
      <c r="J180" s="518">
        <v>2.0</v>
      </c>
      <c r="K180" s="471"/>
    </row>
    <row r="181" ht="19.5" customHeight="1">
      <c r="A181" s="463">
        <v>16.0</v>
      </c>
      <c r="B181" s="464" t="s">
        <v>299</v>
      </c>
      <c r="C181" s="465" t="s">
        <v>106</v>
      </c>
      <c r="D181" s="533">
        <v>2.0</v>
      </c>
      <c r="E181" s="467">
        <v>1.0</v>
      </c>
      <c r="F181" s="485"/>
      <c r="G181" s="485"/>
      <c r="H181" s="468">
        <v>2.0</v>
      </c>
      <c r="I181" s="485"/>
      <c r="J181" s="518">
        <v>2.0</v>
      </c>
      <c r="K181" s="471"/>
    </row>
    <row r="182" ht="19.5" customHeight="1">
      <c r="A182" s="463">
        <v>17.0</v>
      </c>
      <c r="B182" s="464" t="s">
        <v>1584</v>
      </c>
      <c r="C182" s="465" t="s">
        <v>106</v>
      </c>
      <c r="D182" s="533">
        <v>2.0</v>
      </c>
      <c r="E182" s="467">
        <v>1.0</v>
      </c>
      <c r="F182" s="485"/>
      <c r="G182" s="485"/>
      <c r="H182" s="468">
        <v>2.0</v>
      </c>
      <c r="I182" s="485"/>
      <c r="J182" s="518">
        <v>2.0</v>
      </c>
      <c r="K182" s="471"/>
    </row>
    <row r="183" ht="19.5" customHeight="1">
      <c r="A183" s="463">
        <v>18.0</v>
      </c>
      <c r="B183" s="464" t="s">
        <v>301</v>
      </c>
      <c r="C183" s="465" t="s">
        <v>106</v>
      </c>
      <c r="D183" s="533">
        <v>2.0</v>
      </c>
      <c r="E183" s="467">
        <v>1.0</v>
      </c>
      <c r="F183" s="485"/>
      <c r="G183" s="485"/>
      <c r="H183" s="468">
        <v>2.0</v>
      </c>
      <c r="I183" s="485"/>
      <c r="J183" s="518">
        <v>2.0</v>
      </c>
      <c r="K183" s="471"/>
    </row>
    <row r="184" ht="19.5" customHeight="1">
      <c r="A184" s="463">
        <v>19.0</v>
      </c>
      <c r="B184" s="464" t="s">
        <v>302</v>
      </c>
      <c r="C184" s="465" t="s">
        <v>106</v>
      </c>
      <c r="D184" s="533">
        <v>2.0</v>
      </c>
      <c r="E184" s="467">
        <v>1.0</v>
      </c>
      <c r="F184" s="485"/>
      <c r="G184" s="485"/>
      <c r="H184" s="468">
        <v>2.0</v>
      </c>
      <c r="I184" s="485"/>
      <c r="J184" s="518">
        <v>2.0</v>
      </c>
      <c r="K184" s="471"/>
    </row>
    <row r="185" ht="19.5" customHeight="1">
      <c r="A185" s="463">
        <v>20.0</v>
      </c>
      <c r="B185" s="464" t="s">
        <v>303</v>
      </c>
      <c r="C185" s="465" t="s">
        <v>106</v>
      </c>
      <c r="D185" s="533">
        <v>1.0</v>
      </c>
      <c r="E185" s="467">
        <v>1.0</v>
      </c>
      <c r="F185" s="485"/>
      <c r="G185" s="485"/>
      <c r="H185" s="468">
        <v>1.0</v>
      </c>
      <c r="I185" s="485"/>
      <c r="J185" s="539">
        <v>1.0</v>
      </c>
      <c r="K185" s="471"/>
    </row>
    <row r="186" ht="19.5" customHeight="1">
      <c r="A186" s="463">
        <v>21.0</v>
      </c>
      <c r="B186" s="464" t="s">
        <v>304</v>
      </c>
      <c r="C186" s="465" t="s">
        <v>106</v>
      </c>
      <c r="D186" s="533">
        <v>4.0</v>
      </c>
      <c r="E186" s="467">
        <v>1.0</v>
      </c>
      <c r="F186" s="485"/>
      <c r="G186" s="485"/>
      <c r="H186" s="468">
        <v>4.0</v>
      </c>
      <c r="I186" s="485"/>
      <c r="J186" s="539">
        <v>4.0</v>
      </c>
      <c r="K186" s="471"/>
    </row>
    <row r="187" ht="19.5" customHeight="1">
      <c r="A187" s="463">
        <v>22.0</v>
      </c>
      <c r="B187" s="464" t="s">
        <v>305</v>
      </c>
      <c r="C187" s="465" t="s">
        <v>106</v>
      </c>
      <c r="D187" s="533" t="s">
        <v>1574</v>
      </c>
      <c r="E187" s="467">
        <v>1.0</v>
      </c>
      <c r="F187" s="485"/>
      <c r="G187" s="485"/>
      <c r="H187" s="468" t="s">
        <v>1574</v>
      </c>
      <c r="I187" s="485"/>
      <c r="J187" s="518" t="s">
        <v>1574</v>
      </c>
      <c r="K187" s="471"/>
    </row>
    <row r="188" ht="19.5" customHeight="1">
      <c r="A188" s="463">
        <v>23.0</v>
      </c>
      <c r="B188" s="464" t="s">
        <v>1585</v>
      </c>
      <c r="C188" s="465" t="s">
        <v>106</v>
      </c>
      <c r="D188" s="533">
        <v>2.0</v>
      </c>
      <c r="E188" s="467">
        <v>1.0</v>
      </c>
      <c r="F188" s="485"/>
      <c r="G188" s="485"/>
      <c r="H188" s="468">
        <v>2.0</v>
      </c>
      <c r="I188" s="485"/>
      <c r="J188" s="518">
        <v>2.0</v>
      </c>
      <c r="K188" s="471"/>
    </row>
    <row r="189" ht="19.5" customHeight="1">
      <c r="A189" s="463">
        <v>24.0</v>
      </c>
      <c r="B189" s="464" t="s">
        <v>1586</v>
      </c>
      <c r="C189" s="465" t="s">
        <v>106</v>
      </c>
      <c r="D189" s="533">
        <v>2.0</v>
      </c>
      <c r="E189" s="467">
        <v>1.0</v>
      </c>
      <c r="F189" s="485"/>
      <c r="G189" s="485"/>
      <c r="H189" s="468">
        <v>2.0</v>
      </c>
      <c r="I189" s="485"/>
      <c r="J189" s="518">
        <v>2.0</v>
      </c>
      <c r="K189" s="471"/>
    </row>
    <row r="190" ht="19.5" customHeight="1">
      <c r="A190" s="463">
        <v>25.0</v>
      </c>
      <c r="B190" s="464" t="s">
        <v>1587</v>
      </c>
      <c r="C190" s="465" t="s">
        <v>106</v>
      </c>
      <c r="D190" s="533">
        <v>2.0</v>
      </c>
      <c r="E190" s="467">
        <v>1.0</v>
      </c>
      <c r="F190" s="485"/>
      <c r="G190" s="485"/>
      <c r="H190" s="468">
        <v>2.0</v>
      </c>
      <c r="I190" s="485"/>
      <c r="J190" s="518">
        <v>2.0</v>
      </c>
      <c r="K190" s="471"/>
    </row>
    <row r="191" ht="19.5" customHeight="1">
      <c r="A191" s="463">
        <v>26.0</v>
      </c>
      <c r="B191" s="464" t="s">
        <v>1588</v>
      </c>
      <c r="C191" s="465" t="s">
        <v>106</v>
      </c>
      <c r="D191" s="533">
        <v>4.0</v>
      </c>
      <c r="E191" s="467">
        <v>1.0</v>
      </c>
      <c r="F191" s="485"/>
      <c r="G191" s="485"/>
      <c r="H191" s="468">
        <v>4.0</v>
      </c>
      <c r="I191" s="485"/>
      <c r="J191" s="518">
        <v>4.0</v>
      </c>
      <c r="K191" s="471"/>
    </row>
    <row r="192" ht="19.5" customHeight="1">
      <c r="A192" s="463">
        <v>27.0</v>
      </c>
      <c r="B192" s="464" t="s">
        <v>1589</v>
      </c>
      <c r="C192" s="465" t="s">
        <v>106</v>
      </c>
      <c r="D192" s="533">
        <v>2.0</v>
      </c>
      <c r="E192" s="467">
        <v>1.0</v>
      </c>
      <c r="F192" s="485"/>
      <c r="G192" s="485"/>
      <c r="H192" s="468">
        <v>2.0</v>
      </c>
      <c r="I192" s="485"/>
      <c r="J192" s="518">
        <v>2.0</v>
      </c>
      <c r="K192" s="471"/>
    </row>
    <row r="193" ht="19.5" customHeight="1">
      <c r="A193" s="463">
        <v>28.0</v>
      </c>
      <c r="B193" s="464" t="s">
        <v>1590</v>
      </c>
      <c r="C193" s="465" t="s">
        <v>106</v>
      </c>
      <c r="D193" s="533">
        <v>4.0</v>
      </c>
      <c r="E193" s="467">
        <v>1.0</v>
      </c>
      <c r="F193" s="485"/>
      <c r="G193" s="485"/>
      <c r="H193" s="468">
        <v>4.0</v>
      </c>
      <c r="I193" s="485"/>
      <c r="J193" s="518">
        <v>4.0</v>
      </c>
      <c r="K193" s="471"/>
    </row>
    <row r="194" ht="19.5" customHeight="1">
      <c r="A194" s="463">
        <v>29.0</v>
      </c>
      <c r="B194" s="464" t="s">
        <v>1591</v>
      </c>
      <c r="C194" s="465" t="s">
        <v>106</v>
      </c>
      <c r="D194" s="533">
        <v>11.0</v>
      </c>
      <c r="E194" s="467">
        <v>1.0</v>
      </c>
      <c r="F194" s="485"/>
      <c r="G194" s="485"/>
      <c r="H194" s="468">
        <v>11.0</v>
      </c>
      <c r="I194" s="485"/>
      <c r="J194" s="518">
        <v>11.0</v>
      </c>
      <c r="K194" s="471"/>
    </row>
    <row r="195" ht="19.5" customHeight="1">
      <c r="A195" s="463">
        <v>30.0</v>
      </c>
      <c r="B195" s="464" t="s">
        <v>313</v>
      </c>
      <c r="C195" s="465" t="s">
        <v>106</v>
      </c>
      <c r="D195" s="533">
        <v>20.0</v>
      </c>
      <c r="E195" s="467">
        <v>1.0</v>
      </c>
      <c r="F195" s="485"/>
      <c r="G195" s="485"/>
      <c r="H195" s="468">
        <v>20.0</v>
      </c>
      <c r="I195" s="485"/>
      <c r="J195" s="518">
        <v>20.0</v>
      </c>
      <c r="K195" s="471"/>
    </row>
    <row r="196" ht="19.5" customHeight="1">
      <c r="A196" s="463">
        <v>31.0</v>
      </c>
      <c r="B196" s="464" t="s">
        <v>314</v>
      </c>
      <c r="C196" s="465" t="s">
        <v>106</v>
      </c>
      <c r="D196" s="533">
        <v>2.0</v>
      </c>
      <c r="E196" s="467">
        <v>1.0</v>
      </c>
      <c r="F196" s="485"/>
      <c r="G196" s="485"/>
      <c r="H196" s="468">
        <v>2.0</v>
      </c>
      <c r="I196" s="485"/>
      <c r="J196" s="539">
        <v>2.0</v>
      </c>
      <c r="K196" s="471"/>
    </row>
    <row r="197" ht="19.5" customHeight="1">
      <c r="A197" s="463">
        <v>32.0</v>
      </c>
      <c r="B197" s="464" t="s">
        <v>315</v>
      </c>
      <c r="C197" s="465" t="s">
        <v>106</v>
      </c>
      <c r="D197" s="533">
        <v>4.0</v>
      </c>
      <c r="E197" s="467">
        <v>1.0</v>
      </c>
      <c r="F197" s="485"/>
      <c r="G197" s="485"/>
      <c r="H197" s="468">
        <v>4.0</v>
      </c>
      <c r="I197" s="485"/>
      <c r="J197" s="518">
        <v>4.0</v>
      </c>
      <c r="K197" s="471"/>
    </row>
    <row r="198" ht="19.5" customHeight="1">
      <c r="A198" s="463">
        <v>33.0</v>
      </c>
      <c r="B198" s="464" t="s">
        <v>316</v>
      </c>
      <c r="C198" s="465" t="s">
        <v>106</v>
      </c>
      <c r="D198" s="540"/>
      <c r="E198" s="467">
        <v>1.0</v>
      </c>
      <c r="F198" s="485"/>
      <c r="G198" s="485"/>
      <c r="H198" s="468" t="s">
        <v>1574</v>
      </c>
      <c r="I198" s="485"/>
      <c r="J198" s="518" t="s">
        <v>1574</v>
      </c>
      <c r="K198" s="471"/>
    </row>
    <row r="199" ht="19.5" customHeight="1">
      <c r="A199" s="463">
        <v>34.0</v>
      </c>
      <c r="B199" s="464" t="s">
        <v>317</v>
      </c>
      <c r="C199" s="465" t="s">
        <v>106</v>
      </c>
      <c r="D199" s="533">
        <v>3.0</v>
      </c>
      <c r="E199" s="467">
        <v>1.0</v>
      </c>
      <c r="F199" s="485"/>
      <c r="G199" s="485"/>
      <c r="H199" s="468">
        <v>3.0</v>
      </c>
      <c r="I199" s="485"/>
      <c r="J199" s="539">
        <v>3.0</v>
      </c>
      <c r="K199" s="471"/>
    </row>
    <row r="200" ht="19.5" customHeight="1">
      <c r="A200" s="463">
        <v>35.0</v>
      </c>
      <c r="B200" s="487" t="s">
        <v>1592</v>
      </c>
      <c r="C200" s="465" t="s">
        <v>106</v>
      </c>
      <c r="D200" s="533">
        <v>1.0</v>
      </c>
      <c r="E200" s="467">
        <v>1.0</v>
      </c>
      <c r="F200" s="485"/>
      <c r="G200" s="485"/>
      <c r="H200" s="468">
        <v>1.0</v>
      </c>
      <c r="I200" s="485"/>
      <c r="J200" s="518">
        <v>1.0</v>
      </c>
      <c r="K200" s="471"/>
    </row>
    <row r="201" ht="19.5" customHeight="1">
      <c r="A201" s="463">
        <v>36.0</v>
      </c>
      <c r="B201" s="464" t="s">
        <v>319</v>
      </c>
      <c r="C201" s="465" t="s">
        <v>106</v>
      </c>
      <c r="D201" s="533">
        <v>25.0</v>
      </c>
      <c r="E201" s="467">
        <v>1.0</v>
      </c>
      <c r="F201" s="485"/>
      <c r="G201" s="485"/>
      <c r="H201" s="468">
        <v>25.0</v>
      </c>
      <c r="I201" s="485"/>
      <c r="J201" s="539">
        <v>25.0</v>
      </c>
      <c r="K201" s="471"/>
    </row>
    <row r="202" ht="19.5" customHeight="1">
      <c r="A202" s="463">
        <v>37.0</v>
      </c>
      <c r="B202" s="464" t="s">
        <v>320</v>
      </c>
      <c r="C202" s="465" t="s">
        <v>106</v>
      </c>
      <c r="D202" s="533">
        <v>8.0</v>
      </c>
      <c r="E202" s="467">
        <v>1.0</v>
      </c>
      <c r="F202" s="485"/>
      <c r="G202" s="485"/>
      <c r="H202" s="468">
        <v>8.0</v>
      </c>
      <c r="I202" s="485"/>
      <c r="J202" s="518">
        <v>8.0</v>
      </c>
      <c r="K202" s="471"/>
    </row>
    <row r="203" ht="19.5" customHeight="1">
      <c r="A203" s="463">
        <v>38.0</v>
      </c>
      <c r="B203" s="464" t="s">
        <v>1593</v>
      </c>
      <c r="C203" s="465" t="s">
        <v>106</v>
      </c>
      <c r="D203" s="533">
        <v>8.0</v>
      </c>
      <c r="E203" s="467">
        <v>1.0</v>
      </c>
      <c r="F203" s="485"/>
      <c r="G203" s="485"/>
      <c r="H203" s="468">
        <v>8.0</v>
      </c>
      <c r="I203" s="485"/>
      <c r="J203" s="518">
        <v>8.0</v>
      </c>
      <c r="K203" s="471"/>
    </row>
    <row r="204" ht="19.5" customHeight="1">
      <c r="A204" s="463">
        <v>39.0</v>
      </c>
      <c r="B204" s="464" t="s">
        <v>322</v>
      </c>
      <c r="C204" s="465" t="s">
        <v>106</v>
      </c>
      <c r="D204" s="540"/>
      <c r="E204" s="467">
        <v>1.0</v>
      </c>
      <c r="F204" s="485"/>
      <c r="G204" s="485"/>
      <c r="H204" s="468" t="s">
        <v>1574</v>
      </c>
      <c r="I204" s="485"/>
      <c r="J204" s="518" t="s">
        <v>1574</v>
      </c>
      <c r="K204" s="471"/>
    </row>
    <row r="205" ht="19.5" customHeight="1">
      <c r="A205" s="463">
        <v>40.0</v>
      </c>
      <c r="B205" s="464" t="s">
        <v>323</v>
      </c>
      <c r="C205" s="465" t="s">
        <v>108</v>
      </c>
      <c r="D205" s="533">
        <v>100.0</v>
      </c>
      <c r="E205" s="467">
        <v>1.0</v>
      </c>
      <c r="F205" s="485"/>
      <c r="G205" s="485"/>
      <c r="H205" s="468">
        <v>100.0</v>
      </c>
      <c r="I205" s="485"/>
      <c r="J205" s="518">
        <v>100.0</v>
      </c>
      <c r="K205" s="471"/>
    </row>
    <row r="206" ht="19.5" customHeight="1">
      <c r="A206" s="463">
        <v>41.0</v>
      </c>
      <c r="B206" s="464" t="s">
        <v>324</v>
      </c>
      <c r="C206" s="465" t="s">
        <v>325</v>
      </c>
      <c r="D206" s="533">
        <v>10.0</v>
      </c>
      <c r="E206" s="467">
        <v>1.0</v>
      </c>
      <c r="F206" s="485"/>
      <c r="G206" s="485"/>
      <c r="H206" s="468">
        <v>10.0</v>
      </c>
      <c r="I206" s="485"/>
      <c r="J206" s="518">
        <v>10.0</v>
      </c>
      <c r="K206" s="471"/>
    </row>
    <row r="207" ht="19.5" customHeight="1">
      <c r="A207" s="534"/>
      <c r="B207" s="535"/>
      <c r="C207" s="534"/>
      <c r="D207" s="536"/>
      <c r="E207" s="535"/>
      <c r="F207" s="519"/>
      <c r="G207" s="519"/>
      <c r="H207" s="519"/>
      <c r="I207" s="519"/>
      <c r="J207" s="519"/>
      <c r="K207" s="534"/>
    </row>
    <row r="208" ht="19.5" customHeight="1">
      <c r="A208" s="531" t="s">
        <v>1</v>
      </c>
      <c r="B208" s="492" t="s">
        <v>91</v>
      </c>
      <c r="C208" s="492" t="s">
        <v>92</v>
      </c>
      <c r="D208" s="509" t="s">
        <v>93</v>
      </c>
      <c r="E208" s="537" t="s">
        <v>161</v>
      </c>
      <c r="F208" s="538" t="s">
        <v>121</v>
      </c>
      <c r="G208" s="538" t="s">
        <v>99</v>
      </c>
      <c r="H208" s="538" t="s">
        <v>100</v>
      </c>
      <c r="I208" s="538" t="s">
        <v>101</v>
      </c>
      <c r="J208" s="509" t="s">
        <v>95</v>
      </c>
      <c r="K208" s="492" t="s">
        <v>96</v>
      </c>
    </row>
    <row r="209" ht="19.5" customHeight="1">
      <c r="A209" s="477">
        <v>1.0</v>
      </c>
      <c r="B209" s="478" t="s">
        <v>326</v>
      </c>
      <c r="C209" s="479" t="s">
        <v>106</v>
      </c>
      <c r="D209" s="480">
        <v>5.0</v>
      </c>
      <c r="E209" s="467">
        <v>1.0</v>
      </c>
      <c r="F209" s="484"/>
      <c r="G209" s="485"/>
      <c r="H209" s="468">
        <v>5.0</v>
      </c>
      <c r="I209" s="469"/>
      <c r="J209" s="486">
        <v>5.0</v>
      </c>
      <c r="K209" s="483"/>
    </row>
    <row r="210" ht="19.5" customHeight="1">
      <c r="A210" s="463">
        <v>2.0</v>
      </c>
      <c r="B210" s="464" t="s">
        <v>327</v>
      </c>
      <c r="C210" s="465" t="s">
        <v>106</v>
      </c>
      <c r="D210" s="533">
        <v>5.0</v>
      </c>
      <c r="E210" s="467">
        <v>1.0</v>
      </c>
      <c r="F210" s="485"/>
      <c r="G210" s="485"/>
      <c r="H210" s="468">
        <v>5.0</v>
      </c>
      <c r="I210" s="485"/>
      <c r="J210" s="470">
        <v>5.0</v>
      </c>
      <c r="K210" s="471"/>
    </row>
    <row r="211" ht="19.5" customHeight="1">
      <c r="A211" s="463">
        <v>3.0</v>
      </c>
      <c r="B211" s="464" t="s">
        <v>379</v>
      </c>
      <c r="C211" s="465" t="s">
        <v>106</v>
      </c>
      <c r="D211" s="533">
        <v>5.0</v>
      </c>
      <c r="E211" s="467">
        <v>1.0</v>
      </c>
      <c r="F211" s="485"/>
      <c r="G211" s="485"/>
      <c r="H211" s="468">
        <v>5.0</v>
      </c>
      <c r="I211" s="485"/>
      <c r="J211" s="470">
        <v>5.0</v>
      </c>
      <c r="K211" s="471"/>
    </row>
    <row r="212" ht="19.5" customHeight="1">
      <c r="A212" s="463">
        <v>4.0</v>
      </c>
      <c r="B212" s="464" t="s">
        <v>330</v>
      </c>
      <c r="C212" s="465" t="s">
        <v>103</v>
      </c>
      <c r="D212" s="533">
        <v>8.0</v>
      </c>
      <c r="E212" s="467">
        <v>1.0</v>
      </c>
      <c r="F212" s="485"/>
      <c r="G212" s="485"/>
      <c r="H212" s="468">
        <v>8.0</v>
      </c>
      <c r="I212" s="485"/>
      <c r="J212" s="470">
        <v>8.0</v>
      </c>
      <c r="K212" s="471"/>
    </row>
    <row r="213" ht="19.5" customHeight="1">
      <c r="A213" s="12"/>
      <c r="C213" s="12"/>
      <c r="D213" s="87"/>
      <c r="F213" s="14"/>
      <c r="G213" s="14"/>
      <c r="H213" s="14"/>
      <c r="I213" s="14"/>
      <c r="J213" s="14"/>
      <c r="K213" s="12"/>
    </row>
    <row r="214" ht="19.5" customHeight="1">
      <c r="A214" s="12"/>
      <c r="C214" s="12"/>
      <c r="D214" s="87"/>
      <c r="F214" s="14"/>
      <c r="G214" s="14"/>
      <c r="H214" s="14"/>
      <c r="I214" s="14"/>
      <c r="J214" s="14"/>
      <c r="K214" s="12"/>
    </row>
    <row r="215" ht="19.5" customHeight="1">
      <c r="A215" s="12"/>
      <c r="C215" s="12"/>
      <c r="D215" s="87"/>
      <c r="F215" s="14"/>
      <c r="G215" s="14"/>
      <c r="H215" s="14"/>
      <c r="I215" s="14"/>
      <c r="J215" s="14"/>
      <c r="K215" s="12"/>
    </row>
    <row r="216" ht="19.5" customHeight="1">
      <c r="A216" s="12"/>
      <c r="C216" s="12"/>
      <c r="D216" s="87"/>
      <c r="F216" s="14"/>
      <c r="G216" s="14"/>
      <c r="H216" s="14"/>
      <c r="I216" s="14"/>
      <c r="J216" s="14"/>
      <c r="K216" s="12"/>
    </row>
    <row r="217" ht="19.5" customHeight="1">
      <c r="A217" s="12"/>
      <c r="C217" s="12"/>
      <c r="D217" s="87"/>
      <c r="F217" s="14"/>
      <c r="G217" s="14"/>
      <c r="H217" s="14"/>
      <c r="I217" s="14"/>
      <c r="J217" s="14"/>
      <c r="K217" s="12"/>
    </row>
    <row r="218" ht="19.5" customHeight="1">
      <c r="A218" s="12"/>
      <c r="C218" s="12"/>
      <c r="D218" s="87"/>
      <c r="F218" s="14"/>
      <c r="G218" s="14"/>
      <c r="H218" s="14"/>
      <c r="I218" s="14"/>
      <c r="J218" s="14"/>
      <c r="K218" s="12"/>
    </row>
    <row r="219" ht="19.5" customHeight="1">
      <c r="A219" s="12"/>
      <c r="C219" s="12"/>
      <c r="D219" s="87"/>
      <c r="F219" s="14"/>
      <c r="G219" s="14"/>
      <c r="H219" s="14"/>
      <c r="I219" s="14"/>
      <c r="J219" s="14"/>
      <c r="K219" s="12"/>
    </row>
    <row r="220" ht="19.5" customHeight="1">
      <c r="A220" s="12"/>
      <c r="C220" s="12"/>
      <c r="D220" s="87"/>
      <c r="F220" s="14"/>
      <c r="G220" s="14"/>
      <c r="H220" s="14"/>
      <c r="I220" s="14"/>
      <c r="J220" s="14"/>
      <c r="K220" s="12"/>
    </row>
    <row r="221" ht="19.5" customHeight="1">
      <c r="A221" s="12"/>
      <c r="C221" s="12"/>
      <c r="D221" s="87"/>
      <c r="F221" s="14"/>
      <c r="G221" s="14"/>
      <c r="H221" s="14"/>
      <c r="I221" s="14"/>
      <c r="J221" s="14"/>
      <c r="K221" s="12"/>
    </row>
    <row r="222" ht="19.5" customHeight="1">
      <c r="A222" s="12"/>
      <c r="C222" s="12"/>
      <c r="D222" s="87"/>
      <c r="F222" s="14"/>
      <c r="G222" s="14"/>
      <c r="H222" s="14"/>
      <c r="I222" s="14"/>
      <c r="J222" s="14"/>
      <c r="K222" s="12"/>
    </row>
    <row r="223" ht="19.5" customHeight="1">
      <c r="A223" s="12"/>
      <c r="C223" s="12"/>
      <c r="D223" s="87"/>
      <c r="F223" s="14"/>
      <c r="G223" s="14"/>
      <c r="H223" s="14"/>
      <c r="I223" s="14"/>
      <c r="J223" s="14"/>
      <c r="K223" s="12"/>
    </row>
    <row r="224" ht="19.5" customHeight="1">
      <c r="A224" s="12"/>
      <c r="C224" s="12"/>
      <c r="D224" s="87"/>
      <c r="F224" s="14"/>
      <c r="G224" s="14"/>
      <c r="H224" s="14"/>
      <c r="I224" s="14"/>
      <c r="J224" s="14"/>
      <c r="K224" s="12"/>
    </row>
    <row r="225" ht="19.5" customHeight="1">
      <c r="A225" s="12"/>
      <c r="C225" s="12"/>
      <c r="D225" s="87"/>
      <c r="F225" s="14"/>
      <c r="G225" s="14"/>
      <c r="H225" s="14"/>
      <c r="I225" s="14"/>
      <c r="J225" s="14"/>
      <c r="K225" s="12"/>
    </row>
    <row r="226" ht="19.5" customHeight="1">
      <c r="A226" s="12"/>
      <c r="C226" s="12"/>
      <c r="D226" s="87"/>
      <c r="F226" s="14"/>
      <c r="G226" s="14"/>
      <c r="H226" s="14"/>
      <c r="I226" s="14"/>
      <c r="J226" s="14"/>
      <c r="K226" s="12"/>
    </row>
    <row r="227" ht="19.5" customHeight="1">
      <c r="A227" s="12"/>
      <c r="C227" s="12"/>
      <c r="D227" s="87"/>
      <c r="F227" s="14"/>
      <c r="G227" s="14"/>
      <c r="H227" s="14"/>
      <c r="I227" s="14"/>
      <c r="J227" s="14"/>
      <c r="K227" s="12"/>
    </row>
    <row r="228" ht="19.5" customHeight="1">
      <c r="A228" s="12"/>
      <c r="C228" s="12"/>
      <c r="D228" s="87"/>
      <c r="F228" s="14"/>
      <c r="G228" s="14"/>
      <c r="H228" s="14"/>
      <c r="I228" s="14"/>
      <c r="J228" s="14"/>
      <c r="K228" s="12"/>
    </row>
    <row r="229" ht="19.5" customHeight="1">
      <c r="A229" s="12"/>
      <c r="C229" s="12"/>
      <c r="D229" s="87"/>
      <c r="F229" s="14"/>
      <c r="G229" s="14"/>
      <c r="H229" s="14"/>
      <c r="I229" s="14"/>
      <c r="J229" s="14"/>
      <c r="K229" s="12"/>
    </row>
    <row r="230" ht="19.5" customHeight="1">
      <c r="A230" s="12"/>
      <c r="C230" s="12"/>
      <c r="D230" s="87"/>
      <c r="F230" s="14"/>
      <c r="G230" s="14"/>
      <c r="H230" s="14"/>
      <c r="I230" s="14"/>
      <c r="J230" s="14"/>
      <c r="K230" s="12"/>
    </row>
    <row r="231" ht="19.5" customHeight="1">
      <c r="A231" s="12"/>
      <c r="C231" s="12"/>
      <c r="D231" s="87"/>
      <c r="F231" s="14"/>
      <c r="G231" s="14"/>
      <c r="H231" s="14"/>
      <c r="I231" s="14"/>
      <c r="J231" s="14"/>
      <c r="K231" s="12"/>
    </row>
    <row r="232" ht="19.5" customHeight="1">
      <c r="A232" s="12"/>
      <c r="C232" s="12"/>
      <c r="D232" s="87"/>
      <c r="F232" s="14"/>
      <c r="G232" s="14"/>
      <c r="H232" s="14"/>
      <c r="I232" s="14"/>
      <c r="J232" s="14"/>
      <c r="K232" s="12"/>
    </row>
    <row r="233" ht="19.5" customHeight="1">
      <c r="A233" s="12"/>
      <c r="C233" s="12"/>
      <c r="D233" s="87"/>
      <c r="F233" s="14"/>
      <c r="G233" s="14"/>
      <c r="H233" s="14"/>
      <c r="I233" s="14"/>
      <c r="J233" s="14"/>
      <c r="K233" s="12"/>
    </row>
    <row r="234" ht="19.5" customHeight="1">
      <c r="A234" s="12"/>
      <c r="C234" s="12"/>
      <c r="D234" s="87"/>
      <c r="F234" s="14"/>
      <c r="G234" s="14"/>
      <c r="H234" s="14"/>
      <c r="I234" s="14"/>
      <c r="J234" s="14"/>
      <c r="K234" s="12"/>
    </row>
    <row r="235" ht="19.5" customHeight="1">
      <c r="A235" s="12"/>
      <c r="C235" s="12"/>
      <c r="D235" s="87"/>
      <c r="F235" s="14"/>
      <c r="G235" s="14"/>
      <c r="H235" s="14"/>
      <c r="I235" s="14"/>
      <c r="J235" s="14"/>
      <c r="K235" s="12"/>
    </row>
    <row r="236" ht="19.5" customHeight="1">
      <c r="A236" s="12"/>
      <c r="C236" s="12"/>
      <c r="D236" s="87"/>
      <c r="F236" s="14"/>
      <c r="G236" s="14"/>
      <c r="H236" s="14"/>
      <c r="I236" s="14"/>
      <c r="J236" s="14"/>
      <c r="K236" s="12"/>
    </row>
    <row r="237" ht="19.5" customHeight="1">
      <c r="A237" s="12"/>
      <c r="C237" s="12"/>
      <c r="D237" s="87"/>
      <c r="F237" s="14"/>
      <c r="G237" s="14"/>
      <c r="H237" s="14"/>
      <c r="I237" s="14"/>
      <c r="J237" s="14"/>
      <c r="K237" s="12"/>
    </row>
    <row r="238" ht="19.5" customHeight="1">
      <c r="A238" s="12"/>
      <c r="C238" s="12"/>
      <c r="D238" s="87"/>
      <c r="F238" s="14"/>
      <c r="G238" s="14"/>
      <c r="H238" s="14"/>
      <c r="I238" s="14"/>
      <c r="J238" s="14"/>
      <c r="K238" s="12"/>
    </row>
    <row r="239" ht="19.5" customHeight="1">
      <c r="A239" s="12"/>
      <c r="C239" s="12"/>
      <c r="D239" s="87"/>
      <c r="F239" s="14"/>
      <c r="G239" s="14"/>
      <c r="H239" s="14"/>
      <c r="I239" s="14"/>
      <c r="J239" s="14"/>
      <c r="K239" s="12"/>
    </row>
    <row r="240" ht="19.5" customHeight="1">
      <c r="A240" s="12"/>
      <c r="C240" s="12"/>
      <c r="D240" s="87"/>
      <c r="F240" s="14"/>
      <c r="G240" s="14"/>
      <c r="H240" s="14"/>
      <c r="I240" s="14"/>
      <c r="J240" s="14"/>
      <c r="K240" s="12"/>
    </row>
    <row r="241" ht="19.5" customHeight="1">
      <c r="A241" s="12"/>
      <c r="C241" s="12"/>
      <c r="D241" s="87"/>
      <c r="F241" s="14"/>
      <c r="G241" s="14"/>
      <c r="H241" s="14"/>
      <c r="I241" s="14"/>
      <c r="J241" s="14"/>
      <c r="K241" s="12"/>
    </row>
    <row r="242" ht="19.5" customHeight="1">
      <c r="A242" s="12"/>
      <c r="C242" s="12"/>
      <c r="D242" s="87"/>
      <c r="F242" s="14"/>
      <c r="G242" s="14"/>
      <c r="H242" s="14"/>
      <c r="I242" s="14"/>
      <c r="J242" s="14"/>
      <c r="K242" s="12"/>
    </row>
    <row r="243" ht="19.5" customHeight="1">
      <c r="A243" s="12"/>
      <c r="C243" s="12"/>
      <c r="D243" s="87"/>
      <c r="F243" s="14"/>
      <c r="G243" s="14"/>
      <c r="H243" s="14"/>
      <c r="I243" s="14"/>
      <c r="J243" s="14"/>
      <c r="K243" s="12"/>
    </row>
    <row r="244" ht="19.5" customHeight="1">
      <c r="A244" s="12"/>
      <c r="C244" s="12"/>
      <c r="D244" s="87"/>
      <c r="F244" s="14"/>
      <c r="G244" s="14"/>
      <c r="H244" s="14"/>
      <c r="I244" s="14"/>
      <c r="J244" s="14"/>
      <c r="K244" s="12"/>
    </row>
    <row r="245" ht="19.5" customHeight="1">
      <c r="A245" s="12"/>
      <c r="C245" s="12"/>
      <c r="D245" s="87"/>
      <c r="F245" s="14"/>
      <c r="G245" s="14"/>
      <c r="H245" s="14"/>
      <c r="I245" s="14"/>
      <c r="J245" s="14"/>
      <c r="K245" s="12"/>
    </row>
    <row r="246" ht="19.5" customHeight="1">
      <c r="A246" s="12"/>
      <c r="C246" s="12"/>
      <c r="D246" s="87"/>
      <c r="F246" s="14"/>
      <c r="G246" s="14"/>
      <c r="H246" s="14"/>
      <c r="I246" s="14"/>
      <c r="J246" s="14"/>
      <c r="K246" s="12"/>
    </row>
    <row r="247" ht="19.5" customHeight="1">
      <c r="A247" s="12"/>
      <c r="C247" s="12"/>
      <c r="D247" s="87"/>
      <c r="F247" s="14"/>
      <c r="G247" s="14"/>
      <c r="H247" s="14"/>
      <c r="I247" s="14"/>
      <c r="J247" s="14"/>
      <c r="K247" s="12"/>
    </row>
    <row r="248" ht="19.5" customHeight="1">
      <c r="A248" s="12"/>
      <c r="C248" s="12"/>
      <c r="D248" s="87"/>
      <c r="F248" s="14"/>
      <c r="G248" s="14"/>
      <c r="H248" s="14"/>
      <c r="I248" s="14"/>
      <c r="J248" s="14"/>
      <c r="K248" s="12"/>
    </row>
    <row r="249" ht="19.5" customHeight="1">
      <c r="A249" s="12"/>
      <c r="C249" s="12"/>
      <c r="D249" s="87"/>
      <c r="F249" s="14"/>
      <c r="G249" s="14"/>
      <c r="H249" s="14"/>
      <c r="I249" s="14"/>
      <c r="J249" s="14"/>
      <c r="K249" s="12"/>
    </row>
    <row r="250" ht="19.5" customHeight="1">
      <c r="A250" s="12"/>
      <c r="C250" s="12"/>
      <c r="D250" s="87"/>
      <c r="F250" s="14"/>
      <c r="G250" s="14"/>
      <c r="H250" s="14"/>
      <c r="I250" s="14"/>
      <c r="J250" s="14"/>
      <c r="K250" s="12"/>
    </row>
    <row r="251" ht="19.5" customHeight="1">
      <c r="A251" s="12"/>
      <c r="C251" s="12"/>
      <c r="D251" s="87"/>
      <c r="F251" s="14"/>
      <c r="G251" s="14"/>
      <c r="H251" s="14"/>
      <c r="I251" s="14"/>
      <c r="J251" s="14"/>
      <c r="K251" s="12"/>
    </row>
    <row r="252" ht="19.5" customHeight="1">
      <c r="A252" s="12"/>
      <c r="C252" s="12"/>
      <c r="D252" s="87"/>
      <c r="F252" s="14"/>
      <c r="G252" s="14"/>
      <c r="H252" s="14"/>
      <c r="I252" s="14"/>
      <c r="J252" s="14"/>
      <c r="K252" s="12"/>
    </row>
    <row r="253" ht="19.5" customHeight="1">
      <c r="A253" s="12"/>
      <c r="C253" s="12"/>
      <c r="D253" s="87"/>
      <c r="F253" s="14"/>
      <c r="G253" s="14"/>
      <c r="H253" s="14"/>
      <c r="I253" s="14"/>
      <c r="J253" s="14"/>
      <c r="K253" s="12"/>
    </row>
    <row r="254" ht="19.5" customHeight="1">
      <c r="A254" s="12"/>
      <c r="C254" s="12"/>
      <c r="D254" s="87"/>
      <c r="F254" s="14"/>
      <c r="G254" s="14"/>
      <c r="H254" s="14"/>
      <c r="I254" s="14"/>
      <c r="J254" s="14"/>
      <c r="K254" s="12"/>
    </row>
    <row r="255" ht="19.5" customHeight="1">
      <c r="A255" s="12"/>
      <c r="C255" s="12"/>
      <c r="D255" s="87"/>
      <c r="F255" s="14"/>
      <c r="G255" s="14"/>
      <c r="H255" s="14"/>
      <c r="I255" s="14"/>
      <c r="J255" s="14"/>
      <c r="K255" s="12"/>
    </row>
    <row r="256" ht="19.5" customHeight="1">
      <c r="A256" s="12"/>
      <c r="C256" s="12"/>
      <c r="D256" s="87"/>
      <c r="F256" s="14"/>
      <c r="G256" s="14"/>
      <c r="H256" s="14"/>
      <c r="I256" s="14"/>
      <c r="J256" s="14"/>
      <c r="K256" s="12"/>
    </row>
    <row r="257" ht="19.5" customHeight="1">
      <c r="A257" s="12"/>
      <c r="C257" s="12"/>
      <c r="D257" s="87"/>
      <c r="F257" s="14"/>
      <c r="G257" s="14"/>
      <c r="H257" s="14"/>
      <c r="I257" s="14"/>
      <c r="J257" s="14"/>
      <c r="K257" s="12"/>
    </row>
    <row r="258" ht="19.5" customHeight="1">
      <c r="A258" s="12"/>
      <c r="C258" s="12"/>
      <c r="D258" s="87"/>
      <c r="F258" s="14"/>
      <c r="G258" s="14"/>
      <c r="H258" s="14"/>
      <c r="I258" s="14"/>
      <c r="J258" s="14"/>
      <c r="K258" s="12"/>
    </row>
    <row r="259" ht="19.5" customHeight="1">
      <c r="A259" s="12"/>
      <c r="C259" s="12"/>
      <c r="D259" s="87"/>
      <c r="F259" s="14"/>
      <c r="G259" s="14"/>
      <c r="H259" s="14"/>
      <c r="I259" s="14"/>
      <c r="J259" s="14"/>
      <c r="K259" s="12"/>
    </row>
    <row r="260" ht="19.5" customHeight="1">
      <c r="A260" s="12"/>
      <c r="C260" s="12"/>
      <c r="D260" s="87"/>
      <c r="F260" s="14"/>
      <c r="G260" s="14"/>
      <c r="H260" s="14"/>
      <c r="I260" s="14"/>
      <c r="J260" s="14"/>
      <c r="K260" s="12"/>
    </row>
    <row r="261" ht="19.5" customHeight="1">
      <c r="A261" s="12"/>
      <c r="C261" s="12"/>
      <c r="D261" s="87"/>
      <c r="F261" s="14"/>
      <c r="G261" s="14"/>
      <c r="H261" s="14"/>
      <c r="I261" s="14"/>
      <c r="J261" s="14"/>
      <c r="K261" s="12"/>
    </row>
    <row r="262" ht="19.5" customHeight="1">
      <c r="A262" s="12"/>
      <c r="C262" s="12"/>
      <c r="D262" s="87"/>
      <c r="F262" s="14"/>
      <c r="G262" s="14"/>
      <c r="H262" s="14"/>
      <c r="I262" s="14"/>
      <c r="J262" s="14"/>
      <c r="K262" s="12"/>
    </row>
    <row r="263" ht="19.5" customHeight="1">
      <c r="A263" s="12"/>
      <c r="C263" s="12"/>
      <c r="D263" s="87"/>
      <c r="F263" s="14"/>
      <c r="G263" s="14"/>
      <c r="H263" s="14"/>
      <c r="I263" s="14"/>
      <c r="J263" s="14"/>
      <c r="K263" s="12"/>
    </row>
    <row r="264" ht="19.5" customHeight="1">
      <c r="A264" s="12"/>
      <c r="C264" s="12"/>
      <c r="D264" s="87"/>
      <c r="F264" s="14"/>
      <c r="G264" s="14"/>
      <c r="H264" s="14"/>
      <c r="I264" s="14"/>
      <c r="J264" s="14"/>
      <c r="K264" s="12"/>
    </row>
    <row r="265" ht="19.5" customHeight="1">
      <c r="A265" s="12"/>
      <c r="C265" s="12"/>
      <c r="D265" s="87"/>
      <c r="F265" s="14"/>
      <c r="G265" s="14"/>
      <c r="H265" s="14"/>
      <c r="I265" s="14"/>
      <c r="J265" s="14"/>
      <c r="K265" s="12"/>
    </row>
    <row r="266" ht="19.5" customHeight="1">
      <c r="A266" s="12"/>
      <c r="C266" s="12"/>
      <c r="D266" s="87"/>
      <c r="F266" s="14"/>
      <c r="G266" s="14"/>
      <c r="H266" s="14"/>
      <c r="I266" s="14"/>
      <c r="J266" s="14"/>
      <c r="K266" s="12"/>
    </row>
    <row r="267" ht="19.5" customHeight="1">
      <c r="A267" s="12"/>
      <c r="C267" s="12"/>
      <c r="D267" s="87"/>
      <c r="F267" s="14"/>
      <c r="G267" s="14"/>
      <c r="H267" s="14"/>
      <c r="I267" s="14"/>
      <c r="J267" s="14"/>
      <c r="K267" s="12"/>
    </row>
    <row r="268" ht="19.5" customHeight="1">
      <c r="A268" s="12"/>
      <c r="C268" s="12"/>
      <c r="D268" s="87"/>
      <c r="F268" s="14"/>
      <c r="G268" s="14"/>
      <c r="H268" s="14"/>
      <c r="I268" s="14"/>
      <c r="J268" s="14"/>
      <c r="K268" s="12"/>
    </row>
    <row r="269" ht="19.5" customHeight="1">
      <c r="A269" s="12"/>
      <c r="C269" s="12"/>
      <c r="D269" s="87"/>
      <c r="F269" s="14"/>
      <c r="G269" s="14"/>
      <c r="H269" s="14"/>
      <c r="I269" s="14"/>
      <c r="J269" s="14"/>
      <c r="K269" s="12"/>
    </row>
    <row r="270" ht="19.5" customHeight="1">
      <c r="A270" s="12"/>
      <c r="C270" s="12"/>
      <c r="D270" s="87"/>
      <c r="F270" s="14"/>
      <c r="G270" s="14"/>
      <c r="H270" s="14"/>
      <c r="I270" s="14"/>
      <c r="J270" s="14"/>
      <c r="K270" s="12"/>
    </row>
    <row r="271" ht="19.5" customHeight="1">
      <c r="A271" s="12"/>
      <c r="C271" s="12"/>
      <c r="D271" s="87"/>
      <c r="F271" s="14"/>
      <c r="G271" s="14"/>
      <c r="H271" s="14"/>
      <c r="I271" s="14"/>
      <c r="J271" s="14"/>
      <c r="K271" s="12"/>
    </row>
    <row r="272" ht="19.5" customHeight="1">
      <c r="A272" s="12"/>
      <c r="C272" s="12"/>
      <c r="D272" s="87"/>
      <c r="F272" s="14"/>
      <c r="G272" s="14"/>
      <c r="H272" s="14"/>
      <c r="I272" s="14"/>
      <c r="J272" s="14"/>
      <c r="K272" s="12"/>
    </row>
    <row r="273" ht="19.5" customHeight="1">
      <c r="A273" s="12"/>
      <c r="C273" s="12"/>
      <c r="D273" s="87"/>
      <c r="F273" s="14"/>
      <c r="G273" s="14"/>
      <c r="H273" s="14"/>
      <c r="I273" s="14"/>
      <c r="J273" s="14"/>
      <c r="K273" s="12"/>
    </row>
    <row r="274" ht="19.5" customHeight="1">
      <c r="A274" s="12"/>
      <c r="C274" s="12"/>
      <c r="D274" s="87"/>
      <c r="F274" s="14"/>
      <c r="G274" s="14"/>
      <c r="H274" s="14"/>
      <c r="I274" s="14"/>
      <c r="J274" s="14"/>
      <c r="K274" s="12"/>
    </row>
    <row r="275" ht="19.5" customHeight="1">
      <c r="A275" s="12"/>
      <c r="C275" s="12"/>
      <c r="D275" s="87"/>
      <c r="F275" s="14"/>
      <c r="G275" s="14"/>
      <c r="H275" s="14"/>
      <c r="I275" s="14"/>
      <c r="J275" s="14"/>
      <c r="K275" s="12"/>
    </row>
    <row r="276" ht="19.5" customHeight="1">
      <c r="A276" s="12"/>
      <c r="C276" s="12"/>
      <c r="D276" s="87"/>
      <c r="F276" s="14"/>
      <c r="G276" s="14"/>
      <c r="H276" s="14"/>
      <c r="I276" s="14"/>
      <c r="J276" s="14"/>
      <c r="K276" s="12"/>
    </row>
    <row r="277" ht="19.5" customHeight="1">
      <c r="A277" s="12"/>
      <c r="C277" s="12"/>
      <c r="D277" s="87"/>
      <c r="F277" s="14"/>
      <c r="G277" s="14"/>
      <c r="H277" s="14"/>
      <c r="I277" s="14"/>
      <c r="J277" s="14"/>
      <c r="K277" s="12"/>
    </row>
    <row r="278" ht="19.5" customHeight="1">
      <c r="A278" s="12"/>
      <c r="C278" s="12"/>
      <c r="D278" s="87"/>
      <c r="F278" s="14"/>
      <c r="G278" s="14"/>
      <c r="H278" s="14"/>
      <c r="I278" s="14"/>
      <c r="J278" s="14"/>
      <c r="K278" s="12"/>
    </row>
    <row r="279" ht="19.5" customHeight="1">
      <c r="A279" s="12"/>
      <c r="C279" s="12"/>
      <c r="D279" s="87"/>
      <c r="F279" s="14"/>
      <c r="G279" s="14"/>
      <c r="H279" s="14"/>
      <c r="I279" s="14"/>
      <c r="J279" s="14"/>
      <c r="K279" s="12"/>
    </row>
    <row r="280" ht="19.5" customHeight="1">
      <c r="A280" s="12"/>
      <c r="C280" s="12"/>
      <c r="D280" s="87"/>
      <c r="F280" s="14"/>
      <c r="G280" s="14"/>
      <c r="H280" s="14"/>
      <c r="I280" s="14"/>
      <c r="J280" s="14"/>
      <c r="K280" s="12"/>
    </row>
    <row r="281" ht="19.5" customHeight="1">
      <c r="A281" s="12"/>
      <c r="C281" s="12"/>
      <c r="D281" s="87"/>
      <c r="F281" s="14"/>
      <c r="G281" s="14"/>
      <c r="H281" s="14"/>
      <c r="I281" s="14"/>
      <c r="J281" s="14"/>
      <c r="K281" s="12"/>
    </row>
    <row r="282" ht="19.5" customHeight="1">
      <c r="A282" s="12"/>
      <c r="C282" s="12"/>
      <c r="D282" s="87"/>
      <c r="F282" s="14"/>
      <c r="G282" s="14"/>
      <c r="H282" s="14"/>
      <c r="I282" s="14"/>
      <c r="J282" s="14"/>
      <c r="K282" s="12"/>
    </row>
    <row r="283" ht="19.5" customHeight="1">
      <c r="A283" s="12"/>
      <c r="C283" s="12"/>
      <c r="D283" s="87"/>
      <c r="F283" s="14"/>
      <c r="G283" s="14"/>
      <c r="H283" s="14"/>
      <c r="I283" s="14"/>
      <c r="J283" s="14"/>
      <c r="K283" s="12"/>
    </row>
    <row r="284" ht="19.5" customHeight="1">
      <c r="A284" s="12"/>
      <c r="C284" s="12"/>
      <c r="D284" s="87"/>
      <c r="F284" s="14"/>
      <c r="G284" s="14"/>
      <c r="H284" s="14"/>
      <c r="I284" s="14"/>
      <c r="J284" s="14"/>
      <c r="K284" s="12"/>
    </row>
    <row r="285" ht="19.5" customHeight="1">
      <c r="A285" s="12"/>
      <c r="C285" s="12"/>
      <c r="D285" s="87"/>
      <c r="F285" s="14"/>
      <c r="G285" s="14"/>
      <c r="H285" s="14"/>
      <c r="I285" s="14"/>
      <c r="J285" s="14"/>
      <c r="K285" s="12"/>
    </row>
    <row r="286" ht="19.5" customHeight="1">
      <c r="A286" s="12"/>
      <c r="C286" s="12"/>
      <c r="D286" s="87"/>
      <c r="F286" s="14"/>
      <c r="G286" s="14"/>
      <c r="H286" s="14"/>
      <c r="I286" s="14"/>
      <c r="J286" s="14"/>
      <c r="K286" s="12"/>
    </row>
    <row r="287" ht="19.5" customHeight="1">
      <c r="A287" s="12"/>
      <c r="C287" s="12"/>
      <c r="D287" s="87"/>
      <c r="F287" s="14"/>
      <c r="G287" s="14"/>
      <c r="H287" s="14"/>
      <c r="I287" s="14"/>
      <c r="J287" s="14"/>
      <c r="K287" s="12"/>
    </row>
    <row r="288" ht="19.5" customHeight="1">
      <c r="A288" s="12"/>
      <c r="C288" s="12"/>
      <c r="D288" s="87"/>
      <c r="F288" s="14"/>
      <c r="G288" s="14"/>
      <c r="H288" s="14"/>
      <c r="I288" s="14"/>
      <c r="J288" s="14"/>
      <c r="K288" s="12"/>
    </row>
    <row r="289" ht="19.5" customHeight="1">
      <c r="A289" s="12"/>
      <c r="C289" s="12"/>
      <c r="D289" s="87"/>
      <c r="F289" s="14"/>
      <c r="G289" s="14"/>
      <c r="H289" s="14"/>
      <c r="I289" s="14"/>
      <c r="J289" s="14"/>
      <c r="K289" s="12"/>
    </row>
    <row r="290" ht="19.5" customHeight="1">
      <c r="A290" s="12"/>
      <c r="C290" s="12"/>
      <c r="D290" s="87"/>
      <c r="F290" s="14"/>
      <c r="G290" s="14"/>
      <c r="H290" s="14"/>
      <c r="I290" s="14"/>
      <c r="J290" s="14"/>
      <c r="K290" s="12"/>
    </row>
    <row r="291" ht="19.5" customHeight="1">
      <c r="A291" s="12"/>
      <c r="C291" s="12"/>
      <c r="D291" s="87"/>
      <c r="F291" s="14"/>
      <c r="G291" s="14"/>
      <c r="H291" s="14"/>
      <c r="I291" s="14"/>
      <c r="J291" s="14"/>
      <c r="K291" s="12"/>
    </row>
    <row r="292" ht="19.5" customHeight="1">
      <c r="A292" s="12"/>
      <c r="C292" s="12"/>
      <c r="D292" s="87"/>
      <c r="F292" s="14"/>
      <c r="G292" s="14"/>
      <c r="H292" s="14"/>
      <c r="I292" s="14"/>
      <c r="J292" s="14"/>
      <c r="K292" s="12"/>
    </row>
    <row r="293" ht="19.5" customHeight="1">
      <c r="A293" s="12"/>
      <c r="C293" s="12"/>
      <c r="D293" s="87"/>
      <c r="F293" s="14"/>
      <c r="G293" s="14"/>
      <c r="H293" s="14"/>
      <c r="I293" s="14"/>
      <c r="J293" s="14"/>
      <c r="K293" s="12"/>
    </row>
    <row r="294" ht="19.5" customHeight="1">
      <c r="A294" s="12"/>
      <c r="C294" s="12"/>
      <c r="D294" s="87"/>
      <c r="F294" s="14"/>
      <c r="G294" s="14"/>
      <c r="H294" s="14"/>
      <c r="I294" s="14"/>
      <c r="J294" s="14"/>
      <c r="K294" s="12"/>
    </row>
    <row r="295" ht="19.5" customHeight="1">
      <c r="A295" s="12"/>
      <c r="C295" s="12"/>
      <c r="D295" s="87"/>
      <c r="F295" s="14"/>
      <c r="G295" s="14"/>
      <c r="H295" s="14"/>
      <c r="I295" s="14"/>
      <c r="J295" s="14"/>
      <c r="K295" s="12"/>
    </row>
    <row r="296" ht="19.5" customHeight="1">
      <c r="A296" s="12"/>
      <c r="C296" s="12"/>
      <c r="D296" s="87"/>
      <c r="F296" s="14"/>
      <c r="G296" s="14"/>
      <c r="H296" s="14"/>
      <c r="I296" s="14"/>
      <c r="J296" s="14"/>
      <c r="K296" s="12"/>
    </row>
    <row r="297" ht="19.5" customHeight="1">
      <c r="A297" s="12"/>
      <c r="C297" s="12"/>
      <c r="D297" s="87"/>
      <c r="F297" s="14"/>
      <c r="G297" s="14"/>
      <c r="H297" s="14"/>
      <c r="I297" s="14"/>
      <c r="J297" s="14"/>
      <c r="K297" s="12"/>
    </row>
    <row r="298" ht="19.5" customHeight="1">
      <c r="A298" s="12"/>
      <c r="C298" s="12"/>
      <c r="D298" s="87"/>
      <c r="F298" s="14"/>
      <c r="G298" s="14"/>
      <c r="H298" s="14"/>
      <c r="I298" s="14"/>
      <c r="J298" s="14"/>
      <c r="K298" s="12"/>
    </row>
    <row r="299" ht="19.5" customHeight="1">
      <c r="A299" s="12"/>
      <c r="C299" s="12"/>
      <c r="D299" s="87"/>
      <c r="F299" s="14"/>
      <c r="G299" s="14"/>
      <c r="H299" s="14"/>
      <c r="I299" s="14"/>
      <c r="J299" s="14"/>
      <c r="K299" s="12"/>
    </row>
    <row r="300" ht="19.5" customHeight="1">
      <c r="A300" s="12"/>
      <c r="C300" s="12"/>
      <c r="D300" s="87"/>
      <c r="F300" s="14"/>
      <c r="G300" s="14"/>
      <c r="H300" s="14"/>
      <c r="I300" s="14"/>
      <c r="J300" s="14"/>
      <c r="K300" s="12"/>
    </row>
    <row r="301" ht="19.5" customHeight="1">
      <c r="A301" s="12"/>
      <c r="C301" s="12"/>
      <c r="D301" s="87"/>
      <c r="F301" s="14"/>
      <c r="G301" s="14"/>
      <c r="H301" s="14"/>
      <c r="I301" s="14"/>
      <c r="J301" s="14"/>
      <c r="K301" s="12"/>
    </row>
    <row r="302" ht="19.5" customHeight="1">
      <c r="A302" s="12"/>
      <c r="C302" s="12"/>
      <c r="D302" s="87"/>
      <c r="F302" s="14"/>
      <c r="G302" s="14"/>
      <c r="H302" s="14"/>
      <c r="I302" s="14"/>
      <c r="J302" s="14"/>
      <c r="K302" s="12"/>
    </row>
    <row r="303" ht="19.5" customHeight="1">
      <c r="A303" s="12"/>
      <c r="C303" s="12"/>
      <c r="D303" s="87"/>
      <c r="F303" s="14"/>
      <c r="G303" s="14"/>
      <c r="H303" s="14"/>
      <c r="I303" s="14"/>
      <c r="J303" s="14"/>
      <c r="K303" s="12"/>
    </row>
    <row r="304" ht="19.5" customHeight="1">
      <c r="A304" s="12"/>
      <c r="C304" s="12"/>
      <c r="D304" s="87"/>
      <c r="F304" s="14"/>
      <c r="G304" s="14"/>
      <c r="H304" s="14"/>
      <c r="I304" s="14"/>
      <c r="J304" s="14"/>
      <c r="K304" s="12"/>
    </row>
    <row r="305" ht="19.5" customHeight="1">
      <c r="A305" s="12"/>
      <c r="C305" s="12"/>
      <c r="D305" s="87"/>
      <c r="F305" s="14"/>
      <c r="G305" s="14"/>
      <c r="H305" s="14"/>
      <c r="I305" s="14"/>
      <c r="J305" s="14"/>
      <c r="K305" s="12"/>
    </row>
    <row r="306" ht="19.5" customHeight="1">
      <c r="A306" s="12"/>
      <c r="C306" s="12"/>
      <c r="D306" s="87"/>
      <c r="F306" s="14"/>
      <c r="G306" s="14"/>
      <c r="H306" s="14"/>
      <c r="I306" s="14"/>
      <c r="J306" s="14"/>
      <c r="K306" s="12"/>
    </row>
    <row r="307" ht="19.5" customHeight="1">
      <c r="A307" s="12"/>
      <c r="C307" s="12"/>
      <c r="D307" s="87"/>
      <c r="F307" s="14"/>
      <c r="G307" s="14"/>
      <c r="H307" s="14"/>
      <c r="I307" s="14"/>
      <c r="J307" s="14"/>
      <c r="K307" s="12"/>
    </row>
    <row r="308" ht="19.5" customHeight="1">
      <c r="A308" s="12"/>
      <c r="C308" s="12"/>
      <c r="D308" s="87"/>
      <c r="F308" s="14"/>
      <c r="G308" s="14"/>
      <c r="H308" s="14"/>
      <c r="I308" s="14"/>
      <c r="J308" s="14"/>
      <c r="K308" s="12"/>
    </row>
    <row r="309" ht="19.5" customHeight="1">
      <c r="A309" s="12"/>
      <c r="C309" s="12"/>
      <c r="D309" s="87"/>
      <c r="F309" s="14"/>
      <c r="G309" s="14"/>
      <c r="H309" s="14"/>
      <c r="I309" s="14"/>
      <c r="J309" s="14"/>
      <c r="K309" s="12"/>
    </row>
    <row r="310" ht="19.5" customHeight="1">
      <c r="A310" s="12"/>
      <c r="C310" s="12"/>
      <c r="D310" s="87"/>
      <c r="F310" s="14"/>
      <c r="G310" s="14"/>
      <c r="H310" s="14"/>
      <c r="I310" s="14"/>
      <c r="J310" s="14"/>
      <c r="K310" s="12"/>
    </row>
    <row r="311" ht="19.5" customHeight="1">
      <c r="A311" s="12"/>
      <c r="C311" s="12"/>
      <c r="D311" s="87"/>
      <c r="F311" s="14"/>
      <c r="G311" s="14"/>
      <c r="H311" s="14"/>
      <c r="I311" s="14"/>
      <c r="J311" s="14"/>
      <c r="K311" s="12"/>
    </row>
    <row r="312" ht="19.5" customHeight="1">
      <c r="A312" s="12"/>
      <c r="C312" s="12"/>
      <c r="D312" s="87"/>
      <c r="F312" s="14"/>
      <c r="G312" s="14"/>
      <c r="H312" s="14"/>
      <c r="I312" s="14"/>
      <c r="J312" s="14"/>
      <c r="K312" s="12"/>
    </row>
    <row r="313" ht="19.5" customHeight="1">
      <c r="A313" s="12"/>
      <c r="C313" s="12"/>
      <c r="D313" s="87"/>
      <c r="F313" s="14"/>
      <c r="G313" s="14"/>
      <c r="H313" s="14"/>
      <c r="I313" s="14"/>
      <c r="J313" s="14"/>
      <c r="K313" s="12"/>
    </row>
    <row r="314" ht="19.5" customHeight="1">
      <c r="A314" s="12"/>
      <c r="C314" s="12"/>
      <c r="D314" s="87"/>
      <c r="F314" s="14"/>
      <c r="G314" s="14"/>
      <c r="H314" s="14"/>
      <c r="I314" s="14"/>
      <c r="J314" s="14"/>
      <c r="K314" s="12"/>
    </row>
    <row r="315" ht="19.5" customHeight="1">
      <c r="A315" s="12"/>
      <c r="C315" s="12"/>
      <c r="D315" s="87"/>
      <c r="F315" s="14"/>
      <c r="G315" s="14"/>
      <c r="H315" s="14"/>
      <c r="I315" s="14"/>
      <c r="J315" s="14"/>
      <c r="K315" s="12"/>
    </row>
    <row r="316" ht="19.5" customHeight="1">
      <c r="A316" s="12"/>
      <c r="C316" s="12"/>
      <c r="D316" s="87"/>
      <c r="F316" s="14"/>
      <c r="G316" s="14"/>
      <c r="H316" s="14"/>
      <c r="I316" s="14"/>
      <c r="J316" s="14"/>
      <c r="K316" s="12"/>
    </row>
    <row r="317" ht="19.5" customHeight="1">
      <c r="A317" s="12"/>
      <c r="C317" s="12"/>
      <c r="D317" s="87"/>
      <c r="F317" s="14"/>
      <c r="G317" s="14"/>
      <c r="H317" s="14"/>
      <c r="I317" s="14"/>
      <c r="J317" s="14"/>
      <c r="K317" s="12"/>
    </row>
    <row r="318" ht="19.5" customHeight="1">
      <c r="A318" s="12"/>
      <c r="C318" s="12"/>
      <c r="D318" s="87"/>
      <c r="F318" s="14"/>
      <c r="G318" s="14"/>
      <c r="H318" s="14"/>
      <c r="I318" s="14"/>
      <c r="J318" s="14"/>
      <c r="K318" s="12"/>
    </row>
    <row r="319" ht="19.5" customHeight="1">
      <c r="A319" s="12"/>
      <c r="C319" s="12"/>
      <c r="D319" s="87"/>
      <c r="F319" s="14"/>
      <c r="G319" s="14"/>
      <c r="H319" s="14"/>
      <c r="I319" s="14"/>
      <c r="J319" s="14"/>
      <c r="K319" s="12"/>
    </row>
    <row r="320" ht="19.5" customHeight="1">
      <c r="A320" s="12"/>
      <c r="C320" s="12"/>
      <c r="D320" s="87"/>
      <c r="F320" s="14"/>
      <c r="G320" s="14"/>
      <c r="H320" s="14"/>
      <c r="I320" s="14"/>
      <c r="J320" s="14"/>
      <c r="K320" s="12"/>
    </row>
    <row r="321" ht="19.5" customHeight="1">
      <c r="A321" s="12"/>
      <c r="C321" s="12"/>
      <c r="D321" s="87"/>
      <c r="F321" s="14"/>
      <c r="G321" s="14"/>
      <c r="H321" s="14"/>
      <c r="I321" s="14"/>
      <c r="J321" s="14"/>
      <c r="K321" s="12"/>
    </row>
    <row r="322" ht="19.5" customHeight="1">
      <c r="A322" s="12"/>
      <c r="C322" s="12"/>
      <c r="D322" s="87"/>
      <c r="F322" s="14"/>
      <c r="G322" s="14"/>
      <c r="H322" s="14"/>
      <c r="I322" s="14"/>
      <c r="J322" s="14"/>
      <c r="K322" s="12"/>
    </row>
    <row r="323" ht="19.5" customHeight="1">
      <c r="A323" s="12"/>
      <c r="C323" s="12"/>
      <c r="D323" s="87"/>
      <c r="F323" s="14"/>
      <c r="G323" s="14"/>
      <c r="H323" s="14"/>
      <c r="I323" s="14"/>
      <c r="J323" s="14"/>
      <c r="K323" s="12"/>
    </row>
    <row r="324" ht="19.5" customHeight="1">
      <c r="A324" s="12"/>
      <c r="C324" s="12"/>
      <c r="D324" s="87"/>
      <c r="F324" s="14"/>
      <c r="G324" s="14"/>
      <c r="H324" s="14"/>
      <c r="I324" s="14"/>
      <c r="J324" s="14"/>
      <c r="K324" s="12"/>
    </row>
    <row r="325" ht="19.5" customHeight="1">
      <c r="A325" s="12"/>
      <c r="C325" s="12"/>
      <c r="D325" s="87"/>
      <c r="F325" s="14"/>
      <c r="G325" s="14"/>
      <c r="H325" s="14"/>
      <c r="I325" s="14"/>
      <c r="J325" s="14"/>
      <c r="K325" s="12"/>
    </row>
    <row r="326" ht="19.5" customHeight="1">
      <c r="A326" s="12"/>
      <c r="C326" s="12"/>
      <c r="D326" s="87"/>
      <c r="F326" s="14"/>
      <c r="G326" s="14"/>
      <c r="H326" s="14"/>
      <c r="I326" s="14"/>
      <c r="J326" s="14"/>
      <c r="K326" s="12"/>
    </row>
    <row r="327" ht="19.5" customHeight="1">
      <c r="A327" s="12"/>
      <c r="C327" s="12"/>
      <c r="D327" s="87"/>
      <c r="F327" s="14"/>
      <c r="G327" s="14"/>
      <c r="H327" s="14"/>
      <c r="I327" s="14"/>
      <c r="J327" s="14"/>
      <c r="K327" s="12"/>
    </row>
    <row r="328" ht="19.5" customHeight="1">
      <c r="A328" s="12"/>
      <c r="C328" s="12"/>
      <c r="D328" s="87"/>
      <c r="F328" s="14"/>
      <c r="G328" s="14"/>
      <c r="H328" s="14"/>
      <c r="I328" s="14"/>
      <c r="J328" s="14"/>
      <c r="K328" s="12"/>
    </row>
    <row r="329" ht="19.5" customHeight="1">
      <c r="A329" s="12"/>
      <c r="C329" s="12"/>
      <c r="D329" s="87"/>
      <c r="F329" s="14"/>
      <c r="G329" s="14"/>
      <c r="H329" s="14"/>
      <c r="I329" s="14"/>
      <c r="J329" s="14"/>
      <c r="K329" s="12"/>
    </row>
    <row r="330" ht="19.5" customHeight="1">
      <c r="A330" s="12"/>
      <c r="C330" s="12"/>
      <c r="D330" s="87"/>
      <c r="F330" s="14"/>
      <c r="G330" s="14"/>
      <c r="H330" s="14"/>
      <c r="I330" s="14"/>
      <c r="J330" s="14"/>
      <c r="K330" s="12"/>
    </row>
    <row r="331" ht="19.5" customHeight="1">
      <c r="A331" s="12"/>
      <c r="C331" s="12"/>
      <c r="D331" s="87"/>
      <c r="F331" s="14"/>
      <c r="G331" s="14"/>
      <c r="H331" s="14"/>
      <c r="I331" s="14"/>
      <c r="J331" s="14"/>
      <c r="K331" s="12"/>
    </row>
    <row r="332" ht="19.5" customHeight="1">
      <c r="A332" s="12"/>
      <c r="C332" s="12"/>
      <c r="D332" s="87"/>
      <c r="F332" s="14"/>
      <c r="G332" s="14"/>
      <c r="H332" s="14"/>
      <c r="I332" s="14"/>
      <c r="J332" s="14"/>
      <c r="K332" s="12"/>
    </row>
    <row r="333" ht="19.5" customHeight="1">
      <c r="A333" s="12"/>
      <c r="C333" s="12"/>
      <c r="D333" s="87"/>
      <c r="F333" s="14"/>
      <c r="G333" s="14"/>
      <c r="H333" s="14"/>
      <c r="I333" s="14"/>
      <c r="J333" s="14"/>
      <c r="K333" s="12"/>
    </row>
    <row r="334" ht="19.5" customHeight="1">
      <c r="A334" s="12"/>
      <c r="C334" s="12"/>
      <c r="D334" s="87"/>
      <c r="F334" s="14"/>
      <c r="G334" s="14"/>
      <c r="H334" s="14"/>
      <c r="I334" s="14"/>
      <c r="J334" s="14"/>
      <c r="K334" s="12"/>
    </row>
    <row r="335" ht="19.5" customHeight="1">
      <c r="A335" s="12"/>
      <c r="C335" s="12"/>
      <c r="D335" s="87"/>
      <c r="F335" s="14"/>
      <c r="G335" s="14"/>
      <c r="H335" s="14"/>
      <c r="I335" s="14"/>
      <c r="J335" s="14"/>
      <c r="K335" s="12"/>
    </row>
    <row r="336" ht="19.5" customHeight="1">
      <c r="A336" s="12"/>
      <c r="C336" s="12"/>
      <c r="D336" s="87"/>
      <c r="F336" s="14"/>
      <c r="G336" s="14"/>
      <c r="H336" s="14"/>
      <c r="I336" s="14"/>
      <c r="J336" s="14"/>
      <c r="K336" s="12"/>
    </row>
    <row r="337" ht="19.5" customHeight="1">
      <c r="A337" s="12"/>
      <c r="C337" s="12"/>
      <c r="D337" s="87"/>
      <c r="F337" s="14"/>
      <c r="G337" s="14"/>
      <c r="H337" s="14"/>
      <c r="I337" s="14"/>
      <c r="J337" s="14"/>
      <c r="K337" s="12"/>
    </row>
    <row r="338" ht="19.5" customHeight="1">
      <c r="A338" s="12"/>
      <c r="C338" s="12"/>
      <c r="D338" s="87"/>
      <c r="F338" s="14"/>
      <c r="G338" s="14"/>
      <c r="H338" s="14"/>
      <c r="I338" s="14"/>
      <c r="J338" s="14"/>
      <c r="K338" s="12"/>
    </row>
    <row r="339" ht="19.5" customHeight="1">
      <c r="A339" s="12"/>
      <c r="C339" s="12"/>
      <c r="D339" s="87"/>
      <c r="F339" s="14"/>
      <c r="G339" s="14"/>
      <c r="H339" s="14"/>
      <c r="I339" s="14"/>
      <c r="J339" s="14"/>
      <c r="K339" s="12"/>
    </row>
    <row r="340" ht="19.5" customHeight="1">
      <c r="A340" s="12"/>
      <c r="C340" s="12"/>
      <c r="D340" s="87"/>
      <c r="F340" s="14"/>
      <c r="G340" s="14"/>
      <c r="H340" s="14"/>
      <c r="I340" s="14"/>
      <c r="J340" s="14"/>
      <c r="K340" s="12"/>
    </row>
    <row r="341" ht="19.5" customHeight="1">
      <c r="A341" s="12"/>
      <c r="C341" s="12"/>
      <c r="D341" s="87"/>
      <c r="F341" s="14"/>
      <c r="G341" s="14"/>
      <c r="H341" s="14"/>
      <c r="I341" s="14"/>
      <c r="J341" s="14"/>
      <c r="K341" s="12"/>
    </row>
    <row r="342" ht="19.5" customHeight="1">
      <c r="A342" s="12"/>
      <c r="C342" s="12"/>
      <c r="D342" s="87"/>
      <c r="F342" s="14"/>
      <c r="G342" s="14"/>
      <c r="H342" s="14"/>
      <c r="I342" s="14"/>
      <c r="J342" s="14"/>
      <c r="K342" s="12"/>
    </row>
    <row r="343" ht="19.5" customHeight="1">
      <c r="A343" s="12"/>
      <c r="C343" s="12"/>
      <c r="D343" s="87"/>
      <c r="F343" s="14"/>
      <c r="G343" s="14"/>
      <c r="H343" s="14"/>
      <c r="I343" s="14"/>
      <c r="J343" s="14"/>
      <c r="K343" s="12"/>
    </row>
    <row r="344" ht="19.5" customHeight="1">
      <c r="A344" s="12"/>
      <c r="C344" s="12"/>
      <c r="D344" s="87"/>
      <c r="F344" s="14"/>
      <c r="G344" s="14"/>
      <c r="H344" s="14"/>
      <c r="I344" s="14"/>
      <c r="J344" s="14"/>
      <c r="K344" s="12"/>
    </row>
    <row r="345" ht="19.5" customHeight="1">
      <c r="A345" s="12"/>
      <c r="C345" s="12"/>
      <c r="D345" s="87"/>
      <c r="F345" s="14"/>
      <c r="G345" s="14"/>
      <c r="H345" s="14"/>
      <c r="I345" s="14"/>
      <c r="J345" s="14"/>
      <c r="K345" s="12"/>
    </row>
    <row r="346" ht="19.5" customHeight="1">
      <c r="A346" s="12"/>
      <c r="C346" s="12"/>
      <c r="D346" s="87"/>
      <c r="F346" s="14"/>
      <c r="G346" s="14"/>
      <c r="H346" s="14"/>
      <c r="I346" s="14"/>
      <c r="J346" s="14"/>
      <c r="K346" s="12"/>
    </row>
    <row r="347" ht="19.5" customHeight="1">
      <c r="A347" s="12"/>
      <c r="C347" s="12"/>
      <c r="D347" s="87"/>
      <c r="F347" s="14"/>
      <c r="G347" s="14"/>
      <c r="H347" s="14"/>
      <c r="I347" s="14"/>
      <c r="J347" s="14"/>
      <c r="K347" s="12"/>
    </row>
    <row r="348" ht="19.5" customHeight="1">
      <c r="A348" s="12"/>
      <c r="C348" s="12"/>
      <c r="D348" s="87"/>
      <c r="F348" s="14"/>
      <c r="G348" s="14"/>
      <c r="H348" s="14"/>
      <c r="I348" s="14"/>
      <c r="J348" s="14"/>
      <c r="K348" s="12"/>
    </row>
    <row r="349" ht="19.5" customHeight="1">
      <c r="A349" s="12"/>
      <c r="C349" s="12"/>
      <c r="D349" s="87"/>
      <c r="F349" s="14"/>
      <c r="G349" s="14"/>
      <c r="H349" s="14"/>
      <c r="I349" s="14"/>
      <c r="J349" s="14"/>
      <c r="K349" s="12"/>
    </row>
    <row r="350" ht="19.5" customHeight="1">
      <c r="A350" s="12"/>
      <c r="C350" s="12"/>
      <c r="D350" s="87"/>
      <c r="F350" s="14"/>
      <c r="G350" s="14"/>
      <c r="H350" s="14"/>
      <c r="I350" s="14"/>
      <c r="J350" s="14"/>
      <c r="K350" s="12"/>
    </row>
    <row r="351" ht="19.5" customHeight="1">
      <c r="A351" s="12"/>
      <c r="C351" s="12"/>
      <c r="D351" s="87"/>
      <c r="F351" s="14"/>
      <c r="G351" s="14"/>
      <c r="H351" s="14"/>
      <c r="I351" s="14"/>
      <c r="J351" s="14"/>
      <c r="K351" s="12"/>
    </row>
    <row r="352" ht="19.5" customHeight="1">
      <c r="A352" s="12"/>
      <c r="C352" s="12"/>
      <c r="D352" s="87"/>
      <c r="F352" s="14"/>
      <c r="G352" s="14"/>
      <c r="H352" s="14"/>
      <c r="I352" s="14"/>
      <c r="J352" s="14"/>
      <c r="K352" s="12"/>
    </row>
    <row r="353" ht="19.5" customHeight="1">
      <c r="A353" s="12"/>
      <c r="C353" s="12"/>
      <c r="D353" s="87"/>
      <c r="F353" s="14"/>
      <c r="G353" s="14"/>
      <c r="H353" s="14"/>
      <c r="I353" s="14"/>
      <c r="J353" s="14"/>
      <c r="K353" s="12"/>
    </row>
    <row r="354" ht="19.5" customHeight="1">
      <c r="A354" s="12"/>
      <c r="C354" s="12"/>
      <c r="D354" s="87"/>
      <c r="F354" s="14"/>
      <c r="G354" s="14"/>
      <c r="H354" s="14"/>
      <c r="I354" s="14"/>
      <c r="J354" s="14"/>
      <c r="K354" s="12"/>
    </row>
    <row r="355" ht="19.5" customHeight="1">
      <c r="A355" s="12"/>
      <c r="C355" s="12"/>
      <c r="D355" s="87"/>
      <c r="F355" s="14"/>
      <c r="G355" s="14"/>
      <c r="H355" s="14"/>
      <c r="I355" s="14"/>
      <c r="J355" s="14"/>
      <c r="K355" s="12"/>
    </row>
    <row r="356" ht="19.5" customHeight="1">
      <c r="A356" s="12"/>
      <c r="C356" s="12"/>
      <c r="D356" s="87"/>
      <c r="F356" s="14"/>
      <c r="G356" s="14"/>
      <c r="H356" s="14"/>
      <c r="I356" s="14"/>
      <c r="J356" s="14"/>
      <c r="K356" s="12"/>
    </row>
    <row r="357" ht="19.5" customHeight="1">
      <c r="A357" s="12"/>
      <c r="C357" s="12"/>
      <c r="D357" s="87"/>
      <c r="F357" s="14"/>
      <c r="G357" s="14"/>
      <c r="H357" s="14"/>
      <c r="I357" s="14"/>
      <c r="J357" s="14"/>
      <c r="K357" s="12"/>
    </row>
    <row r="358" ht="19.5" customHeight="1">
      <c r="A358" s="12"/>
      <c r="C358" s="12"/>
      <c r="D358" s="87"/>
      <c r="F358" s="14"/>
      <c r="G358" s="14"/>
      <c r="H358" s="14"/>
      <c r="I358" s="14"/>
      <c r="J358" s="14"/>
      <c r="K358" s="12"/>
    </row>
    <row r="359" ht="19.5" customHeight="1">
      <c r="A359" s="12"/>
      <c r="C359" s="12"/>
      <c r="D359" s="87"/>
      <c r="F359" s="14"/>
      <c r="G359" s="14"/>
      <c r="H359" s="14"/>
      <c r="I359" s="14"/>
      <c r="J359" s="14"/>
      <c r="K359" s="12"/>
    </row>
    <row r="360" ht="19.5" customHeight="1">
      <c r="A360" s="12"/>
      <c r="C360" s="12"/>
      <c r="D360" s="87"/>
      <c r="F360" s="14"/>
      <c r="G360" s="14"/>
      <c r="H360" s="14"/>
      <c r="I360" s="14"/>
      <c r="J360" s="14"/>
      <c r="K360" s="12"/>
    </row>
    <row r="361" ht="19.5" customHeight="1">
      <c r="A361" s="12"/>
      <c r="C361" s="12"/>
      <c r="D361" s="87"/>
      <c r="F361" s="14"/>
      <c r="G361" s="14"/>
      <c r="H361" s="14"/>
      <c r="I361" s="14"/>
      <c r="J361" s="14"/>
      <c r="K361" s="12"/>
    </row>
    <row r="362" ht="19.5" customHeight="1">
      <c r="A362" s="12"/>
      <c r="C362" s="12"/>
      <c r="D362" s="87"/>
      <c r="F362" s="14"/>
      <c r="G362" s="14"/>
      <c r="H362" s="14"/>
      <c r="I362" s="14"/>
      <c r="J362" s="14"/>
      <c r="K362" s="12"/>
    </row>
    <row r="363" ht="19.5" customHeight="1">
      <c r="A363" s="12"/>
      <c r="C363" s="12"/>
      <c r="D363" s="87"/>
      <c r="F363" s="14"/>
      <c r="G363" s="14"/>
      <c r="H363" s="14"/>
      <c r="I363" s="14"/>
      <c r="J363" s="14"/>
      <c r="K363" s="12"/>
    </row>
    <row r="364" ht="19.5" customHeight="1">
      <c r="A364" s="12"/>
      <c r="C364" s="12"/>
      <c r="D364" s="87"/>
      <c r="F364" s="14"/>
      <c r="G364" s="14"/>
      <c r="H364" s="14"/>
      <c r="I364" s="14"/>
      <c r="J364" s="14"/>
      <c r="K364" s="12"/>
    </row>
    <row r="365" ht="19.5" customHeight="1">
      <c r="A365" s="12"/>
      <c r="C365" s="12"/>
      <c r="D365" s="87"/>
      <c r="F365" s="14"/>
      <c r="G365" s="14"/>
      <c r="H365" s="14"/>
      <c r="I365" s="14"/>
      <c r="J365" s="14"/>
      <c r="K365" s="12"/>
    </row>
    <row r="366" ht="19.5" customHeight="1">
      <c r="A366" s="12"/>
      <c r="C366" s="12"/>
      <c r="D366" s="87"/>
      <c r="F366" s="14"/>
      <c r="G366" s="14"/>
      <c r="H366" s="14"/>
      <c r="I366" s="14"/>
      <c r="J366" s="14"/>
      <c r="K366" s="12"/>
    </row>
    <row r="367" ht="19.5" customHeight="1">
      <c r="A367" s="12"/>
      <c r="C367" s="12"/>
      <c r="D367" s="87"/>
      <c r="F367" s="14"/>
      <c r="G367" s="14"/>
      <c r="H367" s="14"/>
      <c r="I367" s="14"/>
      <c r="J367" s="14"/>
      <c r="K367" s="12"/>
    </row>
    <row r="368" ht="19.5" customHeight="1">
      <c r="A368" s="12"/>
      <c r="C368" s="12"/>
      <c r="D368" s="87"/>
      <c r="F368" s="14"/>
      <c r="G368" s="14"/>
      <c r="H368" s="14"/>
      <c r="I368" s="14"/>
      <c r="J368" s="14"/>
      <c r="K368" s="12"/>
    </row>
    <row r="369" ht="19.5" customHeight="1">
      <c r="A369" s="12"/>
      <c r="C369" s="12"/>
      <c r="D369" s="87"/>
      <c r="F369" s="14"/>
      <c r="G369" s="14"/>
      <c r="H369" s="14"/>
      <c r="I369" s="14"/>
      <c r="J369" s="14"/>
      <c r="K369" s="12"/>
    </row>
    <row r="370" ht="19.5" customHeight="1">
      <c r="A370" s="12"/>
      <c r="C370" s="12"/>
      <c r="D370" s="87"/>
      <c r="F370" s="14"/>
      <c r="G370" s="14"/>
      <c r="H370" s="14"/>
      <c r="I370" s="14"/>
      <c r="J370" s="14"/>
      <c r="K370" s="12"/>
    </row>
    <row r="371" ht="19.5" customHeight="1">
      <c r="A371" s="12"/>
      <c r="C371" s="12"/>
      <c r="D371" s="87"/>
      <c r="F371" s="14"/>
      <c r="G371" s="14"/>
      <c r="H371" s="14"/>
      <c r="I371" s="14"/>
      <c r="J371" s="14"/>
      <c r="K371" s="12"/>
    </row>
    <row r="372" ht="19.5" customHeight="1">
      <c r="A372" s="12"/>
      <c r="C372" s="12"/>
      <c r="D372" s="87"/>
      <c r="F372" s="14"/>
      <c r="G372" s="14"/>
      <c r="H372" s="14"/>
      <c r="I372" s="14"/>
      <c r="J372" s="14"/>
      <c r="K372" s="12"/>
    </row>
    <row r="373" ht="19.5" customHeight="1">
      <c r="A373" s="12"/>
      <c r="C373" s="12"/>
      <c r="D373" s="87"/>
      <c r="F373" s="14"/>
      <c r="G373" s="14"/>
      <c r="H373" s="14"/>
      <c r="I373" s="14"/>
      <c r="J373" s="14"/>
      <c r="K373" s="12"/>
    </row>
    <row r="374" ht="19.5" customHeight="1">
      <c r="A374" s="12"/>
      <c r="C374" s="12"/>
      <c r="D374" s="87"/>
      <c r="F374" s="14"/>
      <c r="G374" s="14"/>
      <c r="H374" s="14"/>
      <c r="I374" s="14"/>
      <c r="J374" s="14"/>
      <c r="K374" s="12"/>
    </row>
    <row r="375" ht="19.5" customHeight="1">
      <c r="A375" s="12"/>
      <c r="C375" s="12"/>
      <c r="D375" s="87"/>
      <c r="F375" s="14"/>
      <c r="G375" s="14"/>
      <c r="H375" s="14"/>
      <c r="I375" s="14"/>
      <c r="J375" s="14"/>
      <c r="K375" s="12"/>
    </row>
    <row r="376" ht="19.5" customHeight="1">
      <c r="A376" s="12"/>
      <c r="C376" s="12"/>
      <c r="D376" s="87"/>
      <c r="F376" s="14"/>
      <c r="G376" s="14"/>
      <c r="H376" s="14"/>
      <c r="I376" s="14"/>
      <c r="J376" s="14"/>
      <c r="K376" s="12"/>
    </row>
    <row r="377" ht="19.5" customHeight="1">
      <c r="A377" s="12"/>
      <c r="C377" s="12"/>
      <c r="D377" s="87"/>
      <c r="F377" s="14"/>
      <c r="G377" s="14"/>
      <c r="H377" s="14"/>
      <c r="I377" s="14"/>
      <c r="J377" s="14"/>
      <c r="K377" s="12"/>
    </row>
    <row r="378" ht="19.5" customHeight="1">
      <c r="A378" s="12"/>
      <c r="C378" s="12"/>
      <c r="D378" s="87"/>
      <c r="F378" s="14"/>
      <c r="G378" s="14"/>
      <c r="H378" s="14"/>
      <c r="I378" s="14"/>
      <c r="J378" s="14"/>
      <c r="K378" s="12"/>
    </row>
    <row r="379" ht="19.5" customHeight="1">
      <c r="A379" s="12"/>
      <c r="C379" s="12"/>
      <c r="D379" s="87"/>
      <c r="F379" s="14"/>
      <c r="G379" s="14"/>
      <c r="H379" s="14"/>
      <c r="I379" s="14"/>
      <c r="J379" s="14"/>
      <c r="K379" s="12"/>
    </row>
    <row r="380" ht="19.5" customHeight="1">
      <c r="A380" s="12"/>
      <c r="C380" s="12"/>
      <c r="D380" s="87"/>
      <c r="F380" s="14"/>
      <c r="G380" s="14"/>
      <c r="H380" s="14"/>
      <c r="I380" s="14"/>
      <c r="J380" s="14"/>
      <c r="K380" s="12"/>
    </row>
    <row r="381" ht="19.5" customHeight="1">
      <c r="A381" s="12"/>
      <c r="C381" s="12"/>
      <c r="D381" s="87"/>
      <c r="F381" s="14"/>
      <c r="G381" s="14"/>
      <c r="H381" s="14"/>
      <c r="I381" s="14"/>
      <c r="J381" s="14"/>
      <c r="K381" s="12"/>
    </row>
    <row r="382" ht="19.5" customHeight="1">
      <c r="A382" s="12"/>
      <c r="C382" s="12"/>
      <c r="D382" s="87"/>
      <c r="F382" s="14"/>
      <c r="G382" s="14"/>
      <c r="H382" s="14"/>
      <c r="I382" s="14"/>
      <c r="J382" s="14"/>
      <c r="K382" s="12"/>
    </row>
    <row r="383" ht="19.5" customHeight="1">
      <c r="A383" s="12"/>
      <c r="C383" s="12"/>
      <c r="D383" s="87"/>
      <c r="F383" s="14"/>
      <c r="G383" s="14"/>
      <c r="H383" s="14"/>
      <c r="I383" s="14"/>
      <c r="J383" s="14"/>
      <c r="K383" s="12"/>
    </row>
    <row r="384" ht="19.5" customHeight="1">
      <c r="A384" s="12"/>
      <c r="C384" s="12"/>
      <c r="D384" s="87"/>
      <c r="F384" s="14"/>
      <c r="G384" s="14"/>
      <c r="H384" s="14"/>
      <c r="I384" s="14"/>
      <c r="J384" s="14"/>
      <c r="K384" s="12"/>
    </row>
    <row r="385" ht="19.5" customHeight="1">
      <c r="A385" s="12"/>
      <c r="C385" s="12"/>
      <c r="D385" s="87"/>
      <c r="F385" s="14"/>
      <c r="G385" s="14"/>
      <c r="H385" s="14"/>
      <c r="I385" s="14"/>
      <c r="J385" s="14"/>
      <c r="K385" s="12"/>
    </row>
    <row r="386" ht="19.5" customHeight="1">
      <c r="A386" s="12"/>
      <c r="C386" s="12"/>
      <c r="D386" s="87"/>
      <c r="F386" s="14"/>
      <c r="G386" s="14"/>
      <c r="H386" s="14"/>
      <c r="I386" s="14"/>
      <c r="J386" s="14"/>
      <c r="K386" s="12"/>
    </row>
    <row r="387" ht="19.5" customHeight="1">
      <c r="A387" s="12"/>
      <c r="C387" s="12"/>
      <c r="D387" s="87"/>
      <c r="F387" s="14"/>
      <c r="G387" s="14"/>
      <c r="H387" s="14"/>
      <c r="I387" s="14"/>
      <c r="J387" s="14"/>
      <c r="K387" s="12"/>
    </row>
    <row r="388" ht="19.5" customHeight="1">
      <c r="A388" s="12"/>
      <c r="C388" s="12"/>
      <c r="D388" s="87"/>
      <c r="F388" s="14"/>
      <c r="G388" s="14"/>
      <c r="H388" s="14"/>
      <c r="I388" s="14"/>
      <c r="J388" s="14"/>
      <c r="K388" s="12"/>
    </row>
    <row r="389" ht="19.5" customHeight="1">
      <c r="A389" s="12"/>
      <c r="C389" s="12"/>
      <c r="D389" s="87"/>
      <c r="F389" s="14"/>
      <c r="G389" s="14"/>
      <c r="H389" s="14"/>
      <c r="I389" s="14"/>
      <c r="J389" s="14"/>
      <c r="K389" s="12"/>
    </row>
    <row r="390" ht="19.5" customHeight="1">
      <c r="A390" s="12"/>
      <c r="C390" s="12"/>
      <c r="D390" s="87"/>
      <c r="F390" s="14"/>
      <c r="G390" s="14"/>
      <c r="H390" s="14"/>
      <c r="I390" s="14"/>
      <c r="J390" s="14"/>
      <c r="K390" s="12"/>
    </row>
    <row r="391" ht="19.5" customHeight="1">
      <c r="A391" s="12"/>
      <c r="C391" s="12"/>
      <c r="D391" s="87"/>
      <c r="F391" s="14"/>
      <c r="G391" s="14"/>
      <c r="H391" s="14"/>
      <c r="I391" s="14"/>
      <c r="J391" s="14"/>
      <c r="K391" s="12"/>
    </row>
    <row r="392" ht="19.5" customHeight="1">
      <c r="A392" s="12"/>
      <c r="C392" s="12"/>
      <c r="D392" s="87"/>
      <c r="F392" s="14"/>
      <c r="G392" s="14"/>
      <c r="H392" s="14"/>
      <c r="I392" s="14"/>
      <c r="J392" s="14"/>
      <c r="K392" s="12"/>
    </row>
    <row r="393" ht="19.5" customHeight="1">
      <c r="A393" s="12"/>
      <c r="C393" s="12"/>
      <c r="D393" s="87"/>
      <c r="F393" s="14"/>
      <c r="G393" s="14"/>
      <c r="H393" s="14"/>
      <c r="I393" s="14"/>
      <c r="J393" s="14"/>
      <c r="K393" s="12"/>
    </row>
    <row r="394" ht="19.5" customHeight="1">
      <c r="A394" s="12"/>
      <c r="C394" s="12"/>
      <c r="D394" s="87"/>
      <c r="F394" s="14"/>
      <c r="G394" s="14"/>
      <c r="H394" s="14"/>
      <c r="I394" s="14"/>
      <c r="J394" s="14"/>
      <c r="K394" s="12"/>
    </row>
    <row r="395" ht="19.5" customHeight="1">
      <c r="A395" s="12"/>
      <c r="C395" s="12"/>
      <c r="D395" s="87"/>
      <c r="F395" s="14"/>
      <c r="G395" s="14"/>
      <c r="H395" s="14"/>
      <c r="I395" s="14"/>
      <c r="J395" s="14"/>
      <c r="K395" s="12"/>
    </row>
    <row r="396" ht="19.5" customHeight="1">
      <c r="A396" s="12"/>
      <c r="C396" s="12"/>
      <c r="D396" s="87"/>
      <c r="F396" s="14"/>
      <c r="G396" s="14"/>
      <c r="H396" s="14"/>
      <c r="I396" s="14"/>
      <c r="J396" s="14"/>
      <c r="K396" s="12"/>
    </row>
    <row r="397" ht="19.5" customHeight="1">
      <c r="A397" s="12"/>
      <c r="C397" s="12"/>
      <c r="D397" s="87"/>
      <c r="F397" s="14"/>
      <c r="G397" s="14"/>
      <c r="H397" s="14"/>
      <c r="I397" s="14"/>
      <c r="J397" s="14"/>
      <c r="K397" s="12"/>
    </row>
    <row r="398" ht="19.5" customHeight="1">
      <c r="A398" s="12"/>
      <c r="C398" s="12"/>
      <c r="D398" s="87"/>
      <c r="F398" s="14"/>
      <c r="G398" s="14"/>
      <c r="H398" s="14"/>
      <c r="I398" s="14"/>
      <c r="J398" s="14"/>
      <c r="K398" s="12"/>
    </row>
    <row r="399" ht="19.5" customHeight="1">
      <c r="A399" s="12"/>
      <c r="C399" s="12"/>
      <c r="D399" s="87"/>
      <c r="F399" s="14"/>
      <c r="G399" s="14"/>
      <c r="H399" s="14"/>
      <c r="I399" s="14"/>
      <c r="J399" s="14"/>
      <c r="K399" s="12"/>
    </row>
    <row r="400" ht="19.5" customHeight="1">
      <c r="A400" s="12"/>
      <c r="C400" s="12"/>
      <c r="D400" s="87"/>
      <c r="F400" s="14"/>
      <c r="G400" s="14"/>
      <c r="H400" s="14"/>
      <c r="I400" s="14"/>
      <c r="J400" s="14"/>
      <c r="K400" s="12"/>
    </row>
    <row r="401" ht="19.5" customHeight="1">
      <c r="A401" s="12"/>
      <c r="C401" s="12"/>
      <c r="D401" s="87"/>
      <c r="F401" s="14"/>
      <c r="G401" s="14"/>
      <c r="H401" s="14"/>
      <c r="I401" s="14"/>
      <c r="J401" s="14"/>
      <c r="K401" s="12"/>
    </row>
    <row r="402" ht="19.5" customHeight="1">
      <c r="A402" s="12"/>
      <c r="C402" s="12"/>
      <c r="D402" s="87"/>
      <c r="F402" s="14"/>
      <c r="G402" s="14"/>
      <c r="H402" s="14"/>
      <c r="I402" s="14"/>
      <c r="J402" s="14"/>
      <c r="K402" s="12"/>
    </row>
    <row r="403" ht="19.5" customHeight="1">
      <c r="A403" s="12"/>
      <c r="C403" s="12"/>
      <c r="D403" s="87"/>
      <c r="F403" s="14"/>
      <c r="G403" s="14"/>
      <c r="H403" s="14"/>
      <c r="I403" s="14"/>
      <c r="J403" s="14"/>
      <c r="K403" s="12"/>
    </row>
    <row r="404" ht="19.5" customHeight="1">
      <c r="A404" s="12"/>
      <c r="C404" s="12"/>
      <c r="D404" s="87"/>
      <c r="F404" s="14"/>
      <c r="G404" s="14"/>
      <c r="H404" s="14"/>
      <c r="I404" s="14"/>
      <c r="J404" s="14"/>
      <c r="K404" s="12"/>
    </row>
    <row r="405" ht="19.5" customHeight="1">
      <c r="A405" s="12"/>
      <c r="C405" s="12"/>
      <c r="D405" s="87"/>
      <c r="F405" s="14"/>
      <c r="G405" s="14"/>
      <c r="H405" s="14"/>
      <c r="I405" s="14"/>
      <c r="J405" s="14"/>
      <c r="K405" s="12"/>
    </row>
    <row r="406" ht="19.5" customHeight="1">
      <c r="A406" s="12"/>
      <c r="C406" s="12"/>
      <c r="D406" s="87"/>
      <c r="F406" s="14"/>
      <c r="G406" s="14"/>
      <c r="H406" s="14"/>
      <c r="I406" s="14"/>
      <c r="J406" s="14"/>
      <c r="K406" s="12"/>
    </row>
    <row r="407" ht="19.5" customHeight="1">
      <c r="A407" s="12"/>
      <c r="C407" s="12"/>
      <c r="D407" s="87"/>
      <c r="F407" s="14"/>
      <c r="G407" s="14"/>
      <c r="H407" s="14"/>
      <c r="I407" s="14"/>
      <c r="J407" s="14"/>
      <c r="K407" s="12"/>
    </row>
    <row r="408" ht="19.5" customHeight="1">
      <c r="A408" s="12"/>
      <c r="C408" s="12"/>
      <c r="D408" s="87"/>
      <c r="F408" s="14"/>
      <c r="G408" s="14"/>
      <c r="H408" s="14"/>
      <c r="I408" s="14"/>
      <c r="J408" s="14"/>
      <c r="K408" s="12"/>
    </row>
    <row r="409" ht="19.5" customHeight="1">
      <c r="A409" s="12"/>
      <c r="C409" s="12"/>
      <c r="D409" s="87"/>
      <c r="F409" s="14"/>
      <c r="G409" s="14"/>
      <c r="H409" s="14"/>
      <c r="I409" s="14"/>
      <c r="J409" s="14"/>
      <c r="K409" s="12"/>
    </row>
    <row r="410" ht="19.5" customHeight="1">
      <c r="A410" s="12"/>
      <c r="C410" s="12"/>
      <c r="D410" s="87"/>
      <c r="F410" s="14"/>
      <c r="G410" s="14"/>
      <c r="H410" s="14"/>
      <c r="I410" s="14"/>
      <c r="J410" s="14"/>
      <c r="K410" s="12"/>
    </row>
    <row r="411" ht="19.5" customHeight="1">
      <c r="A411" s="12"/>
      <c r="C411" s="12"/>
      <c r="D411" s="87"/>
      <c r="F411" s="14"/>
      <c r="G411" s="14"/>
      <c r="H411" s="14"/>
      <c r="I411" s="14"/>
      <c r="J411" s="14"/>
      <c r="K411" s="12"/>
    </row>
    <row r="412" ht="19.5" customHeight="1">
      <c r="A412" s="12"/>
      <c r="C412" s="12"/>
      <c r="D412" s="87"/>
      <c r="F412" s="14"/>
      <c r="G412" s="14"/>
      <c r="H412" s="14"/>
      <c r="I412" s="14"/>
      <c r="J412" s="14"/>
      <c r="K412" s="12"/>
    </row>
    <row r="413" ht="19.5" customHeight="1">
      <c r="A413" s="12"/>
      <c r="C413" s="12"/>
      <c r="D413" s="87"/>
      <c r="F413" s="14"/>
      <c r="G413" s="14"/>
      <c r="H413" s="14"/>
      <c r="I413" s="14"/>
      <c r="J413" s="14"/>
      <c r="K413" s="12"/>
    </row>
    <row r="414" ht="19.5" customHeight="1">
      <c r="A414" s="12"/>
      <c r="C414" s="12"/>
      <c r="D414" s="87"/>
      <c r="F414" s="14"/>
      <c r="G414" s="14"/>
      <c r="H414" s="14"/>
      <c r="I414" s="14"/>
      <c r="J414" s="14"/>
      <c r="K414" s="12"/>
    </row>
    <row r="415" ht="19.5" customHeight="1">
      <c r="A415" s="12"/>
      <c r="C415" s="12"/>
      <c r="D415" s="87"/>
      <c r="F415" s="14"/>
      <c r="G415" s="14"/>
      <c r="H415" s="14"/>
      <c r="I415" s="14"/>
      <c r="J415" s="14"/>
      <c r="K415" s="12"/>
    </row>
    <row r="416" ht="19.5" customHeight="1">
      <c r="A416" s="12"/>
      <c r="C416" s="12"/>
      <c r="D416" s="87"/>
      <c r="F416" s="14"/>
      <c r="G416" s="14"/>
      <c r="H416" s="14"/>
      <c r="I416" s="14"/>
      <c r="J416" s="14"/>
      <c r="K416" s="12"/>
    </row>
    <row r="417" ht="19.5" customHeight="1">
      <c r="A417" s="12"/>
      <c r="C417" s="12"/>
      <c r="D417" s="87"/>
      <c r="F417" s="14"/>
      <c r="G417" s="14"/>
      <c r="H417" s="14"/>
      <c r="I417" s="14"/>
      <c r="J417" s="14"/>
      <c r="K417" s="12"/>
    </row>
    <row r="418" ht="19.5" customHeight="1">
      <c r="A418" s="12"/>
      <c r="C418" s="12"/>
      <c r="D418" s="87"/>
      <c r="F418" s="14"/>
      <c r="G418" s="14"/>
      <c r="H418" s="14"/>
      <c r="I418" s="14"/>
      <c r="J418" s="14"/>
      <c r="K418" s="12"/>
    </row>
    <row r="419" ht="19.5" customHeight="1">
      <c r="A419" s="12"/>
      <c r="C419" s="12"/>
      <c r="D419" s="87"/>
      <c r="F419" s="14"/>
      <c r="G419" s="14"/>
      <c r="H419" s="14"/>
      <c r="I419" s="14"/>
      <c r="J419" s="14"/>
      <c r="K419" s="12"/>
    </row>
    <row r="420" ht="19.5" customHeight="1">
      <c r="A420" s="12"/>
      <c r="C420" s="12"/>
      <c r="D420" s="87"/>
      <c r="F420" s="14"/>
      <c r="G420" s="14"/>
      <c r="H420" s="14"/>
      <c r="I420" s="14"/>
      <c r="J420" s="14"/>
      <c r="K420" s="12"/>
    </row>
    <row r="421" ht="19.5" customHeight="1">
      <c r="A421" s="12"/>
      <c r="C421" s="12"/>
      <c r="D421" s="87"/>
      <c r="F421" s="14"/>
      <c r="G421" s="14"/>
      <c r="H421" s="14"/>
      <c r="I421" s="14"/>
      <c r="J421" s="14"/>
      <c r="K421" s="12"/>
    </row>
    <row r="422" ht="19.5" customHeight="1">
      <c r="A422" s="12"/>
      <c r="C422" s="12"/>
      <c r="D422" s="87"/>
      <c r="F422" s="14"/>
      <c r="G422" s="14"/>
      <c r="H422" s="14"/>
      <c r="I422" s="14"/>
      <c r="J422" s="14"/>
      <c r="K422" s="12"/>
    </row>
    <row r="423" ht="19.5" customHeight="1">
      <c r="A423" s="12"/>
      <c r="C423" s="12"/>
      <c r="D423" s="87"/>
      <c r="F423" s="14"/>
      <c r="G423" s="14"/>
      <c r="H423" s="14"/>
      <c r="I423" s="14"/>
      <c r="J423" s="14"/>
      <c r="K423" s="12"/>
    </row>
    <row r="424" ht="19.5" customHeight="1">
      <c r="A424" s="12"/>
      <c r="C424" s="12"/>
      <c r="D424" s="87"/>
      <c r="F424" s="14"/>
      <c r="G424" s="14"/>
      <c r="H424" s="14"/>
      <c r="I424" s="14"/>
      <c r="J424" s="14"/>
      <c r="K424" s="12"/>
    </row>
    <row r="425" ht="19.5" customHeight="1">
      <c r="A425" s="12"/>
      <c r="C425" s="12"/>
      <c r="D425" s="87"/>
      <c r="F425" s="14"/>
      <c r="G425" s="14"/>
      <c r="H425" s="14"/>
      <c r="I425" s="14"/>
      <c r="J425" s="14"/>
      <c r="K425" s="12"/>
    </row>
    <row r="426" ht="19.5" customHeight="1">
      <c r="A426" s="12"/>
      <c r="C426" s="12"/>
      <c r="D426" s="87"/>
      <c r="F426" s="14"/>
      <c r="G426" s="14"/>
      <c r="H426" s="14"/>
      <c r="I426" s="14"/>
      <c r="J426" s="14"/>
      <c r="K426" s="12"/>
    </row>
    <row r="427" ht="19.5" customHeight="1">
      <c r="A427" s="12"/>
      <c r="C427" s="12"/>
      <c r="D427" s="87"/>
      <c r="F427" s="14"/>
      <c r="G427" s="14"/>
      <c r="H427" s="14"/>
      <c r="I427" s="14"/>
      <c r="J427" s="14"/>
      <c r="K427" s="12"/>
    </row>
    <row r="428" ht="19.5" customHeight="1">
      <c r="A428" s="12"/>
      <c r="C428" s="12"/>
      <c r="D428" s="87"/>
      <c r="F428" s="14"/>
      <c r="G428" s="14"/>
      <c r="H428" s="14"/>
      <c r="I428" s="14"/>
      <c r="J428" s="14"/>
      <c r="K428" s="12"/>
    </row>
    <row r="429" ht="19.5" customHeight="1">
      <c r="A429" s="12"/>
      <c r="C429" s="12"/>
      <c r="D429" s="87"/>
      <c r="F429" s="14"/>
      <c r="G429" s="14"/>
      <c r="H429" s="14"/>
      <c r="I429" s="14"/>
      <c r="J429" s="14"/>
      <c r="K429" s="12"/>
    </row>
    <row r="430" ht="19.5" customHeight="1">
      <c r="A430" s="12"/>
      <c r="C430" s="12"/>
      <c r="D430" s="87"/>
      <c r="F430" s="14"/>
      <c r="G430" s="14"/>
      <c r="H430" s="14"/>
      <c r="I430" s="14"/>
      <c r="J430" s="14"/>
      <c r="K430" s="12"/>
    </row>
    <row r="431" ht="19.5" customHeight="1">
      <c r="A431" s="12"/>
      <c r="C431" s="12"/>
      <c r="D431" s="87"/>
      <c r="F431" s="14"/>
      <c r="G431" s="14"/>
      <c r="H431" s="14"/>
      <c r="I431" s="14"/>
      <c r="J431" s="14"/>
      <c r="K431" s="12"/>
    </row>
    <row r="432" ht="19.5" customHeight="1">
      <c r="A432" s="12"/>
      <c r="C432" s="12"/>
      <c r="D432" s="87"/>
      <c r="F432" s="14"/>
      <c r="G432" s="14"/>
      <c r="H432" s="14"/>
      <c r="I432" s="14"/>
      <c r="J432" s="14"/>
      <c r="K432" s="12"/>
    </row>
    <row r="433" ht="19.5" customHeight="1">
      <c r="A433" s="12"/>
      <c r="C433" s="12"/>
      <c r="D433" s="87"/>
      <c r="F433" s="14"/>
      <c r="G433" s="14"/>
      <c r="H433" s="14"/>
      <c r="I433" s="14"/>
      <c r="J433" s="14"/>
      <c r="K433" s="12"/>
    </row>
    <row r="434" ht="19.5" customHeight="1">
      <c r="A434" s="12"/>
      <c r="C434" s="12"/>
      <c r="D434" s="87"/>
      <c r="F434" s="14"/>
      <c r="G434" s="14"/>
      <c r="H434" s="14"/>
      <c r="I434" s="14"/>
      <c r="J434" s="14"/>
      <c r="K434" s="12"/>
    </row>
    <row r="435" ht="19.5" customHeight="1">
      <c r="A435" s="12"/>
      <c r="C435" s="12"/>
      <c r="D435" s="87"/>
      <c r="F435" s="14"/>
      <c r="G435" s="14"/>
      <c r="H435" s="14"/>
      <c r="I435" s="14"/>
      <c r="J435" s="14"/>
      <c r="K435" s="12"/>
    </row>
    <row r="436" ht="19.5" customHeight="1">
      <c r="A436" s="12"/>
      <c r="C436" s="12"/>
      <c r="D436" s="87"/>
      <c r="F436" s="14"/>
      <c r="G436" s="14"/>
      <c r="H436" s="14"/>
      <c r="I436" s="14"/>
      <c r="J436" s="14"/>
      <c r="K436" s="12"/>
    </row>
    <row r="437" ht="19.5" customHeight="1">
      <c r="A437" s="12"/>
      <c r="C437" s="12"/>
      <c r="D437" s="87"/>
      <c r="F437" s="14"/>
      <c r="G437" s="14"/>
      <c r="H437" s="14"/>
      <c r="I437" s="14"/>
      <c r="J437" s="14"/>
      <c r="K437" s="12"/>
    </row>
    <row r="438" ht="19.5" customHeight="1">
      <c r="A438" s="12"/>
      <c r="C438" s="12"/>
      <c r="D438" s="87"/>
      <c r="F438" s="14"/>
      <c r="G438" s="14"/>
      <c r="H438" s="14"/>
      <c r="I438" s="14"/>
      <c r="J438" s="14"/>
      <c r="K438" s="12"/>
    </row>
    <row r="439" ht="19.5" customHeight="1">
      <c r="A439" s="12"/>
      <c r="C439" s="12"/>
      <c r="D439" s="87"/>
      <c r="F439" s="14"/>
      <c r="G439" s="14"/>
      <c r="H439" s="14"/>
      <c r="I439" s="14"/>
      <c r="J439" s="14"/>
      <c r="K439" s="12"/>
    </row>
    <row r="440" ht="19.5" customHeight="1">
      <c r="A440" s="12"/>
      <c r="C440" s="12"/>
      <c r="D440" s="87"/>
      <c r="F440" s="14"/>
      <c r="G440" s="14"/>
      <c r="H440" s="14"/>
      <c r="I440" s="14"/>
      <c r="J440" s="14"/>
      <c r="K440" s="12"/>
    </row>
    <row r="441" ht="19.5" customHeight="1">
      <c r="A441" s="12"/>
      <c r="C441" s="12"/>
      <c r="D441" s="87"/>
      <c r="F441" s="14"/>
      <c r="G441" s="14"/>
      <c r="H441" s="14"/>
      <c r="I441" s="14"/>
      <c r="J441" s="14"/>
      <c r="K441" s="12"/>
    </row>
    <row r="442" ht="19.5" customHeight="1">
      <c r="A442" s="12"/>
      <c r="C442" s="12"/>
      <c r="D442" s="87"/>
      <c r="F442" s="14"/>
      <c r="G442" s="14"/>
      <c r="H442" s="14"/>
      <c r="I442" s="14"/>
      <c r="J442" s="14"/>
      <c r="K442" s="12"/>
    </row>
    <row r="443" ht="19.5" customHeight="1">
      <c r="A443" s="12"/>
      <c r="C443" s="12"/>
      <c r="D443" s="87"/>
      <c r="F443" s="14"/>
      <c r="G443" s="14"/>
      <c r="H443" s="14"/>
      <c r="I443" s="14"/>
      <c r="J443" s="14"/>
      <c r="K443" s="12"/>
    </row>
    <row r="444" ht="19.5" customHeight="1">
      <c r="A444" s="12"/>
      <c r="C444" s="12"/>
      <c r="D444" s="87"/>
      <c r="F444" s="14"/>
      <c r="G444" s="14"/>
      <c r="H444" s="14"/>
      <c r="I444" s="14"/>
      <c r="J444" s="14"/>
      <c r="K444" s="12"/>
    </row>
    <row r="445" ht="19.5" customHeight="1">
      <c r="A445" s="12"/>
      <c r="C445" s="12"/>
      <c r="D445" s="87"/>
      <c r="F445" s="14"/>
      <c r="G445" s="14"/>
      <c r="H445" s="14"/>
      <c r="I445" s="14"/>
      <c r="J445" s="14"/>
      <c r="K445" s="12"/>
    </row>
    <row r="446" ht="19.5" customHeight="1">
      <c r="A446" s="12"/>
      <c r="C446" s="12"/>
      <c r="D446" s="87"/>
      <c r="F446" s="14"/>
      <c r="G446" s="14"/>
      <c r="H446" s="14"/>
      <c r="I446" s="14"/>
      <c r="J446" s="14"/>
      <c r="K446" s="12"/>
    </row>
    <row r="447" ht="19.5" customHeight="1">
      <c r="A447" s="12"/>
      <c r="C447" s="12"/>
      <c r="D447" s="87"/>
      <c r="F447" s="14"/>
      <c r="G447" s="14"/>
      <c r="H447" s="14"/>
      <c r="I447" s="14"/>
      <c r="J447" s="14"/>
      <c r="K447" s="12"/>
    </row>
    <row r="448" ht="19.5" customHeight="1">
      <c r="A448" s="12"/>
      <c r="C448" s="12"/>
      <c r="D448" s="87"/>
      <c r="F448" s="14"/>
      <c r="G448" s="14"/>
      <c r="H448" s="14"/>
      <c r="I448" s="14"/>
      <c r="J448" s="14"/>
      <c r="K448" s="12"/>
    </row>
    <row r="449" ht="19.5" customHeight="1">
      <c r="A449" s="12"/>
      <c r="C449" s="12"/>
      <c r="D449" s="87"/>
      <c r="F449" s="14"/>
      <c r="G449" s="14"/>
      <c r="H449" s="14"/>
      <c r="I449" s="14"/>
      <c r="J449" s="14"/>
      <c r="K449" s="12"/>
    </row>
    <row r="450" ht="19.5" customHeight="1">
      <c r="A450" s="12"/>
      <c r="C450" s="12"/>
      <c r="D450" s="87"/>
      <c r="F450" s="14"/>
      <c r="G450" s="14"/>
      <c r="H450" s="14"/>
      <c r="I450" s="14"/>
      <c r="J450" s="14"/>
      <c r="K450" s="12"/>
    </row>
    <row r="451" ht="19.5" customHeight="1">
      <c r="A451" s="12"/>
      <c r="C451" s="12"/>
      <c r="D451" s="87"/>
      <c r="F451" s="14"/>
      <c r="G451" s="14"/>
      <c r="H451" s="14"/>
      <c r="I451" s="14"/>
      <c r="J451" s="14"/>
      <c r="K451" s="12"/>
    </row>
    <row r="452" ht="19.5" customHeight="1">
      <c r="A452" s="12"/>
      <c r="C452" s="12"/>
      <c r="D452" s="87"/>
      <c r="F452" s="14"/>
      <c r="G452" s="14"/>
      <c r="H452" s="14"/>
      <c r="I452" s="14"/>
      <c r="J452" s="14"/>
      <c r="K452" s="12"/>
    </row>
    <row r="453" ht="19.5" customHeight="1">
      <c r="A453" s="12"/>
      <c r="C453" s="12"/>
      <c r="D453" s="87"/>
      <c r="F453" s="14"/>
      <c r="G453" s="14"/>
      <c r="H453" s="14"/>
      <c r="I453" s="14"/>
      <c r="J453" s="14"/>
      <c r="K453" s="12"/>
    </row>
    <row r="454" ht="19.5" customHeight="1">
      <c r="A454" s="12"/>
      <c r="C454" s="12"/>
      <c r="D454" s="87"/>
      <c r="F454" s="14"/>
      <c r="G454" s="14"/>
      <c r="H454" s="14"/>
      <c r="I454" s="14"/>
      <c r="J454" s="14"/>
      <c r="K454" s="12"/>
    </row>
    <row r="455" ht="19.5" customHeight="1">
      <c r="A455" s="12"/>
      <c r="C455" s="12"/>
      <c r="D455" s="87"/>
      <c r="F455" s="14"/>
      <c r="G455" s="14"/>
      <c r="H455" s="14"/>
      <c r="I455" s="14"/>
      <c r="J455" s="14"/>
      <c r="K455" s="12"/>
    </row>
    <row r="456" ht="19.5" customHeight="1">
      <c r="A456" s="12"/>
      <c r="C456" s="12"/>
      <c r="D456" s="87"/>
      <c r="F456" s="14"/>
      <c r="G456" s="14"/>
      <c r="H456" s="14"/>
      <c r="I456" s="14"/>
      <c r="J456" s="14"/>
      <c r="K456" s="12"/>
    </row>
    <row r="457" ht="19.5" customHeight="1">
      <c r="A457" s="12"/>
      <c r="C457" s="12"/>
      <c r="D457" s="87"/>
      <c r="F457" s="14"/>
      <c r="G457" s="14"/>
      <c r="H457" s="14"/>
      <c r="I457" s="14"/>
      <c r="J457" s="14"/>
      <c r="K457" s="12"/>
    </row>
    <row r="458" ht="19.5" customHeight="1">
      <c r="A458" s="12"/>
      <c r="C458" s="12"/>
      <c r="D458" s="87"/>
      <c r="F458" s="14"/>
      <c r="G458" s="14"/>
      <c r="H458" s="14"/>
      <c r="I458" s="14"/>
      <c r="J458" s="14"/>
      <c r="K458" s="12"/>
    </row>
    <row r="459" ht="19.5" customHeight="1">
      <c r="A459" s="12"/>
      <c r="C459" s="12"/>
      <c r="D459" s="87"/>
      <c r="F459" s="14"/>
      <c r="G459" s="14"/>
      <c r="H459" s="14"/>
      <c r="I459" s="14"/>
      <c r="J459" s="14"/>
      <c r="K459" s="12"/>
    </row>
    <row r="460" ht="19.5" customHeight="1">
      <c r="A460" s="12"/>
      <c r="C460" s="12"/>
      <c r="D460" s="87"/>
      <c r="F460" s="14"/>
      <c r="G460" s="14"/>
      <c r="H460" s="14"/>
      <c r="I460" s="14"/>
      <c r="J460" s="14"/>
      <c r="K460" s="12"/>
    </row>
    <row r="461" ht="19.5" customHeight="1">
      <c r="A461" s="12"/>
      <c r="C461" s="12"/>
      <c r="D461" s="87"/>
      <c r="F461" s="14"/>
      <c r="G461" s="14"/>
      <c r="H461" s="14"/>
      <c r="I461" s="14"/>
      <c r="J461" s="14"/>
      <c r="K461" s="12"/>
    </row>
    <row r="462" ht="19.5" customHeight="1">
      <c r="A462" s="12"/>
      <c r="C462" s="12"/>
      <c r="D462" s="87"/>
      <c r="F462" s="14"/>
      <c r="G462" s="14"/>
      <c r="H462" s="14"/>
      <c r="I462" s="14"/>
      <c r="J462" s="14"/>
      <c r="K462" s="12"/>
    </row>
    <row r="463" ht="19.5" customHeight="1">
      <c r="A463" s="12"/>
      <c r="C463" s="12"/>
      <c r="D463" s="87"/>
      <c r="F463" s="14"/>
      <c r="G463" s="14"/>
      <c r="H463" s="14"/>
      <c r="I463" s="14"/>
      <c r="J463" s="14"/>
      <c r="K463" s="12"/>
    </row>
    <row r="464" ht="19.5" customHeight="1">
      <c r="A464" s="12"/>
      <c r="C464" s="12"/>
      <c r="D464" s="87"/>
      <c r="F464" s="14"/>
      <c r="G464" s="14"/>
      <c r="H464" s="14"/>
      <c r="I464" s="14"/>
      <c r="J464" s="14"/>
      <c r="K464" s="12"/>
    </row>
    <row r="465" ht="19.5" customHeight="1">
      <c r="A465" s="12"/>
      <c r="C465" s="12"/>
      <c r="D465" s="87"/>
      <c r="F465" s="14"/>
      <c r="G465" s="14"/>
      <c r="H465" s="14"/>
      <c r="I465" s="14"/>
      <c r="J465" s="14"/>
      <c r="K465" s="12"/>
    </row>
    <row r="466" ht="19.5" customHeight="1">
      <c r="A466" s="12"/>
      <c r="C466" s="12"/>
      <c r="D466" s="87"/>
      <c r="F466" s="14"/>
      <c r="G466" s="14"/>
      <c r="H466" s="14"/>
      <c r="I466" s="14"/>
      <c r="J466" s="14"/>
      <c r="K466" s="12"/>
    </row>
    <row r="467" ht="19.5" customHeight="1">
      <c r="A467" s="12"/>
      <c r="C467" s="12"/>
      <c r="D467" s="87"/>
      <c r="F467" s="14"/>
      <c r="G467" s="14"/>
      <c r="H467" s="14"/>
      <c r="I467" s="14"/>
      <c r="J467" s="14"/>
      <c r="K467" s="12"/>
    </row>
    <row r="468" ht="19.5" customHeight="1">
      <c r="A468" s="12"/>
      <c r="C468" s="12"/>
      <c r="D468" s="87"/>
      <c r="F468" s="14"/>
      <c r="G468" s="14"/>
      <c r="H468" s="14"/>
      <c r="I468" s="14"/>
      <c r="J468" s="14"/>
      <c r="K468" s="12"/>
    </row>
    <row r="469" ht="19.5" customHeight="1">
      <c r="A469" s="12"/>
      <c r="C469" s="12"/>
      <c r="D469" s="87"/>
      <c r="F469" s="14"/>
      <c r="G469" s="14"/>
      <c r="H469" s="14"/>
      <c r="I469" s="14"/>
      <c r="J469" s="14"/>
      <c r="K469" s="12"/>
    </row>
    <row r="470" ht="19.5" customHeight="1">
      <c r="A470" s="12"/>
      <c r="C470" s="12"/>
      <c r="D470" s="87"/>
      <c r="F470" s="14"/>
      <c r="G470" s="14"/>
      <c r="H470" s="14"/>
      <c r="I470" s="14"/>
      <c r="J470" s="14"/>
      <c r="K470" s="12"/>
    </row>
    <row r="471" ht="19.5" customHeight="1">
      <c r="A471" s="12"/>
      <c r="C471" s="12"/>
      <c r="D471" s="87"/>
      <c r="F471" s="14"/>
      <c r="G471" s="14"/>
      <c r="H471" s="14"/>
      <c r="I471" s="14"/>
      <c r="J471" s="14"/>
      <c r="K471" s="12"/>
    </row>
    <row r="472" ht="19.5" customHeight="1">
      <c r="A472" s="12"/>
      <c r="C472" s="12"/>
      <c r="D472" s="87"/>
      <c r="F472" s="14"/>
      <c r="G472" s="14"/>
      <c r="H472" s="14"/>
      <c r="I472" s="14"/>
      <c r="J472" s="14"/>
      <c r="K472" s="12"/>
    </row>
    <row r="473" ht="19.5" customHeight="1">
      <c r="A473" s="12"/>
      <c r="C473" s="12"/>
      <c r="D473" s="87"/>
      <c r="F473" s="14"/>
      <c r="G473" s="14"/>
      <c r="H473" s="14"/>
      <c r="I473" s="14"/>
      <c r="J473" s="14"/>
      <c r="K473" s="12"/>
    </row>
    <row r="474" ht="19.5" customHeight="1">
      <c r="A474" s="12"/>
      <c r="C474" s="12"/>
      <c r="D474" s="87"/>
      <c r="F474" s="14"/>
      <c r="G474" s="14"/>
      <c r="H474" s="14"/>
      <c r="I474" s="14"/>
      <c r="J474" s="14"/>
      <c r="K474" s="12"/>
    </row>
    <row r="475" ht="19.5" customHeight="1">
      <c r="A475" s="12"/>
      <c r="C475" s="12"/>
      <c r="D475" s="87"/>
      <c r="F475" s="14"/>
      <c r="G475" s="14"/>
      <c r="H475" s="14"/>
      <c r="I475" s="14"/>
      <c r="J475" s="14"/>
      <c r="K475" s="12"/>
    </row>
    <row r="476" ht="19.5" customHeight="1">
      <c r="A476" s="12"/>
      <c r="C476" s="12"/>
      <c r="D476" s="87"/>
      <c r="F476" s="14"/>
      <c r="G476" s="14"/>
      <c r="H476" s="14"/>
      <c r="I476" s="14"/>
      <c r="J476" s="14"/>
      <c r="K476" s="12"/>
    </row>
    <row r="477" ht="19.5" customHeight="1">
      <c r="A477" s="12"/>
      <c r="C477" s="12"/>
      <c r="D477" s="87"/>
      <c r="F477" s="14"/>
      <c r="G477" s="14"/>
      <c r="H477" s="14"/>
      <c r="I477" s="14"/>
      <c r="J477" s="14"/>
      <c r="K477" s="12"/>
    </row>
    <row r="478" ht="19.5" customHeight="1">
      <c r="A478" s="12"/>
      <c r="C478" s="12"/>
      <c r="D478" s="87"/>
      <c r="F478" s="14"/>
      <c r="G478" s="14"/>
      <c r="H478" s="14"/>
      <c r="I478" s="14"/>
      <c r="J478" s="14"/>
      <c r="K478" s="12"/>
    </row>
    <row r="479" ht="19.5" customHeight="1">
      <c r="A479" s="12"/>
      <c r="C479" s="12"/>
      <c r="D479" s="87"/>
      <c r="F479" s="14"/>
      <c r="G479" s="14"/>
      <c r="H479" s="14"/>
      <c r="I479" s="14"/>
      <c r="J479" s="14"/>
      <c r="K479" s="12"/>
    </row>
    <row r="480" ht="19.5" customHeight="1">
      <c r="A480" s="12"/>
      <c r="C480" s="12"/>
      <c r="D480" s="87"/>
      <c r="F480" s="14"/>
      <c r="G480" s="14"/>
      <c r="H480" s="14"/>
      <c r="I480" s="14"/>
      <c r="J480" s="14"/>
      <c r="K480" s="12"/>
    </row>
    <row r="481" ht="19.5" customHeight="1">
      <c r="A481" s="12"/>
      <c r="C481" s="12"/>
      <c r="D481" s="87"/>
      <c r="F481" s="14"/>
      <c r="G481" s="14"/>
      <c r="H481" s="14"/>
      <c r="I481" s="14"/>
      <c r="J481" s="14"/>
      <c r="K481" s="12"/>
    </row>
    <row r="482" ht="19.5" customHeight="1">
      <c r="A482" s="12"/>
      <c r="C482" s="12"/>
      <c r="D482" s="87"/>
      <c r="F482" s="14"/>
      <c r="G482" s="14"/>
      <c r="H482" s="14"/>
      <c r="I482" s="14"/>
      <c r="J482" s="14"/>
      <c r="K482" s="12"/>
    </row>
    <row r="483" ht="19.5" customHeight="1">
      <c r="A483" s="12"/>
      <c r="C483" s="12"/>
      <c r="D483" s="87"/>
      <c r="F483" s="14"/>
      <c r="G483" s="14"/>
      <c r="H483" s="14"/>
      <c r="I483" s="14"/>
      <c r="J483" s="14"/>
      <c r="K483" s="12"/>
    </row>
    <row r="484" ht="19.5" customHeight="1">
      <c r="A484" s="12"/>
      <c r="C484" s="12"/>
      <c r="D484" s="87"/>
      <c r="F484" s="14"/>
      <c r="G484" s="14"/>
      <c r="H484" s="14"/>
      <c r="I484" s="14"/>
      <c r="J484" s="14"/>
      <c r="K484" s="12"/>
    </row>
    <row r="485" ht="19.5" customHeight="1">
      <c r="A485" s="12"/>
      <c r="C485" s="12"/>
      <c r="D485" s="87"/>
      <c r="F485" s="14"/>
      <c r="G485" s="14"/>
      <c r="H485" s="14"/>
      <c r="I485" s="14"/>
      <c r="J485" s="14"/>
      <c r="K485" s="12"/>
    </row>
    <row r="486" ht="19.5" customHeight="1">
      <c r="A486" s="12"/>
      <c r="C486" s="12"/>
      <c r="D486" s="87"/>
      <c r="F486" s="14"/>
      <c r="G486" s="14"/>
      <c r="H486" s="14"/>
      <c r="I486" s="14"/>
      <c r="J486" s="14"/>
      <c r="K486" s="12"/>
    </row>
    <row r="487" ht="19.5" customHeight="1">
      <c r="A487" s="12"/>
      <c r="C487" s="12"/>
      <c r="D487" s="87"/>
      <c r="F487" s="14"/>
      <c r="G487" s="14"/>
      <c r="H487" s="14"/>
      <c r="I487" s="14"/>
      <c r="J487" s="14"/>
      <c r="K487" s="12"/>
    </row>
    <row r="488" ht="19.5" customHeight="1">
      <c r="A488" s="12"/>
      <c r="C488" s="12"/>
      <c r="D488" s="87"/>
      <c r="F488" s="14"/>
      <c r="G488" s="14"/>
      <c r="H488" s="14"/>
      <c r="I488" s="14"/>
      <c r="J488" s="14"/>
      <c r="K488" s="12"/>
    </row>
    <row r="489" ht="19.5" customHeight="1">
      <c r="A489" s="12"/>
      <c r="C489" s="12"/>
      <c r="D489" s="87"/>
      <c r="F489" s="14"/>
      <c r="G489" s="14"/>
      <c r="H489" s="14"/>
      <c r="I489" s="14"/>
      <c r="J489" s="14"/>
      <c r="K489" s="12"/>
    </row>
    <row r="490" ht="19.5" customHeight="1">
      <c r="A490" s="12"/>
      <c r="C490" s="12"/>
      <c r="D490" s="87"/>
      <c r="F490" s="14"/>
      <c r="G490" s="14"/>
      <c r="H490" s="14"/>
      <c r="I490" s="14"/>
      <c r="J490" s="14"/>
      <c r="K490" s="12"/>
    </row>
    <row r="491" ht="19.5" customHeight="1">
      <c r="A491" s="12"/>
      <c r="C491" s="12"/>
      <c r="D491" s="87"/>
      <c r="F491" s="14"/>
      <c r="G491" s="14"/>
      <c r="H491" s="14"/>
      <c r="I491" s="14"/>
      <c r="J491" s="14"/>
      <c r="K491" s="12"/>
    </row>
    <row r="492" ht="19.5" customHeight="1">
      <c r="A492" s="12"/>
      <c r="C492" s="12"/>
      <c r="D492" s="87"/>
      <c r="F492" s="14"/>
      <c r="G492" s="14"/>
      <c r="H492" s="14"/>
      <c r="I492" s="14"/>
      <c r="J492" s="14"/>
      <c r="K492" s="12"/>
    </row>
    <row r="493" ht="19.5" customHeight="1">
      <c r="A493" s="12"/>
      <c r="C493" s="12"/>
      <c r="D493" s="87"/>
      <c r="F493" s="14"/>
      <c r="G493" s="14"/>
      <c r="H493" s="14"/>
      <c r="I493" s="14"/>
      <c r="J493" s="14"/>
      <c r="K493" s="12"/>
    </row>
    <row r="494" ht="19.5" customHeight="1">
      <c r="A494" s="12"/>
      <c r="C494" s="12"/>
      <c r="D494" s="87"/>
      <c r="F494" s="14"/>
      <c r="G494" s="14"/>
      <c r="H494" s="14"/>
      <c r="I494" s="14"/>
      <c r="J494" s="14"/>
      <c r="K494" s="12"/>
    </row>
    <row r="495" ht="19.5" customHeight="1">
      <c r="A495" s="12"/>
      <c r="C495" s="12"/>
      <c r="D495" s="87"/>
      <c r="F495" s="14"/>
      <c r="G495" s="14"/>
      <c r="H495" s="14"/>
      <c r="I495" s="14"/>
      <c r="J495" s="14"/>
      <c r="K495" s="12"/>
    </row>
    <row r="496" ht="19.5" customHeight="1">
      <c r="A496" s="12"/>
      <c r="C496" s="12"/>
      <c r="D496" s="87"/>
      <c r="F496" s="14"/>
      <c r="G496" s="14"/>
      <c r="H496" s="14"/>
      <c r="I496" s="14"/>
      <c r="J496" s="14"/>
      <c r="K496" s="12"/>
    </row>
    <row r="497" ht="19.5" customHeight="1">
      <c r="A497" s="12"/>
      <c r="C497" s="12"/>
      <c r="D497" s="87"/>
      <c r="F497" s="14"/>
      <c r="G497" s="14"/>
      <c r="H497" s="14"/>
      <c r="I497" s="14"/>
      <c r="J497" s="14"/>
      <c r="K497" s="12"/>
    </row>
    <row r="498" ht="19.5" customHeight="1">
      <c r="A498" s="12"/>
      <c r="C498" s="12"/>
      <c r="D498" s="87"/>
      <c r="F498" s="14"/>
      <c r="G498" s="14"/>
      <c r="H498" s="14"/>
      <c r="I498" s="14"/>
      <c r="J498" s="14"/>
      <c r="K498" s="12"/>
    </row>
    <row r="499" ht="19.5" customHeight="1">
      <c r="A499" s="12"/>
      <c r="C499" s="12"/>
      <c r="D499" s="87"/>
      <c r="F499" s="14"/>
      <c r="G499" s="14"/>
      <c r="H499" s="14"/>
      <c r="I499" s="14"/>
      <c r="J499" s="14"/>
      <c r="K499" s="12"/>
    </row>
    <row r="500" ht="19.5" customHeight="1">
      <c r="A500" s="12"/>
      <c r="C500" s="12"/>
      <c r="D500" s="87"/>
      <c r="F500" s="14"/>
      <c r="G500" s="14"/>
      <c r="H500" s="14"/>
      <c r="I500" s="14"/>
      <c r="J500" s="14"/>
      <c r="K500" s="12"/>
    </row>
    <row r="501" ht="19.5" customHeight="1">
      <c r="A501" s="12"/>
      <c r="C501" s="12"/>
      <c r="D501" s="87"/>
      <c r="F501" s="14"/>
      <c r="G501" s="14"/>
      <c r="H501" s="14"/>
      <c r="I501" s="14"/>
      <c r="J501" s="14"/>
      <c r="K501" s="12"/>
    </row>
    <row r="502" ht="19.5" customHeight="1">
      <c r="A502" s="12"/>
      <c r="C502" s="12"/>
      <c r="D502" s="87"/>
      <c r="F502" s="14"/>
      <c r="G502" s="14"/>
      <c r="H502" s="14"/>
      <c r="I502" s="14"/>
      <c r="J502" s="14"/>
      <c r="K502" s="12"/>
    </row>
    <row r="503" ht="19.5" customHeight="1">
      <c r="A503" s="12"/>
      <c r="C503" s="12"/>
      <c r="D503" s="87"/>
      <c r="F503" s="14"/>
      <c r="G503" s="14"/>
      <c r="H503" s="14"/>
      <c r="I503" s="14"/>
      <c r="J503" s="14"/>
      <c r="K503" s="12"/>
    </row>
    <row r="504" ht="19.5" customHeight="1">
      <c r="A504" s="12"/>
      <c r="C504" s="12"/>
      <c r="D504" s="87"/>
      <c r="F504" s="14"/>
      <c r="G504" s="14"/>
      <c r="H504" s="14"/>
      <c r="I504" s="14"/>
      <c r="J504" s="14"/>
      <c r="K504" s="12"/>
    </row>
    <row r="505" ht="19.5" customHeight="1">
      <c r="A505" s="12"/>
      <c r="C505" s="12"/>
      <c r="D505" s="87"/>
      <c r="F505" s="14"/>
      <c r="G505" s="14"/>
      <c r="H505" s="14"/>
      <c r="I505" s="14"/>
      <c r="J505" s="14"/>
      <c r="K505" s="12"/>
    </row>
    <row r="506" ht="19.5" customHeight="1">
      <c r="A506" s="12"/>
      <c r="C506" s="12"/>
      <c r="D506" s="87"/>
      <c r="F506" s="14"/>
      <c r="G506" s="14"/>
      <c r="H506" s="14"/>
      <c r="I506" s="14"/>
      <c r="J506" s="14"/>
      <c r="K506" s="12"/>
    </row>
    <row r="507" ht="19.5" customHeight="1">
      <c r="A507" s="12"/>
      <c r="C507" s="12"/>
      <c r="D507" s="87"/>
      <c r="F507" s="14"/>
      <c r="G507" s="14"/>
      <c r="H507" s="14"/>
      <c r="I507" s="14"/>
      <c r="J507" s="14"/>
      <c r="K507" s="12"/>
    </row>
    <row r="508" ht="19.5" customHeight="1">
      <c r="A508" s="12"/>
      <c r="C508" s="12"/>
      <c r="D508" s="87"/>
      <c r="F508" s="14"/>
      <c r="G508" s="14"/>
      <c r="H508" s="14"/>
      <c r="I508" s="14"/>
      <c r="J508" s="14"/>
      <c r="K508" s="12"/>
    </row>
    <row r="509" ht="19.5" customHeight="1">
      <c r="A509" s="12"/>
      <c r="C509" s="12"/>
      <c r="D509" s="87"/>
      <c r="F509" s="14"/>
      <c r="G509" s="14"/>
      <c r="H509" s="14"/>
      <c r="I509" s="14"/>
      <c r="J509" s="14"/>
      <c r="K509" s="12"/>
    </row>
    <row r="510" ht="19.5" customHeight="1">
      <c r="A510" s="12"/>
      <c r="C510" s="12"/>
      <c r="D510" s="87"/>
      <c r="F510" s="14"/>
      <c r="G510" s="14"/>
      <c r="H510" s="14"/>
      <c r="I510" s="14"/>
      <c r="J510" s="14"/>
      <c r="K510" s="12"/>
    </row>
    <row r="511" ht="19.5" customHeight="1">
      <c r="A511" s="12"/>
      <c r="C511" s="12"/>
      <c r="D511" s="87"/>
      <c r="F511" s="14"/>
      <c r="G511" s="14"/>
      <c r="H511" s="14"/>
      <c r="I511" s="14"/>
      <c r="J511" s="14"/>
      <c r="K511" s="12"/>
    </row>
    <row r="512" ht="19.5" customHeight="1">
      <c r="A512" s="12"/>
      <c r="C512" s="12"/>
      <c r="D512" s="87"/>
      <c r="F512" s="14"/>
      <c r="G512" s="14"/>
      <c r="H512" s="14"/>
      <c r="I512" s="14"/>
      <c r="J512" s="14"/>
      <c r="K512" s="12"/>
    </row>
    <row r="513" ht="19.5" customHeight="1">
      <c r="A513" s="12"/>
      <c r="C513" s="12"/>
      <c r="D513" s="87"/>
      <c r="F513" s="14"/>
      <c r="G513" s="14"/>
      <c r="H513" s="14"/>
      <c r="I513" s="14"/>
      <c r="J513" s="14"/>
      <c r="K513" s="12"/>
    </row>
    <row r="514" ht="19.5" customHeight="1">
      <c r="A514" s="12"/>
      <c r="C514" s="12"/>
      <c r="D514" s="87"/>
      <c r="F514" s="14"/>
      <c r="G514" s="14"/>
      <c r="H514" s="14"/>
      <c r="I514" s="14"/>
      <c r="J514" s="14"/>
      <c r="K514" s="12"/>
    </row>
    <row r="515" ht="19.5" customHeight="1">
      <c r="A515" s="12"/>
      <c r="C515" s="12"/>
      <c r="D515" s="87"/>
      <c r="F515" s="14"/>
      <c r="G515" s="14"/>
      <c r="H515" s="14"/>
      <c r="I515" s="14"/>
      <c r="J515" s="14"/>
      <c r="K515" s="12"/>
    </row>
    <row r="516" ht="19.5" customHeight="1">
      <c r="A516" s="12"/>
      <c r="C516" s="12"/>
      <c r="D516" s="87"/>
      <c r="F516" s="14"/>
      <c r="G516" s="14"/>
      <c r="H516" s="14"/>
      <c r="I516" s="14"/>
      <c r="J516" s="14"/>
      <c r="K516" s="12"/>
    </row>
    <row r="517" ht="19.5" customHeight="1">
      <c r="A517" s="12"/>
      <c r="C517" s="12"/>
      <c r="D517" s="87"/>
      <c r="F517" s="14"/>
      <c r="G517" s="14"/>
      <c r="H517" s="14"/>
      <c r="I517" s="14"/>
      <c r="J517" s="14"/>
      <c r="K517" s="12"/>
    </row>
    <row r="518" ht="19.5" customHeight="1">
      <c r="A518" s="12"/>
      <c r="C518" s="12"/>
      <c r="D518" s="87"/>
      <c r="F518" s="14"/>
      <c r="G518" s="14"/>
      <c r="H518" s="14"/>
      <c r="I518" s="14"/>
      <c r="J518" s="14"/>
      <c r="K518" s="12"/>
    </row>
    <row r="519" ht="19.5" customHeight="1">
      <c r="A519" s="12"/>
      <c r="C519" s="12"/>
      <c r="D519" s="87"/>
      <c r="F519" s="14"/>
      <c r="G519" s="14"/>
      <c r="H519" s="14"/>
      <c r="I519" s="14"/>
      <c r="J519" s="14"/>
      <c r="K519" s="12"/>
    </row>
    <row r="520" ht="19.5" customHeight="1">
      <c r="A520" s="12"/>
      <c r="C520" s="12"/>
      <c r="D520" s="87"/>
      <c r="F520" s="14"/>
      <c r="G520" s="14"/>
      <c r="H520" s="14"/>
      <c r="I520" s="14"/>
      <c r="J520" s="14"/>
      <c r="K520" s="12"/>
    </row>
    <row r="521" ht="19.5" customHeight="1">
      <c r="A521" s="12"/>
      <c r="C521" s="12"/>
      <c r="D521" s="87"/>
      <c r="F521" s="14"/>
      <c r="G521" s="14"/>
      <c r="H521" s="14"/>
      <c r="I521" s="14"/>
      <c r="J521" s="14"/>
      <c r="K521" s="12"/>
    </row>
    <row r="522" ht="19.5" customHeight="1">
      <c r="A522" s="12"/>
      <c r="C522" s="12"/>
      <c r="D522" s="87"/>
      <c r="F522" s="14"/>
      <c r="G522" s="14"/>
      <c r="H522" s="14"/>
      <c r="I522" s="14"/>
      <c r="J522" s="14"/>
      <c r="K522" s="12"/>
    </row>
    <row r="523" ht="19.5" customHeight="1">
      <c r="A523" s="12"/>
      <c r="C523" s="12"/>
      <c r="D523" s="87"/>
      <c r="F523" s="14"/>
      <c r="G523" s="14"/>
      <c r="H523" s="14"/>
      <c r="I523" s="14"/>
      <c r="J523" s="14"/>
      <c r="K523" s="12"/>
    </row>
    <row r="524" ht="19.5" customHeight="1">
      <c r="A524" s="12"/>
      <c r="C524" s="12"/>
      <c r="D524" s="87"/>
      <c r="F524" s="14"/>
      <c r="G524" s="14"/>
      <c r="H524" s="14"/>
      <c r="I524" s="14"/>
      <c r="J524" s="14"/>
      <c r="K524" s="12"/>
    </row>
    <row r="525" ht="19.5" customHeight="1">
      <c r="A525" s="12"/>
      <c r="C525" s="12"/>
      <c r="D525" s="87"/>
      <c r="F525" s="14"/>
      <c r="G525" s="14"/>
      <c r="H525" s="14"/>
      <c r="I525" s="14"/>
      <c r="J525" s="14"/>
      <c r="K525" s="12"/>
    </row>
    <row r="526" ht="19.5" customHeight="1">
      <c r="A526" s="12"/>
      <c r="C526" s="12"/>
      <c r="D526" s="87"/>
      <c r="F526" s="14"/>
      <c r="G526" s="14"/>
      <c r="H526" s="14"/>
      <c r="I526" s="14"/>
      <c r="J526" s="14"/>
      <c r="K526" s="12"/>
    </row>
    <row r="527" ht="19.5" customHeight="1">
      <c r="A527" s="12"/>
      <c r="C527" s="12"/>
      <c r="D527" s="87"/>
      <c r="F527" s="14"/>
      <c r="G527" s="14"/>
      <c r="H527" s="14"/>
      <c r="I527" s="14"/>
      <c r="J527" s="14"/>
      <c r="K527" s="12"/>
    </row>
    <row r="528" ht="19.5" customHeight="1">
      <c r="A528" s="12"/>
      <c r="C528" s="12"/>
      <c r="D528" s="87"/>
      <c r="F528" s="14"/>
      <c r="G528" s="14"/>
      <c r="H528" s="14"/>
      <c r="I528" s="14"/>
      <c r="J528" s="14"/>
      <c r="K528" s="12"/>
    </row>
    <row r="529" ht="19.5" customHeight="1">
      <c r="A529" s="12"/>
      <c r="C529" s="12"/>
      <c r="D529" s="87"/>
      <c r="F529" s="14"/>
      <c r="G529" s="14"/>
      <c r="H529" s="14"/>
      <c r="I529" s="14"/>
      <c r="J529" s="14"/>
      <c r="K529" s="12"/>
    </row>
    <row r="530" ht="19.5" customHeight="1">
      <c r="A530" s="12"/>
      <c r="C530" s="12"/>
      <c r="D530" s="87"/>
      <c r="F530" s="14"/>
      <c r="G530" s="14"/>
      <c r="H530" s="14"/>
      <c r="I530" s="14"/>
      <c r="J530" s="14"/>
      <c r="K530" s="12"/>
    </row>
    <row r="531" ht="19.5" customHeight="1">
      <c r="A531" s="12"/>
      <c r="C531" s="12"/>
      <c r="D531" s="87"/>
      <c r="F531" s="14"/>
      <c r="G531" s="14"/>
      <c r="H531" s="14"/>
      <c r="I531" s="14"/>
      <c r="J531" s="14"/>
      <c r="K531" s="12"/>
    </row>
    <row r="532" ht="19.5" customHeight="1">
      <c r="A532" s="12"/>
      <c r="C532" s="12"/>
      <c r="D532" s="87"/>
      <c r="F532" s="14"/>
      <c r="G532" s="14"/>
      <c r="H532" s="14"/>
      <c r="I532" s="14"/>
      <c r="J532" s="14"/>
      <c r="K532" s="12"/>
    </row>
    <row r="533" ht="19.5" customHeight="1">
      <c r="A533" s="12"/>
      <c r="C533" s="12"/>
      <c r="D533" s="87"/>
      <c r="F533" s="14"/>
      <c r="G533" s="14"/>
      <c r="H533" s="14"/>
      <c r="I533" s="14"/>
      <c r="J533" s="14"/>
      <c r="K533" s="12"/>
    </row>
    <row r="534" ht="19.5" customHeight="1">
      <c r="A534" s="12"/>
      <c r="C534" s="12"/>
      <c r="D534" s="87"/>
      <c r="F534" s="14"/>
      <c r="G534" s="14"/>
      <c r="H534" s="14"/>
      <c r="I534" s="14"/>
      <c r="J534" s="14"/>
      <c r="K534" s="12"/>
    </row>
    <row r="535" ht="19.5" customHeight="1">
      <c r="A535" s="12"/>
      <c r="C535" s="12"/>
      <c r="D535" s="87"/>
      <c r="F535" s="14"/>
      <c r="G535" s="14"/>
      <c r="H535" s="14"/>
      <c r="I535" s="14"/>
      <c r="J535" s="14"/>
      <c r="K535" s="12"/>
    </row>
    <row r="536" ht="19.5" customHeight="1">
      <c r="A536" s="12"/>
      <c r="C536" s="12"/>
      <c r="D536" s="87"/>
      <c r="F536" s="14"/>
      <c r="G536" s="14"/>
      <c r="H536" s="14"/>
      <c r="I536" s="14"/>
      <c r="J536" s="14"/>
      <c r="K536" s="12"/>
    </row>
    <row r="537" ht="19.5" customHeight="1">
      <c r="A537" s="12"/>
      <c r="C537" s="12"/>
      <c r="D537" s="87"/>
      <c r="F537" s="14"/>
      <c r="G537" s="14"/>
      <c r="H537" s="14"/>
      <c r="I537" s="14"/>
      <c r="J537" s="14"/>
      <c r="K537" s="12"/>
    </row>
    <row r="538" ht="19.5" customHeight="1">
      <c r="A538" s="12"/>
      <c r="C538" s="12"/>
      <c r="D538" s="87"/>
      <c r="F538" s="14"/>
      <c r="G538" s="14"/>
      <c r="H538" s="14"/>
      <c r="I538" s="14"/>
      <c r="J538" s="14"/>
      <c r="K538" s="12"/>
    </row>
    <row r="539" ht="19.5" customHeight="1">
      <c r="A539" s="12"/>
      <c r="C539" s="12"/>
      <c r="D539" s="87"/>
      <c r="F539" s="14"/>
      <c r="G539" s="14"/>
      <c r="H539" s="14"/>
      <c r="I539" s="14"/>
      <c r="J539" s="14"/>
      <c r="K539" s="12"/>
    </row>
    <row r="540" ht="19.5" customHeight="1">
      <c r="A540" s="12"/>
      <c r="C540" s="12"/>
      <c r="D540" s="87"/>
      <c r="F540" s="14"/>
      <c r="G540" s="14"/>
      <c r="H540" s="14"/>
      <c r="I540" s="14"/>
      <c r="J540" s="14"/>
      <c r="K540" s="12"/>
    </row>
    <row r="541" ht="19.5" customHeight="1">
      <c r="A541" s="12"/>
      <c r="C541" s="12"/>
      <c r="D541" s="87"/>
      <c r="F541" s="14"/>
      <c r="G541" s="14"/>
      <c r="H541" s="14"/>
      <c r="I541" s="14"/>
      <c r="J541" s="14"/>
      <c r="K541" s="12"/>
    </row>
    <row r="542" ht="19.5" customHeight="1">
      <c r="A542" s="12"/>
      <c r="C542" s="12"/>
      <c r="D542" s="87"/>
      <c r="F542" s="14"/>
      <c r="G542" s="14"/>
      <c r="H542" s="14"/>
      <c r="I542" s="14"/>
      <c r="J542" s="14"/>
      <c r="K542" s="12"/>
    </row>
    <row r="543" ht="19.5" customHeight="1">
      <c r="A543" s="12"/>
      <c r="C543" s="12"/>
      <c r="D543" s="87"/>
      <c r="F543" s="14"/>
      <c r="G543" s="14"/>
      <c r="H543" s="14"/>
      <c r="I543" s="14"/>
      <c r="J543" s="14"/>
      <c r="K543" s="12"/>
    </row>
    <row r="544" ht="19.5" customHeight="1">
      <c r="A544" s="12"/>
      <c r="C544" s="12"/>
      <c r="D544" s="87"/>
      <c r="F544" s="14"/>
      <c r="G544" s="14"/>
      <c r="H544" s="14"/>
      <c r="I544" s="14"/>
      <c r="J544" s="14"/>
      <c r="K544" s="12"/>
    </row>
    <row r="545" ht="19.5" customHeight="1">
      <c r="A545" s="12"/>
      <c r="C545" s="12"/>
      <c r="D545" s="87"/>
      <c r="F545" s="14"/>
      <c r="G545" s="14"/>
      <c r="H545" s="14"/>
      <c r="I545" s="14"/>
      <c r="J545" s="14"/>
      <c r="K545" s="12"/>
    </row>
    <row r="546" ht="19.5" customHeight="1">
      <c r="A546" s="12"/>
      <c r="C546" s="12"/>
      <c r="D546" s="87"/>
      <c r="F546" s="14"/>
      <c r="G546" s="14"/>
      <c r="H546" s="14"/>
      <c r="I546" s="14"/>
      <c r="J546" s="14"/>
      <c r="K546" s="12"/>
    </row>
    <row r="547" ht="19.5" customHeight="1">
      <c r="A547" s="12"/>
      <c r="C547" s="12"/>
      <c r="D547" s="87"/>
      <c r="F547" s="14"/>
      <c r="G547" s="14"/>
      <c r="H547" s="14"/>
      <c r="I547" s="14"/>
      <c r="J547" s="14"/>
      <c r="K547" s="12"/>
    </row>
    <row r="548" ht="19.5" customHeight="1">
      <c r="A548" s="12"/>
      <c r="C548" s="12"/>
      <c r="D548" s="87"/>
      <c r="F548" s="14"/>
      <c r="G548" s="14"/>
      <c r="H548" s="14"/>
      <c r="I548" s="14"/>
      <c r="J548" s="14"/>
      <c r="K548" s="12"/>
    </row>
    <row r="549" ht="19.5" customHeight="1">
      <c r="A549" s="12"/>
      <c r="C549" s="12"/>
      <c r="D549" s="87"/>
      <c r="F549" s="14"/>
      <c r="G549" s="14"/>
      <c r="H549" s="14"/>
      <c r="I549" s="14"/>
      <c r="J549" s="14"/>
      <c r="K549" s="12"/>
    </row>
    <row r="550" ht="19.5" customHeight="1">
      <c r="A550" s="12"/>
      <c r="C550" s="12"/>
      <c r="D550" s="87"/>
      <c r="F550" s="14"/>
      <c r="G550" s="14"/>
      <c r="H550" s="14"/>
      <c r="I550" s="14"/>
      <c r="J550" s="14"/>
      <c r="K550" s="12"/>
    </row>
    <row r="551" ht="19.5" customHeight="1">
      <c r="A551" s="12"/>
      <c r="C551" s="12"/>
      <c r="D551" s="87"/>
      <c r="F551" s="14"/>
      <c r="G551" s="14"/>
      <c r="H551" s="14"/>
      <c r="I551" s="14"/>
      <c r="J551" s="14"/>
      <c r="K551" s="12"/>
    </row>
    <row r="552" ht="19.5" customHeight="1">
      <c r="A552" s="12"/>
      <c r="C552" s="12"/>
      <c r="D552" s="87"/>
      <c r="F552" s="14"/>
      <c r="G552" s="14"/>
      <c r="H552" s="14"/>
      <c r="I552" s="14"/>
      <c r="J552" s="14"/>
      <c r="K552" s="12"/>
    </row>
    <row r="553" ht="19.5" customHeight="1">
      <c r="A553" s="12"/>
      <c r="C553" s="12"/>
      <c r="D553" s="87"/>
      <c r="F553" s="14"/>
      <c r="G553" s="14"/>
      <c r="H553" s="14"/>
      <c r="I553" s="14"/>
      <c r="J553" s="14"/>
      <c r="K553" s="12"/>
    </row>
    <row r="554" ht="19.5" customHeight="1">
      <c r="A554" s="12"/>
      <c r="C554" s="12"/>
      <c r="D554" s="87"/>
      <c r="F554" s="14"/>
      <c r="G554" s="14"/>
      <c r="H554" s="14"/>
      <c r="I554" s="14"/>
      <c r="J554" s="14"/>
      <c r="K554" s="12"/>
    </row>
    <row r="555" ht="19.5" customHeight="1">
      <c r="A555" s="12"/>
      <c r="C555" s="12"/>
      <c r="D555" s="87"/>
      <c r="F555" s="14"/>
      <c r="G555" s="14"/>
      <c r="H555" s="14"/>
      <c r="I555" s="14"/>
      <c r="J555" s="14"/>
      <c r="K555" s="12"/>
    </row>
    <row r="556" ht="19.5" customHeight="1">
      <c r="A556" s="12"/>
      <c r="C556" s="12"/>
      <c r="D556" s="87"/>
      <c r="F556" s="14"/>
      <c r="G556" s="14"/>
      <c r="H556" s="14"/>
      <c r="I556" s="14"/>
      <c r="J556" s="14"/>
      <c r="K556" s="12"/>
    </row>
    <row r="557" ht="19.5" customHeight="1">
      <c r="A557" s="12"/>
      <c r="C557" s="12"/>
      <c r="D557" s="87"/>
      <c r="F557" s="14"/>
      <c r="G557" s="14"/>
      <c r="H557" s="14"/>
      <c r="I557" s="14"/>
      <c r="J557" s="14"/>
      <c r="K557" s="12"/>
    </row>
    <row r="558" ht="19.5" customHeight="1">
      <c r="A558" s="12"/>
      <c r="C558" s="12"/>
      <c r="D558" s="87"/>
      <c r="F558" s="14"/>
      <c r="G558" s="14"/>
      <c r="H558" s="14"/>
      <c r="I558" s="14"/>
      <c r="J558" s="14"/>
      <c r="K558" s="12"/>
    </row>
    <row r="559" ht="19.5" customHeight="1">
      <c r="A559" s="12"/>
      <c r="C559" s="12"/>
      <c r="D559" s="87"/>
      <c r="F559" s="14"/>
      <c r="G559" s="14"/>
      <c r="H559" s="14"/>
      <c r="I559" s="14"/>
      <c r="J559" s="14"/>
      <c r="K559" s="12"/>
    </row>
    <row r="560" ht="19.5" customHeight="1">
      <c r="A560" s="12"/>
      <c r="C560" s="12"/>
      <c r="D560" s="87"/>
      <c r="F560" s="14"/>
      <c r="G560" s="14"/>
      <c r="H560" s="14"/>
      <c r="I560" s="14"/>
      <c r="J560" s="14"/>
      <c r="K560" s="12"/>
    </row>
    <row r="561" ht="19.5" customHeight="1">
      <c r="A561" s="12"/>
      <c r="C561" s="12"/>
      <c r="D561" s="87"/>
      <c r="F561" s="14"/>
      <c r="G561" s="14"/>
      <c r="H561" s="14"/>
      <c r="I561" s="14"/>
      <c r="J561" s="14"/>
      <c r="K561" s="12"/>
    </row>
    <row r="562" ht="19.5" customHeight="1">
      <c r="A562" s="12"/>
      <c r="C562" s="12"/>
      <c r="D562" s="87"/>
      <c r="F562" s="14"/>
      <c r="G562" s="14"/>
      <c r="H562" s="14"/>
      <c r="I562" s="14"/>
      <c r="J562" s="14"/>
      <c r="K562" s="12"/>
    </row>
    <row r="563" ht="19.5" customHeight="1">
      <c r="A563" s="12"/>
      <c r="C563" s="12"/>
      <c r="D563" s="87"/>
      <c r="F563" s="14"/>
      <c r="G563" s="14"/>
      <c r="H563" s="14"/>
      <c r="I563" s="14"/>
      <c r="J563" s="14"/>
      <c r="K563" s="12"/>
    </row>
    <row r="564" ht="19.5" customHeight="1">
      <c r="A564" s="12"/>
      <c r="C564" s="12"/>
      <c r="D564" s="87"/>
      <c r="F564" s="14"/>
      <c r="G564" s="14"/>
      <c r="H564" s="14"/>
      <c r="I564" s="14"/>
      <c r="J564" s="14"/>
      <c r="K564" s="12"/>
    </row>
    <row r="565" ht="19.5" customHeight="1">
      <c r="A565" s="12"/>
      <c r="C565" s="12"/>
      <c r="D565" s="87"/>
      <c r="F565" s="14"/>
      <c r="G565" s="14"/>
      <c r="H565" s="14"/>
      <c r="I565" s="14"/>
      <c r="J565" s="14"/>
      <c r="K565" s="12"/>
    </row>
    <row r="566" ht="19.5" customHeight="1">
      <c r="A566" s="12"/>
      <c r="C566" s="12"/>
      <c r="D566" s="87"/>
      <c r="F566" s="14"/>
      <c r="G566" s="14"/>
      <c r="H566" s="14"/>
      <c r="I566" s="14"/>
      <c r="J566" s="14"/>
      <c r="K566" s="12"/>
    </row>
    <row r="567" ht="19.5" customHeight="1">
      <c r="A567" s="12"/>
      <c r="C567" s="12"/>
      <c r="D567" s="87"/>
      <c r="F567" s="14"/>
      <c r="G567" s="14"/>
      <c r="H567" s="14"/>
      <c r="I567" s="14"/>
      <c r="J567" s="14"/>
      <c r="K567" s="12"/>
    </row>
    <row r="568" ht="19.5" customHeight="1">
      <c r="A568" s="12"/>
      <c r="C568" s="12"/>
      <c r="D568" s="87"/>
      <c r="F568" s="14"/>
      <c r="G568" s="14"/>
      <c r="H568" s="14"/>
      <c r="I568" s="14"/>
      <c r="J568" s="14"/>
      <c r="K568" s="12"/>
    </row>
    <row r="569" ht="19.5" customHeight="1">
      <c r="A569" s="12"/>
      <c r="C569" s="12"/>
      <c r="D569" s="87"/>
      <c r="F569" s="14"/>
      <c r="G569" s="14"/>
      <c r="H569" s="14"/>
      <c r="I569" s="14"/>
      <c r="J569" s="14"/>
      <c r="K569" s="12"/>
    </row>
    <row r="570" ht="19.5" customHeight="1">
      <c r="A570" s="12"/>
      <c r="C570" s="12"/>
      <c r="D570" s="87"/>
      <c r="F570" s="14"/>
      <c r="G570" s="14"/>
      <c r="H570" s="14"/>
      <c r="I570" s="14"/>
      <c r="J570" s="14"/>
      <c r="K570" s="12"/>
    </row>
    <row r="571" ht="19.5" customHeight="1">
      <c r="A571" s="12"/>
      <c r="C571" s="12"/>
      <c r="D571" s="87"/>
      <c r="F571" s="14"/>
      <c r="G571" s="14"/>
      <c r="H571" s="14"/>
      <c r="I571" s="14"/>
      <c r="J571" s="14"/>
      <c r="K571" s="12"/>
    </row>
    <row r="572" ht="19.5" customHeight="1">
      <c r="A572" s="12"/>
      <c r="C572" s="12"/>
      <c r="D572" s="87"/>
      <c r="F572" s="14"/>
      <c r="G572" s="14"/>
      <c r="H572" s="14"/>
      <c r="I572" s="14"/>
      <c r="J572" s="14"/>
      <c r="K572" s="12"/>
    </row>
    <row r="573" ht="19.5" customHeight="1">
      <c r="A573" s="12"/>
      <c r="C573" s="12"/>
      <c r="D573" s="87"/>
      <c r="F573" s="14"/>
      <c r="G573" s="14"/>
      <c r="H573" s="14"/>
      <c r="I573" s="14"/>
      <c r="J573" s="14"/>
      <c r="K573" s="12"/>
    </row>
    <row r="574" ht="19.5" customHeight="1">
      <c r="A574" s="12"/>
      <c r="C574" s="12"/>
      <c r="D574" s="87"/>
      <c r="F574" s="14"/>
      <c r="G574" s="14"/>
      <c r="H574" s="14"/>
      <c r="I574" s="14"/>
      <c r="J574" s="14"/>
      <c r="K574" s="12"/>
    </row>
    <row r="575" ht="19.5" customHeight="1">
      <c r="A575" s="12"/>
      <c r="C575" s="12"/>
      <c r="D575" s="87"/>
      <c r="F575" s="14"/>
      <c r="G575" s="14"/>
      <c r="H575" s="14"/>
      <c r="I575" s="14"/>
      <c r="J575" s="14"/>
      <c r="K575" s="12"/>
    </row>
    <row r="576" ht="19.5" customHeight="1">
      <c r="A576" s="12"/>
      <c r="C576" s="12"/>
      <c r="D576" s="87"/>
      <c r="F576" s="14"/>
      <c r="G576" s="14"/>
      <c r="H576" s="14"/>
      <c r="I576" s="14"/>
      <c r="J576" s="14"/>
      <c r="K576" s="12"/>
    </row>
    <row r="577" ht="19.5" customHeight="1">
      <c r="A577" s="12"/>
      <c r="C577" s="12"/>
      <c r="D577" s="87"/>
      <c r="F577" s="14"/>
      <c r="G577" s="14"/>
      <c r="H577" s="14"/>
      <c r="I577" s="14"/>
      <c r="J577" s="14"/>
      <c r="K577" s="12"/>
    </row>
    <row r="578" ht="19.5" customHeight="1">
      <c r="A578" s="12"/>
      <c r="C578" s="12"/>
      <c r="D578" s="87"/>
      <c r="F578" s="14"/>
      <c r="G578" s="14"/>
      <c r="H578" s="14"/>
      <c r="I578" s="14"/>
      <c r="J578" s="14"/>
      <c r="K578" s="12"/>
    </row>
    <row r="579" ht="19.5" customHeight="1">
      <c r="A579" s="12"/>
      <c r="C579" s="12"/>
      <c r="D579" s="87"/>
      <c r="F579" s="14"/>
      <c r="G579" s="14"/>
      <c r="H579" s="14"/>
      <c r="I579" s="14"/>
      <c r="J579" s="14"/>
      <c r="K579" s="12"/>
    </row>
    <row r="580" ht="19.5" customHeight="1">
      <c r="A580" s="12"/>
      <c r="C580" s="12"/>
      <c r="D580" s="87"/>
      <c r="F580" s="14"/>
      <c r="G580" s="14"/>
      <c r="H580" s="14"/>
      <c r="I580" s="14"/>
      <c r="J580" s="14"/>
      <c r="K580" s="12"/>
    </row>
    <row r="581" ht="19.5" customHeight="1">
      <c r="A581" s="12"/>
      <c r="C581" s="12"/>
      <c r="D581" s="87"/>
      <c r="F581" s="14"/>
      <c r="G581" s="14"/>
      <c r="H581" s="14"/>
      <c r="I581" s="14"/>
      <c r="J581" s="14"/>
      <c r="K581" s="12"/>
    </row>
    <row r="582" ht="19.5" customHeight="1">
      <c r="A582" s="12"/>
      <c r="C582" s="12"/>
      <c r="D582" s="87"/>
      <c r="F582" s="14"/>
      <c r="G582" s="14"/>
      <c r="H582" s="14"/>
      <c r="I582" s="14"/>
      <c r="J582" s="14"/>
      <c r="K582" s="12"/>
    </row>
    <row r="583" ht="19.5" customHeight="1">
      <c r="A583" s="12"/>
      <c r="C583" s="12"/>
      <c r="D583" s="87"/>
      <c r="F583" s="14"/>
      <c r="G583" s="14"/>
      <c r="H583" s="14"/>
      <c r="I583" s="14"/>
      <c r="J583" s="14"/>
      <c r="K583" s="12"/>
    </row>
    <row r="584" ht="19.5" customHeight="1">
      <c r="A584" s="12"/>
      <c r="C584" s="12"/>
      <c r="D584" s="87"/>
      <c r="F584" s="14"/>
      <c r="G584" s="14"/>
      <c r="H584" s="14"/>
      <c r="I584" s="14"/>
      <c r="J584" s="14"/>
      <c r="K584" s="12"/>
    </row>
    <row r="585" ht="19.5" customHeight="1">
      <c r="A585" s="12"/>
      <c r="C585" s="12"/>
      <c r="D585" s="87"/>
      <c r="F585" s="14"/>
      <c r="G585" s="14"/>
      <c r="H585" s="14"/>
      <c r="I585" s="14"/>
      <c r="J585" s="14"/>
      <c r="K585" s="12"/>
    </row>
    <row r="586" ht="19.5" customHeight="1">
      <c r="A586" s="12"/>
      <c r="C586" s="12"/>
      <c r="D586" s="87"/>
      <c r="F586" s="14"/>
      <c r="G586" s="14"/>
      <c r="H586" s="14"/>
      <c r="I586" s="14"/>
      <c r="J586" s="14"/>
      <c r="K586" s="12"/>
    </row>
    <row r="587" ht="19.5" customHeight="1">
      <c r="A587" s="12"/>
      <c r="C587" s="12"/>
      <c r="D587" s="87"/>
      <c r="F587" s="14"/>
      <c r="G587" s="14"/>
      <c r="H587" s="14"/>
      <c r="I587" s="14"/>
      <c r="J587" s="14"/>
      <c r="K587" s="12"/>
    </row>
    <row r="588" ht="19.5" customHeight="1">
      <c r="A588" s="12"/>
      <c r="C588" s="12"/>
      <c r="D588" s="87"/>
      <c r="F588" s="14"/>
      <c r="G588" s="14"/>
      <c r="H588" s="14"/>
      <c r="I588" s="14"/>
      <c r="J588" s="14"/>
      <c r="K588" s="12"/>
    </row>
    <row r="589" ht="19.5" customHeight="1">
      <c r="A589" s="12"/>
      <c r="C589" s="12"/>
      <c r="D589" s="87"/>
      <c r="F589" s="14"/>
      <c r="G589" s="14"/>
      <c r="H589" s="14"/>
      <c r="I589" s="14"/>
      <c r="J589" s="14"/>
      <c r="K589" s="12"/>
    </row>
    <row r="590" ht="19.5" customHeight="1">
      <c r="A590" s="12"/>
      <c r="C590" s="12"/>
      <c r="D590" s="87"/>
      <c r="F590" s="14"/>
      <c r="G590" s="14"/>
      <c r="H590" s="14"/>
      <c r="I590" s="14"/>
      <c r="J590" s="14"/>
      <c r="K590" s="12"/>
    </row>
    <row r="591" ht="19.5" customHeight="1">
      <c r="A591" s="12"/>
      <c r="C591" s="12"/>
      <c r="D591" s="87"/>
      <c r="F591" s="14"/>
      <c r="G591" s="14"/>
      <c r="H591" s="14"/>
      <c r="I591" s="14"/>
      <c r="J591" s="14"/>
      <c r="K591" s="12"/>
    </row>
    <row r="592" ht="19.5" customHeight="1">
      <c r="A592" s="12"/>
      <c r="C592" s="12"/>
      <c r="D592" s="87"/>
      <c r="F592" s="14"/>
      <c r="G592" s="14"/>
      <c r="H592" s="14"/>
      <c r="I592" s="14"/>
      <c r="J592" s="14"/>
      <c r="K592" s="12"/>
    </row>
    <row r="593" ht="19.5" customHeight="1">
      <c r="A593" s="12"/>
      <c r="C593" s="12"/>
      <c r="D593" s="87"/>
      <c r="F593" s="14"/>
      <c r="G593" s="14"/>
      <c r="H593" s="14"/>
      <c r="I593" s="14"/>
      <c r="J593" s="14"/>
      <c r="K593" s="12"/>
    </row>
    <row r="594" ht="19.5" customHeight="1">
      <c r="A594" s="12"/>
      <c r="C594" s="12"/>
      <c r="D594" s="87"/>
      <c r="F594" s="14"/>
      <c r="G594" s="14"/>
      <c r="H594" s="14"/>
      <c r="I594" s="14"/>
      <c r="J594" s="14"/>
      <c r="K594" s="12"/>
    </row>
    <row r="595" ht="19.5" customHeight="1">
      <c r="A595" s="12"/>
      <c r="C595" s="12"/>
      <c r="D595" s="87"/>
      <c r="F595" s="14"/>
      <c r="G595" s="14"/>
      <c r="H595" s="14"/>
      <c r="I595" s="14"/>
      <c r="J595" s="14"/>
      <c r="K595" s="12"/>
    </row>
    <row r="596" ht="19.5" customHeight="1">
      <c r="A596" s="12"/>
      <c r="C596" s="12"/>
      <c r="D596" s="87"/>
      <c r="F596" s="14"/>
      <c r="G596" s="14"/>
      <c r="H596" s="14"/>
      <c r="I596" s="14"/>
      <c r="J596" s="14"/>
      <c r="K596" s="12"/>
    </row>
    <row r="597" ht="19.5" customHeight="1">
      <c r="A597" s="12"/>
      <c r="C597" s="12"/>
      <c r="D597" s="87"/>
      <c r="F597" s="14"/>
      <c r="G597" s="14"/>
      <c r="H597" s="14"/>
      <c r="I597" s="14"/>
      <c r="J597" s="14"/>
      <c r="K597" s="12"/>
    </row>
    <row r="598" ht="19.5" customHeight="1">
      <c r="A598" s="12"/>
      <c r="C598" s="12"/>
      <c r="D598" s="87"/>
      <c r="F598" s="14"/>
      <c r="G598" s="14"/>
      <c r="H598" s="14"/>
      <c r="I598" s="14"/>
      <c r="J598" s="14"/>
      <c r="K598" s="12"/>
    </row>
    <row r="599" ht="19.5" customHeight="1">
      <c r="A599" s="12"/>
      <c r="C599" s="12"/>
      <c r="D599" s="87"/>
      <c r="F599" s="14"/>
      <c r="G599" s="14"/>
      <c r="H599" s="14"/>
      <c r="I599" s="14"/>
      <c r="J599" s="14"/>
      <c r="K599" s="12"/>
    </row>
    <row r="600" ht="19.5" customHeight="1">
      <c r="A600" s="12"/>
      <c r="C600" s="12"/>
      <c r="D600" s="87"/>
      <c r="F600" s="14"/>
      <c r="G600" s="14"/>
      <c r="H600" s="14"/>
      <c r="I600" s="14"/>
      <c r="J600" s="14"/>
      <c r="K600" s="12"/>
    </row>
    <row r="601" ht="19.5" customHeight="1">
      <c r="A601" s="12"/>
      <c r="C601" s="12"/>
      <c r="D601" s="87"/>
      <c r="F601" s="14"/>
      <c r="G601" s="14"/>
      <c r="H601" s="14"/>
      <c r="I601" s="14"/>
      <c r="J601" s="14"/>
      <c r="K601" s="12"/>
    </row>
    <row r="602" ht="19.5" customHeight="1">
      <c r="A602" s="12"/>
      <c r="C602" s="12"/>
      <c r="D602" s="87"/>
      <c r="F602" s="14"/>
      <c r="G602" s="14"/>
      <c r="H602" s="14"/>
      <c r="I602" s="14"/>
      <c r="J602" s="14"/>
      <c r="K602" s="12"/>
    </row>
    <row r="603" ht="19.5" customHeight="1">
      <c r="A603" s="12"/>
      <c r="C603" s="12"/>
      <c r="D603" s="87"/>
      <c r="F603" s="14"/>
      <c r="G603" s="14"/>
      <c r="H603" s="14"/>
      <c r="I603" s="14"/>
      <c r="J603" s="14"/>
      <c r="K603" s="12"/>
    </row>
    <row r="604" ht="19.5" customHeight="1">
      <c r="A604" s="12"/>
      <c r="C604" s="12"/>
      <c r="D604" s="87"/>
      <c r="F604" s="14"/>
      <c r="G604" s="14"/>
      <c r="H604" s="14"/>
      <c r="I604" s="14"/>
      <c r="J604" s="14"/>
      <c r="K604" s="12"/>
    </row>
    <row r="605" ht="19.5" customHeight="1">
      <c r="A605" s="12"/>
      <c r="C605" s="12"/>
      <c r="D605" s="87"/>
      <c r="F605" s="14"/>
      <c r="G605" s="14"/>
      <c r="H605" s="14"/>
      <c r="I605" s="14"/>
      <c r="J605" s="14"/>
      <c r="K605" s="12"/>
    </row>
    <row r="606" ht="19.5" customHeight="1">
      <c r="A606" s="12"/>
      <c r="C606" s="12"/>
      <c r="D606" s="87"/>
      <c r="F606" s="14"/>
      <c r="G606" s="14"/>
      <c r="H606" s="14"/>
      <c r="I606" s="14"/>
      <c r="J606" s="14"/>
      <c r="K606" s="12"/>
    </row>
    <row r="607" ht="19.5" customHeight="1">
      <c r="A607" s="12"/>
      <c r="C607" s="12"/>
      <c r="D607" s="87"/>
      <c r="F607" s="14"/>
      <c r="G607" s="14"/>
      <c r="H607" s="14"/>
      <c r="I607" s="14"/>
      <c r="J607" s="14"/>
      <c r="K607" s="12"/>
    </row>
    <row r="608" ht="19.5" customHeight="1">
      <c r="A608" s="12"/>
      <c r="C608" s="12"/>
      <c r="D608" s="87"/>
      <c r="F608" s="14"/>
      <c r="G608" s="14"/>
      <c r="H608" s="14"/>
      <c r="I608" s="14"/>
      <c r="J608" s="14"/>
      <c r="K608" s="12"/>
    </row>
    <row r="609" ht="19.5" customHeight="1">
      <c r="A609" s="12"/>
      <c r="C609" s="12"/>
      <c r="D609" s="87"/>
      <c r="F609" s="14"/>
      <c r="G609" s="14"/>
      <c r="H609" s="14"/>
      <c r="I609" s="14"/>
      <c r="J609" s="14"/>
      <c r="K609" s="12"/>
    </row>
    <row r="610" ht="19.5" customHeight="1">
      <c r="A610" s="12"/>
      <c r="C610" s="12"/>
      <c r="D610" s="87"/>
      <c r="F610" s="14"/>
      <c r="G610" s="14"/>
      <c r="H610" s="14"/>
      <c r="I610" s="14"/>
      <c r="J610" s="14"/>
      <c r="K610" s="12"/>
    </row>
    <row r="611" ht="19.5" customHeight="1">
      <c r="A611" s="12"/>
      <c r="C611" s="12"/>
      <c r="D611" s="87"/>
      <c r="F611" s="14"/>
      <c r="G611" s="14"/>
      <c r="H611" s="14"/>
      <c r="I611" s="14"/>
      <c r="J611" s="14"/>
      <c r="K611" s="12"/>
    </row>
    <row r="612" ht="19.5" customHeight="1">
      <c r="A612" s="12"/>
      <c r="C612" s="12"/>
      <c r="D612" s="87"/>
      <c r="F612" s="14"/>
      <c r="G612" s="14"/>
      <c r="H612" s="14"/>
      <c r="I612" s="14"/>
      <c r="J612" s="14"/>
      <c r="K612" s="12"/>
    </row>
    <row r="613" ht="19.5" customHeight="1">
      <c r="A613" s="12"/>
      <c r="C613" s="12"/>
      <c r="D613" s="87"/>
      <c r="F613" s="14"/>
      <c r="G613" s="14"/>
      <c r="H613" s="14"/>
      <c r="I613" s="14"/>
      <c r="J613" s="14"/>
      <c r="K613" s="12"/>
    </row>
    <row r="614" ht="19.5" customHeight="1">
      <c r="A614" s="12"/>
      <c r="C614" s="12"/>
      <c r="D614" s="87"/>
      <c r="F614" s="14"/>
      <c r="G614" s="14"/>
      <c r="H614" s="14"/>
      <c r="I614" s="14"/>
      <c r="J614" s="14"/>
      <c r="K614" s="12"/>
    </row>
    <row r="615" ht="19.5" customHeight="1">
      <c r="A615" s="12"/>
      <c r="C615" s="12"/>
      <c r="D615" s="87"/>
      <c r="F615" s="14"/>
      <c r="G615" s="14"/>
      <c r="H615" s="14"/>
      <c r="I615" s="14"/>
      <c r="J615" s="14"/>
      <c r="K615" s="12"/>
    </row>
    <row r="616" ht="19.5" customHeight="1">
      <c r="A616" s="12"/>
      <c r="C616" s="12"/>
      <c r="D616" s="87"/>
      <c r="F616" s="14"/>
      <c r="G616" s="14"/>
      <c r="H616" s="14"/>
      <c r="I616" s="14"/>
      <c r="J616" s="14"/>
      <c r="K616" s="12"/>
    </row>
    <row r="617" ht="19.5" customHeight="1">
      <c r="A617" s="12"/>
      <c r="C617" s="12"/>
      <c r="D617" s="87"/>
      <c r="F617" s="14"/>
      <c r="G617" s="14"/>
      <c r="H617" s="14"/>
      <c r="I617" s="14"/>
      <c r="J617" s="14"/>
      <c r="K617" s="12"/>
    </row>
    <row r="618" ht="19.5" customHeight="1">
      <c r="A618" s="12"/>
      <c r="C618" s="12"/>
      <c r="D618" s="87"/>
      <c r="F618" s="14"/>
      <c r="G618" s="14"/>
      <c r="H618" s="14"/>
      <c r="I618" s="14"/>
      <c r="J618" s="14"/>
      <c r="K618" s="12"/>
    </row>
    <row r="619" ht="19.5" customHeight="1">
      <c r="A619" s="12"/>
      <c r="C619" s="12"/>
      <c r="D619" s="87"/>
      <c r="F619" s="14"/>
      <c r="G619" s="14"/>
      <c r="H619" s="14"/>
      <c r="I619" s="14"/>
      <c r="J619" s="14"/>
      <c r="K619" s="12"/>
    </row>
    <row r="620" ht="19.5" customHeight="1">
      <c r="A620" s="12"/>
      <c r="C620" s="12"/>
      <c r="D620" s="87"/>
      <c r="F620" s="14"/>
      <c r="G620" s="14"/>
      <c r="H620" s="14"/>
      <c r="I620" s="14"/>
      <c r="J620" s="14"/>
      <c r="K620" s="12"/>
    </row>
    <row r="621" ht="19.5" customHeight="1">
      <c r="A621" s="12"/>
      <c r="C621" s="12"/>
      <c r="D621" s="87"/>
      <c r="F621" s="14"/>
      <c r="G621" s="14"/>
      <c r="H621" s="14"/>
      <c r="I621" s="14"/>
      <c r="J621" s="14"/>
      <c r="K621" s="12"/>
    </row>
    <row r="622" ht="19.5" customHeight="1">
      <c r="A622" s="12"/>
      <c r="C622" s="12"/>
      <c r="D622" s="87"/>
      <c r="F622" s="14"/>
      <c r="G622" s="14"/>
      <c r="H622" s="14"/>
      <c r="I622" s="14"/>
      <c r="J622" s="14"/>
      <c r="K622" s="12"/>
    </row>
    <row r="623" ht="19.5" customHeight="1">
      <c r="A623" s="12"/>
      <c r="C623" s="12"/>
      <c r="D623" s="87"/>
      <c r="F623" s="14"/>
      <c r="G623" s="14"/>
      <c r="H623" s="14"/>
      <c r="I623" s="14"/>
      <c r="J623" s="14"/>
      <c r="K623" s="12"/>
    </row>
    <row r="624" ht="19.5" customHeight="1">
      <c r="A624" s="12"/>
      <c r="C624" s="12"/>
      <c r="D624" s="87"/>
      <c r="F624" s="14"/>
      <c r="G624" s="14"/>
      <c r="H624" s="14"/>
      <c r="I624" s="14"/>
      <c r="J624" s="14"/>
      <c r="K624" s="12"/>
    </row>
    <row r="625" ht="19.5" customHeight="1">
      <c r="A625" s="12"/>
      <c r="C625" s="12"/>
      <c r="D625" s="87"/>
      <c r="F625" s="14"/>
      <c r="G625" s="14"/>
      <c r="H625" s="14"/>
      <c r="I625" s="14"/>
      <c r="J625" s="14"/>
      <c r="K625" s="12"/>
    </row>
    <row r="626" ht="19.5" customHeight="1">
      <c r="A626" s="12"/>
      <c r="C626" s="12"/>
      <c r="D626" s="87"/>
      <c r="F626" s="14"/>
      <c r="G626" s="14"/>
      <c r="H626" s="14"/>
      <c r="I626" s="14"/>
      <c r="J626" s="14"/>
      <c r="K626" s="12"/>
    </row>
    <row r="627" ht="19.5" customHeight="1">
      <c r="A627" s="12"/>
      <c r="C627" s="12"/>
      <c r="D627" s="87"/>
      <c r="F627" s="14"/>
      <c r="G627" s="14"/>
      <c r="H627" s="14"/>
      <c r="I627" s="14"/>
      <c r="J627" s="14"/>
      <c r="K627" s="12"/>
    </row>
    <row r="628" ht="19.5" customHeight="1">
      <c r="A628" s="12"/>
      <c r="C628" s="12"/>
      <c r="D628" s="87"/>
      <c r="F628" s="14"/>
      <c r="G628" s="14"/>
      <c r="H628" s="14"/>
      <c r="I628" s="14"/>
      <c r="J628" s="14"/>
      <c r="K628" s="12"/>
    </row>
    <row r="629" ht="19.5" customHeight="1">
      <c r="A629" s="12"/>
      <c r="C629" s="12"/>
      <c r="D629" s="87"/>
      <c r="F629" s="14"/>
      <c r="G629" s="14"/>
      <c r="H629" s="14"/>
      <c r="I629" s="14"/>
      <c r="J629" s="14"/>
      <c r="K629" s="12"/>
    </row>
    <row r="630" ht="19.5" customHeight="1">
      <c r="A630" s="12"/>
      <c r="C630" s="12"/>
      <c r="D630" s="87"/>
      <c r="F630" s="14"/>
      <c r="G630" s="14"/>
      <c r="H630" s="14"/>
      <c r="I630" s="14"/>
      <c r="J630" s="14"/>
      <c r="K630" s="12"/>
    </row>
    <row r="631" ht="19.5" customHeight="1">
      <c r="A631" s="12"/>
      <c r="C631" s="12"/>
      <c r="D631" s="87"/>
      <c r="F631" s="14"/>
      <c r="G631" s="14"/>
      <c r="H631" s="14"/>
      <c r="I631" s="14"/>
      <c r="J631" s="14"/>
      <c r="K631" s="12"/>
    </row>
    <row r="632" ht="19.5" customHeight="1">
      <c r="A632" s="12"/>
      <c r="C632" s="12"/>
      <c r="D632" s="87"/>
      <c r="F632" s="14"/>
      <c r="G632" s="14"/>
      <c r="H632" s="14"/>
      <c r="I632" s="14"/>
      <c r="J632" s="14"/>
      <c r="K632" s="12"/>
    </row>
    <row r="633" ht="19.5" customHeight="1">
      <c r="A633" s="12"/>
      <c r="C633" s="12"/>
      <c r="D633" s="87"/>
      <c r="F633" s="14"/>
      <c r="G633" s="14"/>
      <c r="H633" s="14"/>
      <c r="I633" s="14"/>
      <c r="J633" s="14"/>
      <c r="K633" s="12"/>
    </row>
    <row r="634" ht="19.5" customHeight="1">
      <c r="A634" s="12"/>
      <c r="C634" s="12"/>
      <c r="D634" s="87"/>
      <c r="F634" s="14"/>
      <c r="G634" s="14"/>
      <c r="H634" s="14"/>
      <c r="I634" s="14"/>
      <c r="J634" s="14"/>
      <c r="K634" s="12"/>
    </row>
    <row r="635" ht="19.5" customHeight="1">
      <c r="A635" s="12"/>
      <c r="C635" s="12"/>
      <c r="D635" s="87"/>
      <c r="F635" s="14"/>
      <c r="G635" s="14"/>
      <c r="H635" s="14"/>
      <c r="I635" s="14"/>
      <c r="J635" s="14"/>
      <c r="K635" s="12"/>
    </row>
    <row r="636" ht="19.5" customHeight="1">
      <c r="A636" s="12"/>
      <c r="C636" s="12"/>
      <c r="D636" s="87"/>
      <c r="F636" s="14"/>
      <c r="G636" s="14"/>
      <c r="H636" s="14"/>
      <c r="I636" s="14"/>
      <c r="J636" s="14"/>
      <c r="K636" s="12"/>
    </row>
    <row r="637" ht="19.5" customHeight="1">
      <c r="A637" s="12"/>
      <c r="C637" s="12"/>
      <c r="D637" s="87"/>
      <c r="F637" s="14"/>
      <c r="G637" s="14"/>
      <c r="H637" s="14"/>
      <c r="I637" s="14"/>
      <c r="J637" s="14"/>
      <c r="K637" s="12"/>
    </row>
    <row r="638" ht="19.5" customHeight="1">
      <c r="A638" s="12"/>
      <c r="C638" s="12"/>
      <c r="D638" s="87"/>
      <c r="F638" s="14"/>
      <c r="G638" s="14"/>
      <c r="H638" s="14"/>
      <c r="I638" s="14"/>
      <c r="J638" s="14"/>
      <c r="K638" s="12"/>
    </row>
    <row r="639" ht="19.5" customHeight="1">
      <c r="A639" s="12"/>
      <c r="C639" s="12"/>
      <c r="D639" s="87"/>
      <c r="F639" s="14"/>
      <c r="G639" s="14"/>
      <c r="H639" s="14"/>
      <c r="I639" s="14"/>
      <c r="J639" s="14"/>
      <c r="K639" s="12"/>
    </row>
    <row r="640" ht="19.5" customHeight="1">
      <c r="A640" s="12"/>
      <c r="C640" s="12"/>
      <c r="D640" s="87"/>
      <c r="F640" s="14"/>
      <c r="G640" s="14"/>
      <c r="H640" s="14"/>
      <c r="I640" s="14"/>
      <c r="J640" s="14"/>
      <c r="K640" s="12"/>
    </row>
    <row r="641" ht="19.5" customHeight="1">
      <c r="A641" s="12"/>
      <c r="C641" s="12"/>
      <c r="D641" s="87"/>
      <c r="F641" s="14"/>
      <c r="G641" s="14"/>
      <c r="H641" s="14"/>
      <c r="I641" s="14"/>
      <c r="J641" s="14"/>
      <c r="K641" s="12"/>
    </row>
    <row r="642" ht="19.5" customHeight="1">
      <c r="A642" s="12"/>
      <c r="C642" s="12"/>
      <c r="D642" s="87"/>
      <c r="F642" s="14"/>
      <c r="G642" s="14"/>
      <c r="H642" s="14"/>
      <c r="I642" s="14"/>
      <c r="J642" s="14"/>
      <c r="K642" s="12"/>
    </row>
    <row r="643" ht="19.5" customHeight="1">
      <c r="A643" s="12"/>
      <c r="C643" s="12"/>
      <c r="D643" s="87"/>
      <c r="F643" s="14"/>
      <c r="G643" s="14"/>
      <c r="H643" s="14"/>
      <c r="I643" s="14"/>
      <c r="J643" s="14"/>
      <c r="K643" s="12"/>
    </row>
    <row r="644" ht="19.5" customHeight="1">
      <c r="A644" s="12"/>
      <c r="C644" s="12"/>
      <c r="D644" s="87"/>
      <c r="F644" s="14"/>
      <c r="G644" s="14"/>
      <c r="H644" s="14"/>
      <c r="I644" s="14"/>
      <c r="J644" s="14"/>
      <c r="K644" s="12"/>
    </row>
    <row r="645" ht="19.5" customHeight="1">
      <c r="A645" s="12"/>
      <c r="C645" s="12"/>
      <c r="D645" s="87"/>
      <c r="F645" s="14"/>
      <c r="G645" s="14"/>
      <c r="H645" s="14"/>
      <c r="I645" s="14"/>
      <c r="J645" s="14"/>
      <c r="K645" s="12"/>
    </row>
    <row r="646" ht="19.5" customHeight="1">
      <c r="A646" s="12"/>
      <c r="C646" s="12"/>
      <c r="D646" s="87"/>
      <c r="F646" s="14"/>
      <c r="G646" s="14"/>
      <c r="H646" s="14"/>
      <c r="I646" s="14"/>
      <c r="J646" s="14"/>
      <c r="K646" s="12"/>
    </row>
    <row r="647" ht="19.5" customHeight="1">
      <c r="A647" s="12"/>
      <c r="C647" s="12"/>
      <c r="D647" s="87"/>
      <c r="F647" s="14"/>
      <c r="G647" s="14"/>
      <c r="H647" s="14"/>
      <c r="I647" s="14"/>
      <c r="J647" s="14"/>
      <c r="K647" s="12"/>
    </row>
    <row r="648" ht="19.5" customHeight="1">
      <c r="A648" s="12"/>
      <c r="C648" s="12"/>
      <c r="D648" s="87"/>
      <c r="F648" s="14"/>
      <c r="G648" s="14"/>
      <c r="H648" s="14"/>
      <c r="I648" s="14"/>
      <c r="J648" s="14"/>
      <c r="K648" s="12"/>
    </row>
    <row r="649" ht="19.5" customHeight="1">
      <c r="A649" s="12"/>
      <c r="C649" s="12"/>
      <c r="D649" s="87"/>
      <c r="F649" s="14"/>
      <c r="G649" s="14"/>
      <c r="H649" s="14"/>
      <c r="I649" s="14"/>
      <c r="J649" s="14"/>
      <c r="K649" s="12"/>
    </row>
    <row r="650" ht="19.5" customHeight="1">
      <c r="A650" s="12"/>
      <c r="C650" s="12"/>
      <c r="D650" s="87"/>
      <c r="F650" s="14"/>
      <c r="G650" s="14"/>
      <c r="H650" s="14"/>
      <c r="I650" s="14"/>
      <c r="J650" s="14"/>
      <c r="K650" s="12"/>
    </row>
    <row r="651" ht="19.5" customHeight="1">
      <c r="A651" s="12"/>
      <c r="C651" s="12"/>
      <c r="D651" s="87"/>
      <c r="F651" s="14"/>
      <c r="G651" s="14"/>
      <c r="H651" s="14"/>
      <c r="I651" s="14"/>
      <c r="J651" s="14"/>
      <c r="K651" s="12"/>
    </row>
    <row r="652" ht="19.5" customHeight="1">
      <c r="A652" s="12"/>
      <c r="C652" s="12"/>
      <c r="D652" s="87"/>
      <c r="F652" s="14"/>
      <c r="G652" s="14"/>
      <c r="H652" s="14"/>
      <c r="I652" s="14"/>
      <c r="J652" s="14"/>
      <c r="K652" s="12"/>
    </row>
    <row r="653" ht="19.5" customHeight="1">
      <c r="A653" s="12"/>
      <c r="C653" s="12"/>
      <c r="D653" s="87"/>
      <c r="F653" s="14"/>
      <c r="G653" s="14"/>
      <c r="H653" s="14"/>
      <c r="I653" s="14"/>
      <c r="J653" s="14"/>
      <c r="K653" s="12"/>
    </row>
    <row r="654" ht="19.5" customHeight="1">
      <c r="A654" s="12"/>
      <c r="C654" s="12"/>
      <c r="D654" s="87"/>
      <c r="F654" s="14"/>
      <c r="G654" s="14"/>
      <c r="H654" s="14"/>
      <c r="I654" s="14"/>
      <c r="J654" s="14"/>
      <c r="K654" s="12"/>
    </row>
    <row r="655" ht="19.5" customHeight="1">
      <c r="A655" s="12"/>
      <c r="C655" s="12"/>
      <c r="D655" s="87"/>
      <c r="F655" s="14"/>
      <c r="G655" s="14"/>
      <c r="H655" s="14"/>
      <c r="I655" s="14"/>
      <c r="J655" s="14"/>
      <c r="K655" s="12"/>
    </row>
    <row r="656" ht="19.5" customHeight="1">
      <c r="A656" s="12"/>
      <c r="C656" s="12"/>
      <c r="D656" s="87"/>
      <c r="F656" s="14"/>
      <c r="G656" s="14"/>
      <c r="H656" s="14"/>
      <c r="I656" s="14"/>
      <c r="J656" s="14"/>
      <c r="K656" s="12"/>
    </row>
    <row r="657" ht="19.5" customHeight="1">
      <c r="A657" s="12"/>
      <c r="C657" s="12"/>
      <c r="D657" s="87"/>
      <c r="F657" s="14"/>
      <c r="G657" s="14"/>
      <c r="H657" s="14"/>
      <c r="I657" s="14"/>
      <c r="J657" s="14"/>
      <c r="K657" s="12"/>
    </row>
    <row r="658" ht="19.5" customHeight="1">
      <c r="A658" s="12"/>
      <c r="C658" s="12"/>
      <c r="D658" s="87"/>
      <c r="F658" s="14"/>
      <c r="G658" s="14"/>
      <c r="H658" s="14"/>
      <c r="I658" s="14"/>
      <c r="J658" s="14"/>
      <c r="K658" s="12"/>
    </row>
    <row r="659" ht="19.5" customHeight="1">
      <c r="A659" s="12"/>
      <c r="C659" s="12"/>
      <c r="D659" s="87"/>
      <c r="F659" s="14"/>
      <c r="G659" s="14"/>
      <c r="H659" s="14"/>
      <c r="I659" s="14"/>
      <c r="J659" s="14"/>
      <c r="K659" s="12"/>
    </row>
    <row r="660" ht="19.5" customHeight="1">
      <c r="A660" s="12"/>
      <c r="C660" s="12"/>
      <c r="D660" s="87"/>
      <c r="F660" s="14"/>
      <c r="G660" s="14"/>
      <c r="H660" s="14"/>
      <c r="I660" s="14"/>
      <c r="J660" s="14"/>
      <c r="K660" s="12"/>
    </row>
    <row r="661" ht="19.5" customHeight="1">
      <c r="A661" s="12"/>
      <c r="C661" s="12"/>
      <c r="D661" s="87"/>
      <c r="F661" s="14"/>
      <c r="G661" s="14"/>
      <c r="H661" s="14"/>
      <c r="I661" s="14"/>
      <c r="J661" s="14"/>
      <c r="K661" s="12"/>
    </row>
    <row r="662" ht="19.5" customHeight="1">
      <c r="A662" s="12"/>
      <c r="C662" s="12"/>
      <c r="D662" s="87"/>
      <c r="F662" s="14"/>
      <c r="G662" s="14"/>
      <c r="H662" s="14"/>
      <c r="I662" s="14"/>
      <c r="J662" s="14"/>
      <c r="K662" s="12"/>
    </row>
    <row r="663" ht="19.5" customHeight="1">
      <c r="A663" s="12"/>
      <c r="C663" s="12"/>
      <c r="D663" s="87"/>
      <c r="F663" s="14"/>
      <c r="G663" s="14"/>
      <c r="H663" s="14"/>
      <c r="I663" s="14"/>
      <c r="J663" s="14"/>
      <c r="K663" s="12"/>
    </row>
    <row r="664" ht="19.5" customHeight="1">
      <c r="A664" s="12"/>
      <c r="C664" s="12"/>
      <c r="D664" s="87"/>
      <c r="F664" s="14"/>
      <c r="G664" s="14"/>
      <c r="H664" s="14"/>
      <c r="I664" s="14"/>
      <c r="J664" s="14"/>
      <c r="K664" s="12"/>
    </row>
    <row r="665" ht="19.5" customHeight="1">
      <c r="A665" s="12"/>
      <c r="C665" s="12"/>
      <c r="D665" s="87"/>
      <c r="F665" s="14"/>
      <c r="G665" s="14"/>
      <c r="H665" s="14"/>
      <c r="I665" s="14"/>
      <c r="J665" s="14"/>
      <c r="K665" s="12"/>
    </row>
    <row r="666" ht="19.5" customHeight="1">
      <c r="A666" s="12"/>
      <c r="C666" s="12"/>
      <c r="D666" s="87"/>
      <c r="F666" s="14"/>
      <c r="G666" s="14"/>
      <c r="H666" s="14"/>
      <c r="I666" s="14"/>
      <c r="J666" s="14"/>
      <c r="K666" s="12"/>
    </row>
    <row r="667" ht="19.5" customHeight="1">
      <c r="A667" s="12"/>
      <c r="C667" s="12"/>
      <c r="D667" s="87"/>
      <c r="F667" s="14"/>
      <c r="G667" s="14"/>
      <c r="H667" s="14"/>
      <c r="I667" s="14"/>
      <c r="J667" s="14"/>
      <c r="K667" s="12"/>
    </row>
    <row r="668" ht="19.5" customHeight="1">
      <c r="A668" s="12"/>
      <c r="C668" s="12"/>
      <c r="D668" s="87"/>
      <c r="F668" s="14"/>
      <c r="G668" s="14"/>
      <c r="H668" s="14"/>
      <c r="I668" s="14"/>
      <c r="J668" s="14"/>
      <c r="K668" s="12"/>
    </row>
    <row r="669" ht="19.5" customHeight="1">
      <c r="A669" s="12"/>
      <c r="C669" s="12"/>
      <c r="D669" s="87"/>
      <c r="F669" s="14"/>
      <c r="G669" s="14"/>
      <c r="H669" s="14"/>
      <c r="I669" s="14"/>
      <c r="J669" s="14"/>
      <c r="K669" s="12"/>
    </row>
    <row r="670" ht="19.5" customHeight="1">
      <c r="A670" s="12"/>
      <c r="C670" s="12"/>
      <c r="D670" s="87"/>
      <c r="F670" s="14"/>
      <c r="G670" s="14"/>
      <c r="H670" s="14"/>
      <c r="I670" s="14"/>
      <c r="J670" s="14"/>
      <c r="K670" s="12"/>
    </row>
    <row r="671" ht="19.5" customHeight="1">
      <c r="A671" s="12"/>
      <c r="C671" s="12"/>
      <c r="D671" s="87"/>
      <c r="F671" s="14"/>
      <c r="G671" s="14"/>
      <c r="H671" s="14"/>
      <c r="I671" s="14"/>
      <c r="J671" s="14"/>
      <c r="K671" s="12"/>
    </row>
    <row r="672" ht="19.5" customHeight="1">
      <c r="A672" s="12"/>
      <c r="C672" s="12"/>
      <c r="D672" s="87"/>
      <c r="F672" s="14"/>
      <c r="G672" s="14"/>
      <c r="H672" s="14"/>
      <c r="I672" s="14"/>
      <c r="J672" s="14"/>
      <c r="K672" s="12"/>
    </row>
    <row r="673" ht="19.5" customHeight="1">
      <c r="A673" s="12"/>
      <c r="C673" s="12"/>
      <c r="D673" s="87"/>
      <c r="F673" s="14"/>
      <c r="G673" s="14"/>
      <c r="H673" s="14"/>
      <c r="I673" s="14"/>
      <c r="J673" s="14"/>
      <c r="K673" s="12"/>
    </row>
    <row r="674" ht="19.5" customHeight="1">
      <c r="A674" s="12"/>
      <c r="C674" s="12"/>
      <c r="D674" s="87"/>
      <c r="F674" s="14"/>
      <c r="G674" s="14"/>
      <c r="H674" s="14"/>
      <c r="I674" s="14"/>
      <c r="J674" s="14"/>
      <c r="K674" s="12"/>
    </row>
    <row r="675" ht="19.5" customHeight="1">
      <c r="A675" s="12"/>
      <c r="C675" s="12"/>
      <c r="D675" s="87"/>
      <c r="F675" s="14"/>
      <c r="G675" s="14"/>
      <c r="H675" s="14"/>
      <c r="I675" s="14"/>
      <c r="J675" s="14"/>
      <c r="K675" s="12"/>
    </row>
    <row r="676" ht="19.5" customHeight="1">
      <c r="A676" s="12"/>
      <c r="C676" s="12"/>
      <c r="D676" s="87"/>
      <c r="F676" s="14"/>
      <c r="G676" s="14"/>
      <c r="H676" s="14"/>
      <c r="I676" s="14"/>
      <c r="J676" s="14"/>
      <c r="K676" s="12"/>
    </row>
    <row r="677" ht="19.5" customHeight="1">
      <c r="A677" s="12"/>
      <c r="C677" s="12"/>
      <c r="D677" s="87"/>
      <c r="F677" s="14"/>
      <c r="G677" s="14"/>
      <c r="H677" s="14"/>
      <c r="I677" s="14"/>
      <c r="J677" s="14"/>
      <c r="K677" s="12"/>
    </row>
    <row r="678" ht="19.5" customHeight="1">
      <c r="A678" s="12"/>
      <c r="C678" s="12"/>
      <c r="D678" s="87"/>
      <c r="F678" s="14"/>
      <c r="G678" s="14"/>
      <c r="H678" s="14"/>
      <c r="I678" s="14"/>
      <c r="J678" s="14"/>
      <c r="K678" s="12"/>
    </row>
    <row r="679" ht="19.5" customHeight="1">
      <c r="A679" s="12"/>
      <c r="C679" s="12"/>
      <c r="D679" s="87"/>
      <c r="F679" s="14"/>
      <c r="G679" s="14"/>
      <c r="H679" s="14"/>
      <c r="I679" s="14"/>
      <c r="J679" s="14"/>
      <c r="K679" s="12"/>
    </row>
    <row r="680" ht="19.5" customHeight="1">
      <c r="A680" s="12"/>
      <c r="C680" s="12"/>
      <c r="D680" s="87"/>
      <c r="F680" s="14"/>
      <c r="G680" s="14"/>
      <c r="H680" s="14"/>
      <c r="I680" s="14"/>
      <c r="J680" s="14"/>
      <c r="K680" s="12"/>
    </row>
    <row r="681" ht="19.5" customHeight="1">
      <c r="A681" s="12"/>
      <c r="C681" s="12"/>
      <c r="D681" s="87"/>
      <c r="F681" s="14"/>
      <c r="G681" s="14"/>
      <c r="H681" s="14"/>
      <c r="I681" s="14"/>
      <c r="J681" s="14"/>
      <c r="K681" s="12"/>
    </row>
    <row r="682" ht="19.5" customHeight="1">
      <c r="A682" s="12"/>
      <c r="C682" s="12"/>
      <c r="D682" s="87"/>
      <c r="F682" s="14"/>
      <c r="G682" s="14"/>
      <c r="H682" s="14"/>
      <c r="I682" s="14"/>
      <c r="J682" s="14"/>
      <c r="K682" s="12"/>
    </row>
    <row r="683" ht="19.5" customHeight="1">
      <c r="A683" s="12"/>
      <c r="C683" s="12"/>
      <c r="D683" s="87"/>
      <c r="F683" s="14"/>
      <c r="G683" s="14"/>
      <c r="H683" s="14"/>
      <c r="I683" s="14"/>
      <c r="J683" s="14"/>
      <c r="K683" s="12"/>
    </row>
    <row r="684" ht="19.5" customHeight="1">
      <c r="A684" s="12"/>
      <c r="C684" s="12"/>
      <c r="D684" s="87"/>
      <c r="F684" s="14"/>
      <c r="G684" s="14"/>
      <c r="H684" s="14"/>
      <c r="I684" s="14"/>
      <c r="J684" s="14"/>
      <c r="K684" s="12"/>
    </row>
    <row r="685" ht="19.5" customHeight="1">
      <c r="A685" s="12"/>
      <c r="C685" s="12"/>
      <c r="D685" s="87"/>
      <c r="F685" s="14"/>
      <c r="G685" s="14"/>
      <c r="H685" s="14"/>
      <c r="I685" s="14"/>
      <c r="J685" s="14"/>
      <c r="K685" s="12"/>
    </row>
    <row r="686" ht="19.5" customHeight="1">
      <c r="A686" s="12"/>
      <c r="C686" s="12"/>
      <c r="D686" s="87"/>
      <c r="F686" s="14"/>
      <c r="G686" s="14"/>
      <c r="H686" s="14"/>
      <c r="I686" s="14"/>
      <c r="J686" s="14"/>
      <c r="K686" s="12"/>
    </row>
    <row r="687" ht="19.5" customHeight="1">
      <c r="A687" s="12"/>
      <c r="C687" s="12"/>
      <c r="D687" s="87"/>
      <c r="F687" s="14"/>
      <c r="G687" s="14"/>
      <c r="H687" s="14"/>
      <c r="I687" s="14"/>
      <c r="J687" s="14"/>
      <c r="K687" s="12"/>
    </row>
    <row r="688" ht="19.5" customHeight="1">
      <c r="A688" s="12"/>
      <c r="C688" s="12"/>
      <c r="D688" s="87"/>
      <c r="F688" s="14"/>
      <c r="G688" s="14"/>
      <c r="H688" s="14"/>
      <c r="I688" s="14"/>
      <c r="J688" s="14"/>
      <c r="K688" s="12"/>
    </row>
    <row r="689" ht="19.5" customHeight="1">
      <c r="A689" s="12"/>
      <c r="C689" s="12"/>
      <c r="D689" s="87"/>
      <c r="F689" s="14"/>
      <c r="G689" s="14"/>
      <c r="H689" s="14"/>
      <c r="I689" s="14"/>
      <c r="J689" s="14"/>
      <c r="K689" s="12"/>
    </row>
    <row r="690" ht="19.5" customHeight="1">
      <c r="A690" s="12"/>
      <c r="C690" s="12"/>
      <c r="D690" s="87"/>
      <c r="F690" s="14"/>
      <c r="G690" s="14"/>
      <c r="H690" s="14"/>
      <c r="I690" s="14"/>
      <c r="J690" s="14"/>
      <c r="K690" s="12"/>
    </row>
    <row r="691" ht="19.5" customHeight="1">
      <c r="A691" s="12"/>
      <c r="C691" s="12"/>
      <c r="D691" s="87"/>
      <c r="F691" s="14"/>
      <c r="G691" s="14"/>
      <c r="H691" s="14"/>
      <c r="I691" s="14"/>
      <c r="J691" s="14"/>
      <c r="K691" s="12"/>
    </row>
    <row r="692" ht="19.5" customHeight="1">
      <c r="A692" s="12"/>
      <c r="C692" s="12"/>
      <c r="D692" s="87"/>
      <c r="F692" s="14"/>
      <c r="G692" s="14"/>
      <c r="H692" s="14"/>
      <c r="I692" s="14"/>
      <c r="J692" s="14"/>
      <c r="K692" s="12"/>
    </row>
    <row r="693" ht="19.5" customHeight="1">
      <c r="A693" s="12"/>
      <c r="C693" s="12"/>
      <c r="D693" s="87"/>
      <c r="F693" s="14"/>
      <c r="G693" s="14"/>
      <c r="H693" s="14"/>
      <c r="I693" s="14"/>
      <c r="J693" s="14"/>
      <c r="K693" s="12"/>
    </row>
    <row r="694" ht="19.5" customHeight="1">
      <c r="A694" s="12"/>
      <c r="C694" s="12"/>
      <c r="D694" s="87"/>
      <c r="F694" s="14"/>
      <c r="G694" s="14"/>
      <c r="H694" s="14"/>
      <c r="I694" s="14"/>
      <c r="J694" s="14"/>
      <c r="K694" s="12"/>
    </row>
    <row r="695" ht="19.5" customHeight="1">
      <c r="A695" s="12"/>
      <c r="C695" s="12"/>
      <c r="D695" s="87"/>
      <c r="F695" s="14"/>
      <c r="G695" s="14"/>
      <c r="H695" s="14"/>
      <c r="I695" s="14"/>
      <c r="J695" s="14"/>
      <c r="K695" s="12"/>
    </row>
    <row r="696" ht="19.5" customHeight="1">
      <c r="A696" s="12"/>
      <c r="C696" s="12"/>
      <c r="D696" s="87"/>
      <c r="F696" s="14"/>
      <c r="G696" s="14"/>
      <c r="H696" s="14"/>
      <c r="I696" s="14"/>
      <c r="J696" s="14"/>
      <c r="K696" s="12"/>
    </row>
    <row r="697" ht="19.5" customHeight="1">
      <c r="A697" s="12"/>
      <c r="C697" s="12"/>
      <c r="D697" s="87"/>
      <c r="F697" s="14"/>
      <c r="G697" s="14"/>
      <c r="H697" s="14"/>
      <c r="I697" s="14"/>
      <c r="J697" s="14"/>
      <c r="K697" s="12"/>
    </row>
    <row r="698" ht="19.5" customHeight="1">
      <c r="A698" s="12"/>
      <c r="C698" s="12"/>
      <c r="D698" s="87"/>
      <c r="F698" s="14"/>
      <c r="G698" s="14"/>
      <c r="H698" s="14"/>
      <c r="I698" s="14"/>
      <c r="J698" s="14"/>
      <c r="K698" s="12"/>
    </row>
    <row r="699" ht="19.5" customHeight="1">
      <c r="A699" s="12"/>
      <c r="C699" s="12"/>
      <c r="D699" s="87"/>
      <c r="F699" s="14"/>
      <c r="G699" s="14"/>
      <c r="H699" s="14"/>
      <c r="I699" s="14"/>
      <c r="J699" s="14"/>
      <c r="K699" s="12"/>
    </row>
    <row r="700" ht="19.5" customHeight="1">
      <c r="A700" s="12"/>
      <c r="C700" s="12"/>
      <c r="D700" s="87"/>
      <c r="F700" s="14"/>
      <c r="G700" s="14"/>
      <c r="H700" s="14"/>
      <c r="I700" s="14"/>
      <c r="J700" s="14"/>
      <c r="K700" s="12"/>
    </row>
    <row r="701" ht="19.5" customHeight="1">
      <c r="A701" s="12"/>
      <c r="C701" s="12"/>
      <c r="D701" s="87"/>
      <c r="F701" s="14"/>
      <c r="G701" s="14"/>
      <c r="H701" s="14"/>
      <c r="I701" s="14"/>
      <c r="J701" s="14"/>
      <c r="K701" s="12"/>
    </row>
    <row r="702" ht="19.5" customHeight="1">
      <c r="A702" s="12"/>
      <c r="C702" s="12"/>
      <c r="D702" s="87"/>
      <c r="F702" s="14"/>
      <c r="G702" s="14"/>
      <c r="H702" s="14"/>
      <c r="I702" s="14"/>
      <c r="J702" s="14"/>
      <c r="K702" s="12"/>
    </row>
    <row r="703" ht="19.5" customHeight="1">
      <c r="A703" s="12"/>
      <c r="C703" s="12"/>
      <c r="D703" s="87"/>
      <c r="F703" s="14"/>
      <c r="G703" s="14"/>
      <c r="H703" s="14"/>
      <c r="I703" s="14"/>
      <c r="J703" s="14"/>
      <c r="K703" s="12"/>
    </row>
    <row r="704" ht="19.5" customHeight="1">
      <c r="A704" s="12"/>
      <c r="C704" s="12"/>
      <c r="D704" s="87"/>
      <c r="F704" s="14"/>
      <c r="G704" s="14"/>
      <c r="H704" s="14"/>
      <c r="I704" s="14"/>
      <c r="J704" s="14"/>
      <c r="K704" s="12"/>
    </row>
    <row r="705" ht="19.5" customHeight="1">
      <c r="A705" s="12"/>
      <c r="C705" s="12"/>
      <c r="D705" s="87"/>
      <c r="F705" s="14"/>
      <c r="G705" s="14"/>
      <c r="H705" s="14"/>
      <c r="I705" s="14"/>
      <c r="J705" s="14"/>
      <c r="K705" s="12"/>
    </row>
    <row r="706" ht="19.5" customHeight="1">
      <c r="A706" s="12"/>
      <c r="C706" s="12"/>
      <c r="D706" s="87"/>
      <c r="F706" s="14"/>
      <c r="G706" s="14"/>
      <c r="H706" s="14"/>
      <c r="I706" s="14"/>
      <c r="J706" s="14"/>
      <c r="K706" s="12"/>
    </row>
    <row r="707" ht="19.5" customHeight="1">
      <c r="A707" s="12"/>
      <c r="C707" s="12"/>
      <c r="D707" s="87"/>
      <c r="F707" s="14"/>
      <c r="G707" s="14"/>
      <c r="H707" s="14"/>
      <c r="I707" s="14"/>
      <c r="J707" s="14"/>
      <c r="K707" s="12"/>
    </row>
    <row r="708" ht="19.5" customHeight="1">
      <c r="A708" s="12"/>
      <c r="C708" s="12"/>
      <c r="D708" s="87"/>
      <c r="F708" s="14"/>
      <c r="G708" s="14"/>
      <c r="H708" s="14"/>
      <c r="I708" s="14"/>
      <c r="J708" s="14"/>
      <c r="K708" s="12"/>
    </row>
    <row r="709" ht="19.5" customHeight="1">
      <c r="A709" s="12"/>
      <c r="C709" s="12"/>
      <c r="D709" s="87"/>
      <c r="F709" s="14"/>
      <c r="G709" s="14"/>
      <c r="H709" s="14"/>
      <c r="I709" s="14"/>
      <c r="J709" s="14"/>
      <c r="K709" s="12"/>
    </row>
    <row r="710" ht="19.5" customHeight="1">
      <c r="A710" s="12"/>
      <c r="C710" s="12"/>
      <c r="D710" s="87"/>
      <c r="F710" s="14"/>
      <c r="G710" s="14"/>
      <c r="H710" s="14"/>
      <c r="I710" s="14"/>
      <c r="J710" s="14"/>
      <c r="K710" s="12"/>
    </row>
    <row r="711" ht="19.5" customHeight="1">
      <c r="A711" s="12"/>
      <c r="C711" s="12"/>
      <c r="D711" s="87"/>
      <c r="F711" s="14"/>
      <c r="G711" s="14"/>
      <c r="H711" s="14"/>
      <c r="I711" s="14"/>
      <c r="J711" s="14"/>
      <c r="K711" s="12"/>
    </row>
    <row r="712" ht="19.5" customHeight="1">
      <c r="A712" s="12"/>
      <c r="C712" s="12"/>
      <c r="D712" s="87"/>
      <c r="F712" s="14"/>
      <c r="G712" s="14"/>
      <c r="H712" s="14"/>
      <c r="I712" s="14"/>
      <c r="J712" s="14"/>
      <c r="K712" s="12"/>
    </row>
    <row r="713" ht="19.5" customHeight="1">
      <c r="A713" s="12"/>
      <c r="C713" s="12"/>
      <c r="D713" s="87"/>
      <c r="F713" s="14"/>
      <c r="G713" s="14"/>
      <c r="H713" s="14"/>
      <c r="I713" s="14"/>
      <c r="J713" s="14"/>
      <c r="K713" s="12"/>
    </row>
    <row r="714" ht="19.5" customHeight="1">
      <c r="A714" s="12"/>
      <c r="C714" s="12"/>
      <c r="D714" s="87"/>
      <c r="F714" s="14"/>
      <c r="G714" s="14"/>
      <c r="H714" s="14"/>
      <c r="I714" s="14"/>
      <c r="J714" s="14"/>
      <c r="K714" s="12"/>
    </row>
    <row r="715" ht="19.5" customHeight="1">
      <c r="A715" s="12"/>
      <c r="C715" s="12"/>
      <c r="D715" s="87"/>
      <c r="F715" s="14"/>
      <c r="G715" s="14"/>
      <c r="H715" s="14"/>
      <c r="I715" s="14"/>
      <c r="J715" s="14"/>
      <c r="K715" s="12"/>
    </row>
    <row r="716" ht="19.5" customHeight="1">
      <c r="A716" s="12"/>
      <c r="C716" s="12"/>
      <c r="D716" s="87"/>
      <c r="F716" s="14"/>
      <c r="G716" s="14"/>
      <c r="H716" s="14"/>
      <c r="I716" s="14"/>
      <c r="J716" s="14"/>
      <c r="K716" s="12"/>
    </row>
    <row r="717" ht="19.5" customHeight="1">
      <c r="A717" s="12"/>
      <c r="C717" s="12"/>
      <c r="D717" s="87"/>
      <c r="F717" s="14"/>
      <c r="G717" s="14"/>
      <c r="H717" s="14"/>
      <c r="I717" s="14"/>
      <c r="J717" s="14"/>
      <c r="K717" s="12"/>
    </row>
    <row r="718" ht="19.5" customHeight="1">
      <c r="A718" s="12"/>
      <c r="C718" s="12"/>
      <c r="D718" s="87"/>
      <c r="F718" s="14"/>
      <c r="G718" s="14"/>
      <c r="H718" s="14"/>
      <c r="I718" s="14"/>
      <c r="J718" s="14"/>
      <c r="K718" s="12"/>
    </row>
    <row r="719" ht="19.5" customHeight="1">
      <c r="A719" s="12"/>
      <c r="C719" s="12"/>
      <c r="D719" s="87"/>
      <c r="F719" s="14"/>
      <c r="G719" s="14"/>
      <c r="H719" s="14"/>
      <c r="I719" s="14"/>
      <c r="J719" s="14"/>
      <c r="K719" s="12"/>
    </row>
    <row r="720" ht="19.5" customHeight="1">
      <c r="A720" s="12"/>
      <c r="C720" s="12"/>
      <c r="D720" s="87"/>
      <c r="F720" s="14"/>
      <c r="G720" s="14"/>
      <c r="H720" s="14"/>
      <c r="I720" s="14"/>
      <c r="J720" s="14"/>
      <c r="K720" s="12"/>
    </row>
    <row r="721" ht="19.5" customHeight="1">
      <c r="A721" s="12"/>
      <c r="C721" s="12"/>
      <c r="D721" s="87"/>
      <c r="F721" s="14"/>
      <c r="G721" s="14"/>
      <c r="H721" s="14"/>
      <c r="I721" s="14"/>
      <c r="J721" s="14"/>
      <c r="K721" s="12"/>
    </row>
    <row r="722" ht="19.5" customHeight="1">
      <c r="A722" s="12"/>
      <c r="C722" s="12"/>
      <c r="D722" s="87"/>
      <c r="F722" s="14"/>
      <c r="G722" s="14"/>
      <c r="H722" s="14"/>
      <c r="I722" s="14"/>
      <c r="J722" s="14"/>
      <c r="K722" s="12"/>
    </row>
    <row r="723" ht="19.5" customHeight="1">
      <c r="A723" s="12"/>
      <c r="C723" s="12"/>
      <c r="D723" s="87"/>
      <c r="F723" s="14"/>
      <c r="G723" s="14"/>
      <c r="H723" s="14"/>
      <c r="I723" s="14"/>
      <c r="J723" s="14"/>
      <c r="K723" s="12"/>
    </row>
    <row r="724" ht="19.5" customHeight="1">
      <c r="A724" s="12"/>
      <c r="C724" s="12"/>
      <c r="D724" s="87"/>
      <c r="F724" s="14"/>
      <c r="G724" s="14"/>
      <c r="H724" s="14"/>
      <c r="I724" s="14"/>
      <c r="J724" s="14"/>
      <c r="K724" s="12"/>
    </row>
    <row r="725" ht="19.5" customHeight="1">
      <c r="A725" s="12"/>
      <c r="C725" s="12"/>
      <c r="D725" s="87"/>
      <c r="F725" s="14"/>
      <c r="G725" s="14"/>
      <c r="H725" s="14"/>
      <c r="I725" s="14"/>
      <c r="J725" s="14"/>
      <c r="K725" s="12"/>
    </row>
    <row r="726" ht="19.5" customHeight="1">
      <c r="A726" s="12"/>
      <c r="C726" s="12"/>
      <c r="D726" s="87"/>
      <c r="F726" s="14"/>
      <c r="G726" s="14"/>
      <c r="H726" s="14"/>
      <c r="I726" s="14"/>
      <c r="J726" s="14"/>
      <c r="K726" s="12"/>
    </row>
    <row r="727" ht="19.5" customHeight="1">
      <c r="A727" s="12"/>
      <c r="C727" s="12"/>
      <c r="D727" s="87"/>
      <c r="F727" s="14"/>
      <c r="G727" s="14"/>
      <c r="H727" s="14"/>
      <c r="I727" s="14"/>
      <c r="J727" s="14"/>
      <c r="K727" s="12"/>
    </row>
    <row r="728" ht="19.5" customHeight="1">
      <c r="A728" s="12"/>
      <c r="C728" s="12"/>
      <c r="D728" s="87"/>
      <c r="F728" s="14"/>
      <c r="G728" s="14"/>
      <c r="H728" s="14"/>
      <c r="I728" s="14"/>
      <c r="J728" s="14"/>
      <c r="K728" s="12"/>
    </row>
    <row r="729" ht="19.5" customHeight="1">
      <c r="A729" s="12"/>
      <c r="C729" s="12"/>
      <c r="D729" s="87"/>
      <c r="F729" s="14"/>
      <c r="G729" s="14"/>
      <c r="H729" s="14"/>
      <c r="I729" s="14"/>
      <c r="J729" s="14"/>
      <c r="K729" s="12"/>
    </row>
    <row r="730" ht="19.5" customHeight="1">
      <c r="A730" s="12"/>
      <c r="C730" s="12"/>
      <c r="D730" s="87"/>
      <c r="F730" s="14"/>
      <c r="G730" s="14"/>
      <c r="H730" s="14"/>
      <c r="I730" s="14"/>
      <c r="J730" s="14"/>
      <c r="K730" s="12"/>
    </row>
    <row r="731" ht="19.5" customHeight="1">
      <c r="A731" s="12"/>
      <c r="C731" s="12"/>
      <c r="D731" s="87"/>
      <c r="F731" s="14"/>
      <c r="G731" s="14"/>
      <c r="H731" s="14"/>
      <c r="I731" s="14"/>
      <c r="J731" s="14"/>
      <c r="K731" s="12"/>
    </row>
    <row r="732" ht="19.5" customHeight="1">
      <c r="A732" s="12"/>
      <c r="C732" s="12"/>
      <c r="D732" s="87"/>
      <c r="F732" s="14"/>
      <c r="G732" s="14"/>
      <c r="H732" s="14"/>
      <c r="I732" s="14"/>
      <c r="J732" s="14"/>
      <c r="K732" s="12"/>
    </row>
    <row r="733" ht="19.5" customHeight="1">
      <c r="A733" s="12"/>
      <c r="C733" s="12"/>
      <c r="D733" s="87"/>
      <c r="F733" s="14"/>
      <c r="G733" s="14"/>
      <c r="H733" s="14"/>
      <c r="I733" s="14"/>
      <c r="J733" s="14"/>
      <c r="K733" s="12"/>
    </row>
    <row r="734" ht="19.5" customHeight="1">
      <c r="A734" s="12"/>
      <c r="C734" s="12"/>
      <c r="D734" s="87"/>
      <c r="F734" s="14"/>
      <c r="G734" s="14"/>
      <c r="H734" s="14"/>
      <c r="I734" s="14"/>
      <c r="J734" s="14"/>
      <c r="K734" s="12"/>
    </row>
    <row r="735" ht="19.5" customHeight="1">
      <c r="A735" s="12"/>
      <c r="C735" s="12"/>
      <c r="D735" s="87"/>
      <c r="F735" s="14"/>
      <c r="G735" s="14"/>
      <c r="H735" s="14"/>
      <c r="I735" s="14"/>
      <c r="J735" s="14"/>
      <c r="K735" s="12"/>
    </row>
    <row r="736" ht="19.5" customHeight="1">
      <c r="A736" s="12"/>
      <c r="C736" s="12"/>
      <c r="D736" s="87"/>
      <c r="F736" s="14"/>
      <c r="G736" s="14"/>
      <c r="H736" s="14"/>
      <c r="I736" s="14"/>
      <c r="J736" s="14"/>
      <c r="K736" s="12"/>
    </row>
    <row r="737" ht="19.5" customHeight="1">
      <c r="A737" s="12"/>
      <c r="C737" s="12"/>
      <c r="D737" s="87"/>
      <c r="F737" s="14"/>
      <c r="G737" s="14"/>
      <c r="H737" s="14"/>
      <c r="I737" s="14"/>
      <c r="J737" s="14"/>
      <c r="K737" s="12"/>
    </row>
    <row r="738" ht="19.5" customHeight="1">
      <c r="A738" s="12"/>
      <c r="C738" s="12"/>
      <c r="D738" s="87"/>
      <c r="F738" s="14"/>
      <c r="G738" s="14"/>
      <c r="H738" s="14"/>
      <c r="I738" s="14"/>
      <c r="J738" s="14"/>
      <c r="K738" s="12"/>
    </row>
    <row r="739" ht="19.5" customHeight="1">
      <c r="A739" s="12"/>
      <c r="C739" s="12"/>
      <c r="D739" s="87"/>
      <c r="F739" s="14"/>
      <c r="G739" s="14"/>
      <c r="H739" s="14"/>
      <c r="I739" s="14"/>
      <c r="J739" s="14"/>
      <c r="K739" s="12"/>
    </row>
    <row r="740" ht="19.5" customHeight="1">
      <c r="A740" s="12"/>
      <c r="C740" s="12"/>
      <c r="D740" s="87"/>
      <c r="F740" s="14"/>
      <c r="G740" s="14"/>
      <c r="H740" s="14"/>
      <c r="I740" s="14"/>
      <c r="J740" s="14"/>
      <c r="K740" s="12"/>
    </row>
    <row r="741" ht="19.5" customHeight="1">
      <c r="A741" s="12"/>
      <c r="C741" s="12"/>
      <c r="D741" s="87"/>
      <c r="F741" s="14"/>
      <c r="G741" s="14"/>
      <c r="H741" s="14"/>
      <c r="I741" s="14"/>
      <c r="J741" s="14"/>
      <c r="K741" s="12"/>
    </row>
    <row r="742" ht="19.5" customHeight="1">
      <c r="A742" s="12"/>
      <c r="C742" s="12"/>
      <c r="D742" s="87"/>
      <c r="F742" s="14"/>
      <c r="G742" s="14"/>
      <c r="H742" s="14"/>
      <c r="I742" s="14"/>
      <c r="J742" s="14"/>
      <c r="K742" s="12"/>
    </row>
    <row r="743" ht="19.5" customHeight="1">
      <c r="A743" s="12"/>
      <c r="C743" s="12"/>
      <c r="D743" s="87"/>
      <c r="F743" s="14"/>
      <c r="G743" s="14"/>
      <c r="H743" s="14"/>
      <c r="I743" s="14"/>
      <c r="J743" s="14"/>
      <c r="K743" s="12"/>
    </row>
    <row r="744" ht="19.5" customHeight="1">
      <c r="A744" s="12"/>
      <c r="C744" s="12"/>
      <c r="D744" s="87"/>
      <c r="F744" s="14"/>
      <c r="G744" s="14"/>
      <c r="H744" s="14"/>
      <c r="I744" s="14"/>
      <c r="J744" s="14"/>
      <c r="K744" s="12"/>
    </row>
    <row r="745" ht="19.5" customHeight="1">
      <c r="A745" s="12"/>
      <c r="C745" s="12"/>
      <c r="D745" s="87"/>
      <c r="F745" s="14"/>
      <c r="G745" s="14"/>
      <c r="H745" s="14"/>
      <c r="I745" s="14"/>
      <c r="J745" s="14"/>
      <c r="K745" s="12"/>
    </row>
    <row r="746" ht="19.5" customHeight="1">
      <c r="A746" s="12"/>
      <c r="C746" s="12"/>
      <c r="D746" s="87"/>
      <c r="F746" s="14"/>
      <c r="G746" s="14"/>
      <c r="H746" s="14"/>
      <c r="I746" s="14"/>
      <c r="J746" s="14"/>
      <c r="K746" s="12"/>
    </row>
    <row r="747" ht="19.5" customHeight="1">
      <c r="A747" s="12"/>
      <c r="C747" s="12"/>
      <c r="D747" s="87"/>
      <c r="F747" s="14"/>
      <c r="G747" s="14"/>
      <c r="H747" s="14"/>
      <c r="I747" s="14"/>
      <c r="J747" s="14"/>
      <c r="K747" s="12"/>
    </row>
    <row r="748" ht="19.5" customHeight="1">
      <c r="A748" s="12"/>
      <c r="C748" s="12"/>
      <c r="D748" s="87"/>
      <c r="F748" s="14"/>
      <c r="G748" s="14"/>
      <c r="H748" s="14"/>
      <c r="I748" s="14"/>
      <c r="J748" s="14"/>
      <c r="K748" s="12"/>
    </row>
    <row r="749" ht="19.5" customHeight="1">
      <c r="A749" s="12"/>
      <c r="C749" s="12"/>
      <c r="D749" s="87"/>
      <c r="F749" s="14"/>
      <c r="G749" s="14"/>
      <c r="H749" s="14"/>
      <c r="I749" s="14"/>
      <c r="J749" s="14"/>
      <c r="K749" s="12"/>
    </row>
    <row r="750" ht="19.5" customHeight="1">
      <c r="A750" s="12"/>
      <c r="C750" s="12"/>
      <c r="D750" s="87"/>
      <c r="F750" s="14"/>
      <c r="G750" s="14"/>
      <c r="H750" s="14"/>
      <c r="I750" s="14"/>
      <c r="J750" s="14"/>
      <c r="K750" s="12"/>
    </row>
    <row r="751" ht="19.5" customHeight="1">
      <c r="A751" s="12"/>
      <c r="C751" s="12"/>
      <c r="D751" s="87"/>
      <c r="F751" s="14"/>
      <c r="G751" s="14"/>
      <c r="H751" s="14"/>
      <c r="I751" s="14"/>
      <c r="J751" s="14"/>
      <c r="K751" s="12"/>
    </row>
    <row r="752" ht="19.5" customHeight="1">
      <c r="A752" s="12"/>
      <c r="C752" s="12"/>
      <c r="D752" s="87"/>
      <c r="F752" s="14"/>
      <c r="G752" s="14"/>
      <c r="H752" s="14"/>
      <c r="I752" s="14"/>
      <c r="J752" s="14"/>
      <c r="K752" s="12"/>
    </row>
    <row r="753" ht="19.5" customHeight="1">
      <c r="A753" s="12"/>
      <c r="C753" s="12"/>
      <c r="D753" s="87"/>
      <c r="F753" s="14"/>
      <c r="G753" s="14"/>
      <c r="H753" s="14"/>
      <c r="I753" s="14"/>
      <c r="J753" s="14"/>
      <c r="K753" s="12"/>
    </row>
    <row r="754" ht="19.5" customHeight="1">
      <c r="A754" s="12"/>
      <c r="C754" s="12"/>
      <c r="D754" s="87"/>
      <c r="F754" s="14"/>
      <c r="G754" s="14"/>
      <c r="H754" s="14"/>
      <c r="I754" s="14"/>
      <c r="J754" s="14"/>
      <c r="K754" s="12"/>
    </row>
    <row r="755" ht="19.5" customHeight="1">
      <c r="A755" s="12"/>
      <c r="C755" s="12"/>
      <c r="D755" s="87"/>
      <c r="F755" s="14"/>
      <c r="G755" s="14"/>
      <c r="H755" s="14"/>
      <c r="I755" s="14"/>
      <c r="J755" s="14"/>
      <c r="K755" s="12"/>
    </row>
    <row r="756" ht="19.5" customHeight="1">
      <c r="A756" s="12"/>
      <c r="C756" s="12"/>
      <c r="D756" s="87"/>
      <c r="F756" s="14"/>
      <c r="G756" s="14"/>
      <c r="H756" s="14"/>
      <c r="I756" s="14"/>
      <c r="J756" s="14"/>
      <c r="K756" s="12"/>
    </row>
    <row r="757" ht="19.5" customHeight="1">
      <c r="A757" s="12"/>
      <c r="C757" s="12"/>
      <c r="D757" s="87"/>
      <c r="F757" s="14"/>
      <c r="G757" s="14"/>
      <c r="H757" s="14"/>
      <c r="I757" s="14"/>
      <c r="J757" s="14"/>
      <c r="K757" s="12"/>
    </row>
    <row r="758" ht="19.5" customHeight="1">
      <c r="A758" s="12"/>
      <c r="C758" s="12"/>
      <c r="D758" s="87"/>
      <c r="F758" s="14"/>
      <c r="G758" s="14"/>
      <c r="H758" s="14"/>
      <c r="I758" s="14"/>
      <c r="J758" s="14"/>
      <c r="K758" s="12"/>
    </row>
    <row r="759" ht="19.5" customHeight="1">
      <c r="A759" s="12"/>
      <c r="C759" s="12"/>
      <c r="D759" s="87"/>
      <c r="F759" s="14"/>
      <c r="G759" s="14"/>
      <c r="H759" s="14"/>
      <c r="I759" s="14"/>
      <c r="J759" s="14"/>
      <c r="K759" s="12"/>
    </row>
    <row r="760" ht="19.5" customHeight="1">
      <c r="A760" s="12"/>
      <c r="C760" s="12"/>
      <c r="D760" s="87"/>
      <c r="F760" s="14"/>
      <c r="G760" s="14"/>
      <c r="H760" s="14"/>
      <c r="I760" s="14"/>
      <c r="J760" s="14"/>
      <c r="K760" s="12"/>
    </row>
    <row r="761" ht="19.5" customHeight="1">
      <c r="A761" s="12"/>
      <c r="C761" s="12"/>
      <c r="D761" s="87"/>
      <c r="F761" s="14"/>
      <c r="G761" s="14"/>
      <c r="H761" s="14"/>
      <c r="I761" s="14"/>
      <c r="J761" s="14"/>
      <c r="K761" s="12"/>
    </row>
    <row r="762" ht="19.5" customHeight="1">
      <c r="A762" s="12"/>
      <c r="C762" s="12"/>
      <c r="D762" s="87"/>
      <c r="F762" s="14"/>
      <c r="G762" s="14"/>
      <c r="H762" s="14"/>
      <c r="I762" s="14"/>
      <c r="J762" s="14"/>
      <c r="K762" s="12"/>
    </row>
    <row r="763" ht="19.5" customHeight="1">
      <c r="A763" s="12"/>
      <c r="C763" s="12"/>
      <c r="D763" s="87"/>
      <c r="F763" s="14"/>
      <c r="G763" s="14"/>
      <c r="H763" s="14"/>
      <c r="I763" s="14"/>
      <c r="J763" s="14"/>
      <c r="K763" s="12"/>
    </row>
    <row r="764" ht="19.5" customHeight="1">
      <c r="A764" s="12"/>
      <c r="C764" s="12"/>
      <c r="D764" s="87"/>
      <c r="F764" s="14"/>
      <c r="G764" s="14"/>
      <c r="H764" s="14"/>
      <c r="I764" s="14"/>
      <c r="J764" s="14"/>
      <c r="K764" s="12"/>
    </row>
    <row r="765" ht="19.5" customHeight="1">
      <c r="A765" s="12"/>
      <c r="C765" s="12"/>
      <c r="D765" s="87"/>
      <c r="F765" s="14"/>
      <c r="G765" s="14"/>
      <c r="H765" s="14"/>
      <c r="I765" s="14"/>
      <c r="J765" s="14"/>
      <c r="K765" s="12"/>
    </row>
    <row r="766" ht="19.5" customHeight="1">
      <c r="A766" s="12"/>
      <c r="C766" s="12"/>
      <c r="D766" s="87"/>
      <c r="F766" s="14"/>
      <c r="G766" s="14"/>
      <c r="H766" s="14"/>
      <c r="I766" s="14"/>
      <c r="J766" s="14"/>
      <c r="K766" s="12"/>
    </row>
    <row r="767" ht="19.5" customHeight="1">
      <c r="A767" s="12"/>
      <c r="C767" s="12"/>
      <c r="D767" s="87"/>
      <c r="F767" s="14"/>
      <c r="G767" s="14"/>
      <c r="H767" s="14"/>
      <c r="I767" s="14"/>
      <c r="J767" s="14"/>
      <c r="K767" s="12"/>
    </row>
    <row r="768" ht="19.5" customHeight="1">
      <c r="A768" s="12"/>
      <c r="C768" s="12"/>
      <c r="D768" s="87"/>
      <c r="F768" s="14"/>
      <c r="G768" s="14"/>
      <c r="H768" s="14"/>
      <c r="I768" s="14"/>
      <c r="J768" s="14"/>
      <c r="K768" s="12"/>
    </row>
    <row r="769" ht="19.5" customHeight="1">
      <c r="A769" s="12"/>
      <c r="C769" s="12"/>
      <c r="D769" s="87"/>
      <c r="F769" s="14"/>
      <c r="G769" s="14"/>
      <c r="H769" s="14"/>
      <c r="I769" s="14"/>
      <c r="J769" s="14"/>
      <c r="K769" s="12"/>
    </row>
    <row r="770" ht="19.5" customHeight="1">
      <c r="A770" s="12"/>
      <c r="C770" s="12"/>
      <c r="D770" s="87"/>
      <c r="F770" s="14"/>
      <c r="G770" s="14"/>
      <c r="H770" s="14"/>
      <c r="I770" s="14"/>
      <c r="J770" s="14"/>
      <c r="K770" s="12"/>
    </row>
    <row r="771" ht="19.5" customHeight="1">
      <c r="A771" s="12"/>
      <c r="C771" s="12"/>
      <c r="D771" s="87"/>
      <c r="F771" s="14"/>
      <c r="G771" s="14"/>
      <c r="H771" s="14"/>
      <c r="I771" s="14"/>
      <c r="J771" s="14"/>
      <c r="K771" s="12"/>
    </row>
    <row r="772" ht="19.5" customHeight="1">
      <c r="A772" s="12"/>
      <c r="C772" s="12"/>
      <c r="D772" s="87"/>
      <c r="F772" s="14"/>
      <c r="G772" s="14"/>
      <c r="H772" s="14"/>
      <c r="I772" s="14"/>
      <c r="J772" s="14"/>
      <c r="K772" s="12"/>
    </row>
    <row r="773" ht="19.5" customHeight="1">
      <c r="A773" s="12"/>
      <c r="C773" s="12"/>
      <c r="D773" s="87"/>
      <c r="F773" s="14"/>
      <c r="G773" s="14"/>
      <c r="H773" s="14"/>
      <c r="I773" s="14"/>
      <c r="J773" s="14"/>
      <c r="K773" s="12"/>
    </row>
    <row r="774" ht="19.5" customHeight="1">
      <c r="A774" s="12"/>
      <c r="C774" s="12"/>
      <c r="D774" s="87"/>
      <c r="F774" s="14"/>
      <c r="G774" s="14"/>
      <c r="H774" s="14"/>
      <c r="I774" s="14"/>
      <c r="J774" s="14"/>
      <c r="K774" s="12"/>
    </row>
    <row r="775" ht="19.5" customHeight="1">
      <c r="A775" s="12"/>
      <c r="C775" s="12"/>
      <c r="D775" s="87"/>
      <c r="F775" s="14"/>
      <c r="G775" s="14"/>
      <c r="H775" s="14"/>
      <c r="I775" s="14"/>
      <c r="J775" s="14"/>
      <c r="K775" s="12"/>
    </row>
    <row r="776" ht="19.5" customHeight="1">
      <c r="A776" s="12"/>
      <c r="C776" s="12"/>
      <c r="D776" s="87"/>
      <c r="F776" s="14"/>
      <c r="G776" s="14"/>
      <c r="H776" s="14"/>
      <c r="I776" s="14"/>
      <c r="J776" s="14"/>
      <c r="K776" s="12"/>
    </row>
    <row r="777" ht="19.5" customHeight="1">
      <c r="A777" s="12"/>
      <c r="C777" s="12"/>
      <c r="D777" s="87"/>
      <c r="F777" s="14"/>
      <c r="G777" s="14"/>
      <c r="H777" s="14"/>
      <c r="I777" s="14"/>
      <c r="J777" s="14"/>
      <c r="K777" s="12"/>
    </row>
    <row r="778" ht="19.5" customHeight="1">
      <c r="A778" s="12"/>
      <c r="C778" s="12"/>
      <c r="D778" s="87"/>
      <c r="F778" s="14"/>
      <c r="G778" s="14"/>
      <c r="H778" s="14"/>
      <c r="I778" s="14"/>
      <c r="J778" s="14"/>
      <c r="K778" s="12"/>
    </row>
    <row r="779" ht="19.5" customHeight="1">
      <c r="A779" s="12"/>
      <c r="C779" s="12"/>
      <c r="D779" s="87"/>
      <c r="F779" s="14"/>
      <c r="G779" s="14"/>
      <c r="H779" s="14"/>
      <c r="I779" s="14"/>
      <c r="J779" s="14"/>
      <c r="K779" s="12"/>
    </row>
    <row r="780" ht="19.5" customHeight="1">
      <c r="A780" s="12"/>
      <c r="C780" s="12"/>
      <c r="D780" s="87"/>
      <c r="F780" s="14"/>
      <c r="G780" s="14"/>
      <c r="H780" s="14"/>
      <c r="I780" s="14"/>
      <c r="J780" s="14"/>
      <c r="K780" s="12"/>
    </row>
    <row r="781" ht="19.5" customHeight="1">
      <c r="A781" s="12"/>
      <c r="C781" s="12"/>
      <c r="D781" s="87"/>
      <c r="F781" s="14"/>
      <c r="G781" s="14"/>
      <c r="H781" s="14"/>
      <c r="I781" s="14"/>
      <c r="J781" s="14"/>
      <c r="K781" s="12"/>
    </row>
    <row r="782" ht="19.5" customHeight="1">
      <c r="A782" s="12"/>
      <c r="C782" s="12"/>
      <c r="D782" s="87"/>
      <c r="F782" s="14"/>
      <c r="G782" s="14"/>
      <c r="H782" s="14"/>
      <c r="I782" s="14"/>
      <c r="J782" s="14"/>
      <c r="K782" s="12"/>
    </row>
    <row r="783" ht="19.5" customHeight="1">
      <c r="A783" s="12"/>
      <c r="C783" s="12"/>
      <c r="D783" s="87"/>
      <c r="F783" s="14"/>
      <c r="G783" s="14"/>
      <c r="H783" s="14"/>
      <c r="I783" s="14"/>
      <c r="J783" s="14"/>
      <c r="K783" s="12"/>
    </row>
    <row r="784" ht="19.5" customHeight="1">
      <c r="A784" s="12"/>
      <c r="C784" s="12"/>
      <c r="D784" s="87"/>
      <c r="F784" s="14"/>
      <c r="G784" s="14"/>
      <c r="H784" s="14"/>
      <c r="I784" s="14"/>
      <c r="J784" s="14"/>
      <c r="K784" s="12"/>
    </row>
    <row r="785" ht="19.5" customHeight="1">
      <c r="A785" s="12"/>
      <c r="C785" s="12"/>
      <c r="D785" s="87"/>
      <c r="F785" s="14"/>
      <c r="G785" s="14"/>
      <c r="H785" s="14"/>
      <c r="I785" s="14"/>
      <c r="J785" s="14"/>
      <c r="K785" s="12"/>
    </row>
    <row r="786" ht="19.5" customHeight="1">
      <c r="A786" s="12"/>
      <c r="C786" s="12"/>
      <c r="D786" s="87"/>
      <c r="F786" s="14"/>
      <c r="G786" s="14"/>
      <c r="H786" s="14"/>
      <c r="I786" s="14"/>
      <c r="J786" s="14"/>
      <c r="K786" s="12"/>
    </row>
    <row r="787" ht="19.5" customHeight="1">
      <c r="A787" s="12"/>
      <c r="C787" s="12"/>
      <c r="D787" s="87"/>
      <c r="F787" s="14"/>
      <c r="G787" s="14"/>
      <c r="H787" s="14"/>
      <c r="I787" s="14"/>
      <c r="J787" s="14"/>
      <c r="K787" s="12"/>
    </row>
    <row r="788" ht="19.5" customHeight="1">
      <c r="A788" s="12"/>
      <c r="C788" s="12"/>
      <c r="D788" s="87"/>
      <c r="F788" s="14"/>
      <c r="G788" s="14"/>
      <c r="H788" s="14"/>
      <c r="I788" s="14"/>
      <c r="J788" s="14"/>
      <c r="K788" s="12"/>
    </row>
    <row r="789" ht="19.5" customHeight="1">
      <c r="A789" s="12"/>
      <c r="C789" s="12"/>
      <c r="D789" s="87"/>
      <c r="F789" s="14"/>
      <c r="G789" s="14"/>
      <c r="H789" s="14"/>
      <c r="I789" s="14"/>
      <c r="J789" s="14"/>
      <c r="K789" s="12"/>
    </row>
    <row r="790" ht="19.5" customHeight="1">
      <c r="A790" s="12"/>
      <c r="C790" s="12"/>
      <c r="D790" s="87"/>
      <c r="F790" s="14"/>
      <c r="G790" s="14"/>
      <c r="H790" s="14"/>
      <c r="I790" s="14"/>
      <c r="J790" s="14"/>
      <c r="K790" s="12"/>
    </row>
    <row r="791" ht="19.5" customHeight="1">
      <c r="A791" s="12"/>
      <c r="C791" s="12"/>
      <c r="D791" s="87"/>
      <c r="F791" s="14"/>
      <c r="G791" s="14"/>
      <c r="H791" s="14"/>
      <c r="I791" s="14"/>
      <c r="J791" s="14"/>
      <c r="K791" s="12"/>
    </row>
    <row r="792" ht="19.5" customHeight="1">
      <c r="A792" s="12"/>
      <c r="C792" s="12"/>
      <c r="D792" s="87"/>
      <c r="F792" s="14"/>
      <c r="G792" s="14"/>
      <c r="H792" s="14"/>
      <c r="I792" s="14"/>
      <c r="J792" s="14"/>
      <c r="K792" s="12"/>
    </row>
    <row r="793" ht="19.5" customHeight="1">
      <c r="A793" s="12"/>
      <c r="C793" s="12"/>
      <c r="D793" s="87"/>
      <c r="F793" s="14"/>
      <c r="G793" s="14"/>
      <c r="H793" s="14"/>
      <c r="I793" s="14"/>
      <c r="J793" s="14"/>
      <c r="K793" s="12"/>
    </row>
    <row r="794" ht="19.5" customHeight="1">
      <c r="A794" s="12"/>
      <c r="C794" s="12"/>
      <c r="D794" s="87"/>
      <c r="F794" s="14"/>
      <c r="G794" s="14"/>
      <c r="H794" s="14"/>
      <c r="I794" s="14"/>
      <c r="J794" s="14"/>
      <c r="K794" s="12"/>
    </row>
    <row r="795" ht="19.5" customHeight="1">
      <c r="A795" s="12"/>
      <c r="C795" s="12"/>
      <c r="D795" s="87"/>
      <c r="F795" s="14"/>
      <c r="G795" s="14"/>
      <c r="H795" s="14"/>
      <c r="I795" s="14"/>
      <c r="J795" s="14"/>
      <c r="K795" s="12"/>
    </row>
    <row r="796" ht="19.5" customHeight="1">
      <c r="A796" s="12"/>
      <c r="C796" s="12"/>
      <c r="D796" s="87"/>
      <c r="F796" s="14"/>
      <c r="G796" s="14"/>
      <c r="H796" s="14"/>
      <c r="I796" s="14"/>
      <c r="J796" s="14"/>
      <c r="K796" s="12"/>
    </row>
    <row r="797" ht="19.5" customHeight="1">
      <c r="A797" s="12"/>
      <c r="C797" s="12"/>
      <c r="D797" s="87"/>
      <c r="F797" s="14"/>
      <c r="G797" s="14"/>
      <c r="H797" s="14"/>
      <c r="I797" s="14"/>
      <c r="J797" s="14"/>
      <c r="K797" s="12"/>
    </row>
    <row r="798" ht="19.5" customHeight="1">
      <c r="A798" s="12"/>
      <c r="C798" s="12"/>
      <c r="D798" s="87"/>
      <c r="F798" s="14"/>
      <c r="G798" s="14"/>
      <c r="H798" s="14"/>
      <c r="I798" s="14"/>
      <c r="J798" s="14"/>
      <c r="K798" s="12"/>
    </row>
    <row r="799" ht="19.5" customHeight="1">
      <c r="A799" s="12"/>
      <c r="C799" s="12"/>
      <c r="D799" s="87"/>
      <c r="F799" s="14"/>
      <c r="G799" s="14"/>
      <c r="H799" s="14"/>
      <c r="I799" s="14"/>
      <c r="J799" s="14"/>
      <c r="K799" s="12"/>
    </row>
    <row r="800" ht="19.5" customHeight="1">
      <c r="A800" s="12"/>
      <c r="C800" s="12"/>
      <c r="D800" s="87"/>
      <c r="F800" s="14"/>
      <c r="G800" s="14"/>
      <c r="H800" s="14"/>
      <c r="I800" s="14"/>
      <c r="J800" s="14"/>
      <c r="K800" s="12"/>
    </row>
    <row r="801" ht="19.5" customHeight="1">
      <c r="A801" s="12"/>
      <c r="C801" s="12"/>
      <c r="D801" s="87"/>
      <c r="F801" s="14"/>
      <c r="G801" s="14"/>
      <c r="H801" s="14"/>
      <c r="I801" s="14"/>
      <c r="J801" s="14"/>
      <c r="K801" s="12"/>
    </row>
    <row r="802" ht="19.5" customHeight="1">
      <c r="A802" s="12"/>
      <c r="C802" s="12"/>
      <c r="D802" s="87"/>
      <c r="F802" s="14"/>
      <c r="G802" s="14"/>
      <c r="H802" s="14"/>
      <c r="I802" s="14"/>
      <c r="J802" s="14"/>
      <c r="K802" s="12"/>
    </row>
    <row r="803" ht="19.5" customHeight="1">
      <c r="A803" s="12"/>
      <c r="C803" s="12"/>
      <c r="D803" s="87"/>
      <c r="F803" s="14"/>
      <c r="G803" s="14"/>
      <c r="H803" s="14"/>
      <c r="I803" s="14"/>
      <c r="J803" s="14"/>
      <c r="K803" s="12"/>
    </row>
    <row r="804" ht="19.5" customHeight="1">
      <c r="A804" s="12"/>
      <c r="C804" s="12"/>
      <c r="D804" s="87"/>
      <c r="F804" s="14"/>
      <c r="G804" s="14"/>
      <c r="H804" s="14"/>
      <c r="I804" s="14"/>
      <c r="J804" s="14"/>
      <c r="K804" s="12"/>
    </row>
    <row r="805" ht="19.5" customHeight="1">
      <c r="A805" s="12"/>
      <c r="C805" s="12"/>
      <c r="D805" s="87"/>
      <c r="F805" s="14"/>
      <c r="G805" s="14"/>
      <c r="H805" s="14"/>
      <c r="I805" s="14"/>
      <c r="J805" s="14"/>
      <c r="K805" s="12"/>
    </row>
    <row r="806" ht="19.5" customHeight="1">
      <c r="A806" s="12"/>
      <c r="C806" s="12"/>
      <c r="D806" s="87"/>
      <c r="F806" s="14"/>
      <c r="G806" s="14"/>
      <c r="H806" s="14"/>
      <c r="I806" s="14"/>
      <c r="J806" s="14"/>
      <c r="K806" s="12"/>
    </row>
    <row r="807" ht="19.5" customHeight="1">
      <c r="A807" s="12"/>
      <c r="C807" s="12"/>
      <c r="D807" s="87"/>
      <c r="F807" s="14"/>
      <c r="G807" s="14"/>
      <c r="H807" s="14"/>
      <c r="I807" s="14"/>
      <c r="J807" s="14"/>
      <c r="K807" s="12"/>
    </row>
    <row r="808" ht="19.5" customHeight="1">
      <c r="A808" s="12"/>
      <c r="C808" s="12"/>
      <c r="D808" s="87"/>
      <c r="F808" s="14"/>
      <c r="G808" s="14"/>
      <c r="H808" s="14"/>
      <c r="I808" s="14"/>
      <c r="J808" s="14"/>
      <c r="K808" s="12"/>
    </row>
    <row r="809" ht="19.5" customHeight="1">
      <c r="A809" s="12"/>
      <c r="C809" s="12"/>
      <c r="D809" s="87"/>
      <c r="F809" s="14"/>
      <c r="G809" s="14"/>
      <c r="H809" s="14"/>
      <c r="I809" s="14"/>
      <c r="J809" s="14"/>
      <c r="K809" s="12"/>
    </row>
    <row r="810" ht="19.5" customHeight="1">
      <c r="A810" s="12"/>
      <c r="C810" s="12"/>
      <c r="D810" s="87"/>
      <c r="F810" s="14"/>
      <c r="G810" s="14"/>
      <c r="H810" s="14"/>
      <c r="I810" s="14"/>
      <c r="J810" s="14"/>
      <c r="K810" s="12"/>
    </row>
    <row r="811" ht="19.5" customHeight="1">
      <c r="A811" s="12"/>
      <c r="C811" s="12"/>
      <c r="D811" s="87"/>
      <c r="F811" s="14"/>
      <c r="G811" s="14"/>
      <c r="H811" s="14"/>
      <c r="I811" s="14"/>
      <c r="J811" s="14"/>
      <c r="K811" s="12"/>
    </row>
    <row r="812" ht="19.5" customHeight="1">
      <c r="A812" s="12"/>
      <c r="C812" s="12"/>
      <c r="D812" s="87"/>
      <c r="F812" s="14"/>
      <c r="G812" s="14"/>
      <c r="H812" s="14"/>
      <c r="I812" s="14"/>
      <c r="J812" s="14"/>
      <c r="K812" s="12"/>
    </row>
    <row r="813" ht="19.5" customHeight="1">
      <c r="A813" s="12"/>
      <c r="C813" s="12"/>
      <c r="D813" s="87"/>
      <c r="F813" s="14"/>
      <c r="G813" s="14"/>
      <c r="H813" s="14"/>
      <c r="I813" s="14"/>
      <c r="J813" s="14"/>
      <c r="K813" s="12"/>
    </row>
    <row r="814" ht="19.5" customHeight="1">
      <c r="A814" s="12"/>
      <c r="C814" s="12"/>
      <c r="D814" s="87"/>
      <c r="F814" s="14"/>
      <c r="G814" s="14"/>
      <c r="H814" s="14"/>
      <c r="I814" s="14"/>
      <c r="J814" s="14"/>
      <c r="K814" s="12"/>
    </row>
    <row r="815" ht="19.5" customHeight="1">
      <c r="A815" s="12"/>
      <c r="C815" s="12"/>
      <c r="D815" s="87"/>
      <c r="F815" s="14"/>
      <c r="G815" s="14"/>
      <c r="H815" s="14"/>
      <c r="I815" s="14"/>
      <c r="J815" s="14"/>
      <c r="K815" s="12"/>
    </row>
    <row r="816" ht="19.5" customHeight="1">
      <c r="A816" s="12"/>
      <c r="C816" s="12"/>
      <c r="D816" s="87"/>
      <c r="F816" s="14"/>
      <c r="G816" s="14"/>
      <c r="H816" s="14"/>
      <c r="I816" s="14"/>
      <c r="J816" s="14"/>
      <c r="K816" s="12"/>
    </row>
    <row r="817" ht="19.5" customHeight="1">
      <c r="A817" s="12"/>
      <c r="C817" s="12"/>
      <c r="D817" s="87"/>
      <c r="F817" s="14"/>
      <c r="G817" s="14"/>
      <c r="H817" s="14"/>
      <c r="I817" s="14"/>
      <c r="J817" s="14"/>
      <c r="K817" s="12"/>
    </row>
    <row r="818" ht="19.5" customHeight="1">
      <c r="A818" s="12"/>
      <c r="C818" s="12"/>
      <c r="D818" s="87"/>
      <c r="F818" s="14"/>
      <c r="G818" s="14"/>
      <c r="H818" s="14"/>
      <c r="I818" s="14"/>
      <c r="J818" s="14"/>
      <c r="K818" s="12"/>
    </row>
    <row r="819" ht="19.5" customHeight="1">
      <c r="A819" s="12"/>
      <c r="C819" s="12"/>
      <c r="D819" s="87"/>
      <c r="F819" s="14"/>
      <c r="G819" s="14"/>
      <c r="H819" s="14"/>
      <c r="I819" s="14"/>
      <c r="J819" s="14"/>
      <c r="K819" s="12"/>
    </row>
    <row r="820" ht="19.5" customHeight="1">
      <c r="A820" s="12"/>
      <c r="C820" s="12"/>
      <c r="D820" s="87"/>
      <c r="F820" s="14"/>
      <c r="G820" s="14"/>
      <c r="H820" s="14"/>
      <c r="I820" s="14"/>
      <c r="J820" s="14"/>
      <c r="K820" s="12"/>
    </row>
    <row r="821" ht="19.5" customHeight="1">
      <c r="A821" s="12"/>
      <c r="C821" s="12"/>
      <c r="D821" s="87"/>
      <c r="F821" s="14"/>
      <c r="G821" s="14"/>
      <c r="H821" s="14"/>
      <c r="I821" s="14"/>
      <c r="J821" s="14"/>
      <c r="K821" s="12"/>
    </row>
    <row r="822" ht="19.5" customHeight="1">
      <c r="A822" s="12"/>
      <c r="C822" s="12"/>
      <c r="D822" s="87"/>
      <c r="F822" s="14"/>
      <c r="G822" s="14"/>
      <c r="H822" s="14"/>
      <c r="I822" s="14"/>
      <c r="J822" s="14"/>
      <c r="K822" s="12"/>
    </row>
    <row r="823" ht="19.5" customHeight="1">
      <c r="A823" s="12"/>
      <c r="C823" s="12"/>
      <c r="D823" s="87"/>
      <c r="F823" s="14"/>
      <c r="G823" s="14"/>
      <c r="H823" s="14"/>
      <c r="I823" s="14"/>
      <c r="J823" s="14"/>
      <c r="K823" s="12"/>
    </row>
    <row r="824" ht="19.5" customHeight="1">
      <c r="A824" s="12"/>
      <c r="C824" s="12"/>
      <c r="D824" s="87"/>
      <c r="F824" s="14"/>
      <c r="G824" s="14"/>
      <c r="H824" s="14"/>
      <c r="I824" s="14"/>
      <c r="J824" s="14"/>
      <c r="K824" s="12"/>
    </row>
    <row r="825" ht="19.5" customHeight="1">
      <c r="A825" s="12"/>
      <c r="C825" s="12"/>
      <c r="D825" s="87"/>
      <c r="F825" s="14"/>
      <c r="G825" s="14"/>
      <c r="H825" s="14"/>
      <c r="I825" s="14"/>
      <c r="J825" s="14"/>
      <c r="K825" s="12"/>
    </row>
    <row r="826" ht="19.5" customHeight="1">
      <c r="A826" s="12"/>
      <c r="C826" s="12"/>
      <c r="D826" s="87"/>
      <c r="F826" s="14"/>
      <c r="G826" s="14"/>
      <c r="H826" s="14"/>
      <c r="I826" s="14"/>
      <c r="J826" s="14"/>
      <c r="K826" s="12"/>
    </row>
    <row r="827" ht="19.5" customHeight="1">
      <c r="A827" s="12"/>
      <c r="C827" s="12"/>
      <c r="D827" s="87"/>
      <c r="F827" s="14"/>
      <c r="G827" s="14"/>
      <c r="H827" s="14"/>
      <c r="I827" s="14"/>
      <c r="J827" s="14"/>
      <c r="K827" s="12"/>
    </row>
    <row r="828" ht="19.5" customHeight="1">
      <c r="A828" s="12"/>
      <c r="C828" s="12"/>
      <c r="D828" s="87"/>
      <c r="F828" s="14"/>
      <c r="G828" s="14"/>
      <c r="H828" s="14"/>
      <c r="I828" s="14"/>
      <c r="J828" s="14"/>
      <c r="K828" s="12"/>
    </row>
    <row r="829" ht="19.5" customHeight="1">
      <c r="A829" s="12"/>
      <c r="C829" s="12"/>
      <c r="D829" s="87"/>
      <c r="F829" s="14"/>
      <c r="G829" s="14"/>
      <c r="H829" s="14"/>
      <c r="I829" s="14"/>
      <c r="J829" s="14"/>
      <c r="K829" s="12"/>
    </row>
    <row r="830" ht="19.5" customHeight="1">
      <c r="A830" s="12"/>
      <c r="C830" s="12"/>
      <c r="D830" s="87"/>
      <c r="F830" s="14"/>
      <c r="G830" s="14"/>
      <c r="H830" s="14"/>
      <c r="I830" s="14"/>
      <c r="J830" s="14"/>
      <c r="K830" s="12"/>
    </row>
    <row r="831" ht="19.5" customHeight="1">
      <c r="A831" s="12"/>
      <c r="C831" s="12"/>
      <c r="D831" s="87"/>
      <c r="F831" s="14"/>
      <c r="G831" s="14"/>
      <c r="H831" s="14"/>
      <c r="I831" s="14"/>
      <c r="J831" s="14"/>
      <c r="K831" s="12"/>
    </row>
    <row r="832" ht="19.5" customHeight="1">
      <c r="A832" s="12"/>
      <c r="C832" s="12"/>
      <c r="D832" s="87"/>
      <c r="F832" s="14"/>
      <c r="G832" s="14"/>
      <c r="H832" s="14"/>
      <c r="I832" s="14"/>
      <c r="J832" s="14"/>
      <c r="K832" s="12"/>
    </row>
    <row r="833" ht="19.5" customHeight="1">
      <c r="A833" s="12"/>
      <c r="C833" s="12"/>
      <c r="D833" s="87"/>
      <c r="F833" s="14"/>
      <c r="G833" s="14"/>
      <c r="H833" s="14"/>
      <c r="I833" s="14"/>
      <c r="J833" s="14"/>
      <c r="K833" s="12"/>
    </row>
    <row r="834" ht="19.5" customHeight="1">
      <c r="A834" s="12"/>
      <c r="C834" s="12"/>
      <c r="D834" s="87"/>
      <c r="F834" s="14"/>
      <c r="G834" s="14"/>
      <c r="H834" s="14"/>
      <c r="I834" s="14"/>
      <c r="J834" s="14"/>
      <c r="K834" s="12"/>
    </row>
    <row r="835" ht="19.5" customHeight="1">
      <c r="A835" s="12"/>
      <c r="C835" s="12"/>
      <c r="D835" s="87"/>
      <c r="F835" s="14"/>
      <c r="G835" s="14"/>
      <c r="H835" s="14"/>
      <c r="I835" s="14"/>
      <c r="J835" s="14"/>
      <c r="K835" s="12"/>
    </row>
    <row r="836" ht="19.5" customHeight="1">
      <c r="A836" s="12"/>
      <c r="C836" s="12"/>
      <c r="D836" s="87"/>
      <c r="F836" s="14"/>
      <c r="G836" s="14"/>
      <c r="H836" s="14"/>
      <c r="I836" s="14"/>
      <c r="J836" s="14"/>
      <c r="K836" s="12"/>
    </row>
    <row r="837" ht="19.5" customHeight="1">
      <c r="A837" s="12"/>
      <c r="C837" s="12"/>
      <c r="D837" s="87"/>
      <c r="F837" s="14"/>
      <c r="G837" s="14"/>
      <c r="H837" s="14"/>
      <c r="I837" s="14"/>
      <c r="J837" s="14"/>
      <c r="K837" s="12"/>
    </row>
    <row r="838" ht="19.5" customHeight="1">
      <c r="A838" s="12"/>
      <c r="C838" s="12"/>
      <c r="D838" s="87"/>
      <c r="F838" s="14"/>
      <c r="G838" s="14"/>
      <c r="H838" s="14"/>
      <c r="I838" s="14"/>
      <c r="J838" s="14"/>
      <c r="K838" s="12"/>
    </row>
    <row r="839" ht="19.5" customHeight="1">
      <c r="A839" s="12"/>
      <c r="C839" s="12"/>
      <c r="D839" s="87"/>
      <c r="F839" s="14"/>
      <c r="G839" s="14"/>
      <c r="H839" s="14"/>
      <c r="I839" s="14"/>
      <c r="J839" s="14"/>
      <c r="K839" s="12"/>
    </row>
    <row r="840" ht="19.5" customHeight="1">
      <c r="A840" s="12"/>
      <c r="C840" s="12"/>
      <c r="D840" s="87"/>
      <c r="F840" s="14"/>
      <c r="G840" s="14"/>
      <c r="H840" s="14"/>
      <c r="I840" s="14"/>
      <c r="J840" s="14"/>
      <c r="K840" s="12"/>
    </row>
    <row r="841" ht="19.5" customHeight="1">
      <c r="A841" s="12"/>
      <c r="C841" s="12"/>
      <c r="D841" s="87"/>
      <c r="F841" s="14"/>
      <c r="G841" s="14"/>
      <c r="H841" s="14"/>
      <c r="I841" s="14"/>
      <c r="J841" s="14"/>
      <c r="K841" s="12"/>
    </row>
    <row r="842" ht="19.5" customHeight="1">
      <c r="A842" s="12"/>
      <c r="C842" s="12"/>
      <c r="D842" s="87"/>
      <c r="F842" s="14"/>
      <c r="G842" s="14"/>
      <c r="H842" s="14"/>
      <c r="I842" s="14"/>
      <c r="J842" s="14"/>
      <c r="K842" s="12"/>
    </row>
    <row r="843" ht="19.5" customHeight="1">
      <c r="A843" s="12"/>
      <c r="C843" s="12"/>
      <c r="D843" s="87"/>
      <c r="F843" s="14"/>
      <c r="G843" s="14"/>
      <c r="H843" s="14"/>
      <c r="I843" s="14"/>
      <c r="J843" s="14"/>
      <c r="K843" s="12"/>
    </row>
    <row r="844" ht="19.5" customHeight="1">
      <c r="A844" s="12"/>
      <c r="C844" s="12"/>
      <c r="D844" s="87"/>
      <c r="F844" s="14"/>
      <c r="G844" s="14"/>
      <c r="H844" s="14"/>
      <c r="I844" s="14"/>
      <c r="J844" s="14"/>
      <c r="K844" s="12"/>
    </row>
    <row r="845" ht="19.5" customHeight="1">
      <c r="A845" s="12"/>
      <c r="C845" s="12"/>
      <c r="D845" s="87"/>
      <c r="F845" s="14"/>
      <c r="G845" s="14"/>
      <c r="H845" s="14"/>
      <c r="I845" s="14"/>
      <c r="J845" s="14"/>
      <c r="K845" s="12"/>
    </row>
    <row r="846" ht="19.5" customHeight="1">
      <c r="A846" s="12"/>
      <c r="C846" s="12"/>
      <c r="D846" s="87"/>
      <c r="F846" s="14"/>
      <c r="G846" s="14"/>
      <c r="H846" s="14"/>
      <c r="I846" s="14"/>
      <c r="J846" s="14"/>
      <c r="K846" s="12"/>
    </row>
    <row r="847" ht="19.5" customHeight="1">
      <c r="A847" s="12"/>
      <c r="C847" s="12"/>
      <c r="D847" s="87"/>
      <c r="F847" s="14"/>
      <c r="G847" s="14"/>
      <c r="H847" s="14"/>
      <c r="I847" s="14"/>
      <c r="J847" s="14"/>
      <c r="K847" s="12"/>
    </row>
    <row r="848" ht="19.5" customHeight="1">
      <c r="A848" s="12"/>
      <c r="C848" s="12"/>
      <c r="D848" s="87"/>
      <c r="F848" s="14"/>
      <c r="G848" s="14"/>
      <c r="H848" s="14"/>
      <c r="I848" s="14"/>
      <c r="J848" s="14"/>
      <c r="K848" s="12"/>
    </row>
    <row r="849" ht="19.5" customHeight="1">
      <c r="A849" s="12"/>
      <c r="C849" s="12"/>
      <c r="D849" s="87"/>
      <c r="F849" s="14"/>
      <c r="G849" s="14"/>
      <c r="H849" s="14"/>
      <c r="I849" s="14"/>
      <c r="J849" s="14"/>
      <c r="K849" s="12"/>
    </row>
    <row r="850" ht="19.5" customHeight="1">
      <c r="A850" s="12"/>
      <c r="C850" s="12"/>
      <c r="D850" s="87"/>
      <c r="F850" s="14"/>
      <c r="G850" s="14"/>
      <c r="H850" s="14"/>
      <c r="I850" s="14"/>
      <c r="J850" s="14"/>
      <c r="K850" s="12"/>
    </row>
    <row r="851" ht="19.5" customHeight="1">
      <c r="A851" s="12"/>
      <c r="C851" s="12"/>
      <c r="D851" s="87"/>
      <c r="F851" s="14"/>
      <c r="G851" s="14"/>
      <c r="H851" s="14"/>
      <c r="I851" s="14"/>
      <c r="J851" s="14"/>
      <c r="K851" s="12"/>
    </row>
    <row r="852" ht="19.5" customHeight="1">
      <c r="A852" s="12"/>
      <c r="C852" s="12"/>
      <c r="D852" s="87"/>
      <c r="F852" s="14"/>
      <c r="G852" s="14"/>
      <c r="H852" s="14"/>
      <c r="I852" s="14"/>
      <c r="J852" s="14"/>
      <c r="K852" s="12"/>
    </row>
    <row r="853" ht="19.5" customHeight="1">
      <c r="A853" s="12"/>
      <c r="C853" s="12"/>
      <c r="D853" s="87"/>
      <c r="F853" s="14"/>
      <c r="G853" s="14"/>
      <c r="H853" s="14"/>
      <c r="I853" s="14"/>
      <c r="J853" s="14"/>
      <c r="K853" s="12"/>
    </row>
    <row r="854" ht="19.5" customHeight="1">
      <c r="A854" s="12"/>
      <c r="C854" s="12"/>
      <c r="D854" s="87"/>
      <c r="F854" s="14"/>
      <c r="G854" s="14"/>
      <c r="H854" s="14"/>
      <c r="I854" s="14"/>
      <c r="J854" s="14"/>
      <c r="K854" s="12"/>
    </row>
    <row r="855" ht="19.5" customHeight="1">
      <c r="A855" s="12"/>
      <c r="C855" s="12"/>
      <c r="D855" s="87"/>
      <c r="F855" s="14"/>
      <c r="G855" s="14"/>
      <c r="H855" s="14"/>
      <c r="I855" s="14"/>
      <c r="J855" s="14"/>
      <c r="K855" s="12"/>
    </row>
    <row r="856" ht="19.5" customHeight="1">
      <c r="A856" s="12"/>
      <c r="C856" s="12"/>
      <c r="D856" s="87"/>
      <c r="F856" s="14"/>
      <c r="G856" s="14"/>
      <c r="H856" s="14"/>
      <c r="I856" s="14"/>
      <c r="J856" s="14"/>
      <c r="K856" s="12"/>
    </row>
    <row r="857" ht="19.5" customHeight="1">
      <c r="A857" s="12"/>
      <c r="C857" s="12"/>
      <c r="D857" s="87"/>
      <c r="F857" s="14"/>
      <c r="G857" s="14"/>
      <c r="H857" s="14"/>
      <c r="I857" s="14"/>
      <c r="J857" s="14"/>
      <c r="K857" s="12"/>
    </row>
    <row r="858" ht="19.5" customHeight="1">
      <c r="A858" s="12"/>
      <c r="C858" s="12"/>
      <c r="D858" s="87"/>
      <c r="F858" s="14"/>
      <c r="G858" s="14"/>
      <c r="H858" s="14"/>
      <c r="I858" s="14"/>
      <c r="J858" s="14"/>
      <c r="K858" s="12"/>
    </row>
    <row r="859" ht="19.5" customHeight="1">
      <c r="A859" s="12"/>
      <c r="C859" s="12"/>
      <c r="D859" s="87"/>
      <c r="F859" s="14"/>
      <c r="G859" s="14"/>
      <c r="H859" s="14"/>
      <c r="I859" s="14"/>
      <c r="J859" s="14"/>
      <c r="K859" s="12"/>
    </row>
    <row r="860" ht="19.5" customHeight="1">
      <c r="A860" s="12"/>
      <c r="C860" s="12"/>
      <c r="D860" s="87"/>
      <c r="F860" s="14"/>
      <c r="G860" s="14"/>
      <c r="H860" s="14"/>
      <c r="I860" s="14"/>
      <c r="J860" s="14"/>
      <c r="K860" s="12"/>
    </row>
    <row r="861" ht="19.5" customHeight="1">
      <c r="A861" s="12"/>
      <c r="C861" s="12"/>
      <c r="D861" s="87"/>
      <c r="F861" s="14"/>
      <c r="G861" s="14"/>
      <c r="H861" s="14"/>
      <c r="I861" s="14"/>
      <c r="J861" s="14"/>
      <c r="K861" s="12"/>
    </row>
    <row r="862" ht="19.5" customHeight="1">
      <c r="A862" s="12"/>
      <c r="C862" s="12"/>
      <c r="D862" s="87"/>
      <c r="F862" s="14"/>
      <c r="G862" s="14"/>
      <c r="H862" s="14"/>
      <c r="I862" s="14"/>
      <c r="J862" s="14"/>
      <c r="K862" s="12"/>
    </row>
    <row r="863" ht="19.5" customHeight="1">
      <c r="A863" s="12"/>
      <c r="C863" s="12"/>
      <c r="D863" s="87"/>
      <c r="F863" s="14"/>
      <c r="G863" s="14"/>
      <c r="H863" s="14"/>
      <c r="I863" s="14"/>
      <c r="J863" s="14"/>
      <c r="K863" s="12"/>
    </row>
    <row r="864" ht="19.5" customHeight="1">
      <c r="A864" s="12"/>
      <c r="C864" s="12"/>
      <c r="D864" s="87"/>
      <c r="F864" s="14"/>
      <c r="G864" s="14"/>
      <c r="H864" s="14"/>
      <c r="I864" s="14"/>
      <c r="J864" s="14"/>
      <c r="K864" s="12"/>
    </row>
    <row r="865" ht="19.5" customHeight="1">
      <c r="A865" s="12"/>
      <c r="C865" s="12"/>
      <c r="D865" s="87"/>
      <c r="F865" s="14"/>
      <c r="G865" s="14"/>
      <c r="H865" s="14"/>
      <c r="I865" s="14"/>
      <c r="J865" s="14"/>
      <c r="K865" s="12"/>
    </row>
    <row r="866" ht="19.5" customHeight="1">
      <c r="A866" s="12"/>
      <c r="C866" s="12"/>
      <c r="D866" s="87"/>
      <c r="F866" s="14"/>
      <c r="G866" s="14"/>
      <c r="H866" s="14"/>
      <c r="I866" s="14"/>
      <c r="J866" s="14"/>
      <c r="K866" s="12"/>
    </row>
    <row r="867" ht="19.5" customHeight="1">
      <c r="A867" s="12"/>
      <c r="C867" s="12"/>
      <c r="D867" s="87"/>
      <c r="F867" s="14"/>
      <c r="G867" s="14"/>
      <c r="H867" s="14"/>
      <c r="I867" s="14"/>
      <c r="J867" s="14"/>
      <c r="K867" s="12"/>
    </row>
    <row r="868" ht="19.5" customHeight="1">
      <c r="A868" s="12"/>
      <c r="C868" s="12"/>
      <c r="D868" s="87"/>
      <c r="F868" s="14"/>
      <c r="G868" s="14"/>
      <c r="H868" s="14"/>
      <c r="I868" s="14"/>
      <c r="J868" s="14"/>
      <c r="K868" s="12"/>
    </row>
    <row r="869" ht="19.5" customHeight="1">
      <c r="A869" s="12"/>
      <c r="C869" s="12"/>
      <c r="D869" s="87"/>
      <c r="F869" s="14"/>
      <c r="G869" s="14"/>
      <c r="H869" s="14"/>
      <c r="I869" s="14"/>
      <c r="J869" s="14"/>
      <c r="K869" s="12"/>
    </row>
    <row r="870" ht="19.5" customHeight="1">
      <c r="A870" s="12"/>
      <c r="C870" s="12"/>
      <c r="D870" s="87"/>
      <c r="F870" s="14"/>
      <c r="G870" s="14"/>
      <c r="H870" s="14"/>
      <c r="I870" s="14"/>
      <c r="J870" s="14"/>
      <c r="K870" s="12"/>
    </row>
    <row r="871" ht="19.5" customHeight="1">
      <c r="A871" s="12"/>
      <c r="C871" s="12"/>
      <c r="D871" s="87"/>
      <c r="F871" s="14"/>
      <c r="G871" s="14"/>
      <c r="H871" s="14"/>
      <c r="I871" s="14"/>
      <c r="J871" s="14"/>
      <c r="K871" s="12"/>
    </row>
    <row r="872" ht="19.5" customHeight="1">
      <c r="A872" s="12"/>
      <c r="C872" s="12"/>
      <c r="D872" s="87"/>
      <c r="F872" s="14"/>
      <c r="G872" s="14"/>
      <c r="H872" s="14"/>
      <c r="I872" s="14"/>
      <c r="J872" s="14"/>
      <c r="K872" s="12"/>
    </row>
    <row r="873" ht="19.5" customHeight="1">
      <c r="A873" s="12"/>
      <c r="C873" s="12"/>
      <c r="D873" s="87"/>
      <c r="F873" s="14"/>
      <c r="G873" s="14"/>
      <c r="H873" s="14"/>
      <c r="I873" s="14"/>
      <c r="J873" s="14"/>
      <c r="K873" s="12"/>
    </row>
    <row r="874" ht="19.5" customHeight="1">
      <c r="A874" s="12"/>
      <c r="C874" s="12"/>
      <c r="D874" s="87"/>
      <c r="F874" s="14"/>
      <c r="G874" s="14"/>
      <c r="H874" s="14"/>
      <c r="I874" s="14"/>
      <c r="J874" s="14"/>
      <c r="K874" s="12"/>
    </row>
    <row r="875" ht="19.5" customHeight="1">
      <c r="A875" s="12"/>
      <c r="C875" s="12"/>
      <c r="D875" s="87"/>
      <c r="F875" s="14"/>
      <c r="G875" s="14"/>
      <c r="H875" s="14"/>
      <c r="I875" s="14"/>
      <c r="J875" s="14"/>
      <c r="K875" s="12"/>
    </row>
    <row r="876" ht="19.5" customHeight="1">
      <c r="A876" s="12"/>
      <c r="C876" s="12"/>
      <c r="D876" s="87"/>
      <c r="F876" s="14"/>
      <c r="G876" s="14"/>
      <c r="H876" s="14"/>
      <c r="I876" s="14"/>
      <c r="J876" s="14"/>
      <c r="K876" s="12"/>
    </row>
    <row r="877" ht="19.5" customHeight="1">
      <c r="A877" s="12"/>
      <c r="C877" s="12"/>
      <c r="D877" s="87"/>
      <c r="F877" s="14"/>
      <c r="G877" s="14"/>
      <c r="H877" s="14"/>
      <c r="I877" s="14"/>
      <c r="J877" s="14"/>
      <c r="K877" s="12"/>
    </row>
    <row r="878" ht="19.5" customHeight="1">
      <c r="A878" s="12"/>
      <c r="C878" s="12"/>
      <c r="D878" s="87"/>
      <c r="F878" s="14"/>
      <c r="G878" s="14"/>
      <c r="H878" s="14"/>
      <c r="I878" s="14"/>
      <c r="J878" s="14"/>
      <c r="K878" s="12"/>
    </row>
    <row r="879" ht="19.5" customHeight="1">
      <c r="A879" s="12"/>
      <c r="C879" s="12"/>
      <c r="D879" s="87"/>
      <c r="F879" s="14"/>
      <c r="G879" s="14"/>
      <c r="H879" s="14"/>
      <c r="I879" s="14"/>
      <c r="J879" s="14"/>
      <c r="K879" s="12"/>
    </row>
    <row r="880" ht="19.5" customHeight="1">
      <c r="A880" s="12"/>
      <c r="C880" s="12"/>
      <c r="D880" s="87"/>
      <c r="F880" s="14"/>
      <c r="G880" s="14"/>
      <c r="H880" s="14"/>
      <c r="I880" s="14"/>
      <c r="J880" s="14"/>
      <c r="K880" s="12"/>
    </row>
    <row r="881" ht="19.5" customHeight="1">
      <c r="A881" s="12"/>
      <c r="C881" s="12"/>
      <c r="D881" s="87"/>
      <c r="F881" s="14"/>
      <c r="G881" s="14"/>
      <c r="H881" s="14"/>
      <c r="I881" s="14"/>
      <c r="J881" s="14"/>
      <c r="K881" s="12"/>
    </row>
    <row r="882" ht="19.5" customHeight="1">
      <c r="A882" s="12"/>
      <c r="C882" s="12"/>
      <c r="D882" s="87"/>
      <c r="F882" s="14"/>
      <c r="G882" s="14"/>
      <c r="H882" s="14"/>
      <c r="I882" s="14"/>
      <c r="J882" s="14"/>
      <c r="K882" s="12"/>
    </row>
    <row r="883" ht="19.5" customHeight="1">
      <c r="A883" s="12"/>
      <c r="C883" s="12"/>
      <c r="D883" s="87"/>
      <c r="F883" s="14"/>
      <c r="G883" s="14"/>
      <c r="H883" s="14"/>
      <c r="I883" s="14"/>
      <c r="J883" s="14"/>
      <c r="K883" s="12"/>
    </row>
    <row r="884" ht="19.5" customHeight="1">
      <c r="A884" s="12"/>
      <c r="C884" s="12"/>
      <c r="D884" s="87"/>
      <c r="F884" s="14"/>
      <c r="G884" s="14"/>
      <c r="H884" s="14"/>
      <c r="I884" s="14"/>
      <c r="J884" s="14"/>
      <c r="K884" s="12"/>
    </row>
    <row r="885" ht="19.5" customHeight="1">
      <c r="A885" s="12"/>
      <c r="C885" s="12"/>
      <c r="D885" s="87"/>
      <c r="F885" s="14"/>
      <c r="G885" s="14"/>
      <c r="H885" s="14"/>
      <c r="I885" s="14"/>
      <c r="J885" s="14"/>
      <c r="K885" s="12"/>
    </row>
    <row r="886" ht="19.5" customHeight="1">
      <c r="A886" s="12"/>
      <c r="C886" s="12"/>
      <c r="D886" s="87"/>
      <c r="F886" s="14"/>
      <c r="G886" s="14"/>
      <c r="H886" s="14"/>
      <c r="I886" s="14"/>
      <c r="J886" s="14"/>
      <c r="K886" s="12"/>
    </row>
    <row r="887" ht="19.5" customHeight="1">
      <c r="A887" s="12"/>
      <c r="C887" s="12"/>
      <c r="D887" s="87"/>
      <c r="F887" s="14"/>
      <c r="G887" s="14"/>
      <c r="H887" s="14"/>
      <c r="I887" s="14"/>
      <c r="J887" s="14"/>
      <c r="K887" s="12"/>
    </row>
    <row r="888" ht="19.5" customHeight="1">
      <c r="A888" s="12"/>
      <c r="C888" s="12"/>
      <c r="D888" s="87"/>
      <c r="F888" s="14"/>
      <c r="G888" s="14"/>
      <c r="H888" s="14"/>
      <c r="I888" s="14"/>
      <c r="J888" s="14"/>
      <c r="K888" s="12"/>
    </row>
    <row r="889" ht="19.5" customHeight="1">
      <c r="A889" s="12"/>
      <c r="C889" s="12"/>
      <c r="D889" s="87"/>
      <c r="F889" s="14"/>
      <c r="G889" s="14"/>
      <c r="H889" s="14"/>
      <c r="I889" s="14"/>
      <c r="J889" s="14"/>
      <c r="K889" s="12"/>
    </row>
    <row r="890" ht="19.5" customHeight="1">
      <c r="A890" s="12"/>
      <c r="C890" s="12"/>
      <c r="D890" s="87"/>
      <c r="F890" s="14"/>
      <c r="G890" s="14"/>
      <c r="H890" s="14"/>
      <c r="I890" s="14"/>
      <c r="J890" s="14"/>
      <c r="K890" s="12"/>
    </row>
    <row r="891" ht="19.5" customHeight="1">
      <c r="A891" s="12"/>
      <c r="C891" s="12"/>
      <c r="D891" s="87"/>
      <c r="F891" s="14"/>
      <c r="G891" s="14"/>
      <c r="H891" s="14"/>
      <c r="I891" s="14"/>
      <c r="J891" s="14"/>
      <c r="K891" s="12"/>
    </row>
    <row r="892" ht="19.5" customHeight="1">
      <c r="A892" s="12"/>
      <c r="C892" s="12"/>
      <c r="D892" s="87"/>
      <c r="F892" s="14"/>
      <c r="G892" s="14"/>
      <c r="H892" s="14"/>
      <c r="I892" s="14"/>
      <c r="J892" s="14"/>
      <c r="K892" s="12"/>
    </row>
    <row r="893" ht="19.5" customHeight="1">
      <c r="A893" s="12"/>
      <c r="C893" s="12"/>
      <c r="D893" s="87"/>
      <c r="F893" s="14"/>
      <c r="G893" s="14"/>
      <c r="H893" s="14"/>
      <c r="I893" s="14"/>
      <c r="J893" s="14"/>
      <c r="K893" s="12"/>
    </row>
    <row r="894" ht="19.5" customHeight="1">
      <c r="A894" s="12"/>
      <c r="C894" s="12"/>
      <c r="D894" s="87"/>
      <c r="F894" s="14"/>
      <c r="G894" s="14"/>
      <c r="H894" s="14"/>
      <c r="I894" s="14"/>
      <c r="J894" s="14"/>
      <c r="K894" s="12"/>
    </row>
    <row r="895" ht="19.5" customHeight="1">
      <c r="A895" s="12"/>
      <c r="C895" s="12"/>
      <c r="D895" s="87"/>
      <c r="F895" s="14"/>
      <c r="G895" s="14"/>
      <c r="H895" s="14"/>
      <c r="I895" s="14"/>
      <c r="J895" s="14"/>
      <c r="K895" s="12"/>
    </row>
    <row r="896" ht="19.5" customHeight="1">
      <c r="A896" s="12"/>
      <c r="C896" s="12"/>
      <c r="D896" s="87"/>
      <c r="F896" s="14"/>
      <c r="G896" s="14"/>
      <c r="H896" s="14"/>
      <c r="I896" s="14"/>
      <c r="J896" s="14"/>
      <c r="K896" s="12"/>
    </row>
    <row r="897" ht="19.5" customHeight="1">
      <c r="A897" s="12"/>
      <c r="C897" s="12"/>
      <c r="D897" s="87"/>
      <c r="F897" s="14"/>
      <c r="G897" s="14"/>
      <c r="H897" s="14"/>
      <c r="I897" s="14"/>
      <c r="J897" s="14"/>
      <c r="K897" s="12"/>
    </row>
    <row r="898" ht="19.5" customHeight="1">
      <c r="A898" s="12"/>
      <c r="C898" s="12"/>
      <c r="D898" s="87"/>
      <c r="F898" s="14"/>
      <c r="G898" s="14"/>
      <c r="H898" s="14"/>
      <c r="I898" s="14"/>
      <c r="J898" s="14"/>
      <c r="K898" s="12"/>
    </row>
    <row r="899" ht="19.5" customHeight="1">
      <c r="A899" s="12"/>
      <c r="C899" s="12"/>
      <c r="D899" s="87"/>
      <c r="F899" s="14"/>
      <c r="G899" s="14"/>
      <c r="H899" s="14"/>
      <c r="I899" s="14"/>
      <c r="J899" s="14"/>
      <c r="K899" s="12"/>
    </row>
    <row r="900" ht="19.5" customHeight="1">
      <c r="A900" s="12"/>
      <c r="C900" s="12"/>
      <c r="D900" s="87"/>
      <c r="F900" s="14"/>
      <c r="G900" s="14"/>
      <c r="H900" s="14"/>
      <c r="I900" s="14"/>
      <c r="J900" s="14"/>
      <c r="K900" s="12"/>
    </row>
    <row r="901" ht="19.5" customHeight="1">
      <c r="A901" s="12"/>
      <c r="C901" s="12"/>
      <c r="D901" s="87"/>
      <c r="F901" s="14"/>
      <c r="G901" s="14"/>
      <c r="H901" s="14"/>
      <c r="I901" s="14"/>
      <c r="J901" s="14"/>
      <c r="K901" s="12"/>
    </row>
    <row r="902" ht="19.5" customHeight="1">
      <c r="A902" s="12"/>
      <c r="C902" s="12"/>
      <c r="D902" s="87"/>
      <c r="F902" s="14"/>
      <c r="G902" s="14"/>
      <c r="H902" s="14"/>
      <c r="I902" s="14"/>
      <c r="J902" s="14"/>
      <c r="K902" s="12"/>
    </row>
    <row r="903" ht="19.5" customHeight="1">
      <c r="A903" s="12"/>
      <c r="C903" s="12"/>
      <c r="D903" s="87"/>
      <c r="F903" s="14"/>
      <c r="G903" s="14"/>
      <c r="H903" s="14"/>
      <c r="I903" s="14"/>
      <c r="J903" s="14"/>
      <c r="K903" s="12"/>
    </row>
    <row r="904" ht="19.5" customHeight="1">
      <c r="A904" s="12"/>
      <c r="C904" s="12"/>
      <c r="D904" s="87"/>
      <c r="F904" s="14"/>
      <c r="G904" s="14"/>
      <c r="H904" s="14"/>
      <c r="I904" s="14"/>
      <c r="J904" s="14"/>
      <c r="K904" s="12"/>
    </row>
    <row r="905" ht="19.5" customHeight="1">
      <c r="A905" s="12"/>
      <c r="C905" s="12"/>
      <c r="D905" s="87"/>
      <c r="F905" s="14"/>
      <c r="G905" s="14"/>
      <c r="H905" s="14"/>
      <c r="I905" s="14"/>
      <c r="J905" s="14"/>
      <c r="K905" s="12"/>
    </row>
    <row r="906" ht="19.5" customHeight="1">
      <c r="A906" s="12"/>
      <c r="C906" s="12"/>
      <c r="D906" s="87"/>
      <c r="F906" s="14"/>
      <c r="G906" s="14"/>
      <c r="H906" s="14"/>
      <c r="I906" s="14"/>
      <c r="J906" s="14"/>
      <c r="K906" s="12"/>
    </row>
    <row r="907" ht="19.5" customHeight="1">
      <c r="A907" s="12"/>
      <c r="C907" s="12"/>
      <c r="D907" s="87"/>
      <c r="F907" s="14"/>
      <c r="G907" s="14"/>
      <c r="H907" s="14"/>
      <c r="I907" s="14"/>
      <c r="J907" s="14"/>
      <c r="K907" s="12"/>
    </row>
    <row r="908" ht="19.5" customHeight="1">
      <c r="A908" s="12"/>
      <c r="C908" s="12"/>
      <c r="D908" s="87"/>
      <c r="F908" s="14"/>
      <c r="G908" s="14"/>
      <c r="H908" s="14"/>
      <c r="I908" s="14"/>
      <c r="J908" s="14"/>
      <c r="K908" s="12"/>
    </row>
    <row r="909" ht="19.5" customHeight="1">
      <c r="A909" s="12"/>
      <c r="C909" s="12"/>
      <c r="D909" s="87"/>
      <c r="F909" s="14"/>
      <c r="G909" s="14"/>
      <c r="H909" s="14"/>
      <c r="I909" s="14"/>
      <c r="J909" s="14"/>
      <c r="K909" s="12"/>
    </row>
    <row r="910" ht="19.5" customHeight="1">
      <c r="A910" s="12"/>
      <c r="C910" s="12"/>
      <c r="D910" s="87"/>
      <c r="F910" s="14"/>
      <c r="G910" s="14"/>
      <c r="H910" s="14"/>
      <c r="I910" s="14"/>
      <c r="J910" s="14"/>
      <c r="K910" s="12"/>
    </row>
    <row r="911" ht="19.5" customHeight="1">
      <c r="A911" s="12"/>
      <c r="C911" s="12"/>
      <c r="D911" s="87"/>
      <c r="F911" s="14"/>
      <c r="G911" s="14"/>
      <c r="H911" s="14"/>
      <c r="I911" s="14"/>
      <c r="J911" s="14"/>
      <c r="K911" s="12"/>
    </row>
    <row r="912" ht="19.5" customHeight="1">
      <c r="A912" s="12"/>
      <c r="C912" s="12"/>
      <c r="D912" s="87"/>
      <c r="F912" s="14"/>
      <c r="G912" s="14"/>
      <c r="H912" s="14"/>
      <c r="I912" s="14"/>
      <c r="J912" s="14"/>
      <c r="K912" s="12"/>
    </row>
    <row r="913" ht="19.5" customHeight="1">
      <c r="A913" s="12"/>
      <c r="C913" s="12"/>
      <c r="D913" s="87"/>
      <c r="F913" s="14"/>
      <c r="G913" s="14"/>
      <c r="H913" s="14"/>
      <c r="I913" s="14"/>
      <c r="J913" s="14"/>
      <c r="K913" s="12"/>
    </row>
    <row r="914" ht="19.5" customHeight="1">
      <c r="A914" s="12"/>
      <c r="C914" s="12"/>
      <c r="D914" s="87"/>
      <c r="F914" s="14"/>
      <c r="G914" s="14"/>
      <c r="H914" s="14"/>
      <c r="I914" s="14"/>
      <c r="J914" s="14"/>
      <c r="K914" s="12"/>
    </row>
    <row r="915" ht="19.5" customHeight="1">
      <c r="A915" s="12"/>
      <c r="C915" s="12"/>
      <c r="D915" s="87"/>
      <c r="F915" s="14"/>
      <c r="G915" s="14"/>
      <c r="H915" s="14"/>
      <c r="I915" s="14"/>
      <c r="J915" s="14"/>
      <c r="K915" s="12"/>
    </row>
    <row r="916" ht="19.5" customHeight="1">
      <c r="A916" s="12"/>
      <c r="C916" s="12"/>
      <c r="D916" s="87"/>
      <c r="F916" s="14"/>
      <c r="G916" s="14"/>
      <c r="H916" s="14"/>
      <c r="I916" s="14"/>
      <c r="J916" s="14"/>
      <c r="K916" s="12"/>
    </row>
    <row r="917" ht="19.5" customHeight="1">
      <c r="A917" s="12"/>
      <c r="C917" s="12"/>
      <c r="D917" s="87"/>
      <c r="F917" s="14"/>
      <c r="G917" s="14"/>
      <c r="H917" s="14"/>
      <c r="I917" s="14"/>
      <c r="J917" s="14"/>
      <c r="K917" s="12"/>
    </row>
    <row r="918" ht="19.5" customHeight="1">
      <c r="A918" s="12"/>
      <c r="C918" s="12"/>
      <c r="D918" s="87"/>
      <c r="F918" s="14"/>
      <c r="G918" s="14"/>
      <c r="H918" s="14"/>
      <c r="I918" s="14"/>
      <c r="J918" s="14"/>
      <c r="K918" s="12"/>
    </row>
    <row r="919" ht="19.5" customHeight="1">
      <c r="A919" s="12"/>
      <c r="C919" s="12"/>
      <c r="D919" s="87"/>
      <c r="F919" s="14"/>
      <c r="G919" s="14"/>
      <c r="H919" s="14"/>
      <c r="I919" s="14"/>
      <c r="J919" s="14"/>
      <c r="K919" s="12"/>
    </row>
    <row r="920" ht="19.5" customHeight="1">
      <c r="A920" s="12"/>
      <c r="C920" s="12"/>
      <c r="D920" s="87"/>
      <c r="F920" s="14"/>
      <c r="G920" s="14"/>
      <c r="H920" s="14"/>
      <c r="I920" s="14"/>
      <c r="J920" s="14"/>
      <c r="K920" s="12"/>
    </row>
    <row r="921" ht="19.5" customHeight="1">
      <c r="A921" s="12"/>
      <c r="C921" s="12"/>
      <c r="D921" s="87"/>
      <c r="F921" s="14"/>
      <c r="G921" s="14"/>
      <c r="H921" s="14"/>
      <c r="I921" s="14"/>
      <c r="J921" s="14"/>
      <c r="K921" s="12"/>
    </row>
    <row r="922" ht="19.5" customHeight="1">
      <c r="A922" s="12"/>
      <c r="C922" s="12"/>
      <c r="D922" s="87"/>
      <c r="F922" s="14"/>
      <c r="G922" s="14"/>
      <c r="H922" s="14"/>
      <c r="I922" s="14"/>
      <c r="J922" s="14"/>
      <c r="K922" s="12"/>
    </row>
    <row r="923" ht="19.5" customHeight="1">
      <c r="A923" s="12"/>
      <c r="C923" s="12"/>
      <c r="D923" s="87"/>
      <c r="F923" s="14"/>
      <c r="G923" s="14"/>
      <c r="H923" s="14"/>
      <c r="I923" s="14"/>
      <c r="J923" s="14"/>
      <c r="K923" s="12"/>
    </row>
    <row r="924" ht="19.5" customHeight="1">
      <c r="A924" s="12"/>
      <c r="C924" s="12"/>
      <c r="D924" s="87"/>
      <c r="F924" s="14"/>
      <c r="G924" s="14"/>
      <c r="H924" s="14"/>
      <c r="I924" s="14"/>
      <c r="J924" s="14"/>
      <c r="K924" s="12"/>
    </row>
    <row r="925" ht="19.5" customHeight="1">
      <c r="A925" s="12"/>
      <c r="C925" s="12"/>
      <c r="D925" s="87"/>
      <c r="F925" s="14"/>
      <c r="G925" s="14"/>
      <c r="H925" s="14"/>
      <c r="I925" s="14"/>
      <c r="J925" s="14"/>
      <c r="K925" s="12"/>
    </row>
    <row r="926" ht="19.5" customHeight="1">
      <c r="A926" s="12"/>
      <c r="C926" s="12"/>
      <c r="D926" s="87"/>
      <c r="F926" s="14"/>
      <c r="G926" s="14"/>
      <c r="H926" s="14"/>
      <c r="I926" s="14"/>
      <c r="J926" s="14"/>
      <c r="K926" s="12"/>
    </row>
    <row r="927" ht="19.5" customHeight="1">
      <c r="A927" s="12"/>
      <c r="C927" s="12"/>
      <c r="D927" s="87"/>
      <c r="F927" s="14"/>
      <c r="G927" s="14"/>
      <c r="H927" s="14"/>
      <c r="I927" s="14"/>
      <c r="J927" s="14"/>
      <c r="K927" s="12"/>
    </row>
    <row r="928" ht="19.5" customHeight="1">
      <c r="A928" s="12"/>
      <c r="C928" s="12"/>
      <c r="D928" s="87"/>
      <c r="F928" s="14"/>
      <c r="G928" s="14"/>
      <c r="H928" s="14"/>
      <c r="I928" s="14"/>
      <c r="J928" s="14"/>
      <c r="K928" s="12"/>
    </row>
    <row r="929" ht="19.5" customHeight="1">
      <c r="A929" s="12"/>
      <c r="C929" s="12"/>
      <c r="D929" s="87"/>
      <c r="F929" s="14"/>
      <c r="G929" s="14"/>
      <c r="H929" s="14"/>
      <c r="I929" s="14"/>
      <c r="J929" s="14"/>
      <c r="K929" s="12"/>
    </row>
    <row r="930" ht="19.5" customHeight="1">
      <c r="A930" s="12"/>
      <c r="C930" s="12"/>
      <c r="D930" s="87"/>
      <c r="F930" s="14"/>
      <c r="G930" s="14"/>
      <c r="H930" s="14"/>
      <c r="I930" s="14"/>
      <c r="J930" s="14"/>
      <c r="K930" s="12"/>
    </row>
    <row r="931" ht="19.5" customHeight="1">
      <c r="A931" s="12"/>
      <c r="C931" s="12"/>
      <c r="D931" s="87"/>
      <c r="F931" s="14"/>
      <c r="G931" s="14"/>
      <c r="H931" s="14"/>
      <c r="I931" s="14"/>
      <c r="J931" s="14"/>
      <c r="K931" s="12"/>
    </row>
    <row r="932" ht="19.5" customHeight="1">
      <c r="A932" s="12"/>
      <c r="C932" s="12"/>
      <c r="D932" s="87"/>
      <c r="F932" s="14"/>
      <c r="G932" s="14"/>
      <c r="H932" s="14"/>
      <c r="I932" s="14"/>
      <c r="J932" s="14"/>
      <c r="K932" s="12"/>
    </row>
    <row r="933" ht="19.5" customHeight="1">
      <c r="A933" s="12"/>
      <c r="C933" s="12"/>
      <c r="D933" s="87"/>
      <c r="F933" s="14"/>
      <c r="G933" s="14"/>
      <c r="H933" s="14"/>
      <c r="I933" s="14"/>
      <c r="J933" s="14"/>
      <c r="K933" s="12"/>
    </row>
    <row r="934" ht="19.5" customHeight="1">
      <c r="A934" s="12"/>
      <c r="C934" s="12"/>
      <c r="D934" s="87"/>
      <c r="F934" s="14"/>
      <c r="G934" s="14"/>
      <c r="H934" s="14"/>
      <c r="I934" s="14"/>
      <c r="J934" s="14"/>
      <c r="K934" s="12"/>
    </row>
    <row r="935" ht="19.5" customHeight="1">
      <c r="A935" s="12"/>
      <c r="C935" s="12"/>
      <c r="D935" s="87"/>
      <c r="F935" s="14"/>
      <c r="G935" s="14"/>
      <c r="H935" s="14"/>
      <c r="I935" s="14"/>
      <c r="J935" s="14"/>
      <c r="K935" s="12"/>
    </row>
    <row r="936" ht="19.5" customHeight="1">
      <c r="A936" s="12"/>
      <c r="C936" s="12"/>
      <c r="D936" s="87"/>
      <c r="F936" s="14"/>
      <c r="G936" s="14"/>
      <c r="H936" s="14"/>
      <c r="I936" s="14"/>
      <c r="J936" s="14"/>
      <c r="K936" s="12"/>
    </row>
    <row r="937" ht="19.5" customHeight="1">
      <c r="A937" s="12"/>
      <c r="C937" s="12"/>
      <c r="D937" s="87"/>
      <c r="F937" s="14"/>
      <c r="G937" s="14"/>
      <c r="H937" s="14"/>
      <c r="I937" s="14"/>
      <c r="J937" s="14"/>
      <c r="K937" s="12"/>
    </row>
    <row r="938" ht="19.5" customHeight="1">
      <c r="A938" s="12"/>
      <c r="C938" s="12"/>
      <c r="D938" s="87"/>
      <c r="F938" s="14"/>
      <c r="G938" s="14"/>
      <c r="H938" s="14"/>
      <c r="I938" s="14"/>
      <c r="J938" s="14"/>
      <c r="K938" s="12"/>
    </row>
    <row r="939" ht="19.5" customHeight="1">
      <c r="A939" s="12"/>
      <c r="C939" s="12"/>
      <c r="D939" s="87"/>
      <c r="F939" s="14"/>
      <c r="G939" s="14"/>
      <c r="H939" s="14"/>
      <c r="I939" s="14"/>
      <c r="J939" s="14"/>
      <c r="K939" s="12"/>
    </row>
    <row r="940" ht="19.5" customHeight="1">
      <c r="A940" s="12"/>
      <c r="C940" s="12"/>
      <c r="D940" s="87"/>
      <c r="F940" s="14"/>
      <c r="G940" s="14"/>
      <c r="H940" s="14"/>
      <c r="I940" s="14"/>
      <c r="J940" s="14"/>
      <c r="K940" s="12"/>
    </row>
    <row r="941" ht="19.5" customHeight="1">
      <c r="A941" s="12"/>
      <c r="C941" s="12"/>
      <c r="D941" s="87"/>
      <c r="F941" s="14"/>
      <c r="G941" s="14"/>
      <c r="H941" s="14"/>
      <c r="I941" s="14"/>
      <c r="J941" s="14"/>
      <c r="K941" s="12"/>
    </row>
    <row r="942" ht="19.5" customHeight="1">
      <c r="A942" s="12"/>
      <c r="C942" s="12"/>
      <c r="D942" s="87"/>
      <c r="F942" s="14"/>
      <c r="G942" s="14"/>
      <c r="H942" s="14"/>
      <c r="I942" s="14"/>
      <c r="J942" s="14"/>
      <c r="K942" s="12"/>
    </row>
    <row r="943" ht="19.5" customHeight="1">
      <c r="A943" s="12"/>
      <c r="C943" s="12"/>
      <c r="D943" s="87"/>
      <c r="F943" s="14"/>
      <c r="G943" s="14"/>
      <c r="H943" s="14"/>
      <c r="I943" s="14"/>
      <c r="J943" s="14"/>
      <c r="K943" s="12"/>
    </row>
    <row r="944" ht="19.5" customHeight="1">
      <c r="A944" s="12"/>
      <c r="C944" s="12"/>
      <c r="D944" s="87"/>
      <c r="F944" s="14"/>
      <c r="G944" s="14"/>
      <c r="H944" s="14"/>
      <c r="I944" s="14"/>
      <c r="J944" s="14"/>
      <c r="K944" s="12"/>
    </row>
    <row r="945" ht="19.5" customHeight="1">
      <c r="A945" s="12"/>
      <c r="C945" s="12"/>
      <c r="D945" s="87"/>
      <c r="F945" s="14"/>
      <c r="G945" s="14"/>
      <c r="H945" s="14"/>
      <c r="I945" s="14"/>
      <c r="J945" s="14"/>
      <c r="K945" s="12"/>
    </row>
    <row r="946" ht="19.5" customHeight="1">
      <c r="A946" s="12"/>
      <c r="C946" s="12"/>
      <c r="D946" s="87"/>
      <c r="F946" s="14"/>
      <c r="G946" s="14"/>
      <c r="H946" s="14"/>
      <c r="I946" s="14"/>
      <c r="J946" s="14"/>
      <c r="K946" s="12"/>
    </row>
    <row r="947" ht="19.5" customHeight="1">
      <c r="A947" s="12"/>
      <c r="C947" s="12"/>
      <c r="D947" s="87"/>
      <c r="F947" s="14"/>
      <c r="G947" s="14"/>
      <c r="H947" s="14"/>
      <c r="I947" s="14"/>
      <c r="J947" s="14"/>
      <c r="K947" s="12"/>
    </row>
    <row r="948" ht="19.5" customHeight="1">
      <c r="A948" s="12"/>
      <c r="C948" s="12"/>
      <c r="D948" s="87"/>
      <c r="F948" s="14"/>
      <c r="G948" s="14"/>
      <c r="H948" s="14"/>
      <c r="I948" s="14"/>
      <c r="J948" s="14"/>
      <c r="K948" s="12"/>
    </row>
    <row r="949" ht="19.5" customHeight="1">
      <c r="A949" s="12"/>
      <c r="C949" s="12"/>
      <c r="D949" s="87"/>
      <c r="F949" s="14"/>
      <c r="G949" s="14"/>
      <c r="H949" s="14"/>
      <c r="I949" s="14"/>
      <c r="J949" s="14"/>
      <c r="K949" s="12"/>
    </row>
    <row r="950" ht="19.5" customHeight="1">
      <c r="A950" s="12"/>
      <c r="C950" s="12"/>
      <c r="D950" s="87"/>
      <c r="F950" s="14"/>
      <c r="G950" s="14"/>
      <c r="H950" s="14"/>
      <c r="I950" s="14"/>
      <c r="J950" s="14"/>
      <c r="K950" s="12"/>
    </row>
    <row r="951" ht="19.5" customHeight="1">
      <c r="A951" s="12"/>
      <c r="C951" s="12"/>
      <c r="D951" s="87"/>
      <c r="F951" s="14"/>
      <c r="G951" s="14"/>
      <c r="H951" s="14"/>
      <c r="I951" s="14"/>
      <c r="J951" s="14"/>
      <c r="K951" s="12"/>
    </row>
    <row r="952" ht="19.5" customHeight="1">
      <c r="A952" s="12"/>
      <c r="C952" s="12"/>
      <c r="D952" s="87"/>
      <c r="F952" s="14"/>
      <c r="G952" s="14"/>
      <c r="H952" s="14"/>
      <c r="I952" s="14"/>
      <c r="J952" s="14"/>
      <c r="K952" s="12"/>
    </row>
    <row r="953" ht="19.5" customHeight="1">
      <c r="A953" s="12"/>
      <c r="C953" s="12"/>
      <c r="D953" s="87"/>
      <c r="F953" s="14"/>
      <c r="G953" s="14"/>
      <c r="H953" s="14"/>
      <c r="I953" s="14"/>
      <c r="J953" s="14"/>
      <c r="K953" s="12"/>
    </row>
    <row r="954" ht="19.5" customHeight="1">
      <c r="A954" s="12"/>
      <c r="C954" s="12"/>
      <c r="D954" s="87"/>
      <c r="F954" s="14"/>
      <c r="G954" s="14"/>
      <c r="H954" s="14"/>
      <c r="I954" s="14"/>
      <c r="J954" s="14"/>
      <c r="K954" s="12"/>
    </row>
    <row r="955" ht="19.5" customHeight="1">
      <c r="A955" s="12"/>
      <c r="C955" s="12"/>
      <c r="D955" s="87"/>
      <c r="F955" s="14"/>
      <c r="G955" s="14"/>
      <c r="H955" s="14"/>
      <c r="I955" s="14"/>
      <c r="J955" s="14"/>
      <c r="K955" s="12"/>
    </row>
    <row r="956" ht="19.5" customHeight="1">
      <c r="A956" s="12"/>
      <c r="C956" s="12"/>
      <c r="D956" s="87"/>
      <c r="F956" s="14"/>
      <c r="G956" s="14"/>
      <c r="H956" s="14"/>
      <c r="I956" s="14"/>
      <c r="J956" s="14"/>
      <c r="K956" s="12"/>
    </row>
    <row r="957" ht="19.5" customHeight="1">
      <c r="A957" s="12"/>
      <c r="C957" s="12"/>
      <c r="D957" s="87"/>
      <c r="F957" s="14"/>
      <c r="G957" s="14"/>
      <c r="H957" s="14"/>
      <c r="I957" s="14"/>
      <c r="J957" s="14"/>
      <c r="K957" s="12"/>
    </row>
    <row r="958" ht="19.5" customHeight="1">
      <c r="A958" s="12"/>
      <c r="C958" s="12"/>
      <c r="D958" s="87"/>
      <c r="F958" s="14"/>
      <c r="G958" s="14"/>
      <c r="H958" s="14"/>
      <c r="I958" s="14"/>
      <c r="J958" s="14"/>
      <c r="K958" s="12"/>
    </row>
    <row r="959" ht="19.5" customHeight="1">
      <c r="A959" s="12"/>
      <c r="C959" s="12"/>
      <c r="D959" s="87"/>
      <c r="F959" s="14"/>
      <c r="G959" s="14"/>
      <c r="H959" s="14"/>
      <c r="I959" s="14"/>
      <c r="J959" s="14"/>
      <c r="K959" s="12"/>
    </row>
    <row r="960" ht="19.5" customHeight="1">
      <c r="A960" s="12"/>
      <c r="C960" s="12"/>
      <c r="D960" s="87"/>
      <c r="F960" s="14"/>
      <c r="G960" s="14"/>
      <c r="H960" s="14"/>
      <c r="I960" s="14"/>
      <c r="J960" s="14"/>
      <c r="K960" s="12"/>
    </row>
    <row r="961" ht="19.5" customHeight="1">
      <c r="A961" s="12"/>
      <c r="C961" s="12"/>
      <c r="D961" s="87"/>
      <c r="F961" s="14"/>
      <c r="G961" s="14"/>
      <c r="H961" s="14"/>
      <c r="I961" s="14"/>
      <c r="J961" s="14"/>
      <c r="K961" s="12"/>
    </row>
    <row r="962" ht="19.5" customHeight="1">
      <c r="A962" s="12"/>
      <c r="C962" s="12"/>
      <c r="D962" s="87"/>
      <c r="F962" s="14"/>
      <c r="G962" s="14"/>
      <c r="H962" s="14"/>
      <c r="I962" s="14"/>
      <c r="J962" s="14"/>
      <c r="K962" s="12"/>
    </row>
    <row r="963" ht="19.5" customHeight="1">
      <c r="A963" s="12"/>
      <c r="C963" s="12"/>
      <c r="D963" s="87"/>
      <c r="F963" s="14"/>
      <c r="G963" s="14"/>
      <c r="H963" s="14"/>
      <c r="I963" s="14"/>
      <c r="J963" s="14"/>
      <c r="K963" s="12"/>
    </row>
    <row r="964" ht="19.5" customHeight="1">
      <c r="A964" s="12"/>
      <c r="C964" s="12"/>
      <c r="D964" s="87"/>
      <c r="F964" s="14"/>
      <c r="G964" s="14"/>
      <c r="H964" s="14"/>
      <c r="I964" s="14"/>
      <c r="J964" s="14"/>
      <c r="K964" s="12"/>
    </row>
    <row r="965" ht="19.5" customHeight="1">
      <c r="A965" s="12"/>
      <c r="C965" s="12"/>
      <c r="D965" s="87"/>
      <c r="F965" s="14"/>
      <c r="G965" s="14"/>
      <c r="H965" s="14"/>
      <c r="I965" s="14"/>
      <c r="J965" s="14"/>
      <c r="K965" s="12"/>
    </row>
    <row r="966" ht="19.5" customHeight="1">
      <c r="A966" s="12"/>
      <c r="C966" s="12"/>
      <c r="D966" s="87"/>
      <c r="F966" s="14"/>
      <c r="G966" s="14"/>
      <c r="H966" s="14"/>
      <c r="I966" s="14"/>
      <c r="J966" s="14"/>
      <c r="K966" s="12"/>
    </row>
    <row r="967" ht="19.5" customHeight="1">
      <c r="A967" s="12"/>
      <c r="C967" s="12"/>
      <c r="D967" s="87"/>
      <c r="F967" s="14"/>
      <c r="G967" s="14"/>
      <c r="H967" s="14"/>
      <c r="I967" s="14"/>
      <c r="J967" s="14"/>
      <c r="K967" s="12"/>
    </row>
    <row r="968" ht="19.5" customHeight="1">
      <c r="A968" s="12"/>
      <c r="C968" s="12"/>
      <c r="D968" s="87"/>
      <c r="F968" s="14"/>
      <c r="G968" s="14"/>
      <c r="H968" s="14"/>
      <c r="I968" s="14"/>
      <c r="J968" s="14"/>
      <c r="K968" s="12"/>
    </row>
    <row r="969" ht="19.5" customHeight="1">
      <c r="A969" s="12"/>
      <c r="C969" s="12"/>
      <c r="D969" s="87"/>
      <c r="F969" s="14"/>
      <c r="G969" s="14"/>
      <c r="H969" s="14"/>
      <c r="I969" s="14"/>
      <c r="J969" s="14"/>
      <c r="K969" s="12"/>
    </row>
    <row r="970" ht="19.5" customHeight="1">
      <c r="A970" s="12"/>
      <c r="C970" s="12"/>
      <c r="D970" s="87"/>
      <c r="F970" s="14"/>
      <c r="G970" s="14"/>
      <c r="H970" s="14"/>
      <c r="I970" s="14"/>
      <c r="J970" s="14"/>
      <c r="K970" s="12"/>
    </row>
    <row r="971" ht="19.5" customHeight="1">
      <c r="A971" s="12"/>
      <c r="C971" s="12"/>
      <c r="D971" s="87"/>
      <c r="F971" s="14"/>
      <c r="G971" s="14"/>
      <c r="H971" s="14"/>
      <c r="I971" s="14"/>
      <c r="J971" s="14"/>
      <c r="K971" s="12"/>
    </row>
    <row r="972" ht="19.5" customHeight="1">
      <c r="A972" s="12"/>
      <c r="C972" s="12"/>
      <c r="D972" s="87"/>
      <c r="F972" s="14"/>
      <c r="G972" s="14"/>
      <c r="H972" s="14"/>
      <c r="I972" s="14"/>
      <c r="J972" s="14"/>
      <c r="K972" s="12"/>
    </row>
    <row r="973" ht="19.5" customHeight="1">
      <c r="A973" s="12"/>
      <c r="C973" s="12"/>
      <c r="D973" s="87"/>
      <c r="F973" s="14"/>
      <c r="G973" s="14"/>
      <c r="H973" s="14"/>
      <c r="I973" s="14"/>
      <c r="J973" s="14"/>
      <c r="K973" s="12"/>
    </row>
    <row r="974" ht="19.5" customHeight="1">
      <c r="A974" s="12"/>
      <c r="C974" s="12"/>
      <c r="D974" s="87"/>
      <c r="F974" s="14"/>
      <c r="G974" s="14"/>
      <c r="H974" s="14"/>
      <c r="I974" s="14"/>
      <c r="J974" s="14"/>
      <c r="K974" s="12"/>
    </row>
    <row r="975" ht="19.5" customHeight="1">
      <c r="A975" s="12"/>
      <c r="C975" s="12"/>
      <c r="D975" s="87"/>
      <c r="F975" s="14"/>
      <c r="G975" s="14"/>
      <c r="H975" s="14"/>
      <c r="I975" s="14"/>
      <c r="J975" s="14"/>
      <c r="K975" s="12"/>
    </row>
    <row r="976" ht="19.5" customHeight="1">
      <c r="A976" s="12"/>
      <c r="C976" s="12"/>
      <c r="D976" s="87"/>
      <c r="F976" s="14"/>
      <c r="G976" s="14"/>
      <c r="H976" s="14"/>
      <c r="I976" s="14"/>
      <c r="J976" s="14"/>
      <c r="K976" s="12"/>
    </row>
    <row r="977" ht="19.5" customHeight="1">
      <c r="A977" s="12"/>
      <c r="C977" s="12"/>
      <c r="D977" s="87"/>
      <c r="F977" s="14"/>
      <c r="G977" s="14"/>
      <c r="H977" s="14"/>
      <c r="I977" s="14"/>
      <c r="J977" s="14"/>
      <c r="K977" s="12"/>
    </row>
    <row r="978" ht="19.5" customHeight="1">
      <c r="A978" s="12"/>
      <c r="C978" s="12"/>
      <c r="D978" s="87"/>
      <c r="F978" s="14"/>
      <c r="G978" s="14"/>
      <c r="H978" s="14"/>
      <c r="I978" s="14"/>
      <c r="J978" s="14"/>
      <c r="K978" s="12"/>
    </row>
    <row r="979" ht="19.5" customHeight="1">
      <c r="A979" s="12"/>
      <c r="C979" s="12"/>
      <c r="D979" s="87"/>
      <c r="F979" s="14"/>
      <c r="G979" s="14"/>
      <c r="H979" s="14"/>
      <c r="I979" s="14"/>
      <c r="J979" s="14"/>
      <c r="K979" s="12"/>
    </row>
    <row r="980" ht="19.5" customHeight="1">
      <c r="A980" s="12"/>
      <c r="C980" s="12"/>
      <c r="D980" s="87"/>
      <c r="F980" s="14"/>
      <c r="G980" s="14"/>
      <c r="H980" s="14"/>
      <c r="I980" s="14"/>
      <c r="J980" s="14"/>
      <c r="K980" s="12"/>
    </row>
    <row r="981" ht="19.5" customHeight="1">
      <c r="A981" s="12"/>
      <c r="C981" s="12"/>
      <c r="D981" s="87"/>
      <c r="F981" s="14"/>
      <c r="G981" s="14"/>
      <c r="H981" s="14"/>
      <c r="I981" s="14"/>
      <c r="J981" s="14"/>
      <c r="K981" s="12"/>
    </row>
    <row r="982" ht="19.5" customHeight="1">
      <c r="A982" s="12"/>
      <c r="C982" s="12"/>
      <c r="D982" s="87"/>
      <c r="F982" s="14"/>
      <c r="G982" s="14"/>
      <c r="H982" s="14"/>
      <c r="I982" s="14"/>
      <c r="J982" s="14"/>
      <c r="K982" s="12"/>
    </row>
    <row r="983" ht="19.5" customHeight="1">
      <c r="A983" s="12"/>
      <c r="C983" s="12"/>
      <c r="D983" s="87"/>
      <c r="F983" s="14"/>
      <c r="G983" s="14"/>
      <c r="H983" s="14"/>
      <c r="I983" s="14"/>
      <c r="J983" s="14"/>
      <c r="K983" s="12"/>
    </row>
    <row r="984" ht="19.5" customHeight="1">
      <c r="A984" s="12"/>
      <c r="C984" s="12"/>
      <c r="D984" s="87"/>
      <c r="F984" s="14"/>
      <c r="G984" s="14"/>
      <c r="H984" s="14"/>
      <c r="I984" s="14"/>
      <c r="J984" s="14"/>
      <c r="K984" s="12"/>
    </row>
    <row r="985" ht="19.5" customHeight="1">
      <c r="A985" s="12"/>
      <c r="C985" s="12"/>
      <c r="D985" s="87"/>
      <c r="F985" s="14"/>
      <c r="G985" s="14"/>
      <c r="H985" s="14"/>
      <c r="I985" s="14"/>
      <c r="J985" s="14"/>
      <c r="K985" s="12"/>
    </row>
    <row r="986" ht="19.5" customHeight="1">
      <c r="A986" s="12"/>
      <c r="C986" s="12"/>
      <c r="D986" s="87"/>
      <c r="F986" s="14"/>
      <c r="G986" s="14"/>
      <c r="H986" s="14"/>
      <c r="I986" s="14"/>
      <c r="J986" s="14"/>
      <c r="K986" s="12"/>
    </row>
    <row r="987" ht="19.5" customHeight="1">
      <c r="A987" s="12"/>
      <c r="C987" s="12"/>
      <c r="D987" s="87"/>
      <c r="F987" s="14"/>
      <c r="G987" s="14"/>
      <c r="H987" s="14"/>
      <c r="I987" s="14"/>
      <c r="J987" s="14"/>
      <c r="K987" s="12"/>
    </row>
    <row r="988" ht="19.5" customHeight="1">
      <c r="A988" s="12"/>
      <c r="C988" s="12"/>
      <c r="D988" s="87"/>
      <c r="F988" s="14"/>
      <c r="G988" s="14"/>
      <c r="H988" s="14"/>
      <c r="I988" s="14"/>
      <c r="J988" s="14"/>
      <c r="K988" s="12"/>
    </row>
    <row r="989" ht="19.5" customHeight="1">
      <c r="A989" s="12"/>
      <c r="C989" s="12"/>
      <c r="D989" s="87"/>
      <c r="F989" s="14"/>
      <c r="G989" s="14"/>
      <c r="H989" s="14"/>
      <c r="I989" s="14"/>
      <c r="J989" s="14"/>
      <c r="K989" s="12"/>
    </row>
    <row r="990" ht="19.5" customHeight="1">
      <c r="A990" s="12"/>
      <c r="C990" s="12"/>
      <c r="D990" s="87"/>
      <c r="F990" s="14"/>
      <c r="G990" s="14"/>
      <c r="H990" s="14"/>
      <c r="I990" s="14"/>
      <c r="J990" s="14"/>
      <c r="K990" s="12"/>
    </row>
    <row r="991" ht="19.5" customHeight="1">
      <c r="A991" s="12"/>
      <c r="C991" s="12"/>
      <c r="D991" s="87"/>
      <c r="F991" s="14"/>
      <c r="G991" s="14"/>
      <c r="H991" s="14"/>
      <c r="I991" s="14"/>
      <c r="J991" s="14"/>
      <c r="K991" s="12"/>
    </row>
    <row r="992" ht="19.5" customHeight="1">
      <c r="A992" s="12"/>
      <c r="C992" s="12"/>
      <c r="D992" s="87"/>
      <c r="F992" s="14"/>
      <c r="G992" s="14"/>
      <c r="H992" s="14"/>
      <c r="I992" s="14"/>
      <c r="J992" s="14"/>
      <c r="K992" s="12"/>
    </row>
    <row r="993" ht="19.5" customHeight="1">
      <c r="A993" s="12"/>
      <c r="C993" s="12"/>
      <c r="D993" s="87"/>
      <c r="F993" s="14"/>
      <c r="G993" s="14"/>
      <c r="H993" s="14"/>
      <c r="I993" s="14"/>
      <c r="J993" s="14"/>
      <c r="K993" s="12"/>
    </row>
    <row r="994" ht="19.5" customHeight="1">
      <c r="A994" s="12"/>
      <c r="C994" s="12"/>
      <c r="D994" s="87"/>
      <c r="F994" s="14"/>
      <c r="G994" s="14"/>
      <c r="H994" s="14"/>
      <c r="I994" s="14"/>
      <c r="J994" s="14"/>
      <c r="K994" s="12"/>
    </row>
    <row r="995" ht="19.5" customHeight="1">
      <c r="A995" s="12"/>
      <c r="C995" s="12"/>
      <c r="D995" s="87"/>
      <c r="F995" s="14"/>
      <c r="G995" s="14"/>
      <c r="H995" s="14"/>
      <c r="I995" s="14"/>
      <c r="J995" s="14"/>
      <c r="K995" s="12"/>
    </row>
    <row r="996" ht="19.5" customHeight="1">
      <c r="A996" s="12"/>
      <c r="C996" s="12"/>
      <c r="D996" s="87"/>
      <c r="F996" s="14"/>
      <c r="G996" s="14"/>
      <c r="H996" s="14"/>
      <c r="I996" s="14"/>
      <c r="J996" s="14"/>
      <c r="K996" s="12"/>
    </row>
    <row r="997" ht="19.5" customHeight="1">
      <c r="A997" s="12"/>
      <c r="C997" s="12"/>
      <c r="D997" s="87"/>
      <c r="F997" s="14"/>
      <c r="G997" s="14"/>
      <c r="H997" s="14"/>
      <c r="I997" s="14"/>
      <c r="J997" s="14"/>
      <c r="K997" s="12"/>
    </row>
    <row r="998" ht="19.5" customHeight="1">
      <c r="A998" s="12"/>
      <c r="C998" s="12"/>
      <c r="D998" s="87"/>
      <c r="F998" s="14"/>
      <c r="G998" s="14"/>
      <c r="H998" s="14"/>
      <c r="I998" s="14"/>
      <c r="J998" s="14"/>
      <c r="K998" s="12"/>
    </row>
    <row r="999" ht="19.5" customHeight="1">
      <c r="A999" s="12"/>
      <c r="C999" s="12"/>
      <c r="D999" s="87"/>
      <c r="F999" s="14"/>
      <c r="G999" s="14"/>
      <c r="H999" s="14"/>
      <c r="I999" s="14"/>
      <c r="J999" s="14"/>
      <c r="K999" s="12"/>
    </row>
    <row r="1000" ht="19.5" customHeight="1">
      <c r="A1000" s="12"/>
      <c r="C1000" s="12"/>
      <c r="D1000" s="87"/>
      <c r="F1000" s="14"/>
      <c r="G1000" s="14"/>
      <c r="H1000" s="14"/>
      <c r="I1000" s="14"/>
      <c r="J1000" s="14"/>
      <c r="K1000" s="12"/>
    </row>
  </sheetData>
  <mergeCells count="10">
    <mergeCell ref="E9:G9"/>
    <mergeCell ref="J9:J10"/>
    <mergeCell ref="A6:K6"/>
    <mergeCell ref="A7:K7"/>
    <mergeCell ref="A8:K8"/>
    <mergeCell ref="A9:A10"/>
    <mergeCell ref="B9:B10"/>
    <mergeCell ref="C9:C10"/>
    <mergeCell ref="D9:D10"/>
    <mergeCell ref="K9:K10"/>
  </mergeCells>
  <printOptions/>
  <pageMargins bottom="0.787401575" footer="0.0" header="0.0" left="0.511811024" right="0.511811024" top="0.787401575"/>
  <pageSetup paperSize="9" scale="65" orientation="landscape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37.63"/>
    <col customWidth="1" min="3" max="3" width="9.13"/>
    <col customWidth="1" min="4" max="4" width="16.25"/>
    <col customWidth="1" min="5" max="5" width="15.63"/>
    <col customWidth="1" min="6" max="6" width="22.25"/>
    <col customWidth="1" min="7" max="8" width="23.88"/>
    <col customWidth="1" min="9" max="9" width="18.75"/>
    <col customWidth="1" min="10" max="10" width="16.25"/>
    <col customWidth="1" min="11" max="11" width="28.38"/>
    <col customWidth="1" min="12" max="26" width="8.63"/>
  </cols>
  <sheetData>
    <row r="1" ht="19.5" customHeight="1">
      <c r="A1" s="4"/>
      <c r="B1" s="5"/>
      <c r="C1" s="6"/>
      <c r="D1" s="7"/>
      <c r="E1" s="5"/>
      <c r="F1" s="8"/>
      <c r="G1" s="8"/>
      <c r="H1" s="8"/>
      <c r="I1" s="8"/>
      <c r="J1" s="8"/>
      <c r="K1" s="9"/>
    </row>
    <row r="2" ht="19.5" customHeight="1">
      <c r="A2" s="10" t="s">
        <v>83</v>
      </c>
      <c r="B2" s="11" t="s">
        <v>84</v>
      </c>
      <c r="C2" s="12"/>
      <c r="D2" s="13"/>
      <c r="F2" s="14"/>
      <c r="G2" s="14"/>
      <c r="H2" s="14"/>
      <c r="I2" s="14"/>
      <c r="J2" s="17" t="s">
        <v>144</v>
      </c>
      <c r="K2" s="18"/>
    </row>
    <row r="3" ht="19.5" customHeight="1">
      <c r="A3" s="10" t="s">
        <v>86</v>
      </c>
      <c r="B3" s="11" t="s">
        <v>87</v>
      </c>
      <c r="C3" s="12"/>
      <c r="D3" s="13"/>
      <c r="F3" s="14"/>
      <c r="G3" s="14"/>
      <c r="H3" s="14"/>
      <c r="I3" s="14"/>
      <c r="J3" s="14"/>
      <c r="K3" s="18"/>
    </row>
    <row r="4" ht="19.5" customHeight="1">
      <c r="A4" s="19"/>
      <c r="C4" s="12"/>
      <c r="D4" s="13"/>
      <c r="F4" s="14"/>
      <c r="G4" s="14"/>
      <c r="H4" s="14"/>
      <c r="I4" s="14"/>
      <c r="J4" s="14"/>
      <c r="K4" s="18"/>
    </row>
    <row r="5" ht="19.5" customHeight="1">
      <c r="A5" s="19"/>
      <c r="C5" s="12"/>
      <c r="D5" s="13"/>
      <c r="F5" s="14"/>
      <c r="G5" s="14"/>
      <c r="H5" s="14"/>
      <c r="I5" s="14"/>
      <c r="J5" s="14"/>
      <c r="K5" s="18"/>
    </row>
    <row r="6" ht="159.0" customHeight="1">
      <c r="A6" s="20"/>
      <c r="K6" s="21"/>
    </row>
    <row r="7" ht="64.5" customHeight="1">
      <c r="A7" s="22" t="s">
        <v>1594</v>
      </c>
      <c r="K7" s="21"/>
    </row>
    <row r="8" ht="19.5" customHeight="1">
      <c r="A8" s="23" t="s">
        <v>90</v>
      </c>
      <c r="B8" s="24"/>
      <c r="C8" s="24"/>
      <c r="D8" s="24"/>
      <c r="E8" s="24"/>
      <c r="F8" s="24"/>
      <c r="G8" s="24"/>
      <c r="H8" s="24"/>
      <c r="I8" s="24"/>
      <c r="J8" s="24"/>
      <c r="K8" s="25"/>
    </row>
    <row r="9" ht="19.5" customHeight="1">
      <c r="A9" s="26" t="s">
        <v>1</v>
      </c>
      <c r="B9" s="26" t="s">
        <v>91</v>
      </c>
      <c r="C9" s="26" t="s">
        <v>92</v>
      </c>
      <c r="D9" s="26" t="s">
        <v>93</v>
      </c>
      <c r="E9" s="27" t="s">
        <v>94</v>
      </c>
      <c r="F9" s="28"/>
      <c r="G9" s="29"/>
      <c r="H9" s="30"/>
      <c r="I9" s="30"/>
      <c r="J9" s="31" t="s">
        <v>95</v>
      </c>
      <c r="K9" s="26" t="s">
        <v>96</v>
      </c>
    </row>
    <row r="10" ht="19.5" customHeight="1">
      <c r="A10" s="32"/>
      <c r="B10" s="32"/>
      <c r="C10" s="32"/>
      <c r="D10" s="32"/>
      <c r="E10" s="33" t="s">
        <v>97</v>
      </c>
      <c r="F10" s="34" t="s">
        <v>121</v>
      </c>
      <c r="G10" s="34" t="s">
        <v>99</v>
      </c>
      <c r="H10" s="35" t="s">
        <v>100</v>
      </c>
      <c r="I10" s="35" t="s">
        <v>101</v>
      </c>
      <c r="J10" s="32"/>
      <c r="K10" s="32"/>
    </row>
    <row r="11" ht="19.5" customHeight="1">
      <c r="A11" s="100" t="s">
        <v>1595</v>
      </c>
      <c r="B11" s="49" t="s">
        <v>1596</v>
      </c>
      <c r="C11" s="38" t="s">
        <v>106</v>
      </c>
      <c r="D11" s="39">
        <v>3.0</v>
      </c>
      <c r="E11" s="49"/>
      <c r="F11" s="73"/>
      <c r="G11" s="41"/>
      <c r="H11" s="40">
        <f>D11</f>
        <v>3</v>
      </c>
      <c r="I11" s="42"/>
      <c r="J11" s="43">
        <f>H11-I11</f>
        <v>3</v>
      </c>
      <c r="K11" s="46"/>
    </row>
    <row r="12" ht="19.5" customHeight="1">
      <c r="A12" s="74" t="s">
        <v>1</v>
      </c>
      <c r="B12" s="74" t="s">
        <v>91</v>
      </c>
      <c r="C12" s="74" t="s">
        <v>92</v>
      </c>
      <c r="D12" s="74" t="s">
        <v>93</v>
      </c>
      <c r="E12" s="50" t="s">
        <v>97</v>
      </c>
      <c r="F12" s="53" t="s">
        <v>121</v>
      </c>
      <c r="G12" s="53" t="s">
        <v>99</v>
      </c>
      <c r="H12" s="75" t="s">
        <v>100</v>
      </c>
      <c r="I12" s="75" t="s">
        <v>101</v>
      </c>
      <c r="J12" s="76" t="s">
        <v>95</v>
      </c>
      <c r="K12" s="74" t="s">
        <v>96</v>
      </c>
    </row>
    <row r="13" ht="19.5" customHeight="1">
      <c r="A13" s="100" t="s">
        <v>1597</v>
      </c>
      <c r="B13" s="49" t="s">
        <v>1598</v>
      </c>
      <c r="C13" s="38" t="s">
        <v>103</v>
      </c>
      <c r="D13" s="39">
        <v>6417.91</v>
      </c>
      <c r="E13" s="37"/>
      <c r="F13" s="40" t="str">
        <f>F11</f>
        <v/>
      </c>
      <c r="G13" s="41"/>
      <c r="H13" s="40">
        <f>D13</f>
        <v>6417.91</v>
      </c>
      <c r="I13" s="42"/>
      <c r="J13" s="77"/>
      <c r="K13" s="46"/>
    </row>
    <row r="14" ht="19.5" customHeight="1">
      <c r="A14" s="46"/>
      <c r="B14" s="37"/>
      <c r="C14" s="46"/>
      <c r="D14" s="78"/>
      <c r="E14" s="37"/>
      <c r="F14" s="40"/>
      <c r="G14" s="40"/>
      <c r="H14" s="40"/>
      <c r="I14" s="42"/>
      <c r="J14" s="43">
        <f>SUM(H13:H14)</f>
        <v>6417.91</v>
      </c>
      <c r="K14" s="79"/>
    </row>
    <row r="15" ht="19.5" customHeight="1">
      <c r="A15" s="74" t="s">
        <v>1</v>
      </c>
      <c r="B15" s="74" t="s">
        <v>91</v>
      </c>
      <c r="C15" s="74" t="s">
        <v>92</v>
      </c>
      <c r="D15" s="74" t="s">
        <v>93</v>
      </c>
      <c r="E15" s="51" t="s">
        <v>97</v>
      </c>
      <c r="F15" s="53" t="s">
        <v>121</v>
      </c>
      <c r="G15" s="53" t="s">
        <v>99</v>
      </c>
      <c r="H15" s="75" t="s">
        <v>100</v>
      </c>
      <c r="I15" s="75" t="s">
        <v>101</v>
      </c>
      <c r="J15" s="76" t="s">
        <v>95</v>
      </c>
      <c r="K15" s="111" t="s">
        <v>96</v>
      </c>
    </row>
    <row r="16" ht="19.5" customHeight="1">
      <c r="A16" s="36"/>
      <c r="B16" s="49" t="s">
        <v>1599</v>
      </c>
      <c r="C16" s="38" t="s">
        <v>103</v>
      </c>
      <c r="D16" s="39">
        <v>1.0</v>
      </c>
      <c r="E16" s="49">
        <v>1.9</v>
      </c>
      <c r="F16" s="39">
        <v>25.6</v>
      </c>
      <c r="G16" s="40"/>
      <c r="H16" s="40">
        <f>F16*E16*D16</f>
        <v>48.64</v>
      </c>
      <c r="I16" s="42"/>
      <c r="J16" s="43"/>
      <c r="K16" s="38" t="s">
        <v>1600</v>
      </c>
    </row>
    <row r="17" ht="19.5" customHeight="1">
      <c r="A17" s="36"/>
      <c r="B17" s="49" t="s">
        <v>1601</v>
      </c>
      <c r="C17" s="38" t="s">
        <v>103</v>
      </c>
      <c r="D17" s="39">
        <v>2.0</v>
      </c>
      <c r="E17" s="49">
        <v>4.63</v>
      </c>
      <c r="F17" s="39">
        <v>25.3</v>
      </c>
      <c r="G17" s="41">
        <v>11.75</v>
      </c>
      <c r="H17" s="40">
        <f t="shared" ref="H17:H24" si="1">(G17+F17)*E17*D17</f>
        <v>343.083</v>
      </c>
      <c r="I17" s="42"/>
      <c r="J17" s="43"/>
      <c r="K17" s="38"/>
    </row>
    <row r="18" ht="19.5" customHeight="1">
      <c r="A18" s="36"/>
      <c r="B18" s="49" t="s">
        <v>1602</v>
      </c>
      <c r="C18" s="38" t="s">
        <v>103</v>
      </c>
      <c r="D18" s="39">
        <v>2.0</v>
      </c>
      <c r="E18" s="49">
        <v>4.5</v>
      </c>
      <c r="F18" s="39">
        <v>85.45</v>
      </c>
      <c r="G18" s="41">
        <v>11.1</v>
      </c>
      <c r="H18" s="40">
        <f t="shared" si="1"/>
        <v>868.95</v>
      </c>
      <c r="I18" s="42"/>
      <c r="J18" s="43"/>
      <c r="K18" s="38"/>
    </row>
    <row r="19" ht="19.5" customHeight="1">
      <c r="A19" s="541"/>
      <c r="B19" s="49" t="s">
        <v>1603</v>
      </c>
      <c r="C19" s="38" t="s">
        <v>103</v>
      </c>
      <c r="D19" s="39">
        <v>2.0</v>
      </c>
      <c r="E19" s="49">
        <v>4.5</v>
      </c>
      <c r="F19" s="39">
        <v>85.45</v>
      </c>
      <c r="G19" s="41">
        <v>11.1</v>
      </c>
      <c r="H19" s="40">
        <f t="shared" si="1"/>
        <v>868.95</v>
      </c>
      <c r="I19" s="42"/>
      <c r="J19" s="43"/>
      <c r="K19" s="38"/>
    </row>
    <row r="20" ht="19.5" customHeight="1">
      <c r="A20" s="541"/>
      <c r="B20" s="49" t="s">
        <v>1604</v>
      </c>
      <c r="C20" s="38" t="s">
        <v>103</v>
      </c>
      <c r="D20" s="39">
        <v>2.0</v>
      </c>
      <c r="E20" s="49">
        <v>4.65</v>
      </c>
      <c r="F20" s="39">
        <v>24.0</v>
      </c>
      <c r="G20" s="40"/>
      <c r="H20" s="40">
        <f t="shared" si="1"/>
        <v>223.2</v>
      </c>
      <c r="I20" s="42"/>
      <c r="J20" s="43"/>
      <c r="K20" s="38" t="s">
        <v>1600</v>
      </c>
    </row>
    <row r="21" ht="19.5" customHeight="1">
      <c r="A21" s="36"/>
      <c r="B21" s="49" t="s">
        <v>1605</v>
      </c>
      <c r="C21" s="38" t="s">
        <v>103</v>
      </c>
      <c r="D21" s="39">
        <v>2.0</v>
      </c>
      <c r="E21" s="49">
        <v>6.28</v>
      </c>
      <c r="F21" s="39">
        <v>53.35</v>
      </c>
      <c r="G21" s="41">
        <v>18.05</v>
      </c>
      <c r="H21" s="40">
        <f t="shared" si="1"/>
        <v>896.784</v>
      </c>
      <c r="I21" s="42"/>
      <c r="J21" s="43"/>
      <c r="K21" s="38"/>
    </row>
    <row r="22" ht="19.5" customHeight="1">
      <c r="A22" s="541"/>
      <c r="B22" s="49" t="s">
        <v>1606</v>
      </c>
      <c r="C22" s="38" t="s">
        <v>103</v>
      </c>
      <c r="D22" s="39">
        <v>2.0</v>
      </c>
      <c r="E22" s="49">
        <v>4.8</v>
      </c>
      <c r="F22" s="39">
        <v>16.42</v>
      </c>
      <c r="G22" s="41">
        <v>9.56</v>
      </c>
      <c r="H22" s="40">
        <f t="shared" si="1"/>
        <v>249.408</v>
      </c>
      <c r="I22" s="42"/>
      <c r="J22" s="43"/>
      <c r="K22" s="38"/>
    </row>
    <row r="23" ht="19.5" customHeight="1">
      <c r="A23" s="541"/>
      <c r="B23" s="49" t="s">
        <v>1607</v>
      </c>
      <c r="C23" s="38" t="s">
        <v>103</v>
      </c>
      <c r="D23" s="39">
        <v>2.0</v>
      </c>
      <c r="E23" s="49">
        <v>4.8</v>
      </c>
      <c r="F23" s="39">
        <v>4.3</v>
      </c>
      <c r="G23" s="41">
        <v>4.3</v>
      </c>
      <c r="H23" s="40">
        <f t="shared" si="1"/>
        <v>82.56</v>
      </c>
      <c r="I23" s="42"/>
      <c r="J23" s="43"/>
      <c r="K23" s="38"/>
    </row>
    <row r="24" ht="19.5" customHeight="1">
      <c r="A24" s="541"/>
      <c r="B24" s="49" t="s">
        <v>1608</v>
      </c>
      <c r="C24" s="38" t="s">
        <v>103</v>
      </c>
      <c r="D24" s="39">
        <v>2.0</v>
      </c>
      <c r="E24" s="49">
        <v>11.0</v>
      </c>
      <c r="F24" s="39">
        <v>4.3</v>
      </c>
      <c r="G24" s="41">
        <v>4.3</v>
      </c>
      <c r="H24" s="40">
        <f t="shared" si="1"/>
        <v>189.2</v>
      </c>
      <c r="I24" s="42"/>
      <c r="J24" s="43"/>
      <c r="K24" s="38"/>
    </row>
    <row r="25" ht="19.5" customHeight="1">
      <c r="A25" s="36"/>
      <c r="B25" s="49"/>
      <c r="C25" s="38"/>
      <c r="D25" s="39"/>
      <c r="E25" s="49"/>
      <c r="F25" s="39"/>
      <c r="G25" s="41"/>
      <c r="H25" s="40"/>
      <c r="I25" s="42"/>
      <c r="J25" s="43">
        <f>SUM(H16:H24)</f>
        <v>3770.775</v>
      </c>
      <c r="K25" s="38" t="s">
        <v>95</v>
      </c>
    </row>
    <row r="26" ht="19.5" customHeight="1">
      <c r="A26" s="74" t="s">
        <v>1</v>
      </c>
      <c r="B26" s="74" t="s">
        <v>91</v>
      </c>
      <c r="C26" s="74" t="s">
        <v>92</v>
      </c>
      <c r="D26" s="74" t="s">
        <v>93</v>
      </c>
      <c r="E26" s="50" t="s">
        <v>97</v>
      </c>
      <c r="F26" s="53" t="s">
        <v>121</v>
      </c>
      <c r="G26" s="53" t="s">
        <v>99</v>
      </c>
      <c r="H26" s="75" t="s">
        <v>100</v>
      </c>
      <c r="I26" s="75" t="s">
        <v>101</v>
      </c>
      <c r="J26" s="76" t="s">
        <v>95</v>
      </c>
      <c r="K26" s="74" t="s">
        <v>96</v>
      </c>
    </row>
    <row r="27" ht="19.5" customHeight="1">
      <c r="A27" s="542"/>
      <c r="B27" s="49" t="s">
        <v>1609</v>
      </c>
      <c r="C27" s="38" t="s">
        <v>103</v>
      </c>
      <c r="D27" s="39">
        <v>1.0</v>
      </c>
      <c r="E27" s="49">
        <f t="shared" ref="E27:E35" si="2">E16+2</f>
        <v>3.9</v>
      </c>
      <c r="F27" s="39">
        <v>25.6</v>
      </c>
      <c r="G27" s="40"/>
      <c r="H27" s="40">
        <f>F27*E27*D27</f>
        <v>99.84</v>
      </c>
      <c r="I27" s="82"/>
      <c r="J27" s="43"/>
      <c r="K27" s="79"/>
    </row>
    <row r="28" ht="19.5" customHeight="1">
      <c r="A28" s="542"/>
      <c r="B28" s="49" t="s">
        <v>1610</v>
      </c>
      <c r="C28" s="38" t="s">
        <v>103</v>
      </c>
      <c r="D28" s="39">
        <v>2.0</v>
      </c>
      <c r="E28" s="49">
        <f t="shared" si="2"/>
        <v>6.63</v>
      </c>
      <c r="F28" s="39">
        <v>25.3</v>
      </c>
      <c r="G28" s="41">
        <v>11.75</v>
      </c>
      <c r="H28" s="40">
        <f t="shared" ref="H28:H35" si="3">(G28+F28)*E28*D28</f>
        <v>491.283</v>
      </c>
      <c r="I28" s="82"/>
      <c r="J28" s="43"/>
      <c r="K28" s="79"/>
    </row>
    <row r="29" ht="19.5" customHeight="1">
      <c r="A29" s="542"/>
      <c r="B29" s="49" t="s">
        <v>1611</v>
      </c>
      <c r="C29" s="38" t="s">
        <v>103</v>
      </c>
      <c r="D29" s="39">
        <v>2.0</v>
      </c>
      <c r="E29" s="49">
        <f t="shared" si="2"/>
        <v>6.5</v>
      </c>
      <c r="F29" s="39">
        <v>85.45</v>
      </c>
      <c r="G29" s="41">
        <v>11.1</v>
      </c>
      <c r="H29" s="40">
        <f t="shared" si="3"/>
        <v>1255.15</v>
      </c>
      <c r="I29" s="82"/>
      <c r="J29" s="43"/>
      <c r="K29" s="79"/>
    </row>
    <row r="30" ht="19.5" customHeight="1">
      <c r="A30" s="542"/>
      <c r="B30" s="49" t="s">
        <v>1612</v>
      </c>
      <c r="C30" s="38" t="s">
        <v>103</v>
      </c>
      <c r="D30" s="39">
        <v>2.0</v>
      </c>
      <c r="E30" s="49">
        <f t="shared" si="2"/>
        <v>6.5</v>
      </c>
      <c r="F30" s="39">
        <v>85.45</v>
      </c>
      <c r="G30" s="41">
        <v>11.1</v>
      </c>
      <c r="H30" s="40">
        <f t="shared" si="3"/>
        <v>1255.15</v>
      </c>
      <c r="I30" s="82"/>
      <c r="J30" s="43"/>
      <c r="K30" s="79"/>
    </row>
    <row r="31" ht="19.5" customHeight="1">
      <c r="A31" s="542"/>
      <c r="B31" s="49" t="s">
        <v>1613</v>
      </c>
      <c r="C31" s="38" t="s">
        <v>103</v>
      </c>
      <c r="D31" s="39">
        <v>2.0</v>
      </c>
      <c r="E31" s="49">
        <f t="shared" si="2"/>
        <v>6.65</v>
      </c>
      <c r="F31" s="39">
        <v>24.0</v>
      </c>
      <c r="G31" s="40"/>
      <c r="H31" s="40">
        <f t="shared" si="3"/>
        <v>319.2</v>
      </c>
      <c r="I31" s="82"/>
      <c r="J31" s="43"/>
      <c r="K31" s="79"/>
    </row>
    <row r="32" ht="19.5" customHeight="1">
      <c r="A32" s="542"/>
      <c r="B32" s="49" t="s">
        <v>1614</v>
      </c>
      <c r="C32" s="38" t="s">
        <v>103</v>
      </c>
      <c r="D32" s="39">
        <v>2.0</v>
      </c>
      <c r="E32" s="49">
        <f t="shared" si="2"/>
        <v>8.28</v>
      </c>
      <c r="F32" s="39">
        <v>53.35</v>
      </c>
      <c r="G32" s="41">
        <v>18.05</v>
      </c>
      <c r="H32" s="40">
        <f t="shared" si="3"/>
        <v>1182.384</v>
      </c>
      <c r="I32" s="82"/>
      <c r="J32" s="43"/>
      <c r="K32" s="79"/>
    </row>
    <row r="33" ht="19.5" customHeight="1">
      <c r="A33" s="542"/>
      <c r="B33" s="49" t="s">
        <v>1615</v>
      </c>
      <c r="C33" s="38" t="s">
        <v>103</v>
      </c>
      <c r="D33" s="39">
        <v>2.0</v>
      </c>
      <c r="E33" s="49">
        <f t="shared" si="2"/>
        <v>6.8</v>
      </c>
      <c r="F33" s="39">
        <v>16.42</v>
      </c>
      <c r="G33" s="41">
        <v>9.56</v>
      </c>
      <c r="H33" s="40">
        <f t="shared" si="3"/>
        <v>353.328</v>
      </c>
      <c r="I33" s="82"/>
      <c r="J33" s="43"/>
      <c r="K33" s="79"/>
    </row>
    <row r="34" ht="19.5" customHeight="1">
      <c r="A34" s="542"/>
      <c r="B34" s="49" t="s">
        <v>1616</v>
      </c>
      <c r="C34" s="38" t="s">
        <v>103</v>
      </c>
      <c r="D34" s="39">
        <v>2.0</v>
      </c>
      <c r="E34" s="49">
        <f t="shared" si="2"/>
        <v>6.8</v>
      </c>
      <c r="F34" s="39">
        <v>4.3</v>
      </c>
      <c r="G34" s="41">
        <v>4.3</v>
      </c>
      <c r="H34" s="40">
        <f t="shared" si="3"/>
        <v>116.96</v>
      </c>
      <c r="I34" s="82"/>
      <c r="J34" s="43"/>
      <c r="K34" s="79"/>
    </row>
    <row r="35" ht="19.5" customHeight="1">
      <c r="A35" s="542"/>
      <c r="B35" s="49" t="s">
        <v>1617</v>
      </c>
      <c r="C35" s="38" t="s">
        <v>103</v>
      </c>
      <c r="D35" s="39">
        <v>2.0</v>
      </c>
      <c r="E35" s="49">
        <f t="shared" si="2"/>
        <v>13</v>
      </c>
      <c r="F35" s="39">
        <v>4.3</v>
      </c>
      <c r="G35" s="41">
        <v>4.3</v>
      </c>
      <c r="H35" s="40">
        <f t="shared" si="3"/>
        <v>223.6</v>
      </c>
      <c r="I35" s="82"/>
      <c r="J35" s="43"/>
      <c r="K35" s="79"/>
    </row>
    <row r="36" ht="19.5" customHeight="1">
      <c r="A36" s="542"/>
      <c r="B36" s="114"/>
      <c r="C36" s="83"/>
      <c r="D36" s="115"/>
      <c r="E36" s="37"/>
      <c r="F36" s="40"/>
      <c r="G36" s="41"/>
      <c r="H36" s="59"/>
      <c r="I36" s="82"/>
      <c r="J36" s="43">
        <f>SUM(H27:H35)</f>
        <v>5296.895</v>
      </c>
      <c r="K36" s="79"/>
    </row>
    <row r="37" ht="19.5" customHeight="1">
      <c r="A37" s="100"/>
      <c r="B37" s="49"/>
      <c r="C37" s="38"/>
      <c r="D37" s="39"/>
      <c r="E37" s="37"/>
      <c r="F37" s="40"/>
      <c r="G37" s="41"/>
      <c r="H37" s="40"/>
      <c r="I37" s="42"/>
      <c r="J37" s="77"/>
      <c r="K37" s="46"/>
    </row>
    <row r="38" ht="19.5" customHeight="1">
      <c r="A38" s="12"/>
      <c r="C38" s="12"/>
      <c r="D38" s="13"/>
      <c r="F38" s="14"/>
      <c r="G38" s="14"/>
      <c r="H38" s="14"/>
      <c r="I38" s="14"/>
      <c r="J38" s="14"/>
      <c r="K38" s="12"/>
    </row>
    <row r="39" ht="19.5" customHeight="1">
      <c r="A39" s="12"/>
      <c r="C39" s="12"/>
      <c r="D39" s="13"/>
      <c r="F39" s="14"/>
      <c r="G39" s="14"/>
      <c r="H39" s="14"/>
      <c r="I39" s="14"/>
      <c r="J39" s="14"/>
      <c r="K39" s="12"/>
    </row>
    <row r="40" ht="19.5" customHeight="1">
      <c r="A40" s="12"/>
      <c r="C40" s="12"/>
      <c r="D40" s="13"/>
      <c r="F40" s="14"/>
      <c r="G40" s="14"/>
      <c r="H40" s="14"/>
      <c r="I40" s="14"/>
      <c r="J40" s="14"/>
      <c r="K40" s="12"/>
    </row>
    <row r="41" ht="19.5" customHeight="1">
      <c r="A41" s="12"/>
      <c r="C41" s="12"/>
      <c r="D41" s="13"/>
      <c r="F41" s="14"/>
      <c r="G41" s="14"/>
      <c r="H41" s="14"/>
      <c r="I41" s="14"/>
      <c r="J41" s="14"/>
      <c r="K41" s="12"/>
    </row>
    <row r="42" ht="19.5" customHeight="1">
      <c r="A42" s="12"/>
      <c r="C42" s="12"/>
      <c r="D42" s="13"/>
      <c r="F42" s="14"/>
      <c r="G42" s="14"/>
      <c r="H42" s="14"/>
      <c r="I42" s="14"/>
      <c r="J42" s="14"/>
      <c r="K42" s="12"/>
    </row>
    <row r="43" ht="19.5" customHeight="1">
      <c r="A43" s="12"/>
      <c r="C43" s="12"/>
      <c r="D43" s="13"/>
      <c r="F43" s="14"/>
      <c r="G43" s="14"/>
      <c r="H43" s="14"/>
      <c r="I43" s="14"/>
      <c r="J43" s="14"/>
      <c r="K43" s="12"/>
    </row>
    <row r="44" ht="19.5" customHeight="1">
      <c r="A44" s="12"/>
      <c r="C44" s="12"/>
      <c r="D44" s="13"/>
      <c r="F44" s="14"/>
      <c r="G44" s="14"/>
      <c r="H44" s="14"/>
      <c r="I44" s="14"/>
      <c r="J44" s="14"/>
      <c r="K44" s="12"/>
    </row>
    <row r="45" ht="19.5" customHeight="1">
      <c r="A45" s="12"/>
      <c r="C45" s="12"/>
      <c r="D45" s="13"/>
      <c r="F45" s="14"/>
      <c r="G45" s="14"/>
      <c r="H45" s="14"/>
      <c r="I45" s="14"/>
      <c r="J45" s="14"/>
      <c r="K45" s="12"/>
    </row>
    <row r="46" ht="19.5" customHeight="1">
      <c r="A46" s="12"/>
      <c r="C46" s="12"/>
      <c r="D46" s="13"/>
      <c r="F46" s="14"/>
      <c r="G46" s="14"/>
      <c r="H46" s="14"/>
      <c r="I46" s="14"/>
      <c r="J46" s="14"/>
      <c r="K46" s="12"/>
    </row>
    <row r="47" ht="19.5" customHeight="1">
      <c r="A47" s="12"/>
      <c r="C47" s="12"/>
      <c r="D47" s="13"/>
      <c r="F47" s="14"/>
      <c r="G47" s="14"/>
      <c r="H47" s="14"/>
      <c r="I47" s="14"/>
      <c r="J47" s="14"/>
      <c r="K47" s="12"/>
    </row>
    <row r="48" ht="19.5" customHeight="1">
      <c r="A48" s="12"/>
      <c r="C48" s="12"/>
      <c r="D48" s="13"/>
      <c r="F48" s="14"/>
      <c r="G48" s="14"/>
      <c r="H48" s="14"/>
      <c r="I48" s="14"/>
      <c r="J48" s="14"/>
      <c r="K48" s="12"/>
    </row>
    <row r="49" ht="19.5" customHeight="1">
      <c r="A49" s="12"/>
      <c r="C49" s="12"/>
      <c r="D49" s="13"/>
      <c r="F49" s="14"/>
      <c r="G49" s="14"/>
      <c r="H49" s="14"/>
      <c r="I49" s="14"/>
      <c r="J49" s="14"/>
      <c r="K49" s="12"/>
    </row>
    <row r="50" ht="19.5" customHeight="1">
      <c r="A50" s="12"/>
      <c r="C50" s="12"/>
      <c r="D50" s="13"/>
      <c r="F50" s="14"/>
      <c r="G50" s="14"/>
      <c r="H50" s="14"/>
      <c r="I50" s="14"/>
      <c r="J50" s="14"/>
      <c r="K50" s="12"/>
    </row>
    <row r="51" ht="19.5" customHeight="1">
      <c r="A51" s="12"/>
      <c r="C51" s="12"/>
      <c r="D51" s="13"/>
      <c r="F51" s="14"/>
      <c r="G51" s="14"/>
      <c r="H51" s="14"/>
      <c r="I51" s="14"/>
      <c r="J51" s="14"/>
      <c r="K51" s="12"/>
    </row>
    <row r="52" ht="19.5" customHeight="1">
      <c r="A52" s="12"/>
      <c r="C52" s="12"/>
      <c r="D52" s="13"/>
      <c r="F52" s="14"/>
      <c r="G52" s="14"/>
      <c r="H52" s="14"/>
      <c r="I52" s="14"/>
      <c r="J52" s="14"/>
      <c r="K52" s="12"/>
    </row>
    <row r="53" ht="19.5" customHeight="1">
      <c r="A53" s="12"/>
      <c r="C53" s="12"/>
      <c r="D53" s="13"/>
      <c r="F53" s="14"/>
      <c r="G53" s="14"/>
      <c r="H53" s="14"/>
      <c r="I53" s="14"/>
      <c r="J53" s="14"/>
      <c r="K53" s="12"/>
    </row>
    <row r="54" ht="19.5" customHeight="1">
      <c r="A54" s="12"/>
      <c r="C54" s="12"/>
      <c r="D54" s="13"/>
      <c r="F54" s="14"/>
      <c r="G54" s="14"/>
      <c r="H54" s="14"/>
      <c r="I54" s="14"/>
      <c r="J54" s="14"/>
      <c r="K54" s="12"/>
    </row>
    <row r="55" ht="19.5" customHeight="1">
      <c r="A55" s="12"/>
      <c r="C55" s="12"/>
      <c r="D55" s="13"/>
      <c r="F55" s="14"/>
      <c r="G55" s="14"/>
      <c r="H55" s="14"/>
      <c r="I55" s="14"/>
      <c r="J55" s="14"/>
      <c r="K55" s="12"/>
    </row>
    <row r="56" ht="19.5" customHeight="1">
      <c r="A56" s="12"/>
      <c r="C56" s="12"/>
      <c r="D56" s="13"/>
      <c r="F56" s="14"/>
      <c r="G56" s="14"/>
      <c r="H56" s="14"/>
      <c r="I56" s="14"/>
      <c r="J56" s="14"/>
      <c r="K56" s="12"/>
    </row>
    <row r="57" ht="19.5" customHeight="1">
      <c r="A57" s="12"/>
      <c r="C57" s="12"/>
      <c r="D57" s="13"/>
      <c r="F57" s="14"/>
      <c r="G57" s="14"/>
      <c r="H57" s="14"/>
      <c r="I57" s="14"/>
      <c r="J57" s="14"/>
      <c r="K57" s="12"/>
    </row>
    <row r="58" ht="19.5" customHeight="1">
      <c r="A58" s="12"/>
      <c r="C58" s="12"/>
      <c r="D58" s="13"/>
      <c r="F58" s="14"/>
      <c r="G58" s="14"/>
      <c r="H58" s="14"/>
      <c r="I58" s="14"/>
      <c r="J58" s="14"/>
      <c r="K58" s="12"/>
    </row>
    <row r="59" ht="19.5" customHeight="1">
      <c r="A59" s="12"/>
      <c r="C59" s="12"/>
      <c r="D59" s="13"/>
      <c r="F59" s="14"/>
      <c r="G59" s="14"/>
      <c r="H59" s="14"/>
      <c r="I59" s="14"/>
      <c r="J59" s="14"/>
      <c r="K59" s="12"/>
    </row>
    <row r="60" ht="19.5" customHeight="1">
      <c r="A60" s="12"/>
      <c r="C60" s="12"/>
      <c r="D60" s="13"/>
      <c r="F60" s="14"/>
      <c r="G60" s="14"/>
      <c r="H60" s="14"/>
      <c r="I60" s="14"/>
      <c r="J60" s="14"/>
      <c r="K60" s="12"/>
    </row>
    <row r="61" ht="19.5" customHeight="1">
      <c r="A61" s="12"/>
      <c r="C61" s="12"/>
      <c r="D61" s="13"/>
      <c r="F61" s="14"/>
      <c r="G61" s="14"/>
      <c r="H61" s="14"/>
      <c r="I61" s="14"/>
      <c r="J61" s="14"/>
      <c r="K61" s="12"/>
    </row>
    <row r="62" ht="19.5" customHeight="1">
      <c r="A62" s="12"/>
      <c r="C62" s="12"/>
      <c r="D62" s="13"/>
      <c r="F62" s="14"/>
      <c r="G62" s="14"/>
      <c r="H62" s="14"/>
      <c r="I62" s="14"/>
      <c r="J62" s="14"/>
      <c r="K62" s="12"/>
    </row>
    <row r="63" ht="19.5" customHeight="1">
      <c r="A63" s="12"/>
      <c r="C63" s="12"/>
      <c r="D63" s="13"/>
      <c r="F63" s="14"/>
      <c r="G63" s="14"/>
      <c r="H63" s="14"/>
      <c r="I63" s="14"/>
      <c r="J63" s="14"/>
      <c r="K63" s="12"/>
    </row>
    <row r="64" ht="19.5" customHeight="1">
      <c r="A64" s="12"/>
      <c r="C64" s="12"/>
      <c r="D64" s="13"/>
      <c r="F64" s="14"/>
      <c r="G64" s="14"/>
      <c r="H64" s="14"/>
      <c r="I64" s="14"/>
      <c r="J64" s="14"/>
      <c r="K64" s="12"/>
    </row>
    <row r="65" ht="19.5" customHeight="1">
      <c r="A65" s="12"/>
      <c r="C65" s="12"/>
      <c r="D65" s="13"/>
      <c r="F65" s="14"/>
      <c r="G65" s="14"/>
      <c r="H65" s="14"/>
      <c r="I65" s="14"/>
      <c r="J65" s="14"/>
      <c r="K65" s="12"/>
    </row>
    <row r="66" ht="19.5" customHeight="1">
      <c r="A66" s="12"/>
      <c r="C66" s="12"/>
      <c r="D66" s="13"/>
      <c r="F66" s="14"/>
      <c r="G66" s="14"/>
      <c r="H66" s="14"/>
      <c r="I66" s="14"/>
      <c r="J66" s="14"/>
      <c r="K66" s="12"/>
    </row>
    <row r="67" ht="19.5" customHeight="1">
      <c r="A67" s="12"/>
      <c r="C67" s="12"/>
      <c r="D67" s="13"/>
      <c r="F67" s="14"/>
      <c r="G67" s="14"/>
      <c r="H67" s="14"/>
      <c r="I67" s="14"/>
      <c r="J67" s="14"/>
      <c r="K67" s="12"/>
    </row>
    <row r="68" ht="19.5" customHeight="1">
      <c r="A68" s="12"/>
      <c r="C68" s="12"/>
      <c r="D68" s="13"/>
      <c r="F68" s="14"/>
      <c r="G68" s="14"/>
      <c r="H68" s="14"/>
      <c r="I68" s="14"/>
      <c r="J68" s="14"/>
      <c r="K68" s="12"/>
    </row>
    <row r="69" ht="19.5" customHeight="1">
      <c r="A69" s="12"/>
      <c r="C69" s="12"/>
      <c r="D69" s="13"/>
      <c r="F69" s="14"/>
      <c r="G69" s="14"/>
      <c r="H69" s="14"/>
      <c r="I69" s="14"/>
      <c r="J69" s="14"/>
      <c r="K69" s="12"/>
    </row>
    <row r="70" ht="19.5" customHeight="1">
      <c r="A70" s="12"/>
      <c r="C70" s="12"/>
      <c r="D70" s="13"/>
      <c r="F70" s="14"/>
      <c r="G70" s="14"/>
      <c r="H70" s="14"/>
      <c r="I70" s="14"/>
      <c r="J70" s="14"/>
      <c r="K70" s="12"/>
    </row>
    <row r="71" ht="19.5" customHeight="1">
      <c r="A71" s="12"/>
      <c r="C71" s="12"/>
      <c r="D71" s="13"/>
      <c r="F71" s="14"/>
      <c r="G71" s="14"/>
      <c r="H71" s="14"/>
      <c r="I71" s="14"/>
      <c r="J71" s="14"/>
      <c r="K71" s="12"/>
    </row>
    <row r="72" ht="19.5" customHeight="1">
      <c r="A72" s="12"/>
      <c r="C72" s="12"/>
      <c r="D72" s="13"/>
      <c r="F72" s="14"/>
      <c r="G72" s="14"/>
      <c r="H72" s="14"/>
      <c r="I72" s="14"/>
      <c r="J72" s="14"/>
      <c r="K72" s="12"/>
    </row>
    <row r="73" ht="19.5" customHeight="1">
      <c r="A73" s="12"/>
      <c r="C73" s="12"/>
      <c r="D73" s="13"/>
      <c r="F73" s="14"/>
      <c r="G73" s="14"/>
      <c r="H73" s="14"/>
      <c r="I73" s="14"/>
      <c r="J73" s="14"/>
      <c r="K73" s="12"/>
    </row>
    <row r="74" ht="19.5" customHeight="1">
      <c r="A74" s="12"/>
      <c r="C74" s="12"/>
      <c r="D74" s="13"/>
      <c r="F74" s="14"/>
      <c r="G74" s="14"/>
      <c r="H74" s="14"/>
      <c r="I74" s="14"/>
      <c r="J74" s="14"/>
      <c r="K74" s="12"/>
    </row>
    <row r="75" ht="19.5" customHeight="1">
      <c r="A75" s="12"/>
      <c r="C75" s="12"/>
      <c r="D75" s="13"/>
      <c r="F75" s="14"/>
      <c r="G75" s="14"/>
      <c r="H75" s="14"/>
      <c r="I75" s="14"/>
      <c r="J75" s="14"/>
      <c r="K75" s="12"/>
    </row>
    <row r="76" ht="19.5" customHeight="1">
      <c r="A76" s="12"/>
      <c r="C76" s="12"/>
      <c r="D76" s="13"/>
      <c r="F76" s="14"/>
      <c r="G76" s="14"/>
      <c r="H76" s="14"/>
      <c r="I76" s="14"/>
      <c r="J76" s="14"/>
      <c r="K76" s="12"/>
    </row>
    <row r="77" ht="19.5" customHeight="1">
      <c r="A77" s="12"/>
      <c r="C77" s="12"/>
      <c r="D77" s="13"/>
      <c r="F77" s="14"/>
      <c r="G77" s="14"/>
      <c r="H77" s="14"/>
      <c r="I77" s="14"/>
      <c r="J77" s="14"/>
      <c r="K77" s="12"/>
    </row>
    <row r="78" ht="19.5" customHeight="1">
      <c r="A78" s="12"/>
      <c r="C78" s="12"/>
      <c r="D78" s="13"/>
      <c r="F78" s="14"/>
      <c r="G78" s="14"/>
      <c r="H78" s="14"/>
      <c r="I78" s="14"/>
      <c r="J78" s="14"/>
      <c r="K78" s="12"/>
    </row>
    <row r="79" ht="19.5" customHeight="1">
      <c r="A79" s="12"/>
      <c r="C79" s="12"/>
      <c r="D79" s="13"/>
      <c r="F79" s="14"/>
      <c r="G79" s="14"/>
      <c r="H79" s="14"/>
      <c r="I79" s="14"/>
      <c r="J79" s="14"/>
      <c r="K79" s="12"/>
    </row>
    <row r="80" ht="19.5" customHeight="1">
      <c r="A80" s="12"/>
      <c r="C80" s="12"/>
      <c r="D80" s="13"/>
      <c r="F80" s="14"/>
      <c r="G80" s="14"/>
      <c r="H80" s="14"/>
      <c r="I80" s="14"/>
      <c r="J80" s="14"/>
      <c r="K80" s="12"/>
    </row>
    <row r="81" ht="19.5" customHeight="1">
      <c r="A81" s="12"/>
      <c r="C81" s="12"/>
      <c r="D81" s="13"/>
      <c r="F81" s="14"/>
      <c r="G81" s="14"/>
      <c r="H81" s="14"/>
      <c r="I81" s="14"/>
      <c r="J81" s="14"/>
      <c r="K81" s="12"/>
    </row>
    <row r="82" ht="19.5" customHeight="1">
      <c r="A82" s="12"/>
      <c r="C82" s="12"/>
      <c r="D82" s="13"/>
      <c r="F82" s="14"/>
      <c r="G82" s="14"/>
      <c r="H82" s="14"/>
      <c r="I82" s="14"/>
      <c r="J82" s="14"/>
      <c r="K82" s="12"/>
    </row>
    <row r="83" ht="19.5" customHeight="1">
      <c r="A83" s="12"/>
      <c r="C83" s="12"/>
      <c r="D83" s="13"/>
      <c r="F83" s="14"/>
      <c r="G83" s="14"/>
      <c r="H83" s="14"/>
      <c r="I83" s="14"/>
      <c r="J83" s="14"/>
      <c r="K83" s="12"/>
    </row>
    <row r="84" ht="19.5" customHeight="1">
      <c r="A84" s="12"/>
      <c r="C84" s="12"/>
      <c r="D84" s="13"/>
      <c r="F84" s="14"/>
      <c r="G84" s="14"/>
      <c r="H84" s="14"/>
      <c r="I84" s="14"/>
      <c r="J84" s="14"/>
      <c r="K84" s="12"/>
    </row>
    <row r="85" ht="19.5" customHeight="1">
      <c r="A85" s="12"/>
      <c r="C85" s="12"/>
      <c r="D85" s="13"/>
      <c r="F85" s="14"/>
      <c r="G85" s="14"/>
      <c r="H85" s="14"/>
      <c r="I85" s="14"/>
      <c r="J85" s="14"/>
      <c r="K85" s="12"/>
    </row>
    <row r="86" ht="19.5" customHeight="1">
      <c r="A86" s="12"/>
      <c r="C86" s="12"/>
      <c r="D86" s="13"/>
      <c r="F86" s="14"/>
      <c r="G86" s="14"/>
      <c r="H86" s="14"/>
      <c r="I86" s="14"/>
      <c r="J86" s="14"/>
      <c r="K86" s="12"/>
    </row>
    <row r="87" ht="19.5" customHeight="1">
      <c r="A87" s="12"/>
      <c r="C87" s="12"/>
      <c r="D87" s="13"/>
      <c r="F87" s="14"/>
      <c r="G87" s="14"/>
      <c r="H87" s="14"/>
      <c r="I87" s="14"/>
      <c r="J87" s="14"/>
      <c r="K87" s="12"/>
    </row>
    <row r="88" ht="19.5" customHeight="1">
      <c r="A88" s="12"/>
      <c r="C88" s="12"/>
      <c r="D88" s="13"/>
      <c r="F88" s="14"/>
      <c r="G88" s="14"/>
      <c r="H88" s="14"/>
      <c r="I88" s="14"/>
      <c r="J88" s="14"/>
      <c r="K88" s="12"/>
    </row>
    <row r="89" ht="19.5" customHeight="1">
      <c r="A89" s="12"/>
      <c r="C89" s="12"/>
      <c r="D89" s="13"/>
      <c r="F89" s="14"/>
      <c r="G89" s="14"/>
      <c r="H89" s="14"/>
      <c r="I89" s="14"/>
      <c r="J89" s="14"/>
      <c r="K89" s="12"/>
    </row>
    <row r="90" ht="19.5" customHeight="1">
      <c r="A90" s="12"/>
      <c r="C90" s="12"/>
      <c r="D90" s="13"/>
      <c r="F90" s="14"/>
      <c r="G90" s="14"/>
      <c r="H90" s="14"/>
      <c r="I90" s="14"/>
      <c r="J90" s="14"/>
      <c r="K90" s="12"/>
    </row>
    <row r="91" ht="19.5" customHeight="1">
      <c r="A91" s="12"/>
      <c r="C91" s="12"/>
      <c r="D91" s="13"/>
      <c r="F91" s="14"/>
      <c r="G91" s="14"/>
      <c r="H91" s="14"/>
      <c r="I91" s="14"/>
      <c r="J91" s="14"/>
      <c r="K91" s="12"/>
    </row>
    <row r="92" ht="19.5" customHeight="1">
      <c r="A92" s="12"/>
      <c r="C92" s="12"/>
      <c r="D92" s="13"/>
      <c r="F92" s="14"/>
      <c r="G92" s="14"/>
      <c r="H92" s="14"/>
      <c r="I92" s="14"/>
      <c r="J92" s="14"/>
      <c r="K92" s="12"/>
    </row>
    <row r="93" ht="19.5" customHeight="1">
      <c r="A93" s="12"/>
      <c r="C93" s="12"/>
      <c r="D93" s="13"/>
      <c r="F93" s="14"/>
      <c r="G93" s="14"/>
      <c r="H93" s="14"/>
      <c r="I93" s="14"/>
      <c r="J93" s="14"/>
      <c r="K93" s="12"/>
    </row>
    <row r="94" ht="19.5" customHeight="1">
      <c r="A94" s="12"/>
      <c r="C94" s="12"/>
      <c r="D94" s="13"/>
      <c r="F94" s="14"/>
      <c r="G94" s="14"/>
      <c r="H94" s="14"/>
      <c r="I94" s="14"/>
      <c r="J94" s="14"/>
      <c r="K94" s="12"/>
    </row>
    <row r="95" ht="19.5" customHeight="1">
      <c r="A95" s="12"/>
      <c r="C95" s="12"/>
      <c r="D95" s="13"/>
      <c r="F95" s="14"/>
      <c r="G95" s="14"/>
      <c r="H95" s="14"/>
      <c r="I95" s="14"/>
      <c r="J95" s="14"/>
      <c r="K95" s="12"/>
    </row>
    <row r="96" ht="19.5" customHeight="1">
      <c r="A96" s="12"/>
      <c r="C96" s="12"/>
      <c r="D96" s="13"/>
      <c r="F96" s="14"/>
      <c r="G96" s="14"/>
      <c r="H96" s="14"/>
      <c r="I96" s="14"/>
      <c r="J96" s="14"/>
      <c r="K96" s="12"/>
    </row>
    <row r="97" ht="19.5" customHeight="1">
      <c r="A97" s="12"/>
      <c r="C97" s="12"/>
      <c r="D97" s="13"/>
      <c r="F97" s="14"/>
      <c r="G97" s="14"/>
      <c r="H97" s="14"/>
      <c r="I97" s="14"/>
      <c r="J97" s="14"/>
      <c r="K97" s="12"/>
    </row>
    <row r="98" ht="19.5" customHeight="1">
      <c r="A98" s="12"/>
      <c r="C98" s="12"/>
      <c r="D98" s="13"/>
      <c r="F98" s="14"/>
      <c r="G98" s="14"/>
      <c r="H98" s="14"/>
      <c r="I98" s="14"/>
      <c r="J98" s="14"/>
      <c r="K98" s="12"/>
    </row>
    <row r="99" ht="19.5" customHeight="1">
      <c r="A99" s="12"/>
      <c r="C99" s="12"/>
      <c r="D99" s="13"/>
      <c r="F99" s="14"/>
      <c r="G99" s="14"/>
      <c r="H99" s="14"/>
      <c r="I99" s="14"/>
      <c r="J99" s="14"/>
      <c r="K99" s="12"/>
    </row>
    <row r="100" ht="19.5" customHeight="1">
      <c r="A100" s="12"/>
      <c r="C100" s="12"/>
      <c r="D100" s="13"/>
      <c r="F100" s="14"/>
      <c r="G100" s="14"/>
      <c r="H100" s="14"/>
      <c r="I100" s="14"/>
      <c r="J100" s="14"/>
      <c r="K100" s="12"/>
    </row>
    <row r="101" ht="19.5" customHeight="1">
      <c r="A101" s="12"/>
      <c r="C101" s="12"/>
      <c r="D101" s="13"/>
      <c r="F101" s="14"/>
      <c r="G101" s="14"/>
      <c r="H101" s="14"/>
      <c r="I101" s="14"/>
      <c r="J101" s="14"/>
      <c r="K101" s="12"/>
    </row>
    <row r="102" ht="19.5" customHeight="1">
      <c r="A102" s="12"/>
      <c r="C102" s="12"/>
      <c r="D102" s="13"/>
      <c r="F102" s="14"/>
      <c r="G102" s="14"/>
      <c r="H102" s="14"/>
      <c r="I102" s="14"/>
      <c r="J102" s="14"/>
      <c r="K102" s="12"/>
    </row>
    <row r="103" ht="19.5" customHeight="1">
      <c r="A103" s="12"/>
      <c r="C103" s="12"/>
      <c r="D103" s="13"/>
      <c r="F103" s="14"/>
      <c r="G103" s="14"/>
      <c r="H103" s="14"/>
      <c r="I103" s="14"/>
      <c r="J103" s="14"/>
      <c r="K103" s="12"/>
    </row>
    <row r="104" ht="19.5" customHeight="1">
      <c r="A104" s="12"/>
      <c r="C104" s="12"/>
      <c r="D104" s="13"/>
      <c r="F104" s="14"/>
      <c r="G104" s="14"/>
      <c r="H104" s="14"/>
      <c r="I104" s="14"/>
      <c r="J104" s="14"/>
      <c r="K104" s="12"/>
    </row>
    <row r="105" ht="19.5" customHeight="1">
      <c r="A105" s="12"/>
      <c r="C105" s="12"/>
      <c r="D105" s="13"/>
      <c r="F105" s="14"/>
      <c r="G105" s="14"/>
      <c r="H105" s="14"/>
      <c r="I105" s="14"/>
      <c r="J105" s="14"/>
      <c r="K105" s="12"/>
    </row>
    <row r="106" ht="19.5" customHeight="1">
      <c r="A106" s="12"/>
      <c r="C106" s="12"/>
      <c r="D106" s="13"/>
      <c r="F106" s="14"/>
      <c r="G106" s="14"/>
      <c r="H106" s="14"/>
      <c r="I106" s="14"/>
      <c r="J106" s="14"/>
      <c r="K106" s="12"/>
    </row>
    <row r="107" ht="19.5" customHeight="1">
      <c r="A107" s="12"/>
      <c r="C107" s="12"/>
      <c r="D107" s="13"/>
      <c r="F107" s="14"/>
      <c r="G107" s="14"/>
      <c r="H107" s="14"/>
      <c r="I107" s="14"/>
      <c r="J107" s="14"/>
      <c r="K107" s="12"/>
    </row>
    <row r="108" ht="19.5" customHeight="1">
      <c r="A108" s="12"/>
      <c r="C108" s="12"/>
      <c r="D108" s="13"/>
      <c r="F108" s="14"/>
      <c r="G108" s="14"/>
      <c r="H108" s="14"/>
      <c r="I108" s="14"/>
      <c r="J108" s="14"/>
      <c r="K108" s="12"/>
    </row>
    <row r="109" ht="19.5" customHeight="1">
      <c r="A109" s="12"/>
      <c r="C109" s="12"/>
      <c r="D109" s="13"/>
      <c r="F109" s="14"/>
      <c r="G109" s="14"/>
      <c r="H109" s="14"/>
      <c r="I109" s="14"/>
      <c r="J109" s="14"/>
      <c r="K109" s="12"/>
    </row>
    <row r="110" ht="19.5" customHeight="1">
      <c r="A110" s="12"/>
      <c r="C110" s="12"/>
      <c r="D110" s="13"/>
      <c r="F110" s="14"/>
      <c r="G110" s="14"/>
      <c r="H110" s="14"/>
      <c r="I110" s="14"/>
      <c r="J110" s="14"/>
      <c r="K110" s="12"/>
    </row>
    <row r="111" ht="19.5" customHeight="1">
      <c r="A111" s="12"/>
      <c r="C111" s="12"/>
      <c r="D111" s="13"/>
      <c r="F111" s="14"/>
      <c r="G111" s="14"/>
      <c r="H111" s="14"/>
      <c r="I111" s="14"/>
      <c r="J111" s="14"/>
      <c r="K111" s="12"/>
    </row>
    <row r="112" ht="19.5" customHeight="1">
      <c r="A112" s="12"/>
      <c r="C112" s="12"/>
      <c r="D112" s="13"/>
      <c r="F112" s="14"/>
      <c r="G112" s="14"/>
      <c r="H112" s="14"/>
      <c r="I112" s="14"/>
      <c r="J112" s="14"/>
      <c r="K112" s="12"/>
    </row>
    <row r="113" ht="19.5" customHeight="1">
      <c r="A113" s="12"/>
      <c r="C113" s="12"/>
      <c r="D113" s="13"/>
      <c r="F113" s="14"/>
      <c r="G113" s="14"/>
      <c r="H113" s="14"/>
      <c r="I113" s="14"/>
      <c r="J113" s="14"/>
      <c r="K113" s="12"/>
    </row>
    <row r="114" ht="19.5" customHeight="1">
      <c r="A114" s="12"/>
      <c r="C114" s="12"/>
      <c r="D114" s="13"/>
      <c r="F114" s="14"/>
      <c r="G114" s="14"/>
      <c r="H114" s="14"/>
      <c r="I114" s="14"/>
      <c r="J114" s="14"/>
      <c r="K114" s="12"/>
    </row>
    <row r="115" ht="19.5" customHeight="1">
      <c r="A115" s="12"/>
      <c r="C115" s="12"/>
      <c r="D115" s="13"/>
      <c r="F115" s="14"/>
      <c r="G115" s="14"/>
      <c r="H115" s="14"/>
      <c r="I115" s="14"/>
      <c r="J115" s="14"/>
      <c r="K115" s="12"/>
    </row>
    <row r="116" ht="19.5" customHeight="1">
      <c r="A116" s="12"/>
      <c r="C116" s="12"/>
      <c r="D116" s="13"/>
      <c r="F116" s="14"/>
      <c r="G116" s="14"/>
      <c r="H116" s="14"/>
      <c r="I116" s="14"/>
      <c r="J116" s="14"/>
      <c r="K116" s="12"/>
    </row>
    <row r="117" ht="19.5" customHeight="1">
      <c r="A117" s="12"/>
      <c r="C117" s="12"/>
      <c r="D117" s="13"/>
      <c r="F117" s="14"/>
      <c r="G117" s="14"/>
      <c r="H117" s="14"/>
      <c r="I117" s="14"/>
      <c r="J117" s="14"/>
      <c r="K117" s="12"/>
    </row>
    <row r="118" ht="19.5" customHeight="1">
      <c r="A118" s="12"/>
      <c r="C118" s="12"/>
      <c r="D118" s="13"/>
      <c r="F118" s="14"/>
      <c r="G118" s="14"/>
      <c r="H118" s="14"/>
      <c r="I118" s="14"/>
      <c r="J118" s="14"/>
      <c r="K118" s="12"/>
    </row>
    <row r="119" ht="19.5" customHeight="1">
      <c r="A119" s="12"/>
      <c r="C119" s="12"/>
      <c r="D119" s="13"/>
      <c r="F119" s="14"/>
      <c r="G119" s="14"/>
      <c r="H119" s="14"/>
      <c r="I119" s="14"/>
      <c r="J119" s="14"/>
      <c r="K119" s="12"/>
    </row>
    <row r="120" ht="19.5" customHeight="1">
      <c r="A120" s="12"/>
      <c r="C120" s="12"/>
      <c r="D120" s="13"/>
      <c r="F120" s="14"/>
      <c r="G120" s="14"/>
      <c r="H120" s="14"/>
      <c r="I120" s="14"/>
      <c r="J120" s="14"/>
      <c r="K120" s="12"/>
    </row>
    <row r="121" ht="19.5" customHeight="1">
      <c r="A121" s="12"/>
      <c r="C121" s="12"/>
      <c r="D121" s="13"/>
      <c r="F121" s="14"/>
      <c r="G121" s="14"/>
      <c r="H121" s="14"/>
      <c r="I121" s="14"/>
      <c r="J121" s="14"/>
      <c r="K121" s="12"/>
    </row>
    <row r="122" ht="19.5" customHeight="1">
      <c r="A122" s="12"/>
      <c r="C122" s="12"/>
      <c r="D122" s="13"/>
      <c r="F122" s="14"/>
      <c r="G122" s="14"/>
      <c r="H122" s="14"/>
      <c r="I122" s="14"/>
      <c r="J122" s="14"/>
      <c r="K122" s="12"/>
    </row>
    <row r="123" ht="19.5" customHeight="1">
      <c r="A123" s="12"/>
      <c r="C123" s="12"/>
      <c r="D123" s="13"/>
      <c r="F123" s="14"/>
      <c r="G123" s="14"/>
      <c r="H123" s="14"/>
      <c r="I123" s="14"/>
      <c r="J123" s="14"/>
      <c r="K123" s="12"/>
    </row>
    <row r="124" ht="19.5" customHeight="1">
      <c r="A124" s="12"/>
      <c r="C124" s="12"/>
      <c r="D124" s="13"/>
      <c r="F124" s="14"/>
      <c r="G124" s="14"/>
      <c r="H124" s="14"/>
      <c r="I124" s="14"/>
      <c r="J124" s="14"/>
      <c r="K124" s="12"/>
    </row>
    <row r="125" ht="19.5" customHeight="1">
      <c r="A125" s="12"/>
      <c r="C125" s="12"/>
      <c r="D125" s="13"/>
      <c r="F125" s="14"/>
      <c r="G125" s="14"/>
      <c r="H125" s="14"/>
      <c r="I125" s="14"/>
      <c r="J125" s="14"/>
      <c r="K125" s="12"/>
    </row>
    <row r="126" ht="19.5" customHeight="1">
      <c r="A126" s="12"/>
      <c r="C126" s="12"/>
      <c r="D126" s="13"/>
      <c r="F126" s="14"/>
      <c r="G126" s="14"/>
      <c r="H126" s="14"/>
      <c r="I126" s="14"/>
      <c r="J126" s="14"/>
      <c r="K126" s="12"/>
    </row>
    <row r="127" ht="19.5" customHeight="1">
      <c r="A127" s="12"/>
      <c r="C127" s="12"/>
      <c r="D127" s="13"/>
      <c r="F127" s="14"/>
      <c r="G127" s="14"/>
      <c r="H127" s="14"/>
      <c r="I127" s="14"/>
      <c r="J127" s="14"/>
      <c r="K127" s="12"/>
    </row>
    <row r="128" ht="19.5" customHeight="1">
      <c r="A128" s="12"/>
      <c r="C128" s="12"/>
      <c r="D128" s="13"/>
      <c r="F128" s="14"/>
      <c r="G128" s="14"/>
      <c r="H128" s="14"/>
      <c r="I128" s="14"/>
      <c r="J128" s="14"/>
      <c r="K128" s="12"/>
    </row>
    <row r="129" ht="19.5" customHeight="1">
      <c r="A129" s="12"/>
      <c r="C129" s="12"/>
      <c r="D129" s="13"/>
      <c r="F129" s="14"/>
      <c r="G129" s="14"/>
      <c r="H129" s="14"/>
      <c r="I129" s="14"/>
      <c r="J129" s="14"/>
      <c r="K129" s="12"/>
    </row>
    <row r="130" ht="19.5" customHeight="1">
      <c r="A130" s="12"/>
      <c r="C130" s="12"/>
      <c r="D130" s="13"/>
      <c r="F130" s="14"/>
      <c r="G130" s="14"/>
      <c r="H130" s="14"/>
      <c r="I130" s="14"/>
      <c r="J130" s="14"/>
      <c r="K130" s="12"/>
    </row>
    <row r="131" ht="19.5" customHeight="1">
      <c r="A131" s="12"/>
      <c r="C131" s="12"/>
      <c r="D131" s="13"/>
      <c r="F131" s="14"/>
      <c r="G131" s="14"/>
      <c r="H131" s="14"/>
      <c r="I131" s="14"/>
      <c r="J131" s="14"/>
      <c r="K131" s="12"/>
    </row>
    <row r="132" ht="19.5" customHeight="1">
      <c r="A132" s="12"/>
      <c r="C132" s="12"/>
      <c r="D132" s="13"/>
      <c r="F132" s="14"/>
      <c r="G132" s="14"/>
      <c r="H132" s="14"/>
      <c r="I132" s="14"/>
      <c r="J132" s="14"/>
      <c r="K132" s="12"/>
    </row>
    <row r="133" ht="19.5" customHeight="1">
      <c r="A133" s="12"/>
      <c r="C133" s="12"/>
      <c r="D133" s="13"/>
      <c r="F133" s="14"/>
      <c r="G133" s="14"/>
      <c r="H133" s="14"/>
      <c r="I133" s="14"/>
      <c r="J133" s="14"/>
      <c r="K133" s="12"/>
    </row>
    <row r="134" ht="19.5" customHeight="1">
      <c r="A134" s="12"/>
      <c r="C134" s="12"/>
      <c r="D134" s="13"/>
      <c r="F134" s="14"/>
      <c r="G134" s="14"/>
      <c r="H134" s="14"/>
      <c r="I134" s="14"/>
      <c r="J134" s="14"/>
      <c r="K134" s="12"/>
    </row>
    <row r="135" ht="19.5" customHeight="1">
      <c r="A135" s="12"/>
      <c r="C135" s="12"/>
      <c r="D135" s="13"/>
      <c r="F135" s="14"/>
      <c r="G135" s="14"/>
      <c r="H135" s="14"/>
      <c r="I135" s="14"/>
      <c r="J135" s="14"/>
      <c r="K135" s="12"/>
    </row>
    <row r="136" ht="19.5" customHeight="1">
      <c r="A136" s="12"/>
      <c r="C136" s="12"/>
      <c r="D136" s="13"/>
      <c r="F136" s="14"/>
      <c r="G136" s="14"/>
      <c r="H136" s="14"/>
      <c r="I136" s="14"/>
      <c r="J136" s="14"/>
      <c r="K136" s="12"/>
    </row>
    <row r="137" ht="19.5" customHeight="1">
      <c r="A137" s="12"/>
      <c r="C137" s="12"/>
      <c r="D137" s="13"/>
      <c r="F137" s="14"/>
      <c r="G137" s="14"/>
      <c r="H137" s="14"/>
      <c r="I137" s="14"/>
      <c r="J137" s="14"/>
      <c r="K137" s="12"/>
    </row>
    <row r="138" ht="19.5" customHeight="1">
      <c r="A138" s="12"/>
      <c r="C138" s="12"/>
      <c r="D138" s="13"/>
      <c r="F138" s="14"/>
      <c r="G138" s="14"/>
      <c r="H138" s="14"/>
      <c r="I138" s="14"/>
      <c r="J138" s="14"/>
      <c r="K138" s="12"/>
    </row>
    <row r="139" ht="19.5" customHeight="1">
      <c r="A139" s="12"/>
      <c r="C139" s="12"/>
      <c r="D139" s="13"/>
      <c r="F139" s="14"/>
      <c r="G139" s="14"/>
      <c r="H139" s="14"/>
      <c r="I139" s="14"/>
      <c r="J139" s="14"/>
      <c r="K139" s="12"/>
    </row>
    <row r="140" ht="19.5" customHeight="1">
      <c r="A140" s="12"/>
      <c r="C140" s="12"/>
      <c r="D140" s="13"/>
      <c r="F140" s="14"/>
      <c r="G140" s="14"/>
      <c r="H140" s="14"/>
      <c r="I140" s="14"/>
      <c r="J140" s="14"/>
      <c r="K140" s="12"/>
    </row>
    <row r="141" ht="19.5" customHeight="1">
      <c r="A141" s="12"/>
      <c r="C141" s="12"/>
      <c r="D141" s="13"/>
      <c r="F141" s="14"/>
      <c r="G141" s="14"/>
      <c r="H141" s="14"/>
      <c r="I141" s="14"/>
      <c r="J141" s="14"/>
      <c r="K141" s="12"/>
    </row>
    <row r="142" ht="19.5" customHeight="1">
      <c r="A142" s="12"/>
      <c r="C142" s="12"/>
      <c r="D142" s="13"/>
      <c r="F142" s="14"/>
      <c r="G142" s="14"/>
      <c r="H142" s="14"/>
      <c r="I142" s="14"/>
      <c r="J142" s="14"/>
      <c r="K142" s="12"/>
    </row>
    <row r="143" ht="19.5" customHeight="1">
      <c r="A143" s="12"/>
      <c r="C143" s="12"/>
      <c r="D143" s="13"/>
      <c r="F143" s="14"/>
      <c r="G143" s="14"/>
      <c r="H143" s="14"/>
      <c r="I143" s="14"/>
      <c r="J143" s="14"/>
      <c r="K143" s="12"/>
    </row>
    <row r="144" ht="19.5" customHeight="1">
      <c r="A144" s="12"/>
      <c r="C144" s="12"/>
      <c r="D144" s="13"/>
      <c r="F144" s="14"/>
      <c r="G144" s="14"/>
      <c r="H144" s="14"/>
      <c r="I144" s="14"/>
      <c r="J144" s="14"/>
      <c r="K144" s="12"/>
    </row>
    <row r="145" ht="19.5" customHeight="1">
      <c r="A145" s="12"/>
      <c r="C145" s="12"/>
      <c r="D145" s="13"/>
      <c r="F145" s="14"/>
      <c r="G145" s="14"/>
      <c r="H145" s="14"/>
      <c r="I145" s="14"/>
      <c r="J145" s="14"/>
      <c r="K145" s="12"/>
    </row>
    <row r="146" ht="19.5" customHeight="1">
      <c r="A146" s="12"/>
      <c r="C146" s="12"/>
      <c r="D146" s="13"/>
      <c r="F146" s="14"/>
      <c r="G146" s="14"/>
      <c r="H146" s="14"/>
      <c r="I146" s="14"/>
      <c r="J146" s="14"/>
      <c r="K146" s="12"/>
    </row>
    <row r="147" ht="19.5" customHeight="1">
      <c r="A147" s="12"/>
      <c r="C147" s="12"/>
      <c r="D147" s="13"/>
      <c r="F147" s="14"/>
      <c r="G147" s="14"/>
      <c r="H147" s="14"/>
      <c r="I147" s="14"/>
      <c r="J147" s="14"/>
      <c r="K147" s="12"/>
    </row>
    <row r="148" ht="19.5" customHeight="1">
      <c r="A148" s="12"/>
      <c r="C148" s="12"/>
      <c r="D148" s="13"/>
      <c r="F148" s="14"/>
      <c r="G148" s="14"/>
      <c r="H148" s="14"/>
      <c r="I148" s="14"/>
      <c r="J148" s="14"/>
      <c r="K148" s="12"/>
    </row>
    <row r="149" ht="19.5" customHeight="1">
      <c r="A149" s="12"/>
      <c r="C149" s="12"/>
      <c r="D149" s="13"/>
      <c r="F149" s="14"/>
      <c r="G149" s="14"/>
      <c r="H149" s="14"/>
      <c r="I149" s="14"/>
      <c r="J149" s="14"/>
      <c r="K149" s="12"/>
    </row>
    <row r="150" ht="19.5" customHeight="1">
      <c r="A150" s="12"/>
      <c r="C150" s="12"/>
      <c r="D150" s="13"/>
      <c r="F150" s="14"/>
      <c r="G150" s="14"/>
      <c r="H150" s="14"/>
      <c r="I150" s="14"/>
      <c r="J150" s="14"/>
      <c r="K150" s="12"/>
    </row>
    <row r="151" ht="19.5" customHeight="1">
      <c r="A151" s="12"/>
      <c r="C151" s="12"/>
      <c r="D151" s="13"/>
      <c r="F151" s="14"/>
      <c r="G151" s="14"/>
      <c r="H151" s="14"/>
      <c r="I151" s="14"/>
      <c r="J151" s="14"/>
      <c r="K151" s="12"/>
    </row>
    <row r="152" ht="19.5" customHeight="1">
      <c r="A152" s="12"/>
      <c r="C152" s="12"/>
      <c r="D152" s="13"/>
      <c r="F152" s="14"/>
      <c r="G152" s="14"/>
      <c r="H152" s="14"/>
      <c r="I152" s="14"/>
      <c r="J152" s="14"/>
      <c r="K152" s="12"/>
    </row>
    <row r="153" ht="19.5" customHeight="1">
      <c r="A153" s="12"/>
      <c r="C153" s="12"/>
      <c r="D153" s="13"/>
      <c r="F153" s="14"/>
      <c r="G153" s="14"/>
      <c r="H153" s="14"/>
      <c r="I153" s="14"/>
      <c r="J153" s="14"/>
      <c r="K153" s="12"/>
    </row>
    <row r="154" ht="19.5" customHeight="1">
      <c r="A154" s="12"/>
      <c r="C154" s="12"/>
      <c r="D154" s="13"/>
      <c r="F154" s="14"/>
      <c r="G154" s="14"/>
      <c r="H154" s="14"/>
      <c r="I154" s="14"/>
      <c r="J154" s="14"/>
      <c r="K154" s="12"/>
    </row>
    <row r="155" ht="19.5" customHeight="1">
      <c r="A155" s="12"/>
      <c r="C155" s="12"/>
      <c r="D155" s="13"/>
      <c r="F155" s="14"/>
      <c r="G155" s="14"/>
      <c r="H155" s="14"/>
      <c r="I155" s="14"/>
      <c r="J155" s="14"/>
      <c r="K155" s="12"/>
    </row>
    <row r="156" ht="19.5" customHeight="1">
      <c r="A156" s="12"/>
      <c r="C156" s="12"/>
      <c r="D156" s="13"/>
      <c r="F156" s="14"/>
      <c r="G156" s="14"/>
      <c r="H156" s="14"/>
      <c r="I156" s="14"/>
      <c r="J156" s="14"/>
      <c r="K156" s="12"/>
    </row>
    <row r="157" ht="19.5" customHeight="1">
      <c r="A157" s="12"/>
      <c r="C157" s="12"/>
      <c r="D157" s="13"/>
      <c r="F157" s="14"/>
      <c r="G157" s="14"/>
      <c r="H157" s="14"/>
      <c r="I157" s="14"/>
      <c r="J157" s="14"/>
      <c r="K157" s="12"/>
    </row>
    <row r="158" ht="19.5" customHeight="1">
      <c r="A158" s="12"/>
      <c r="C158" s="12"/>
      <c r="D158" s="13"/>
      <c r="F158" s="14"/>
      <c r="G158" s="14"/>
      <c r="H158" s="14"/>
      <c r="I158" s="14"/>
      <c r="J158" s="14"/>
      <c r="K158" s="12"/>
    </row>
    <row r="159" ht="19.5" customHeight="1">
      <c r="A159" s="12"/>
      <c r="C159" s="12"/>
      <c r="D159" s="13"/>
      <c r="F159" s="14"/>
      <c r="G159" s="14"/>
      <c r="H159" s="14"/>
      <c r="I159" s="14"/>
      <c r="J159" s="14"/>
      <c r="K159" s="12"/>
    </row>
    <row r="160" ht="19.5" customHeight="1">
      <c r="A160" s="12"/>
      <c r="C160" s="12"/>
      <c r="D160" s="13"/>
      <c r="F160" s="14"/>
      <c r="G160" s="14"/>
      <c r="H160" s="14"/>
      <c r="I160" s="14"/>
      <c r="J160" s="14"/>
      <c r="K160" s="12"/>
    </row>
    <row r="161" ht="19.5" customHeight="1">
      <c r="A161" s="12"/>
      <c r="C161" s="12"/>
      <c r="D161" s="13"/>
      <c r="F161" s="14"/>
      <c r="G161" s="14"/>
      <c r="H161" s="14"/>
      <c r="I161" s="14"/>
      <c r="J161" s="14"/>
      <c r="K161" s="12"/>
    </row>
    <row r="162" ht="19.5" customHeight="1">
      <c r="A162" s="12"/>
      <c r="C162" s="12"/>
      <c r="D162" s="13"/>
      <c r="F162" s="14"/>
      <c r="G162" s="14"/>
      <c r="H162" s="14"/>
      <c r="I162" s="14"/>
      <c r="J162" s="14"/>
      <c r="K162" s="12"/>
    </row>
    <row r="163" ht="19.5" customHeight="1">
      <c r="A163" s="12"/>
      <c r="C163" s="12"/>
      <c r="D163" s="13"/>
      <c r="F163" s="14"/>
      <c r="G163" s="14"/>
      <c r="H163" s="14"/>
      <c r="I163" s="14"/>
      <c r="J163" s="14"/>
      <c r="K163" s="12"/>
    </row>
    <row r="164" ht="19.5" customHeight="1">
      <c r="A164" s="12"/>
      <c r="C164" s="12"/>
      <c r="D164" s="13"/>
      <c r="F164" s="14"/>
      <c r="G164" s="14"/>
      <c r="H164" s="14"/>
      <c r="I164" s="14"/>
      <c r="J164" s="14"/>
      <c r="K164" s="12"/>
    </row>
    <row r="165" ht="19.5" customHeight="1">
      <c r="A165" s="12"/>
      <c r="C165" s="12"/>
      <c r="D165" s="13"/>
      <c r="F165" s="14"/>
      <c r="G165" s="14"/>
      <c r="H165" s="14"/>
      <c r="I165" s="14"/>
      <c r="J165" s="14"/>
      <c r="K165" s="12"/>
    </row>
    <row r="166" ht="19.5" customHeight="1">
      <c r="A166" s="12"/>
      <c r="C166" s="12"/>
      <c r="D166" s="13"/>
      <c r="F166" s="14"/>
      <c r="G166" s="14"/>
      <c r="H166" s="14"/>
      <c r="I166" s="14"/>
      <c r="J166" s="14"/>
      <c r="K166" s="12"/>
    </row>
    <row r="167" ht="19.5" customHeight="1">
      <c r="A167" s="12"/>
      <c r="C167" s="12"/>
      <c r="D167" s="13"/>
      <c r="F167" s="14"/>
      <c r="G167" s="14"/>
      <c r="H167" s="14"/>
      <c r="I167" s="14"/>
      <c r="J167" s="14"/>
      <c r="K167" s="12"/>
    </row>
    <row r="168" ht="19.5" customHeight="1">
      <c r="A168" s="12"/>
      <c r="C168" s="12"/>
      <c r="D168" s="13"/>
      <c r="F168" s="14"/>
      <c r="G168" s="14"/>
      <c r="H168" s="14"/>
      <c r="I168" s="14"/>
      <c r="J168" s="14"/>
      <c r="K168" s="12"/>
    </row>
    <row r="169" ht="19.5" customHeight="1">
      <c r="A169" s="12"/>
      <c r="C169" s="12"/>
      <c r="D169" s="13"/>
      <c r="F169" s="14"/>
      <c r="G169" s="14"/>
      <c r="H169" s="14"/>
      <c r="I169" s="14"/>
      <c r="J169" s="14"/>
      <c r="K169" s="12"/>
    </row>
    <row r="170" ht="19.5" customHeight="1">
      <c r="A170" s="12"/>
      <c r="C170" s="12"/>
      <c r="D170" s="13"/>
      <c r="F170" s="14"/>
      <c r="G170" s="14"/>
      <c r="H170" s="14"/>
      <c r="I170" s="14"/>
      <c r="J170" s="14"/>
      <c r="K170" s="12"/>
    </row>
    <row r="171" ht="19.5" customHeight="1">
      <c r="A171" s="12"/>
      <c r="C171" s="12"/>
      <c r="D171" s="13"/>
      <c r="F171" s="14"/>
      <c r="G171" s="14"/>
      <c r="H171" s="14"/>
      <c r="I171" s="14"/>
      <c r="J171" s="14"/>
      <c r="K171" s="12"/>
    </row>
    <row r="172" ht="19.5" customHeight="1">
      <c r="A172" s="12"/>
      <c r="C172" s="12"/>
      <c r="D172" s="13"/>
      <c r="F172" s="14"/>
      <c r="G172" s="14"/>
      <c r="H172" s="14"/>
      <c r="I172" s="14"/>
      <c r="J172" s="14"/>
      <c r="K172" s="12"/>
    </row>
    <row r="173" ht="19.5" customHeight="1">
      <c r="A173" s="12"/>
      <c r="C173" s="12"/>
      <c r="D173" s="13"/>
      <c r="F173" s="14"/>
      <c r="G173" s="14"/>
      <c r="H173" s="14"/>
      <c r="I173" s="14"/>
      <c r="J173" s="14"/>
      <c r="K173" s="12"/>
    </row>
    <row r="174" ht="19.5" customHeight="1">
      <c r="A174" s="12"/>
      <c r="C174" s="12"/>
      <c r="D174" s="13"/>
      <c r="F174" s="14"/>
      <c r="G174" s="14"/>
      <c r="H174" s="14"/>
      <c r="I174" s="14"/>
      <c r="J174" s="14"/>
      <c r="K174" s="12"/>
    </row>
    <row r="175" ht="19.5" customHeight="1">
      <c r="A175" s="12"/>
      <c r="C175" s="12"/>
      <c r="D175" s="13"/>
      <c r="F175" s="14"/>
      <c r="G175" s="14"/>
      <c r="H175" s="14"/>
      <c r="I175" s="14"/>
      <c r="J175" s="14"/>
      <c r="K175" s="12"/>
    </row>
    <row r="176" ht="19.5" customHeight="1">
      <c r="A176" s="12"/>
      <c r="C176" s="12"/>
      <c r="D176" s="13"/>
      <c r="F176" s="14"/>
      <c r="G176" s="14"/>
      <c r="H176" s="14"/>
      <c r="I176" s="14"/>
      <c r="J176" s="14"/>
      <c r="K176" s="12"/>
    </row>
    <row r="177" ht="19.5" customHeight="1">
      <c r="A177" s="12"/>
      <c r="C177" s="12"/>
      <c r="D177" s="13"/>
      <c r="F177" s="14"/>
      <c r="G177" s="14"/>
      <c r="H177" s="14"/>
      <c r="I177" s="14"/>
      <c r="J177" s="14"/>
      <c r="K177" s="12"/>
    </row>
    <row r="178" ht="19.5" customHeight="1">
      <c r="A178" s="12"/>
      <c r="C178" s="12"/>
      <c r="D178" s="13"/>
      <c r="F178" s="14"/>
      <c r="G178" s="14"/>
      <c r="H178" s="14"/>
      <c r="I178" s="14"/>
      <c r="J178" s="14"/>
      <c r="K178" s="12"/>
    </row>
    <row r="179" ht="19.5" customHeight="1">
      <c r="A179" s="12"/>
      <c r="C179" s="12"/>
      <c r="D179" s="13"/>
      <c r="F179" s="14"/>
      <c r="G179" s="14"/>
      <c r="H179" s="14"/>
      <c r="I179" s="14"/>
      <c r="J179" s="14"/>
      <c r="K179" s="12"/>
    </row>
    <row r="180" ht="19.5" customHeight="1">
      <c r="A180" s="12"/>
      <c r="C180" s="12"/>
      <c r="D180" s="13"/>
      <c r="F180" s="14"/>
      <c r="G180" s="14"/>
      <c r="H180" s="14"/>
      <c r="I180" s="14"/>
      <c r="J180" s="14"/>
      <c r="K180" s="12"/>
    </row>
    <row r="181" ht="19.5" customHeight="1">
      <c r="A181" s="12"/>
      <c r="C181" s="12"/>
      <c r="D181" s="13"/>
      <c r="F181" s="14"/>
      <c r="G181" s="14"/>
      <c r="H181" s="14"/>
      <c r="I181" s="14"/>
      <c r="J181" s="14"/>
      <c r="K181" s="12"/>
    </row>
    <row r="182" ht="19.5" customHeight="1">
      <c r="A182" s="12"/>
      <c r="C182" s="12"/>
      <c r="D182" s="13"/>
      <c r="F182" s="14"/>
      <c r="G182" s="14"/>
      <c r="H182" s="14"/>
      <c r="I182" s="14"/>
      <c r="J182" s="14"/>
      <c r="K182" s="12"/>
    </row>
    <row r="183" ht="19.5" customHeight="1">
      <c r="A183" s="12"/>
      <c r="C183" s="12"/>
      <c r="D183" s="13"/>
      <c r="F183" s="14"/>
      <c r="G183" s="14"/>
      <c r="H183" s="14"/>
      <c r="I183" s="14"/>
      <c r="J183" s="14"/>
      <c r="K183" s="12"/>
    </row>
    <row r="184" ht="19.5" customHeight="1">
      <c r="A184" s="12"/>
      <c r="C184" s="12"/>
      <c r="D184" s="13"/>
      <c r="F184" s="14"/>
      <c r="G184" s="14"/>
      <c r="H184" s="14"/>
      <c r="I184" s="14"/>
      <c r="J184" s="14"/>
      <c r="K184" s="12"/>
    </row>
    <row r="185" ht="19.5" customHeight="1">
      <c r="A185" s="12"/>
      <c r="C185" s="12"/>
      <c r="D185" s="13"/>
      <c r="F185" s="14"/>
      <c r="G185" s="14"/>
      <c r="H185" s="14"/>
      <c r="I185" s="14"/>
      <c r="J185" s="14"/>
      <c r="K185" s="12"/>
    </row>
    <row r="186" ht="19.5" customHeight="1">
      <c r="A186" s="12"/>
      <c r="C186" s="12"/>
      <c r="D186" s="13"/>
      <c r="F186" s="14"/>
      <c r="G186" s="14"/>
      <c r="H186" s="14"/>
      <c r="I186" s="14"/>
      <c r="J186" s="14"/>
      <c r="K186" s="12"/>
    </row>
    <row r="187" ht="19.5" customHeight="1">
      <c r="A187" s="12"/>
      <c r="C187" s="12"/>
      <c r="D187" s="13"/>
      <c r="F187" s="14"/>
      <c r="G187" s="14"/>
      <c r="H187" s="14"/>
      <c r="I187" s="14"/>
      <c r="J187" s="14"/>
      <c r="K187" s="12"/>
    </row>
    <row r="188" ht="19.5" customHeight="1">
      <c r="A188" s="12"/>
      <c r="C188" s="12"/>
      <c r="D188" s="13"/>
      <c r="F188" s="14"/>
      <c r="G188" s="14"/>
      <c r="H188" s="14"/>
      <c r="I188" s="14"/>
      <c r="J188" s="14"/>
      <c r="K188" s="12"/>
    </row>
    <row r="189" ht="19.5" customHeight="1">
      <c r="A189" s="12"/>
      <c r="C189" s="12"/>
      <c r="D189" s="13"/>
      <c r="F189" s="14"/>
      <c r="G189" s="14"/>
      <c r="H189" s="14"/>
      <c r="I189" s="14"/>
      <c r="J189" s="14"/>
      <c r="K189" s="12"/>
    </row>
    <row r="190" ht="19.5" customHeight="1">
      <c r="A190" s="12"/>
      <c r="C190" s="12"/>
      <c r="D190" s="13"/>
      <c r="F190" s="14"/>
      <c r="G190" s="14"/>
      <c r="H190" s="14"/>
      <c r="I190" s="14"/>
      <c r="J190" s="14"/>
      <c r="K190" s="12"/>
    </row>
    <row r="191" ht="19.5" customHeight="1">
      <c r="A191" s="12"/>
      <c r="C191" s="12"/>
      <c r="D191" s="13"/>
      <c r="F191" s="14"/>
      <c r="G191" s="14"/>
      <c r="H191" s="14"/>
      <c r="I191" s="14"/>
      <c r="J191" s="14"/>
      <c r="K191" s="12"/>
    </row>
    <row r="192" ht="19.5" customHeight="1">
      <c r="A192" s="12"/>
      <c r="C192" s="12"/>
      <c r="D192" s="13"/>
      <c r="F192" s="14"/>
      <c r="G192" s="14"/>
      <c r="H192" s="14"/>
      <c r="I192" s="14"/>
      <c r="J192" s="14"/>
      <c r="K192" s="12"/>
    </row>
    <row r="193" ht="19.5" customHeight="1">
      <c r="A193" s="12"/>
      <c r="C193" s="12"/>
      <c r="D193" s="13"/>
      <c r="F193" s="14"/>
      <c r="G193" s="14"/>
      <c r="H193" s="14"/>
      <c r="I193" s="14"/>
      <c r="J193" s="14"/>
      <c r="K193" s="12"/>
    </row>
    <row r="194" ht="19.5" customHeight="1">
      <c r="A194" s="12"/>
      <c r="C194" s="12"/>
      <c r="D194" s="13"/>
      <c r="F194" s="14"/>
      <c r="G194" s="14"/>
      <c r="H194" s="14"/>
      <c r="I194" s="14"/>
      <c r="J194" s="14"/>
      <c r="K194" s="12"/>
    </row>
    <row r="195" ht="19.5" customHeight="1">
      <c r="A195" s="12"/>
      <c r="C195" s="12"/>
      <c r="D195" s="13"/>
      <c r="F195" s="14"/>
      <c r="G195" s="14"/>
      <c r="H195" s="14"/>
      <c r="I195" s="14"/>
      <c r="J195" s="14"/>
      <c r="K195" s="12"/>
    </row>
    <row r="196" ht="19.5" customHeight="1">
      <c r="A196" s="12"/>
      <c r="C196" s="12"/>
      <c r="D196" s="13"/>
      <c r="F196" s="14"/>
      <c r="G196" s="14"/>
      <c r="H196" s="14"/>
      <c r="I196" s="14"/>
      <c r="J196" s="14"/>
      <c r="K196" s="12"/>
    </row>
    <row r="197" ht="19.5" customHeight="1">
      <c r="A197" s="12"/>
      <c r="C197" s="12"/>
      <c r="D197" s="13"/>
      <c r="F197" s="14"/>
      <c r="G197" s="14"/>
      <c r="H197" s="14"/>
      <c r="I197" s="14"/>
      <c r="J197" s="14"/>
      <c r="K197" s="12"/>
    </row>
    <row r="198" ht="19.5" customHeight="1">
      <c r="A198" s="12"/>
      <c r="C198" s="12"/>
      <c r="D198" s="13"/>
      <c r="F198" s="14"/>
      <c r="G198" s="14"/>
      <c r="H198" s="14"/>
      <c r="I198" s="14"/>
      <c r="J198" s="14"/>
      <c r="K198" s="12"/>
    </row>
    <row r="199" ht="19.5" customHeight="1">
      <c r="A199" s="12"/>
      <c r="C199" s="12"/>
      <c r="D199" s="13"/>
      <c r="F199" s="14"/>
      <c r="G199" s="14"/>
      <c r="H199" s="14"/>
      <c r="I199" s="14"/>
      <c r="J199" s="14"/>
      <c r="K199" s="12"/>
    </row>
    <row r="200" ht="19.5" customHeight="1">
      <c r="A200" s="12"/>
      <c r="C200" s="12"/>
      <c r="D200" s="13"/>
      <c r="F200" s="14"/>
      <c r="G200" s="14"/>
      <c r="H200" s="14"/>
      <c r="I200" s="14"/>
      <c r="J200" s="14"/>
      <c r="K200" s="12"/>
    </row>
    <row r="201" ht="19.5" customHeight="1">
      <c r="A201" s="12"/>
      <c r="C201" s="12"/>
      <c r="D201" s="13"/>
      <c r="F201" s="14"/>
      <c r="G201" s="14"/>
      <c r="H201" s="14"/>
      <c r="I201" s="14"/>
      <c r="J201" s="14"/>
      <c r="K201" s="12"/>
    </row>
    <row r="202" ht="19.5" customHeight="1">
      <c r="A202" s="12"/>
      <c r="C202" s="12"/>
      <c r="D202" s="13"/>
      <c r="F202" s="14"/>
      <c r="G202" s="14"/>
      <c r="H202" s="14"/>
      <c r="I202" s="14"/>
      <c r="J202" s="14"/>
      <c r="K202" s="12"/>
    </row>
    <row r="203" ht="19.5" customHeight="1">
      <c r="A203" s="12"/>
      <c r="C203" s="12"/>
      <c r="D203" s="13"/>
      <c r="F203" s="14"/>
      <c r="G203" s="14"/>
      <c r="H203" s="14"/>
      <c r="I203" s="14"/>
      <c r="J203" s="14"/>
      <c r="K203" s="12"/>
    </row>
    <row r="204" ht="19.5" customHeight="1">
      <c r="A204" s="12"/>
      <c r="C204" s="12"/>
      <c r="D204" s="13"/>
      <c r="F204" s="14"/>
      <c r="G204" s="14"/>
      <c r="H204" s="14"/>
      <c r="I204" s="14"/>
      <c r="J204" s="14"/>
      <c r="K204" s="12"/>
    </row>
    <row r="205" ht="19.5" customHeight="1">
      <c r="A205" s="12"/>
      <c r="C205" s="12"/>
      <c r="D205" s="13"/>
      <c r="F205" s="14"/>
      <c r="G205" s="14"/>
      <c r="H205" s="14"/>
      <c r="I205" s="14"/>
      <c r="J205" s="14"/>
      <c r="K205" s="12"/>
    </row>
    <row r="206" ht="19.5" customHeight="1">
      <c r="A206" s="12"/>
      <c r="C206" s="12"/>
      <c r="D206" s="13"/>
      <c r="F206" s="14"/>
      <c r="G206" s="14"/>
      <c r="H206" s="14"/>
      <c r="I206" s="14"/>
      <c r="J206" s="14"/>
      <c r="K206" s="12"/>
    </row>
    <row r="207" ht="19.5" customHeight="1">
      <c r="A207" s="12"/>
      <c r="C207" s="12"/>
      <c r="D207" s="13"/>
      <c r="F207" s="14"/>
      <c r="G207" s="14"/>
      <c r="H207" s="14"/>
      <c r="I207" s="14"/>
      <c r="J207" s="14"/>
      <c r="K207" s="12"/>
    </row>
    <row r="208" ht="19.5" customHeight="1">
      <c r="A208" s="12"/>
      <c r="C208" s="12"/>
      <c r="D208" s="13"/>
      <c r="F208" s="14"/>
      <c r="G208" s="14"/>
      <c r="H208" s="14"/>
      <c r="I208" s="14"/>
      <c r="J208" s="14"/>
      <c r="K208" s="12"/>
    </row>
    <row r="209" ht="19.5" customHeight="1">
      <c r="A209" s="12"/>
      <c r="C209" s="12"/>
      <c r="D209" s="13"/>
      <c r="F209" s="14"/>
      <c r="G209" s="14"/>
      <c r="H209" s="14"/>
      <c r="I209" s="14"/>
      <c r="J209" s="14"/>
      <c r="K209" s="12"/>
    </row>
    <row r="210" ht="19.5" customHeight="1">
      <c r="A210" s="12"/>
      <c r="C210" s="12"/>
      <c r="D210" s="13"/>
      <c r="F210" s="14"/>
      <c r="G210" s="14"/>
      <c r="H210" s="14"/>
      <c r="I210" s="14"/>
      <c r="J210" s="14"/>
      <c r="K210" s="12"/>
    </row>
    <row r="211" ht="19.5" customHeight="1">
      <c r="A211" s="12"/>
      <c r="C211" s="12"/>
      <c r="D211" s="13"/>
      <c r="F211" s="14"/>
      <c r="G211" s="14"/>
      <c r="H211" s="14"/>
      <c r="I211" s="14"/>
      <c r="J211" s="14"/>
      <c r="K211" s="12"/>
    </row>
    <row r="212" ht="19.5" customHeight="1">
      <c r="A212" s="12"/>
      <c r="C212" s="12"/>
      <c r="D212" s="13"/>
      <c r="F212" s="14"/>
      <c r="G212" s="14"/>
      <c r="H212" s="14"/>
      <c r="I212" s="14"/>
      <c r="J212" s="14"/>
      <c r="K212" s="12"/>
    </row>
    <row r="213" ht="19.5" customHeight="1">
      <c r="A213" s="12"/>
      <c r="C213" s="12"/>
      <c r="D213" s="13"/>
      <c r="F213" s="14"/>
      <c r="G213" s="14"/>
      <c r="H213" s="14"/>
      <c r="I213" s="14"/>
      <c r="J213" s="14"/>
      <c r="K213" s="12"/>
    </row>
    <row r="214" ht="19.5" customHeight="1">
      <c r="A214" s="12"/>
      <c r="C214" s="12"/>
      <c r="D214" s="13"/>
      <c r="F214" s="14"/>
      <c r="G214" s="14"/>
      <c r="H214" s="14"/>
      <c r="I214" s="14"/>
      <c r="J214" s="14"/>
      <c r="K214" s="12"/>
    </row>
    <row r="215" ht="19.5" customHeight="1">
      <c r="A215" s="12"/>
      <c r="C215" s="12"/>
      <c r="D215" s="13"/>
      <c r="F215" s="14"/>
      <c r="G215" s="14"/>
      <c r="H215" s="14"/>
      <c r="I215" s="14"/>
      <c r="J215" s="14"/>
      <c r="K215" s="12"/>
    </row>
    <row r="216" ht="19.5" customHeight="1">
      <c r="A216" s="12"/>
      <c r="C216" s="12"/>
      <c r="D216" s="13"/>
      <c r="F216" s="14"/>
      <c r="G216" s="14"/>
      <c r="H216" s="14"/>
      <c r="I216" s="14"/>
      <c r="J216" s="14"/>
      <c r="K216" s="12"/>
    </row>
    <row r="217" ht="19.5" customHeight="1">
      <c r="A217" s="12"/>
      <c r="C217" s="12"/>
      <c r="D217" s="13"/>
      <c r="F217" s="14"/>
      <c r="G217" s="14"/>
      <c r="H217" s="14"/>
      <c r="I217" s="14"/>
      <c r="J217" s="14"/>
      <c r="K217" s="12"/>
    </row>
    <row r="218" ht="19.5" customHeight="1">
      <c r="A218" s="12"/>
      <c r="C218" s="12"/>
      <c r="D218" s="13"/>
      <c r="F218" s="14"/>
      <c r="G218" s="14"/>
      <c r="H218" s="14"/>
      <c r="I218" s="14"/>
      <c r="J218" s="14"/>
      <c r="K218" s="12"/>
    </row>
    <row r="219" ht="19.5" customHeight="1">
      <c r="A219" s="12"/>
      <c r="C219" s="12"/>
      <c r="D219" s="13"/>
      <c r="F219" s="14"/>
      <c r="G219" s="14"/>
      <c r="H219" s="14"/>
      <c r="I219" s="14"/>
      <c r="J219" s="14"/>
      <c r="K219" s="12"/>
    </row>
    <row r="220" ht="19.5" customHeight="1">
      <c r="A220" s="12"/>
      <c r="C220" s="12"/>
      <c r="D220" s="13"/>
      <c r="F220" s="14"/>
      <c r="G220" s="14"/>
      <c r="H220" s="14"/>
      <c r="I220" s="14"/>
      <c r="J220" s="14"/>
      <c r="K220" s="12"/>
    </row>
    <row r="221" ht="19.5" customHeight="1">
      <c r="A221" s="12"/>
      <c r="C221" s="12"/>
      <c r="D221" s="13"/>
      <c r="F221" s="14"/>
      <c r="G221" s="14"/>
      <c r="H221" s="14"/>
      <c r="I221" s="14"/>
      <c r="J221" s="14"/>
      <c r="K221" s="12"/>
    </row>
    <row r="222" ht="19.5" customHeight="1">
      <c r="A222" s="12"/>
      <c r="C222" s="12"/>
      <c r="D222" s="13"/>
      <c r="F222" s="14"/>
      <c r="G222" s="14"/>
      <c r="H222" s="14"/>
      <c r="I222" s="14"/>
      <c r="J222" s="14"/>
      <c r="K222" s="12"/>
    </row>
    <row r="223" ht="19.5" customHeight="1">
      <c r="A223" s="12"/>
      <c r="C223" s="12"/>
      <c r="D223" s="13"/>
      <c r="F223" s="14"/>
      <c r="G223" s="14"/>
      <c r="H223" s="14"/>
      <c r="I223" s="14"/>
      <c r="J223" s="14"/>
      <c r="K223" s="12"/>
    </row>
    <row r="224" ht="19.5" customHeight="1">
      <c r="A224" s="12"/>
      <c r="C224" s="12"/>
      <c r="D224" s="13"/>
      <c r="F224" s="14"/>
      <c r="G224" s="14"/>
      <c r="H224" s="14"/>
      <c r="I224" s="14"/>
      <c r="J224" s="14"/>
      <c r="K224" s="12"/>
    </row>
    <row r="225" ht="19.5" customHeight="1">
      <c r="A225" s="12"/>
      <c r="C225" s="12"/>
      <c r="D225" s="13"/>
      <c r="F225" s="14"/>
      <c r="G225" s="14"/>
      <c r="H225" s="14"/>
      <c r="I225" s="14"/>
      <c r="J225" s="14"/>
      <c r="K225" s="12"/>
    </row>
    <row r="226" ht="19.5" customHeight="1">
      <c r="A226" s="12"/>
      <c r="C226" s="12"/>
      <c r="D226" s="13"/>
      <c r="F226" s="14"/>
      <c r="G226" s="14"/>
      <c r="H226" s="14"/>
      <c r="I226" s="14"/>
      <c r="J226" s="14"/>
      <c r="K226" s="12"/>
    </row>
    <row r="227" ht="19.5" customHeight="1">
      <c r="A227" s="12"/>
      <c r="C227" s="12"/>
      <c r="D227" s="13"/>
      <c r="F227" s="14"/>
      <c r="G227" s="14"/>
      <c r="H227" s="14"/>
      <c r="I227" s="14"/>
      <c r="J227" s="14"/>
      <c r="K227" s="12"/>
    </row>
    <row r="228" ht="19.5" customHeight="1">
      <c r="A228" s="12"/>
      <c r="C228" s="12"/>
      <c r="D228" s="13"/>
      <c r="F228" s="14"/>
      <c r="G228" s="14"/>
      <c r="H228" s="14"/>
      <c r="I228" s="14"/>
      <c r="J228" s="14"/>
      <c r="K228" s="12"/>
    </row>
    <row r="229" ht="19.5" customHeight="1">
      <c r="A229" s="12"/>
      <c r="C229" s="12"/>
      <c r="D229" s="13"/>
      <c r="F229" s="14"/>
      <c r="G229" s="14"/>
      <c r="H229" s="14"/>
      <c r="I229" s="14"/>
      <c r="J229" s="14"/>
      <c r="K229" s="12"/>
    </row>
    <row r="230" ht="19.5" customHeight="1">
      <c r="A230" s="12"/>
      <c r="C230" s="12"/>
      <c r="D230" s="13"/>
      <c r="F230" s="14"/>
      <c r="G230" s="14"/>
      <c r="H230" s="14"/>
      <c r="I230" s="14"/>
      <c r="J230" s="14"/>
      <c r="K230" s="12"/>
    </row>
    <row r="231" ht="19.5" customHeight="1">
      <c r="A231" s="12"/>
      <c r="C231" s="12"/>
      <c r="D231" s="13"/>
      <c r="F231" s="14"/>
      <c r="G231" s="14"/>
      <c r="H231" s="14"/>
      <c r="I231" s="14"/>
      <c r="J231" s="14"/>
      <c r="K231" s="12"/>
    </row>
    <row r="232" ht="19.5" customHeight="1">
      <c r="A232" s="12"/>
      <c r="C232" s="12"/>
      <c r="D232" s="13"/>
      <c r="F232" s="14"/>
      <c r="G232" s="14"/>
      <c r="H232" s="14"/>
      <c r="I232" s="14"/>
      <c r="J232" s="14"/>
      <c r="K232" s="12"/>
    </row>
    <row r="233" ht="19.5" customHeight="1">
      <c r="A233" s="12"/>
      <c r="C233" s="12"/>
      <c r="D233" s="13"/>
      <c r="F233" s="14"/>
      <c r="G233" s="14"/>
      <c r="H233" s="14"/>
      <c r="I233" s="14"/>
      <c r="J233" s="14"/>
      <c r="K233" s="12"/>
    </row>
    <row r="234" ht="19.5" customHeight="1">
      <c r="A234" s="12"/>
      <c r="C234" s="12"/>
      <c r="D234" s="13"/>
      <c r="F234" s="14"/>
      <c r="G234" s="14"/>
      <c r="H234" s="14"/>
      <c r="I234" s="14"/>
      <c r="J234" s="14"/>
      <c r="K234" s="12"/>
    </row>
    <row r="235" ht="19.5" customHeight="1">
      <c r="A235" s="12"/>
      <c r="C235" s="12"/>
      <c r="D235" s="13"/>
      <c r="F235" s="14"/>
      <c r="G235" s="14"/>
      <c r="H235" s="14"/>
      <c r="I235" s="14"/>
      <c r="J235" s="14"/>
      <c r="K235" s="12"/>
    </row>
    <row r="236" ht="19.5" customHeight="1">
      <c r="A236" s="12"/>
      <c r="C236" s="12"/>
      <c r="D236" s="13"/>
      <c r="F236" s="14"/>
      <c r="G236" s="14"/>
      <c r="H236" s="14"/>
      <c r="I236" s="14"/>
      <c r="J236" s="14"/>
      <c r="K236" s="12"/>
    </row>
    <row r="237" ht="19.5" customHeight="1">
      <c r="A237" s="12"/>
      <c r="C237" s="12"/>
      <c r="D237" s="13"/>
      <c r="F237" s="14"/>
      <c r="G237" s="14"/>
      <c r="H237" s="14"/>
      <c r="I237" s="14"/>
      <c r="J237" s="14"/>
      <c r="K237" s="12"/>
    </row>
    <row r="238" ht="19.5" customHeight="1">
      <c r="A238" s="12"/>
      <c r="C238" s="12"/>
      <c r="D238" s="13"/>
      <c r="F238" s="14"/>
      <c r="G238" s="14"/>
      <c r="H238" s="14"/>
      <c r="I238" s="14"/>
      <c r="J238" s="14"/>
      <c r="K238" s="12"/>
    </row>
    <row r="239" ht="19.5" customHeight="1">
      <c r="A239" s="12"/>
      <c r="C239" s="12"/>
      <c r="D239" s="13"/>
      <c r="F239" s="14"/>
      <c r="G239" s="14"/>
      <c r="H239" s="14"/>
      <c r="I239" s="14"/>
      <c r="J239" s="14"/>
      <c r="K239" s="12"/>
    </row>
    <row r="240" ht="19.5" customHeight="1">
      <c r="A240" s="12"/>
      <c r="C240" s="12"/>
      <c r="D240" s="13"/>
      <c r="F240" s="14"/>
      <c r="G240" s="14"/>
      <c r="H240" s="14"/>
      <c r="I240" s="14"/>
      <c r="J240" s="14"/>
      <c r="K240" s="12"/>
    </row>
    <row r="241" ht="19.5" customHeight="1">
      <c r="A241" s="12"/>
      <c r="C241" s="12"/>
      <c r="D241" s="13"/>
      <c r="F241" s="14"/>
      <c r="G241" s="14"/>
      <c r="H241" s="14"/>
      <c r="I241" s="14"/>
      <c r="J241" s="14"/>
      <c r="K241" s="12"/>
    </row>
    <row r="242" ht="19.5" customHeight="1">
      <c r="A242" s="12"/>
      <c r="C242" s="12"/>
      <c r="D242" s="13"/>
      <c r="F242" s="14"/>
      <c r="G242" s="14"/>
      <c r="H242" s="14"/>
      <c r="I242" s="14"/>
      <c r="J242" s="14"/>
      <c r="K242" s="12"/>
    </row>
    <row r="243" ht="19.5" customHeight="1">
      <c r="A243" s="12"/>
      <c r="C243" s="12"/>
      <c r="D243" s="13"/>
      <c r="F243" s="14"/>
      <c r="G243" s="14"/>
      <c r="H243" s="14"/>
      <c r="I243" s="14"/>
      <c r="J243" s="14"/>
      <c r="K243" s="12"/>
    </row>
    <row r="244" ht="19.5" customHeight="1">
      <c r="A244" s="12"/>
      <c r="C244" s="12"/>
      <c r="D244" s="13"/>
      <c r="F244" s="14"/>
      <c r="G244" s="14"/>
      <c r="H244" s="14"/>
      <c r="I244" s="14"/>
      <c r="J244" s="14"/>
      <c r="K244" s="12"/>
    </row>
    <row r="245" ht="19.5" customHeight="1">
      <c r="A245" s="12"/>
      <c r="C245" s="12"/>
      <c r="D245" s="13"/>
      <c r="F245" s="14"/>
      <c r="G245" s="14"/>
      <c r="H245" s="14"/>
      <c r="I245" s="14"/>
      <c r="J245" s="14"/>
      <c r="K245" s="12"/>
    </row>
    <row r="246" ht="19.5" customHeight="1">
      <c r="A246" s="12"/>
      <c r="C246" s="12"/>
      <c r="D246" s="13"/>
      <c r="F246" s="14"/>
      <c r="G246" s="14"/>
      <c r="H246" s="14"/>
      <c r="I246" s="14"/>
      <c r="J246" s="14"/>
      <c r="K246" s="12"/>
    </row>
    <row r="247" ht="19.5" customHeight="1">
      <c r="A247" s="12"/>
      <c r="C247" s="12"/>
      <c r="D247" s="13"/>
      <c r="F247" s="14"/>
      <c r="G247" s="14"/>
      <c r="H247" s="14"/>
      <c r="I247" s="14"/>
      <c r="J247" s="14"/>
      <c r="K247" s="12"/>
    </row>
    <row r="248" ht="19.5" customHeight="1">
      <c r="A248" s="12"/>
      <c r="C248" s="12"/>
      <c r="D248" s="13"/>
      <c r="F248" s="14"/>
      <c r="G248" s="14"/>
      <c r="H248" s="14"/>
      <c r="I248" s="14"/>
      <c r="J248" s="14"/>
      <c r="K248" s="12"/>
    </row>
    <row r="249" ht="19.5" customHeight="1">
      <c r="A249" s="12"/>
      <c r="C249" s="12"/>
      <c r="D249" s="13"/>
      <c r="F249" s="14"/>
      <c r="G249" s="14"/>
      <c r="H249" s="14"/>
      <c r="I249" s="14"/>
      <c r="J249" s="14"/>
      <c r="K249" s="12"/>
    </row>
    <row r="250" ht="19.5" customHeight="1">
      <c r="A250" s="12"/>
      <c r="C250" s="12"/>
      <c r="D250" s="13"/>
      <c r="F250" s="14"/>
      <c r="G250" s="14"/>
      <c r="H250" s="14"/>
      <c r="I250" s="14"/>
      <c r="J250" s="14"/>
      <c r="K250" s="12"/>
    </row>
    <row r="251" ht="19.5" customHeight="1">
      <c r="A251" s="12"/>
      <c r="C251" s="12"/>
      <c r="D251" s="13"/>
      <c r="F251" s="14"/>
      <c r="G251" s="14"/>
      <c r="H251" s="14"/>
      <c r="I251" s="14"/>
      <c r="J251" s="14"/>
      <c r="K251" s="12"/>
    </row>
    <row r="252" ht="19.5" customHeight="1">
      <c r="A252" s="12"/>
      <c r="C252" s="12"/>
      <c r="D252" s="13"/>
      <c r="F252" s="14"/>
      <c r="G252" s="14"/>
      <c r="H252" s="14"/>
      <c r="I252" s="14"/>
      <c r="J252" s="14"/>
      <c r="K252" s="12"/>
    </row>
    <row r="253" ht="19.5" customHeight="1">
      <c r="A253" s="12"/>
      <c r="C253" s="12"/>
      <c r="D253" s="13"/>
      <c r="F253" s="14"/>
      <c r="G253" s="14"/>
      <c r="H253" s="14"/>
      <c r="I253" s="14"/>
      <c r="J253" s="14"/>
      <c r="K253" s="12"/>
    </row>
    <row r="254" ht="19.5" customHeight="1">
      <c r="A254" s="12"/>
      <c r="C254" s="12"/>
      <c r="D254" s="13"/>
      <c r="F254" s="14"/>
      <c r="G254" s="14"/>
      <c r="H254" s="14"/>
      <c r="I254" s="14"/>
      <c r="J254" s="14"/>
      <c r="K254" s="12"/>
    </row>
    <row r="255" ht="19.5" customHeight="1">
      <c r="A255" s="12"/>
      <c r="C255" s="12"/>
      <c r="D255" s="13"/>
      <c r="F255" s="14"/>
      <c r="G255" s="14"/>
      <c r="H255" s="14"/>
      <c r="I255" s="14"/>
      <c r="J255" s="14"/>
      <c r="K255" s="12"/>
    </row>
    <row r="256" ht="19.5" customHeight="1">
      <c r="A256" s="12"/>
      <c r="C256" s="12"/>
      <c r="D256" s="13"/>
      <c r="F256" s="14"/>
      <c r="G256" s="14"/>
      <c r="H256" s="14"/>
      <c r="I256" s="14"/>
      <c r="J256" s="14"/>
      <c r="K256" s="12"/>
    </row>
    <row r="257" ht="19.5" customHeight="1">
      <c r="A257" s="12"/>
      <c r="C257" s="12"/>
      <c r="D257" s="13"/>
      <c r="F257" s="14"/>
      <c r="G257" s="14"/>
      <c r="H257" s="14"/>
      <c r="I257" s="14"/>
      <c r="J257" s="14"/>
      <c r="K257" s="12"/>
    </row>
    <row r="258" ht="19.5" customHeight="1">
      <c r="A258" s="12"/>
      <c r="C258" s="12"/>
      <c r="D258" s="13"/>
      <c r="F258" s="14"/>
      <c r="G258" s="14"/>
      <c r="H258" s="14"/>
      <c r="I258" s="14"/>
      <c r="J258" s="14"/>
      <c r="K258" s="12"/>
    </row>
    <row r="259" ht="19.5" customHeight="1">
      <c r="A259" s="12"/>
      <c r="C259" s="12"/>
      <c r="D259" s="13"/>
      <c r="F259" s="14"/>
      <c r="G259" s="14"/>
      <c r="H259" s="14"/>
      <c r="I259" s="14"/>
      <c r="J259" s="14"/>
      <c r="K259" s="12"/>
    </row>
    <row r="260" ht="19.5" customHeight="1">
      <c r="A260" s="12"/>
      <c r="C260" s="12"/>
      <c r="D260" s="13"/>
      <c r="F260" s="14"/>
      <c r="G260" s="14"/>
      <c r="H260" s="14"/>
      <c r="I260" s="14"/>
      <c r="J260" s="14"/>
      <c r="K260" s="12"/>
    </row>
    <row r="261" ht="19.5" customHeight="1">
      <c r="A261" s="12"/>
      <c r="C261" s="12"/>
      <c r="D261" s="13"/>
      <c r="F261" s="14"/>
      <c r="G261" s="14"/>
      <c r="H261" s="14"/>
      <c r="I261" s="14"/>
      <c r="J261" s="14"/>
      <c r="K261" s="12"/>
    </row>
    <row r="262" ht="19.5" customHeight="1">
      <c r="A262" s="12"/>
      <c r="C262" s="12"/>
      <c r="D262" s="13"/>
      <c r="F262" s="14"/>
      <c r="G262" s="14"/>
      <c r="H262" s="14"/>
      <c r="I262" s="14"/>
      <c r="J262" s="14"/>
      <c r="K262" s="12"/>
    </row>
    <row r="263" ht="19.5" customHeight="1">
      <c r="A263" s="12"/>
      <c r="C263" s="12"/>
      <c r="D263" s="13"/>
      <c r="F263" s="14"/>
      <c r="G263" s="14"/>
      <c r="H263" s="14"/>
      <c r="I263" s="14"/>
      <c r="J263" s="14"/>
      <c r="K263" s="12"/>
    </row>
    <row r="264" ht="19.5" customHeight="1">
      <c r="A264" s="12"/>
      <c r="C264" s="12"/>
      <c r="D264" s="13"/>
      <c r="F264" s="14"/>
      <c r="G264" s="14"/>
      <c r="H264" s="14"/>
      <c r="I264" s="14"/>
      <c r="J264" s="14"/>
      <c r="K264" s="12"/>
    </row>
    <row r="265" ht="19.5" customHeight="1">
      <c r="A265" s="12"/>
      <c r="C265" s="12"/>
      <c r="D265" s="13"/>
      <c r="F265" s="14"/>
      <c r="G265" s="14"/>
      <c r="H265" s="14"/>
      <c r="I265" s="14"/>
      <c r="J265" s="14"/>
      <c r="K265" s="12"/>
    </row>
    <row r="266" ht="19.5" customHeight="1">
      <c r="A266" s="12"/>
      <c r="C266" s="12"/>
      <c r="D266" s="13"/>
      <c r="F266" s="14"/>
      <c r="G266" s="14"/>
      <c r="H266" s="14"/>
      <c r="I266" s="14"/>
      <c r="J266" s="14"/>
      <c r="K266" s="12"/>
    </row>
    <row r="267" ht="19.5" customHeight="1">
      <c r="A267" s="12"/>
      <c r="C267" s="12"/>
      <c r="D267" s="13"/>
      <c r="F267" s="14"/>
      <c r="G267" s="14"/>
      <c r="H267" s="14"/>
      <c r="I267" s="14"/>
      <c r="J267" s="14"/>
      <c r="K267" s="12"/>
    </row>
    <row r="268" ht="19.5" customHeight="1">
      <c r="A268" s="12"/>
      <c r="C268" s="12"/>
      <c r="D268" s="13"/>
      <c r="F268" s="14"/>
      <c r="G268" s="14"/>
      <c r="H268" s="14"/>
      <c r="I268" s="14"/>
      <c r="J268" s="14"/>
      <c r="K268" s="12"/>
    </row>
    <row r="269" ht="19.5" customHeight="1">
      <c r="A269" s="12"/>
      <c r="C269" s="12"/>
      <c r="D269" s="13"/>
      <c r="F269" s="14"/>
      <c r="G269" s="14"/>
      <c r="H269" s="14"/>
      <c r="I269" s="14"/>
      <c r="J269" s="14"/>
      <c r="K269" s="12"/>
    </row>
    <row r="270" ht="19.5" customHeight="1">
      <c r="A270" s="12"/>
      <c r="C270" s="12"/>
      <c r="D270" s="13"/>
      <c r="F270" s="14"/>
      <c r="G270" s="14"/>
      <c r="H270" s="14"/>
      <c r="I270" s="14"/>
      <c r="J270" s="14"/>
      <c r="K270" s="12"/>
    </row>
    <row r="271" ht="19.5" customHeight="1">
      <c r="A271" s="12"/>
      <c r="C271" s="12"/>
      <c r="D271" s="13"/>
      <c r="F271" s="14"/>
      <c r="G271" s="14"/>
      <c r="H271" s="14"/>
      <c r="I271" s="14"/>
      <c r="J271" s="14"/>
      <c r="K271" s="12"/>
    </row>
    <row r="272" ht="19.5" customHeight="1">
      <c r="A272" s="12"/>
      <c r="C272" s="12"/>
      <c r="D272" s="13"/>
      <c r="F272" s="14"/>
      <c r="G272" s="14"/>
      <c r="H272" s="14"/>
      <c r="I272" s="14"/>
      <c r="J272" s="14"/>
      <c r="K272" s="12"/>
    </row>
    <row r="273" ht="19.5" customHeight="1">
      <c r="A273" s="12"/>
      <c r="C273" s="12"/>
      <c r="D273" s="13"/>
      <c r="F273" s="14"/>
      <c r="G273" s="14"/>
      <c r="H273" s="14"/>
      <c r="I273" s="14"/>
      <c r="J273" s="14"/>
      <c r="K273" s="12"/>
    </row>
    <row r="274" ht="19.5" customHeight="1">
      <c r="A274" s="12"/>
      <c r="C274" s="12"/>
      <c r="D274" s="13"/>
      <c r="F274" s="14"/>
      <c r="G274" s="14"/>
      <c r="H274" s="14"/>
      <c r="I274" s="14"/>
      <c r="J274" s="14"/>
      <c r="K274" s="12"/>
    </row>
    <row r="275" ht="19.5" customHeight="1">
      <c r="A275" s="12"/>
      <c r="C275" s="12"/>
      <c r="D275" s="13"/>
      <c r="F275" s="14"/>
      <c r="G275" s="14"/>
      <c r="H275" s="14"/>
      <c r="I275" s="14"/>
      <c r="J275" s="14"/>
      <c r="K275" s="12"/>
    </row>
    <row r="276" ht="19.5" customHeight="1">
      <c r="A276" s="12"/>
      <c r="C276" s="12"/>
      <c r="D276" s="13"/>
      <c r="F276" s="14"/>
      <c r="G276" s="14"/>
      <c r="H276" s="14"/>
      <c r="I276" s="14"/>
      <c r="J276" s="14"/>
      <c r="K276" s="12"/>
    </row>
    <row r="277" ht="19.5" customHeight="1">
      <c r="A277" s="12"/>
      <c r="C277" s="12"/>
      <c r="D277" s="13"/>
      <c r="F277" s="14"/>
      <c r="G277" s="14"/>
      <c r="H277" s="14"/>
      <c r="I277" s="14"/>
      <c r="J277" s="14"/>
      <c r="K277" s="12"/>
    </row>
    <row r="278" ht="19.5" customHeight="1">
      <c r="A278" s="12"/>
      <c r="C278" s="12"/>
      <c r="D278" s="13"/>
      <c r="F278" s="14"/>
      <c r="G278" s="14"/>
      <c r="H278" s="14"/>
      <c r="I278" s="14"/>
      <c r="J278" s="14"/>
      <c r="K278" s="12"/>
    </row>
    <row r="279" ht="19.5" customHeight="1">
      <c r="A279" s="12"/>
      <c r="C279" s="12"/>
      <c r="D279" s="13"/>
      <c r="F279" s="14"/>
      <c r="G279" s="14"/>
      <c r="H279" s="14"/>
      <c r="I279" s="14"/>
      <c r="J279" s="14"/>
      <c r="K279" s="12"/>
    </row>
    <row r="280" ht="19.5" customHeight="1">
      <c r="A280" s="12"/>
      <c r="C280" s="12"/>
      <c r="D280" s="13"/>
      <c r="F280" s="14"/>
      <c r="G280" s="14"/>
      <c r="H280" s="14"/>
      <c r="I280" s="14"/>
      <c r="J280" s="14"/>
      <c r="K280" s="12"/>
    </row>
    <row r="281" ht="19.5" customHeight="1">
      <c r="A281" s="12"/>
      <c r="C281" s="12"/>
      <c r="D281" s="13"/>
      <c r="F281" s="14"/>
      <c r="G281" s="14"/>
      <c r="H281" s="14"/>
      <c r="I281" s="14"/>
      <c r="J281" s="14"/>
      <c r="K281" s="12"/>
    </row>
    <row r="282" ht="19.5" customHeight="1">
      <c r="A282" s="12"/>
      <c r="C282" s="12"/>
      <c r="D282" s="13"/>
      <c r="F282" s="14"/>
      <c r="G282" s="14"/>
      <c r="H282" s="14"/>
      <c r="I282" s="14"/>
      <c r="J282" s="14"/>
      <c r="K282" s="12"/>
    </row>
    <row r="283" ht="19.5" customHeight="1">
      <c r="A283" s="12"/>
      <c r="C283" s="12"/>
      <c r="D283" s="13"/>
      <c r="F283" s="14"/>
      <c r="G283" s="14"/>
      <c r="H283" s="14"/>
      <c r="I283" s="14"/>
      <c r="J283" s="14"/>
      <c r="K283" s="12"/>
    </row>
    <row r="284" ht="19.5" customHeight="1">
      <c r="A284" s="12"/>
      <c r="C284" s="12"/>
      <c r="D284" s="13"/>
      <c r="F284" s="14"/>
      <c r="G284" s="14"/>
      <c r="H284" s="14"/>
      <c r="I284" s="14"/>
      <c r="J284" s="14"/>
      <c r="K284" s="12"/>
    </row>
    <row r="285" ht="19.5" customHeight="1">
      <c r="A285" s="12"/>
      <c r="C285" s="12"/>
      <c r="D285" s="13"/>
      <c r="F285" s="14"/>
      <c r="G285" s="14"/>
      <c r="H285" s="14"/>
      <c r="I285" s="14"/>
      <c r="J285" s="14"/>
      <c r="K285" s="12"/>
    </row>
    <row r="286" ht="19.5" customHeight="1">
      <c r="A286" s="12"/>
      <c r="C286" s="12"/>
      <c r="D286" s="13"/>
      <c r="F286" s="14"/>
      <c r="G286" s="14"/>
      <c r="H286" s="14"/>
      <c r="I286" s="14"/>
      <c r="J286" s="14"/>
      <c r="K286" s="12"/>
    </row>
    <row r="287" ht="19.5" customHeight="1">
      <c r="A287" s="12"/>
      <c r="C287" s="12"/>
      <c r="D287" s="13"/>
      <c r="F287" s="14"/>
      <c r="G287" s="14"/>
      <c r="H287" s="14"/>
      <c r="I287" s="14"/>
      <c r="J287" s="14"/>
      <c r="K287" s="12"/>
    </row>
    <row r="288" ht="19.5" customHeight="1">
      <c r="A288" s="12"/>
      <c r="C288" s="12"/>
      <c r="D288" s="13"/>
      <c r="F288" s="14"/>
      <c r="G288" s="14"/>
      <c r="H288" s="14"/>
      <c r="I288" s="14"/>
      <c r="J288" s="14"/>
      <c r="K288" s="12"/>
    </row>
    <row r="289" ht="19.5" customHeight="1">
      <c r="A289" s="12"/>
      <c r="C289" s="12"/>
      <c r="D289" s="13"/>
      <c r="F289" s="14"/>
      <c r="G289" s="14"/>
      <c r="H289" s="14"/>
      <c r="I289" s="14"/>
      <c r="J289" s="14"/>
      <c r="K289" s="12"/>
    </row>
    <row r="290" ht="19.5" customHeight="1">
      <c r="A290" s="12"/>
      <c r="C290" s="12"/>
      <c r="D290" s="13"/>
      <c r="F290" s="14"/>
      <c r="G290" s="14"/>
      <c r="H290" s="14"/>
      <c r="I290" s="14"/>
      <c r="J290" s="14"/>
      <c r="K290" s="12"/>
    </row>
    <row r="291" ht="19.5" customHeight="1">
      <c r="A291" s="12"/>
      <c r="C291" s="12"/>
      <c r="D291" s="13"/>
      <c r="F291" s="14"/>
      <c r="G291" s="14"/>
      <c r="H291" s="14"/>
      <c r="I291" s="14"/>
      <c r="J291" s="14"/>
      <c r="K291" s="12"/>
    </row>
    <row r="292" ht="19.5" customHeight="1">
      <c r="A292" s="12"/>
      <c r="C292" s="12"/>
      <c r="D292" s="13"/>
      <c r="F292" s="14"/>
      <c r="G292" s="14"/>
      <c r="H292" s="14"/>
      <c r="I292" s="14"/>
      <c r="J292" s="14"/>
      <c r="K292" s="12"/>
    </row>
    <row r="293" ht="19.5" customHeight="1">
      <c r="A293" s="12"/>
      <c r="C293" s="12"/>
      <c r="D293" s="13"/>
      <c r="F293" s="14"/>
      <c r="G293" s="14"/>
      <c r="H293" s="14"/>
      <c r="I293" s="14"/>
      <c r="J293" s="14"/>
      <c r="K293" s="12"/>
    </row>
    <row r="294" ht="19.5" customHeight="1">
      <c r="A294" s="12"/>
      <c r="C294" s="12"/>
      <c r="D294" s="13"/>
      <c r="F294" s="14"/>
      <c r="G294" s="14"/>
      <c r="H294" s="14"/>
      <c r="I294" s="14"/>
      <c r="J294" s="14"/>
      <c r="K294" s="12"/>
    </row>
    <row r="295" ht="19.5" customHeight="1">
      <c r="A295" s="12"/>
      <c r="C295" s="12"/>
      <c r="D295" s="13"/>
      <c r="F295" s="14"/>
      <c r="G295" s="14"/>
      <c r="H295" s="14"/>
      <c r="I295" s="14"/>
      <c r="J295" s="14"/>
      <c r="K295" s="12"/>
    </row>
    <row r="296" ht="19.5" customHeight="1">
      <c r="A296" s="12"/>
      <c r="C296" s="12"/>
      <c r="D296" s="13"/>
      <c r="F296" s="14"/>
      <c r="G296" s="14"/>
      <c r="H296" s="14"/>
      <c r="I296" s="14"/>
      <c r="J296" s="14"/>
      <c r="K296" s="12"/>
    </row>
    <row r="297" ht="19.5" customHeight="1">
      <c r="A297" s="12"/>
      <c r="C297" s="12"/>
      <c r="D297" s="13"/>
      <c r="F297" s="14"/>
      <c r="G297" s="14"/>
      <c r="H297" s="14"/>
      <c r="I297" s="14"/>
      <c r="J297" s="14"/>
      <c r="K297" s="12"/>
    </row>
    <row r="298" ht="19.5" customHeight="1">
      <c r="A298" s="12"/>
      <c r="C298" s="12"/>
      <c r="D298" s="13"/>
      <c r="F298" s="14"/>
      <c r="G298" s="14"/>
      <c r="H298" s="14"/>
      <c r="I298" s="14"/>
      <c r="J298" s="14"/>
      <c r="K298" s="12"/>
    </row>
    <row r="299" ht="19.5" customHeight="1">
      <c r="A299" s="12"/>
      <c r="C299" s="12"/>
      <c r="D299" s="13"/>
      <c r="F299" s="14"/>
      <c r="G299" s="14"/>
      <c r="H299" s="14"/>
      <c r="I299" s="14"/>
      <c r="J299" s="14"/>
      <c r="K299" s="12"/>
    </row>
    <row r="300" ht="19.5" customHeight="1">
      <c r="A300" s="12"/>
      <c r="C300" s="12"/>
      <c r="D300" s="13"/>
      <c r="F300" s="14"/>
      <c r="G300" s="14"/>
      <c r="H300" s="14"/>
      <c r="I300" s="14"/>
      <c r="J300" s="14"/>
      <c r="K300" s="12"/>
    </row>
    <row r="301" ht="19.5" customHeight="1">
      <c r="A301" s="12"/>
      <c r="C301" s="12"/>
      <c r="D301" s="13"/>
      <c r="F301" s="14"/>
      <c r="G301" s="14"/>
      <c r="H301" s="14"/>
      <c r="I301" s="14"/>
      <c r="J301" s="14"/>
      <c r="K301" s="12"/>
    </row>
    <row r="302" ht="19.5" customHeight="1">
      <c r="A302" s="12"/>
      <c r="C302" s="12"/>
      <c r="D302" s="13"/>
      <c r="F302" s="14"/>
      <c r="G302" s="14"/>
      <c r="H302" s="14"/>
      <c r="I302" s="14"/>
      <c r="J302" s="14"/>
      <c r="K302" s="12"/>
    </row>
    <row r="303" ht="19.5" customHeight="1">
      <c r="A303" s="12"/>
      <c r="C303" s="12"/>
      <c r="D303" s="13"/>
      <c r="F303" s="14"/>
      <c r="G303" s="14"/>
      <c r="H303" s="14"/>
      <c r="I303" s="14"/>
      <c r="J303" s="14"/>
      <c r="K303" s="12"/>
    </row>
    <row r="304" ht="19.5" customHeight="1">
      <c r="A304" s="12"/>
      <c r="C304" s="12"/>
      <c r="D304" s="13"/>
      <c r="F304" s="14"/>
      <c r="G304" s="14"/>
      <c r="H304" s="14"/>
      <c r="I304" s="14"/>
      <c r="J304" s="14"/>
      <c r="K304" s="12"/>
    </row>
    <row r="305" ht="19.5" customHeight="1">
      <c r="A305" s="12"/>
      <c r="C305" s="12"/>
      <c r="D305" s="13"/>
      <c r="F305" s="14"/>
      <c r="G305" s="14"/>
      <c r="H305" s="14"/>
      <c r="I305" s="14"/>
      <c r="J305" s="14"/>
      <c r="K305" s="12"/>
    </row>
    <row r="306" ht="19.5" customHeight="1">
      <c r="A306" s="12"/>
      <c r="C306" s="12"/>
      <c r="D306" s="13"/>
      <c r="F306" s="14"/>
      <c r="G306" s="14"/>
      <c r="H306" s="14"/>
      <c r="I306" s="14"/>
      <c r="J306" s="14"/>
      <c r="K306" s="12"/>
    </row>
    <row r="307" ht="19.5" customHeight="1">
      <c r="A307" s="12"/>
      <c r="C307" s="12"/>
      <c r="D307" s="13"/>
      <c r="F307" s="14"/>
      <c r="G307" s="14"/>
      <c r="H307" s="14"/>
      <c r="I307" s="14"/>
      <c r="J307" s="14"/>
      <c r="K307" s="12"/>
    </row>
    <row r="308" ht="19.5" customHeight="1">
      <c r="A308" s="12"/>
      <c r="C308" s="12"/>
      <c r="D308" s="13"/>
      <c r="F308" s="14"/>
      <c r="G308" s="14"/>
      <c r="H308" s="14"/>
      <c r="I308" s="14"/>
      <c r="J308" s="14"/>
      <c r="K308" s="12"/>
    </row>
    <row r="309" ht="19.5" customHeight="1">
      <c r="A309" s="12"/>
      <c r="C309" s="12"/>
      <c r="D309" s="13"/>
      <c r="F309" s="14"/>
      <c r="G309" s="14"/>
      <c r="H309" s="14"/>
      <c r="I309" s="14"/>
      <c r="J309" s="14"/>
      <c r="K309" s="12"/>
    </row>
    <row r="310" ht="19.5" customHeight="1">
      <c r="A310" s="12"/>
      <c r="C310" s="12"/>
      <c r="D310" s="13"/>
      <c r="F310" s="14"/>
      <c r="G310" s="14"/>
      <c r="H310" s="14"/>
      <c r="I310" s="14"/>
      <c r="J310" s="14"/>
      <c r="K310" s="12"/>
    </row>
    <row r="311" ht="19.5" customHeight="1">
      <c r="A311" s="12"/>
      <c r="C311" s="12"/>
      <c r="D311" s="13"/>
      <c r="F311" s="14"/>
      <c r="G311" s="14"/>
      <c r="H311" s="14"/>
      <c r="I311" s="14"/>
      <c r="J311" s="14"/>
      <c r="K311" s="12"/>
    </row>
    <row r="312" ht="19.5" customHeight="1">
      <c r="A312" s="12"/>
      <c r="C312" s="12"/>
      <c r="D312" s="13"/>
      <c r="F312" s="14"/>
      <c r="G312" s="14"/>
      <c r="H312" s="14"/>
      <c r="I312" s="14"/>
      <c r="J312" s="14"/>
      <c r="K312" s="12"/>
    </row>
    <row r="313" ht="19.5" customHeight="1">
      <c r="A313" s="12"/>
      <c r="C313" s="12"/>
      <c r="D313" s="13"/>
      <c r="F313" s="14"/>
      <c r="G313" s="14"/>
      <c r="H313" s="14"/>
      <c r="I313" s="14"/>
      <c r="J313" s="14"/>
      <c r="K313" s="12"/>
    </row>
    <row r="314" ht="19.5" customHeight="1">
      <c r="A314" s="12"/>
      <c r="C314" s="12"/>
      <c r="D314" s="13"/>
      <c r="F314" s="14"/>
      <c r="G314" s="14"/>
      <c r="H314" s="14"/>
      <c r="I314" s="14"/>
      <c r="J314" s="14"/>
      <c r="K314" s="12"/>
    </row>
    <row r="315" ht="19.5" customHeight="1">
      <c r="A315" s="12"/>
      <c r="C315" s="12"/>
      <c r="D315" s="13"/>
      <c r="F315" s="14"/>
      <c r="G315" s="14"/>
      <c r="H315" s="14"/>
      <c r="I315" s="14"/>
      <c r="J315" s="14"/>
      <c r="K315" s="12"/>
    </row>
    <row r="316" ht="19.5" customHeight="1">
      <c r="A316" s="12"/>
      <c r="C316" s="12"/>
      <c r="D316" s="13"/>
      <c r="F316" s="14"/>
      <c r="G316" s="14"/>
      <c r="H316" s="14"/>
      <c r="I316" s="14"/>
      <c r="J316" s="14"/>
      <c r="K316" s="12"/>
    </row>
    <row r="317" ht="19.5" customHeight="1">
      <c r="A317" s="12"/>
      <c r="C317" s="12"/>
      <c r="D317" s="13"/>
      <c r="F317" s="14"/>
      <c r="G317" s="14"/>
      <c r="H317" s="14"/>
      <c r="I317" s="14"/>
      <c r="J317" s="14"/>
      <c r="K317" s="12"/>
    </row>
    <row r="318" ht="19.5" customHeight="1">
      <c r="A318" s="12"/>
      <c r="C318" s="12"/>
      <c r="D318" s="13"/>
      <c r="F318" s="14"/>
      <c r="G318" s="14"/>
      <c r="H318" s="14"/>
      <c r="I318" s="14"/>
      <c r="J318" s="14"/>
      <c r="K318" s="12"/>
    </row>
    <row r="319" ht="19.5" customHeight="1">
      <c r="A319" s="12"/>
      <c r="C319" s="12"/>
      <c r="D319" s="13"/>
      <c r="F319" s="14"/>
      <c r="G319" s="14"/>
      <c r="H319" s="14"/>
      <c r="I319" s="14"/>
      <c r="J319" s="14"/>
      <c r="K319" s="12"/>
    </row>
    <row r="320" ht="19.5" customHeight="1">
      <c r="A320" s="12"/>
      <c r="C320" s="12"/>
      <c r="D320" s="13"/>
      <c r="F320" s="14"/>
      <c r="G320" s="14"/>
      <c r="H320" s="14"/>
      <c r="I320" s="14"/>
      <c r="J320" s="14"/>
      <c r="K320" s="12"/>
    </row>
    <row r="321" ht="19.5" customHeight="1">
      <c r="A321" s="12"/>
      <c r="C321" s="12"/>
      <c r="D321" s="13"/>
      <c r="F321" s="14"/>
      <c r="G321" s="14"/>
      <c r="H321" s="14"/>
      <c r="I321" s="14"/>
      <c r="J321" s="14"/>
      <c r="K321" s="12"/>
    </row>
    <row r="322" ht="19.5" customHeight="1">
      <c r="A322" s="12"/>
      <c r="C322" s="12"/>
      <c r="D322" s="13"/>
      <c r="F322" s="14"/>
      <c r="G322" s="14"/>
      <c r="H322" s="14"/>
      <c r="I322" s="14"/>
      <c r="J322" s="14"/>
      <c r="K322" s="12"/>
    </row>
    <row r="323" ht="19.5" customHeight="1">
      <c r="A323" s="12"/>
      <c r="C323" s="12"/>
      <c r="D323" s="13"/>
      <c r="F323" s="14"/>
      <c r="G323" s="14"/>
      <c r="H323" s="14"/>
      <c r="I323" s="14"/>
      <c r="J323" s="14"/>
      <c r="K323" s="12"/>
    </row>
    <row r="324" ht="19.5" customHeight="1">
      <c r="A324" s="12"/>
      <c r="C324" s="12"/>
      <c r="D324" s="13"/>
      <c r="F324" s="14"/>
      <c r="G324" s="14"/>
      <c r="H324" s="14"/>
      <c r="I324" s="14"/>
      <c r="J324" s="14"/>
      <c r="K324" s="12"/>
    </row>
    <row r="325" ht="19.5" customHeight="1">
      <c r="A325" s="12"/>
      <c r="C325" s="12"/>
      <c r="D325" s="13"/>
      <c r="F325" s="14"/>
      <c r="G325" s="14"/>
      <c r="H325" s="14"/>
      <c r="I325" s="14"/>
      <c r="J325" s="14"/>
      <c r="K325" s="12"/>
    </row>
    <row r="326" ht="19.5" customHeight="1">
      <c r="A326" s="12"/>
      <c r="C326" s="12"/>
      <c r="D326" s="13"/>
      <c r="F326" s="14"/>
      <c r="G326" s="14"/>
      <c r="H326" s="14"/>
      <c r="I326" s="14"/>
      <c r="J326" s="14"/>
      <c r="K326" s="12"/>
    </row>
    <row r="327" ht="19.5" customHeight="1">
      <c r="A327" s="12"/>
      <c r="C327" s="12"/>
      <c r="D327" s="13"/>
      <c r="F327" s="14"/>
      <c r="G327" s="14"/>
      <c r="H327" s="14"/>
      <c r="I327" s="14"/>
      <c r="J327" s="14"/>
      <c r="K327" s="12"/>
    </row>
    <row r="328" ht="19.5" customHeight="1">
      <c r="A328" s="12"/>
      <c r="C328" s="12"/>
      <c r="D328" s="13"/>
      <c r="F328" s="14"/>
      <c r="G328" s="14"/>
      <c r="H328" s="14"/>
      <c r="I328" s="14"/>
      <c r="J328" s="14"/>
      <c r="K328" s="12"/>
    </row>
    <row r="329" ht="19.5" customHeight="1">
      <c r="A329" s="12"/>
      <c r="C329" s="12"/>
      <c r="D329" s="13"/>
      <c r="F329" s="14"/>
      <c r="G329" s="14"/>
      <c r="H329" s="14"/>
      <c r="I329" s="14"/>
      <c r="J329" s="14"/>
      <c r="K329" s="12"/>
    </row>
    <row r="330" ht="19.5" customHeight="1">
      <c r="A330" s="12"/>
      <c r="C330" s="12"/>
      <c r="D330" s="13"/>
      <c r="F330" s="14"/>
      <c r="G330" s="14"/>
      <c r="H330" s="14"/>
      <c r="I330" s="14"/>
      <c r="J330" s="14"/>
      <c r="K330" s="12"/>
    </row>
    <row r="331" ht="19.5" customHeight="1">
      <c r="A331" s="12"/>
      <c r="C331" s="12"/>
      <c r="D331" s="13"/>
      <c r="F331" s="14"/>
      <c r="G331" s="14"/>
      <c r="H331" s="14"/>
      <c r="I331" s="14"/>
      <c r="J331" s="14"/>
      <c r="K331" s="12"/>
    </row>
    <row r="332" ht="19.5" customHeight="1">
      <c r="A332" s="12"/>
      <c r="C332" s="12"/>
      <c r="D332" s="13"/>
      <c r="F332" s="14"/>
      <c r="G332" s="14"/>
      <c r="H332" s="14"/>
      <c r="I332" s="14"/>
      <c r="J332" s="14"/>
      <c r="K332" s="12"/>
    </row>
    <row r="333" ht="19.5" customHeight="1">
      <c r="A333" s="12"/>
      <c r="C333" s="12"/>
      <c r="D333" s="13"/>
      <c r="F333" s="14"/>
      <c r="G333" s="14"/>
      <c r="H333" s="14"/>
      <c r="I333" s="14"/>
      <c r="J333" s="14"/>
      <c r="K333" s="12"/>
    </row>
    <row r="334" ht="19.5" customHeight="1">
      <c r="A334" s="12"/>
      <c r="C334" s="12"/>
      <c r="D334" s="13"/>
      <c r="F334" s="14"/>
      <c r="G334" s="14"/>
      <c r="H334" s="14"/>
      <c r="I334" s="14"/>
      <c r="J334" s="14"/>
      <c r="K334" s="12"/>
    </row>
    <row r="335" ht="19.5" customHeight="1">
      <c r="A335" s="12"/>
      <c r="C335" s="12"/>
      <c r="D335" s="13"/>
      <c r="F335" s="14"/>
      <c r="G335" s="14"/>
      <c r="H335" s="14"/>
      <c r="I335" s="14"/>
      <c r="J335" s="14"/>
      <c r="K335" s="12"/>
    </row>
    <row r="336" ht="19.5" customHeight="1">
      <c r="A336" s="12"/>
      <c r="C336" s="12"/>
      <c r="D336" s="13"/>
      <c r="F336" s="14"/>
      <c r="G336" s="14"/>
      <c r="H336" s="14"/>
      <c r="I336" s="14"/>
      <c r="J336" s="14"/>
      <c r="K336" s="12"/>
    </row>
    <row r="337" ht="19.5" customHeight="1">
      <c r="A337" s="12"/>
      <c r="C337" s="12"/>
      <c r="D337" s="13"/>
      <c r="F337" s="14"/>
      <c r="G337" s="14"/>
      <c r="H337" s="14"/>
      <c r="I337" s="14"/>
      <c r="J337" s="14"/>
      <c r="K337" s="12"/>
    </row>
    <row r="338" ht="19.5" customHeight="1">
      <c r="A338" s="12"/>
      <c r="C338" s="12"/>
      <c r="D338" s="13"/>
      <c r="F338" s="14"/>
      <c r="G338" s="14"/>
      <c r="H338" s="14"/>
      <c r="I338" s="14"/>
      <c r="J338" s="14"/>
      <c r="K338" s="12"/>
    </row>
    <row r="339" ht="19.5" customHeight="1">
      <c r="A339" s="12"/>
      <c r="C339" s="12"/>
      <c r="D339" s="13"/>
      <c r="F339" s="14"/>
      <c r="G339" s="14"/>
      <c r="H339" s="14"/>
      <c r="I339" s="14"/>
      <c r="J339" s="14"/>
      <c r="K339" s="12"/>
    </row>
    <row r="340" ht="19.5" customHeight="1">
      <c r="A340" s="12"/>
      <c r="C340" s="12"/>
      <c r="D340" s="13"/>
      <c r="F340" s="14"/>
      <c r="G340" s="14"/>
      <c r="H340" s="14"/>
      <c r="I340" s="14"/>
      <c r="J340" s="14"/>
      <c r="K340" s="12"/>
    </row>
    <row r="341" ht="19.5" customHeight="1">
      <c r="A341" s="12"/>
      <c r="C341" s="12"/>
      <c r="D341" s="13"/>
      <c r="F341" s="14"/>
      <c r="G341" s="14"/>
      <c r="H341" s="14"/>
      <c r="I341" s="14"/>
      <c r="J341" s="14"/>
      <c r="K341" s="12"/>
    </row>
    <row r="342" ht="19.5" customHeight="1">
      <c r="A342" s="12"/>
      <c r="C342" s="12"/>
      <c r="D342" s="13"/>
      <c r="F342" s="14"/>
      <c r="G342" s="14"/>
      <c r="H342" s="14"/>
      <c r="I342" s="14"/>
      <c r="J342" s="14"/>
      <c r="K342" s="12"/>
    </row>
    <row r="343" ht="19.5" customHeight="1">
      <c r="A343" s="12"/>
      <c r="C343" s="12"/>
      <c r="D343" s="13"/>
      <c r="F343" s="14"/>
      <c r="G343" s="14"/>
      <c r="H343" s="14"/>
      <c r="I343" s="14"/>
      <c r="J343" s="14"/>
      <c r="K343" s="12"/>
    </row>
    <row r="344" ht="19.5" customHeight="1">
      <c r="A344" s="12"/>
      <c r="C344" s="12"/>
      <c r="D344" s="13"/>
      <c r="F344" s="14"/>
      <c r="G344" s="14"/>
      <c r="H344" s="14"/>
      <c r="I344" s="14"/>
      <c r="J344" s="14"/>
      <c r="K344" s="12"/>
    </row>
    <row r="345" ht="19.5" customHeight="1">
      <c r="A345" s="12"/>
      <c r="C345" s="12"/>
      <c r="D345" s="13"/>
      <c r="F345" s="14"/>
      <c r="G345" s="14"/>
      <c r="H345" s="14"/>
      <c r="I345" s="14"/>
      <c r="J345" s="14"/>
      <c r="K345" s="12"/>
    </row>
    <row r="346" ht="19.5" customHeight="1">
      <c r="A346" s="12"/>
      <c r="C346" s="12"/>
      <c r="D346" s="13"/>
      <c r="F346" s="14"/>
      <c r="G346" s="14"/>
      <c r="H346" s="14"/>
      <c r="I346" s="14"/>
      <c r="J346" s="14"/>
      <c r="K346" s="12"/>
    </row>
    <row r="347" ht="19.5" customHeight="1">
      <c r="A347" s="12"/>
      <c r="C347" s="12"/>
      <c r="D347" s="13"/>
      <c r="F347" s="14"/>
      <c r="G347" s="14"/>
      <c r="H347" s="14"/>
      <c r="I347" s="14"/>
      <c r="J347" s="14"/>
      <c r="K347" s="12"/>
    </row>
    <row r="348" ht="19.5" customHeight="1">
      <c r="A348" s="12"/>
      <c r="C348" s="12"/>
      <c r="D348" s="13"/>
      <c r="F348" s="14"/>
      <c r="G348" s="14"/>
      <c r="H348" s="14"/>
      <c r="I348" s="14"/>
      <c r="J348" s="14"/>
      <c r="K348" s="12"/>
    </row>
    <row r="349" ht="19.5" customHeight="1">
      <c r="A349" s="12"/>
      <c r="C349" s="12"/>
      <c r="D349" s="13"/>
      <c r="F349" s="14"/>
      <c r="G349" s="14"/>
      <c r="H349" s="14"/>
      <c r="I349" s="14"/>
      <c r="J349" s="14"/>
      <c r="K349" s="12"/>
    </row>
    <row r="350" ht="19.5" customHeight="1">
      <c r="A350" s="12"/>
      <c r="C350" s="12"/>
      <c r="D350" s="13"/>
      <c r="F350" s="14"/>
      <c r="G350" s="14"/>
      <c r="H350" s="14"/>
      <c r="I350" s="14"/>
      <c r="J350" s="14"/>
      <c r="K350" s="12"/>
    </row>
    <row r="351" ht="19.5" customHeight="1">
      <c r="A351" s="12"/>
      <c r="C351" s="12"/>
      <c r="D351" s="13"/>
      <c r="F351" s="14"/>
      <c r="G351" s="14"/>
      <c r="H351" s="14"/>
      <c r="I351" s="14"/>
      <c r="J351" s="14"/>
      <c r="K351" s="12"/>
    </row>
    <row r="352" ht="19.5" customHeight="1">
      <c r="A352" s="12"/>
      <c r="C352" s="12"/>
      <c r="D352" s="13"/>
      <c r="F352" s="14"/>
      <c r="G352" s="14"/>
      <c r="H352" s="14"/>
      <c r="I352" s="14"/>
      <c r="J352" s="14"/>
      <c r="K352" s="12"/>
    </row>
    <row r="353" ht="19.5" customHeight="1">
      <c r="A353" s="12"/>
      <c r="C353" s="12"/>
      <c r="D353" s="13"/>
      <c r="F353" s="14"/>
      <c r="G353" s="14"/>
      <c r="H353" s="14"/>
      <c r="I353" s="14"/>
      <c r="J353" s="14"/>
      <c r="K353" s="12"/>
    </row>
    <row r="354" ht="19.5" customHeight="1">
      <c r="A354" s="12"/>
      <c r="C354" s="12"/>
      <c r="D354" s="13"/>
      <c r="F354" s="14"/>
      <c r="G354" s="14"/>
      <c r="H354" s="14"/>
      <c r="I354" s="14"/>
      <c r="J354" s="14"/>
      <c r="K354" s="12"/>
    </row>
    <row r="355" ht="19.5" customHeight="1">
      <c r="A355" s="12"/>
      <c r="C355" s="12"/>
      <c r="D355" s="13"/>
      <c r="F355" s="14"/>
      <c r="G355" s="14"/>
      <c r="H355" s="14"/>
      <c r="I355" s="14"/>
      <c r="J355" s="14"/>
      <c r="K355" s="12"/>
    </row>
    <row r="356" ht="19.5" customHeight="1">
      <c r="A356" s="12"/>
      <c r="C356" s="12"/>
      <c r="D356" s="13"/>
      <c r="F356" s="14"/>
      <c r="G356" s="14"/>
      <c r="H356" s="14"/>
      <c r="I356" s="14"/>
      <c r="J356" s="14"/>
      <c r="K356" s="12"/>
    </row>
    <row r="357" ht="19.5" customHeight="1">
      <c r="A357" s="12"/>
      <c r="C357" s="12"/>
      <c r="D357" s="13"/>
      <c r="F357" s="14"/>
      <c r="G357" s="14"/>
      <c r="H357" s="14"/>
      <c r="I357" s="14"/>
      <c r="J357" s="14"/>
      <c r="K357" s="12"/>
    </row>
    <row r="358" ht="19.5" customHeight="1">
      <c r="A358" s="12"/>
      <c r="C358" s="12"/>
      <c r="D358" s="13"/>
      <c r="F358" s="14"/>
      <c r="G358" s="14"/>
      <c r="H358" s="14"/>
      <c r="I358" s="14"/>
      <c r="J358" s="14"/>
      <c r="K358" s="12"/>
    </row>
    <row r="359" ht="19.5" customHeight="1">
      <c r="A359" s="12"/>
      <c r="C359" s="12"/>
      <c r="D359" s="13"/>
      <c r="F359" s="14"/>
      <c r="G359" s="14"/>
      <c r="H359" s="14"/>
      <c r="I359" s="14"/>
      <c r="J359" s="14"/>
      <c r="K359" s="12"/>
    </row>
    <row r="360" ht="19.5" customHeight="1">
      <c r="A360" s="12"/>
      <c r="C360" s="12"/>
      <c r="D360" s="13"/>
      <c r="F360" s="14"/>
      <c r="G360" s="14"/>
      <c r="H360" s="14"/>
      <c r="I360" s="14"/>
      <c r="J360" s="14"/>
      <c r="K360" s="12"/>
    </row>
    <row r="361" ht="19.5" customHeight="1">
      <c r="A361" s="12"/>
      <c r="C361" s="12"/>
      <c r="D361" s="13"/>
      <c r="F361" s="14"/>
      <c r="G361" s="14"/>
      <c r="H361" s="14"/>
      <c r="I361" s="14"/>
      <c r="J361" s="14"/>
      <c r="K361" s="12"/>
    </row>
    <row r="362" ht="19.5" customHeight="1">
      <c r="A362" s="12"/>
      <c r="C362" s="12"/>
      <c r="D362" s="13"/>
      <c r="F362" s="14"/>
      <c r="G362" s="14"/>
      <c r="H362" s="14"/>
      <c r="I362" s="14"/>
      <c r="J362" s="14"/>
      <c r="K362" s="12"/>
    </row>
    <row r="363" ht="19.5" customHeight="1">
      <c r="A363" s="12"/>
      <c r="C363" s="12"/>
      <c r="D363" s="13"/>
      <c r="F363" s="14"/>
      <c r="G363" s="14"/>
      <c r="H363" s="14"/>
      <c r="I363" s="14"/>
      <c r="J363" s="14"/>
      <c r="K363" s="12"/>
    </row>
    <row r="364" ht="19.5" customHeight="1">
      <c r="A364" s="12"/>
      <c r="C364" s="12"/>
      <c r="D364" s="13"/>
      <c r="F364" s="14"/>
      <c r="G364" s="14"/>
      <c r="H364" s="14"/>
      <c r="I364" s="14"/>
      <c r="J364" s="14"/>
      <c r="K364" s="12"/>
    </row>
    <row r="365" ht="19.5" customHeight="1">
      <c r="A365" s="12"/>
      <c r="C365" s="12"/>
      <c r="D365" s="13"/>
      <c r="F365" s="14"/>
      <c r="G365" s="14"/>
      <c r="H365" s="14"/>
      <c r="I365" s="14"/>
      <c r="J365" s="14"/>
      <c r="K365" s="12"/>
    </row>
    <row r="366" ht="19.5" customHeight="1">
      <c r="A366" s="12"/>
      <c r="C366" s="12"/>
      <c r="D366" s="13"/>
      <c r="F366" s="14"/>
      <c r="G366" s="14"/>
      <c r="H366" s="14"/>
      <c r="I366" s="14"/>
      <c r="J366" s="14"/>
      <c r="K366" s="12"/>
    </row>
    <row r="367" ht="19.5" customHeight="1">
      <c r="A367" s="12"/>
      <c r="C367" s="12"/>
      <c r="D367" s="13"/>
      <c r="F367" s="14"/>
      <c r="G367" s="14"/>
      <c r="H367" s="14"/>
      <c r="I367" s="14"/>
      <c r="J367" s="14"/>
      <c r="K367" s="12"/>
    </row>
    <row r="368" ht="19.5" customHeight="1">
      <c r="A368" s="12"/>
      <c r="C368" s="12"/>
      <c r="D368" s="13"/>
      <c r="F368" s="14"/>
      <c r="G368" s="14"/>
      <c r="H368" s="14"/>
      <c r="I368" s="14"/>
      <c r="J368" s="14"/>
      <c r="K368" s="12"/>
    </row>
    <row r="369" ht="19.5" customHeight="1">
      <c r="A369" s="12"/>
      <c r="C369" s="12"/>
      <c r="D369" s="13"/>
      <c r="F369" s="14"/>
      <c r="G369" s="14"/>
      <c r="H369" s="14"/>
      <c r="I369" s="14"/>
      <c r="J369" s="14"/>
      <c r="K369" s="12"/>
    </row>
    <row r="370" ht="19.5" customHeight="1">
      <c r="A370" s="12"/>
      <c r="C370" s="12"/>
      <c r="D370" s="13"/>
      <c r="F370" s="14"/>
      <c r="G370" s="14"/>
      <c r="H370" s="14"/>
      <c r="I370" s="14"/>
      <c r="J370" s="14"/>
      <c r="K370" s="12"/>
    </row>
    <row r="371" ht="19.5" customHeight="1">
      <c r="A371" s="12"/>
      <c r="C371" s="12"/>
      <c r="D371" s="13"/>
      <c r="F371" s="14"/>
      <c r="G371" s="14"/>
      <c r="H371" s="14"/>
      <c r="I371" s="14"/>
      <c r="J371" s="14"/>
      <c r="K371" s="12"/>
    </row>
    <row r="372" ht="19.5" customHeight="1">
      <c r="A372" s="12"/>
      <c r="C372" s="12"/>
      <c r="D372" s="13"/>
      <c r="F372" s="14"/>
      <c r="G372" s="14"/>
      <c r="H372" s="14"/>
      <c r="I372" s="14"/>
      <c r="J372" s="14"/>
      <c r="K372" s="12"/>
    </row>
    <row r="373" ht="19.5" customHeight="1">
      <c r="A373" s="12"/>
      <c r="C373" s="12"/>
      <c r="D373" s="13"/>
      <c r="F373" s="14"/>
      <c r="G373" s="14"/>
      <c r="H373" s="14"/>
      <c r="I373" s="14"/>
      <c r="J373" s="14"/>
      <c r="K373" s="12"/>
    </row>
    <row r="374" ht="19.5" customHeight="1">
      <c r="A374" s="12"/>
      <c r="C374" s="12"/>
      <c r="D374" s="13"/>
      <c r="F374" s="14"/>
      <c r="G374" s="14"/>
      <c r="H374" s="14"/>
      <c r="I374" s="14"/>
      <c r="J374" s="14"/>
      <c r="K374" s="12"/>
    </row>
    <row r="375" ht="19.5" customHeight="1">
      <c r="A375" s="12"/>
      <c r="C375" s="12"/>
      <c r="D375" s="13"/>
      <c r="F375" s="14"/>
      <c r="G375" s="14"/>
      <c r="H375" s="14"/>
      <c r="I375" s="14"/>
      <c r="J375" s="14"/>
      <c r="K375" s="12"/>
    </row>
    <row r="376" ht="19.5" customHeight="1">
      <c r="A376" s="12"/>
      <c r="C376" s="12"/>
      <c r="D376" s="13"/>
      <c r="F376" s="14"/>
      <c r="G376" s="14"/>
      <c r="H376" s="14"/>
      <c r="I376" s="14"/>
      <c r="J376" s="14"/>
      <c r="K376" s="12"/>
    </row>
    <row r="377" ht="19.5" customHeight="1">
      <c r="A377" s="12"/>
      <c r="C377" s="12"/>
      <c r="D377" s="13"/>
      <c r="F377" s="14"/>
      <c r="G377" s="14"/>
      <c r="H377" s="14"/>
      <c r="I377" s="14"/>
      <c r="J377" s="14"/>
      <c r="K377" s="12"/>
    </row>
    <row r="378" ht="19.5" customHeight="1">
      <c r="A378" s="12"/>
      <c r="C378" s="12"/>
      <c r="D378" s="13"/>
      <c r="F378" s="14"/>
      <c r="G378" s="14"/>
      <c r="H378" s="14"/>
      <c r="I378" s="14"/>
      <c r="J378" s="14"/>
      <c r="K378" s="12"/>
    </row>
    <row r="379" ht="19.5" customHeight="1">
      <c r="A379" s="12"/>
      <c r="C379" s="12"/>
      <c r="D379" s="13"/>
      <c r="F379" s="14"/>
      <c r="G379" s="14"/>
      <c r="H379" s="14"/>
      <c r="I379" s="14"/>
      <c r="J379" s="14"/>
      <c r="K379" s="12"/>
    </row>
    <row r="380" ht="19.5" customHeight="1">
      <c r="A380" s="12"/>
      <c r="C380" s="12"/>
      <c r="D380" s="13"/>
      <c r="F380" s="14"/>
      <c r="G380" s="14"/>
      <c r="H380" s="14"/>
      <c r="I380" s="14"/>
      <c r="J380" s="14"/>
      <c r="K380" s="12"/>
    </row>
    <row r="381" ht="19.5" customHeight="1">
      <c r="A381" s="12"/>
      <c r="C381" s="12"/>
      <c r="D381" s="13"/>
      <c r="F381" s="14"/>
      <c r="G381" s="14"/>
      <c r="H381" s="14"/>
      <c r="I381" s="14"/>
      <c r="J381" s="14"/>
      <c r="K381" s="12"/>
    </row>
    <row r="382" ht="19.5" customHeight="1">
      <c r="A382" s="12"/>
      <c r="C382" s="12"/>
      <c r="D382" s="13"/>
      <c r="F382" s="14"/>
      <c r="G382" s="14"/>
      <c r="H382" s="14"/>
      <c r="I382" s="14"/>
      <c r="J382" s="14"/>
      <c r="K382" s="12"/>
    </row>
    <row r="383" ht="19.5" customHeight="1">
      <c r="A383" s="12"/>
      <c r="C383" s="12"/>
      <c r="D383" s="13"/>
      <c r="F383" s="14"/>
      <c r="G383" s="14"/>
      <c r="H383" s="14"/>
      <c r="I383" s="14"/>
      <c r="J383" s="14"/>
      <c r="K383" s="12"/>
    </row>
    <row r="384" ht="19.5" customHeight="1">
      <c r="A384" s="12"/>
      <c r="C384" s="12"/>
      <c r="D384" s="13"/>
      <c r="F384" s="14"/>
      <c r="G384" s="14"/>
      <c r="H384" s="14"/>
      <c r="I384" s="14"/>
      <c r="J384" s="14"/>
      <c r="K384" s="12"/>
    </row>
    <row r="385" ht="19.5" customHeight="1">
      <c r="A385" s="12"/>
      <c r="C385" s="12"/>
      <c r="D385" s="13"/>
      <c r="F385" s="14"/>
      <c r="G385" s="14"/>
      <c r="H385" s="14"/>
      <c r="I385" s="14"/>
      <c r="J385" s="14"/>
      <c r="K385" s="12"/>
    </row>
    <row r="386" ht="19.5" customHeight="1">
      <c r="A386" s="12"/>
      <c r="C386" s="12"/>
      <c r="D386" s="13"/>
      <c r="F386" s="14"/>
      <c r="G386" s="14"/>
      <c r="H386" s="14"/>
      <c r="I386" s="14"/>
      <c r="J386" s="14"/>
      <c r="K386" s="12"/>
    </row>
    <row r="387" ht="19.5" customHeight="1">
      <c r="A387" s="12"/>
      <c r="C387" s="12"/>
      <c r="D387" s="13"/>
      <c r="F387" s="14"/>
      <c r="G387" s="14"/>
      <c r="H387" s="14"/>
      <c r="I387" s="14"/>
      <c r="J387" s="14"/>
      <c r="K387" s="12"/>
    </row>
    <row r="388" ht="19.5" customHeight="1">
      <c r="A388" s="12"/>
      <c r="C388" s="12"/>
      <c r="D388" s="13"/>
      <c r="F388" s="14"/>
      <c r="G388" s="14"/>
      <c r="H388" s="14"/>
      <c r="I388" s="14"/>
      <c r="J388" s="14"/>
      <c r="K388" s="12"/>
    </row>
    <row r="389" ht="19.5" customHeight="1">
      <c r="A389" s="12"/>
      <c r="C389" s="12"/>
      <c r="D389" s="13"/>
      <c r="F389" s="14"/>
      <c r="G389" s="14"/>
      <c r="H389" s="14"/>
      <c r="I389" s="14"/>
      <c r="J389" s="14"/>
      <c r="K389" s="12"/>
    </row>
    <row r="390" ht="19.5" customHeight="1">
      <c r="A390" s="12"/>
      <c r="C390" s="12"/>
      <c r="D390" s="13"/>
      <c r="F390" s="14"/>
      <c r="G390" s="14"/>
      <c r="H390" s="14"/>
      <c r="I390" s="14"/>
      <c r="J390" s="14"/>
      <c r="K390" s="12"/>
    </row>
    <row r="391" ht="19.5" customHeight="1">
      <c r="A391" s="12"/>
      <c r="C391" s="12"/>
      <c r="D391" s="13"/>
      <c r="F391" s="14"/>
      <c r="G391" s="14"/>
      <c r="H391" s="14"/>
      <c r="I391" s="14"/>
      <c r="J391" s="14"/>
      <c r="K391" s="12"/>
    </row>
    <row r="392" ht="19.5" customHeight="1">
      <c r="A392" s="12"/>
      <c r="C392" s="12"/>
      <c r="D392" s="13"/>
      <c r="F392" s="14"/>
      <c r="G392" s="14"/>
      <c r="H392" s="14"/>
      <c r="I392" s="14"/>
      <c r="J392" s="14"/>
      <c r="K392" s="12"/>
    </row>
    <row r="393" ht="19.5" customHeight="1">
      <c r="A393" s="12"/>
      <c r="C393" s="12"/>
      <c r="D393" s="13"/>
      <c r="F393" s="14"/>
      <c r="G393" s="14"/>
      <c r="H393" s="14"/>
      <c r="I393" s="14"/>
      <c r="J393" s="14"/>
      <c r="K393" s="12"/>
    </row>
    <row r="394" ht="19.5" customHeight="1">
      <c r="A394" s="12"/>
      <c r="C394" s="12"/>
      <c r="D394" s="13"/>
      <c r="F394" s="14"/>
      <c r="G394" s="14"/>
      <c r="H394" s="14"/>
      <c r="I394" s="14"/>
      <c r="J394" s="14"/>
      <c r="K394" s="12"/>
    </row>
    <row r="395" ht="19.5" customHeight="1">
      <c r="A395" s="12"/>
      <c r="C395" s="12"/>
      <c r="D395" s="13"/>
      <c r="F395" s="14"/>
      <c r="G395" s="14"/>
      <c r="H395" s="14"/>
      <c r="I395" s="14"/>
      <c r="J395" s="14"/>
      <c r="K395" s="12"/>
    </row>
    <row r="396" ht="19.5" customHeight="1">
      <c r="A396" s="12"/>
      <c r="C396" s="12"/>
      <c r="D396" s="13"/>
      <c r="F396" s="14"/>
      <c r="G396" s="14"/>
      <c r="H396" s="14"/>
      <c r="I396" s="14"/>
      <c r="J396" s="14"/>
      <c r="K396" s="12"/>
    </row>
    <row r="397" ht="19.5" customHeight="1">
      <c r="A397" s="12"/>
      <c r="C397" s="12"/>
      <c r="D397" s="13"/>
      <c r="F397" s="14"/>
      <c r="G397" s="14"/>
      <c r="H397" s="14"/>
      <c r="I397" s="14"/>
      <c r="J397" s="14"/>
      <c r="K397" s="12"/>
    </row>
    <row r="398" ht="19.5" customHeight="1">
      <c r="A398" s="12"/>
      <c r="C398" s="12"/>
      <c r="D398" s="13"/>
      <c r="F398" s="14"/>
      <c r="G398" s="14"/>
      <c r="H398" s="14"/>
      <c r="I398" s="14"/>
      <c r="J398" s="14"/>
      <c r="K398" s="12"/>
    </row>
    <row r="399" ht="19.5" customHeight="1">
      <c r="A399" s="12"/>
      <c r="C399" s="12"/>
      <c r="D399" s="13"/>
      <c r="F399" s="14"/>
      <c r="G399" s="14"/>
      <c r="H399" s="14"/>
      <c r="I399" s="14"/>
      <c r="J399" s="14"/>
      <c r="K399" s="12"/>
    </row>
    <row r="400" ht="19.5" customHeight="1">
      <c r="A400" s="12"/>
      <c r="C400" s="12"/>
      <c r="D400" s="13"/>
      <c r="F400" s="14"/>
      <c r="G400" s="14"/>
      <c r="H400" s="14"/>
      <c r="I400" s="14"/>
      <c r="J400" s="14"/>
      <c r="K400" s="12"/>
    </row>
    <row r="401" ht="19.5" customHeight="1">
      <c r="A401" s="12"/>
      <c r="C401" s="12"/>
      <c r="D401" s="13"/>
      <c r="F401" s="14"/>
      <c r="G401" s="14"/>
      <c r="H401" s="14"/>
      <c r="I401" s="14"/>
      <c r="J401" s="14"/>
      <c r="K401" s="12"/>
    </row>
    <row r="402" ht="19.5" customHeight="1">
      <c r="A402" s="12"/>
      <c r="C402" s="12"/>
      <c r="D402" s="13"/>
      <c r="F402" s="14"/>
      <c r="G402" s="14"/>
      <c r="H402" s="14"/>
      <c r="I402" s="14"/>
      <c r="J402" s="14"/>
      <c r="K402" s="12"/>
    </row>
    <row r="403" ht="19.5" customHeight="1">
      <c r="A403" s="12"/>
      <c r="C403" s="12"/>
      <c r="D403" s="13"/>
      <c r="F403" s="14"/>
      <c r="G403" s="14"/>
      <c r="H403" s="14"/>
      <c r="I403" s="14"/>
      <c r="J403" s="14"/>
      <c r="K403" s="12"/>
    </row>
    <row r="404" ht="19.5" customHeight="1">
      <c r="A404" s="12"/>
      <c r="C404" s="12"/>
      <c r="D404" s="13"/>
      <c r="F404" s="14"/>
      <c r="G404" s="14"/>
      <c r="H404" s="14"/>
      <c r="I404" s="14"/>
      <c r="J404" s="14"/>
      <c r="K404" s="12"/>
    </row>
    <row r="405" ht="19.5" customHeight="1">
      <c r="A405" s="12"/>
      <c r="C405" s="12"/>
      <c r="D405" s="13"/>
      <c r="F405" s="14"/>
      <c r="G405" s="14"/>
      <c r="H405" s="14"/>
      <c r="I405" s="14"/>
      <c r="J405" s="14"/>
      <c r="K405" s="12"/>
    </row>
    <row r="406" ht="19.5" customHeight="1">
      <c r="A406" s="12"/>
      <c r="C406" s="12"/>
      <c r="D406" s="13"/>
      <c r="F406" s="14"/>
      <c r="G406" s="14"/>
      <c r="H406" s="14"/>
      <c r="I406" s="14"/>
      <c r="J406" s="14"/>
      <c r="K406" s="12"/>
    </row>
    <row r="407" ht="19.5" customHeight="1">
      <c r="A407" s="12"/>
      <c r="C407" s="12"/>
      <c r="D407" s="13"/>
      <c r="F407" s="14"/>
      <c r="G407" s="14"/>
      <c r="H407" s="14"/>
      <c r="I407" s="14"/>
      <c r="J407" s="14"/>
      <c r="K407" s="12"/>
    </row>
    <row r="408" ht="19.5" customHeight="1">
      <c r="A408" s="12"/>
      <c r="C408" s="12"/>
      <c r="D408" s="13"/>
      <c r="F408" s="14"/>
      <c r="G408" s="14"/>
      <c r="H408" s="14"/>
      <c r="I408" s="14"/>
      <c r="J408" s="14"/>
      <c r="K408" s="12"/>
    </row>
    <row r="409" ht="19.5" customHeight="1">
      <c r="A409" s="12"/>
      <c r="C409" s="12"/>
      <c r="D409" s="13"/>
      <c r="F409" s="14"/>
      <c r="G409" s="14"/>
      <c r="H409" s="14"/>
      <c r="I409" s="14"/>
      <c r="J409" s="14"/>
      <c r="K409" s="12"/>
    </row>
    <row r="410" ht="19.5" customHeight="1">
      <c r="A410" s="12"/>
      <c r="C410" s="12"/>
      <c r="D410" s="13"/>
      <c r="F410" s="14"/>
      <c r="G410" s="14"/>
      <c r="H410" s="14"/>
      <c r="I410" s="14"/>
      <c r="J410" s="14"/>
      <c r="K410" s="12"/>
    </row>
    <row r="411" ht="19.5" customHeight="1">
      <c r="A411" s="12"/>
      <c r="C411" s="12"/>
      <c r="D411" s="13"/>
      <c r="F411" s="14"/>
      <c r="G411" s="14"/>
      <c r="H411" s="14"/>
      <c r="I411" s="14"/>
      <c r="J411" s="14"/>
      <c r="K411" s="12"/>
    </row>
    <row r="412" ht="19.5" customHeight="1">
      <c r="A412" s="12"/>
      <c r="C412" s="12"/>
      <c r="D412" s="13"/>
      <c r="F412" s="14"/>
      <c r="G412" s="14"/>
      <c r="H412" s="14"/>
      <c r="I412" s="14"/>
      <c r="J412" s="14"/>
      <c r="K412" s="12"/>
    </row>
    <row r="413" ht="19.5" customHeight="1">
      <c r="A413" s="12"/>
      <c r="C413" s="12"/>
      <c r="D413" s="13"/>
      <c r="F413" s="14"/>
      <c r="G413" s="14"/>
      <c r="H413" s="14"/>
      <c r="I413" s="14"/>
      <c r="J413" s="14"/>
      <c r="K413" s="12"/>
    </row>
    <row r="414" ht="19.5" customHeight="1">
      <c r="A414" s="12"/>
      <c r="C414" s="12"/>
      <c r="D414" s="13"/>
      <c r="F414" s="14"/>
      <c r="G414" s="14"/>
      <c r="H414" s="14"/>
      <c r="I414" s="14"/>
      <c r="J414" s="14"/>
      <c r="K414" s="12"/>
    </row>
    <row r="415" ht="19.5" customHeight="1">
      <c r="A415" s="12"/>
      <c r="C415" s="12"/>
      <c r="D415" s="13"/>
      <c r="F415" s="14"/>
      <c r="G415" s="14"/>
      <c r="H415" s="14"/>
      <c r="I415" s="14"/>
      <c r="J415" s="14"/>
      <c r="K415" s="12"/>
    </row>
    <row r="416" ht="19.5" customHeight="1">
      <c r="A416" s="12"/>
      <c r="C416" s="12"/>
      <c r="D416" s="13"/>
      <c r="F416" s="14"/>
      <c r="G416" s="14"/>
      <c r="H416" s="14"/>
      <c r="I416" s="14"/>
      <c r="J416" s="14"/>
      <c r="K416" s="12"/>
    </row>
    <row r="417" ht="19.5" customHeight="1">
      <c r="A417" s="12"/>
      <c r="C417" s="12"/>
      <c r="D417" s="13"/>
      <c r="F417" s="14"/>
      <c r="G417" s="14"/>
      <c r="H417" s="14"/>
      <c r="I417" s="14"/>
      <c r="J417" s="14"/>
      <c r="K417" s="12"/>
    </row>
    <row r="418" ht="19.5" customHeight="1">
      <c r="A418" s="12"/>
      <c r="C418" s="12"/>
      <c r="D418" s="13"/>
      <c r="F418" s="14"/>
      <c r="G418" s="14"/>
      <c r="H418" s="14"/>
      <c r="I418" s="14"/>
      <c r="J418" s="14"/>
      <c r="K418" s="12"/>
    </row>
    <row r="419" ht="19.5" customHeight="1">
      <c r="A419" s="12"/>
      <c r="C419" s="12"/>
      <c r="D419" s="13"/>
      <c r="F419" s="14"/>
      <c r="G419" s="14"/>
      <c r="H419" s="14"/>
      <c r="I419" s="14"/>
      <c r="J419" s="14"/>
      <c r="K419" s="12"/>
    </row>
    <row r="420" ht="19.5" customHeight="1">
      <c r="A420" s="12"/>
      <c r="C420" s="12"/>
      <c r="D420" s="13"/>
      <c r="F420" s="14"/>
      <c r="G420" s="14"/>
      <c r="H420" s="14"/>
      <c r="I420" s="14"/>
      <c r="J420" s="14"/>
      <c r="K420" s="12"/>
    </row>
    <row r="421" ht="19.5" customHeight="1">
      <c r="A421" s="12"/>
      <c r="C421" s="12"/>
      <c r="D421" s="13"/>
      <c r="F421" s="14"/>
      <c r="G421" s="14"/>
      <c r="H421" s="14"/>
      <c r="I421" s="14"/>
      <c r="J421" s="14"/>
      <c r="K421" s="12"/>
    </row>
    <row r="422" ht="19.5" customHeight="1">
      <c r="A422" s="12"/>
      <c r="C422" s="12"/>
      <c r="D422" s="13"/>
      <c r="F422" s="14"/>
      <c r="G422" s="14"/>
      <c r="H422" s="14"/>
      <c r="I422" s="14"/>
      <c r="J422" s="14"/>
      <c r="K422" s="12"/>
    </row>
    <row r="423" ht="19.5" customHeight="1">
      <c r="A423" s="12"/>
      <c r="C423" s="12"/>
      <c r="D423" s="13"/>
      <c r="F423" s="14"/>
      <c r="G423" s="14"/>
      <c r="H423" s="14"/>
      <c r="I423" s="14"/>
      <c r="J423" s="14"/>
      <c r="K423" s="12"/>
    </row>
    <row r="424" ht="19.5" customHeight="1">
      <c r="A424" s="12"/>
      <c r="C424" s="12"/>
      <c r="D424" s="13"/>
      <c r="F424" s="14"/>
      <c r="G424" s="14"/>
      <c r="H424" s="14"/>
      <c r="I424" s="14"/>
      <c r="J424" s="14"/>
      <c r="K424" s="12"/>
    </row>
    <row r="425" ht="19.5" customHeight="1">
      <c r="A425" s="12"/>
      <c r="C425" s="12"/>
      <c r="D425" s="13"/>
      <c r="F425" s="14"/>
      <c r="G425" s="14"/>
      <c r="H425" s="14"/>
      <c r="I425" s="14"/>
      <c r="J425" s="14"/>
      <c r="K425" s="12"/>
    </row>
    <row r="426" ht="19.5" customHeight="1">
      <c r="A426" s="12"/>
      <c r="C426" s="12"/>
      <c r="D426" s="13"/>
      <c r="F426" s="14"/>
      <c r="G426" s="14"/>
      <c r="H426" s="14"/>
      <c r="I426" s="14"/>
      <c r="J426" s="14"/>
      <c r="K426" s="12"/>
    </row>
    <row r="427" ht="19.5" customHeight="1">
      <c r="A427" s="12"/>
      <c r="C427" s="12"/>
      <c r="D427" s="13"/>
      <c r="F427" s="14"/>
      <c r="G427" s="14"/>
      <c r="H427" s="14"/>
      <c r="I427" s="14"/>
      <c r="J427" s="14"/>
      <c r="K427" s="12"/>
    </row>
    <row r="428" ht="19.5" customHeight="1">
      <c r="A428" s="12"/>
      <c r="C428" s="12"/>
      <c r="D428" s="13"/>
      <c r="F428" s="14"/>
      <c r="G428" s="14"/>
      <c r="H428" s="14"/>
      <c r="I428" s="14"/>
      <c r="J428" s="14"/>
      <c r="K428" s="12"/>
    </row>
    <row r="429" ht="19.5" customHeight="1">
      <c r="A429" s="12"/>
      <c r="C429" s="12"/>
      <c r="D429" s="13"/>
      <c r="F429" s="14"/>
      <c r="G429" s="14"/>
      <c r="H429" s="14"/>
      <c r="I429" s="14"/>
      <c r="J429" s="14"/>
      <c r="K429" s="12"/>
    </row>
    <row r="430" ht="19.5" customHeight="1">
      <c r="A430" s="12"/>
      <c r="C430" s="12"/>
      <c r="D430" s="13"/>
      <c r="F430" s="14"/>
      <c r="G430" s="14"/>
      <c r="H430" s="14"/>
      <c r="I430" s="14"/>
      <c r="J430" s="14"/>
      <c r="K430" s="12"/>
    </row>
    <row r="431" ht="19.5" customHeight="1">
      <c r="A431" s="12"/>
      <c r="C431" s="12"/>
      <c r="D431" s="13"/>
      <c r="F431" s="14"/>
      <c r="G431" s="14"/>
      <c r="H431" s="14"/>
      <c r="I431" s="14"/>
      <c r="J431" s="14"/>
      <c r="K431" s="12"/>
    </row>
    <row r="432" ht="19.5" customHeight="1">
      <c r="A432" s="12"/>
      <c r="C432" s="12"/>
      <c r="D432" s="13"/>
      <c r="F432" s="14"/>
      <c r="G432" s="14"/>
      <c r="H432" s="14"/>
      <c r="I432" s="14"/>
      <c r="J432" s="14"/>
      <c r="K432" s="12"/>
    </row>
    <row r="433" ht="19.5" customHeight="1">
      <c r="A433" s="12"/>
      <c r="C433" s="12"/>
      <c r="D433" s="13"/>
      <c r="F433" s="14"/>
      <c r="G433" s="14"/>
      <c r="H433" s="14"/>
      <c r="I433" s="14"/>
      <c r="J433" s="14"/>
      <c r="K433" s="12"/>
    </row>
    <row r="434" ht="19.5" customHeight="1">
      <c r="A434" s="12"/>
      <c r="C434" s="12"/>
      <c r="D434" s="13"/>
      <c r="F434" s="14"/>
      <c r="G434" s="14"/>
      <c r="H434" s="14"/>
      <c r="I434" s="14"/>
      <c r="J434" s="14"/>
      <c r="K434" s="12"/>
    </row>
    <row r="435" ht="19.5" customHeight="1">
      <c r="A435" s="12"/>
      <c r="C435" s="12"/>
      <c r="D435" s="13"/>
      <c r="F435" s="14"/>
      <c r="G435" s="14"/>
      <c r="H435" s="14"/>
      <c r="I435" s="14"/>
      <c r="J435" s="14"/>
      <c r="K435" s="12"/>
    </row>
    <row r="436" ht="19.5" customHeight="1">
      <c r="A436" s="12"/>
      <c r="C436" s="12"/>
      <c r="D436" s="13"/>
      <c r="F436" s="14"/>
      <c r="G436" s="14"/>
      <c r="H436" s="14"/>
      <c r="I436" s="14"/>
      <c r="J436" s="14"/>
      <c r="K436" s="12"/>
    </row>
    <row r="437" ht="19.5" customHeight="1">
      <c r="A437" s="12"/>
      <c r="C437" s="12"/>
      <c r="D437" s="13"/>
      <c r="F437" s="14"/>
      <c r="G437" s="14"/>
      <c r="H437" s="14"/>
      <c r="I437" s="14"/>
      <c r="J437" s="14"/>
      <c r="K437" s="12"/>
    </row>
    <row r="438" ht="19.5" customHeight="1">
      <c r="A438" s="12"/>
      <c r="C438" s="12"/>
      <c r="D438" s="13"/>
      <c r="F438" s="14"/>
      <c r="G438" s="14"/>
      <c r="H438" s="14"/>
      <c r="I438" s="14"/>
      <c r="J438" s="14"/>
      <c r="K438" s="12"/>
    </row>
    <row r="439" ht="19.5" customHeight="1">
      <c r="A439" s="12"/>
      <c r="C439" s="12"/>
      <c r="D439" s="13"/>
      <c r="F439" s="14"/>
      <c r="G439" s="14"/>
      <c r="H439" s="14"/>
      <c r="I439" s="14"/>
      <c r="J439" s="14"/>
      <c r="K439" s="12"/>
    </row>
    <row r="440" ht="19.5" customHeight="1">
      <c r="A440" s="12"/>
      <c r="C440" s="12"/>
      <c r="D440" s="13"/>
      <c r="F440" s="14"/>
      <c r="G440" s="14"/>
      <c r="H440" s="14"/>
      <c r="I440" s="14"/>
      <c r="J440" s="14"/>
      <c r="K440" s="12"/>
    </row>
    <row r="441" ht="19.5" customHeight="1">
      <c r="A441" s="12"/>
      <c r="C441" s="12"/>
      <c r="D441" s="13"/>
      <c r="F441" s="14"/>
      <c r="G441" s="14"/>
      <c r="H441" s="14"/>
      <c r="I441" s="14"/>
      <c r="J441" s="14"/>
      <c r="K441" s="12"/>
    </row>
    <row r="442" ht="19.5" customHeight="1">
      <c r="A442" s="12"/>
      <c r="C442" s="12"/>
      <c r="D442" s="13"/>
      <c r="F442" s="14"/>
      <c r="G442" s="14"/>
      <c r="H442" s="14"/>
      <c r="I442" s="14"/>
      <c r="J442" s="14"/>
      <c r="K442" s="12"/>
    </row>
    <row r="443" ht="19.5" customHeight="1">
      <c r="A443" s="12"/>
      <c r="C443" s="12"/>
      <c r="D443" s="13"/>
      <c r="F443" s="14"/>
      <c r="G443" s="14"/>
      <c r="H443" s="14"/>
      <c r="I443" s="14"/>
      <c r="J443" s="14"/>
      <c r="K443" s="12"/>
    </row>
    <row r="444" ht="19.5" customHeight="1">
      <c r="A444" s="12"/>
      <c r="C444" s="12"/>
      <c r="D444" s="13"/>
      <c r="F444" s="14"/>
      <c r="G444" s="14"/>
      <c r="H444" s="14"/>
      <c r="I444" s="14"/>
      <c r="J444" s="14"/>
      <c r="K444" s="12"/>
    </row>
    <row r="445" ht="19.5" customHeight="1">
      <c r="A445" s="12"/>
      <c r="C445" s="12"/>
      <c r="D445" s="13"/>
      <c r="F445" s="14"/>
      <c r="G445" s="14"/>
      <c r="H445" s="14"/>
      <c r="I445" s="14"/>
      <c r="J445" s="14"/>
      <c r="K445" s="12"/>
    </row>
    <row r="446" ht="19.5" customHeight="1">
      <c r="A446" s="12"/>
      <c r="C446" s="12"/>
      <c r="D446" s="13"/>
      <c r="F446" s="14"/>
      <c r="G446" s="14"/>
      <c r="H446" s="14"/>
      <c r="I446" s="14"/>
      <c r="J446" s="14"/>
      <c r="K446" s="12"/>
    </row>
    <row r="447" ht="19.5" customHeight="1">
      <c r="A447" s="12"/>
      <c r="C447" s="12"/>
      <c r="D447" s="13"/>
      <c r="F447" s="14"/>
      <c r="G447" s="14"/>
      <c r="H447" s="14"/>
      <c r="I447" s="14"/>
      <c r="J447" s="14"/>
      <c r="K447" s="12"/>
    </row>
    <row r="448" ht="19.5" customHeight="1">
      <c r="A448" s="12"/>
      <c r="C448" s="12"/>
      <c r="D448" s="13"/>
      <c r="F448" s="14"/>
      <c r="G448" s="14"/>
      <c r="H448" s="14"/>
      <c r="I448" s="14"/>
      <c r="J448" s="14"/>
      <c r="K448" s="12"/>
    </row>
    <row r="449" ht="19.5" customHeight="1">
      <c r="A449" s="12"/>
      <c r="C449" s="12"/>
      <c r="D449" s="13"/>
      <c r="F449" s="14"/>
      <c r="G449" s="14"/>
      <c r="H449" s="14"/>
      <c r="I449" s="14"/>
      <c r="J449" s="14"/>
      <c r="K449" s="12"/>
    </row>
    <row r="450" ht="19.5" customHeight="1">
      <c r="A450" s="12"/>
      <c r="C450" s="12"/>
      <c r="D450" s="13"/>
      <c r="F450" s="14"/>
      <c r="G450" s="14"/>
      <c r="H450" s="14"/>
      <c r="I450" s="14"/>
      <c r="J450" s="14"/>
      <c r="K450" s="12"/>
    </row>
    <row r="451" ht="19.5" customHeight="1">
      <c r="A451" s="12"/>
      <c r="C451" s="12"/>
      <c r="D451" s="13"/>
      <c r="F451" s="14"/>
      <c r="G451" s="14"/>
      <c r="H451" s="14"/>
      <c r="I451" s="14"/>
      <c r="J451" s="14"/>
      <c r="K451" s="12"/>
    </row>
    <row r="452" ht="19.5" customHeight="1">
      <c r="A452" s="12"/>
      <c r="C452" s="12"/>
      <c r="D452" s="13"/>
      <c r="F452" s="14"/>
      <c r="G452" s="14"/>
      <c r="H452" s="14"/>
      <c r="I452" s="14"/>
      <c r="J452" s="14"/>
      <c r="K452" s="12"/>
    </row>
    <row r="453" ht="19.5" customHeight="1">
      <c r="A453" s="12"/>
      <c r="C453" s="12"/>
      <c r="D453" s="13"/>
      <c r="F453" s="14"/>
      <c r="G453" s="14"/>
      <c r="H453" s="14"/>
      <c r="I453" s="14"/>
      <c r="J453" s="14"/>
      <c r="K453" s="12"/>
    </row>
    <row r="454" ht="19.5" customHeight="1">
      <c r="A454" s="12"/>
      <c r="C454" s="12"/>
      <c r="D454" s="13"/>
      <c r="F454" s="14"/>
      <c r="G454" s="14"/>
      <c r="H454" s="14"/>
      <c r="I454" s="14"/>
      <c r="J454" s="14"/>
      <c r="K454" s="12"/>
    </row>
    <row r="455" ht="19.5" customHeight="1">
      <c r="A455" s="12"/>
      <c r="C455" s="12"/>
      <c r="D455" s="13"/>
      <c r="F455" s="14"/>
      <c r="G455" s="14"/>
      <c r="H455" s="14"/>
      <c r="I455" s="14"/>
      <c r="J455" s="14"/>
      <c r="K455" s="12"/>
    </row>
    <row r="456" ht="19.5" customHeight="1">
      <c r="A456" s="12"/>
      <c r="C456" s="12"/>
      <c r="D456" s="13"/>
      <c r="F456" s="14"/>
      <c r="G456" s="14"/>
      <c r="H456" s="14"/>
      <c r="I456" s="14"/>
      <c r="J456" s="14"/>
      <c r="K456" s="12"/>
    </row>
    <row r="457" ht="19.5" customHeight="1">
      <c r="A457" s="12"/>
      <c r="C457" s="12"/>
      <c r="D457" s="13"/>
      <c r="F457" s="14"/>
      <c r="G457" s="14"/>
      <c r="H457" s="14"/>
      <c r="I457" s="14"/>
      <c r="J457" s="14"/>
      <c r="K457" s="12"/>
    </row>
    <row r="458" ht="19.5" customHeight="1">
      <c r="A458" s="12"/>
      <c r="C458" s="12"/>
      <c r="D458" s="13"/>
      <c r="F458" s="14"/>
      <c r="G458" s="14"/>
      <c r="H458" s="14"/>
      <c r="I458" s="14"/>
      <c r="J458" s="14"/>
      <c r="K458" s="12"/>
    </row>
    <row r="459" ht="19.5" customHeight="1">
      <c r="A459" s="12"/>
      <c r="C459" s="12"/>
      <c r="D459" s="13"/>
      <c r="F459" s="14"/>
      <c r="G459" s="14"/>
      <c r="H459" s="14"/>
      <c r="I459" s="14"/>
      <c r="J459" s="14"/>
      <c r="K459" s="12"/>
    </row>
    <row r="460" ht="19.5" customHeight="1">
      <c r="A460" s="12"/>
      <c r="C460" s="12"/>
      <c r="D460" s="13"/>
      <c r="F460" s="14"/>
      <c r="G460" s="14"/>
      <c r="H460" s="14"/>
      <c r="I460" s="14"/>
      <c r="J460" s="14"/>
      <c r="K460" s="12"/>
    </row>
    <row r="461" ht="19.5" customHeight="1">
      <c r="A461" s="12"/>
      <c r="C461" s="12"/>
      <c r="D461" s="13"/>
      <c r="F461" s="14"/>
      <c r="G461" s="14"/>
      <c r="H461" s="14"/>
      <c r="I461" s="14"/>
      <c r="J461" s="14"/>
      <c r="K461" s="12"/>
    </row>
    <row r="462" ht="19.5" customHeight="1">
      <c r="A462" s="12"/>
      <c r="C462" s="12"/>
      <c r="D462" s="13"/>
      <c r="F462" s="14"/>
      <c r="G462" s="14"/>
      <c r="H462" s="14"/>
      <c r="I462" s="14"/>
      <c r="J462" s="14"/>
      <c r="K462" s="12"/>
    </row>
    <row r="463" ht="19.5" customHeight="1">
      <c r="A463" s="12"/>
      <c r="C463" s="12"/>
      <c r="D463" s="13"/>
      <c r="F463" s="14"/>
      <c r="G463" s="14"/>
      <c r="H463" s="14"/>
      <c r="I463" s="14"/>
      <c r="J463" s="14"/>
      <c r="K463" s="12"/>
    </row>
    <row r="464" ht="19.5" customHeight="1">
      <c r="A464" s="12"/>
      <c r="C464" s="12"/>
      <c r="D464" s="13"/>
      <c r="F464" s="14"/>
      <c r="G464" s="14"/>
      <c r="H464" s="14"/>
      <c r="I464" s="14"/>
      <c r="J464" s="14"/>
      <c r="K464" s="12"/>
    </row>
    <row r="465" ht="19.5" customHeight="1">
      <c r="A465" s="12"/>
      <c r="C465" s="12"/>
      <c r="D465" s="13"/>
      <c r="F465" s="14"/>
      <c r="G465" s="14"/>
      <c r="H465" s="14"/>
      <c r="I465" s="14"/>
      <c r="J465" s="14"/>
      <c r="K465" s="12"/>
    </row>
    <row r="466" ht="19.5" customHeight="1">
      <c r="A466" s="12"/>
      <c r="C466" s="12"/>
      <c r="D466" s="13"/>
      <c r="F466" s="14"/>
      <c r="G466" s="14"/>
      <c r="H466" s="14"/>
      <c r="I466" s="14"/>
      <c r="J466" s="14"/>
      <c r="K466" s="12"/>
    </row>
    <row r="467" ht="19.5" customHeight="1">
      <c r="A467" s="12"/>
      <c r="C467" s="12"/>
      <c r="D467" s="13"/>
      <c r="F467" s="14"/>
      <c r="G467" s="14"/>
      <c r="H467" s="14"/>
      <c r="I467" s="14"/>
      <c r="J467" s="14"/>
      <c r="K467" s="12"/>
    </row>
    <row r="468" ht="19.5" customHeight="1">
      <c r="A468" s="12"/>
      <c r="C468" s="12"/>
      <c r="D468" s="13"/>
      <c r="F468" s="14"/>
      <c r="G468" s="14"/>
      <c r="H468" s="14"/>
      <c r="I468" s="14"/>
      <c r="J468" s="14"/>
      <c r="K468" s="12"/>
    </row>
    <row r="469" ht="19.5" customHeight="1">
      <c r="A469" s="12"/>
      <c r="C469" s="12"/>
      <c r="D469" s="13"/>
      <c r="F469" s="14"/>
      <c r="G469" s="14"/>
      <c r="H469" s="14"/>
      <c r="I469" s="14"/>
      <c r="J469" s="14"/>
      <c r="K469" s="12"/>
    </row>
    <row r="470" ht="19.5" customHeight="1">
      <c r="A470" s="12"/>
      <c r="C470" s="12"/>
      <c r="D470" s="13"/>
      <c r="F470" s="14"/>
      <c r="G470" s="14"/>
      <c r="H470" s="14"/>
      <c r="I470" s="14"/>
      <c r="J470" s="14"/>
      <c r="K470" s="12"/>
    </row>
    <row r="471" ht="19.5" customHeight="1">
      <c r="A471" s="12"/>
      <c r="C471" s="12"/>
      <c r="D471" s="13"/>
      <c r="F471" s="14"/>
      <c r="G471" s="14"/>
      <c r="H471" s="14"/>
      <c r="I471" s="14"/>
      <c r="J471" s="14"/>
      <c r="K471" s="12"/>
    </row>
    <row r="472" ht="19.5" customHeight="1">
      <c r="A472" s="12"/>
      <c r="C472" s="12"/>
      <c r="D472" s="13"/>
      <c r="F472" s="14"/>
      <c r="G472" s="14"/>
      <c r="H472" s="14"/>
      <c r="I472" s="14"/>
      <c r="J472" s="14"/>
      <c r="K472" s="12"/>
    </row>
    <row r="473" ht="19.5" customHeight="1">
      <c r="A473" s="12"/>
      <c r="C473" s="12"/>
      <c r="D473" s="13"/>
      <c r="F473" s="14"/>
      <c r="G473" s="14"/>
      <c r="H473" s="14"/>
      <c r="I473" s="14"/>
      <c r="J473" s="14"/>
      <c r="K473" s="12"/>
    </row>
    <row r="474" ht="19.5" customHeight="1">
      <c r="A474" s="12"/>
      <c r="C474" s="12"/>
      <c r="D474" s="13"/>
      <c r="F474" s="14"/>
      <c r="G474" s="14"/>
      <c r="H474" s="14"/>
      <c r="I474" s="14"/>
      <c r="J474" s="14"/>
      <c r="K474" s="12"/>
    </row>
    <row r="475" ht="19.5" customHeight="1">
      <c r="A475" s="12"/>
      <c r="C475" s="12"/>
      <c r="D475" s="13"/>
      <c r="F475" s="14"/>
      <c r="G475" s="14"/>
      <c r="H475" s="14"/>
      <c r="I475" s="14"/>
      <c r="J475" s="14"/>
      <c r="K475" s="12"/>
    </row>
    <row r="476" ht="19.5" customHeight="1">
      <c r="A476" s="12"/>
      <c r="C476" s="12"/>
      <c r="D476" s="13"/>
      <c r="F476" s="14"/>
      <c r="G476" s="14"/>
      <c r="H476" s="14"/>
      <c r="I476" s="14"/>
      <c r="J476" s="14"/>
      <c r="K476" s="12"/>
    </row>
    <row r="477" ht="19.5" customHeight="1">
      <c r="A477" s="12"/>
      <c r="C477" s="12"/>
      <c r="D477" s="13"/>
      <c r="F477" s="14"/>
      <c r="G477" s="14"/>
      <c r="H477" s="14"/>
      <c r="I477" s="14"/>
      <c r="J477" s="14"/>
      <c r="K477" s="12"/>
    </row>
    <row r="478" ht="19.5" customHeight="1">
      <c r="A478" s="12"/>
      <c r="C478" s="12"/>
      <c r="D478" s="13"/>
      <c r="F478" s="14"/>
      <c r="G478" s="14"/>
      <c r="H478" s="14"/>
      <c r="I478" s="14"/>
      <c r="J478" s="14"/>
      <c r="K478" s="12"/>
    </row>
    <row r="479" ht="19.5" customHeight="1">
      <c r="A479" s="12"/>
      <c r="C479" s="12"/>
      <c r="D479" s="13"/>
      <c r="F479" s="14"/>
      <c r="G479" s="14"/>
      <c r="H479" s="14"/>
      <c r="I479" s="14"/>
      <c r="J479" s="14"/>
      <c r="K479" s="12"/>
    </row>
    <row r="480" ht="19.5" customHeight="1">
      <c r="A480" s="12"/>
      <c r="C480" s="12"/>
      <c r="D480" s="13"/>
      <c r="F480" s="14"/>
      <c r="G480" s="14"/>
      <c r="H480" s="14"/>
      <c r="I480" s="14"/>
      <c r="J480" s="14"/>
      <c r="K480" s="12"/>
    </row>
    <row r="481" ht="19.5" customHeight="1">
      <c r="A481" s="12"/>
      <c r="C481" s="12"/>
      <c r="D481" s="13"/>
      <c r="F481" s="14"/>
      <c r="G481" s="14"/>
      <c r="H481" s="14"/>
      <c r="I481" s="14"/>
      <c r="J481" s="14"/>
      <c r="K481" s="12"/>
    </row>
    <row r="482" ht="19.5" customHeight="1">
      <c r="A482" s="12"/>
      <c r="C482" s="12"/>
      <c r="D482" s="13"/>
      <c r="F482" s="14"/>
      <c r="G482" s="14"/>
      <c r="H482" s="14"/>
      <c r="I482" s="14"/>
      <c r="J482" s="14"/>
      <c r="K482" s="12"/>
    </row>
    <row r="483" ht="19.5" customHeight="1">
      <c r="A483" s="12"/>
      <c r="C483" s="12"/>
      <c r="D483" s="13"/>
      <c r="F483" s="14"/>
      <c r="G483" s="14"/>
      <c r="H483" s="14"/>
      <c r="I483" s="14"/>
      <c r="J483" s="14"/>
      <c r="K483" s="12"/>
    </row>
    <row r="484" ht="19.5" customHeight="1">
      <c r="A484" s="12"/>
      <c r="C484" s="12"/>
      <c r="D484" s="13"/>
      <c r="F484" s="14"/>
      <c r="G484" s="14"/>
      <c r="H484" s="14"/>
      <c r="I484" s="14"/>
      <c r="J484" s="14"/>
      <c r="K484" s="12"/>
    </row>
    <row r="485" ht="19.5" customHeight="1">
      <c r="A485" s="12"/>
      <c r="C485" s="12"/>
      <c r="D485" s="13"/>
      <c r="F485" s="14"/>
      <c r="G485" s="14"/>
      <c r="H485" s="14"/>
      <c r="I485" s="14"/>
      <c r="J485" s="14"/>
      <c r="K485" s="12"/>
    </row>
    <row r="486" ht="19.5" customHeight="1">
      <c r="A486" s="12"/>
      <c r="C486" s="12"/>
      <c r="D486" s="13"/>
      <c r="F486" s="14"/>
      <c r="G486" s="14"/>
      <c r="H486" s="14"/>
      <c r="I486" s="14"/>
      <c r="J486" s="14"/>
      <c r="K486" s="12"/>
    </row>
    <row r="487" ht="19.5" customHeight="1">
      <c r="A487" s="12"/>
      <c r="C487" s="12"/>
      <c r="D487" s="13"/>
      <c r="F487" s="14"/>
      <c r="G487" s="14"/>
      <c r="H487" s="14"/>
      <c r="I487" s="14"/>
      <c r="J487" s="14"/>
      <c r="K487" s="12"/>
    </row>
    <row r="488" ht="19.5" customHeight="1">
      <c r="A488" s="12"/>
      <c r="C488" s="12"/>
      <c r="D488" s="13"/>
      <c r="F488" s="14"/>
      <c r="G488" s="14"/>
      <c r="H488" s="14"/>
      <c r="I488" s="14"/>
      <c r="J488" s="14"/>
      <c r="K488" s="12"/>
    </row>
    <row r="489" ht="19.5" customHeight="1">
      <c r="A489" s="12"/>
      <c r="C489" s="12"/>
      <c r="D489" s="13"/>
      <c r="F489" s="14"/>
      <c r="G489" s="14"/>
      <c r="H489" s="14"/>
      <c r="I489" s="14"/>
      <c r="J489" s="14"/>
      <c r="K489" s="12"/>
    </row>
    <row r="490" ht="19.5" customHeight="1">
      <c r="A490" s="12"/>
      <c r="C490" s="12"/>
      <c r="D490" s="13"/>
      <c r="F490" s="14"/>
      <c r="G490" s="14"/>
      <c r="H490" s="14"/>
      <c r="I490" s="14"/>
      <c r="J490" s="14"/>
      <c r="K490" s="12"/>
    </row>
    <row r="491" ht="19.5" customHeight="1">
      <c r="A491" s="12"/>
      <c r="C491" s="12"/>
      <c r="D491" s="13"/>
      <c r="F491" s="14"/>
      <c r="G491" s="14"/>
      <c r="H491" s="14"/>
      <c r="I491" s="14"/>
      <c r="J491" s="14"/>
      <c r="K491" s="12"/>
    </row>
    <row r="492" ht="19.5" customHeight="1">
      <c r="A492" s="12"/>
      <c r="C492" s="12"/>
      <c r="D492" s="13"/>
      <c r="F492" s="14"/>
      <c r="G492" s="14"/>
      <c r="H492" s="14"/>
      <c r="I492" s="14"/>
      <c r="J492" s="14"/>
      <c r="K492" s="12"/>
    </row>
    <row r="493" ht="19.5" customHeight="1">
      <c r="A493" s="12"/>
      <c r="C493" s="12"/>
      <c r="D493" s="13"/>
      <c r="F493" s="14"/>
      <c r="G493" s="14"/>
      <c r="H493" s="14"/>
      <c r="I493" s="14"/>
      <c r="J493" s="14"/>
      <c r="K493" s="12"/>
    </row>
    <row r="494" ht="19.5" customHeight="1">
      <c r="A494" s="12"/>
      <c r="C494" s="12"/>
      <c r="D494" s="13"/>
      <c r="F494" s="14"/>
      <c r="G494" s="14"/>
      <c r="H494" s="14"/>
      <c r="I494" s="14"/>
      <c r="J494" s="14"/>
      <c r="K494" s="12"/>
    </row>
    <row r="495" ht="19.5" customHeight="1">
      <c r="A495" s="12"/>
      <c r="C495" s="12"/>
      <c r="D495" s="13"/>
      <c r="F495" s="14"/>
      <c r="G495" s="14"/>
      <c r="H495" s="14"/>
      <c r="I495" s="14"/>
      <c r="J495" s="14"/>
      <c r="K495" s="12"/>
    </row>
    <row r="496" ht="19.5" customHeight="1">
      <c r="A496" s="12"/>
      <c r="C496" s="12"/>
      <c r="D496" s="13"/>
      <c r="F496" s="14"/>
      <c r="G496" s="14"/>
      <c r="H496" s="14"/>
      <c r="I496" s="14"/>
      <c r="J496" s="14"/>
      <c r="K496" s="12"/>
    </row>
    <row r="497" ht="19.5" customHeight="1">
      <c r="A497" s="12"/>
      <c r="C497" s="12"/>
      <c r="D497" s="13"/>
      <c r="F497" s="14"/>
      <c r="G497" s="14"/>
      <c r="H497" s="14"/>
      <c r="I497" s="14"/>
      <c r="J497" s="14"/>
      <c r="K497" s="12"/>
    </row>
    <row r="498" ht="19.5" customHeight="1">
      <c r="A498" s="12"/>
      <c r="C498" s="12"/>
      <c r="D498" s="13"/>
      <c r="F498" s="14"/>
      <c r="G498" s="14"/>
      <c r="H498" s="14"/>
      <c r="I498" s="14"/>
      <c r="J498" s="14"/>
      <c r="K498" s="12"/>
    </row>
    <row r="499" ht="19.5" customHeight="1">
      <c r="A499" s="12"/>
      <c r="C499" s="12"/>
      <c r="D499" s="13"/>
      <c r="F499" s="14"/>
      <c r="G499" s="14"/>
      <c r="H499" s="14"/>
      <c r="I499" s="14"/>
      <c r="J499" s="14"/>
      <c r="K499" s="12"/>
    </row>
    <row r="500" ht="19.5" customHeight="1">
      <c r="A500" s="12"/>
      <c r="C500" s="12"/>
      <c r="D500" s="13"/>
      <c r="F500" s="14"/>
      <c r="G500" s="14"/>
      <c r="H500" s="14"/>
      <c r="I500" s="14"/>
      <c r="J500" s="14"/>
      <c r="K500" s="12"/>
    </row>
    <row r="501" ht="19.5" customHeight="1">
      <c r="A501" s="12"/>
      <c r="C501" s="12"/>
      <c r="D501" s="13"/>
      <c r="F501" s="14"/>
      <c r="G501" s="14"/>
      <c r="H501" s="14"/>
      <c r="I501" s="14"/>
      <c r="J501" s="14"/>
      <c r="K501" s="12"/>
    </row>
    <row r="502" ht="19.5" customHeight="1">
      <c r="A502" s="12"/>
      <c r="C502" s="12"/>
      <c r="D502" s="13"/>
      <c r="F502" s="14"/>
      <c r="G502" s="14"/>
      <c r="H502" s="14"/>
      <c r="I502" s="14"/>
      <c r="J502" s="14"/>
      <c r="K502" s="12"/>
    </row>
    <row r="503" ht="19.5" customHeight="1">
      <c r="A503" s="12"/>
      <c r="C503" s="12"/>
      <c r="D503" s="13"/>
      <c r="F503" s="14"/>
      <c r="G503" s="14"/>
      <c r="H503" s="14"/>
      <c r="I503" s="14"/>
      <c r="J503" s="14"/>
      <c r="K503" s="12"/>
    </row>
    <row r="504" ht="19.5" customHeight="1">
      <c r="A504" s="12"/>
      <c r="C504" s="12"/>
      <c r="D504" s="13"/>
      <c r="F504" s="14"/>
      <c r="G504" s="14"/>
      <c r="H504" s="14"/>
      <c r="I504" s="14"/>
      <c r="J504" s="14"/>
      <c r="K504" s="12"/>
    </row>
    <row r="505" ht="19.5" customHeight="1">
      <c r="A505" s="12"/>
      <c r="C505" s="12"/>
      <c r="D505" s="13"/>
      <c r="F505" s="14"/>
      <c r="G505" s="14"/>
      <c r="H505" s="14"/>
      <c r="I505" s="14"/>
      <c r="J505" s="14"/>
      <c r="K505" s="12"/>
    </row>
    <row r="506" ht="19.5" customHeight="1">
      <c r="A506" s="12"/>
      <c r="C506" s="12"/>
      <c r="D506" s="13"/>
      <c r="F506" s="14"/>
      <c r="G506" s="14"/>
      <c r="H506" s="14"/>
      <c r="I506" s="14"/>
      <c r="J506" s="14"/>
      <c r="K506" s="12"/>
    </row>
    <row r="507" ht="19.5" customHeight="1">
      <c r="A507" s="12"/>
      <c r="C507" s="12"/>
      <c r="D507" s="13"/>
      <c r="F507" s="14"/>
      <c r="G507" s="14"/>
      <c r="H507" s="14"/>
      <c r="I507" s="14"/>
      <c r="J507" s="14"/>
      <c r="K507" s="12"/>
    </row>
    <row r="508" ht="19.5" customHeight="1">
      <c r="A508" s="12"/>
      <c r="C508" s="12"/>
      <c r="D508" s="13"/>
      <c r="F508" s="14"/>
      <c r="G508" s="14"/>
      <c r="H508" s="14"/>
      <c r="I508" s="14"/>
      <c r="J508" s="14"/>
      <c r="K508" s="12"/>
    </row>
    <row r="509" ht="19.5" customHeight="1">
      <c r="A509" s="12"/>
      <c r="C509" s="12"/>
      <c r="D509" s="13"/>
      <c r="F509" s="14"/>
      <c r="G509" s="14"/>
      <c r="H509" s="14"/>
      <c r="I509" s="14"/>
      <c r="J509" s="14"/>
      <c r="K509" s="12"/>
    </row>
    <row r="510" ht="19.5" customHeight="1">
      <c r="A510" s="12"/>
      <c r="C510" s="12"/>
      <c r="D510" s="13"/>
      <c r="F510" s="14"/>
      <c r="G510" s="14"/>
      <c r="H510" s="14"/>
      <c r="I510" s="14"/>
      <c r="J510" s="14"/>
      <c r="K510" s="12"/>
    </row>
    <row r="511" ht="19.5" customHeight="1">
      <c r="A511" s="12"/>
      <c r="C511" s="12"/>
      <c r="D511" s="13"/>
      <c r="F511" s="14"/>
      <c r="G511" s="14"/>
      <c r="H511" s="14"/>
      <c r="I511" s="14"/>
      <c r="J511" s="14"/>
      <c r="K511" s="12"/>
    </row>
    <row r="512" ht="19.5" customHeight="1">
      <c r="A512" s="12"/>
      <c r="C512" s="12"/>
      <c r="D512" s="13"/>
      <c r="F512" s="14"/>
      <c r="G512" s="14"/>
      <c r="H512" s="14"/>
      <c r="I512" s="14"/>
      <c r="J512" s="14"/>
      <c r="K512" s="12"/>
    </row>
    <row r="513" ht="19.5" customHeight="1">
      <c r="A513" s="12"/>
      <c r="C513" s="12"/>
      <c r="D513" s="13"/>
      <c r="F513" s="14"/>
      <c r="G513" s="14"/>
      <c r="H513" s="14"/>
      <c r="I513" s="14"/>
      <c r="J513" s="14"/>
      <c r="K513" s="12"/>
    </row>
    <row r="514" ht="19.5" customHeight="1">
      <c r="A514" s="12"/>
      <c r="C514" s="12"/>
      <c r="D514" s="13"/>
      <c r="F514" s="14"/>
      <c r="G514" s="14"/>
      <c r="H514" s="14"/>
      <c r="I514" s="14"/>
      <c r="J514" s="14"/>
      <c r="K514" s="12"/>
    </row>
    <row r="515" ht="19.5" customHeight="1">
      <c r="A515" s="12"/>
      <c r="C515" s="12"/>
      <c r="D515" s="13"/>
      <c r="F515" s="14"/>
      <c r="G515" s="14"/>
      <c r="H515" s="14"/>
      <c r="I515" s="14"/>
      <c r="J515" s="14"/>
      <c r="K515" s="12"/>
    </row>
    <row r="516" ht="19.5" customHeight="1">
      <c r="A516" s="12"/>
      <c r="C516" s="12"/>
      <c r="D516" s="13"/>
      <c r="F516" s="14"/>
      <c r="G516" s="14"/>
      <c r="H516" s="14"/>
      <c r="I516" s="14"/>
      <c r="J516" s="14"/>
      <c r="K516" s="12"/>
    </row>
    <row r="517" ht="19.5" customHeight="1">
      <c r="A517" s="12"/>
      <c r="C517" s="12"/>
      <c r="D517" s="13"/>
      <c r="F517" s="14"/>
      <c r="G517" s="14"/>
      <c r="H517" s="14"/>
      <c r="I517" s="14"/>
      <c r="J517" s="14"/>
      <c r="K517" s="12"/>
    </row>
    <row r="518" ht="19.5" customHeight="1">
      <c r="A518" s="12"/>
      <c r="C518" s="12"/>
      <c r="D518" s="13"/>
      <c r="F518" s="14"/>
      <c r="G518" s="14"/>
      <c r="H518" s="14"/>
      <c r="I518" s="14"/>
      <c r="J518" s="14"/>
      <c r="K518" s="12"/>
    </row>
    <row r="519" ht="19.5" customHeight="1">
      <c r="A519" s="12"/>
      <c r="C519" s="12"/>
      <c r="D519" s="13"/>
      <c r="F519" s="14"/>
      <c r="G519" s="14"/>
      <c r="H519" s="14"/>
      <c r="I519" s="14"/>
      <c r="J519" s="14"/>
      <c r="K519" s="12"/>
    </row>
    <row r="520" ht="19.5" customHeight="1">
      <c r="A520" s="12"/>
      <c r="C520" s="12"/>
      <c r="D520" s="13"/>
      <c r="F520" s="14"/>
      <c r="G520" s="14"/>
      <c r="H520" s="14"/>
      <c r="I520" s="14"/>
      <c r="J520" s="14"/>
      <c r="K520" s="12"/>
    </row>
    <row r="521" ht="19.5" customHeight="1">
      <c r="A521" s="12"/>
      <c r="C521" s="12"/>
      <c r="D521" s="13"/>
      <c r="F521" s="14"/>
      <c r="G521" s="14"/>
      <c r="H521" s="14"/>
      <c r="I521" s="14"/>
      <c r="J521" s="14"/>
      <c r="K521" s="12"/>
    </row>
    <row r="522" ht="19.5" customHeight="1">
      <c r="A522" s="12"/>
      <c r="C522" s="12"/>
      <c r="D522" s="13"/>
      <c r="F522" s="14"/>
      <c r="G522" s="14"/>
      <c r="H522" s="14"/>
      <c r="I522" s="14"/>
      <c r="J522" s="14"/>
      <c r="K522" s="12"/>
    </row>
    <row r="523" ht="19.5" customHeight="1">
      <c r="A523" s="12"/>
      <c r="C523" s="12"/>
      <c r="D523" s="13"/>
      <c r="F523" s="14"/>
      <c r="G523" s="14"/>
      <c r="H523" s="14"/>
      <c r="I523" s="14"/>
      <c r="J523" s="14"/>
      <c r="K523" s="12"/>
    </row>
    <row r="524" ht="19.5" customHeight="1">
      <c r="A524" s="12"/>
      <c r="C524" s="12"/>
      <c r="D524" s="13"/>
      <c r="F524" s="14"/>
      <c r="G524" s="14"/>
      <c r="H524" s="14"/>
      <c r="I524" s="14"/>
      <c r="J524" s="14"/>
      <c r="K524" s="12"/>
    </row>
    <row r="525" ht="19.5" customHeight="1">
      <c r="A525" s="12"/>
      <c r="C525" s="12"/>
      <c r="D525" s="13"/>
      <c r="F525" s="14"/>
      <c r="G525" s="14"/>
      <c r="H525" s="14"/>
      <c r="I525" s="14"/>
      <c r="J525" s="14"/>
      <c r="K525" s="12"/>
    </row>
    <row r="526" ht="19.5" customHeight="1">
      <c r="A526" s="12"/>
      <c r="C526" s="12"/>
      <c r="D526" s="13"/>
      <c r="F526" s="14"/>
      <c r="G526" s="14"/>
      <c r="H526" s="14"/>
      <c r="I526" s="14"/>
      <c r="J526" s="14"/>
      <c r="K526" s="12"/>
    </row>
    <row r="527" ht="19.5" customHeight="1">
      <c r="A527" s="12"/>
      <c r="C527" s="12"/>
      <c r="D527" s="13"/>
      <c r="F527" s="14"/>
      <c r="G527" s="14"/>
      <c r="H527" s="14"/>
      <c r="I527" s="14"/>
      <c r="J527" s="14"/>
      <c r="K527" s="12"/>
    </row>
    <row r="528" ht="19.5" customHeight="1">
      <c r="A528" s="12"/>
      <c r="C528" s="12"/>
      <c r="D528" s="13"/>
      <c r="F528" s="14"/>
      <c r="G528" s="14"/>
      <c r="H528" s="14"/>
      <c r="I528" s="14"/>
      <c r="J528" s="14"/>
      <c r="K528" s="12"/>
    </row>
    <row r="529" ht="19.5" customHeight="1">
      <c r="A529" s="12"/>
      <c r="C529" s="12"/>
      <c r="D529" s="13"/>
      <c r="F529" s="14"/>
      <c r="G529" s="14"/>
      <c r="H529" s="14"/>
      <c r="I529" s="14"/>
      <c r="J529" s="14"/>
      <c r="K529" s="12"/>
    </row>
    <row r="530" ht="19.5" customHeight="1">
      <c r="A530" s="12"/>
      <c r="C530" s="12"/>
      <c r="D530" s="13"/>
      <c r="F530" s="14"/>
      <c r="G530" s="14"/>
      <c r="H530" s="14"/>
      <c r="I530" s="14"/>
      <c r="J530" s="14"/>
      <c r="K530" s="12"/>
    </row>
    <row r="531" ht="19.5" customHeight="1">
      <c r="A531" s="12"/>
      <c r="C531" s="12"/>
      <c r="D531" s="13"/>
      <c r="F531" s="14"/>
      <c r="G531" s="14"/>
      <c r="H531" s="14"/>
      <c r="I531" s="14"/>
      <c r="J531" s="14"/>
      <c r="K531" s="12"/>
    </row>
    <row r="532" ht="19.5" customHeight="1">
      <c r="A532" s="12"/>
      <c r="C532" s="12"/>
      <c r="D532" s="13"/>
      <c r="F532" s="14"/>
      <c r="G532" s="14"/>
      <c r="H532" s="14"/>
      <c r="I532" s="14"/>
      <c r="J532" s="14"/>
      <c r="K532" s="12"/>
    </row>
    <row r="533" ht="19.5" customHeight="1">
      <c r="A533" s="12"/>
      <c r="C533" s="12"/>
      <c r="D533" s="13"/>
      <c r="F533" s="14"/>
      <c r="G533" s="14"/>
      <c r="H533" s="14"/>
      <c r="I533" s="14"/>
      <c r="J533" s="14"/>
      <c r="K533" s="12"/>
    </row>
    <row r="534" ht="19.5" customHeight="1">
      <c r="A534" s="12"/>
      <c r="C534" s="12"/>
      <c r="D534" s="13"/>
      <c r="F534" s="14"/>
      <c r="G534" s="14"/>
      <c r="H534" s="14"/>
      <c r="I534" s="14"/>
      <c r="J534" s="14"/>
      <c r="K534" s="12"/>
    </row>
    <row r="535" ht="19.5" customHeight="1">
      <c r="A535" s="12"/>
      <c r="C535" s="12"/>
      <c r="D535" s="13"/>
      <c r="F535" s="14"/>
      <c r="G535" s="14"/>
      <c r="H535" s="14"/>
      <c r="I535" s="14"/>
      <c r="J535" s="14"/>
      <c r="K535" s="12"/>
    </row>
    <row r="536" ht="19.5" customHeight="1">
      <c r="A536" s="12"/>
      <c r="C536" s="12"/>
      <c r="D536" s="13"/>
      <c r="F536" s="14"/>
      <c r="G536" s="14"/>
      <c r="H536" s="14"/>
      <c r="I536" s="14"/>
      <c r="J536" s="14"/>
      <c r="K536" s="12"/>
    </row>
    <row r="537" ht="19.5" customHeight="1">
      <c r="A537" s="12"/>
      <c r="C537" s="12"/>
      <c r="D537" s="13"/>
      <c r="F537" s="14"/>
      <c r="G537" s="14"/>
      <c r="H537" s="14"/>
      <c r="I537" s="14"/>
      <c r="J537" s="14"/>
      <c r="K537" s="12"/>
    </row>
    <row r="538" ht="19.5" customHeight="1">
      <c r="A538" s="12"/>
      <c r="C538" s="12"/>
      <c r="D538" s="13"/>
      <c r="F538" s="14"/>
      <c r="G538" s="14"/>
      <c r="H538" s="14"/>
      <c r="I538" s="14"/>
      <c r="J538" s="14"/>
      <c r="K538" s="12"/>
    </row>
    <row r="539" ht="19.5" customHeight="1">
      <c r="A539" s="12"/>
      <c r="C539" s="12"/>
      <c r="D539" s="13"/>
      <c r="F539" s="14"/>
      <c r="G539" s="14"/>
      <c r="H539" s="14"/>
      <c r="I539" s="14"/>
      <c r="J539" s="14"/>
      <c r="K539" s="12"/>
    </row>
    <row r="540" ht="19.5" customHeight="1">
      <c r="A540" s="12"/>
      <c r="C540" s="12"/>
      <c r="D540" s="13"/>
      <c r="F540" s="14"/>
      <c r="G540" s="14"/>
      <c r="H540" s="14"/>
      <c r="I540" s="14"/>
      <c r="J540" s="14"/>
      <c r="K540" s="12"/>
    </row>
    <row r="541" ht="19.5" customHeight="1">
      <c r="A541" s="12"/>
      <c r="C541" s="12"/>
      <c r="D541" s="13"/>
      <c r="F541" s="14"/>
      <c r="G541" s="14"/>
      <c r="H541" s="14"/>
      <c r="I541" s="14"/>
      <c r="J541" s="14"/>
      <c r="K541" s="12"/>
    </row>
    <row r="542" ht="19.5" customHeight="1">
      <c r="A542" s="12"/>
      <c r="C542" s="12"/>
      <c r="D542" s="13"/>
      <c r="F542" s="14"/>
      <c r="G542" s="14"/>
      <c r="H542" s="14"/>
      <c r="I542" s="14"/>
      <c r="J542" s="14"/>
      <c r="K542" s="12"/>
    </row>
    <row r="543" ht="19.5" customHeight="1">
      <c r="A543" s="12"/>
      <c r="C543" s="12"/>
      <c r="D543" s="13"/>
      <c r="F543" s="14"/>
      <c r="G543" s="14"/>
      <c r="H543" s="14"/>
      <c r="I543" s="14"/>
      <c r="J543" s="14"/>
      <c r="K543" s="12"/>
    </row>
    <row r="544" ht="19.5" customHeight="1">
      <c r="A544" s="12"/>
      <c r="C544" s="12"/>
      <c r="D544" s="13"/>
      <c r="F544" s="14"/>
      <c r="G544" s="14"/>
      <c r="H544" s="14"/>
      <c r="I544" s="14"/>
      <c r="J544" s="14"/>
      <c r="K544" s="12"/>
    </row>
    <row r="545" ht="19.5" customHeight="1">
      <c r="A545" s="12"/>
      <c r="C545" s="12"/>
      <c r="D545" s="13"/>
      <c r="F545" s="14"/>
      <c r="G545" s="14"/>
      <c r="H545" s="14"/>
      <c r="I545" s="14"/>
      <c r="J545" s="14"/>
      <c r="K545" s="12"/>
    </row>
    <row r="546" ht="19.5" customHeight="1">
      <c r="A546" s="12"/>
      <c r="C546" s="12"/>
      <c r="D546" s="13"/>
      <c r="F546" s="14"/>
      <c r="G546" s="14"/>
      <c r="H546" s="14"/>
      <c r="I546" s="14"/>
      <c r="J546" s="14"/>
      <c r="K546" s="12"/>
    </row>
    <row r="547" ht="19.5" customHeight="1">
      <c r="A547" s="12"/>
      <c r="C547" s="12"/>
      <c r="D547" s="13"/>
      <c r="F547" s="14"/>
      <c r="G547" s="14"/>
      <c r="H547" s="14"/>
      <c r="I547" s="14"/>
      <c r="J547" s="14"/>
      <c r="K547" s="12"/>
    </row>
    <row r="548" ht="19.5" customHeight="1">
      <c r="A548" s="12"/>
      <c r="C548" s="12"/>
      <c r="D548" s="13"/>
      <c r="F548" s="14"/>
      <c r="G548" s="14"/>
      <c r="H548" s="14"/>
      <c r="I548" s="14"/>
      <c r="J548" s="14"/>
      <c r="K548" s="12"/>
    </row>
    <row r="549" ht="19.5" customHeight="1">
      <c r="A549" s="12"/>
      <c r="C549" s="12"/>
      <c r="D549" s="13"/>
      <c r="F549" s="14"/>
      <c r="G549" s="14"/>
      <c r="H549" s="14"/>
      <c r="I549" s="14"/>
      <c r="J549" s="14"/>
      <c r="K549" s="12"/>
    </row>
    <row r="550" ht="19.5" customHeight="1">
      <c r="A550" s="12"/>
      <c r="C550" s="12"/>
      <c r="D550" s="13"/>
      <c r="F550" s="14"/>
      <c r="G550" s="14"/>
      <c r="H550" s="14"/>
      <c r="I550" s="14"/>
      <c r="J550" s="14"/>
      <c r="K550" s="12"/>
    </row>
    <row r="551" ht="19.5" customHeight="1">
      <c r="A551" s="12"/>
      <c r="C551" s="12"/>
      <c r="D551" s="13"/>
      <c r="F551" s="14"/>
      <c r="G551" s="14"/>
      <c r="H551" s="14"/>
      <c r="I551" s="14"/>
      <c r="J551" s="14"/>
      <c r="K551" s="12"/>
    </row>
    <row r="552" ht="19.5" customHeight="1">
      <c r="A552" s="12"/>
      <c r="C552" s="12"/>
      <c r="D552" s="13"/>
      <c r="F552" s="14"/>
      <c r="G552" s="14"/>
      <c r="H552" s="14"/>
      <c r="I552" s="14"/>
      <c r="J552" s="14"/>
      <c r="K552" s="12"/>
    </row>
    <row r="553" ht="19.5" customHeight="1">
      <c r="A553" s="12"/>
      <c r="C553" s="12"/>
      <c r="D553" s="13"/>
      <c r="F553" s="14"/>
      <c r="G553" s="14"/>
      <c r="H553" s="14"/>
      <c r="I553" s="14"/>
      <c r="J553" s="14"/>
      <c r="K553" s="12"/>
    </row>
    <row r="554" ht="19.5" customHeight="1">
      <c r="A554" s="12"/>
      <c r="C554" s="12"/>
      <c r="D554" s="13"/>
      <c r="F554" s="14"/>
      <c r="G554" s="14"/>
      <c r="H554" s="14"/>
      <c r="I554" s="14"/>
      <c r="J554" s="14"/>
      <c r="K554" s="12"/>
    </row>
    <row r="555" ht="19.5" customHeight="1">
      <c r="A555" s="12"/>
      <c r="C555" s="12"/>
      <c r="D555" s="13"/>
      <c r="F555" s="14"/>
      <c r="G555" s="14"/>
      <c r="H555" s="14"/>
      <c r="I555" s="14"/>
      <c r="J555" s="14"/>
      <c r="K555" s="12"/>
    </row>
    <row r="556" ht="19.5" customHeight="1">
      <c r="A556" s="12"/>
      <c r="C556" s="12"/>
      <c r="D556" s="13"/>
      <c r="F556" s="14"/>
      <c r="G556" s="14"/>
      <c r="H556" s="14"/>
      <c r="I556" s="14"/>
      <c r="J556" s="14"/>
      <c r="K556" s="12"/>
    </row>
    <row r="557" ht="19.5" customHeight="1">
      <c r="A557" s="12"/>
      <c r="C557" s="12"/>
      <c r="D557" s="13"/>
      <c r="F557" s="14"/>
      <c r="G557" s="14"/>
      <c r="H557" s="14"/>
      <c r="I557" s="14"/>
      <c r="J557" s="14"/>
      <c r="K557" s="12"/>
    </row>
    <row r="558" ht="19.5" customHeight="1">
      <c r="A558" s="12"/>
      <c r="C558" s="12"/>
      <c r="D558" s="13"/>
      <c r="F558" s="14"/>
      <c r="G558" s="14"/>
      <c r="H558" s="14"/>
      <c r="I558" s="14"/>
      <c r="J558" s="14"/>
      <c r="K558" s="12"/>
    </row>
    <row r="559" ht="19.5" customHeight="1">
      <c r="A559" s="12"/>
      <c r="C559" s="12"/>
      <c r="D559" s="13"/>
      <c r="F559" s="14"/>
      <c r="G559" s="14"/>
      <c r="H559" s="14"/>
      <c r="I559" s="14"/>
      <c r="J559" s="14"/>
      <c r="K559" s="12"/>
    </row>
    <row r="560" ht="19.5" customHeight="1">
      <c r="A560" s="12"/>
      <c r="C560" s="12"/>
      <c r="D560" s="13"/>
      <c r="F560" s="14"/>
      <c r="G560" s="14"/>
      <c r="H560" s="14"/>
      <c r="I560" s="14"/>
      <c r="J560" s="14"/>
      <c r="K560" s="12"/>
    </row>
    <row r="561" ht="19.5" customHeight="1">
      <c r="A561" s="12"/>
      <c r="C561" s="12"/>
      <c r="D561" s="13"/>
      <c r="F561" s="14"/>
      <c r="G561" s="14"/>
      <c r="H561" s="14"/>
      <c r="I561" s="14"/>
      <c r="J561" s="14"/>
      <c r="K561" s="12"/>
    </row>
    <row r="562" ht="19.5" customHeight="1">
      <c r="A562" s="12"/>
      <c r="C562" s="12"/>
      <c r="D562" s="13"/>
      <c r="F562" s="14"/>
      <c r="G562" s="14"/>
      <c r="H562" s="14"/>
      <c r="I562" s="14"/>
      <c r="J562" s="14"/>
      <c r="K562" s="12"/>
    </row>
    <row r="563" ht="19.5" customHeight="1">
      <c r="A563" s="12"/>
      <c r="C563" s="12"/>
      <c r="D563" s="13"/>
      <c r="F563" s="14"/>
      <c r="G563" s="14"/>
      <c r="H563" s="14"/>
      <c r="I563" s="14"/>
      <c r="J563" s="14"/>
      <c r="K563" s="12"/>
    </row>
    <row r="564" ht="19.5" customHeight="1">
      <c r="A564" s="12"/>
      <c r="C564" s="12"/>
      <c r="D564" s="13"/>
      <c r="F564" s="14"/>
      <c r="G564" s="14"/>
      <c r="H564" s="14"/>
      <c r="I564" s="14"/>
      <c r="J564" s="14"/>
      <c r="K564" s="12"/>
    </row>
    <row r="565" ht="19.5" customHeight="1">
      <c r="A565" s="12"/>
      <c r="C565" s="12"/>
      <c r="D565" s="13"/>
      <c r="F565" s="14"/>
      <c r="G565" s="14"/>
      <c r="H565" s="14"/>
      <c r="I565" s="14"/>
      <c r="J565" s="14"/>
      <c r="K565" s="12"/>
    </row>
    <row r="566" ht="19.5" customHeight="1">
      <c r="A566" s="12"/>
      <c r="C566" s="12"/>
      <c r="D566" s="13"/>
      <c r="F566" s="14"/>
      <c r="G566" s="14"/>
      <c r="H566" s="14"/>
      <c r="I566" s="14"/>
      <c r="J566" s="14"/>
      <c r="K566" s="12"/>
    </row>
    <row r="567" ht="19.5" customHeight="1">
      <c r="A567" s="12"/>
      <c r="C567" s="12"/>
      <c r="D567" s="13"/>
      <c r="F567" s="14"/>
      <c r="G567" s="14"/>
      <c r="H567" s="14"/>
      <c r="I567" s="14"/>
      <c r="J567" s="14"/>
      <c r="K567" s="12"/>
    </row>
    <row r="568" ht="19.5" customHeight="1">
      <c r="A568" s="12"/>
      <c r="C568" s="12"/>
      <c r="D568" s="13"/>
      <c r="F568" s="14"/>
      <c r="G568" s="14"/>
      <c r="H568" s="14"/>
      <c r="I568" s="14"/>
      <c r="J568" s="14"/>
      <c r="K568" s="12"/>
    </row>
    <row r="569" ht="19.5" customHeight="1">
      <c r="A569" s="12"/>
      <c r="C569" s="12"/>
      <c r="D569" s="13"/>
      <c r="F569" s="14"/>
      <c r="G569" s="14"/>
      <c r="H569" s="14"/>
      <c r="I569" s="14"/>
      <c r="J569" s="14"/>
      <c r="K569" s="12"/>
    </row>
    <row r="570" ht="19.5" customHeight="1">
      <c r="A570" s="12"/>
      <c r="C570" s="12"/>
      <c r="D570" s="13"/>
      <c r="F570" s="14"/>
      <c r="G570" s="14"/>
      <c r="H570" s="14"/>
      <c r="I570" s="14"/>
      <c r="J570" s="14"/>
      <c r="K570" s="12"/>
    </row>
    <row r="571" ht="19.5" customHeight="1">
      <c r="A571" s="12"/>
      <c r="C571" s="12"/>
      <c r="D571" s="13"/>
      <c r="F571" s="14"/>
      <c r="G571" s="14"/>
      <c r="H571" s="14"/>
      <c r="I571" s="14"/>
      <c r="J571" s="14"/>
      <c r="K571" s="12"/>
    </row>
    <row r="572" ht="19.5" customHeight="1">
      <c r="A572" s="12"/>
      <c r="C572" s="12"/>
      <c r="D572" s="13"/>
      <c r="F572" s="14"/>
      <c r="G572" s="14"/>
      <c r="H572" s="14"/>
      <c r="I572" s="14"/>
      <c r="J572" s="14"/>
      <c r="K572" s="12"/>
    </row>
    <row r="573" ht="19.5" customHeight="1">
      <c r="A573" s="12"/>
      <c r="C573" s="12"/>
      <c r="D573" s="13"/>
      <c r="F573" s="14"/>
      <c r="G573" s="14"/>
      <c r="H573" s="14"/>
      <c r="I573" s="14"/>
      <c r="J573" s="14"/>
      <c r="K573" s="12"/>
    </row>
    <row r="574" ht="19.5" customHeight="1">
      <c r="A574" s="12"/>
      <c r="C574" s="12"/>
      <c r="D574" s="13"/>
      <c r="F574" s="14"/>
      <c r="G574" s="14"/>
      <c r="H574" s="14"/>
      <c r="I574" s="14"/>
      <c r="J574" s="14"/>
      <c r="K574" s="12"/>
    </row>
    <row r="575" ht="19.5" customHeight="1">
      <c r="A575" s="12"/>
      <c r="C575" s="12"/>
      <c r="D575" s="13"/>
      <c r="F575" s="14"/>
      <c r="G575" s="14"/>
      <c r="H575" s="14"/>
      <c r="I575" s="14"/>
      <c r="J575" s="14"/>
      <c r="K575" s="12"/>
    </row>
    <row r="576" ht="19.5" customHeight="1">
      <c r="A576" s="12"/>
      <c r="C576" s="12"/>
      <c r="D576" s="13"/>
      <c r="F576" s="14"/>
      <c r="G576" s="14"/>
      <c r="H576" s="14"/>
      <c r="I576" s="14"/>
      <c r="J576" s="14"/>
      <c r="K576" s="12"/>
    </row>
    <row r="577" ht="19.5" customHeight="1">
      <c r="A577" s="12"/>
      <c r="C577" s="12"/>
      <c r="D577" s="13"/>
      <c r="F577" s="14"/>
      <c r="G577" s="14"/>
      <c r="H577" s="14"/>
      <c r="I577" s="14"/>
      <c r="J577" s="14"/>
      <c r="K577" s="12"/>
    </row>
    <row r="578" ht="19.5" customHeight="1">
      <c r="A578" s="12"/>
      <c r="C578" s="12"/>
      <c r="D578" s="13"/>
      <c r="F578" s="14"/>
      <c r="G578" s="14"/>
      <c r="H578" s="14"/>
      <c r="I578" s="14"/>
      <c r="J578" s="14"/>
      <c r="K578" s="12"/>
    </row>
    <row r="579" ht="19.5" customHeight="1">
      <c r="A579" s="12"/>
      <c r="C579" s="12"/>
      <c r="D579" s="13"/>
      <c r="F579" s="14"/>
      <c r="G579" s="14"/>
      <c r="H579" s="14"/>
      <c r="I579" s="14"/>
      <c r="J579" s="14"/>
      <c r="K579" s="12"/>
    </row>
    <row r="580" ht="19.5" customHeight="1">
      <c r="A580" s="12"/>
      <c r="C580" s="12"/>
      <c r="D580" s="13"/>
      <c r="F580" s="14"/>
      <c r="G580" s="14"/>
      <c r="H580" s="14"/>
      <c r="I580" s="14"/>
      <c r="J580" s="14"/>
      <c r="K580" s="12"/>
    </row>
    <row r="581" ht="19.5" customHeight="1">
      <c r="A581" s="12"/>
      <c r="C581" s="12"/>
      <c r="D581" s="13"/>
      <c r="F581" s="14"/>
      <c r="G581" s="14"/>
      <c r="H581" s="14"/>
      <c r="I581" s="14"/>
      <c r="J581" s="14"/>
      <c r="K581" s="12"/>
    </row>
    <row r="582" ht="19.5" customHeight="1">
      <c r="A582" s="12"/>
      <c r="C582" s="12"/>
      <c r="D582" s="13"/>
      <c r="F582" s="14"/>
      <c r="G582" s="14"/>
      <c r="H582" s="14"/>
      <c r="I582" s="14"/>
      <c r="J582" s="14"/>
      <c r="K582" s="12"/>
    </row>
    <row r="583" ht="19.5" customHeight="1">
      <c r="A583" s="12"/>
      <c r="C583" s="12"/>
      <c r="D583" s="13"/>
      <c r="F583" s="14"/>
      <c r="G583" s="14"/>
      <c r="H583" s="14"/>
      <c r="I583" s="14"/>
      <c r="J583" s="14"/>
      <c r="K583" s="12"/>
    </row>
    <row r="584" ht="19.5" customHeight="1">
      <c r="A584" s="12"/>
      <c r="C584" s="12"/>
      <c r="D584" s="13"/>
      <c r="F584" s="14"/>
      <c r="G584" s="14"/>
      <c r="H584" s="14"/>
      <c r="I584" s="14"/>
      <c r="J584" s="14"/>
      <c r="K584" s="12"/>
    </row>
    <row r="585" ht="19.5" customHeight="1">
      <c r="A585" s="12"/>
      <c r="C585" s="12"/>
      <c r="D585" s="13"/>
      <c r="F585" s="14"/>
      <c r="G585" s="14"/>
      <c r="H585" s="14"/>
      <c r="I585" s="14"/>
      <c r="J585" s="14"/>
      <c r="K585" s="12"/>
    </row>
    <row r="586" ht="19.5" customHeight="1">
      <c r="A586" s="12"/>
      <c r="C586" s="12"/>
      <c r="D586" s="13"/>
      <c r="F586" s="14"/>
      <c r="G586" s="14"/>
      <c r="H586" s="14"/>
      <c r="I586" s="14"/>
      <c r="J586" s="14"/>
      <c r="K586" s="12"/>
    </row>
    <row r="587" ht="19.5" customHeight="1">
      <c r="A587" s="12"/>
      <c r="C587" s="12"/>
      <c r="D587" s="13"/>
      <c r="F587" s="14"/>
      <c r="G587" s="14"/>
      <c r="H587" s="14"/>
      <c r="I587" s="14"/>
      <c r="J587" s="14"/>
      <c r="K587" s="12"/>
    </row>
    <row r="588" ht="19.5" customHeight="1">
      <c r="A588" s="12"/>
      <c r="C588" s="12"/>
      <c r="D588" s="13"/>
      <c r="F588" s="14"/>
      <c r="G588" s="14"/>
      <c r="H588" s="14"/>
      <c r="I588" s="14"/>
      <c r="J588" s="14"/>
      <c r="K588" s="12"/>
    </row>
    <row r="589" ht="19.5" customHeight="1">
      <c r="A589" s="12"/>
      <c r="C589" s="12"/>
      <c r="D589" s="13"/>
      <c r="F589" s="14"/>
      <c r="G589" s="14"/>
      <c r="H589" s="14"/>
      <c r="I589" s="14"/>
      <c r="J589" s="14"/>
      <c r="K589" s="12"/>
    </row>
    <row r="590" ht="19.5" customHeight="1">
      <c r="A590" s="12"/>
      <c r="C590" s="12"/>
      <c r="D590" s="13"/>
      <c r="F590" s="14"/>
      <c r="G590" s="14"/>
      <c r="H590" s="14"/>
      <c r="I590" s="14"/>
      <c r="J590" s="14"/>
      <c r="K590" s="12"/>
    </row>
    <row r="591" ht="19.5" customHeight="1">
      <c r="A591" s="12"/>
      <c r="C591" s="12"/>
      <c r="D591" s="13"/>
      <c r="F591" s="14"/>
      <c r="G591" s="14"/>
      <c r="H591" s="14"/>
      <c r="I591" s="14"/>
      <c r="J591" s="14"/>
      <c r="K591" s="12"/>
    </row>
    <row r="592" ht="19.5" customHeight="1">
      <c r="A592" s="12"/>
      <c r="C592" s="12"/>
      <c r="D592" s="13"/>
      <c r="F592" s="14"/>
      <c r="G592" s="14"/>
      <c r="H592" s="14"/>
      <c r="I592" s="14"/>
      <c r="J592" s="14"/>
      <c r="K592" s="12"/>
    </row>
    <row r="593" ht="19.5" customHeight="1">
      <c r="A593" s="12"/>
      <c r="C593" s="12"/>
      <c r="D593" s="13"/>
      <c r="F593" s="14"/>
      <c r="G593" s="14"/>
      <c r="H593" s="14"/>
      <c r="I593" s="14"/>
      <c r="J593" s="14"/>
      <c r="K593" s="12"/>
    </row>
    <row r="594" ht="19.5" customHeight="1">
      <c r="A594" s="12"/>
      <c r="C594" s="12"/>
      <c r="D594" s="13"/>
      <c r="F594" s="14"/>
      <c r="G594" s="14"/>
      <c r="H594" s="14"/>
      <c r="I594" s="14"/>
      <c r="J594" s="14"/>
      <c r="K594" s="12"/>
    </row>
    <row r="595" ht="19.5" customHeight="1">
      <c r="A595" s="12"/>
      <c r="C595" s="12"/>
      <c r="D595" s="13"/>
      <c r="F595" s="14"/>
      <c r="G595" s="14"/>
      <c r="H595" s="14"/>
      <c r="I595" s="14"/>
      <c r="J595" s="14"/>
      <c r="K595" s="12"/>
    </row>
    <row r="596" ht="19.5" customHeight="1">
      <c r="A596" s="12"/>
      <c r="C596" s="12"/>
      <c r="D596" s="13"/>
      <c r="F596" s="14"/>
      <c r="G596" s="14"/>
      <c r="H596" s="14"/>
      <c r="I596" s="14"/>
      <c r="J596" s="14"/>
      <c r="K596" s="12"/>
    </row>
    <row r="597" ht="19.5" customHeight="1">
      <c r="A597" s="12"/>
      <c r="C597" s="12"/>
      <c r="D597" s="13"/>
      <c r="F597" s="14"/>
      <c r="G597" s="14"/>
      <c r="H597" s="14"/>
      <c r="I597" s="14"/>
      <c r="J597" s="14"/>
      <c r="K597" s="12"/>
    </row>
    <row r="598" ht="19.5" customHeight="1">
      <c r="A598" s="12"/>
      <c r="C598" s="12"/>
      <c r="D598" s="13"/>
      <c r="F598" s="14"/>
      <c r="G598" s="14"/>
      <c r="H598" s="14"/>
      <c r="I598" s="14"/>
      <c r="J598" s="14"/>
      <c r="K598" s="12"/>
    </row>
    <row r="599" ht="19.5" customHeight="1">
      <c r="A599" s="12"/>
      <c r="C599" s="12"/>
      <c r="D599" s="13"/>
      <c r="F599" s="14"/>
      <c r="G599" s="14"/>
      <c r="H599" s="14"/>
      <c r="I599" s="14"/>
      <c r="J599" s="14"/>
      <c r="K599" s="12"/>
    </row>
    <row r="600" ht="19.5" customHeight="1">
      <c r="A600" s="12"/>
      <c r="C600" s="12"/>
      <c r="D600" s="13"/>
      <c r="F600" s="14"/>
      <c r="G600" s="14"/>
      <c r="H600" s="14"/>
      <c r="I600" s="14"/>
      <c r="J600" s="14"/>
      <c r="K600" s="12"/>
    </row>
    <row r="601" ht="19.5" customHeight="1">
      <c r="A601" s="12"/>
      <c r="C601" s="12"/>
      <c r="D601" s="13"/>
      <c r="F601" s="14"/>
      <c r="G601" s="14"/>
      <c r="H601" s="14"/>
      <c r="I601" s="14"/>
      <c r="J601" s="14"/>
      <c r="K601" s="12"/>
    </row>
    <row r="602" ht="19.5" customHeight="1">
      <c r="A602" s="12"/>
      <c r="C602" s="12"/>
      <c r="D602" s="13"/>
      <c r="F602" s="14"/>
      <c r="G602" s="14"/>
      <c r="H602" s="14"/>
      <c r="I602" s="14"/>
      <c r="J602" s="14"/>
      <c r="K602" s="12"/>
    </row>
    <row r="603" ht="19.5" customHeight="1">
      <c r="A603" s="12"/>
      <c r="C603" s="12"/>
      <c r="D603" s="13"/>
      <c r="F603" s="14"/>
      <c r="G603" s="14"/>
      <c r="H603" s="14"/>
      <c r="I603" s="14"/>
      <c r="J603" s="14"/>
      <c r="K603" s="12"/>
    </row>
    <row r="604" ht="19.5" customHeight="1">
      <c r="A604" s="12"/>
      <c r="C604" s="12"/>
      <c r="D604" s="13"/>
      <c r="F604" s="14"/>
      <c r="G604" s="14"/>
      <c r="H604" s="14"/>
      <c r="I604" s="14"/>
      <c r="J604" s="14"/>
      <c r="K604" s="12"/>
    </row>
    <row r="605" ht="19.5" customHeight="1">
      <c r="A605" s="12"/>
      <c r="C605" s="12"/>
      <c r="D605" s="13"/>
      <c r="F605" s="14"/>
      <c r="G605" s="14"/>
      <c r="H605" s="14"/>
      <c r="I605" s="14"/>
      <c r="J605" s="14"/>
      <c r="K605" s="12"/>
    </row>
    <row r="606" ht="19.5" customHeight="1">
      <c r="A606" s="12"/>
      <c r="C606" s="12"/>
      <c r="D606" s="13"/>
      <c r="F606" s="14"/>
      <c r="G606" s="14"/>
      <c r="H606" s="14"/>
      <c r="I606" s="14"/>
      <c r="J606" s="14"/>
      <c r="K606" s="12"/>
    </row>
    <row r="607" ht="19.5" customHeight="1">
      <c r="A607" s="12"/>
      <c r="C607" s="12"/>
      <c r="D607" s="13"/>
      <c r="F607" s="14"/>
      <c r="G607" s="14"/>
      <c r="H607" s="14"/>
      <c r="I607" s="14"/>
      <c r="J607" s="14"/>
      <c r="K607" s="12"/>
    </row>
    <row r="608" ht="19.5" customHeight="1">
      <c r="A608" s="12"/>
      <c r="C608" s="12"/>
      <c r="D608" s="13"/>
      <c r="F608" s="14"/>
      <c r="G608" s="14"/>
      <c r="H608" s="14"/>
      <c r="I608" s="14"/>
      <c r="J608" s="14"/>
      <c r="K608" s="12"/>
    </row>
    <row r="609" ht="19.5" customHeight="1">
      <c r="A609" s="12"/>
      <c r="C609" s="12"/>
      <c r="D609" s="13"/>
      <c r="F609" s="14"/>
      <c r="G609" s="14"/>
      <c r="H609" s="14"/>
      <c r="I609" s="14"/>
      <c r="J609" s="14"/>
      <c r="K609" s="12"/>
    </row>
    <row r="610" ht="19.5" customHeight="1">
      <c r="A610" s="12"/>
      <c r="C610" s="12"/>
      <c r="D610" s="13"/>
      <c r="F610" s="14"/>
      <c r="G610" s="14"/>
      <c r="H610" s="14"/>
      <c r="I610" s="14"/>
      <c r="J610" s="14"/>
      <c r="K610" s="12"/>
    </row>
    <row r="611" ht="19.5" customHeight="1">
      <c r="A611" s="12"/>
      <c r="C611" s="12"/>
      <c r="D611" s="13"/>
      <c r="F611" s="14"/>
      <c r="G611" s="14"/>
      <c r="H611" s="14"/>
      <c r="I611" s="14"/>
      <c r="J611" s="14"/>
      <c r="K611" s="12"/>
    </row>
    <row r="612" ht="19.5" customHeight="1">
      <c r="A612" s="12"/>
      <c r="C612" s="12"/>
      <c r="D612" s="13"/>
      <c r="F612" s="14"/>
      <c r="G612" s="14"/>
      <c r="H612" s="14"/>
      <c r="I612" s="14"/>
      <c r="J612" s="14"/>
      <c r="K612" s="12"/>
    </row>
    <row r="613" ht="19.5" customHeight="1">
      <c r="A613" s="12"/>
      <c r="C613" s="12"/>
      <c r="D613" s="13"/>
      <c r="F613" s="14"/>
      <c r="G613" s="14"/>
      <c r="H613" s="14"/>
      <c r="I613" s="14"/>
      <c r="J613" s="14"/>
      <c r="K613" s="12"/>
    </row>
    <row r="614" ht="19.5" customHeight="1">
      <c r="A614" s="12"/>
      <c r="C614" s="12"/>
      <c r="D614" s="13"/>
      <c r="F614" s="14"/>
      <c r="G614" s="14"/>
      <c r="H614" s="14"/>
      <c r="I614" s="14"/>
      <c r="J614" s="14"/>
      <c r="K614" s="12"/>
    </row>
    <row r="615" ht="19.5" customHeight="1">
      <c r="A615" s="12"/>
      <c r="C615" s="12"/>
      <c r="D615" s="13"/>
      <c r="F615" s="14"/>
      <c r="G615" s="14"/>
      <c r="H615" s="14"/>
      <c r="I615" s="14"/>
      <c r="J615" s="14"/>
      <c r="K615" s="12"/>
    </row>
    <row r="616" ht="19.5" customHeight="1">
      <c r="A616" s="12"/>
      <c r="C616" s="12"/>
      <c r="D616" s="13"/>
      <c r="F616" s="14"/>
      <c r="G616" s="14"/>
      <c r="H616" s="14"/>
      <c r="I616" s="14"/>
      <c r="J616" s="14"/>
      <c r="K616" s="12"/>
    </row>
    <row r="617" ht="19.5" customHeight="1">
      <c r="A617" s="12"/>
      <c r="C617" s="12"/>
      <c r="D617" s="13"/>
      <c r="F617" s="14"/>
      <c r="G617" s="14"/>
      <c r="H617" s="14"/>
      <c r="I617" s="14"/>
      <c r="J617" s="14"/>
      <c r="K617" s="12"/>
    </row>
    <row r="618" ht="19.5" customHeight="1">
      <c r="A618" s="12"/>
      <c r="C618" s="12"/>
      <c r="D618" s="13"/>
      <c r="F618" s="14"/>
      <c r="G618" s="14"/>
      <c r="H618" s="14"/>
      <c r="I618" s="14"/>
      <c r="J618" s="14"/>
      <c r="K618" s="12"/>
    </row>
    <row r="619" ht="19.5" customHeight="1">
      <c r="A619" s="12"/>
      <c r="C619" s="12"/>
      <c r="D619" s="13"/>
      <c r="F619" s="14"/>
      <c r="G619" s="14"/>
      <c r="H619" s="14"/>
      <c r="I619" s="14"/>
      <c r="J619" s="14"/>
      <c r="K619" s="12"/>
    </row>
    <row r="620" ht="19.5" customHeight="1">
      <c r="A620" s="12"/>
      <c r="C620" s="12"/>
      <c r="D620" s="13"/>
      <c r="F620" s="14"/>
      <c r="G620" s="14"/>
      <c r="H620" s="14"/>
      <c r="I620" s="14"/>
      <c r="J620" s="14"/>
      <c r="K620" s="12"/>
    </row>
    <row r="621" ht="19.5" customHeight="1">
      <c r="A621" s="12"/>
      <c r="C621" s="12"/>
      <c r="D621" s="13"/>
      <c r="F621" s="14"/>
      <c r="G621" s="14"/>
      <c r="H621" s="14"/>
      <c r="I621" s="14"/>
      <c r="J621" s="14"/>
      <c r="K621" s="12"/>
    </row>
    <row r="622" ht="19.5" customHeight="1">
      <c r="A622" s="12"/>
      <c r="C622" s="12"/>
      <c r="D622" s="13"/>
      <c r="F622" s="14"/>
      <c r="G622" s="14"/>
      <c r="H622" s="14"/>
      <c r="I622" s="14"/>
      <c r="J622" s="14"/>
      <c r="K622" s="12"/>
    </row>
    <row r="623" ht="19.5" customHeight="1">
      <c r="A623" s="12"/>
      <c r="C623" s="12"/>
      <c r="D623" s="13"/>
      <c r="F623" s="14"/>
      <c r="G623" s="14"/>
      <c r="H623" s="14"/>
      <c r="I623" s="14"/>
      <c r="J623" s="14"/>
      <c r="K623" s="12"/>
    </row>
    <row r="624" ht="19.5" customHeight="1">
      <c r="A624" s="12"/>
      <c r="C624" s="12"/>
      <c r="D624" s="13"/>
      <c r="F624" s="14"/>
      <c r="G624" s="14"/>
      <c r="H624" s="14"/>
      <c r="I624" s="14"/>
      <c r="J624" s="14"/>
      <c r="K624" s="12"/>
    </row>
    <row r="625" ht="19.5" customHeight="1">
      <c r="A625" s="12"/>
      <c r="C625" s="12"/>
      <c r="D625" s="13"/>
      <c r="F625" s="14"/>
      <c r="G625" s="14"/>
      <c r="H625" s="14"/>
      <c r="I625" s="14"/>
      <c r="J625" s="14"/>
      <c r="K625" s="12"/>
    </row>
    <row r="626" ht="19.5" customHeight="1">
      <c r="A626" s="12"/>
      <c r="C626" s="12"/>
      <c r="D626" s="13"/>
      <c r="F626" s="14"/>
      <c r="G626" s="14"/>
      <c r="H626" s="14"/>
      <c r="I626" s="14"/>
      <c r="J626" s="14"/>
      <c r="K626" s="12"/>
    </row>
    <row r="627" ht="19.5" customHeight="1">
      <c r="A627" s="12"/>
      <c r="C627" s="12"/>
      <c r="D627" s="13"/>
      <c r="F627" s="14"/>
      <c r="G627" s="14"/>
      <c r="H627" s="14"/>
      <c r="I627" s="14"/>
      <c r="J627" s="14"/>
      <c r="K627" s="12"/>
    </row>
    <row r="628" ht="19.5" customHeight="1">
      <c r="A628" s="12"/>
      <c r="C628" s="12"/>
      <c r="D628" s="13"/>
      <c r="F628" s="14"/>
      <c r="G628" s="14"/>
      <c r="H628" s="14"/>
      <c r="I628" s="14"/>
      <c r="J628" s="14"/>
      <c r="K628" s="12"/>
    </row>
    <row r="629" ht="19.5" customHeight="1">
      <c r="A629" s="12"/>
      <c r="C629" s="12"/>
      <c r="D629" s="13"/>
      <c r="F629" s="14"/>
      <c r="G629" s="14"/>
      <c r="H629" s="14"/>
      <c r="I629" s="14"/>
      <c r="J629" s="14"/>
      <c r="K629" s="12"/>
    </row>
    <row r="630" ht="19.5" customHeight="1">
      <c r="A630" s="12"/>
      <c r="C630" s="12"/>
      <c r="D630" s="13"/>
      <c r="F630" s="14"/>
      <c r="G630" s="14"/>
      <c r="H630" s="14"/>
      <c r="I630" s="14"/>
      <c r="J630" s="14"/>
      <c r="K630" s="12"/>
    </row>
    <row r="631" ht="19.5" customHeight="1">
      <c r="A631" s="12"/>
      <c r="C631" s="12"/>
      <c r="D631" s="13"/>
      <c r="F631" s="14"/>
      <c r="G631" s="14"/>
      <c r="H631" s="14"/>
      <c r="I631" s="14"/>
      <c r="J631" s="14"/>
      <c r="K631" s="12"/>
    </row>
    <row r="632" ht="19.5" customHeight="1">
      <c r="A632" s="12"/>
      <c r="C632" s="12"/>
      <c r="D632" s="13"/>
      <c r="F632" s="14"/>
      <c r="G632" s="14"/>
      <c r="H632" s="14"/>
      <c r="I632" s="14"/>
      <c r="J632" s="14"/>
      <c r="K632" s="12"/>
    </row>
    <row r="633" ht="19.5" customHeight="1">
      <c r="A633" s="12"/>
      <c r="C633" s="12"/>
      <c r="D633" s="13"/>
      <c r="F633" s="14"/>
      <c r="G633" s="14"/>
      <c r="H633" s="14"/>
      <c r="I633" s="14"/>
      <c r="J633" s="14"/>
      <c r="K633" s="12"/>
    </row>
    <row r="634" ht="19.5" customHeight="1">
      <c r="A634" s="12"/>
      <c r="C634" s="12"/>
      <c r="D634" s="13"/>
      <c r="F634" s="14"/>
      <c r="G634" s="14"/>
      <c r="H634" s="14"/>
      <c r="I634" s="14"/>
      <c r="J634" s="14"/>
      <c r="K634" s="12"/>
    </row>
    <row r="635" ht="19.5" customHeight="1">
      <c r="A635" s="12"/>
      <c r="C635" s="12"/>
      <c r="D635" s="13"/>
      <c r="F635" s="14"/>
      <c r="G635" s="14"/>
      <c r="H635" s="14"/>
      <c r="I635" s="14"/>
      <c r="J635" s="14"/>
      <c r="K635" s="12"/>
    </row>
    <row r="636" ht="19.5" customHeight="1">
      <c r="A636" s="12"/>
      <c r="C636" s="12"/>
      <c r="D636" s="13"/>
      <c r="F636" s="14"/>
      <c r="G636" s="14"/>
      <c r="H636" s="14"/>
      <c r="I636" s="14"/>
      <c r="J636" s="14"/>
      <c r="K636" s="12"/>
    </row>
    <row r="637" ht="19.5" customHeight="1">
      <c r="A637" s="12"/>
      <c r="C637" s="12"/>
      <c r="D637" s="13"/>
      <c r="F637" s="14"/>
      <c r="G637" s="14"/>
      <c r="H637" s="14"/>
      <c r="I637" s="14"/>
      <c r="J637" s="14"/>
      <c r="K637" s="12"/>
    </row>
    <row r="638" ht="19.5" customHeight="1">
      <c r="A638" s="12"/>
      <c r="C638" s="12"/>
      <c r="D638" s="13"/>
      <c r="F638" s="14"/>
      <c r="G638" s="14"/>
      <c r="H638" s="14"/>
      <c r="I638" s="14"/>
      <c r="J638" s="14"/>
      <c r="K638" s="12"/>
    </row>
    <row r="639" ht="19.5" customHeight="1">
      <c r="A639" s="12"/>
      <c r="C639" s="12"/>
      <c r="D639" s="13"/>
      <c r="F639" s="14"/>
      <c r="G639" s="14"/>
      <c r="H639" s="14"/>
      <c r="I639" s="14"/>
      <c r="J639" s="14"/>
      <c r="K639" s="12"/>
    </row>
    <row r="640" ht="19.5" customHeight="1">
      <c r="A640" s="12"/>
      <c r="C640" s="12"/>
      <c r="D640" s="13"/>
      <c r="F640" s="14"/>
      <c r="G640" s="14"/>
      <c r="H640" s="14"/>
      <c r="I640" s="14"/>
      <c r="J640" s="14"/>
      <c r="K640" s="12"/>
    </row>
    <row r="641" ht="19.5" customHeight="1">
      <c r="A641" s="12"/>
      <c r="C641" s="12"/>
      <c r="D641" s="13"/>
      <c r="F641" s="14"/>
      <c r="G641" s="14"/>
      <c r="H641" s="14"/>
      <c r="I641" s="14"/>
      <c r="J641" s="14"/>
      <c r="K641" s="12"/>
    </row>
    <row r="642" ht="19.5" customHeight="1">
      <c r="A642" s="12"/>
      <c r="C642" s="12"/>
      <c r="D642" s="13"/>
      <c r="F642" s="14"/>
      <c r="G642" s="14"/>
      <c r="H642" s="14"/>
      <c r="I642" s="14"/>
      <c r="J642" s="14"/>
      <c r="K642" s="12"/>
    </row>
    <row r="643" ht="19.5" customHeight="1">
      <c r="A643" s="12"/>
      <c r="C643" s="12"/>
      <c r="D643" s="13"/>
      <c r="F643" s="14"/>
      <c r="G643" s="14"/>
      <c r="H643" s="14"/>
      <c r="I643" s="14"/>
      <c r="J643" s="14"/>
      <c r="K643" s="12"/>
    </row>
    <row r="644" ht="19.5" customHeight="1">
      <c r="A644" s="12"/>
      <c r="C644" s="12"/>
      <c r="D644" s="13"/>
      <c r="F644" s="14"/>
      <c r="G644" s="14"/>
      <c r="H644" s="14"/>
      <c r="I644" s="14"/>
      <c r="J644" s="14"/>
      <c r="K644" s="12"/>
    </row>
    <row r="645" ht="19.5" customHeight="1">
      <c r="A645" s="12"/>
      <c r="C645" s="12"/>
      <c r="D645" s="13"/>
      <c r="F645" s="14"/>
      <c r="G645" s="14"/>
      <c r="H645" s="14"/>
      <c r="I645" s="14"/>
      <c r="J645" s="14"/>
      <c r="K645" s="12"/>
    </row>
    <row r="646" ht="19.5" customHeight="1">
      <c r="A646" s="12"/>
      <c r="C646" s="12"/>
      <c r="D646" s="13"/>
      <c r="F646" s="14"/>
      <c r="G646" s="14"/>
      <c r="H646" s="14"/>
      <c r="I646" s="14"/>
      <c r="J646" s="14"/>
      <c r="K646" s="12"/>
    </row>
    <row r="647" ht="19.5" customHeight="1">
      <c r="A647" s="12"/>
      <c r="C647" s="12"/>
      <c r="D647" s="13"/>
      <c r="F647" s="14"/>
      <c r="G647" s="14"/>
      <c r="H647" s="14"/>
      <c r="I647" s="14"/>
      <c r="J647" s="14"/>
      <c r="K647" s="12"/>
    </row>
    <row r="648" ht="19.5" customHeight="1">
      <c r="A648" s="12"/>
      <c r="C648" s="12"/>
      <c r="D648" s="13"/>
      <c r="F648" s="14"/>
      <c r="G648" s="14"/>
      <c r="H648" s="14"/>
      <c r="I648" s="14"/>
      <c r="J648" s="14"/>
      <c r="K648" s="12"/>
    </row>
    <row r="649" ht="19.5" customHeight="1">
      <c r="A649" s="12"/>
      <c r="C649" s="12"/>
      <c r="D649" s="13"/>
      <c r="F649" s="14"/>
      <c r="G649" s="14"/>
      <c r="H649" s="14"/>
      <c r="I649" s="14"/>
      <c r="J649" s="14"/>
      <c r="K649" s="12"/>
    </row>
    <row r="650" ht="19.5" customHeight="1">
      <c r="A650" s="12"/>
      <c r="C650" s="12"/>
      <c r="D650" s="13"/>
      <c r="F650" s="14"/>
      <c r="G650" s="14"/>
      <c r="H650" s="14"/>
      <c r="I650" s="14"/>
      <c r="J650" s="14"/>
      <c r="K650" s="12"/>
    </row>
    <row r="651" ht="19.5" customHeight="1">
      <c r="A651" s="12"/>
      <c r="C651" s="12"/>
      <c r="D651" s="13"/>
      <c r="F651" s="14"/>
      <c r="G651" s="14"/>
      <c r="H651" s="14"/>
      <c r="I651" s="14"/>
      <c r="J651" s="14"/>
      <c r="K651" s="12"/>
    </row>
    <row r="652" ht="19.5" customHeight="1">
      <c r="A652" s="12"/>
      <c r="C652" s="12"/>
      <c r="D652" s="13"/>
      <c r="F652" s="14"/>
      <c r="G652" s="14"/>
      <c r="H652" s="14"/>
      <c r="I652" s="14"/>
      <c r="J652" s="14"/>
      <c r="K652" s="12"/>
    </row>
    <row r="653" ht="19.5" customHeight="1">
      <c r="A653" s="12"/>
      <c r="C653" s="12"/>
      <c r="D653" s="13"/>
      <c r="F653" s="14"/>
      <c r="G653" s="14"/>
      <c r="H653" s="14"/>
      <c r="I653" s="14"/>
      <c r="J653" s="14"/>
      <c r="K653" s="12"/>
    </row>
    <row r="654" ht="19.5" customHeight="1">
      <c r="A654" s="12"/>
      <c r="C654" s="12"/>
      <c r="D654" s="13"/>
      <c r="F654" s="14"/>
      <c r="G654" s="14"/>
      <c r="H654" s="14"/>
      <c r="I654" s="14"/>
      <c r="J654" s="14"/>
      <c r="K654" s="12"/>
    </row>
    <row r="655" ht="19.5" customHeight="1">
      <c r="A655" s="12"/>
      <c r="C655" s="12"/>
      <c r="D655" s="13"/>
      <c r="F655" s="14"/>
      <c r="G655" s="14"/>
      <c r="H655" s="14"/>
      <c r="I655" s="14"/>
      <c r="J655" s="14"/>
      <c r="K655" s="12"/>
    </row>
    <row r="656" ht="19.5" customHeight="1">
      <c r="A656" s="12"/>
      <c r="C656" s="12"/>
      <c r="D656" s="13"/>
      <c r="F656" s="14"/>
      <c r="G656" s="14"/>
      <c r="H656" s="14"/>
      <c r="I656" s="14"/>
      <c r="J656" s="14"/>
      <c r="K656" s="12"/>
    </row>
    <row r="657" ht="19.5" customHeight="1">
      <c r="A657" s="12"/>
      <c r="C657" s="12"/>
      <c r="D657" s="13"/>
      <c r="F657" s="14"/>
      <c r="G657" s="14"/>
      <c r="H657" s="14"/>
      <c r="I657" s="14"/>
      <c r="J657" s="14"/>
      <c r="K657" s="12"/>
    </row>
    <row r="658" ht="19.5" customHeight="1">
      <c r="A658" s="12"/>
      <c r="C658" s="12"/>
      <c r="D658" s="13"/>
      <c r="F658" s="14"/>
      <c r="G658" s="14"/>
      <c r="H658" s="14"/>
      <c r="I658" s="14"/>
      <c r="J658" s="14"/>
      <c r="K658" s="12"/>
    </row>
    <row r="659" ht="19.5" customHeight="1">
      <c r="A659" s="12"/>
      <c r="C659" s="12"/>
      <c r="D659" s="13"/>
      <c r="F659" s="14"/>
      <c r="G659" s="14"/>
      <c r="H659" s="14"/>
      <c r="I659" s="14"/>
      <c r="J659" s="14"/>
      <c r="K659" s="12"/>
    </row>
    <row r="660" ht="19.5" customHeight="1">
      <c r="A660" s="12"/>
      <c r="C660" s="12"/>
      <c r="D660" s="13"/>
      <c r="F660" s="14"/>
      <c r="G660" s="14"/>
      <c r="H660" s="14"/>
      <c r="I660" s="14"/>
      <c r="J660" s="14"/>
      <c r="K660" s="12"/>
    </row>
    <row r="661" ht="19.5" customHeight="1">
      <c r="A661" s="12"/>
      <c r="C661" s="12"/>
      <c r="D661" s="13"/>
      <c r="F661" s="14"/>
      <c r="G661" s="14"/>
      <c r="H661" s="14"/>
      <c r="I661" s="14"/>
      <c r="J661" s="14"/>
      <c r="K661" s="12"/>
    </row>
    <row r="662" ht="19.5" customHeight="1">
      <c r="A662" s="12"/>
      <c r="C662" s="12"/>
      <c r="D662" s="13"/>
      <c r="F662" s="14"/>
      <c r="G662" s="14"/>
      <c r="H662" s="14"/>
      <c r="I662" s="14"/>
      <c r="J662" s="14"/>
      <c r="K662" s="12"/>
    </row>
    <row r="663" ht="19.5" customHeight="1">
      <c r="A663" s="12"/>
      <c r="C663" s="12"/>
      <c r="D663" s="13"/>
      <c r="F663" s="14"/>
      <c r="G663" s="14"/>
      <c r="H663" s="14"/>
      <c r="I663" s="14"/>
      <c r="J663" s="14"/>
      <c r="K663" s="12"/>
    </row>
    <row r="664" ht="19.5" customHeight="1">
      <c r="A664" s="12"/>
      <c r="C664" s="12"/>
      <c r="D664" s="13"/>
      <c r="F664" s="14"/>
      <c r="G664" s="14"/>
      <c r="H664" s="14"/>
      <c r="I664" s="14"/>
      <c r="J664" s="14"/>
      <c r="K664" s="12"/>
    </row>
    <row r="665" ht="19.5" customHeight="1">
      <c r="A665" s="12"/>
      <c r="C665" s="12"/>
      <c r="D665" s="13"/>
      <c r="F665" s="14"/>
      <c r="G665" s="14"/>
      <c r="H665" s="14"/>
      <c r="I665" s="14"/>
      <c r="J665" s="14"/>
      <c r="K665" s="12"/>
    </row>
    <row r="666" ht="19.5" customHeight="1">
      <c r="A666" s="12"/>
      <c r="C666" s="12"/>
      <c r="D666" s="13"/>
      <c r="F666" s="14"/>
      <c r="G666" s="14"/>
      <c r="H666" s="14"/>
      <c r="I666" s="14"/>
      <c r="J666" s="14"/>
      <c r="K666" s="12"/>
    </row>
    <row r="667" ht="19.5" customHeight="1">
      <c r="A667" s="12"/>
      <c r="C667" s="12"/>
      <c r="D667" s="13"/>
      <c r="F667" s="14"/>
      <c r="G667" s="14"/>
      <c r="H667" s="14"/>
      <c r="I667" s="14"/>
      <c r="J667" s="14"/>
      <c r="K667" s="12"/>
    </row>
    <row r="668" ht="19.5" customHeight="1">
      <c r="A668" s="12"/>
      <c r="C668" s="12"/>
      <c r="D668" s="13"/>
      <c r="F668" s="14"/>
      <c r="G668" s="14"/>
      <c r="H668" s="14"/>
      <c r="I668" s="14"/>
      <c r="J668" s="14"/>
      <c r="K668" s="12"/>
    </row>
    <row r="669" ht="19.5" customHeight="1">
      <c r="A669" s="12"/>
      <c r="C669" s="12"/>
      <c r="D669" s="13"/>
      <c r="F669" s="14"/>
      <c r="G669" s="14"/>
      <c r="H669" s="14"/>
      <c r="I669" s="14"/>
      <c r="J669" s="14"/>
      <c r="K669" s="12"/>
    </row>
    <row r="670" ht="19.5" customHeight="1">
      <c r="A670" s="12"/>
      <c r="C670" s="12"/>
      <c r="D670" s="13"/>
      <c r="F670" s="14"/>
      <c r="G670" s="14"/>
      <c r="H670" s="14"/>
      <c r="I670" s="14"/>
      <c r="J670" s="14"/>
      <c r="K670" s="12"/>
    </row>
    <row r="671" ht="19.5" customHeight="1">
      <c r="A671" s="12"/>
      <c r="C671" s="12"/>
      <c r="D671" s="13"/>
      <c r="F671" s="14"/>
      <c r="G671" s="14"/>
      <c r="H671" s="14"/>
      <c r="I671" s="14"/>
      <c r="J671" s="14"/>
      <c r="K671" s="12"/>
    </row>
    <row r="672" ht="19.5" customHeight="1">
      <c r="A672" s="12"/>
      <c r="C672" s="12"/>
      <c r="D672" s="13"/>
      <c r="F672" s="14"/>
      <c r="G672" s="14"/>
      <c r="H672" s="14"/>
      <c r="I672" s="14"/>
      <c r="J672" s="14"/>
      <c r="K672" s="12"/>
    </row>
    <row r="673" ht="19.5" customHeight="1">
      <c r="A673" s="12"/>
      <c r="C673" s="12"/>
      <c r="D673" s="13"/>
      <c r="F673" s="14"/>
      <c r="G673" s="14"/>
      <c r="H673" s="14"/>
      <c r="I673" s="14"/>
      <c r="J673" s="14"/>
      <c r="K673" s="12"/>
    </row>
    <row r="674" ht="19.5" customHeight="1">
      <c r="A674" s="12"/>
      <c r="C674" s="12"/>
      <c r="D674" s="13"/>
      <c r="F674" s="14"/>
      <c r="G674" s="14"/>
      <c r="H674" s="14"/>
      <c r="I674" s="14"/>
      <c r="J674" s="14"/>
      <c r="K674" s="12"/>
    </row>
    <row r="675" ht="19.5" customHeight="1">
      <c r="A675" s="12"/>
      <c r="C675" s="12"/>
      <c r="D675" s="13"/>
      <c r="F675" s="14"/>
      <c r="G675" s="14"/>
      <c r="H675" s="14"/>
      <c r="I675" s="14"/>
      <c r="J675" s="14"/>
      <c r="K675" s="12"/>
    </row>
    <row r="676" ht="19.5" customHeight="1">
      <c r="A676" s="12"/>
      <c r="C676" s="12"/>
      <c r="D676" s="13"/>
      <c r="F676" s="14"/>
      <c r="G676" s="14"/>
      <c r="H676" s="14"/>
      <c r="I676" s="14"/>
      <c r="J676" s="14"/>
      <c r="K676" s="12"/>
    </row>
    <row r="677" ht="19.5" customHeight="1">
      <c r="A677" s="12"/>
      <c r="C677" s="12"/>
      <c r="D677" s="13"/>
      <c r="F677" s="14"/>
      <c r="G677" s="14"/>
      <c r="H677" s="14"/>
      <c r="I677" s="14"/>
      <c r="J677" s="14"/>
      <c r="K677" s="12"/>
    </row>
    <row r="678" ht="19.5" customHeight="1">
      <c r="A678" s="12"/>
      <c r="C678" s="12"/>
      <c r="D678" s="13"/>
      <c r="F678" s="14"/>
      <c r="G678" s="14"/>
      <c r="H678" s="14"/>
      <c r="I678" s="14"/>
      <c r="J678" s="14"/>
      <c r="K678" s="12"/>
    </row>
    <row r="679" ht="19.5" customHeight="1">
      <c r="A679" s="12"/>
      <c r="C679" s="12"/>
      <c r="D679" s="13"/>
      <c r="F679" s="14"/>
      <c r="G679" s="14"/>
      <c r="H679" s="14"/>
      <c r="I679" s="14"/>
      <c r="J679" s="14"/>
      <c r="K679" s="12"/>
    </row>
    <row r="680" ht="19.5" customHeight="1">
      <c r="A680" s="12"/>
      <c r="C680" s="12"/>
      <c r="D680" s="13"/>
      <c r="F680" s="14"/>
      <c r="G680" s="14"/>
      <c r="H680" s="14"/>
      <c r="I680" s="14"/>
      <c r="J680" s="14"/>
      <c r="K680" s="12"/>
    </row>
    <row r="681" ht="19.5" customHeight="1">
      <c r="A681" s="12"/>
      <c r="C681" s="12"/>
      <c r="D681" s="13"/>
      <c r="F681" s="14"/>
      <c r="G681" s="14"/>
      <c r="H681" s="14"/>
      <c r="I681" s="14"/>
      <c r="J681" s="14"/>
      <c r="K681" s="12"/>
    </row>
    <row r="682" ht="19.5" customHeight="1">
      <c r="A682" s="12"/>
      <c r="C682" s="12"/>
      <c r="D682" s="13"/>
      <c r="F682" s="14"/>
      <c r="G682" s="14"/>
      <c r="H682" s="14"/>
      <c r="I682" s="14"/>
      <c r="J682" s="14"/>
      <c r="K682" s="12"/>
    </row>
    <row r="683" ht="19.5" customHeight="1">
      <c r="A683" s="12"/>
      <c r="C683" s="12"/>
      <c r="D683" s="13"/>
      <c r="F683" s="14"/>
      <c r="G683" s="14"/>
      <c r="H683" s="14"/>
      <c r="I683" s="14"/>
      <c r="J683" s="14"/>
      <c r="K683" s="12"/>
    </row>
    <row r="684" ht="19.5" customHeight="1">
      <c r="A684" s="12"/>
      <c r="C684" s="12"/>
      <c r="D684" s="13"/>
      <c r="F684" s="14"/>
      <c r="G684" s="14"/>
      <c r="H684" s="14"/>
      <c r="I684" s="14"/>
      <c r="J684" s="14"/>
      <c r="K684" s="12"/>
    </row>
    <row r="685" ht="19.5" customHeight="1">
      <c r="A685" s="12"/>
      <c r="C685" s="12"/>
      <c r="D685" s="13"/>
      <c r="F685" s="14"/>
      <c r="G685" s="14"/>
      <c r="H685" s="14"/>
      <c r="I685" s="14"/>
      <c r="J685" s="14"/>
      <c r="K685" s="12"/>
    </row>
    <row r="686" ht="19.5" customHeight="1">
      <c r="A686" s="12"/>
      <c r="C686" s="12"/>
      <c r="D686" s="13"/>
      <c r="F686" s="14"/>
      <c r="G686" s="14"/>
      <c r="H686" s="14"/>
      <c r="I686" s="14"/>
      <c r="J686" s="14"/>
      <c r="K686" s="12"/>
    </row>
    <row r="687" ht="19.5" customHeight="1">
      <c r="A687" s="12"/>
      <c r="C687" s="12"/>
      <c r="D687" s="13"/>
      <c r="F687" s="14"/>
      <c r="G687" s="14"/>
      <c r="H687" s="14"/>
      <c r="I687" s="14"/>
      <c r="J687" s="14"/>
      <c r="K687" s="12"/>
    </row>
    <row r="688" ht="19.5" customHeight="1">
      <c r="A688" s="12"/>
      <c r="C688" s="12"/>
      <c r="D688" s="13"/>
      <c r="F688" s="14"/>
      <c r="G688" s="14"/>
      <c r="H688" s="14"/>
      <c r="I688" s="14"/>
      <c r="J688" s="14"/>
      <c r="K688" s="12"/>
    </row>
    <row r="689" ht="19.5" customHeight="1">
      <c r="A689" s="12"/>
      <c r="C689" s="12"/>
      <c r="D689" s="13"/>
      <c r="F689" s="14"/>
      <c r="G689" s="14"/>
      <c r="H689" s="14"/>
      <c r="I689" s="14"/>
      <c r="J689" s="14"/>
      <c r="K689" s="12"/>
    </row>
    <row r="690" ht="19.5" customHeight="1">
      <c r="A690" s="12"/>
      <c r="C690" s="12"/>
      <c r="D690" s="13"/>
      <c r="F690" s="14"/>
      <c r="G690" s="14"/>
      <c r="H690" s="14"/>
      <c r="I690" s="14"/>
      <c r="J690" s="14"/>
      <c r="K690" s="12"/>
    </row>
    <row r="691" ht="19.5" customHeight="1">
      <c r="A691" s="12"/>
      <c r="C691" s="12"/>
      <c r="D691" s="13"/>
      <c r="F691" s="14"/>
      <c r="G691" s="14"/>
      <c r="H691" s="14"/>
      <c r="I691" s="14"/>
      <c r="J691" s="14"/>
      <c r="K691" s="12"/>
    </row>
    <row r="692" ht="19.5" customHeight="1">
      <c r="A692" s="12"/>
      <c r="C692" s="12"/>
      <c r="D692" s="13"/>
      <c r="F692" s="14"/>
      <c r="G692" s="14"/>
      <c r="H692" s="14"/>
      <c r="I692" s="14"/>
      <c r="J692" s="14"/>
      <c r="K692" s="12"/>
    </row>
    <row r="693" ht="19.5" customHeight="1">
      <c r="A693" s="12"/>
      <c r="C693" s="12"/>
      <c r="D693" s="13"/>
      <c r="F693" s="14"/>
      <c r="G693" s="14"/>
      <c r="H693" s="14"/>
      <c r="I693" s="14"/>
      <c r="J693" s="14"/>
      <c r="K693" s="12"/>
    </row>
    <row r="694" ht="19.5" customHeight="1">
      <c r="A694" s="12"/>
      <c r="C694" s="12"/>
      <c r="D694" s="13"/>
      <c r="F694" s="14"/>
      <c r="G694" s="14"/>
      <c r="H694" s="14"/>
      <c r="I694" s="14"/>
      <c r="J694" s="14"/>
      <c r="K694" s="12"/>
    </row>
    <row r="695" ht="19.5" customHeight="1">
      <c r="A695" s="12"/>
      <c r="C695" s="12"/>
      <c r="D695" s="13"/>
      <c r="F695" s="14"/>
      <c r="G695" s="14"/>
      <c r="H695" s="14"/>
      <c r="I695" s="14"/>
      <c r="J695" s="14"/>
      <c r="K695" s="12"/>
    </row>
    <row r="696" ht="19.5" customHeight="1">
      <c r="A696" s="12"/>
      <c r="C696" s="12"/>
      <c r="D696" s="13"/>
      <c r="F696" s="14"/>
      <c r="G696" s="14"/>
      <c r="H696" s="14"/>
      <c r="I696" s="14"/>
      <c r="J696" s="14"/>
      <c r="K696" s="12"/>
    </row>
    <row r="697" ht="19.5" customHeight="1">
      <c r="A697" s="12"/>
      <c r="C697" s="12"/>
      <c r="D697" s="13"/>
      <c r="F697" s="14"/>
      <c r="G697" s="14"/>
      <c r="H697" s="14"/>
      <c r="I697" s="14"/>
      <c r="J697" s="14"/>
      <c r="K697" s="12"/>
    </row>
    <row r="698" ht="19.5" customHeight="1">
      <c r="A698" s="12"/>
      <c r="C698" s="12"/>
      <c r="D698" s="13"/>
      <c r="F698" s="14"/>
      <c r="G698" s="14"/>
      <c r="H698" s="14"/>
      <c r="I698" s="14"/>
      <c r="J698" s="14"/>
      <c r="K698" s="12"/>
    </row>
    <row r="699" ht="19.5" customHeight="1">
      <c r="A699" s="12"/>
      <c r="C699" s="12"/>
      <c r="D699" s="13"/>
      <c r="F699" s="14"/>
      <c r="G699" s="14"/>
      <c r="H699" s="14"/>
      <c r="I699" s="14"/>
      <c r="J699" s="14"/>
      <c r="K699" s="12"/>
    </row>
    <row r="700" ht="19.5" customHeight="1">
      <c r="A700" s="12"/>
      <c r="C700" s="12"/>
      <c r="D700" s="13"/>
      <c r="F700" s="14"/>
      <c r="G700" s="14"/>
      <c r="H700" s="14"/>
      <c r="I700" s="14"/>
      <c r="J700" s="14"/>
      <c r="K700" s="12"/>
    </row>
    <row r="701" ht="19.5" customHeight="1">
      <c r="A701" s="12"/>
      <c r="C701" s="12"/>
      <c r="D701" s="13"/>
      <c r="F701" s="14"/>
      <c r="G701" s="14"/>
      <c r="H701" s="14"/>
      <c r="I701" s="14"/>
      <c r="J701" s="14"/>
      <c r="K701" s="12"/>
    </row>
    <row r="702" ht="19.5" customHeight="1">
      <c r="A702" s="12"/>
      <c r="C702" s="12"/>
      <c r="D702" s="13"/>
      <c r="F702" s="14"/>
      <c r="G702" s="14"/>
      <c r="H702" s="14"/>
      <c r="I702" s="14"/>
      <c r="J702" s="14"/>
      <c r="K702" s="12"/>
    </row>
    <row r="703" ht="19.5" customHeight="1">
      <c r="A703" s="12"/>
      <c r="C703" s="12"/>
      <c r="D703" s="13"/>
      <c r="F703" s="14"/>
      <c r="G703" s="14"/>
      <c r="H703" s="14"/>
      <c r="I703" s="14"/>
      <c r="J703" s="14"/>
      <c r="K703" s="12"/>
    </row>
    <row r="704" ht="19.5" customHeight="1">
      <c r="A704" s="12"/>
      <c r="C704" s="12"/>
      <c r="D704" s="13"/>
      <c r="F704" s="14"/>
      <c r="G704" s="14"/>
      <c r="H704" s="14"/>
      <c r="I704" s="14"/>
      <c r="J704" s="14"/>
      <c r="K704" s="12"/>
    </row>
    <row r="705" ht="19.5" customHeight="1">
      <c r="A705" s="12"/>
      <c r="C705" s="12"/>
      <c r="D705" s="13"/>
      <c r="F705" s="14"/>
      <c r="G705" s="14"/>
      <c r="H705" s="14"/>
      <c r="I705" s="14"/>
      <c r="J705" s="14"/>
      <c r="K705" s="12"/>
    </row>
    <row r="706" ht="19.5" customHeight="1">
      <c r="A706" s="12"/>
      <c r="C706" s="12"/>
      <c r="D706" s="13"/>
      <c r="F706" s="14"/>
      <c r="G706" s="14"/>
      <c r="H706" s="14"/>
      <c r="I706" s="14"/>
      <c r="J706" s="14"/>
      <c r="K706" s="12"/>
    </row>
    <row r="707" ht="19.5" customHeight="1">
      <c r="A707" s="12"/>
      <c r="C707" s="12"/>
      <c r="D707" s="13"/>
      <c r="F707" s="14"/>
      <c r="G707" s="14"/>
      <c r="H707" s="14"/>
      <c r="I707" s="14"/>
      <c r="J707" s="14"/>
      <c r="K707" s="12"/>
    </row>
    <row r="708" ht="19.5" customHeight="1">
      <c r="A708" s="12"/>
      <c r="C708" s="12"/>
      <c r="D708" s="13"/>
      <c r="F708" s="14"/>
      <c r="G708" s="14"/>
      <c r="H708" s="14"/>
      <c r="I708" s="14"/>
      <c r="J708" s="14"/>
      <c r="K708" s="12"/>
    </row>
    <row r="709" ht="19.5" customHeight="1">
      <c r="A709" s="12"/>
      <c r="C709" s="12"/>
      <c r="D709" s="13"/>
      <c r="F709" s="14"/>
      <c r="G709" s="14"/>
      <c r="H709" s="14"/>
      <c r="I709" s="14"/>
      <c r="J709" s="14"/>
      <c r="K709" s="12"/>
    </row>
    <row r="710" ht="19.5" customHeight="1">
      <c r="A710" s="12"/>
      <c r="C710" s="12"/>
      <c r="D710" s="13"/>
      <c r="F710" s="14"/>
      <c r="G710" s="14"/>
      <c r="H710" s="14"/>
      <c r="I710" s="14"/>
      <c r="J710" s="14"/>
      <c r="K710" s="12"/>
    </row>
    <row r="711" ht="19.5" customHeight="1">
      <c r="A711" s="12"/>
      <c r="C711" s="12"/>
      <c r="D711" s="13"/>
      <c r="F711" s="14"/>
      <c r="G711" s="14"/>
      <c r="H711" s="14"/>
      <c r="I711" s="14"/>
      <c r="J711" s="14"/>
      <c r="K711" s="12"/>
    </row>
    <row r="712" ht="19.5" customHeight="1">
      <c r="A712" s="12"/>
      <c r="C712" s="12"/>
      <c r="D712" s="13"/>
      <c r="F712" s="14"/>
      <c r="G712" s="14"/>
      <c r="H712" s="14"/>
      <c r="I712" s="14"/>
      <c r="J712" s="14"/>
      <c r="K712" s="12"/>
    </row>
    <row r="713" ht="19.5" customHeight="1">
      <c r="A713" s="12"/>
      <c r="C713" s="12"/>
      <c r="D713" s="13"/>
      <c r="F713" s="14"/>
      <c r="G713" s="14"/>
      <c r="H713" s="14"/>
      <c r="I713" s="14"/>
      <c r="J713" s="14"/>
      <c r="K713" s="12"/>
    </row>
    <row r="714" ht="19.5" customHeight="1">
      <c r="A714" s="12"/>
      <c r="C714" s="12"/>
      <c r="D714" s="13"/>
      <c r="F714" s="14"/>
      <c r="G714" s="14"/>
      <c r="H714" s="14"/>
      <c r="I714" s="14"/>
      <c r="J714" s="14"/>
      <c r="K714" s="12"/>
    </row>
    <row r="715" ht="19.5" customHeight="1">
      <c r="A715" s="12"/>
      <c r="C715" s="12"/>
      <c r="D715" s="13"/>
      <c r="F715" s="14"/>
      <c r="G715" s="14"/>
      <c r="H715" s="14"/>
      <c r="I715" s="14"/>
      <c r="J715" s="14"/>
      <c r="K715" s="12"/>
    </row>
    <row r="716" ht="19.5" customHeight="1">
      <c r="A716" s="12"/>
      <c r="C716" s="12"/>
      <c r="D716" s="13"/>
      <c r="F716" s="14"/>
      <c r="G716" s="14"/>
      <c r="H716" s="14"/>
      <c r="I716" s="14"/>
      <c r="J716" s="14"/>
      <c r="K716" s="12"/>
    </row>
    <row r="717" ht="19.5" customHeight="1">
      <c r="A717" s="12"/>
      <c r="C717" s="12"/>
      <c r="D717" s="13"/>
      <c r="F717" s="14"/>
      <c r="G717" s="14"/>
      <c r="H717" s="14"/>
      <c r="I717" s="14"/>
      <c r="J717" s="14"/>
      <c r="K717" s="12"/>
    </row>
    <row r="718" ht="19.5" customHeight="1">
      <c r="A718" s="12"/>
      <c r="C718" s="12"/>
      <c r="D718" s="13"/>
      <c r="F718" s="14"/>
      <c r="G718" s="14"/>
      <c r="H718" s="14"/>
      <c r="I718" s="14"/>
      <c r="J718" s="14"/>
      <c r="K718" s="12"/>
    </row>
    <row r="719" ht="19.5" customHeight="1">
      <c r="A719" s="12"/>
      <c r="C719" s="12"/>
      <c r="D719" s="13"/>
      <c r="F719" s="14"/>
      <c r="G719" s="14"/>
      <c r="H719" s="14"/>
      <c r="I719" s="14"/>
      <c r="J719" s="14"/>
      <c r="K719" s="12"/>
    </row>
    <row r="720" ht="19.5" customHeight="1">
      <c r="A720" s="12"/>
      <c r="C720" s="12"/>
      <c r="D720" s="13"/>
      <c r="F720" s="14"/>
      <c r="G720" s="14"/>
      <c r="H720" s="14"/>
      <c r="I720" s="14"/>
      <c r="J720" s="14"/>
      <c r="K720" s="12"/>
    </row>
    <row r="721" ht="19.5" customHeight="1">
      <c r="A721" s="12"/>
      <c r="C721" s="12"/>
      <c r="D721" s="13"/>
      <c r="F721" s="14"/>
      <c r="G721" s="14"/>
      <c r="H721" s="14"/>
      <c r="I721" s="14"/>
      <c r="J721" s="14"/>
      <c r="K721" s="12"/>
    </row>
    <row r="722" ht="19.5" customHeight="1">
      <c r="A722" s="12"/>
      <c r="C722" s="12"/>
      <c r="D722" s="13"/>
      <c r="F722" s="14"/>
      <c r="G722" s="14"/>
      <c r="H722" s="14"/>
      <c r="I722" s="14"/>
      <c r="J722" s="14"/>
      <c r="K722" s="12"/>
    </row>
    <row r="723" ht="19.5" customHeight="1">
      <c r="A723" s="12"/>
      <c r="C723" s="12"/>
      <c r="D723" s="13"/>
      <c r="F723" s="14"/>
      <c r="G723" s="14"/>
      <c r="H723" s="14"/>
      <c r="I723" s="14"/>
      <c r="J723" s="14"/>
      <c r="K723" s="12"/>
    </row>
    <row r="724" ht="19.5" customHeight="1">
      <c r="A724" s="12"/>
      <c r="C724" s="12"/>
      <c r="D724" s="13"/>
      <c r="F724" s="14"/>
      <c r="G724" s="14"/>
      <c r="H724" s="14"/>
      <c r="I724" s="14"/>
      <c r="J724" s="14"/>
      <c r="K724" s="12"/>
    </row>
    <row r="725" ht="19.5" customHeight="1">
      <c r="A725" s="12"/>
      <c r="C725" s="12"/>
      <c r="D725" s="13"/>
      <c r="F725" s="14"/>
      <c r="G725" s="14"/>
      <c r="H725" s="14"/>
      <c r="I725" s="14"/>
      <c r="J725" s="14"/>
      <c r="K725" s="12"/>
    </row>
    <row r="726" ht="19.5" customHeight="1">
      <c r="A726" s="12"/>
      <c r="C726" s="12"/>
      <c r="D726" s="13"/>
      <c r="F726" s="14"/>
      <c r="G726" s="14"/>
      <c r="H726" s="14"/>
      <c r="I726" s="14"/>
      <c r="J726" s="14"/>
      <c r="K726" s="12"/>
    </row>
    <row r="727" ht="19.5" customHeight="1">
      <c r="A727" s="12"/>
      <c r="C727" s="12"/>
      <c r="D727" s="13"/>
      <c r="F727" s="14"/>
      <c r="G727" s="14"/>
      <c r="H727" s="14"/>
      <c r="I727" s="14"/>
      <c r="J727" s="14"/>
      <c r="K727" s="12"/>
    </row>
    <row r="728" ht="19.5" customHeight="1">
      <c r="A728" s="12"/>
      <c r="C728" s="12"/>
      <c r="D728" s="13"/>
      <c r="F728" s="14"/>
      <c r="G728" s="14"/>
      <c r="H728" s="14"/>
      <c r="I728" s="14"/>
      <c r="J728" s="14"/>
      <c r="K728" s="12"/>
    </row>
    <row r="729" ht="19.5" customHeight="1">
      <c r="A729" s="12"/>
      <c r="C729" s="12"/>
      <c r="D729" s="13"/>
      <c r="F729" s="14"/>
      <c r="G729" s="14"/>
      <c r="H729" s="14"/>
      <c r="I729" s="14"/>
      <c r="J729" s="14"/>
      <c r="K729" s="12"/>
    </row>
    <row r="730" ht="19.5" customHeight="1">
      <c r="A730" s="12"/>
      <c r="C730" s="12"/>
      <c r="D730" s="13"/>
      <c r="F730" s="14"/>
      <c r="G730" s="14"/>
      <c r="H730" s="14"/>
      <c r="I730" s="14"/>
      <c r="J730" s="14"/>
      <c r="K730" s="12"/>
    </row>
    <row r="731" ht="19.5" customHeight="1">
      <c r="A731" s="12"/>
      <c r="C731" s="12"/>
      <c r="D731" s="13"/>
      <c r="F731" s="14"/>
      <c r="G731" s="14"/>
      <c r="H731" s="14"/>
      <c r="I731" s="14"/>
      <c r="J731" s="14"/>
      <c r="K731" s="12"/>
    </row>
    <row r="732" ht="19.5" customHeight="1">
      <c r="A732" s="12"/>
      <c r="C732" s="12"/>
      <c r="D732" s="13"/>
      <c r="F732" s="14"/>
      <c r="G732" s="14"/>
      <c r="H732" s="14"/>
      <c r="I732" s="14"/>
      <c r="J732" s="14"/>
      <c r="K732" s="12"/>
    </row>
    <row r="733" ht="19.5" customHeight="1">
      <c r="A733" s="12"/>
      <c r="C733" s="12"/>
      <c r="D733" s="13"/>
      <c r="F733" s="14"/>
      <c r="G733" s="14"/>
      <c r="H733" s="14"/>
      <c r="I733" s="14"/>
      <c r="J733" s="14"/>
      <c r="K733" s="12"/>
    </row>
    <row r="734" ht="19.5" customHeight="1">
      <c r="A734" s="12"/>
      <c r="C734" s="12"/>
      <c r="D734" s="13"/>
      <c r="F734" s="14"/>
      <c r="G734" s="14"/>
      <c r="H734" s="14"/>
      <c r="I734" s="14"/>
      <c r="J734" s="14"/>
      <c r="K734" s="12"/>
    </row>
    <row r="735" ht="19.5" customHeight="1">
      <c r="A735" s="12"/>
      <c r="C735" s="12"/>
      <c r="D735" s="13"/>
      <c r="F735" s="14"/>
      <c r="G735" s="14"/>
      <c r="H735" s="14"/>
      <c r="I735" s="14"/>
      <c r="J735" s="14"/>
      <c r="K735" s="12"/>
    </row>
    <row r="736" ht="19.5" customHeight="1">
      <c r="A736" s="12"/>
      <c r="C736" s="12"/>
      <c r="D736" s="13"/>
      <c r="F736" s="14"/>
      <c r="G736" s="14"/>
      <c r="H736" s="14"/>
      <c r="I736" s="14"/>
      <c r="J736" s="14"/>
      <c r="K736" s="12"/>
    </row>
    <row r="737" ht="19.5" customHeight="1">
      <c r="A737" s="12"/>
      <c r="C737" s="12"/>
      <c r="D737" s="13"/>
      <c r="F737" s="14"/>
      <c r="G737" s="14"/>
      <c r="H737" s="14"/>
      <c r="I737" s="14"/>
      <c r="J737" s="14"/>
      <c r="K737" s="12"/>
    </row>
    <row r="738" ht="19.5" customHeight="1">
      <c r="A738" s="12"/>
      <c r="C738" s="12"/>
      <c r="D738" s="13"/>
      <c r="F738" s="14"/>
      <c r="G738" s="14"/>
      <c r="H738" s="14"/>
      <c r="I738" s="14"/>
      <c r="J738" s="14"/>
      <c r="K738" s="12"/>
    </row>
    <row r="739" ht="19.5" customHeight="1">
      <c r="A739" s="12"/>
      <c r="C739" s="12"/>
      <c r="D739" s="13"/>
      <c r="F739" s="14"/>
      <c r="G739" s="14"/>
      <c r="H739" s="14"/>
      <c r="I739" s="14"/>
      <c r="J739" s="14"/>
      <c r="K739" s="12"/>
    </row>
    <row r="740" ht="19.5" customHeight="1">
      <c r="A740" s="12"/>
      <c r="C740" s="12"/>
      <c r="D740" s="13"/>
      <c r="F740" s="14"/>
      <c r="G740" s="14"/>
      <c r="H740" s="14"/>
      <c r="I740" s="14"/>
      <c r="J740" s="14"/>
      <c r="K740" s="12"/>
    </row>
    <row r="741" ht="19.5" customHeight="1">
      <c r="A741" s="12"/>
      <c r="C741" s="12"/>
      <c r="D741" s="13"/>
      <c r="F741" s="14"/>
      <c r="G741" s="14"/>
      <c r="H741" s="14"/>
      <c r="I741" s="14"/>
      <c r="J741" s="14"/>
      <c r="K741" s="12"/>
    </row>
    <row r="742" ht="19.5" customHeight="1">
      <c r="A742" s="12"/>
      <c r="C742" s="12"/>
      <c r="D742" s="13"/>
      <c r="F742" s="14"/>
      <c r="G742" s="14"/>
      <c r="H742" s="14"/>
      <c r="I742" s="14"/>
      <c r="J742" s="14"/>
      <c r="K742" s="12"/>
    </row>
    <row r="743" ht="19.5" customHeight="1">
      <c r="A743" s="12"/>
      <c r="C743" s="12"/>
      <c r="D743" s="13"/>
      <c r="F743" s="14"/>
      <c r="G743" s="14"/>
      <c r="H743" s="14"/>
      <c r="I743" s="14"/>
      <c r="J743" s="14"/>
      <c r="K743" s="12"/>
    </row>
    <row r="744" ht="19.5" customHeight="1">
      <c r="A744" s="12"/>
      <c r="C744" s="12"/>
      <c r="D744" s="13"/>
      <c r="F744" s="14"/>
      <c r="G744" s="14"/>
      <c r="H744" s="14"/>
      <c r="I744" s="14"/>
      <c r="J744" s="14"/>
      <c r="K744" s="12"/>
    </row>
    <row r="745" ht="19.5" customHeight="1">
      <c r="A745" s="12"/>
      <c r="C745" s="12"/>
      <c r="D745" s="13"/>
      <c r="F745" s="14"/>
      <c r="G745" s="14"/>
      <c r="H745" s="14"/>
      <c r="I745" s="14"/>
      <c r="J745" s="14"/>
      <c r="K745" s="12"/>
    </row>
    <row r="746" ht="19.5" customHeight="1">
      <c r="A746" s="12"/>
      <c r="C746" s="12"/>
      <c r="D746" s="13"/>
      <c r="F746" s="14"/>
      <c r="G746" s="14"/>
      <c r="H746" s="14"/>
      <c r="I746" s="14"/>
      <c r="J746" s="14"/>
      <c r="K746" s="12"/>
    </row>
    <row r="747" ht="19.5" customHeight="1">
      <c r="A747" s="12"/>
      <c r="C747" s="12"/>
      <c r="D747" s="13"/>
      <c r="F747" s="14"/>
      <c r="G747" s="14"/>
      <c r="H747" s="14"/>
      <c r="I747" s="14"/>
      <c r="J747" s="14"/>
      <c r="K747" s="12"/>
    </row>
    <row r="748" ht="19.5" customHeight="1">
      <c r="A748" s="12"/>
      <c r="C748" s="12"/>
      <c r="D748" s="13"/>
      <c r="F748" s="14"/>
      <c r="G748" s="14"/>
      <c r="H748" s="14"/>
      <c r="I748" s="14"/>
      <c r="J748" s="14"/>
      <c r="K748" s="12"/>
    </row>
    <row r="749" ht="19.5" customHeight="1">
      <c r="A749" s="12"/>
      <c r="C749" s="12"/>
      <c r="D749" s="13"/>
      <c r="F749" s="14"/>
      <c r="G749" s="14"/>
      <c r="H749" s="14"/>
      <c r="I749" s="14"/>
      <c r="J749" s="14"/>
      <c r="K749" s="12"/>
    </row>
    <row r="750" ht="19.5" customHeight="1">
      <c r="A750" s="12"/>
      <c r="C750" s="12"/>
      <c r="D750" s="13"/>
      <c r="F750" s="14"/>
      <c r="G750" s="14"/>
      <c r="H750" s="14"/>
      <c r="I750" s="14"/>
      <c r="J750" s="14"/>
      <c r="K750" s="12"/>
    </row>
    <row r="751" ht="19.5" customHeight="1">
      <c r="A751" s="12"/>
      <c r="C751" s="12"/>
      <c r="D751" s="13"/>
      <c r="F751" s="14"/>
      <c r="G751" s="14"/>
      <c r="H751" s="14"/>
      <c r="I751" s="14"/>
      <c r="J751" s="14"/>
      <c r="K751" s="12"/>
    </row>
    <row r="752" ht="19.5" customHeight="1">
      <c r="A752" s="12"/>
      <c r="C752" s="12"/>
      <c r="D752" s="13"/>
      <c r="F752" s="14"/>
      <c r="G752" s="14"/>
      <c r="H752" s="14"/>
      <c r="I752" s="14"/>
      <c r="J752" s="14"/>
      <c r="K752" s="12"/>
    </row>
    <row r="753" ht="19.5" customHeight="1">
      <c r="A753" s="12"/>
      <c r="C753" s="12"/>
      <c r="D753" s="13"/>
      <c r="F753" s="14"/>
      <c r="G753" s="14"/>
      <c r="H753" s="14"/>
      <c r="I753" s="14"/>
      <c r="J753" s="14"/>
      <c r="K753" s="12"/>
    </row>
    <row r="754" ht="19.5" customHeight="1">
      <c r="A754" s="12"/>
      <c r="C754" s="12"/>
      <c r="D754" s="13"/>
      <c r="F754" s="14"/>
      <c r="G754" s="14"/>
      <c r="H754" s="14"/>
      <c r="I754" s="14"/>
      <c r="J754" s="14"/>
      <c r="K754" s="12"/>
    </row>
    <row r="755" ht="19.5" customHeight="1">
      <c r="A755" s="12"/>
      <c r="C755" s="12"/>
      <c r="D755" s="13"/>
      <c r="F755" s="14"/>
      <c r="G755" s="14"/>
      <c r="H755" s="14"/>
      <c r="I755" s="14"/>
      <c r="J755" s="14"/>
      <c r="K755" s="12"/>
    </row>
    <row r="756" ht="19.5" customHeight="1">
      <c r="A756" s="12"/>
      <c r="C756" s="12"/>
      <c r="D756" s="13"/>
      <c r="F756" s="14"/>
      <c r="G756" s="14"/>
      <c r="H756" s="14"/>
      <c r="I756" s="14"/>
      <c r="J756" s="14"/>
      <c r="K756" s="12"/>
    </row>
    <row r="757" ht="19.5" customHeight="1">
      <c r="A757" s="12"/>
      <c r="C757" s="12"/>
      <c r="D757" s="13"/>
      <c r="F757" s="14"/>
      <c r="G757" s="14"/>
      <c r="H757" s="14"/>
      <c r="I757" s="14"/>
      <c r="J757" s="14"/>
      <c r="K757" s="12"/>
    </row>
    <row r="758" ht="19.5" customHeight="1">
      <c r="A758" s="12"/>
      <c r="C758" s="12"/>
      <c r="D758" s="13"/>
      <c r="F758" s="14"/>
      <c r="G758" s="14"/>
      <c r="H758" s="14"/>
      <c r="I758" s="14"/>
      <c r="J758" s="14"/>
      <c r="K758" s="12"/>
    </row>
    <row r="759" ht="19.5" customHeight="1">
      <c r="A759" s="12"/>
      <c r="C759" s="12"/>
      <c r="D759" s="13"/>
      <c r="F759" s="14"/>
      <c r="G759" s="14"/>
      <c r="H759" s="14"/>
      <c r="I759" s="14"/>
      <c r="J759" s="14"/>
      <c r="K759" s="12"/>
    </row>
    <row r="760" ht="19.5" customHeight="1">
      <c r="A760" s="12"/>
      <c r="C760" s="12"/>
      <c r="D760" s="13"/>
      <c r="F760" s="14"/>
      <c r="G760" s="14"/>
      <c r="H760" s="14"/>
      <c r="I760" s="14"/>
      <c r="J760" s="14"/>
      <c r="K760" s="12"/>
    </row>
    <row r="761" ht="19.5" customHeight="1">
      <c r="A761" s="12"/>
      <c r="C761" s="12"/>
      <c r="D761" s="13"/>
      <c r="F761" s="14"/>
      <c r="G761" s="14"/>
      <c r="H761" s="14"/>
      <c r="I761" s="14"/>
      <c r="J761" s="14"/>
      <c r="K761" s="12"/>
    </row>
    <row r="762" ht="19.5" customHeight="1">
      <c r="A762" s="12"/>
      <c r="C762" s="12"/>
      <c r="D762" s="13"/>
      <c r="F762" s="14"/>
      <c r="G762" s="14"/>
      <c r="H762" s="14"/>
      <c r="I762" s="14"/>
      <c r="J762" s="14"/>
      <c r="K762" s="12"/>
    </row>
    <row r="763" ht="19.5" customHeight="1">
      <c r="A763" s="12"/>
      <c r="C763" s="12"/>
      <c r="D763" s="13"/>
      <c r="F763" s="14"/>
      <c r="G763" s="14"/>
      <c r="H763" s="14"/>
      <c r="I763" s="14"/>
      <c r="J763" s="14"/>
      <c r="K763" s="12"/>
    </row>
    <row r="764" ht="19.5" customHeight="1">
      <c r="A764" s="12"/>
      <c r="C764" s="12"/>
      <c r="D764" s="13"/>
      <c r="F764" s="14"/>
      <c r="G764" s="14"/>
      <c r="H764" s="14"/>
      <c r="I764" s="14"/>
      <c r="J764" s="14"/>
      <c r="K764" s="12"/>
    </row>
    <row r="765" ht="19.5" customHeight="1">
      <c r="A765" s="12"/>
      <c r="C765" s="12"/>
      <c r="D765" s="13"/>
      <c r="F765" s="14"/>
      <c r="G765" s="14"/>
      <c r="H765" s="14"/>
      <c r="I765" s="14"/>
      <c r="J765" s="14"/>
      <c r="K765" s="12"/>
    </row>
    <row r="766" ht="19.5" customHeight="1">
      <c r="A766" s="12"/>
      <c r="C766" s="12"/>
      <c r="D766" s="13"/>
      <c r="F766" s="14"/>
      <c r="G766" s="14"/>
      <c r="H766" s="14"/>
      <c r="I766" s="14"/>
      <c r="J766" s="14"/>
      <c r="K766" s="12"/>
    </row>
    <row r="767" ht="19.5" customHeight="1">
      <c r="A767" s="12"/>
      <c r="C767" s="12"/>
      <c r="D767" s="13"/>
      <c r="F767" s="14"/>
      <c r="G767" s="14"/>
      <c r="H767" s="14"/>
      <c r="I767" s="14"/>
      <c r="J767" s="14"/>
      <c r="K767" s="12"/>
    </row>
    <row r="768" ht="19.5" customHeight="1">
      <c r="A768" s="12"/>
      <c r="C768" s="12"/>
      <c r="D768" s="13"/>
      <c r="F768" s="14"/>
      <c r="G768" s="14"/>
      <c r="H768" s="14"/>
      <c r="I768" s="14"/>
      <c r="J768" s="14"/>
      <c r="K768" s="12"/>
    </row>
    <row r="769" ht="19.5" customHeight="1">
      <c r="A769" s="12"/>
      <c r="C769" s="12"/>
      <c r="D769" s="13"/>
      <c r="F769" s="14"/>
      <c r="G769" s="14"/>
      <c r="H769" s="14"/>
      <c r="I769" s="14"/>
      <c r="J769" s="14"/>
      <c r="K769" s="12"/>
    </row>
    <row r="770" ht="19.5" customHeight="1">
      <c r="A770" s="12"/>
      <c r="C770" s="12"/>
      <c r="D770" s="13"/>
      <c r="F770" s="14"/>
      <c r="G770" s="14"/>
      <c r="H770" s="14"/>
      <c r="I770" s="14"/>
      <c r="J770" s="14"/>
      <c r="K770" s="12"/>
    </row>
    <row r="771" ht="19.5" customHeight="1">
      <c r="A771" s="12"/>
      <c r="C771" s="12"/>
      <c r="D771" s="13"/>
      <c r="F771" s="14"/>
      <c r="G771" s="14"/>
      <c r="H771" s="14"/>
      <c r="I771" s="14"/>
      <c r="J771" s="14"/>
      <c r="K771" s="12"/>
    </row>
    <row r="772" ht="19.5" customHeight="1">
      <c r="A772" s="12"/>
      <c r="C772" s="12"/>
      <c r="D772" s="13"/>
      <c r="F772" s="14"/>
      <c r="G772" s="14"/>
      <c r="H772" s="14"/>
      <c r="I772" s="14"/>
      <c r="J772" s="14"/>
      <c r="K772" s="12"/>
    </row>
    <row r="773" ht="19.5" customHeight="1">
      <c r="A773" s="12"/>
      <c r="C773" s="12"/>
      <c r="D773" s="13"/>
      <c r="F773" s="14"/>
      <c r="G773" s="14"/>
      <c r="H773" s="14"/>
      <c r="I773" s="14"/>
      <c r="J773" s="14"/>
      <c r="K773" s="12"/>
    </row>
    <row r="774" ht="19.5" customHeight="1">
      <c r="A774" s="12"/>
      <c r="C774" s="12"/>
      <c r="D774" s="13"/>
      <c r="F774" s="14"/>
      <c r="G774" s="14"/>
      <c r="H774" s="14"/>
      <c r="I774" s="14"/>
      <c r="J774" s="14"/>
      <c r="K774" s="12"/>
    </row>
    <row r="775" ht="19.5" customHeight="1">
      <c r="A775" s="12"/>
      <c r="C775" s="12"/>
      <c r="D775" s="13"/>
      <c r="F775" s="14"/>
      <c r="G775" s="14"/>
      <c r="H775" s="14"/>
      <c r="I775" s="14"/>
      <c r="J775" s="14"/>
      <c r="K775" s="12"/>
    </row>
    <row r="776" ht="19.5" customHeight="1">
      <c r="A776" s="12"/>
      <c r="C776" s="12"/>
      <c r="D776" s="13"/>
      <c r="F776" s="14"/>
      <c r="G776" s="14"/>
      <c r="H776" s="14"/>
      <c r="I776" s="14"/>
      <c r="J776" s="14"/>
      <c r="K776" s="12"/>
    </row>
    <row r="777" ht="19.5" customHeight="1">
      <c r="A777" s="12"/>
      <c r="C777" s="12"/>
      <c r="D777" s="13"/>
      <c r="F777" s="14"/>
      <c r="G777" s="14"/>
      <c r="H777" s="14"/>
      <c r="I777" s="14"/>
      <c r="J777" s="14"/>
      <c r="K777" s="12"/>
    </row>
    <row r="778" ht="19.5" customHeight="1">
      <c r="A778" s="12"/>
      <c r="C778" s="12"/>
      <c r="D778" s="13"/>
      <c r="F778" s="14"/>
      <c r="G778" s="14"/>
      <c r="H778" s="14"/>
      <c r="I778" s="14"/>
      <c r="J778" s="14"/>
      <c r="K778" s="12"/>
    </row>
    <row r="779" ht="19.5" customHeight="1">
      <c r="A779" s="12"/>
      <c r="C779" s="12"/>
      <c r="D779" s="13"/>
      <c r="F779" s="14"/>
      <c r="G779" s="14"/>
      <c r="H779" s="14"/>
      <c r="I779" s="14"/>
      <c r="J779" s="14"/>
      <c r="K779" s="12"/>
    </row>
    <row r="780" ht="19.5" customHeight="1">
      <c r="A780" s="12"/>
      <c r="C780" s="12"/>
      <c r="D780" s="13"/>
      <c r="F780" s="14"/>
      <c r="G780" s="14"/>
      <c r="H780" s="14"/>
      <c r="I780" s="14"/>
      <c r="J780" s="14"/>
      <c r="K780" s="12"/>
    </row>
    <row r="781" ht="19.5" customHeight="1">
      <c r="A781" s="12"/>
      <c r="C781" s="12"/>
      <c r="D781" s="13"/>
      <c r="F781" s="14"/>
      <c r="G781" s="14"/>
      <c r="H781" s="14"/>
      <c r="I781" s="14"/>
      <c r="J781" s="14"/>
      <c r="K781" s="12"/>
    </row>
    <row r="782" ht="19.5" customHeight="1">
      <c r="A782" s="12"/>
      <c r="C782" s="12"/>
      <c r="D782" s="13"/>
      <c r="F782" s="14"/>
      <c r="G782" s="14"/>
      <c r="H782" s="14"/>
      <c r="I782" s="14"/>
      <c r="J782" s="14"/>
      <c r="K782" s="12"/>
    </row>
    <row r="783" ht="19.5" customHeight="1">
      <c r="A783" s="12"/>
      <c r="C783" s="12"/>
      <c r="D783" s="13"/>
      <c r="F783" s="14"/>
      <c r="G783" s="14"/>
      <c r="H783" s="14"/>
      <c r="I783" s="14"/>
      <c r="J783" s="14"/>
      <c r="K783" s="12"/>
    </row>
    <row r="784" ht="19.5" customHeight="1">
      <c r="A784" s="12"/>
      <c r="C784" s="12"/>
      <c r="D784" s="13"/>
      <c r="F784" s="14"/>
      <c r="G784" s="14"/>
      <c r="H784" s="14"/>
      <c r="I784" s="14"/>
      <c r="J784" s="14"/>
      <c r="K784" s="12"/>
    </row>
    <row r="785" ht="19.5" customHeight="1">
      <c r="A785" s="12"/>
      <c r="C785" s="12"/>
      <c r="D785" s="13"/>
      <c r="F785" s="14"/>
      <c r="G785" s="14"/>
      <c r="H785" s="14"/>
      <c r="I785" s="14"/>
      <c r="J785" s="14"/>
      <c r="K785" s="12"/>
    </row>
    <row r="786" ht="19.5" customHeight="1">
      <c r="A786" s="12"/>
      <c r="C786" s="12"/>
      <c r="D786" s="13"/>
      <c r="F786" s="14"/>
      <c r="G786" s="14"/>
      <c r="H786" s="14"/>
      <c r="I786" s="14"/>
      <c r="J786" s="14"/>
      <c r="K786" s="12"/>
    </row>
    <row r="787" ht="19.5" customHeight="1">
      <c r="A787" s="12"/>
      <c r="C787" s="12"/>
      <c r="D787" s="13"/>
      <c r="F787" s="14"/>
      <c r="G787" s="14"/>
      <c r="H787" s="14"/>
      <c r="I787" s="14"/>
      <c r="J787" s="14"/>
      <c r="K787" s="12"/>
    </row>
    <row r="788" ht="19.5" customHeight="1">
      <c r="A788" s="12"/>
      <c r="C788" s="12"/>
      <c r="D788" s="13"/>
      <c r="F788" s="14"/>
      <c r="G788" s="14"/>
      <c r="H788" s="14"/>
      <c r="I788" s="14"/>
      <c r="J788" s="14"/>
      <c r="K788" s="12"/>
    </row>
    <row r="789" ht="19.5" customHeight="1">
      <c r="A789" s="12"/>
      <c r="C789" s="12"/>
      <c r="D789" s="13"/>
      <c r="F789" s="14"/>
      <c r="G789" s="14"/>
      <c r="H789" s="14"/>
      <c r="I789" s="14"/>
      <c r="J789" s="14"/>
      <c r="K789" s="12"/>
    </row>
    <row r="790" ht="19.5" customHeight="1">
      <c r="A790" s="12"/>
      <c r="C790" s="12"/>
      <c r="D790" s="13"/>
      <c r="F790" s="14"/>
      <c r="G790" s="14"/>
      <c r="H790" s="14"/>
      <c r="I790" s="14"/>
      <c r="J790" s="14"/>
      <c r="K790" s="12"/>
    </row>
    <row r="791" ht="19.5" customHeight="1">
      <c r="A791" s="12"/>
      <c r="C791" s="12"/>
      <c r="D791" s="13"/>
      <c r="F791" s="14"/>
      <c r="G791" s="14"/>
      <c r="H791" s="14"/>
      <c r="I791" s="14"/>
      <c r="J791" s="14"/>
      <c r="K791" s="12"/>
    </row>
    <row r="792" ht="19.5" customHeight="1">
      <c r="A792" s="12"/>
      <c r="C792" s="12"/>
      <c r="D792" s="13"/>
      <c r="F792" s="14"/>
      <c r="G792" s="14"/>
      <c r="H792" s="14"/>
      <c r="I792" s="14"/>
      <c r="J792" s="14"/>
      <c r="K792" s="12"/>
    </row>
    <row r="793" ht="19.5" customHeight="1">
      <c r="A793" s="12"/>
      <c r="C793" s="12"/>
      <c r="D793" s="13"/>
      <c r="F793" s="14"/>
      <c r="G793" s="14"/>
      <c r="H793" s="14"/>
      <c r="I793" s="14"/>
      <c r="J793" s="14"/>
      <c r="K793" s="12"/>
    </row>
    <row r="794" ht="19.5" customHeight="1">
      <c r="A794" s="12"/>
      <c r="C794" s="12"/>
      <c r="D794" s="13"/>
      <c r="F794" s="14"/>
      <c r="G794" s="14"/>
      <c r="H794" s="14"/>
      <c r="I794" s="14"/>
      <c r="J794" s="14"/>
      <c r="K794" s="12"/>
    </row>
    <row r="795" ht="19.5" customHeight="1">
      <c r="A795" s="12"/>
      <c r="C795" s="12"/>
      <c r="D795" s="13"/>
      <c r="F795" s="14"/>
      <c r="G795" s="14"/>
      <c r="H795" s="14"/>
      <c r="I795" s="14"/>
      <c r="J795" s="14"/>
      <c r="K795" s="12"/>
    </row>
    <row r="796" ht="19.5" customHeight="1">
      <c r="A796" s="12"/>
      <c r="C796" s="12"/>
      <c r="D796" s="13"/>
      <c r="F796" s="14"/>
      <c r="G796" s="14"/>
      <c r="H796" s="14"/>
      <c r="I796" s="14"/>
      <c r="J796" s="14"/>
      <c r="K796" s="12"/>
    </row>
    <row r="797" ht="19.5" customHeight="1">
      <c r="A797" s="12"/>
      <c r="C797" s="12"/>
      <c r="D797" s="13"/>
      <c r="F797" s="14"/>
      <c r="G797" s="14"/>
      <c r="H797" s="14"/>
      <c r="I797" s="14"/>
      <c r="J797" s="14"/>
      <c r="K797" s="12"/>
    </row>
    <row r="798" ht="19.5" customHeight="1">
      <c r="A798" s="12"/>
      <c r="C798" s="12"/>
      <c r="D798" s="13"/>
      <c r="F798" s="14"/>
      <c r="G798" s="14"/>
      <c r="H798" s="14"/>
      <c r="I798" s="14"/>
      <c r="J798" s="14"/>
      <c r="K798" s="12"/>
    </row>
    <row r="799" ht="19.5" customHeight="1">
      <c r="A799" s="12"/>
      <c r="C799" s="12"/>
      <c r="D799" s="13"/>
      <c r="F799" s="14"/>
      <c r="G799" s="14"/>
      <c r="H799" s="14"/>
      <c r="I799" s="14"/>
      <c r="J799" s="14"/>
      <c r="K799" s="12"/>
    </row>
    <row r="800" ht="19.5" customHeight="1">
      <c r="A800" s="12"/>
      <c r="C800" s="12"/>
      <c r="D800" s="13"/>
      <c r="F800" s="14"/>
      <c r="G800" s="14"/>
      <c r="H800" s="14"/>
      <c r="I800" s="14"/>
      <c r="J800" s="14"/>
      <c r="K800" s="12"/>
    </row>
    <row r="801" ht="19.5" customHeight="1">
      <c r="A801" s="12"/>
      <c r="C801" s="12"/>
      <c r="D801" s="13"/>
      <c r="F801" s="14"/>
      <c r="G801" s="14"/>
      <c r="H801" s="14"/>
      <c r="I801" s="14"/>
      <c r="J801" s="14"/>
      <c r="K801" s="12"/>
    </row>
    <row r="802" ht="19.5" customHeight="1">
      <c r="A802" s="12"/>
      <c r="C802" s="12"/>
      <c r="D802" s="13"/>
      <c r="F802" s="14"/>
      <c r="G802" s="14"/>
      <c r="H802" s="14"/>
      <c r="I802" s="14"/>
      <c r="J802" s="14"/>
      <c r="K802" s="12"/>
    </row>
    <row r="803" ht="19.5" customHeight="1">
      <c r="A803" s="12"/>
      <c r="C803" s="12"/>
      <c r="D803" s="13"/>
      <c r="F803" s="14"/>
      <c r="G803" s="14"/>
      <c r="H803" s="14"/>
      <c r="I803" s="14"/>
      <c r="J803" s="14"/>
      <c r="K803" s="12"/>
    </row>
    <row r="804" ht="19.5" customHeight="1">
      <c r="A804" s="12"/>
      <c r="C804" s="12"/>
      <c r="D804" s="13"/>
      <c r="F804" s="14"/>
      <c r="G804" s="14"/>
      <c r="H804" s="14"/>
      <c r="I804" s="14"/>
      <c r="J804" s="14"/>
      <c r="K804" s="12"/>
    </row>
    <row r="805" ht="19.5" customHeight="1">
      <c r="A805" s="12"/>
      <c r="C805" s="12"/>
      <c r="D805" s="13"/>
      <c r="F805" s="14"/>
      <c r="G805" s="14"/>
      <c r="H805" s="14"/>
      <c r="I805" s="14"/>
      <c r="J805" s="14"/>
      <c r="K805" s="12"/>
    </row>
    <row r="806" ht="19.5" customHeight="1">
      <c r="A806" s="12"/>
      <c r="C806" s="12"/>
      <c r="D806" s="13"/>
      <c r="F806" s="14"/>
      <c r="G806" s="14"/>
      <c r="H806" s="14"/>
      <c r="I806" s="14"/>
      <c r="J806" s="14"/>
      <c r="K806" s="12"/>
    </row>
    <row r="807" ht="19.5" customHeight="1">
      <c r="A807" s="12"/>
      <c r="C807" s="12"/>
      <c r="D807" s="13"/>
      <c r="F807" s="14"/>
      <c r="G807" s="14"/>
      <c r="H807" s="14"/>
      <c r="I807" s="14"/>
      <c r="J807" s="14"/>
      <c r="K807" s="12"/>
    </row>
    <row r="808" ht="19.5" customHeight="1">
      <c r="A808" s="12"/>
      <c r="C808" s="12"/>
      <c r="D808" s="13"/>
      <c r="F808" s="14"/>
      <c r="G808" s="14"/>
      <c r="H808" s="14"/>
      <c r="I808" s="14"/>
      <c r="J808" s="14"/>
      <c r="K808" s="12"/>
    </row>
    <row r="809" ht="19.5" customHeight="1">
      <c r="A809" s="12"/>
      <c r="C809" s="12"/>
      <c r="D809" s="13"/>
      <c r="F809" s="14"/>
      <c r="G809" s="14"/>
      <c r="H809" s="14"/>
      <c r="I809" s="14"/>
      <c r="J809" s="14"/>
      <c r="K809" s="12"/>
    </row>
    <row r="810" ht="19.5" customHeight="1">
      <c r="A810" s="12"/>
      <c r="C810" s="12"/>
      <c r="D810" s="13"/>
      <c r="F810" s="14"/>
      <c r="G810" s="14"/>
      <c r="H810" s="14"/>
      <c r="I810" s="14"/>
      <c r="J810" s="14"/>
      <c r="K810" s="12"/>
    </row>
    <row r="811" ht="19.5" customHeight="1">
      <c r="A811" s="12"/>
      <c r="C811" s="12"/>
      <c r="D811" s="13"/>
      <c r="F811" s="14"/>
      <c r="G811" s="14"/>
      <c r="H811" s="14"/>
      <c r="I811" s="14"/>
      <c r="J811" s="14"/>
      <c r="K811" s="12"/>
    </row>
    <row r="812" ht="19.5" customHeight="1">
      <c r="A812" s="12"/>
      <c r="C812" s="12"/>
      <c r="D812" s="13"/>
      <c r="F812" s="14"/>
      <c r="G812" s="14"/>
      <c r="H812" s="14"/>
      <c r="I812" s="14"/>
      <c r="J812" s="14"/>
      <c r="K812" s="12"/>
    </row>
    <row r="813" ht="19.5" customHeight="1">
      <c r="A813" s="12"/>
      <c r="C813" s="12"/>
      <c r="D813" s="13"/>
      <c r="F813" s="14"/>
      <c r="G813" s="14"/>
      <c r="H813" s="14"/>
      <c r="I813" s="14"/>
      <c r="J813" s="14"/>
      <c r="K813" s="12"/>
    </row>
    <row r="814" ht="19.5" customHeight="1">
      <c r="A814" s="12"/>
      <c r="C814" s="12"/>
      <c r="D814" s="13"/>
      <c r="F814" s="14"/>
      <c r="G814" s="14"/>
      <c r="H814" s="14"/>
      <c r="I814" s="14"/>
      <c r="J814" s="14"/>
      <c r="K814" s="12"/>
    </row>
    <row r="815" ht="19.5" customHeight="1">
      <c r="A815" s="12"/>
      <c r="C815" s="12"/>
      <c r="D815" s="13"/>
      <c r="F815" s="14"/>
      <c r="G815" s="14"/>
      <c r="H815" s="14"/>
      <c r="I815" s="14"/>
      <c r="J815" s="14"/>
      <c r="K815" s="12"/>
    </row>
    <row r="816" ht="19.5" customHeight="1">
      <c r="A816" s="12"/>
      <c r="C816" s="12"/>
      <c r="D816" s="13"/>
      <c r="F816" s="14"/>
      <c r="G816" s="14"/>
      <c r="H816" s="14"/>
      <c r="I816" s="14"/>
      <c r="J816" s="14"/>
      <c r="K816" s="12"/>
    </row>
    <row r="817" ht="19.5" customHeight="1">
      <c r="A817" s="12"/>
      <c r="C817" s="12"/>
      <c r="D817" s="13"/>
      <c r="F817" s="14"/>
      <c r="G817" s="14"/>
      <c r="H817" s="14"/>
      <c r="I817" s="14"/>
      <c r="J817" s="14"/>
      <c r="K817" s="12"/>
    </row>
    <row r="818" ht="19.5" customHeight="1">
      <c r="A818" s="12"/>
      <c r="C818" s="12"/>
      <c r="D818" s="13"/>
      <c r="F818" s="14"/>
      <c r="G818" s="14"/>
      <c r="H818" s="14"/>
      <c r="I818" s="14"/>
      <c r="J818" s="14"/>
      <c r="K818" s="12"/>
    </row>
    <row r="819" ht="19.5" customHeight="1">
      <c r="A819" s="12"/>
      <c r="C819" s="12"/>
      <c r="D819" s="13"/>
      <c r="F819" s="14"/>
      <c r="G819" s="14"/>
      <c r="H819" s="14"/>
      <c r="I819" s="14"/>
      <c r="J819" s="14"/>
      <c r="K819" s="12"/>
    </row>
    <row r="820" ht="19.5" customHeight="1">
      <c r="A820" s="12"/>
      <c r="C820" s="12"/>
      <c r="D820" s="13"/>
      <c r="F820" s="14"/>
      <c r="G820" s="14"/>
      <c r="H820" s="14"/>
      <c r="I820" s="14"/>
      <c r="J820" s="14"/>
      <c r="K820" s="12"/>
    </row>
    <row r="821" ht="19.5" customHeight="1">
      <c r="A821" s="12"/>
      <c r="C821" s="12"/>
      <c r="D821" s="13"/>
      <c r="F821" s="14"/>
      <c r="G821" s="14"/>
      <c r="H821" s="14"/>
      <c r="I821" s="14"/>
      <c r="J821" s="14"/>
      <c r="K821" s="12"/>
    </row>
    <row r="822" ht="19.5" customHeight="1">
      <c r="A822" s="12"/>
      <c r="C822" s="12"/>
      <c r="D822" s="13"/>
      <c r="F822" s="14"/>
      <c r="G822" s="14"/>
      <c r="H822" s="14"/>
      <c r="I822" s="14"/>
      <c r="J822" s="14"/>
      <c r="K822" s="12"/>
    </row>
    <row r="823" ht="19.5" customHeight="1">
      <c r="A823" s="12"/>
      <c r="C823" s="12"/>
      <c r="D823" s="13"/>
      <c r="F823" s="14"/>
      <c r="G823" s="14"/>
      <c r="H823" s="14"/>
      <c r="I823" s="14"/>
      <c r="J823" s="14"/>
      <c r="K823" s="12"/>
    </row>
    <row r="824" ht="19.5" customHeight="1">
      <c r="A824" s="12"/>
      <c r="C824" s="12"/>
      <c r="D824" s="13"/>
      <c r="F824" s="14"/>
      <c r="G824" s="14"/>
      <c r="H824" s="14"/>
      <c r="I824" s="14"/>
      <c r="J824" s="14"/>
      <c r="K824" s="12"/>
    </row>
    <row r="825" ht="19.5" customHeight="1">
      <c r="A825" s="12"/>
      <c r="C825" s="12"/>
      <c r="D825" s="13"/>
      <c r="F825" s="14"/>
      <c r="G825" s="14"/>
      <c r="H825" s="14"/>
      <c r="I825" s="14"/>
      <c r="J825" s="14"/>
      <c r="K825" s="12"/>
    </row>
    <row r="826" ht="19.5" customHeight="1">
      <c r="A826" s="12"/>
      <c r="C826" s="12"/>
      <c r="D826" s="13"/>
      <c r="F826" s="14"/>
      <c r="G826" s="14"/>
      <c r="H826" s="14"/>
      <c r="I826" s="14"/>
      <c r="J826" s="14"/>
      <c r="K826" s="12"/>
    </row>
    <row r="827" ht="19.5" customHeight="1">
      <c r="A827" s="12"/>
      <c r="C827" s="12"/>
      <c r="D827" s="13"/>
      <c r="F827" s="14"/>
      <c r="G827" s="14"/>
      <c r="H827" s="14"/>
      <c r="I827" s="14"/>
      <c r="J827" s="14"/>
      <c r="K827" s="12"/>
    </row>
    <row r="828" ht="19.5" customHeight="1">
      <c r="A828" s="12"/>
      <c r="C828" s="12"/>
      <c r="D828" s="13"/>
      <c r="F828" s="14"/>
      <c r="G828" s="14"/>
      <c r="H828" s="14"/>
      <c r="I828" s="14"/>
      <c r="J828" s="14"/>
      <c r="K828" s="12"/>
    </row>
    <row r="829" ht="19.5" customHeight="1">
      <c r="A829" s="12"/>
      <c r="C829" s="12"/>
      <c r="D829" s="13"/>
      <c r="F829" s="14"/>
      <c r="G829" s="14"/>
      <c r="H829" s="14"/>
      <c r="I829" s="14"/>
      <c r="J829" s="14"/>
      <c r="K829" s="12"/>
    </row>
    <row r="830" ht="19.5" customHeight="1">
      <c r="A830" s="12"/>
      <c r="C830" s="12"/>
      <c r="D830" s="13"/>
      <c r="F830" s="14"/>
      <c r="G830" s="14"/>
      <c r="H830" s="14"/>
      <c r="I830" s="14"/>
      <c r="J830" s="14"/>
      <c r="K830" s="12"/>
    </row>
    <row r="831" ht="19.5" customHeight="1">
      <c r="A831" s="12"/>
      <c r="C831" s="12"/>
      <c r="D831" s="13"/>
      <c r="F831" s="14"/>
      <c r="G831" s="14"/>
      <c r="H831" s="14"/>
      <c r="I831" s="14"/>
      <c r="J831" s="14"/>
      <c r="K831" s="12"/>
    </row>
    <row r="832" ht="19.5" customHeight="1">
      <c r="A832" s="12"/>
      <c r="C832" s="12"/>
      <c r="D832" s="13"/>
      <c r="F832" s="14"/>
      <c r="G832" s="14"/>
      <c r="H832" s="14"/>
      <c r="I832" s="14"/>
      <c r="J832" s="14"/>
      <c r="K832" s="12"/>
    </row>
    <row r="833" ht="19.5" customHeight="1">
      <c r="A833" s="12"/>
      <c r="C833" s="12"/>
      <c r="D833" s="13"/>
      <c r="F833" s="14"/>
      <c r="G833" s="14"/>
      <c r="H833" s="14"/>
      <c r="I833" s="14"/>
      <c r="J833" s="14"/>
      <c r="K833" s="12"/>
    </row>
    <row r="834" ht="19.5" customHeight="1">
      <c r="A834" s="12"/>
      <c r="C834" s="12"/>
      <c r="D834" s="13"/>
      <c r="F834" s="14"/>
      <c r="G834" s="14"/>
      <c r="H834" s="14"/>
      <c r="I834" s="14"/>
      <c r="J834" s="14"/>
      <c r="K834" s="12"/>
    </row>
    <row r="835" ht="19.5" customHeight="1">
      <c r="A835" s="12"/>
      <c r="C835" s="12"/>
      <c r="D835" s="13"/>
      <c r="F835" s="14"/>
      <c r="G835" s="14"/>
      <c r="H835" s="14"/>
      <c r="I835" s="14"/>
      <c r="J835" s="14"/>
      <c r="K835" s="12"/>
    </row>
    <row r="836" ht="19.5" customHeight="1">
      <c r="A836" s="12"/>
      <c r="C836" s="12"/>
      <c r="D836" s="13"/>
      <c r="F836" s="14"/>
      <c r="G836" s="14"/>
      <c r="H836" s="14"/>
      <c r="I836" s="14"/>
      <c r="J836" s="14"/>
      <c r="K836" s="12"/>
    </row>
    <row r="837" ht="19.5" customHeight="1">
      <c r="A837" s="12"/>
      <c r="C837" s="12"/>
      <c r="D837" s="13"/>
      <c r="F837" s="14"/>
      <c r="G837" s="14"/>
      <c r="H837" s="14"/>
      <c r="I837" s="14"/>
      <c r="J837" s="14"/>
      <c r="K837" s="12"/>
    </row>
    <row r="838" ht="19.5" customHeight="1">
      <c r="A838" s="12"/>
      <c r="C838" s="12"/>
      <c r="D838" s="13"/>
      <c r="F838" s="14"/>
      <c r="G838" s="14"/>
      <c r="H838" s="14"/>
      <c r="I838" s="14"/>
      <c r="J838" s="14"/>
      <c r="K838" s="12"/>
    </row>
    <row r="839" ht="19.5" customHeight="1">
      <c r="A839" s="12"/>
      <c r="C839" s="12"/>
      <c r="D839" s="13"/>
      <c r="F839" s="14"/>
      <c r="G839" s="14"/>
      <c r="H839" s="14"/>
      <c r="I839" s="14"/>
      <c r="J839" s="14"/>
      <c r="K839" s="12"/>
    </row>
    <row r="840" ht="19.5" customHeight="1">
      <c r="A840" s="12"/>
      <c r="C840" s="12"/>
      <c r="D840" s="13"/>
      <c r="F840" s="14"/>
      <c r="G840" s="14"/>
      <c r="H840" s="14"/>
      <c r="I840" s="14"/>
      <c r="J840" s="14"/>
      <c r="K840" s="12"/>
    </row>
    <row r="841" ht="19.5" customHeight="1">
      <c r="A841" s="12"/>
      <c r="C841" s="12"/>
      <c r="D841" s="13"/>
      <c r="F841" s="14"/>
      <c r="G841" s="14"/>
      <c r="H841" s="14"/>
      <c r="I841" s="14"/>
      <c r="J841" s="14"/>
      <c r="K841" s="12"/>
    </row>
    <row r="842" ht="19.5" customHeight="1">
      <c r="A842" s="12"/>
      <c r="C842" s="12"/>
      <c r="D842" s="13"/>
      <c r="F842" s="14"/>
      <c r="G842" s="14"/>
      <c r="H842" s="14"/>
      <c r="I842" s="14"/>
      <c r="J842" s="14"/>
      <c r="K842" s="12"/>
    </row>
    <row r="843" ht="19.5" customHeight="1">
      <c r="A843" s="12"/>
      <c r="C843" s="12"/>
      <c r="D843" s="13"/>
      <c r="F843" s="14"/>
      <c r="G843" s="14"/>
      <c r="H843" s="14"/>
      <c r="I843" s="14"/>
      <c r="J843" s="14"/>
      <c r="K843" s="12"/>
    </row>
    <row r="844" ht="19.5" customHeight="1">
      <c r="A844" s="12"/>
      <c r="C844" s="12"/>
      <c r="D844" s="13"/>
      <c r="F844" s="14"/>
      <c r="G844" s="14"/>
      <c r="H844" s="14"/>
      <c r="I844" s="14"/>
      <c r="J844" s="14"/>
      <c r="K844" s="12"/>
    </row>
    <row r="845" ht="19.5" customHeight="1">
      <c r="A845" s="12"/>
      <c r="C845" s="12"/>
      <c r="D845" s="13"/>
      <c r="F845" s="14"/>
      <c r="G845" s="14"/>
      <c r="H845" s="14"/>
      <c r="I845" s="14"/>
      <c r="J845" s="14"/>
      <c r="K845" s="12"/>
    </row>
    <row r="846" ht="19.5" customHeight="1">
      <c r="A846" s="12"/>
      <c r="C846" s="12"/>
      <c r="D846" s="13"/>
      <c r="F846" s="14"/>
      <c r="G846" s="14"/>
      <c r="H846" s="14"/>
      <c r="I846" s="14"/>
      <c r="J846" s="14"/>
      <c r="K846" s="12"/>
    </row>
    <row r="847" ht="19.5" customHeight="1">
      <c r="A847" s="12"/>
      <c r="C847" s="12"/>
      <c r="D847" s="13"/>
      <c r="F847" s="14"/>
      <c r="G847" s="14"/>
      <c r="H847" s="14"/>
      <c r="I847" s="14"/>
      <c r="J847" s="14"/>
      <c r="K847" s="12"/>
    </row>
    <row r="848" ht="19.5" customHeight="1">
      <c r="A848" s="12"/>
      <c r="C848" s="12"/>
      <c r="D848" s="13"/>
      <c r="F848" s="14"/>
      <c r="G848" s="14"/>
      <c r="H848" s="14"/>
      <c r="I848" s="14"/>
      <c r="J848" s="14"/>
      <c r="K848" s="12"/>
    </row>
    <row r="849" ht="19.5" customHeight="1">
      <c r="A849" s="12"/>
      <c r="C849" s="12"/>
      <c r="D849" s="13"/>
      <c r="F849" s="14"/>
      <c r="G849" s="14"/>
      <c r="H849" s="14"/>
      <c r="I849" s="14"/>
      <c r="J849" s="14"/>
      <c r="K849" s="12"/>
    </row>
    <row r="850" ht="19.5" customHeight="1">
      <c r="A850" s="12"/>
      <c r="C850" s="12"/>
      <c r="D850" s="13"/>
      <c r="F850" s="14"/>
      <c r="G850" s="14"/>
      <c r="H850" s="14"/>
      <c r="I850" s="14"/>
      <c r="J850" s="14"/>
      <c r="K850" s="12"/>
    </row>
    <row r="851" ht="19.5" customHeight="1">
      <c r="A851" s="12"/>
      <c r="C851" s="12"/>
      <c r="D851" s="13"/>
      <c r="F851" s="14"/>
      <c r="G851" s="14"/>
      <c r="H851" s="14"/>
      <c r="I851" s="14"/>
      <c r="J851" s="14"/>
      <c r="K851" s="12"/>
    </row>
    <row r="852" ht="19.5" customHeight="1">
      <c r="A852" s="12"/>
      <c r="C852" s="12"/>
      <c r="D852" s="13"/>
      <c r="F852" s="14"/>
      <c r="G852" s="14"/>
      <c r="H852" s="14"/>
      <c r="I852" s="14"/>
      <c r="J852" s="14"/>
      <c r="K852" s="12"/>
    </row>
    <row r="853" ht="19.5" customHeight="1">
      <c r="A853" s="12"/>
      <c r="C853" s="12"/>
      <c r="D853" s="13"/>
      <c r="F853" s="14"/>
      <c r="G853" s="14"/>
      <c r="H853" s="14"/>
      <c r="I853" s="14"/>
      <c r="J853" s="14"/>
      <c r="K853" s="12"/>
    </row>
    <row r="854" ht="19.5" customHeight="1">
      <c r="A854" s="12"/>
      <c r="C854" s="12"/>
      <c r="D854" s="13"/>
      <c r="F854" s="14"/>
      <c r="G854" s="14"/>
      <c r="H854" s="14"/>
      <c r="I854" s="14"/>
      <c r="J854" s="14"/>
      <c r="K854" s="12"/>
    </row>
    <row r="855" ht="19.5" customHeight="1">
      <c r="A855" s="12"/>
      <c r="C855" s="12"/>
      <c r="D855" s="13"/>
      <c r="F855" s="14"/>
      <c r="G855" s="14"/>
      <c r="H855" s="14"/>
      <c r="I855" s="14"/>
      <c r="J855" s="14"/>
      <c r="K855" s="12"/>
    </row>
    <row r="856" ht="19.5" customHeight="1">
      <c r="A856" s="12"/>
      <c r="C856" s="12"/>
      <c r="D856" s="13"/>
      <c r="F856" s="14"/>
      <c r="G856" s="14"/>
      <c r="H856" s="14"/>
      <c r="I856" s="14"/>
      <c r="J856" s="14"/>
      <c r="K856" s="12"/>
    </row>
    <row r="857" ht="19.5" customHeight="1">
      <c r="A857" s="12"/>
      <c r="C857" s="12"/>
      <c r="D857" s="13"/>
      <c r="F857" s="14"/>
      <c r="G857" s="14"/>
      <c r="H857" s="14"/>
      <c r="I857" s="14"/>
      <c r="J857" s="14"/>
      <c r="K857" s="12"/>
    </row>
    <row r="858" ht="19.5" customHeight="1">
      <c r="A858" s="12"/>
      <c r="C858" s="12"/>
      <c r="D858" s="13"/>
      <c r="F858" s="14"/>
      <c r="G858" s="14"/>
      <c r="H858" s="14"/>
      <c r="I858" s="14"/>
      <c r="J858" s="14"/>
      <c r="K858" s="12"/>
    </row>
    <row r="859" ht="19.5" customHeight="1">
      <c r="A859" s="12"/>
      <c r="C859" s="12"/>
      <c r="D859" s="13"/>
      <c r="F859" s="14"/>
      <c r="G859" s="14"/>
      <c r="H859" s="14"/>
      <c r="I859" s="14"/>
      <c r="J859" s="14"/>
      <c r="K859" s="12"/>
    </row>
    <row r="860" ht="19.5" customHeight="1">
      <c r="A860" s="12"/>
      <c r="C860" s="12"/>
      <c r="D860" s="13"/>
      <c r="F860" s="14"/>
      <c r="G860" s="14"/>
      <c r="H860" s="14"/>
      <c r="I860" s="14"/>
      <c r="J860" s="14"/>
      <c r="K860" s="12"/>
    </row>
    <row r="861" ht="19.5" customHeight="1">
      <c r="A861" s="12"/>
      <c r="C861" s="12"/>
      <c r="D861" s="13"/>
      <c r="F861" s="14"/>
      <c r="G861" s="14"/>
      <c r="H861" s="14"/>
      <c r="I861" s="14"/>
      <c r="J861" s="14"/>
      <c r="K861" s="12"/>
    </row>
    <row r="862" ht="19.5" customHeight="1">
      <c r="A862" s="12"/>
      <c r="C862" s="12"/>
      <c r="D862" s="13"/>
      <c r="F862" s="14"/>
      <c r="G862" s="14"/>
      <c r="H862" s="14"/>
      <c r="I862" s="14"/>
      <c r="J862" s="14"/>
      <c r="K862" s="12"/>
    </row>
    <row r="863" ht="19.5" customHeight="1">
      <c r="A863" s="12"/>
      <c r="C863" s="12"/>
      <c r="D863" s="13"/>
      <c r="F863" s="14"/>
      <c r="G863" s="14"/>
      <c r="H863" s="14"/>
      <c r="I863" s="14"/>
      <c r="J863" s="14"/>
      <c r="K863" s="12"/>
    </row>
    <row r="864" ht="19.5" customHeight="1">
      <c r="A864" s="12"/>
      <c r="C864" s="12"/>
      <c r="D864" s="13"/>
      <c r="F864" s="14"/>
      <c r="G864" s="14"/>
      <c r="H864" s="14"/>
      <c r="I864" s="14"/>
      <c r="J864" s="14"/>
      <c r="K864" s="12"/>
    </row>
    <row r="865" ht="19.5" customHeight="1">
      <c r="A865" s="12"/>
      <c r="C865" s="12"/>
      <c r="D865" s="13"/>
      <c r="F865" s="14"/>
      <c r="G865" s="14"/>
      <c r="H865" s="14"/>
      <c r="I865" s="14"/>
      <c r="J865" s="14"/>
      <c r="K865" s="12"/>
    </row>
    <row r="866" ht="19.5" customHeight="1">
      <c r="A866" s="12"/>
      <c r="C866" s="12"/>
      <c r="D866" s="13"/>
      <c r="F866" s="14"/>
      <c r="G866" s="14"/>
      <c r="H866" s="14"/>
      <c r="I866" s="14"/>
      <c r="J866" s="14"/>
      <c r="K866" s="12"/>
    </row>
    <row r="867" ht="19.5" customHeight="1">
      <c r="A867" s="12"/>
      <c r="C867" s="12"/>
      <c r="D867" s="13"/>
      <c r="F867" s="14"/>
      <c r="G867" s="14"/>
      <c r="H867" s="14"/>
      <c r="I867" s="14"/>
      <c r="J867" s="14"/>
      <c r="K867" s="12"/>
    </row>
    <row r="868" ht="19.5" customHeight="1">
      <c r="A868" s="12"/>
      <c r="C868" s="12"/>
      <c r="D868" s="13"/>
      <c r="F868" s="14"/>
      <c r="G868" s="14"/>
      <c r="H868" s="14"/>
      <c r="I868" s="14"/>
      <c r="J868" s="14"/>
      <c r="K868" s="12"/>
    </row>
    <row r="869" ht="19.5" customHeight="1">
      <c r="A869" s="12"/>
      <c r="C869" s="12"/>
      <c r="D869" s="13"/>
      <c r="F869" s="14"/>
      <c r="G869" s="14"/>
      <c r="H869" s="14"/>
      <c r="I869" s="14"/>
      <c r="J869" s="14"/>
      <c r="K869" s="12"/>
    </row>
    <row r="870" ht="19.5" customHeight="1">
      <c r="A870" s="12"/>
      <c r="C870" s="12"/>
      <c r="D870" s="13"/>
      <c r="F870" s="14"/>
      <c r="G870" s="14"/>
      <c r="H870" s="14"/>
      <c r="I870" s="14"/>
      <c r="J870" s="14"/>
      <c r="K870" s="12"/>
    </row>
    <row r="871" ht="19.5" customHeight="1">
      <c r="A871" s="12"/>
      <c r="C871" s="12"/>
      <c r="D871" s="13"/>
      <c r="F871" s="14"/>
      <c r="G871" s="14"/>
      <c r="H871" s="14"/>
      <c r="I871" s="14"/>
      <c r="J871" s="14"/>
      <c r="K871" s="12"/>
    </row>
    <row r="872" ht="19.5" customHeight="1">
      <c r="A872" s="12"/>
      <c r="C872" s="12"/>
      <c r="D872" s="13"/>
      <c r="F872" s="14"/>
      <c r="G872" s="14"/>
      <c r="H872" s="14"/>
      <c r="I872" s="14"/>
      <c r="J872" s="14"/>
      <c r="K872" s="12"/>
    </row>
    <row r="873" ht="19.5" customHeight="1">
      <c r="A873" s="12"/>
      <c r="C873" s="12"/>
      <c r="D873" s="13"/>
      <c r="F873" s="14"/>
      <c r="G873" s="14"/>
      <c r="H873" s="14"/>
      <c r="I873" s="14"/>
      <c r="J873" s="14"/>
      <c r="K873" s="12"/>
    </row>
    <row r="874" ht="19.5" customHeight="1">
      <c r="A874" s="12"/>
      <c r="C874" s="12"/>
      <c r="D874" s="13"/>
      <c r="F874" s="14"/>
      <c r="G874" s="14"/>
      <c r="H874" s="14"/>
      <c r="I874" s="14"/>
      <c r="J874" s="14"/>
      <c r="K874" s="12"/>
    </row>
    <row r="875" ht="19.5" customHeight="1">
      <c r="A875" s="12"/>
      <c r="C875" s="12"/>
      <c r="D875" s="13"/>
      <c r="F875" s="14"/>
      <c r="G875" s="14"/>
      <c r="H875" s="14"/>
      <c r="I875" s="14"/>
      <c r="J875" s="14"/>
      <c r="K875" s="12"/>
    </row>
    <row r="876" ht="19.5" customHeight="1">
      <c r="A876" s="12"/>
      <c r="C876" s="12"/>
      <c r="D876" s="13"/>
      <c r="F876" s="14"/>
      <c r="G876" s="14"/>
      <c r="H876" s="14"/>
      <c r="I876" s="14"/>
      <c r="J876" s="14"/>
      <c r="K876" s="12"/>
    </row>
    <row r="877" ht="19.5" customHeight="1">
      <c r="A877" s="12"/>
      <c r="C877" s="12"/>
      <c r="D877" s="13"/>
      <c r="F877" s="14"/>
      <c r="G877" s="14"/>
      <c r="H877" s="14"/>
      <c r="I877" s="14"/>
      <c r="J877" s="14"/>
      <c r="K877" s="12"/>
    </row>
    <row r="878" ht="19.5" customHeight="1">
      <c r="A878" s="12"/>
      <c r="C878" s="12"/>
      <c r="D878" s="13"/>
      <c r="F878" s="14"/>
      <c r="G878" s="14"/>
      <c r="H878" s="14"/>
      <c r="I878" s="14"/>
      <c r="J878" s="14"/>
      <c r="K878" s="12"/>
    </row>
    <row r="879" ht="19.5" customHeight="1">
      <c r="A879" s="12"/>
      <c r="C879" s="12"/>
      <c r="D879" s="13"/>
      <c r="F879" s="14"/>
      <c r="G879" s="14"/>
      <c r="H879" s="14"/>
      <c r="I879" s="14"/>
      <c r="J879" s="14"/>
      <c r="K879" s="12"/>
    </row>
    <row r="880" ht="19.5" customHeight="1">
      <c r="A880" s="12"/>
      <c r="C880" s="12"/>
      <c r="D880" s="13"/>
      <c r="F880" s="14"/>
      <c r="G880" s="14"/>
      <c r="H880" s="14"/>
      <c r="I880" s="14"/>
      <c r="J880" s="14"/>
      <c r="K880" s="12"/>
    </row>
    <row r="881" ht="19.5" customHeight="1">
      <c r="A881" s="12"/>
      <c r="C881" s="12"/>
      <c r="D881" s="13"/>
      <c r="F881" s="14"/>
      <c r="G881" s="14"/>
      <c r="H881" s="14"/>
      <c r="I881" s="14"/>
      <c r="J881" s="14"/>
      <c r="K881" s="12"/>
    </row>
    <row r="882" ht="19.5" customHeight="1">
      <c r="A882" s="12"/>
      <c r="C882" s="12"/>
      <c r="D882" s="13"/>
      <c r="F882" s="14"/>
      <c r="G882" s="14"/>
      <c r="H882" s="14"/>
      <c r="I882" s="14"/>
      <c r="J882" s="14"/>
      <c r="K882" s="12"/>
    </row>
    <row r="883" ht="19.5" customHeight="1">
      <c r="A883" s="12"/>
      <c r="C883" s="12"/>
      <c r="D883" s="13"/>
      <c r="F883" s="14"/>
      <c r="G883" s="14"/>
      <c r="H883" s="14"/>
      <c r="I883" s="14"/>
      <c r="J883" s="14"/>
      <c r="K883" s="12"/>
    </row>
    <row r="884" ht="19.5" customHeight="1">
      <c r="A884" s="12"/>
      <c r="C884" s="12"/>
      <c r="D884" s="13"/>
      <c r="F884" s="14"/>
      <c r="G884" s="14"/>
      <c r="H884" s="14"/>
      <c r="I884" s="14"/>
      <c r="J884" s="14"/>
      <c r="K884" s="12"/>
    </row>
    <row r="885" ht="19.5" customHeight="1">
      <c r="A885" s="12"/>
      <c r="C885" s="12"/>
      <c r="D885" s="13"/>
      <c r="F885" s="14"/>
      <c r="G885" s="14"/>
      <c r="H885" s="14"/>
      <c r="I885" s="14"/>
      <c r="J885" s="14"/>
      <c r="K885" s="12"/>
    </row>
    <row r="886" ht="19.5" customHeight="1">
      <c r="A886" s="12"/>
      <c r="C886" s="12"/>
      <c r="D886" s="13"/>
      <c r="F886" s="14"/>
      <c r="G886" s="14"/>
      <c r="H886" s="14"/>
      <c r="I886" s="14"/>
      <c r="J886" s="14"/>
      <c r="K886" s="12"/>
    </row>
    <row r="887" ht="19.5" customHeight="1">
      <c r="A887" s="12"/>
      <c r="C887" s="12"/>
      <c r="D887" s="13"/>
      <c r="F887" s="14"/>
      <c r="G887" s="14"/>
      <c r="H887" s="14"/>
      <c r="I887" s="14"/>
      <c r="J887" s="14"/>
      <c r="K887" s="12"/>
    </row>
    <row r="888" ht="19.5" customHeight="1">
      <c r="A888" s="12"/>
      <c r="C888" s="12"/>
      <c r="D888" s="13"/>
      <c r="F888" s="14"/>
      <c r="G888" s="14"/>
      <c r="H888" s="14"/>
      <c r="I888" s="14"/>
      <c r="J888" s="14"/>
      <c r="K888" s="12"/>
    </row>
    <row r="889" ht="19.5" customHeight="1">
      <c r="A889" s="12"/>
      <c r="C889" s="12"/>
      <c r="D889" s="13"/>
      <c r="F889" s="14"/>
      <c r="G889" s="14"/>
      <c r="H889" s="14"/>
      <c r="I889" s="14"/>
      <c r="J889" s="14"/>
      <c r="K889" s="12"/>
    </row>
    <row r="890" ht="19.5" customHeight="1">
      <c r="A890" s="12"/>
      <c r="C890" s="12"/>
      <c r="D890" s="13"/>
      <c r="F890" s="14"/>
      <c r="G890" s="14"/>
      <c r="H890" s="14"/>
      <c r="I890" s="14"/>
      <c r="J890" s="14"/>
      <c r="K890" s="12"/>
    </row>
    <row r="891" ht="19.5" customHeight="1">
      <c r="A891" s="12"/>
      <c r="C891" s="12"/>
      <c r="D891" s="13"/>
      <c r="F891" s="14"/>
      <c r="G891" s="14"/>
      <c r="H891" s="14"/>
      <c r="I891" s="14"/>
      <c r="J891" s="14"/>
      <c r="K891" s="12"/>
    </row>
    <row r="892" ht="19.5" customHeight="1">
      <c r="A892" s="12"/>
      <c r="C892" s="12"/>
      <c r="D892" s="13"/>
      <c r="F892" s="14"/>
      <c r="G892" s="14"/>
      <c r="H892" s="14"/>
      <c r="I892" s="14"/>
      <c r="J892" s="14"/>
      <c r="K892" s="12"/>
    </row>
    <row r="893" ht="19.5" customHeight="1">
      <c r="A893" s="12"/>
      <c r="C893" s="12"/>
      <c r="D893" s="13"/>
      <c r="F893" s="14"/>
      <c r="G893" s="14"/>
      <c r="H893" s="14"/>
      <c r="I893" s="14"/>
      <c r="J893" s="14"/>
      <c r="K893" s="12"/>
    </row>
    <row r="894" ht="19.5" customHeight="1">
      <c r="A894" s="12"/>
      <c r="C894" s="12"/>
      <c r="D894" s="13"/>
      <c r="F894" s="14"/>
      <c r="G894" s="14"/>
      <c r="H894" s="14"/>
      <c r="I894" s="14"/>
      <c r="J894" s="14"/>
      <c r="K894" s="12"/>
    </row>
    <row r="895" ht="19.5" customHeight="1">
      <c r="A895" s="12"/>
      <c r="C895" s="12"/>
      <c r="D895" s="13"/>
      <c r="F895" s="14"/>
      <c r="G895" s="14"/>
      <c r="H895" s="14"/>
      <c r="I895" s="14"/>
      <c r="J895" s="14"/>
      <c r="K895" s="12"/>
    </row>
    <row r="896" ht="19.5" customHeight="1">
      <c r="A896" s="12"/>
      <c r="C896" s="12"/>
      <c r="D896" s="13"/>
      <c r="F896" s="14"/>
      <c r="G896" s="14"/>
      <c r="H896" s="14"/>
      <c r="I896" s="14"/>
      <c r="J896" s="14"/>
      <c r="K896" s="12"/>
    </row>
    <row r="897" ht="19.5" customHeight="1">
      <c r="A897" s="12"/>
      <c r="C897" s="12"/>
      <c r="D897" s="13"/>
      <c r="F897" s="14"/>
      <c r="G897" s="14"/>
      <c r="H897" s="14"/>
      <c r="I897" s="14"/>
      <c r="J897" s="14"/>
      <c r="K897" s="12"/>
    </row>
    <row r="898" ht="19.5" customHeight="1">
      <c r="A898" s="12"/>
      <c r="C898" s="12"/>
      <c r="D898" s="13"/>
      <c r="F898" s="14"/>
      <c r="G898" s="14"/>
      <c r="H898" s="14"/>
      <c r="I898" s="14"/>
      <c r="J898" s="14"/>
      <c r="K898" s="12"/>
    </row>
    <row r="899" ht="19.5" customHeight="1">
      <c r="A899" s="12"/>
      <c r="C899" s="12"/>
      <c r="D899" s="13"/>
      <c r="F899" s="14"/>
      <c r="G899" s="14"/>
      <c r="H899" s="14"/>
      <c r="I899" s="14"/>
      <c r="J899" s="14"/>
      <c r="K899" s="12"/>
    </row>
    <row r="900" ht="19.5" customHeight="1">
      <c r="A900" s="12"/>
      <c r="C900" s="12"/>
      <c r="D900" s="13"/>
      <c r="F900" s="14"/>
      <c r="G900" s="14"/>
      <c r="H900" s="14"/>
      <c r="I900" s="14"/>
      <c r="J900" s="14"/>
      <c r="K900" s="12"/>
    </row>
    <row r="901" ht="19.5" customHeight="1">
      <c r="A901" s="12"/>
      <c r="C901" s="12"/>
      <c r="D901" s="13"/>
      <c r="F901" s="14"/>
      <c r="G901" s="14"/>
      <c r="H901" s="14"/>
      <c r="I901" s="14"/>
      <c r="J901" s="14"/>
      <c r="K901" s="12"/>
    </row>
    <row r="902" ht="19.5" customHeight="1">
      <c r="A902" s="12"/>
      <c r="C902" s="12"/>
      <c r="D902" s="13"/>
      <c r="F902" s="14"/>
      <c r="G902" s="14"/>
      <c r="H902" s="14"/>
      <c r="I902" s="14"/>
      <c r="J902" s="14"/>
      <c r="K902" s="12"/>
    </row>
    <row r="903" ht="19.5" customHeight="1">
      <c r="A903" s="12"/>
      <c r="C903" s="12"/>
      <c r="D903" s="13"/>
      <c r="F903" s="14"/>
      <c r="G903" s="14"/>
      <c r="H903" s="14"/>
      <c r="I903" s="14"/>
      <c r="J903" s="14"/>
      <c r="K903" s="12"/>
    </row>
    <row r="904" ht="19.5" customHeight="1">
      <c r="A904" s="12"/>
      <c r="C904" s="12"/>
      <c r="D904" s="13"/>
      <c r="F904" s="14"/>
      <c r="G904" s="14"/>
      <c r="H904" s="14"/>
      <c r="I904" s="14"/>
      <c r="J904" s="14"/>
      <c r="K904" s="12"/>
    </row>
    <row r="905" ht="19.5" customHeight="1">
      <c r="A905" s="12"/>
      <c r="C905" s="12"/>
      <c r="D905" s="13"/>
      <c r="F905" s="14"/>
      <c r="G905" s="14"/>
      <c r="H905" s="14"/>
      <c r="I905" s="14"/>
      <c r="J905" s="14"/>
      <c r="K905" s="12"/>
    </row>
    <row r="906" ht="19.5" customHeight="1">
      <c r="A906" s="12"/>
      <c r="C906" s="12"/>
      <c r="D906" s="13"/>
      <c r="F906" s="14"/>
      <c r="G906" s="14"/>
      <c r="H906" s="14"/>
      <c r="I906" s="14"/>
      <c r="J906" s="14"/>
      <c r="K906" s="12"/>
    </row>
    <row r="907" ht="19.5" customHeight="1">
      <c r="A907" s="12"/>
      <c r="C907" s="12"/>
      <c r="D907" s="13"/>
      <c r="F907" s="14"/>
      <c r="G907" s="14"/>
      <c r="H907" s="14"/>
      <c r="I907" s="14"/>
      <c r="J907" s="14"/>
      <c r="K907" s="12"/>
    </row>
    <row r="908" ht="19.5" customHeight="1">
      <c r="A908" s="12"/>
      <c r="C908" s="12"/>
      <c r="D908" s="13"/>
      <c r="F908" s="14"/>
      <c r="G908" s="14"/>
      <c r="H908" s="14"/>
      <c r="I908" s="14"/>
      <c r="J908" s="14"/>
      <c r="K908" s="12"/>
    </row>
    <row r="909" ht="19.5" customHeight="1">
      <c r="A909" s="12"/>
      <c r="C909" s="12"/>
      <c r="D909" s="13"/>
      <c r="F909" s="14"/>
      <c r="G909" s="14"/>
      <c r="H909" s="14"/>
      <c r="I909" s="14"/>
      <c r="J909" s="14"/>
      <c r="K909" s="12"/>
    </row>
    <row r="910" ht="19.5" customHeight="1">
      <c r="A910" s="12"/>
      <c r="C910" s="12"/>
      <c r="D910" s="13"/>
      <c r="F910" s="14"/>
      <c r="G910" s="14"/>
      <c r="H910" s="14"/>
      <c r="I910" s="14"/>
      <c r="J910" s="14"/>
      <c r="K910" s="12"/>
    </row>
    <row r="911" ht="19.5" customHeight="1">
      <c r="A911" s="12"/>
      <c r="C911" s="12"/>
      <c r="D911" s="13"/>
      <c r="F911" s="14"/>
      <c r="G911" s="14"/>
      <c r="H911" s="14"/>
      <c r="I911" s="14"/>
      <c r="J911" s="14"/>
      <c r="K911" s="12"/>
    </row>
    <row r="912" ht="19.5" customHeight="1">
      <c r="A912" s="12"/>
      <c r="C912" s="12"/>
      <c r="D912" s="13"/>
      <c r="F912" s="14"/>
      <c r="G912" s="14"/>
      <c r="H912" s="14"/>
      <c r="I912" s="14"/>
      <c r="J912" s="14"/>
      <c r="K912" s="12"/>
    </row>
    <row r="913" ht="19.5" customHeight="1">
      <c r="A913" s="12"/>
      <c r="C913" s="12"/>
      <c r="D913" s="13"/>
      <c r="F913" s="14"/>
      <c r="G913" s="14"/>
      <c r="H913" s="14"/>
      <c r="I913" s="14"/>
      <c r="J913" s="14"/>
      <c r="K913" s="12"/>
    </row>
    <row r="914" ht="19.5" customHeight="1">
      <c r="A914" s="12"/>
      <c r="C914" s="12"/>
      <c r="D914" s="13"/>
      <c r="F914" s="14"/>
      <c r="G914" s="14"/>
      <c r="H914" s="14"/>
      <c r="I914" s="14"/>
      <c r="J914" s="14"/>
      <c r="K914" s="12"/>
    </row>
    <row r="915" ht="19.5" customHeight="1">
      <c r="A915" s="12"/>
      <c r="C915" s="12"/>
      <c r="D915" s="13"/>
      <c r="F915" s="14"/>
      <c r="G915" s="14"/>
      <c r="H915" s="14"/>
      <c r="I915" s="14"/>
      <c r="J915" s="14"/>
      <c r="K915" s="12"/>
    </row>
    <row r="916" ht="19.5" customHeight="1">
      <c r="A916" s="12"/>
      <c r="C916" s="12"/>
      <c r="D916" s="13"/>
      <c r="F916" s="14"/>
      <c r="G916" s="14"/>
      <c r="H916" s="14"/>
      <c r="I916" s="14"/>
      <c r="J916" s="14"/>
      <c r="K916" s="12"/>
    </row>
    <row r="917" ht="19.5" customHeight="1">
      <c r="A917" s="12"/>
      <c r="C917" s="12"/>
      <c r="D917" s="13"/>
      <c r="F917" s="14"/>
      <c r="G917" s="14"/>
      <c r="H917" s="14"/>
      <c r="I917" s="14"/>
      <c r="J917" s="14"/>
      <c r="K917" s="12"/>
    </row>
    <row r="918" ht="19.5" customHeight="1">
      <c r="A918" s="12"/>
      <c r="C918" s="12"/>
      <c r="D918" s="13"/>
      <c r="F918" s="14"/>
      <c r="G918" s="14"/>
      <c r="H918" s="14"/>
      <c r="I918" s="14"/>
      <c r="J918" s="14"/>
      <c r="K918" s="12"/>
    </row>
    <row r="919" ht="19.5" customHeight="1">
      <c r="A919" s="12"/>
      <c r="C919" s="12"/>
      <c r="D919" s="13"/>
      <c r="F919" s="14"/>
      <c r="G919" s="14"/>
      <c r="H919" s="14"/>
      <c r="I919" s="14"/>
      <c r="J919" s="14"/>
      <c r="K919" s="12"/>
    </row>
    <row r="920" ht="19.5" customHeight="1">
      <c r="A920" s="12"/>
      <c r="C920" s="12"/>
      <c r="D920" s="13"/>
      <c r="F920" s="14"/>
      <c r="G920" s="14"/>
      <c r="H920" s="14"/>
      <c r="I920" s="14"/>
      <c r="J920" s="14"/>
      <c r="K920" s="12"/>
    </row>
    <row r="921" ht="19.5" customHeight="1">
      <c r="A921" s="12"/>
      <c r="C921" s="12"/>
      <c r="D921" s="13"/>
      <c r="F921" s="14"/>
      <c r="G921" s="14"/>
      <c r="H921" s="14"/>
      <c r="I921" s="14"/>
      <c r="J921" s="14"/>
      <c r="K921" s="12"/>
    </row>
    <row r="922" ht="19.5" customHeight="1">
      <c r="A922" s="12"/>
      <c r="C922" s="12"/>
      <c r="D922" s="13"/>
      <c r="F922" s="14"/>
      <c r="G922" s="14"/>
      <c r="H922" s="14"/>
      <c r="I922" s="14"/>
      <c r="J922" s="14"/>
      <c r="K922" s="12"/>
    </row>
    <row r="923" ht="19.5" customHeight="1">
      <c r="A923" s="12"/>
      <c r="C923" s="12"/>
      <c r="D923" s="13"/>
      <c r="F923" s="14"/>
      <c r="G923" s="14"/>
      <c r="H923" s="14"/>
      <c r="I923" s="14"/>
      <c r="J923" s="14"/>
      <c r="K923" s="12"/>
    </row>
    <row r="924" ht="19.5" customHeight="1">
      <c r="A924" s="12"/>
      <c r="C924" s="12"/>
      <c r="D924" s="13"/>
      <c r="F924" s="14"/>
      <c r="G924" s="14"/>
      <c r="H924" s="14"/>
      <c r="I924" s="14"/>
      <c r="J924" s="14"/>
      <c r="K924" s="12"/>
    </row>
    <row r="925" ht="19.5" customHeight="1">
      <c r="A925" s="12"/>
      <c r="C925" s="12"/>
      <c r="D925" s="13"/>
      <c r="F925" s="14"/>
      <c r="G925" s="14"/>
      <c r="H925" s="14"/>
      <c r="I925" s="14"/>
      <c r="J925" s="14"/>
      <c r="K925" s="12"/>
    </row>
    <row r="926" ht="19.5" customHeight="1">
      <c r="A926" s="12"/>
      <c r="C926" s="12"/>
      <c r="D926" s="13"/>
      <c r="F926" s="14"/>
      <c r="G926" s="14"/>
      <c r="H926" s="14"/>
      <c r="I926" s="14"/>
      <c r="J926" s="14"/>
      <c r="K926" s="12"/>
    </row>
    <row r="927" ht="19.5" customHeight="1">
      <c r="A927" s="12"/>
      <c r="C927" s="12"/>
      <c r="D927" s="13"/>
      <c r="F927" s="14"/>
      <c r="G927" s="14"/>
      <c r="H927" s="14"/>
      <c r="I927" s="14"/>
      <c r="J927" s="14"/>
      <c r="K927" s="12"/>
    </row>
    <row r="928" ht="19.5" customHeight="1">
      <c r="A928" s="12"/>
      <c r="C928" s="12"/>
      <c r="D928" s="13"/>
      <c r="F928" s="14"/>
      <c r="G928" s="14"/>
      <c r="H928" s="14"/>
      <c r="I928" s="14"/>
      <c r="J928" s="14"/>
      <c r="K928" s="12"/>
    </row>
    <row r="929" ht="19.5" customHeight="1">
      <c r="A929" s="12"/>
      <c r="C929" s="12"/>
      <c r="D929" s="13"/>
      <c r="F929" s="14"/>
      <c r="G929" s="14"/>
      <c r="H929" s="14"/>
      <c r="I929" s="14"/>
      <c r="J929" s="14"/>
      <c r="K929" s="12"/>
    </row>
    <row r="930" ht="19.5" customHeight="1">
      <c r="A930" s="12"/>
      <c r="C930" s="12"/>
      <c r="D930" s="13"/>
      <c r="F930" s="14"/>
      <c r="G930" s="14"/>
      <c r="H930" s="14"/>
      <c r="I930" s="14"/>
      <c r="J930" s="14"/>
      <c r="K930" s="12"/>
    </row>
    <row r="931" ht="19.5" customHeight="1">
      <c r="A931" s="12"/>
      <c r="C931" s="12"/>
      <c r="D931" s="13"/>
      <c r="F931" s="14"/>
      <c r="G931" s="14"/>
      <c r="H931" s="14"/>
      <c r="I931" s="14"/>
      <c r="J931" s="14"/>
      <c r="K931" s="12"/>
    </row>
    <row r="932" ht="19.5" customHeight="1">
      <c r="A932" s="12"/>
      <c r="C932" s="12"/>
      <c r="D932" s="13"/>
      <c r="F932" s="14"/>
      <c r="G932" s="14"/>
      <c r="H932" s="14"/>
      <c r="I932" s="14"/>
      <c r="J932" s="14"/>
      <c r="K932" s="12"/>
    </row>
    <row r="933" ht="19.5" customHeight="1">
      <c r="A933" s="12"/>
      <c r="C933" s="12"/>
      <c r="D933" s="13"/>
      <c r="F933" s="14"/>
      <c r="G933" s="14"/>
      <c r="H933" s="14"/>
      <c r="I933" s="14"/>
      <c r="J933" s="14"/>
      <c r="K933" s="12"/>
    </row>
    <row r="934" ht="19.5" customHeight="1">
      <c r="A934" s="12"/>
      <c r="C934" s="12"/>
      <c r="D934" s="13"/>
      <c r="F934" s="14"/>
      <c r="G934" s="14"/>
      <c r="H934" s="14"/>
      <c r="I934" s="14"/>
      <c r="J934" s="14"/>
      <c r="K934" s="12"/>
    </row>
    <row r="935" ht="19.5" customHeight="1">
      <c r="A935" s="12"/>
      <c r="C935" s="12"/>
      <c r="D935" s="13"/>
      <c r="F935" s="14"/>
      <c r="G935" s="14"/>
      <c r="H935" s="14"/>
      <c r="I935" s="14"/>
      <c r="J935" s="14"/>
      <c r="K935" s="12"/>
    </row>
    <row r="936" ht="19.5" customHeight="1">
      <c r="A936" s="12"/>
      <c r="C936" s="12"/>
      <c r="D936" s="13"/>
      <c r="F936" s="14"/>
      <c r="G936" s="14"/>
      <c r="H936" s="14"/>
      <c r="I936" s="14"/>
      <c r="J936" s="14"/>
      <c r="K936" s="12"/>
    </row>
    <row r="937" ht="19.5" customHeight="1">
      <c r="A937" s="12"/>
      <c r="C937" s="12"/>
      <c r="D937" s="13"/>
      <c r="F937" s="14"/>
      <c r="G937" s="14"/>
      <c r="H937" s="14"/>
      <c r="I937" s="14"/>
      <c r="J937" s="14"/>
      <c r="K937" s="12"/>
    </row>
    <row r="938" ht="19.5" customHeight="1">
      <c r="A938" s="12"/>
      <c r="C938" s="12"/>
      <c r="D938" s="13"/>
      <c r="F938" s="14"/>
      <c r="G938" s="14"/>
      <c r="H938" s="14"/>
      <c r="I938" s="14"/>
      <c r="J938" s="14"/>
      <c r="K938" s="12"/>
    </row>
    <row r="939" ht="19.5" customHeight="1">
      <c r="A939" s="12"/>
      <c r="C939" s="12"/>
      <c r="D939" s="13"/>
      <c r="F939" s="14"/>
      <c r="G939" s="14"/>
      <c r="H939" s="14"/>
      <c r="I939" s="14"/>
      <c r="J939" s="14"/>
      <c r="K939" s="12"/>
    </row>
    <row r="940" ht="19.5" customHeight="1">
      <c r="A940" s="12"/>
      <c r="C940" s="12"/>
      <c r="D940" s="13"/>
      <c r="F940" s="14"/>
      <c r="G940" s="14"/>
      <c r="H940" s="14"/>
      <c r="I940" s="14"/>
      <c r="J940" s="14"/>
      <c r="K940" s="12"/>
    </row>
    <row r="941" ht="19.5" customHeight="1">
      <c r="A941" s="12"/>
      <c r="C941" s="12"/>
      <c r="D941" s="13"/>
      <c r="F941" s="14"/>
      <c r="G941" s="14"/>
      <c r="H941" s="14"/>
      <c r="I941" s="14"/>
      <c r="J941" s="14"/>
      <c r="K941" s="12"/>
    </row>
    <row r="942" ht="19.5" customHeight="1">
      <c r="A942" s="12"/>
      <c r="C942" s="12"/>
      <c r="D942" s="13"/>
      <c r="F942" s="14"/>
      <c r="G942" s="14"/>
      <c r="H942" s="14"/>
      <c r="I942" s="14"/>
      <c r="J942" s="14"/>
      <c r="K942" s="12"/>
    </row>
    <row r="943" ht="19.5" customHeight="1">
      <c r="A943" s="12"/>
      <c r="C943" s="12"/>
      <c r="D943" s="13"/>
      <c r="F943" s="14"/>
      <c r="G943" s="14"/>
      <c r="H943" s="14"/>
      <c r="I943" s="14"/>
      <c r="J943" s="14"/>
      <c r="K943" s="12"/>
    </row>
    <row r="944" ht="19.5" customHeight="1">
      <c r="A944" s="12"/>
      <c r="C944" s="12"/>
      <c r="D944" s="13"/>
      <c r="F944" s="14"/>
      <c r="G944" s="14"/>
      <c r="H944" s="14"/>
      <c r="I944" s="14"/>
      <c r="J944" s="14"/>
      <c r="K944" s="12"/>
    </row>
    <row r="945" ht="19.5" customHeight="1">
      <c r="A945" s="12"/>
      <c r="C945" s="12"/>
      <c r="D945" s="13"/>
      <c r="F945" s="14"/>
      <c r="G945" s="14"/>
      <c r="H945" s="14"/>
      <c r="I945" s="14"/>
      <c r="J945" s="14"/>
      <c r="K945" s="12"/>
    </row>
    <row r="946" ht="19.5" customHeight="1">
      <c r="A946" s="12"/>
      <c r="C946" s="12"/>
      <c r="D946" s="13"/>
      <c r="F946" s="14"/>
      <c r="G946" s="14"/>
      <c r="H946" s="14"/>
      <c r="I946" s="14"/>
      <c r="J946" s="14"/>
      <c r="K946" s="12"/>
    </row>
    <row r="947" ht="19.5" customHeight="1">
      <c r="A947" s="12"/>
      <c r="C947" s="12"/>
      <c r="D947" s="13"/>
      <c r="F947" s="14"/>
      <c r="G947" s="14"/>
      <c r="H947" s="14"/>
      <c r="I947" s="14"/>
      <c r="J947" s="14"/>
      <c r="K947" s="12"/>
    </row>
    <row r="948" ht="19.5" customHeight="1">
      <c r="A948" s="12"/>
      <c r="C948" s="12"/>
      <c r="D948" s="13"/>
      <c r="F948" s="14"/>
      <c r="G948" s="14"/>
      <c r="H948" s="14"/>
      <c r="I948" s="14"/>
      <c r="J948" s="14"/>
      <c r="K948" s="12"/>
    </row>
    <row r="949" ht="19.5" customHeight="1">
      <c r="A949" s="12"/>
      <c r="C949" s="12"/>
      <c r="D949" s="13"/>
      <c r="F949" s="14"/>
      <c r="G949" s="14"/>
      <c r="H949" s="14"/>
      <c r="I949" s="14"/>
      <c r="J949" s="14"/>
      <c r="K949" s="12"/>
    </row>
    <row r="950" ht="19.5" customHeight="1">
      <c r="A950" s="12"/>
      <c r="C950" s="12"/>
      <c r="D950" s="13"/>
      <c r="F950" s="14"/>
      <c r="G950" s="14"/>
      <c r="H950" s="14"/>
      <c r="I950" s="14"/>
      <c r="J950" s="14"/>
      <c r="K950" s="12"/>
    </row>
    <row r="951" ht="19.5" customHeight="1">
      <c r="A951" s="12"/>
      <c r="C951" s="12"/>
      <c r="D951" s="13"/>
      <c r="F951" s="14"/>
      <c r="G951" s="14"/>
      <c r="H951" s="14"/>
      <c r="I951" s="14"/>
      <c r="J951" s="14"/>
      <c r="K951" s="12"/>
    </row>
    <row r="952" ht="19.5" customHeight="1">
      <c r="A952" s="12"/>
      <c r="C952" s="12"/>
      <c r="D952" s="13"/>
      <c r="F952" s="14"/>
      <c r="G952" s="14"/>
      <c r="H952" s="14"/>
      <c r="I952" s="14"/>
      <c r="J952" s="14"/>
      <c r="K952" s="12"/>
    </row>
    <row r="953" ht="19.5" customHeight="1">
      <c r="A953" s="12"/>
      <c r="C953" s="12"/>
      <c r="D953" s="13"/>
      <c r="F953" s="14"/>
      <c r="G953" s="14"/>
      <c r="H953" s="14"/>
      <c r="I953" s="14"/>
      <c r="J953" s="14"/>
      <c r="K953" s="12"/>
    </row>
    <row r="954" ht="19.5" customHeight="1">
      <c r="A954" s="12"/>
      <c r="C954" s="12"/>
      <c r="D954" s="13"/>
      <c r="F954" s="14"/>
      <c r="G954" s="14"/>
      <c r="H954" s="14"/>
      <c r="I954" s="14"/>
      <c r="J954" s="14"/>
      <c r="K954" s="12"/>
    </row>
    <row r="955" ht="19.5" customHeight="1">
      <c r="A955" s="12"/>
      <c r="C955" s="12"/>
      <c r="D955" s="13"/>
      <c r="F955" s="14"/>
      <c r="G955" s="14"/>
      <c r="H955" s="14"/>
      <c r="I955" s="14"/>
      <c r="J955" s="14"/>
      <c r="K955" s="12"/>
    </row>
    <row r="956" ht="19.5" customHeight="1">
      <c r="A956" s="12"/>
      <c r="C956" s="12"/>
      <c r="D956" s="13"/>
      <c r="F956" s="14"/>
      <c r="G956" s="14"/>
      <c r="H956" s="14"/>
      <c r="I956" s="14"/>
      <c r="J956" s="14"/>
      <c r="K956" s="12"/>
    </row>
    <row r="957" ht="19.5" customHeight="1">
      <c r="A957" s="12"/>
      <c r="C957" s="12"/>
      <c r="D957" s="13"/>
      <c r="F957" s="14"/>
      <c r="G957" s="14"/>
      <c r="H957" s="14"/>
      <c r="I957" s="14"/>
      <c r="J957" s="14"/>
      <c r="K957" s="12"/>
    </row>
    <row r="958" ht="19.5" customHeight="1">
      <c r="A958" s="12"/>
      <c r="C958" s="12"/>
      <c r="D958" s="13"/>
      <c r="F958" s="14"/>
      <c r="G958" s="14"/>
      <c r="H958" s="14"/>
      <c r="I958" s="14"/>
      <c r="J958" s="14"/>
      <c r="K958" s="12"/>
    </row>
    <row r="959" ht="19.5" customHeight="1">
      <c r="A959" s="12"/>
      <c r="C959" s="12"/>
      <c r="D959" s="13"/>
      <c r="F959" s="14"/>
      <c r="G959" s="14"/>
      <c r="H959" s="14"/>
      <c r="I959" s="14"/>
      <c r="J959" s="14"/>
      <c r="K959" s="12"/>
    </row>
    <row r="960" ht="19.5" customHeight="1">
      <c r="A960" s="12"/>
      <c r="C960" s="12"/>
      <c r="D960" s="13"/>
      <c r="F960" s="14"/>
      <c r="G960" s="14"/>
      <c r="H960" s="14"/>
      <c r="I960" s="14"/>
      <c r="J960" s="14"/>
      <c r="K960" s="12"/>
    </row>
    <row r="961" ht="19.5" customHeight="1">
      <c r="A961" s="12"/>
      <c r="C961" s="12"/>
      <c r="D961" s="13"/>
      <c r="F961" s="14"/>
      <c r="G961" s="14"/>
      <c r="H961" s="14"/>
      <c r="I961" s="14"/>
      <c r="J961" s="14"/>
      <c r="K961" s="12"/>
    </row>
    <row r="962" ht="19.5" customHeight="1">
      <c r="A962" s="12"/>
      <c r="C962" s="12"/>
      <c r="D962" s="13"/>
      <c r="F962" s="14"/>
      <c r="G962" s="14"/>
      <c r="H962" s="14"/>
      <c r="I962" s="14"/>
      <c r="J962" s="14"/>
      <c r="K962" s="12"/>
    </row>
    <row r="963" ht="19.5" customHeight="1">
      <c r="A963" s="12"/>
      <c r="C963" s="12"/>
      <c r="D963" s="13"/>
      <c r="F963" s="14"/>
      <c r="G963" s="14"/>
      <c r="H963" s="14"/>
      <c r="I963" s="14"/>
      <c r="J963" s="14"/>
      <c r="K963" s="12"/>
    </row>
    <row r="964" ht="19.5" customHeight="1">
      <c r="A964" s="12"/>
      <c r="C964" s="12"/>
      <c r="D964" s="13"/>
      <c r="F964" s="14"/>
      <c r="G964" s="14"/>
      <c r="H964" s="14"/>
      <c r="I964" s="14"/>
      <c r="J964" s="14"/>
      <c r="K964" s="12"/>
    </row>
    <row r="965" ht="19.5" customHeight="1">
      <c r="A965" s="12"/>
      <c r="C965" s="12"/>
      <c r="D965" s="13"/>
      <c r="F965" s="14"/>
      <c r="G965" s="14"/>
      <c r="H965" s="14"/>
      <c r="I965" s="14"/>
      <c r="J965" s="14"/>
      <c r="K965" s="12"/>
    </row>
    <row r="966" ht="19.5" customHeight="1">
      <c r="A966" s="12"/>
      <c r="C966" s="12"/>
      <c r="D966" s="13"/>
      <c r="F966" s="14"/>
      <c r="G966" s="14"/>
      <c r="H966" s="14"/>
      <c r="I966" s="14"/>
      <c r="J966" s="14"/>
      <c r="K966" s="12"/>
    </row>
    <row r="967" ht="19.5" customHeight="1">
      <c r="A967" s="12"/>
      <c r="C967" s="12"/>
      <c r="D967" s="13"/>
      <c r="F967" s="14"/>
      <c r="G967" s="14"/>
      <c r="H967" s="14"/>
      <c r="I967" s="14"/>
      <c r="J967" s="14"/>
      <c r="K967" s="12"/>
    </row>
    <row r="968" ht="19.5" customHeight="1">
      <c r="A968" s="12"/>
      <c r="C968" s="12"/>
      <c r="D968" s="13"/>
      <c r="F968" s="14"/>
      <c r="G968" s="14"/>
      <c r="H968" s="14"/>
      <c r="I968" s="14"/>
      <c r="J968" s="14"/>
      <c r="K968" s="12"/>
    </row>
    <row r="969" ht="19.5" customHeight="1">
      <c r="A969" s="12"/>
      <c r="C969" s="12"/>
      <c r="D969" s="13"/>
      <c r="F969" s="14"/>
      <c r="G969" s="14"/>
      <c r="H969" s="14"/>
      <c r="I969" s="14"/>
      <c r="J969" s="14"/>
      <c r="K969" s="12"/>
    </row>
    <row r="970" ht="19.5" customHeight="1">
      <c r="A970" s="12"/>
      <c r="C970" s="12"/>
      <c r="D970" s="13"/>
      <c r="F970" s="14"/>
      <c r="G970" s="14"/>
      <c r="H970" s="14"/>
      <c r="I970" s="14"/>
      <c r="J970" s="14"/>
      <c r="K970" s="12"/>
    </row>
    <row r="971" ht="19.5" customHeight="1">
      <c r="A971" s="12"/>
      <c r="C971" s="12"/>
      <c r="D971" s="13"/>
      <c r="F971" s="14"/>
      <c r="G971" s="14"/>
      <c r="H971" s="14"/>
      <c r="I971" s="14"/>
      <c r="J971" s="14"/>
      <c r="K971" s="12"/>
    </row>
    <row r="972" ht="19.5" customHeight="1">
      <c r="A972" s="12"/>
      <c r="C972" s="12"/>
      <c r="D972" s="13"/>
      <c r="F972" s="14"/>
      <c r="G972" s="14"/>
      <c r="H972" s="14"/>
      <c r="I972" s="14"/>
      <c r="J972" s="14"/>
      <c r="K972" s="12"/>
    </row>
  </sheetData>
  <mergeCells count="10">
    <mergeCell ref="E9:G9"/>
    <mergeCell ref="J9:J10"/>
    <mergeCell ref="A6:K6"/>
    <mergeCell ref="A7:K7"/>
    <mergeCell ref="A8:K8"/>
    <mergeCell ref="A9:A10"/>
    <mergeCell ref="B9:B10"/>
    <mergeCell ref="C9:C10"/>
    <mergeCell ref="D9:D10"/>
    <mergeCell ref="K9:K10"/>
  </mergeCells>
  <printOptions/>
  <pageMargins bottom="0.787401575" footer="0.0" header="0.0" left="0.511811024" right="0.511811024" top="0.787401575"/>
  <pageSetup paperSize="9" scale="60" orientation="landscape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2" max="2" width="41.88"/>
    <col customWidth="1" min="4" max="4" width="14.5"/>
    <col customWidth="1" min="8" max="8" width="14.75"/>
    <col customWidth="1" min="13" max="13" width="29.0"/>
    <col customWidth="1" min="14" max="14" width="15.38"/>
    <col customWidth="1" min="18" max="18" width="13.75"/>
    <col customWidth="1" min="19" max="19" width="17.0"/>
    <col customWidth="1" min="20" max="20" width="18.5"/>
    <col customWidth="1" min="22" max="22" width="15.25"/>
  </cols>
  <sheetData>
    <row r="1">
      <c r="D1" s="184"/>
      <c r="H1" s="184"/>
      <c r="I1" s="184"/>
      <c r="J1" s="184"/>
      <c r="Q1" s="184"/>
      <c r="S1" s="543"/>
      <c r="T1" s="543"/>
    </row>
    <row r="2">
      <c r="B2" s="2" t="s">
        <v>1618</v>
      </c>
      <c r="D2" s="184"/>
      <c r="H2" s="184"/>
      <c r="I2" s="184"/>
      <c r="J2" s="184"/>
      <c r="Q2" s="184"/>
      <c r="S2" s="543"/>
      <c r="T2" s="543"/>
    </row>
    <row r="3">
      <c r="D3" s="184"/>
      <c r="H3" s="184"/>
      <c r="I3" s="184"/>
      <c r="J3" s="184"/>
      <c r="Q3" s="184"/>
      <c r="S3" s="543"/>
      <c r="T3" s="543"/>
    </row>
    <row r="4">
      <c r="B4" s="544" t="s">
        <v>1619</v>
      </c>
      <c r="C4" s="28"/>
      <c r="D4" s="28"/>
      <c r="E4" s="28"/>
      <c r="F4" s="28"/>
      <c r="G4" s="28"/>
      <c r="H4" s="28"/>
      <c r="I4" s="28"/>
      <c r="J4" s="28"/>
      <c r="K4" s="29"/>
      <c r="M4" s="544" t="s">
        <v>1620</v>
      </c>
      <c r="N4" s="28"/>
      <c r="O4" s="28"/>
      <c r="P4" s="28"/>
      <c r="Q4" s="28"/>
      <c r="R4" s="29"/>
      <c r="S4" s="543"/>
      <c r="T4" s="544" t="s">
        <v>1621</v>
      </c>
      <c r="U4" s="28"/>
      <c r="V4" s="28"/>
      <c r="W4" s="28"/>
      <c r="X4" s="28"/>
      <c r="Y4" s="29"/>
      <c r="Z4" s="545" t="s">
        <v>1622</v>
      </c>
      <c r="AA4" s="29"/>
    </row>
    <row r="5">
      <c r="B5" s="546" t="s">
        <v>1623</v>
      </c>
      <c r="C5" s="28"/>
      <c r="D5" s="28"/>
      <c r="E5" s="28"/>
      <c r="F5" s="28"/>
      <c r="G5" s="28"/>
      <c r="H5" s="28"/>
      <c r="I5" s="28"/>
      <c r="J5" s="28"/>
      <c r="K5" s="29"/>
      <c r="M5" s="546" t="s">
        <v>1624</v>
      </c>
      <c r="N5" s="28"/>
      <c r="O5" s="28"/>
      <c r="P5" s="28"/>
      <c r="Q5" s="28"/>
      <c r="R5" s="29"/>
      <c r="S5" s="2"/>
      <c r="T5" s="67" t="s">
        <v>1625</v>
      </c>
      <c r="U5" s="67" t="s">
        <v>1626</v>
      </c>
      <c r="V5" s="67" t="s">
        <v>1627</v>
      </c>
      <c r="W5" s="2" t="s">
        <v>928</v>
      </c>
      <c r="X5" s="67" t="s">
        <v>1628</v>
      </c>
      <c r="Y5" s="67" t="s">
        <v>749</v>
      </c>
      <c r="Z5" s="547" t="s">
        <v>1629</v>
      </c>
      <c r="AA5" s="67" t="s">
        <v>1630</v>
      </c>
    </row>
    <row r="6">
      <c r="B6" s="194" t="s">
        <v>1631</v>
      </c>
      <c r="C6" s="67" t="s">
        <v>695</v>
      </c>
      <c r="D6" s="189" t="s">
        <v>696</v>
      </c>
      <c r="E6" s="67" t="s">
        <v>1632</v>
      </c>
      <c r="F6" s="67" t="s">
        <v>1633</v>
      </c>
      <c r="G6" s="67" t="s">
        <v>1634</v>
      </c>
      <c r="H6" s="189" t="s">
        <v>1635</v>
      </c>
      <c r="I6" s="189" t="s">
        <v>1636</v>
      </c>
      <c r="J6" s="189" t="s">
        <v>1637</v>
      </c>
      <c r="K6" s="67" t="s">
        <v>1638</v>
      </c>
      <c r="M6" s="67" t="s">
        <v>758</v>
      </c>
      <c r="N6" s="243"/>
      <c r="O6" s="243"/>
      <c r="P6" s="243"/>
      <c r="Q6" s="182">
        <f>359.67+85.15+454.89+105.48</f>
        <v>1005.19</v>
      </c>
      <c r="R6" s="243"/>
      <c r="S6" s="2"/>
      <c r="T6" s="67" t="s">
        <v>1639</v>
      </c>
      <c r="U6" s="243">
        <f>(5.34+5.34)</f>
        <v>10.68</v>
      </c>
      <c r="V6" s="67">
        <f>85.35</f>
        <v>85.35</v>
      </c>
      <c r="W6" s="243">
        <f t="shared" ref="W6:W14" si="1">U6*V6</f>
        <v>911.538</v>
      </c>
      <c r="X6" s="67">
        <v>11.5</v>
      </c>
      <c r="Y6" s="182">
        <f t="shared" ref="Y6:Y16" si="2">W6*X6</f>
        <v>10482.687</v>
      </c>
      <c r="Z6" s="548">
        <f t="shared" ref="Z6:Z16" si="3">(1.9*0.2+0.46*1)/(22.23*0.2+5.13*1)</f>
        <v>0.08771929825</v>
      </c>
      <c r="AA6" s="182">
        <f t="shared" ref="AA6:AA16" si="4">Y6*Z6</f>
        <v>919.5339474</v>
      </c>
    </row>
    <row r="7">
      <c r="B7" s="194" t="s">
        <v>386</v>
      </c>
      <c r="C7" s="67">
        <v>1.0</v>
      </c>
      <c r="D7" s="189">
        <v>1.35</v>
      </c>
      <c r="E7" s="67">
        <v>0.65</v>
      </c>
      <c r="F7" s="67">
        <v>0.3</v>
      </c>
      <c r="G7" s="67">
        <v>1.5</v>
      </c>
      <c r="H7" s="182">
        <f t="shared" ref="H7:H27" si="5">C7*(D7+0.4)*(E7+0.4)*G7</f>
        <v>2.75625</v>
      </c>
      <c r="I7" s="182">
        <f t="shared" ref="I7:I27" si="6">C7*D7*E7</f>
        <v>0.8775</v>
      </c>
      <c r="J7" s="182">
        <f t="shared" ref="J7:J27" si="7">C7*((D7+E7)*2)*F7</f>
        <v>1.2</v>
      </c>
      <c r="K7" s="243"/>
      <c r="M7" s="67" t="s">
        <v>759</v>
      </c>
      <c r="N7" s="243"/>
      <c r="O7" s="243"/>
      <c r="P7" s="67"/>
      <c r="Q7" s="189">
        <f>20.82+4.52+31.17+6.46</f>
        <v>62.97</v>
      </c>
      <c r="R7" s="243"/>
      <c r="S7" s="2"/>
      <c r="T7" s="67" t="s">
        <v>1640</v>
      </c>
      <c r="U7" s="243">
        <f>11.64*2</f>
        <v>23.28</v>
      </c>
      <c r="V7" s="67">
        <v>23.4</v>
      </c>
      <c r="W7" s="243">
        <f t="shared" si="1"/>
        <v>544.752</v>
      </c>
      <c r="X7" s="67">
        <v>11.5</v>
      </c>
      <c r="Y7" s="182">
        <f t="shared" si="2"/>
        <v>6264.648</v>
      </c>
      <c r="Z7" s="548">
        <f t="shared" si="3"/>
        <v>0.08771929825</v>
      </c>
      <c r="AA7" s="182">
        <f t="shared" si="4"/>
        <v>549.5305263</v>
      </c>
    </row>
    <row r="8">
      <c r="B8" s="194" t="s">
        <v>1641</v>
      </c>
      <c r="C8" s="67">
        <v>4.0</v>
      </c>
      <c r="D8" s="189">
        <v>0.8</v>
      </c>
      <c r="E8" s="67">
        <v>0.6</v>
      </c>
      <c r="F8" s="67">
        <v>0.2</v>
      </c>
      <c r="G8" s="67">
        <v>1.5</v>
      </c>
      <c r="H8" s="182">
        <f t="shared" si="5"/>
        <v>7.2</v>
      </c>
      <c r="I8" s="182">
        <f t="shared" si="6"/>
        <v>1.92</v>
      </c>
      <c r="J8" s="182">
        <f t="shared" si="7"/>
        <v>2.24</v>
      </c>
      <c r="K8" s="243"/>
      <c r="M8" s="67" t="s">
        <v>761</v>
      </c>
      <c r="N8" s="67" t="s">
        <v>686</v>
      </c>
      <c r="O8" s="67">
        <f>2629.2+613.3+3574.6+821.5</f>
        <v>7638.6</v>
      </c>
      <c r="P8" s="67">
        <v>0.154</v>
      </c>
      <c r="Q8" s="182">
        <f t="shared" ref="Q8:Q12" si="8">O8*P8</f>
        <v>1176.3444</v>
      </c>
      <c r="R8" s="243"/>
      <c r="S8" s="2"/>
      <c r="T8" s="67" t="s">
        <v>1642</v>
      </c>
      <c r="U8" s="243">
        <f>6.98*2</f>
        <v>13.96</v>
      </c>
      <c r="V8" s="67">
        <v>23.4</v>
      </c>
      <c r="W8" s="243">
        <f t="shared" si="1"/>
        <v>326.664</v>
      </c>
      <c r="X8" s="67">
        <v>11.5</v>
      </c>
      <c r="Y8" s="182">
        <f t="shared" si="2"/>
        <v>3756.636</v>
      </c>
      <c r="Z8" s="548">
        <f t="shared" si="3"/>
        <v>0.08771929825</v>
      </c>
      <c r="AA8" s="182">
        <f t="shared" si="4"/>
        <v>329.5294737</v>
      </c>
    </row>
    <row r="9">
      <c r="B9" s="194" t="s">
        <v>1643</v>
      </c>
      <c r="C9" s="67">
        <v>26.0</v>
      </c>
      <c r="D9" s="189">
        <v>0.85</v>
      </c>
      <c r="E9" s="67">
        <v>0.85</v>
      </c>
      <c r="F9" s="67">
        <v>0.2</v>
      </c>
      <c r="G9" s="67">
        <v>1.5</v>
      </c>
      <c r="H9" s="182">
        <f t="shared" si="5"/>
        <v>60.9375</v>
      </c>
      <c r="I9" s="182">
        <f t="shared" si="6"/>
        <v>18.785</v>
      </c>
      <c r="J9" s="182">
        <f t="shared" si="7"/>
        <v>17.68</v>
      </c>
      <c r="K9" s="243"/>
      <c r="M9" s="243"/>
      <c r="N9" s="208">
        <v>45357.0</v>
      </c>
      <c r="O9" s="67">
        <v>0.0</v>
      </c>
      <c r="P9" s="67">
        <v>0.245</v>
      </c>
      <c r="Q9" s="182">
        <f t="shared" si="8"/>
        <v>0</v>
      </c>
      <c r="R9" s="243"/>
      <c r="S9" s="2"/>
      <c r="T9" s="67" t="s">
        <v>1644</v>
      </c>
      <c r="U9" s="243">
        <f>11.64*2</f>
        <v>23.28</v>
      </c>
      <c r="V9" s="67">
        <v>23.4</v>
      </c>
      <c r="W9" s="243">
        <f t="shared" si="1"/>
        <v>544.752</v>
      </c>
      <c r="X9" s="67">
        <v>11.5</v>
      </c>
      <c r="Y9" s="182">
        <f t="shared" si="2"/>
        <v>6264.648</v>
      </c>
      <c r="Z9" s="548">
        <f t="shared" si="3"/>
        <v>0.08771929825</v>
      </c>
      <c r="AA9" s="182">
        <f t="shared" si="4"/>
        <v>549.5305263</v>
      </c>
    </row>
    <row r="10">
      <c r="B10" s="194" t="s">
        <v>391</v>
      </c>
      <c r="C10" s="67">
        <v>1.0</v>
      </c>
      <c r="D10" s="189">
        <v>0.7</v>
      </c>
      <c r="E10" s="67">
        <v>0.55</v>
      </c>
      <c r="F10" s="67">
        <v>0.2</v>
      </c>
      <c r="G10" s="67">
        <v>1.5</v>
      </c>
      <c r="H10" s="182">
        <f t="shared" si="5"/>
        <v>1.5675</v>
      </c>
      <c r="I10" s="182">
        <f t="shared" si="6"/>
        <v>0.385</v>
      </c>
      <c r="J10" s="182">
        <f t="shared" si="7"/>
        <v>0.5</v>
      </c>
      <c r="K10" s="243"/>
      <c r="M10" s="243"/>
      <c r="N10" s="209" t="s">
        <v>720</v>
      </c>
      <c r="O10" s="67">
        <v>0.0</v>
      </c>
      <c r="P10" s="67">
        <v>0.395</v>
      </c>
      <c r="Q10" s="182">
        <f t="shared" si="8"/>
        <v>0</v>
      </c>
      <c r="R10" s="243"/>
      <c r="S10" s="2"/>
      <c r="T10" s="67" t="s">
        <v>1645</v>
      </c>
      <c r="U10" s="243">
        <f>(5.34+5.34)</f>
        <v>10.68</v>
      </c>
      <c r="V10" s="67">
        <f>85.35</f>
        <v>85.35</v>
      </c>
      <c r="W10" s="243">
        <f t="shared" si="1"/>
        <v>911.538</v>
      </c>
      <c r="X10" s="67">
        <v>11.5</v>
      </c>
      <c r="Y10" s="182">
        <f t="shared" si="2"/>
        <v>10482.687</v>
      </c>
      <c r="Z10" s="548">
        <f t="shared" si="3"/>
        <v>0.08771929825</v>
      </c>
      <c r="AA10" s="182">
        <f t="shared" si="4"/>
        <v>919.5339474</v>
      </c>
    </row>
    <row r="11">
      <c r="B11" s="194" t="s">
        <v>1646</v>
      </c>
      <c r="C11" s="67">
        <v>2.0</v>
      </c>
      <c r="D11" s="189">
        <v>1.45</v>
      </c>
      <c r="E11" s="67">
        <v>0.85</v>
      </c>
      <c r="F11" s="67">
        <v>0.2</v>
      </c>
      <c r="G11" s="67">
        <v>1.5</v>
      </c>
      <c r="H11" s="182">
        <f t="shared" si="5"/>
        <v>6.9375</v>
      </c>
      <c r="I11" s="182">
        <f t="shared" si="6"/>
        <v>2.465</v>
      </c>
      <c r="J11" s="182">
        <f t="shared" si="7"/>
        <v>1.84</v>
      </c>
      <c r="K11" s="243"/>
      <c r="M11" s="243"/>
      <c r="N11" s="209">
        <v>10.0</v>
      </c>
      <c r="O11" s="243">
        <f>1420.1+366.5+1485.4+378.4</f>
        <v>3650.4</v>
      </c>
      <c r="P11" s="67">
        <v>0.617</v>
      </c>
      <c r="Q11" s="182">
        <f t="shared" si="8"/>
        <v>2252.2968</v>
      </c>
      <c r="R11" s="243"/>
      <c r="S11" s="2"/>
      <c r="T11" s="67" t="s">
        <v>1647</v>
      </c>
      <c r="U11" s="67">
        <f>8.45*2</f>
        <v>16.9</v>
      </c>
      <c r="V11" s="67">
        <v>53.35</v>
      </c>
      <c r="W11" s="243">
        <f t="shared" si="1"/>
        <v>901.615</v>
      </c>
      <c r="X11" s="67">
        <v>11.5</v>
      </c>
      <c r="Y11" s="182">
        <f t="shared" si="2"/>
        <v>10368.5725</v>
      </c>
      <c r="Z11" s="548">
        <f t="shared" si="3"/>
        <v>0.08771929825</v>
      </c>
      <c r="AA11" s="182">
        <f t="shared" si="4"/>
        <v>909.5239035</v>
      </c>
    </row>
    <row r="12">
      <c r="B12" s="194" t="s">
        <v>1648</v>
      </c>
      <c r="C12" s="67">
        <v>11.0</v>
      </c>
      <c r="D12" s="189">
        <v>0.65</v>
      </c>
      <c r="E12" s="67">
        <v>0.6</v>
      </c>
      <c r="F12" s="67">
        <v>0.2</v>
      </c>
      <c r="G12" s="67">
        <v>1.5</v>
      </c>
      <c r="H12" s="182">
        <f t="shared" si="5"/>
        <v>17.325</v>
      </c>
      <c r="I12" s="182">
        <f t="shared" si="6"/>
        <v>4.29</v>
      </c>
      <c r="J12" s="182">
        <f t="shared" si="7"/>
        <v>5.5</v>
      </c>
      <c r="K12" s="243"/>
      <c r="M12" s="243"/>
      <c r="N12" s="208">
        <v>45424.0</v>
      </c>
      <c r="O12" s="67">
        <f>230.3+24.6+311.9+24.6</f>
        <v>591.4</v>
      </c>
      <c r="P12" s="67">
        <v>0.963</v>
      </c>
      <c r="Q12" s="182">
        <f t="shared" si="8"/>
        <v>569.5182</v>
      </c>
      <c r="R12" s="243"/>
      <c r="S12" s="2"/>
      <c r="T12" s="67" t="s">
        <v>1649</v>
      </c>
      <c r="U12" s="67">
        <f>12.41*2</f>
        <v>24.82</v>
      </c>
      <c r="V12" s="67">
        <v>37.38</v>
      </c>
      <c r="W12" s="243">
        <f t="shared" si="1"/>
        <v>927.7716</v>
      </c>
      <c r="X12" s="67">
        <v>11.5</v>
      </c>
      <c r="Y12" s="549">
        <f t="shared" si="2"/>
        <v>10669.3734</v>
      </c>
      <c r="Z12" s="548">
        <f t="shared" si="3"/>
        <v>0.08771929825</v>
      </c>
      <c r="AA12" s="549">
        <f t="shared" si="4"/>
        <v>935.9099474</v>
      </c>
    </row>
    <row r="13" ht="16.5" customHeight="1">
      <c r="B13" s="194" t="s">
        <v>1650</v>
      </c>
      <c r="C13" s="67">
        <v>3.0</v>
      </c>
      <c r="D13" s="189">
        <v>0.7</v>
      </c>
      <c r="E13" s="67">
        <v>0.65</v>
      </c>
      <c r="F13" s="67">
        <v>0.2</v>
      </c>
      <c r="G13" s="67">
        <v>1.5</v>
      </c>
      <c r="H13" s="182">
        <f t="shared" si="5"/>
        <v>5.1975</v>
      </c>
      <c r="I13" s="182">
        <f t="shared" si="6"/>
        <v>1.365</v>
      </c>
      <c r="J13" s="182">
        <f t="shared" si="7"/>
        <v>1.62</v>
      </c>
      <c r="K13" s="243"/>
      <c r="M13" s="546" t="s">
        <v>1651</v>
      </c>
      <c r="N13" s="28"/>
      <c r="O13" s="28"/>
      <c r="P13" s="28"/>
      <c r="Q13" s="28"/>
      <c r="R13" s="29"/>
      <c r="S13" s="550"/>
      <c r="T13" s="551" t="s">
        <v>1652</v>
      </c>
      <c r="U13" s="243">
        <f>5.8*2</f>
        <v>11.6</v>
      </c>
      <c r="V13" s="67">
        <v>29.3</v>
      </c>
      <c r="W13" s="243">
        <f t="shared" si="1"/>
        <v>339.88</v>
      </c>
      <c r="X13" s="67">
        <v>11.5</v>
      </c>
      <c r="Y13" s="182">
        <f t="shared" si="2"/>
        <v>3908.62</v>
      </c>
      <c r="Z13" s="548">
        <f t="shared" si="3"/>
        <v>0.08771929825</v>
      </c>
      <c r="AA13" s="182">
        <f t="shared" si="4"/>
        <v>342.8614035</v>
      </c>
    </row>
    <row r="14">
      <c r="B14" s="194" t="s">
        <v>1653</v>
      </c>
      <c r="C14" s="67">
        <v>3.0</v>
      </c>
      <c r="D14" s="189">
        <v>1.0</v>
      </c>
      <c r="E14" s="67">
        <v>0.95</v>
      </c>
      <c r="F14" s="67">
        <v>0.2</v>
      </c>
      <c r="G14" s="67">
        <v>1.5</v>
      </c>
      <c r="H14" s="182">
        <f t="shared" si="5"/>
        <v>8.505</v>
      </c>
      <c r="I14" s="182">
        <f t="shared" si="6"/>
        <v>2.85</v>
      </c>
      <c r="J14" s="182">
        <f t="shared" si="7"/>
        <v>2.34</v>
      </c>
      <c r="K14" s="243"/>
      <c r="M14" s="67" t="s">
        <v>758</v>
      </c>
      <c r="N14" s="243"/>
      <c r="O14" s="243"/>
      <c r="P14" s="243"/>
      <c r="Q14" s="182">
        <f>237.26+228.98+261.8+225</f>
        <v>953.04</v>
      </c>
      <c r="R14" s="243"/>
      <c r="S14" s="550"/>
      <c r="T14" s="552" t="s">
        <v>1654</v>
      </c>
      <c r="U14" s="67">
        <v>11.45</v>
      </c>
      <c r="V14" s="243">
        <f>2.04*2</f>
        <v>4.08</v>
      </c>
      <c r="W14" s="243">
        <f t="shared" si="1"/>
        <v>46.716</v>
      </c>
      <c r="X14" s="67">
        <v>11.5</v>
      </c>
      <c r="Y14" s="182">
        <f t="shared" si="2"/>
        <v>537.234</v>
      </c>
      <c r="Z14" s="548">
        <f t="shared" si="3"/>
        <v>0.08771929825</v>
      </c>
      <c r="AA14" s="182">
        <f t="shared" si="4"/>
        <v>47.12578947</v>
      </c>
    </row>
    <row r="15">
      <c r="B15" s="194" t="s">
        <v>1655</v>
      </c>
      <c r="C15" s="67">
        <v>3.0</v>
      </c>
      <c r="D15" s="189">
        <v>1.5</v>
      </c>
      <c r="E15" s="67">
        <v>0.9</v>
      </c>
      <c r="F15" s="67">
        <v>0.2</v>
      </c>
      <c r="G15" s="67">
        <v>1.5</v>
      </c>
      <c r="H15" s="182">
        <f t="shared" si="5"/>
        <v>11.115</v>
      </c>
      <c r="I15" s="182">
        <f t="shared" si="6"/>
        <v>4.05</v>
      </c>
      <c r="J15" s="182">
        <f t="shared" si="7"/>
        <v>2.88</v>
      </c>
      <c r="K15" s="243"/>
      <c r="M15" s="67" t="s">
        <v>759</v>
      </c>
      <c r="N15" s="243"/>
      <c r="O15" s="243"/>
      <c r="P15" s="67"/>
      <c r="Q15" s="189">
        <f>14.25+14.37+16.31+13.66</f>
        <v>58.59</v>
      </c>
      <c r="R15" s="243"/>
      <c r="S15" s="2"/>
      <c r="T15" s="67" t="s">
        <v>1656</v>
      </c>
      <c r="U15" s="243">
        <f>2.62</f>
        <v>2.62</v>
      </c>
      <c r="V15" s="67">
        <v>4.3</v>
      </c>
      <c r="W15" s="243">
        <f t="shared" ref="W15:W16" si="9">(U15*V15)*2</f>
        <v>22.532</v>
      </c>
      <c r="X15" s="67">
        <v>11.5</v>
      </c>
      <c r="Y15" s="182">
        <f t="shared" si="2"/>
        <v>259.118</v>
      </c>
      <c r="Z15" s="548">
        <f t="shared" si="3"/>
        <v>0.08771929825</v>
      </c>
      <c r="AA15" s="182">
        <f t="shared" si="4"/>
        <v>22.72964912</v>
      </c>
    </row>
    <row r="16">
      <c r="B16" s="194" t="s">
        <v>1657</v>
      </c>
      <c r="C16" s="67">
        <v>16.0</v>
      </c>
      <c r="D16" s="189">
        <v>0.7</v>
      </c>
      <c r="E16" s="67">
        <v>0.7</v>
      </c>
      <c r="F16" s="67">
        <v>0.2</v>
      </c>
      <c r="G16" s="67">
        <v>1.5</v>
      </c>
      <c r="H16" s="182">
        <f t="shared" si="5"/>
        <v>29.04</v>
      </c>
      <c r="I16" s="182">
        <f t="shared" si="6"/>
        <v>7.84</v>
      </c>
      <c r="J16" s="182">
        <f t="shared" si="7"/>
        <v>8.96</v>
      </c>
      <c r="K16" s="243"/>
      <c r="M16" s="67" t="s">
        <v>761</v>
      </c>
      <c r="N16" s="67" t="s">
        <v>686</v>
      </c>
      <c r="O16" s="67">
        <f>1245.6+1129.1+328.9+1456.9+1295.5+1046.7</f>
        <v>6502.7</v>
      </c>
      <c r="P16" s="67">
        <v>0.154</v>
      </c>
      <c r="Q16" s="182">
        <f t="shared" ref="Q16:Q20" si="10">O16*P16</f>
        <v>1001.4158</v>
      </c>
      <c r="R16" s="243"/>
      <c r="S16" s="543"/>
      <c r="T16" s="67" t="s">
        <v>1658</v>
      </c>
      <c r="U16" s="67">
        <v>3.3</v>
      </c>
      <c r="V16" s="67">
        <f>(28.67+112.8+25)/2</f>
        <v>83.235</v>
      </c>
      <c r="W16" s="243">
        <f t="shared" si="9"/>
        <v>549.351</v>
      </c>
      <c r="X16" s="67">
        <v>11.5</v>
      </c>
      <c r="Y16" s="182">
        <f t="shared" si="2"/>
        <v>6317.5365</v>
      </c>
      <c r="Z16" s="548">
        <f t="shared" si="3"/>
        <v>0.08771929825</v>
      </c>
      <c r="AA16" s="182">
        <f t="shared" si="4"/>
        <v>554.1698684</v>
      </c>
    </row>
    <row r="17">
      <c r="B17" s="194" t="s">
        <v>1659</v>
      </c>
      <c r="C17" s="67">
        <v>6.0</v>
      </c>
      <c r="D17" s="189">
        <v>0.65</v>
      </c>
      <c r="E17" s="67">
        <v>0.65</v>
      </c>
      <c r="F17" s="67">
        <v>0.2</v>
      </c>
      <c r="G17" s="67">
        <v>1.5</v>
      </c>
      <c r="H17" s="182">
        <f t="shared" si="5"/>
        <v>9.9225</v>
      </c>
      <c r="I17" s="182">
        <f t="shared" si="6"/>
        <v>2.535</v>
      </c>
      <c r="J17" s="182">
        <f t="shared" si="7"/>
        <v>3.12</v>
      </c>
      <c r="K17" s="243"/>
      <c r="M17" s="243"/>
      <c r="N17" s="208">
        <v>45357.0</v>
      </c>
      <c r="O17" s="243">
        <f>1.5+241.8+0.8+234.6</f>
        <v>478.7</v>
      </c>
      <c r="P17" s="67">
        <v>0.245</v>
      </c>
      <c r="Q17" s="182">
        <f t="shared" si="10"/>
        <v>117.2815</v>
      </c>
      <c r="R17" s="243"/>
      <c r="S17" s="543"/>
      <c r="T17" s="543"/>
      <c r="Z17" s="184">
        <f>Y13+Y14</f>
        <v>4445.854</v>
      </c>
    </row>
    <row r="18">
      <c r="B18" s="194" t="s">
        <v>418</v>
      </c>
      <c r="C18" s="67">
        <v>1.0</v>
      </c>
      <c r="D18" s="189">
        <v>1.45</v>
      </c>
      <c r="E18" s="67">
        <v>0.9</v>
      </c>
      <c r="F18" s="67">
        <v>0.2</v>
      </c>
      <c r="G18" s="67">
        <v>1.5</v>
      </c>
      <c r="H18" s="182">
        <f t="shared" si="5"/>
        <v>3.6075</v>
      </c>
      <c r="I18" s="182">
        <f t="shared" si="6"/>
        <v>1.305</v>
      </c>
      <c r="J18" s="182">
        <f t="shared" si="7"/>
        <v>0.94</v>
      </c>
      <c r="K18" s="243"/>
      <c r="M18" s="243"/>
      <c r="N18" s="209" t="s">
        <v>720</v>
      </c>
      <c r="O18" s="243">
        <f>1150+894.5+300.7+334.2+1233.5+892.4</f>
        <v>4805.3</v>
      </c>
      <c r="P18" s="67">
        <v>0.395</v>
      </c>
      <c r="Q18" s="182">
        <f t="shared" si="10"/>
        <v>1898.0935</v>
      </c>
      <c r="R18" s="243"/>
      <c r="S18" s="543"/>
      <c r="T18" s="543"/>
      <c r="W18" s="2"/>
    </row>
    <row r="19">
      <c r="B19" s="194" t="s">
        <v>1660</v>
      </c>
      <c r="C19" s="67">
        <v>4.0</v>
      </c>
      <c r="D19" s="189">
        <v>0.65</v>
      </c>
      <c r="E19" s="67">
        <v>0.7</v>
      </c>
      <c r="F19" s="67">
        <v>0.2</v>
      </c>
      <c r="G19" s="67">
        <v>1.5</v>
      </c>
      <c r="H19" s="182">
        <f t="shared" si="5"/>
        <v>6.93</v>
      </c>
      <c r="I19" s="182">
        <f t="shared" si="6"/>
        <v>1.82</v>
      </c>
      <c r="J19" s="182">
        <f t="shared" si="7"/>
        <v>2.16</v>
      </c>
      <c r="K19" s="243"/>
      <c r="M19" s="243"/>
      <c r="N19" s="209">
        <v>10.0</v>
      </c>
      <c r="O19" s="67">
        <f>96.9+64+4+82.6</f>
        <v>247.5</v>
      </c>
      <c r="P19" s="67">
        <v>0.617</v>
      </c>
      <c r="Q19" s="182">
        <f t="shared" si="10"/>
        <v>152.7075</v>
      </c>
      <c r="R19" s="243"/>
      <c r="S19" s="543"/>
      <c r="T19" s="543"/>
    </row>
    <row r="20">
      <c r="B20" s="194" t="s">
        <v>1661</v>
      </c>
      <c r="C20" s="67">
        <v>2.0</v>
      </c>
      <c r="D20" s="189">
        <v>1.6</v>
      </c>
      <c r="E20" s="67">
        <v>1.0</v>
      </c>
      <c r="F20" s="67">
        <v>0.2</v>
      </c>
      <c r="G20" s="67">
        <v>1.5</v>
      </c>
      <c r="H20" s="182">
        <f t="shared" si="5"/>
        <v>8.4</v>
      </c>
      <c r="I20" s="182">
        <f t="shared" si="6"/>
        <v>3.2</v>
      </c>
      <c r="J20" s="182">
        <f t="shared" si="7"/>
        <v>2.08</v>
      </c>
      <c r="K20" s="243"/>
      <c r="M20" s="243"/>
      <c r="N20" s="208">
        <v>45424.0</v>
      </c>
      <c r="O20" s="67"/>
      <c r="P20" s="67">
        <v>0.963</v>
      </c>
      <c r="Q20" s="182">
        <f t="shared" si="10"/>
        <v>0</v>
      </c>
      <c r="R20" s="243"/>
      <c r="S20" s="543"/>
      <c r="T20" s="543"/>
      <c r="Y20" s="2"/>
      <c r="AA20" s="2"/>
    </row>
    <row r="21">
      <c r="B21" s="194" t="s">
        <v>1662</v>
      </c>
      <c r="C21" s="67">
        <v>7.0</v>
      </c>
      <c r="D21" s="189">
        <v>0.6</v>
      </c>
      <c r="E21" s="67">
        <v>0.6</v>
      </c>
      <c r="F21" s="67">
        <v>0.2</v>
      </c>
      <c r="G21" s="67">
        <v>1.5</v>
      </c>
      <c r="H21" s="182">
        <f t="shared" si="5"/>
        <v>10.5</v>
      </c>
      <c r="I21" s="182">
        <f t="shared" si="6"/>
        <v>2.52</v>
      </c>
      <c r="J21" s="182">
        <f t="shared" si="7"/>
        <v>3.36</v>
      </c>
      <c r="K21" s="243"/>
      <c r="M21" s="546" t="s">
        <v>1663</v>
      </c>
      <c r="N21" s="28"/>
      <c r="O21" s="28"/>
      <c r="P21" s="28"/>
      <c r="Q21" s="28"/>
      <c r="R21" s="29"/>
      <c r="S21" s="543"/>
      <c r="T21" s="543"/>
      <c r="V21" s="2"/>
    </row>
    <row r="22">
      <c r="B22" s="194" t="s">
        <v>489</v>
      </c>
      <c r="C22" s="67">
        <v>1.0</v>
      </c>
      <c r="D22" s="189">
        <v>1.6</v>
      </c>
      <c r="E22" s="67">
        <v>0.95</v>
      </c>
      <c r="F22" s="67">
        <v>0.3</v>
      </c>
      <c r="G22" s="67">
        <v>1.5</v>
      </c>
      <c r="H22" s="182">
        <f t="shared" si="5"/>
        <v>4.05</v>
      </c>
      <c r="I22" s="182">
        <f t="shared" si="6"/>
        <v>1.52</v>
      </c>
      <c r="J22" s="182">
        <f t="shared" si="7"/>
        <v>1.53</v>
      </c>
      <c r="K22" s="243"/>
      <c r="M22" s="67" t="s">
        <v>761</v>
      </c>
      <c r="N22" s="67" t="s">
        <v>686</v>
      </c>
      <c r="O22" s="67">
        <f>27*2</f>
        <v>54</v>
      </c>
      <c r="P22" s="67">
        <v>0.154</v>
      </c>
      <c r="Q22" s="182">
        <f>O22*P22</f>
        <v>8.316</v>
      </c>
      <c r="R22" s="243"/>
      <c r="S22" s="543"/>
      <c r="T22" s="543"/>
    </row>
    <row r="23">
      <c r="B23" s="194" t="s">
        <v>1664</v>
      </c>
      <c r="C23" s="67">
        <v>4.0</v>
      </c>
      <c r="D23" s="189">
        <v>1.05</v>
      </c>
      <c r="E23" s="67">
        <v>0.95</v>
      </c>
      <c r="F23" s="67">
        <v>0.35</v>
      </c>
      <c r="G23" s="67">
        <v>1.5</v>
      </c>
      <c r="H23" s="182">
        <f t="shared" si="5"/>
        <v>11.745</v>
      </c>
      <c r="I23" s="182">
        <f t="shared" si="6"/>
        <v>3.99</v>
      </c>
      <c r="J23" s="182">
        <f t="shared" si="7"/>
        <v>5.6</v>
      </c>
      <c r="K23" s="243"/>
      <c r="M23" s="67" t="s">
        <v>1665</v>
      </c>
      <c r="N23" s="67"/>
      <c r="O23" s="67"/>
      <c r="P23" s="67"/>
      <c r="Q23" s="182">
        <f>1.29*2</f>
        <v>2.58</v>
      </c>
      <c r="R23" s="243"/>
      <c r="S23" s="543"/>
      <c r="T23" s="543"/>
    </row>
    <row r="24">
      <c r="B24" s="194" t="s">
        <v>1666</v>
      </c>
      <c r="C24" s="67">
        <v>3.0</v>
      </c>
      <c r="D24" s="189">
        <v>1.1</v>
      </c>
      <c r="E24" s="67">
        <v>0.95</v>
      </c>
      <c r="F24" s="67">
        <v>0.4</v>
      </c>
      <c r="G24" s="67">
        <v>1.5</v>
      </c>
      <c r="H24" s="182">
        <f t="shared" si="5"/>
        <v>9.1125</v>
      </c>
      <c r="I24" s="182">
        <f t="shared" si="6"/>
        <v>3.135</v>
      </c>
      <c r="J24" s="182">
        <f t="shared" si="7"/>
        <v>4.92</v>
      </c>
      <c r="K24" s="243"/>
      <c r="M24" s="67"/>
      <c r="N24" s="67" t="s">
        <v>695</v>
      </c>
      <c r="O24" s="67" t="s">
        <v>696</v>
      </c>
      <c r="P24" s="67" t="s">
        <v>1667</v>
      </c>
      <c r="Q24" s="189" t="s">
        <v>1668</v>
      </c>
      <c r="R24" s="67"/>
      <c r="S24" s="543"/>
      <c r="T24" s="543"/>
    </row>
    <row r="25">
      <c r="B25" s="194" t="s">
        <v>1669</v>
      </c>
      <c r="C25" s="67">
        <v>1.0</v>
      </c>
      <c r="D25" s="189">
        <v>1.1</v>
      </c>
      <c r="E25" s="67">
        <v>1.0</v>
      </c>
      <c r="F25" s="67">
        <v>0.4</v>
      </c>
      <c r="G25" s="67">
        <v>1.5</v>
      </c>
      <c r="H25" s="182">
        <f t="shared" si="5"/>
        <v>3.15</v>
      </c>
      <c r="I25" s="182">
        <f t="shared" si="6"/>
        <v>1.1</v>
      </c>
      <c r="J25" s="182">
        <f t="shared" si="7"/>
        <v>1.68</v>
      </c>
      <c r="K25" s="243"/>
      <c r="M25" s="67" t="s">
        <v>1426</v>
      </c>
      <c r="N25" s="67">
        <v>2.0</v>
      </c>
      <c r="O25" s="67">
        <v>3.58</v>
      </c>
      <c r="P25" s="67">
        <v>0.8</v>
      </c>
      <c r="Q25" s="182">
        <f t="shared" ref="Q25:Q28" si="11">N25*O25*P25</f>
        <v>5.728</v>
      </c>
      <c r="R25" s="67"/>
      <c r="S25" s="543"/>
      <c r="T25" s="543"/>
    </row>
    <row r="26">
      <c r="B26" s="194" t="s">
        <v>1670</v>
      </c>
      <c r="C26" s="67">
        <v>1.0</v>
      </c>
      <c r="D26" s="189">
        <v>0.95</v>
      </c>
      <c r="E26" s="67">
        <v>0.85</v>
      </c>
      <c r="F26" s="67">
        <v>0.35</v>
      </c>
      <c r="G26" s="67">
        <v>1.5</v>
      </c>
      <c r="H26" s="182">
        <f t="shared" si="5"/>
        <v>2.53125</v>
      </c>
      <c r="I26" s="182">
        <f t="shared" si="6"/>
        <v>0.8075</v>
      </c>
      <c r="J26" s="182">
        <f t="shared" si="7"/>
        <v>1.26</v>
      </c>
      <c r="K26" s="243"/>
      <c r="M26" s="243"/>
      <c r="N26" s="67">
        <v>3.0</v>
      </c>
      <c r="O26" s="67">
        <v>3.68</v>
      </c>
      <c r="P26" s="67">
        <v>0.8</v>
      </c>
      <c r="Q26" s="182">
        <f t="shared" si="11"/>
        <v>8.832</v>
      </c>
      <c r="R26" s="67"/>
      <c r="S26" s="543"/>
      <c r="T26" s="543"/>
    </row>
    <row r="27">
      <c r="B27" s="194" t="s">
        <v>1671</v>
      </c>
      <c r="C27" s="67">
        <v>1.0</v>
      </c>
      <c r="D27" s="189">
        <v>1.0</v>
      </c>
      <c r="E27" s="67">
        <v>0.85</v>
      </c>
      <c r="F27" s="67">
        <v>0.35</v>
      </c>
      <c r="G27" s="67">
        <v>1.5</v>
      </c>
      <c r="H27" s="182">
        <f t="shared" si="5"/>
        <v>2.625</v>
      </c>
      <c r="I27" s="182">
        <f t="shared" si="6"/>
        <v>0.85</v>
      </c>
      <c r="J27" s="182">
        <f t="shared" si="7"/>
        <v>1.295</v>
      </c>
      <c r="K27" s="243"/>
      <c r="M27" s="243"/>
      <c r="N27" s="67">
        <v>4.0</v>
      </c>
      <c r="O27" s="67">
        <v>3.67</v>
      </c>
      <c r="P27" s="67">
        <v>0.8</v>
      </c>
      <c r="Q27" s="182">
        <f t="shared" si="11"/>
        <v>11.744</v>
      </c>
      <c r="R27" s="243"/>
      <c r="S27" s="543"/>
      <c r="T27" s="543"/>
    </row>
    <row r="28">
      <c r="B28" s="194"/>
      <c r="C28" s="67"/>
      <c r="D28" s="189"/>
      <c r="E28" s="67"/>
      <c r="F28" s="67"/>
      <c r="G28" s="67"/>
      <c r="H28" s="182"/>
      <c r="I28" s="182"/>
      <c r="J28" s="182"/>
      <c r="K28" s="243"/>
      <c r="M28" s="243"/>
      <c r="N28" s="67">
        <v>1.0</v>
      </c>
      <c r="O28" s="67">
        <v>11.1</v>
      </c>
      <c r="P28" s="67">
        <v>0.94</v>
      </c>
      <c r="Q28" s="182">
        <f t="shared" si="11"/>
        <v>10.434</v>
      </c>
      <c r="R28" s="553"/>
      <c r="S28" s="554"/>
      <c r="T28" s="554"/>
      <c r="U28" s="554"/>
    </row>
    <row r="29">
      <c r="B29" s="555" t="s">
        <v>386</v>
      </c>
      <c r="C29" s="67">
        <v>1.0</v>
      </c>
      <c r="D29" s="189">
        <v>1.2</v>
      </c>
      <c r="E29" s="67">
        <v>0.7</v>
      </c>
      <c r="F29" s="67">
        <v>0.2</v>
      </c>
      <c r="G29" s="67">
        <v>1.5</v>
      </c>
      <c r="H29" s="182">
        <f t="shared" ref="H29:H57" si="12">C29*(D29+0.4)*(E29+0.4)*G29</f>
        <v>2.64</v>
      </c>
      <c r="I29" s="182">
        <f t="shared" ref="I29:I57" si="13">C29*D29*E29</f>
        <v>0.84</v>
      </c>
      <c r="J29" s="182">
        <f t="shared" ref="J29:J57" si="14">C29*((D29+E29)*2)*F29</f>
        <v>0.76</v>
      </c>
      <c r="K29" s="243"/>
      <c r="M29" s="553"/>
      <c r="N29" s="553"/>
      <c r="O29" s="553"/>
      <c r="P29" s="553"/>
      <c r="Q29" s="556">
        <f>SUM(Q25:Q28)</f>
        <v>36.738</v>
      </c>
      <c r="R29" s="553"/>
      <c r="S29" s="554"/>
      <c r="T29" s="554"/>
      <c r="U29" s="554"/>
    </row>
    <row r="30">
      <c r="B30" s="555" t="s">
        <v>1672</v>
      </c>
      <c r="C30" s="67">
        <v>6.0</v>
      </c>
      <c r="D30" s="189">
        <v>0.85</v>
      </c>
      <c r="E30" s="67">
        <v>0.6</v>
      </c>
      <c r="F30" s="67">
        <v>0.2</v>
      </c>
      <c r="G30" s="67">
        <v>1.5</v>
      </c>
      <c r="H30" s="182">
        <f t="shared" si="12"/>
        <v>11.25</v>
      </c>
      <c r="I30" s="182">
        <f t="shared" si="13"/>
        <v>3.06</v>
      </c>
      <c r="J30" s="182">
        <f t="shared" si="14"/>
        <v>3.48</v>
      </c>
      <c r="K30" s="243"/>
      <c r="M30" s="553"/>
      <c r="N30" s="553"/>
      <c r="O30" s="553"/>
      <c r="P30" s="553"/>
      <c r="Q30" s="556">
        <f>Q29*2</f>
        <v>73.476</v>
      </c>
      <c r="R30" s="553"/>
      <c r="S30" s="554"/>
      <c r="T30" s="554"/>
      <c r="U30" s="554"/>
    </row>
    <row r="31">
      <c r="B31" s="555" t="s">
        <v>388</v>
      </c>
      <c r="C31" s="67">
        <v>1.0</v>
      </c>
      <c r="D31" s="189">
        <v>0.85</v>
      </c>
      <c r="E31" s="67">
        <v>0.65</v>
      </c>
      <c r="F31" s="67">
        <v>0.2</v>
      </c>
      <c r="G31" s="67">
        <v>1.5</v>
      </c>
      <c r="H31" s="182">
        <f t="shared" si="12"/>
        <v>1.96875</v>
      </c>
      <c r="I31" s="182">
        <f t="shared" si="13"/>
        <v>0.5525</v>
      </c>
      <c r="J31" s="182">
        <f t="shared" si="14"/>
        <v>0.6</v>
      </c>
      <c r="K31" s="243"/>
      <c r="M31" s="546" t="s">
        <v>1673</v>
      </c>
      <c r="N31" s="28"/>
      <c r="O31" s="28"/>
      <c r="P31" s="28"/>
      <c r="Q31" s="28"/>
      <c r="R31" s="29"/>
      <c r="S31" s="554"/>
      <c r="T31" s="554"/>
      <c r="U31" s="554"/>
    </row>
    <row r="32">
      <c r="B32" s="555" t="s">
        <v>1674</v>
      </c>
      <c r="C32" s="67">
        <v>7.0</v>
      </c>
      <c r="D32" s="189">
        <v>0.6</v>
      </c>
      <c r="E32" s="67">
        <v>0.6</v>
      </c>
      <c r="F32" s="67">
        <v>0.2</v>
      </c>
      <c r="G32" s="67">
        <v>1.5</v>
      </c>
      <c r="H32" s="182">
        <f t="shared" si="12"/>
        <v>10.5</v>
      </c>
      <c r="I32" s="182">
        <f t="shared" si="13"/>
        <v>2.52</v>
      </c>
      <c r="J32" s="182">
        <f t="shared" si="14"/>
        <v>3.36</v>
      </c>
      <c r="K32" s="243"/>
      <c r="M32" s="557"/>
      <c r="N32" s="370" t="s">
        <v>695</v>
      </c>
      <c r="O32" s="370" t="s">
        <v>696</v>
      </c>
      <c r="P32" s="370" t="s">
        <v>1667</v>
      </c>
      <c r="Q32" s="558" t="s">
        <v>1675</v>
      </c>
      <c r="R32" s="557" t="s">
        <v>1676</v>
      </c>
      <c r="S32" s="554"/>
      <c r="T32" s="554"/>
      <c r="U32" s="554"/>
    </row>
    <row r="33">
      <c r="B33" s="555" t="s">
        <v>1677</v>
      </c>
      <c r="C33" s="67">
        <v>32.0</v>
      </c>
      <c r="D33" s="189">
        <v>0.8</v>
      </c>
      <c r="E33" s="67">
        <v>0.6</v>
      </c>
      <c r="F33" s="67">
        <v>0.2</v>
      </c>
      <c r="G33" s="67">
        <v>1.5</v>
      </c>
      <c r="H33" s="182">
        <f t="shared" si="12"/>
        <v>57.6</v>
      </c>
      <c r="I33" s="182">
        <f t="shared" si="13"/>
        <v>15.36</v>
      </c>
      <c r="J33" s="182">
        <f t="shared" si="14"/>
        <v>17.92</v>
      </c>
      <c r="K33" s="243"/>
      <c r="M33" s="557" t="s">
        <v>1678</v>
      </c>
      <c r="N33" s="557">
        <f>138+18</f>
        <v>156</v>
      </c>
      <c r="O33" s="557">
        <v>0.2</v>
      </c>
      <c r="P33" s="557">
        <v>0.1</v>
      </c>
      <c r="Q33" s="556">
        <v>3.0</v>
      </c>
      <c r="R33" s="557">
        <f t="shared" ref="R33:R34" si="15">N33*O33*P33*Q33</f>
        <v>9.36</v>
      </c>
      <c r="S33" s="554"/>
      <c r="T33" s="554"/>
      <c r="U33" s="554"/>
    </row>
    <row r="34">
      <c r="B34" s="555" t="s">
        <v>1679</v>
      </c>
      <c r="C34" s="67">
        <v>17.0</v>
      </c>
      <c r="D34" s="189">
        <v>0.65</v>
      </c>
      <c r="E34" s="67">
        <v>0.65</v>
      </c>
      <c r="F34" s="67">
        <v>0.2</v>
      </c>
      <c r="G34" s="67">
        <v>1.5</v>
      </c>
      <c r="H34" s="182">
        <f t="shared" si="12"/>
        <v>28.11375</v>
      </c>
      <c r="I34" s="182">
        <f t="shared" si="13"/>
        <v>7.1825</v>
      </c>
      <c r="J34" s="182">
        <f t="shared" si="14"/>
        <v>8.84</v>
      </c>
      <c r="K34" s="243"/>
      <c r="M34" s="557" t="s">
        <v>152</v>
      </c>
      <c r="N34" s="557">
        <v>1.0</v>
      </c>
      <c r="O34" s="557">
        <f>(11.1+85.15)*2*2</f>
        <v>385</v>
      </c>
      <c r="P34" s="557">
        <v>0.1</v>
      </c>
      <c r="Q34" s="556">
        <v>0.2</v>
      </c>
      <c r="R34" s="557">
        <f t="shared" si="15"/>
        <v>7.7</v>
      </c>
      <c r="S34" s="554"/>
      <c r="T34" s="554"/>
      <c r="U34" s="554"/>
    </row>
    <row r="35">
      <c r="B35" s="555" t="s">
        <v>1680</v>
      </c>
      <c r="C35" s="67">
        <v>2.0</v>
      </c>
      <c r="D35" s="189">
        <v>1.25</v>
      </c>
      <c r="E35" s="67">
        <v>0.8</v>
      </c>
      <c r="F35" s="67">
        <v>0.2</v>
      </c>
      <c r="G35" s="67">
        <v>1.5</v>
      </c>
      <c r="H35" s="182">
        <f t="shared" si="12"/>
        <v>5.94</v>
      </c>
      <c r="I35" s="182">
        <f t="shared" si="13"/>
        <v>2</v>
      </c>
      <c r="J35" s="182">
        <f t="shared" si="14"/>
        <v>1.64</v>
      </c>
      <c r="K35" s="243"/>
      <c r="M35" s="559" t="s">
        <v>1681</v>
      </c>
      <c r="N35" s="28"/>
      <c r="O35" s="28"/>
      <c r="P35" s="28"/>
      <c r="Q35" s="29"/>
      <c r="R35" s="557">
        <f>SUM(R33:R34)</f>
        <v>17.06</v>
      </c>
      <c r="S35" s="554"/>
      <c r="T35" s="554"/>
      <c r="U35" s="554"/>
    </row>
    <row r="36">
      <c r="B36" s="555" t="s">
        <v>1682</v>
      </c>
      <c r="C36" s="67">
        <v>9.0</v>
      </c>
      <c r="D36" s="189">
        <v>0.7</v>
      </c>
      <c r="E36" s="67">
        <v>0.7</v>
      </c>
      <c r="F36" s="67">
        <v>0.2</v>
      </c>
      <c r="G36" s="67">
        <v>1.5</v>
      </c>
      <c r="H36" s="182">
        <f t="shared" si="12"/>
        <v>16.335</v>
      </c>
      <c r="I36" s="182">
        <f t="shared" si="13"/>
        <v>4.41</v>
      </c>
      <c r="J36" s="182">
        <f t="shared" si="14"/>
        <v>5.04</v>
      </c>
      <c r="K36" s="243"/>
      <c r="M36" s="560"/>
      <c r="N36" s="560"/>
      <c r="O36" s="560"/>
      <c r="P36" s="560"/>
      <c r="Q36" s="561"/>
      <c r="R36" s="560"/>
      <c r="S36" s="554"/>
      <c r="T36" s="554"/>
      <c r="U36" s="554"/>
    </row>
    <row r="37">
      <c r="B37" s="555" t="s">
        <v>1683</v>
      </c>
      <c r="C37" s="67">
        <v>6.0</v>
      </c>
      <c r="D37" s="189">
        <v>1.35</v>
      </c>
      <c r="E37" s="67">
        <v>0.85</v>
      </c>
      <c r="F37" s="67">
        <v>0.2</v>
      </c>
      <c r="G37" s="67">
        <v>1.5</v>
      </c>
      <c r="H37" s="182">
        <f t="shared" si="12"/>
        <v>19.6875</v>
      </c>
      <c r="I37" s="182">
        <f t="shared" si="13"/>
        <v>6.885</v>
      </c>
      <c r="J37" s="182">
        <f t="shared" si="14"/>
        <v>5.28</v>
      </c>
      <c r="K37" s="243"/>
      <c r="M37" s="560"/>
      <c r="N37" s="560"/>
      <c r="O37" s="560"/>
      <c r="P37" s="560"/>
      <c r="Q37" s="561"/>
      <c r="R37" s="560"/>
      <c r="S37" s="554"/>
      <c r="T37" s="554"/>
      <c r="U37" s="554"/>
    </row>
    <row r="38">
      <c r="B38" s="555" t="s">
        <v>1684</v>
      </c>
      <c r="C38" s="67">
        <v>2.0</v>
      </c>
      <c r="D38" s="189">
        <v>0.9</v>
      </c>
      <c r="E38" s="67">
        <v>0.7</v>
      </c>
      <c r="F38" s="67">
        <v>0.2</v>
      </c>
      <c r="G38" s="67">
        <v>1.5</v>
      </c>
      <c r="H38" s="182">
        <f t="shared" si="12"/>
        <v>4.29</v>
      </c>
      <c r="I38" s="182">
        <f t="shared" si="13"/>
        <v>1.26</v>
      </c>
      <c r="J38" s="182">
        <f t="shared" si="14"/>
        <v>1.28</v>
      </c>
      <c r="K38" s="243"/>
      <c r="M38" s="560"/>
      <c r="N38" s="560"/>
      <c r="O38" s="560"/>
      <c r="P38" s="560"/>
      <c r="Q38" s="561"/>
      <c r="R38" s="560"/>
      <c r="S38" s="554"/>
      <c r="T38" s="554"/>
      <c r="U38" s="554"/>
    </row>
    <row r="39">
      <c r="B39" s="555" t="s">
        <v>434</v>
      </c>
      <c r="C39" s="67">
        <v>1.0</v>
      </c>
      <c r="D39" s="189">
        <v>0.9</v>
      </c>
      <c r="E39" s="67">
        <v>0.75</v>
      </c>
      <c r="F39" s="67">
        <v>0.2</v>
      </c>
      <c r="G39" s="67">
        <v>1.5</v>
      </c>
      <c r="H39" s="182">
        <f t="shared" si="12"/>
        <v>2.2425</v>
      </c>
      <c r="I39" s="182">
        <f t="shared" si="13"/>
        <v>0.675</v>
      </c>
      <c r="J39" s="182">
        <f t="shared" si="14"/>
        <v>0.66</v>
      </c>
      <c r="K39" s="243"/>
      <c r="M39" s="560"/>
      <c r="N39" s="560"/>
      <c r="O39" s="560"/>
      <c r="P39" s="560"/>
      <c r="Q39" s="561"/>
      <c r="R39" s="560"/>
      <c r="S39" s="554"/>
      <c r="T39" s="554"/>
      <c r="U39" s="554"/>
    </row>
    <row r="40">
      <c r="B40" s="555" t="s">
        <v>1685</v>
      </c>
      <c r="C40" s="67">
        <v>3.0</v>
      </c>
      <c r="D40" s="189">
        <v>0.8</v>
      </c>
      <c r="E40" s="67">
        <v>0.8</v>
      </c>
      <c r="F40" s="67">
        <v>0.2</v>
      </c>
      <c r="G40" s="67">
        <v>1.5</v>
      </c>
      <c r="H40" s="182">
        <f t="shared" si="12"/>
        <v>6.48</v>
      </c>
      <c r="I40" s="182">
        <f t="shared" si="13"/>
        <v>1.92</v>
      </c>
      <c r="J40" s="182">
        <f t="shared" si="14"/>
        <v>1.92</v>
      </c>
      <c r="K40" s="243"/>
      <c r="M40" s="562"/>
      <c r="S40" s="554"/>
      <c r="T40" s="554"/>
      <c r="U40" s="554"/>
    </row>
    <row r="41">
      <c r="B41" s="555" t="s">
        <v>488</v>
      </c>
      <c r="C41" s="67">
        <v>1.0</v>
      </c>
      <c r="D41" s="189">
        <v>1.05</v>
      </c>
      <c r="E41" s="67">
        <v>0.75</v>
      </c>
      <c r="F41" s="67">
        <v>0.2</v>
      </c>
      <c r="G41" s="67">
        <v>1.5</v>
      </c>
      <c r="H41" s="182">
        <f t="shared" si="12"/>
        <v>2.50125</v>
      </c>
      <c r="I41" s="182">
        <f t="shared" si="13"/>
        <v>0.7875</v>
      </c>
      <c r="J41" s="182">
        <f t="shared" si="14"/>
        <v>0.72</v>
      </c>
      <c r="K41" s="243"/>
      <c r="M41" s="307"/>
      <c r="N41" s="307"/>
      <c r="O41" s="307"/>
      <c r="P41" s="307"/>
      <c r="Q41" s="306"/>
      <c r="R41" s="307"/>
      <c r="S41" s="554"/>
      <c r="T41" s="554"/>
      <c r="U41" s="554"/>
    </row>
    <row r="42">
      <c r="B42" s="555" t="s">
        <v>489</v>
      </c>
      <c r="C42" s="67">
        <v>1.0</v>
      </c>
      <c r="D42" s="189">
        <v>1.15</v>
      </c>
      <c r="E42" s="67">
        <v>0.85</v>
      </c>
      <c r="F42" s="67">
        <v>0.2</v>
      </c>
      <c r="G42" s="67">
        <v>1.5</v>
      </c>
      <c r="H42" s="182">
        <f t="shared" si="12"/>
        <v>2.90625</v>
      </c>
      <c r="I42" s="182">
        <f t="shared" si="13"/>
        <v>0.9775</v>
      </c>
      <c r="J42" s="182">
        <f t="shared" si="14"/>
        <v>0.8</v>
      </c>
      <c r="K42" s="243"/>
      <c r="M42" s="307"/>
      <c r="N42" s="185"/>
      <c r="O42" s="307"/>
      <c r="P42" s="185"/>
      <c r="Q42" s="306"/>
      <c r="R42" s="305"/>
      <c r="S42" s="554"/>
      <c r="T42" s="554"/>
      <c r="U42" s="554"/>
    </row>
    <row r="43">
      <c r="B43" s="555" t="s">
        <v>495</v>
      </c>
      <c r="C43" s="67">
        <v>1.0</v>
      </c>
      <c r="D43" s="189">
        <v>1.2</v>
      </c>
      <c r="E43" s="67">
        <v>0.55</v>
      </c>
      <c r="F43" s="67">
        <v>0.2</v>
      </c>
      <c r="G43" s="67">
        <v>1.5</v>
      </c>
      <c r="H43" s="182">
        <f t="shared" si="12"/>
        <v>2.28</v>
      </c>
      <c r="I43" s="182">
        <f t="shared" si="13"/>
        <v>0.66</v>
      </c>
      <c r="J43" s="182">
        <f t="shared" si="14"/>
        <v>0.7</v>
      </c>
      <c r="K43" s="243"/>
      <c r="M43" s="307"/>
      <c r="N43" s="185"/>
      <c r="O43" s="307"/>
      <c r="P43" s="185"/>
      <c r="Q43" s="306"/>
      <c r="R43" s="305"/>
      <c r="S43" s="554"/>
      <c r="T43" s="554"/>
      <c r="U43" s="554"/>
    </row>
    <row r="44">
      <c r="B44" s="555" t="s">
        <v>1686</v>
      </c>
      <c r="C44" s="67">
        <v>2.0</v>
      </c>
      <c r="D44" s="189">
        <v>0.6</v>
      </c>
      <c r="E44" s="67">
        <v>0.8</v>
      </c>
      <c r="F44" s="67">
        <v>0.2</v>
      </c>
      <c r="G44" s="67">
        <v>1.5</v>
      </c>
      <c r="H44" s="182">
        <f t="shared" si="12"/>
        <v>3.6</v>
      </c>
      <c r="I44" s="182">
        <f t="shared" si="13"/>
        <v>0.96</v>
      </c>
      <c r="J44" s="182">
        <f t="shared" si="14"/>
        <v>1.12</v>
      </c>
      <c r="K44" s="243"/>
      <c r="M44" s="307"/>
      <c r="N44" s="185"/>
      <c r="O44" s="307"/>
      <c r="P44" s="185"/>
      <c r="Q44" s="306"/>
      <c r="R44" s="305"/>
      <c r="S44" s="563"/>
      <c r="T44" s="563"/>
      <c r="U44" s="305"/>
      <c r="V44" s="185"/>
      <c r="W44" s="185"/>
    </row>
    <row r="45">
      <c r="B45" s="555" t="s">
        <v>497</v>
      </c>
      <c r="C45" s="67">
        <v>1.0</v>
      </c>
      <c r="D45" s="189">
        <v>0.75</v>
      </c>
      <c r="E45" s="67">
        <v>0.75</v>
      </c>
      <c r="F45" s="67">
        <v>0.2</v>
      </c>
      <c r="G45" s="67">
        <v>1.5</v>
      </c>
      <c r="H45" s="182">
        <f t="shared" si="12"/>
        <v>1.98375</v>
      </c>
      <c r="I45" s="182">
        <f t="shared" si="13"/>
        <v>0.5625</v>
      </c>
      <c r="J45" s="182">
        <f t="shared" si="14"/>
        <v>0.6</v>
      </c>
      <c r="K45" s="243"/>
      <c r="M45" s="307"/>
      <c r="N45" s="185"/>
      <c r="O45" s="307"/>
      <c r="P45" s="185"/>
      <c r="Q45" s="306"/>
      <c r="R45" s="305"/>
      <c r="S45" s="563"/>
      <c r="T45" s="563"/>
      <c r="U45" s="305"/>
      <c r="V45" s="185"/>
      <c r="W45" s="185"/>
    </row>
    <row r="46">
      <c r="B46" s="555" t="s">
        <v>498</v>
      </c>
      <c r="C46" s="67">
        <v>1.0</v>
      </c>
      <c r="D46" s="189">
        <v>0.95</v>
      </c>
      <c r="E46" s="67">
        <v>0.95</v>
      </c>
      <c r="F46" s="67">
        <v>0.2</v>
      </c>
      <c r="G46" s="67">
        <v>1.5</v>
      </c>
      <c r="H46" s="182">
        <f t="shared" si="12"/>
        <v>2.73375</v>
      </c>
      <c r="I46" s="182">
        <f t="shared" si="13"/>
        <v>0.9025</v>
      </c>
      <c r="J46" s="182">
        <f t="shared" si="14"/>
        <v>0.76</v>
      </c>
      <c r="K46" s="243"/>
      <c r="M46" s="307"/>
      <c r="N46" s="185"/>
      <c r="O46" s="307"/>
      <c r="P46" s="185"/>
      <c r="Q46" s="306"/>
      <c r="R46" s="305"/>
      <c r="S46" s="563"/>
      <c r="T46" s="563"/>
      <c r="U46" s="305"/>
      <c r="V46" s="185"/>
      <c r="W46" s="185"/>
    </row>
    <row r="47">
      <c r="B47" s="555" t="s">
        <v>1687</v>
      </c>
      <c r="C47" s="67">
        <v>1.0</v>
      </c>
      <c r="D47" s="189">
        <v>0.7</v>
      </c>
      <c r="E47" s="67">
        <v>0.55</v>
      </c>
      <c r="F47" s="67">
        <v>0.2</v>
      </c>
      <c r="G47" s="67">
        <v>1.5</v>
      </c>
      <c r="H47" s="182">
        <f t="shared" si="12"/>
        <v>1.5675</v>
      </c>
      <c r="I47" s="182">
        <f t="shared" si="13"/>
        <v>0.385</v>
      </c>
      <c r="J47" s="182">
        <f t="shared" si="14"/>
        <v>0.5</v>
      </c>
      <c r="K47" s="243"/>
      <c r="M47" s="307"/>
      <c r="N47" s="185"/>
      <c r="O47" s="307"/>
      <c r="P47" s="185"/>
      <c r="Q47" s="306"/>
      <c r="R47" s="305"/>
      <c r="S47" s="563"/>
      <c r="T47" s="563"/>
      <c r="U47" s="305"/>
      <c r="V47" s="185"/>
      <c r="W47" s="185"/>
    </row>
    <row r="48">
      <c r="B48" s="555" t="s">
        <v>1688</v>
      </c>
      <c r="C48" s="67">
        <v>1.0</v>
      </c>
      <c r="D48" s="189">
        <v>0.8</v>
      </c>
      <c r="E48" s="67">
        <v>0.8</v>
      </c>
      <c r="F48" s="67">
        <v>0.3</v>
      </c>
      <c r="G48" s="67">
        <v>1.5</v>
      </c>
      <c r="H48" s="182">
        <f t="shared" si="12"/>
        <v>2.16</v>
      </c>
      <c r="I48" s="182">
        <f t="shared" si="13"/>
        <v>0.64</v>
      </c>
      <c r="J48" s="182">
        <f t="shared" si="14"/>
        <v>0.96</v>
      </c>
      <c r="K48" s="243"/>
      <c r="M48" s="307"/>
      <c r="N48" s="185"/>
      <c r="O48" s="307"/>
      <c r="P48" s="185"/>
      <c r="Q48" s="306"/>
      <c r="R48" s="305"/>
      <c r="S48" s="563"/>
      <c r="T48" s="563"/>
      <c r="U48" s="305"/>
      <c r="V48" s="185"/>
      <c r="W48" s="185"/>
    </row>
    <row r="49">
      <c r="B49" s="555" t="s">
        <v>1689</v>
      </c>
      <c r="C49" s="67">
        <v>1.0</v>
      </c>
      <c r="D49" s="189">
        <v>0.8</v>
      </c>
      <c r="E49" s="67">
        <v>0.8</v>
      </c>
      <c r="F49" s="67">
        <v>0.3</v>
      </c>
      <c r="G49" s="67">
        <v>1.5</v>
      </c>
      <c r="H49" s="182">
        <f t="shared" si="12"/>
        <v>2.16</v>
      </c>
      <c r="I49" s="182">
        <f t="shared" si="13"/>
        <v>0.64</v>
      </c>
      <c r="J49" s="182">
        <f t="shared" si="14"/>
        <v>0.96</v>
      </c>
      <c r="K49" s="243"/>
      <c r="M49" s="307"/>
      <c r="N49" s="185"/>
      <c r="O49" s="307"/>
      <c r="P49" s="185"/>
      <c r="Q49" s="306"/>
      <c r="R49" s="305"/>
      <c r="S49" s="563"/>
      <c r="T49" s="563"/>
      <c r="U49" s="305"/>
      <c r="V49" s="185"/>
      <c r="W49" s="185"/>
    </row>
    <row r="50">
      <c r="B50" s="555" t="s">
        <v>1690</v>
      </c>
      <c r="C50" s="67">
        <v>1.0</v>
      </c>
      <c r="D50" s="189">
        <v>0.85</v>
      </c>
      <c r="E50" s="67">
        <v>0.9</v>
      </c>
      <c r="F50" s="67">
        <v>0.3</v>
      </c>
      <c r="G50" s="67">
        <v>1.5</v>
      </c>
      <c r="H50" s="182">
        <f t="shared" si="12"/>
        <v>2.4375</v>
      </c>
      <c r="I50" s="182">
        <f t="shared" si="13"/>
        <v>0.765</v>
      </c>
      <c r="J50" s="182">
        <f t="shared" si="14"/>
        <v>1.05</v>
      </c>
      <c r="K50" s="243"/>
      <c r="M50" s="307"/>
      <c r="N50" s="185"/>
      <c r="O50" s="307"/>
      <c r="P50" s="185"/>
      <c r="Q50" s="306"/>
      <c r="R50" s="305"/>
      <c r="S50" s="563"/>
      <c r="T50" s="563"/>
      <c r="U50" s="305"/>
      <c r="V50" s="185"/>
      <c r="W50" s="185"/>
    </row>
    <row r="51">
      <c r="B51" s="555" t="s">
        <v>1691</v>
      </c>
      <c r="C51" s="67">
        <v>1.0</v>
      </c>
      <c r="D51" s="189">
        <v>0.9</v>
      </c>
      <c r="E51" s="67">
        <v>0.9</v>
      </c>
      <c r="F51" s="67">
        <v>0.3</v>
      </c>
      <c r="G51" s="67">
        <v>1.5</v>
      </c>
      <c r="H51" s="182">
        <f t="shared" si="12"/>
        <v>2.535</v>
      </c>
      <c r="I51" s="182">
        <f t="shared" si="13"/>
        <v>0.81</v>
      </c>
      <c r="J51" s="182">
        <f t="shared" si="14"/>
        <v>1.08</v>
      </c>
      <c r="K51" s="243"/>
      <c r="M51" s="307"/>
      <c r="N51" s="185"/>
      <c r="O51" s="307"/>
      <c r="P51" s="185"/>
      <c r="Q51" s="306"/>
      <c r="R51" s="305"/>
      <c r="S51" s="563"/>
      <c r="T51" s="563"/>
      <c r="U51" s="305"/>
      <c r="V51" s="185"/>
      <c r="W51" s="185"/>
    </row>
    <row r="52">
      <c r="B52" s="555" t="s">
        <v>1692</v>
      </c>
      <c r="C52" s="67">
        <v>1.0</v>
      </c>
      <c r="D52" s="189">
        <v>0.9</v>
      </c>
      <c r="E52" s="67">
        <v>0.9</v>
      </c>
      <c r="F52" s="67">
        <v>0.3</v>
      </c>
      <c r="G52" s="67">
        <v>1.5</v>
      </c>
      <c r="H52" s="182">
        <f t="shared" si="12"/>
        <v>2.535</v>
      </c>
      <c r="I52" s="182">
        <f t="shared" si="13"/>
        <v>0.81</v>
      </c>
      <c r="J52" s="182">
        <f t="shared" si="14"/>
        <v>1.08</v>
      </c>
      <c r="K52" s="243"/>
      <c r="M52" s="307"/>
      <c r="N52" s="185"/>
      <c r="O52" s="307"/>
      <c r="P52" s="185"/>
      <c r="Q52" s="306"/>
      <c r="R52" s="305"/>
      <c r="S52" s="563"/>
      <c r="T52" s="563"/>
      <c r="U52" s="305"/>
      <c r="V52" s="185"/>
      <c r="W52" s="185"/>
    </row>
    <row r="53">
      <c r="B53" s="555" t="s">
        <v>1693</v>
      </c>
      <c r="C53" s="67">
        <v>1.0</v>
      </c>
      <c r="D53" s="189">
        <v>0.95</v>
      </c>
      <c r="E53" s="67">
        <v>0.95</v>
      </c>
      <c r="F53" s="67">
        <v>0.35</v>
      </c>
      <c r="G53" s="67">
        <v>1.5</v>
      </c>
      <c r="H53" s="182">
        <f t="shared" si="12"/>
        <v>2.73375</v>
      </c>
      <c r="I53" s="182">
        <f t="shared" si="13"/>
        <v>0.9025</v>
      </c>
      <c r="J53" s="182">
        <f t="shared" si="14"/>
        <v>1.33</v>
      </c>
      <c r="K53" s="243"/>
      <c r="M53" s="307"/>
      <c r="N53" s="185"/>
      <c r="O53" s="307"/>
      <c r="P53" s="185"/>
      <c r="Q53" s="306"/>
      <c r="R53" s="305"/>
      <c r="S53" s="563"/>
      <c r="T53" s="563"/>
      <c r="U53" s="305"/>
      <c r="V53" s="185"/>
      <c r="W53" s="185"/>
    </row>
    <row r="54">
      <c r="B54" s="555" t="s">
        <v>1694</v>
      </c>
      <c r="C54" s="67">
        <v>1.0</v>
      </c>
      <c r="D54" s="189">
        <v>0.9</v>
      </c>
      <c r="E54" s="67">
        <v>0.9</v>
      </c>
      <c r="F54" s="67">
        <v>0.3</v>
      </c>
      <c r="G54" s="67">
        <v>1.5</v>
      </c>
      <c r="H54" s="182">
        <f t="shared" si="12"/>
        <v>2.535</v>
      </c>
      <c r="I54" s="182">
        <f t="shared" si="13"/>
        <v>0.81</v>
      </c>
      <c r="J54" s="182">
        <f t="shared" si="14"/>
        <v>1.08</v>
      </c>
      <c r="K54" s="243"/>
      <c r="M54" s="307"/>
      <c r="N54" s="185"/>
      <c r="O54" s="307"/>
      <c r="P54" s="185"/>
      <c r="Q54" s="306"/>
      <c r="R54" s="305"/>
      <c r="S54" s="563"/>
      <c r="T54" s="563"/>
      <c r="U54" s="305"/>
      <c r="V54" s="185"/>
      <c r="W54" s="185"/>
    </row>
    <row r="55">
      <c r="B55" s="555" t="s">
        <v>1695</v>
      </c>
      <c r="C55" s="67">
        <v>1.0</v>
      </c>
      <c r="D55" s="189">
        <v>0.9</v>
      </c>
      <c r="E55" s="67">
        <v>0.9</v>
      </c>
      <c r="F55" s="67">
        <v>0.3</v>
      </c>
      <c r="G55" s="67">
        <v>1.5</v>
      </c>
      <c r="H55" s="182">
        <f t="shared" si="12"/>
        <v>2.535</v>
      </c>
      <c r="I55" s="182">
        <f t="shared" si="13"/>
        <v>0.81</v>
      </c>
      <c r="J55" s="182">
        <f t="shared" si="14"/>
        <v>1.08</v>
      </c>
      <c r="K55" s="243"/>
      <c r="M55" s="307"/>
      <c r="N55" s="185"/>
      <c r="O55" s="307"/>
      <c r="P55" s="185"/>
      <c r="Q55" s="306"/>
      <c r="R55" s="305"/>
      <c r="S55" s="563"/>
      <c r="T55" s="563"/>
      <c r="U55" s="305"/>
      <c r="V55" s="185"/>
      <c r="W55" s="185"/>
    </row>
    <row r="56">
      <c r="B56" s="555" t="s">
        <v>1696</v>
      </c>
      <c r="C56" s="67">
        <v>1.0</v>
      </c>
      <c r="D56" s="189">
        <v>0.9</v>
      </c>
      <c r="E56" s="67">
        <v>0.75</v>
      </c>
      <c r="F56" s="67">
        <v>0.3</v>
      </c>
      <c r="G56" s="67">
        <v>1.5</v>
      </c>
      <c r="H56" s="182">
        <f t="shared" si="12"/>
        <v>2.2425</v>
      </c>
      <c r="I56" s="182">
        <f t="shared" si="13"/>
        <v>0.675</v>
      </c>
      <c r="J56" s="182">
        <f t="shared" si="14"/>
        <v>0.99</v>
      </c>
      <c r="K56" s="243"/>
      <c r="M56" s="307"/>
      <c r="N56" s="185"/>
      <c r="O56" s="307"/>
      <c r="P56" s="185"/>
      <c r="Q56" s="306"/>
      <c r="R56" s="305"/>
      <c r="S56" s="563"/>
      <c r="T56" s="563"/>
      <c r="U56" s="305"/>
      <c r="V56" s="185"/>
      <c r="W56" s="185"/>
    </row>
    <row r="57">
      <c r="B57" s="555" t="s">
        <v>1697</v>
      </c>
      <c r="C57" s="67">
        <v>1.0</v>
      </c>
      <c r="D57" s="189">
        <v>0.9</v>
      </c>
      <c r="E57" s="67">
        <v>0.75</v>
      </c>
      <c r="F57" s="67">
        <v>0.3</v>
      </c>
      <c r="G57" s="67">
        <v>1.5</v>
      </c>
      <c r="H57" s="182">
        <f t="shared" si="12"/>
        <v>2.2425</v>
      </c>
      <c r="I57" s="182">
        <f t="shared" si="13"/>
        <v>0.675</v>
      </c>
      <c r="J57" s="182">
        <f t="shared" si="14"/>
        <v>0.99</v>
      </c>
      <c r="K57" s="243"/>
      <c r="M57" s="307"/>
      <c r="N57" s="185"/>
      <c r="O57" s="307"/>
      <c r="P57" s="185"/>
      <c r="Q57" s="306"/>
      <c r="R57" s="305"/>
      <c r="S57" s="563"/>
      <c r="T57" s="563"/>
      <c r="U57" s="305"/>
      <c r="V57" s="185"/>
      <c r="W57" s="185"/>
    </row>
    <row r="58">
      <c r="B58" s="194"/>
      <c r="C58" s="67"/>
      <c r="D58" s="182"/>
      <c r="E58" s="243"/>
      <c r="F58" s="243"/>
      <c r="G58" s="67"/>
      <c r="H58" s="189"/>
      <c r="I58" s="189"/>
      <c r="J58" s="189"/>
      <c r="K58" s="243"/>
      <c r="M58" s="307"/>
      <c r="N58" s="185"/>
      <c r="O58" s="307"/>
      <c r="P58" s="185"/>
      <c r="Q58" s="306"/>
      <c r="R58" s="305"/>
      <c r="S58" s="563"/>
      <c r="T58" s="563"/>
      <c r="U58" s="305"/>
      <c r="V58" s="185"/>
      <c r="W58" s="185"/>
    </row>
    <row r="59">
      <c r="B59" s="194"/>
      <c r="C59" s="243"/>
      <c r="D59" s="182"/>
      <c r="E59" s="243"/>
      <c r="F59" s="243"/>
      <c r="G59" s="67"/>
      <c r="H59" s="189"/>
      <c r="I59" s="189"/>
      <c r="J59" s="189"/>
      <c r="K59" s="243"/>
      <c r="M59" s="307"/>
      <c r="N59" s="185"/>
      <c r="O59" s="307"/>
      <c r="P59" s="185"/>
      <c r="Q59" s="306"/>
      <c r="R59" s="305"/>
      <c r="S59" s="563"/>
      <c r="T59" s="563"/>
      <c r="U59" s="305"/>
      <c r="V59" s="185"/>
      <c r="W59" s="185"/>
    </row>
    <row r="60">
      <c r="B60" s="194" t="s">
        <v>1698</v>
      </c>
      <c r="C60" s="243"/>
      <c r="D60" s="182"/>
      <c r="E60" s="243"/>
      <c r="F60" s="243"/>
      <c r="G60" s="67"/>
      <c r="H60" s="189"/>
      <c r="I60" s="189"/>
      <c r="J60" s="189">
        <f>SUM(I7:I57)</f>
        <v>127.0475</v>
      </c>
      <c r="K60" s="243"/>
      <c r="M60" s="307"/>
      <c r="N60" s="185"/>
      <c r="O60" s="307"/>
      <c r="P60" s="185"/>
      <c r="Q60" s="306"/>
      <c r="R60" s="305"/>
      <c r="S60" s="563"/>
      <c r="T60" s="563"/>
      <c r="U60" s="305"/>
      <c r="V60" s="185"/>
      <c r="W60" s="185"/>
    </row>
    <row r="61">
      <c r="B61" s="194" t="s">
        <v>713</v>
      </c>
      <c r="C61" s="243"/>
      <c r="D61" s="182"/>
      <c r="E61" s="243"/>
      <c r="F61" s="243"/>
      <c r="G61" s="67"/>
      <c r="H61" s="189"/>
      <c r="I61" s="189"/>
      <c r="J61" s="189">
        <f>SUM(H7:H57)</f>
        <v>431.89125</v>
      </c>
      <c r="K61" s="243"/>
      <c r="M61" s="307"/>
      <c r="N61" s="185"/>
      <c r="O61" s="307"/>
      <c r="P61" s="185"/>
      <c r="Q61" s="306"/>
      <c r="R61" s="305"/>
      <c r="S61" s="563"/>
      <c r="T61" s="563"/>
      <c r="U61" s="305"/>
      <c r="V61" s="185"/>
      <c r="W61" s="185"/>
    </row>
    <row r="62">
      <c r="B62" s="194" t="s">
        <v>385</v>
      </c>
      <c r="C62" s="243"/>
      <c r="D62" s="182"/>
      <c r="E62" s="243"/>
      <c r="F62" s="243"/>
      <c r="G62" s="243"/>
      <c r="H62" s="182">
        <f>J60</f>
        <v>127.0475</v>
      </c>
      <c r="I62" s="189">
        <v>0.05</v>
      </c>
      <c r="J62" s="182">
        <f>H62*I62</f>
        <v>6.352375</v>
      </c>
      <c r="K62" s="243"/>
      <c r="M62" s="185"/>
      <c r="N62" s="185"/>
      <c r="O62" s="185"/>
      <c r="P62" s="185"/>
      <c r="Q62" s="305"/>
      <c r="R62" s="305"/>
      <c r="S62" s="563"/>
      <c r="T62" s="563"/>
      <c r="U62" s="305"/>
      <c r="V62" s="185"/>
      <c r="W62" s="185"/>
    </row>
    <row r="63">
      <c r="B63" s="194" t="s">
        <v>716</v>
      </c>
      <c r="C63" s="243"/>
      <c r="D63" s="182"/>
      <c r="E63" s="243"/>
      <c r="F63" s="243"/>
      <c r="G63" s="243"/>
      <c r="H63" s="182"/>
      <c r="I63" s="182"/>
      <c r="J63" s="182">
        <f>SUM(J7:J57)</f>
        <v>139.285</v>
      </c>
      <c r="K63" s="243"/>
      <c r="M63" s="307"/>
      <c r="N63" s="307"/>
      <c r="O63" s="307"/>
      <c r="P63" s="185"/>
      <c r="Q63" s="306"/>
      <c r="R63" s="305"/>
      <c r="S63" s="563"/>
      <c r="T63" s="563"/>
      <c r="U63" s="305"/>
      <c r="V63" s="185"/>
      <c r="W63" s="185"/>
    </row>
    <row r="64">
      <c r="B64" s="194" t="s">
        <v>679</v>
      </c>
      <c r="C64" s="67"/>
      <c r="D64" s="189"/>
      <c r="E64" s="243"/>
      <c r="F64" s="243"/>
      <c r="G64" s="243"/>
      <c r="H64" s="182">
        <f>160.08+38.12+186.5+38.46</f>
        <v>423.16</v>
      </c>
      <c r="I64" s="182">
        <f>-J63</f>
        <v>-139.285</v>
      </c>
      <c r="J64" s="182">
        <f>H64+I64</f>
        <v>283.875</v>
      </c>
      <c r="K64" s="243"/>
      <c r="M64" s="564"/>
      <c r="N64" s="185"/>
      <c r="O64" s="307"/>
      <c r="P64" s="185"/>
      <c r="Q64" s="306"/>
      <c r="R64" s="305"/>
      <c r="S64" s="563"/>
      <c r="T64" s="563"/>
      <c r="U64" s="305"/>
      <c r="V64" s="185"/>
      <c r="W64" s="185"/>
    </row>
    <row r="65">
      <c r="B65" s="194"/>
      <c r="C65" s="67" t="s">
        <v>683</v>
      </c>
      <c r="D65" s="189" t="s">
        <v>108</v>
      </c>
      <c r="E65" s="67" t="s">
        <v>684</v>
      </c>
      <c r="F65" s="243"/>
      <c r="G65" s="67"/>
      <c r="H65" s="189"/>
      <c r="I65" s="189"/>
      <c r="J65" s="189" t="s">
        <v>718</v>
      </c>
      <c r="K65" s="243"/>
      <c r="M65" s="564"/>
      <c r="N65" s="307"/>
      <c r="O65" s="185"/>
      <c r="P65" s="185"/>
      <c r="Q65" s="306"/>
      <c r="R65" s="305"/>
      <c r="S65" s="563"/>
      <c r="T65" s="563"/>
      <c r="U65" s="305"/>
      <c r="V65" s="185"/>
      <c r="W65" s="185"/>
    </row>
    <row r="66">
      <c r="B66" s="194" t="s">
        <v>719</v>
      </c>
      <c r="C66" s="67" t="s">
        <v>720</v>
      </c>
      <c r="D66" s="189">
        <f>1020+565.5+988.6+204</f>
        <v>2778.1</v>
      </c>
      <c r="E66" s="243">
        <f>0.395</f>
        <v>0.395</v>
      </c>
      <c r="F66" s="243"/>
      <c r="G66" s="243"/>
      <c r="H66" s="182"/>
      <c r="I66" s="182"/>
      <c r="J66" s="182">
        <f t="shared" ref="J66:J70" si="16">D66*E66</f>
        <v>1097.3495</v>
      </c>
      <c r="K66" s="243"/>
      <c r="M66" s="307"/>
      <c r="N66" s="185"/>
      <c r="O66" s="307"/>
      <c r="P66" s="185"/>
      <c r="Q66" s="306"/>
      <c r="R66" s="305"/>
      <c r="S66" s="563"/>
      <c r="T66" s="563"/>
      <c r="U66" s="305"/>
      <c r="V66" s="185"/>
      <c r="W66" s="185"/>
    </row>
    <row r="67">
      <c r="B67" s="194" t="s">
        <v>722</v>
      </c>
      <c r="C67" s="67" t="s">
        <v>686</v>
      </c>
      <c r="D67" s="182">
        <f>966.6+375.2+1291.1+362.4</f>
        <v>2995.3</v>
      </c>
      <c r="E67" s="67">
        <v>0.154</v>
      </c>
      <c r="F67" s="243"/>
      <c r="G67" s="243"/>
      <c r="H67" s="182"/>
      <c r="I67" s="182"/>
      <c r="J67" s="182">
        <f t="shared" si="16"/>
        <v>461.2762</v>
      </c>
      <c r="K67" s="243"/>
      <c r="M67" s="185"/>
      <c r="N67" s="185"/>
      <c r="O67" s="185"/>
      <c r="P67" s="185"/>
      <c r="Q67" s="305"/>
      <c r="R67" s="185"/>
      <c r="S67" s="563"/>
      <c r="T67" s="563"/>
      <c r="U67" s="305"/>
      <c r="V67" s="185"/>
      <c r="W67" s="185"/>
    </row>
    <row r="68">
      <c r="B68" s="194"/>
      <c r="C68" s="208">
        <v>45357.0</v>
      </c>
      <c r="D68" s="182">
        <f>10.9+20.9+176.5</f>
        <v>208.3</v>
      </c>
      <c r="E68" s="67">
        <v>0.245</v>
      </c>
      <c r="F68" s="243"/>
      <c r="G68" s="243"/>
      <c r="H68" s="182"/>
      <c r="I68" s="182"/>
      <c r="J68" s="182">
        <f t="shared" si="16"/>
        <v>51.0335</v>
      </c>
      <c r="K68" s="243"/>
      <c r="Q68" s="184"/>
      <c r="S68" s="543"/>
      <c r="T68" s="543"/>
    </row>
    <row r="69">
      <c r="B69" s="194"/>
      <c r="C69" s="209">
        <v>10.0</v>
      </c>
      <c r="D69" s="182">
        <f>670.6+161.6+690.8+169.7</f>
        <v>1692.7</v>
      </c>
      <c r="E69" s="67">
        <v>0.617</v>
      </c>
      <c r="F69" s="243"/>
      <c r="G69" s="243"/>
      <c r="H69" s="182"/>
      <c r="I69" s="182"/>
      <c r="J69" s="182">
        <f t="shared" si="16"/>
        <v>1044.3959</v>
      </c>
      <c r="K69" s="243"/>
      <c r="Q69" s="184"/>
      <c r="S69" s="543"/>
      <c r="T69" s="543"/>
    </row>
    <row r="70">
      <c r="B70" s="194"/>
      <c r="C70" s="208">
        <v>45424.0</v>
      </c>
      <c r="D70" s="182">
        <f>100.8+12.6+168</f>
        <v>281.4</v>
      </c>
      <c r="E70" s="67">
        <v>0.963</v>
      </c>
      <c r="F70" s="243"/>
      <c r="G70" s="243"/>
      <c r="H70" s="182"/>
      <c r="I70" s="182"/>
      <c r="J70" s="182">
        <f t="shared" si="16"/>
        <v>270.9882</v>
      </c>
      <c r="K70" s="243"/>
      <c r="Q70" s="184"/>
      <c r="S70" s="543"/>
      <c r="T70" s="543"/>
    </row>
    <row r="71">
      <c r="B71" s="194"/>
      <c r="C71" s="243"/>
      <c r="D71" s="182"/>
      <c r="E71" s="243"/>
      <c r="F71" s="243"/>
      <c r="G71" s="67"/>
      <c r="H71" s="189"/>
      <c r="I71" s="189"/>
      <c r="J71" s="189" t="s">
        <v>1676</v>
      </c>
      <c r="K71" s="243"/>
      <c r="Q71" s="184"/>
      <c r="S71" s="543"/>
      <c r="T71" s="543"/>
    </row>
    <row r="72">
      <c r="B72" s="194" t="s">
        <v>1699</v>
      </c>
      <c r="C72" s="243"/>
      <c r="D72" s="182"/>
      <c r="E72" s="243"/>
      <c r="F72" s="243"/>
      <c r="G72" s="243"/>
      <c r="H72" s="182"/>
      <c r="I72" s="182"/>
      <c r="J72" s="182">
        <f>19.85+5.34+21.98+4.05</f>
        <v>51.22</v>
      </c>
      <c r="K72" s="243"/>
      <c r="Q72" s="184"/>
      <c r="S72" s="543"/>
      <c r="T72" s="543"/>
    </row>
    <row r="73">
      <c r="B73" s="546" t="s">
        <v>1700</v>
      </c>
      <c r="C73" s="28"/>
      <c r="D73" s="28"/>
      <c r="E73" s="28"/>
      <c r="F73" s="28"/>
      <c r="G73" s="28"/>
      <c r="H73" s="28"/>
      <c r="I73" s="28"/>
      <c r="J73" s="28"/>
      <c r="K73" s="29"/>
      <c r="Q73" s="184"/>
      <c r="S73" s="543"/>
      <c r="T73" s="543"/>
    </row>
    <row r="74">
      <c r="B74" s="194" t="s">
        <v>1631</v>
      </c>
      <c r="C74" s="67" t="s">
        <v>695</v>
      </c>
      <c r="D74" s="189" t="s">
        <v>696</v>
      </c>
      <c r="E74" s="67" t="s">
        <v>1632</v>
      </c>
      <c r="F74" s="67" t="s">
        <v>1633</v>
      </c>
      <c r="G74" s="67" t="s">
        <v>1634</v>
      </c>
      <c r="H74" s="189" t="s">
        <v>1635</v>
      </c>
      <c r="I74" s="189" t="s">
        <v>1636</v>
      </c>
      <c r="J74" s="189" t="s">
        <v>1637</v>
      </c>
      <c r="K74" s="67" t="s">
        <v>1638</v>
      </c>
      <c r="Q74" s="184"/>
      <c r="S74" s="543"/>
      <c r="T74" s="543"/>
    </row>
    <row r="75">
      <c r="B75" s="67" t="s">
        <v>723</v>
      </c>
      <c r="C75" s="67">
        <v>1.0</v>
      </c>
      <c r="D75" s="67">
        <v>2.0</v>
      </c>
      <c r="E75" s="67">
        <v>0.14</v>
      </c>
      <c r="F75" s="67">
        <v>0.5</v>
      </c>
      <c r="G75" s="67">
        <v>0.55</v>
      </c>
      <c r="H75" s="182">
        <f t="shared" ref="H75:H150" si="17">D75*(E75+0.4)*G75</f>
        <v>0.594</v>
      </c>
      <c r="I75" s="182">
        <f t="shared" ref="I75:I150" si="18">C75*D75*E75</f>
        <v>0.28</v>
      </c>
      <c r="J75" s="182">
        <f t="shared" ref="J75:J150" si="19">2*(C75*D75*F75)</f>
        <v>2</v>
      </c>
      <c r="K75" s="243">
        <f t="shared" ref="K75:K150" si="20">D75*(E75+F75*2)</f>
        <v>2.28</v>
      </c>
      <c r="Q75" s="184"/>
      <c r="S75" s="543"/>
      <c r="T75" s="543"/>
    </row>
    <row r="76">
      <c r="B76" s="67" t="s">
        <v>724</v>
      </c>
      <c r="C76" s="67">
        <v>1.0</v>
      </c>
      <c r="D76" s="67">
        <v>2.0</v>
      </c>
      <c r="E76" s="67">
        <v>0.14</v>
      </c>
      <c r="F76" s="67">
        <v>0.5</v>
      </c>
      <c r="G76" s="67">
        <v>0.55</v>
      </c>
      <c r="H76" s="182">
        <f t="shared" si="17"/>
        <v>0.594</v>
      </c>
      <c r="I76" s="182">
        <f t="shared" si="18"/>
        <v>0.28</v>
      </c>
      <c r="J76" s="182">
        <f t="shared" si="19"/>
        <v>2</v>
      </c>
      <c r="K76" s="243">
        <f t="shared" si="20"/>
        <v>2.28</v>
      </c>
      <c r="Q76" s="184"/>
      <c r="S76" s="543"/>
      <c r="T76" s="543"/>
    </row>
    <row r="77">
      <c r="B77" s="67" t="s">
        <v>725</v>
      </c>
      <c r="C77" s="67">
        <v>1.0</v>
      </c>
      <c r="D77" s="67">
        <v>2.0</v>
      </c>
      <c r="E77" s="67">
        <v>0.14</v>
      </c>
      <c r="F77" s="67">
        <v>0.5</v>
      </c>
      <c r="G77" s="67">
        <v>0.55</v>
      </c>
      <c r="H77" s="182">
        <f t="shared" si="17"/>
        <v>0.594</v>
      </c>
      <c r="I77" s="182">
        <f t="shared" si="18"/>
        <v>0.28</v>
      </c>
      <c r="J77" s="182">
        <f t="shared" si="19"/>
        <v>2</v>
      </c>
      <c r="K77" s="243">
        <f t="shared" si="20"/>
        <v>2.28</v>
      </c>
      <c r="Q77" s="184"/>
      <c r="S77" s="543"/>
      <c r="T77" s="543"/>
    </row>
    <row r="78">
      <c r="B78" s="67" t="s">
        <v>726</v>
      </c>
      <c r="C78" s="67">
        <v>1.0</v>
      </c>
      <c r="D78" s="189">
        <v>2.0</v>
      </c>
      <c r="E78" s="67">
        <v>0.14</v>
      </c>
      <c r="F78" s="67">
        <v>0.5</v>
      </c>
      <c r="G78" s="67">
        <v>0.55</v>
      </c>
      <c r="H78" s="182">
        <f t="shared" si="17"/>
        <v>0.594</v>
      </c>
      <c r="I78" s="182">
        <f t="shared" si="18"/>
        <v>0.28</v>
      </c>
      <c r="J78" s="182">
        <f t="shared" si="19"/>
        <v>2</v>
      </c>
      <c r="K78" s="243">
        <f t="shared" si="20"/>
        <v>2.28</v>
      </c>
      <c r="Q78" s="184"/>
      <c r="S78" s="543"/>
      <c r="T78" s="543"/>
    </row>
    <row r="79">
      <c r="B79" s="67" t="s">
        <v>727</v>
      </c>
      <c r="C79" s="67">
        <v>1.0</v>
      </c>
      <c r="D79" s="189">
        <f>3.875+3.825</f>
        <v>7.7</v>
      </c>
      <c r="E79" s="67">
        <v>0.14</v>
      </c>
      <c r="F79" s="67">
        <v>0.5</v>
      </c>
      <c r="G79" s="67">
        <v>0.55</v>
      </c>
      <c r="H79" s="182">
        <f t="shared" si="17"/>
        <v>2.2869</v>
      </c>
      <c r="I79" s="182">
        <f t="shared" si="18"/>
        <v>1.078</v>
      </c>
      <c r="J79" s="182">
        <f t="shared" si="19"/>
        <v>7.7</v>
      </c>
      <c r="K79" s="243">
        <f t="shared" si="20"/>
        <v>8.778</v>
      </c>
      <c r="Q79" s="184"/>
      <c r="S79" s="543"/>
      <c r="T79" s="543"/>
    </row>
    <row r="80">
      <c r="B80" s="67" t="s">
        <v>728</v>
      </c>
      <c r="C80" s="67">
        <v>1.0</v>
      </c>
      <c r="D80" s="182">
        <f>3.825*2</f>
        <v>7.65</v>
      </c>
      <c r="E80" s="67">
        <v>0.14</v>
      </c>
      <c r="F80" s="67">
        <v>0.5</v>
      </c>
      <c r="G80" s="67">
        <v>0.55</v>
      </c>
      <c r="H80" s="182">
        <f t="shared" si="17"/>
        <v>2.27205</v>
      </c>
      <c r="I80" s="182">
        <f t="shared" si="18"/>
        <v>1.071</v>
      </c>
      <c r="J80" s="182">
        <f t="shared" si="19"/>
        <v>7.65</v>
      </c>
      <c r="K80" s="243">
        <f t="shared" si="20"/>
        <v>8.721</v>
      </c>
      <c r="Q80" s="184"/>
      <c r="S80" s="543"/>
      <c r="T80" s="543"/>
    </row>
    <row r="81">
      <c r="B81" s="67" t="s">
        <v>729</v>
      </c>
      <c r="C81" s="67">
        <v>1.0</v>
      </c>
      <c r="D81" s="189">
        <f>3.875+3.825</f>
        <v>7.7</v>
      </c>
      <c r="E81" s="67">
        <v>0.14</v>
      </c>
      <c r="F81" s="67">
        <v>0.5</v>
      </c>
      <c r="G81" s="67">
        <v>0.55</v>
      </c>
      <c r="H81" s="182">
        <f t="shared" si="17"/>
        <v>2.2869</v>
      </c>
      <c r="I81" s="182">
        <f t="shared" si="18"/>
        <v>1.078</v>
      </c>
      <c r="J81" s="182">
        <f t="shared" si="19"/>
        <v>7.7</v>
      </c>
      <c r="K81" s="243">
        <f t="shared" si="20"/>
        <v>8.778</v>
      </c>
      <c r="Q81" s="184"/>
      <c r="S81" s="543"/>
      <c r="T81" s="543"/>
    </row>
    <row r="82">
      <c r="B82" s="67" t="s">
        <v>730</v>
      </c>
      <c r="C82" s="67">
        <v>1.0</v>
      </c>
      <c r="D82" s="189">
        <v>8.0</v>
      </c>
      <c r="E82" s="67">
        <v>0.14</v>
      </c>
      <c r="F82" s="67">
        <v>0.5</v>
      </c>
      <c r="G82" s="67">
        <v>0.55</v>
      </c>
      <c r="H82" s="182">
        <f t="shared" si="17"/>
        <v>2.376</v>
      </c>
      <c r="I82" s="182">
        <f t="shared" si="18"/>
        <v>1.12</v>
      </c>
      <c r="J82" s="182">
        <f t="shared" si="19"/>
        <v>8</v>
      </c>
      <c r="K82" s="243">
        <f t="shared" si="20"/>
        <v>9.12</v>
      </c>
      <c r="Q82" s="184"/>
      <c r="S82" s="543"/>
      <c r="T82" s="543"/>
    </row>
    <row r="83">
      <c r="B83" s="67" t="s">
        <v>731</v>
      </c>
      <c r="C83" s="67">
        <v>1.0</v>
      </c>
      <c r="D83" s="182">
        <f>3.8*6</f>
        <v>22.8</v>
      </c>
      <c r="E83" s="67">
        <v>0.14</v>
      </c>
      <c r="F83" s="67">
        <v>0.5</v>
      </c>
      <c r="G83" s="67">
        <v>0.55</v>
      </c>
      <c r="H83" s="182">
        <f t="shared" si="17"/>
        <v>6.7716</v>
      </c>
      <c r="I83" s="182">
        <f t="shared" si="18"/>
        <v>3.192</v>
      </c>
      <c r="J83" s="182">
        <f t="shared" si="19"/>
        <v>22.8</v>
      </c>
      <c r="K83" s="243">
        <f t="shared" si="20"/>
        <v>25.992</v>
      </c>
      <c r="Q83" s="184"/>
      <c r="S83" s="543"/>
      <c r="T83" s="543"/>
    </row>
    <row r="84">
      <c r="B84" s="67" t="s">
        <v>732</v>
      </c>
      <c r="C84" s="67">
        <v>1.0</v>
      </c>
      <c r="D84" s="189">
        <v>2.0</v>
      </c>
      <c r="E84" s="67">
        <v>0.14</v>
      </c>
      <c r="F84" s="67">
        <v>0.5</v>
      </c>
      <c r="G84" s="67">
        <v>0.55</v>
      </c>
      <c r="H84" s="182">
        <f t="shared" si="17"/>
        <v>0.594</v>
      </c>
      <c r="I84" s="182">
        <f t="shared" si="18"/>
        <v>0.28</v>
      </c>
      <c r="J84" s="182">
        <f t="shared" si="19"/>
        <v>2</v>
      </c>
      <c r="K84" s="243">
        <f t="shared" si="20"/>
        <v>2.28</v>
      </c>
      <c r="Q84" s="184"/>
      <c r="S84" s="543"/>
      <c r="T84" s="543"/>
    </row>
    <row r="85">
      <c r="B85" s="67" t="s">
        <v>733</v>
      </c>
      <c r="C85" s="67">
        <v>1.0</v>
      </c>
      <c r="D85" s="189">
        <f>3.875+3.825+2</f>
        <v>9.7</v>
      </c>
      <c r="E85" s="67">
        <v>0.14</v>
      </c>
      <c r="F85" s="67">
        <v>0.5</v>
      </c>
      <c r="G85" s="67">
        <v>0.55</v>
      </c>
      <c r="H85" s="182">
        <f t="shared" si="17"/>
        <v>2.8809</v>
      </c>
      <c r="I85" s="182">
        <f t="shared" si="18"/>
        <v>1.358</v>
      </c>
      <c r="J85" s="182">
        <f t="shared" si="19"/>
        <v>9.7</v>
      </c>
      <c r="K85" s="243">
        <f t="shared" si="20"/>
        <v>11.058</v>
      </c>
      <c r="Q85" s="184"/>
      <c r="S85" s="543"/>
      <c r="T85" s="543"/>
    </row>
    <row r="86">
      <c r="B86" s="67" t="s">
        <v>734</v>
      </c>
      <c r="C86" s="67">
        <v>1.0</v>
      </c>
      <c r="D86" s="182">
        <f>3.8*6</f>
        <v>22.8</v>
      </c>
      <c r="E86" s="67">
        <v>0.14</v>
      </c>
      <c r="F86" s="67">
        <v>0.5</v>
      </c>
      <c r="G86" s="67">
        <v>0.55</v>
      </c>
      <c r="H86" s="182">
        <f t="shared" si="17"/>
        <v>6.7716</v>
      </c>
      <c r="I86" s="182">
        <f t="shared" si="18"/>
        <v>3.192</v>
      </c>
      <c r="J86" s="182">
        <f t="shared" si="19"/>
        <v>22.8</v>
      </c>
      <c r="K86" s="243">
        <f t="shared" si="20"/>
        <v>25.992</v>
      </c>
      <c r="Q86" s="184"/>
      <c r="S86" s="543"/>
      <c r="T86" s="543"/>
    </row>
    <row r="87">
      <c r="B87" s="67" t="s">
        <v>735</v>
      </c>
      <c r="C87" s="67">
        <v>1.0</v>
      </c>
      <c r="D87" s="182">
        <f>3.825*2+2</f>
        <v>9.65</v>
      </c>
      <c r="E87" s="67">
        <v>0.14</v>
      </c>
      <c r="F87" s="67">
        <v>0.5</v>
      </c>
      <c r="G87" s="67">
        <v>0.55</v>
      </c>
      <c r="H87" s="182">
        <f t="shared" si="17"/>
        <v>2.86605</v>
      </c>
      <c r="I87" s="182">
        <f t="shared" si="18"/>
        <v>1.351</v>
      </c>
      <c r="J87" s="182">
        <f t="shared" si="19"/>
        <v>9.65</v>
      </c>
      <c r="K87" s="243">
        <f t="shared" si="20"/>
        <v>11.001</v>
      </c>
      <c r="Q87" s="184"/>
      <c r="S87" s="543"/>
      <c r="T87" s="543"/>
    </row>
    <row r="88">
      <c r="B88" s="67" t="s">
        <v>736</v>
      </c>
      <c r="C88" s="67">
        <v>1.0</v>
      </c>
      <c r="D88" s="189">
        <f>3.875+3.825+2</f>
        <v>9.7</v>
      </c>
      <c r="E88" s="67">
        <v>0.14</v>
      </c>
      <c r="F88" s="67">
        <v>0.5</v>
      </c>
      <c r="G88" s="67">
        <v>0.55</v>
      </c>
      <c r="H88" s="182">
        <f t="shared" si="17"/>
        <v>2.8809</v>
      </c>
      <c r="I88" s="182">
        <f t="shared" si="18"/>
        <v>1.358</v>
      </c>
      <c r="J88" s="182">
        <f t="shared" si="19"/>
        <v>9.7</v>
      </c>
      <c r="K88" s="243">
        <f t="shared" si="20"/>
        <v>11.058</v>
      </c>
      <c r="Q88" s="184"/>
      <c r="S88" s="543"/>
      <c r="T88" s="543"/>
    </row>
    <row r="89">
      <c r="B89" s="67" t="s">
        <v>737</v>
      </c>
      <c r="C89" s="67">
        <v>1.0</v>
      </c>
      <c r="D89" s="182">
        <f>3.825*2+2</f>
        <v>9.65</v>
      </c>
      <c r="E89" s="67">
        <v>0.14</v>
      </c>
      <c r="F89" s="67">
        <v>0.5</v>
      </c>
      <c r="G89" s="67">
        <v>0.55</v>
      </c>
      <c r="H89" s="182">
        <f t="shared" si="17"/>
        <v>2.86605</v>
      </c>
      <c r="I89" s="182">
        <f t="shared" si="18"/>
        <v>1.351</v>
      </c>
      <c r="J89" s="182">
        <f t="shared" si="19"/>
        <v>9.65</v>
      </c>
      <c r="K89" s="243">
        <f t="shared" si="20"/>
        <v>11.001</v>
      </c>
      <c r="Q89" s="184"/>
      <c r="S89" s="543"/>
      <c r="T89" s="543"/>
    </row>
    <row r="90">
      <c r="B90" s="67" t="s">
        <v>738</v>
      </c>
      <c r="C90" s="67">
        <v>1.0</v>
      </c>
      <c r="D90" s="189">
        <f>3.875+3.825+2</f>
        <v>9.7</v>
      </c>
      <c r="E90" s="67">
        <v>0.14</v>
      </c>
      <c r="F90" s="67">
        <v>0.5</v>
      </c>
      <c r="G90" s="67">
        <v>0.55</v>
      </c>
      <c r="H90" s="182">
        <f t="shared" si="17"/>
        <v>2.8809</v>
      </c>
      <c r="I90" s="182">
        <f t="shared" si="18"/>
        <v>1.358</v>
      </c>
      <c r="J90" s="182">
        <f t="shared" si="19"/>
        <v>9.7</v>
      </c>
      <c r="K90" s="243">
        <f t="shared" si="20"/>
        <v>11.058</v>
      </c>
      <c r="Q90" s="184"/>
      <c r="S90" s="543"/>
      <c r="T90" s="543"/>
    </row>
    <row r="91">
      <c r="B91" s="67" t="s">
        <v>739</v>
      </c>
      <c r="C91" s="67">
        <v>1.0</v>
      </c>
      <c r="D91" s="182">
        <f>3.8*6</f>
        <v>22.8</v>
      </c>
      <c r="E91" s="67">
        <v>0.14</v>
      </c>
      <c r="F91" s="67">
        <v>0.5</v>
      </c>
      <c r="G91" s="67">
        <v>0.55</v>
      </c>
      <c r="H91" s="182">
        <f t="shared" si="17"/>
        <v>6.7716</v>
      </c>
      <c r="I91" s="182">
        <f t="shared" si="18"/>
        <v>3.192</v>
      </c>
      <c r="J91" s="182">
        <f t="shared" si="19"/>
        <v>22.8</v>
      </c>
      <c r="K91" s="243">
        <f t="shared" si="20"/>
        <v>25.992</v>
      </c>
      <c r="Q91" s="184"/>
      <c r="S91" s="543"/>
      <c r="T91" s="543"/>
    </row>
    <row r="92">
      <c r="A92" s="2"/>
      <c r="B92" s="67" t="s">
        <v>740</v>
      </c>
      <c r="C92" s="67">
        <v>1.0</v>
      </c>
      <c r="D92" s="189">
        <v>2.0</v>
      </c>
      <c r="E92" s="67">
        <v>0.14</v>
      </c>
      <c r="F92" s="67">
        <v>0.5</v>
      </c>
      <c r="G92" s="67">
        <v>0.55</v>
      </c>
      <c r="H92" s="182">
        <f t="shared" si="17"/>
        <v>0.594</v>
      </c>
      <c r="I92" s="182">
        <f t="shared" si="18"/>
        <v>0.28</v>
      </c>
      <c r="J92" s="182">
        <f t="shared" si="19"/>
        <v>2</v>
      </c>
      <c r="K92" s="243">
        <f t="shared" si="20"/>
        <v>2.28</v>
      </c>
      <c r="Q92" s="184"/>
      <c r="S92" s="543"/>
      <c r="T92" s="543"/>
    </row>
    <row r="93">
      <c r="B93" s="67" t="s">
        <v>741</v>
      </c>
      <c r="C93" s="67">
        <v>1.0</v>
      </c>
      <c r="D93" s="189">
        <f>5.48+2.27+2</f>
        <v>9.75</v>
      </c>
      <c r="E93" s="67">
        <v>0.14</v>
      </c>
      <c r="F93" s="67">
        <v>0.5</v>
      </c>
      <c r="G93" s="67">
        <v>0.55</v>
      </c>
      <c r="H93" s="182">
        <f t="shared" si="17"/>
        <v>2.89575</v>
      </c>
      <c r="I93" s="182">
        <f t="shared" si="18"/>
        <v>1.365</v>
      </c>
      <c r="J93" s="182">
        <f t="shared" si="19"/>
        <v>9.75</v>
      </c>
      <c r="K93" s="243">
        <f t="shared" si="20"/>
        <v>11.115</v>
      </c>
      <c r="Q93" s="184"/>
      <c r="S93" s="543"/>
      <c r="T93" s="543"/>
    </row>
    <row r="94">
      <c r="B94" s="67" t="s">
        <v>1701</v>
      </c>
      <c r="C94" s="67">
        <v>1.0</v>
      </c>
      <c r="D94" s="182">
        <f>2+2.27+5.43</f>
        <v>9.7</v>
      </c>
      <c r="E94" s="67">
        <v>0.14</v>
      </c>
      <c r="F94" s="67">
        <v>0.5</v>
      </c>
      <c r="G94" s="67">
        <v>0.55</v>
      </c>
      <c r="H94" s="182">
        <f t="shared" si="17"/>
        <v>2.8809</v>
      </c>
      <c r="I94" s="182">
        <f t="shared" si="18"/>
        <v>1.358</v>
      </c>
      <c r="J94" s="182">
        <f t="shared" si="19"/>
        <v>9.7</v>
      </c>
      <c r="K94" s="243">
        <f t="shared" si="20"/>
        <v>11.058</v>
      </c>
      <c r="Q94" s="184"/>
      <c r="S94" s="543"/>
      <c r="T94" s="543"/>
    </row>
    <row r="95">
      <c r="B95" s="67" t="s">
        <v>1702</v>
      </c>
      <c r="C95" s="67">
        <v>1.0</v>
      </c>
      <c r="D95" s="189">
        <v>2.32</v>
      </c>
      <c r="E95" s="67">
        <v>0.14</v>
      </c>
      <c r="F95" s="67">
        <v>0.5</v>
      </c>
      <c r="G95" s="67">
        <v>0.55</v>
      </c>
      <c r="H95" s="182">
        <f t="shared" si="17"/>
        <v>0.68904</v>
      </c>
      <c r="I95" s="182">
        <f t="shared" si="18"/>
        <v>0.3248</v>
      </c>
      <c r="J95" s="182">
        <f t="shared" si="19"/>
        <v>2.32</v>
      </c>
      <c r="K95" s="243">
        <f t="shared" si="20"/>
        <v>2.6448</v>
      </c>
      <c r="Q95" s="184"/>
      <c r="S95" s="543"/>
      <c r="T95" s="543"/>
    </row>
    <row r="96">
      <c r="B96" s="67" t="s">
        <v>1703</v>
      </c>
      <c r="C96" s="67">
        <v>1.0</v>
      </c>
      <c r="D96" s="189">
        <v>2.32</v>
      </c>
      <c r="E96" s="67">
        <v>0.14</v>
      </c>
      <c r="F96" s="67">
        <v>0.5</v>
      </c>
      <c r="G96" s="67">
        <v>0.55</v>
      </c>
      <c r="H96" s="182">
        <f t="shared" si="17"/>
        <v>0.68904</v>
      </c>
      <c r="I96" s="182">
        <f t="shared" si="18"/>
        <v>0.3248</v>
      </c>
      <c r="J96" s="182">
        <f t="shared" si="19"/>
        <v>2.32</v>
      </c>
      <c r="K96" s="243">
        <f t="shared" si="20"/>
        <v>2.6448</v>
      </c>
      <c r="Q96" s="184"/>
      <c r="S96" s="543"/>
      <c r="T96" s="543"/>
    </row>
    <row r="97">
      <c r="B97" s="67" t="s">
        <v>1704</v>
      </c>
      <c r="C97" s="67">
        <v>1.0</v>
      </c>
      <c r="D97" s="189">
        <v>5.43</v>
      </c>
      <c r="E97" s="67">
        <v>0.14</v>
      </c>
      <c r="F97" s="67">
        <v>0.5</v>
      </c>
      <c r="G97" s="67">
        <v>0.55</v>
      </c>
      <c r="H97" s="182">
        <f t="shared" si="17"/>
        <v>1.61271</v>
      </c>
      <c r="I97" s="182">
        <f t="shared" si="18"/>
        <v>0.7602</v>
      </c>
      <c r="J97" s="182">
        <f t="shared" si="19"/>
        <v>5.43</v>
      </c>
      <c r="K97" s="243">
        <f t="shared" si="20"/>
        <v>6.1902</v>
      </c>
      <c r="Q97" s="184"/>
      <c r="S97" s="543"/>
      <c r="T97" s="543"/>
    </row>
    <row r="98">
      <c r="B98" s="67" t="s">
        <v>1705</v>
      </c>
      <c r="C98" s="67">
        <v>1.0</v>
      </c>
      <c r="D98" s="182">
        <f>3.8*6</f>
        <v>22.8</v>
      </c>
      <c r="E98" s="67">
        <v>0.14</v>
      </c>
      <c r="F98" s="67">
        <v>0.5</v>
      </c>
      <c r="G98" s="67">
        <v>0.55</v>
      </c>
      <c r="H98" s="182">
        <f t="shared" si="17"/>
        <v>6.7716</v>
      </c>
      <c r="I98" s="182">
        <f t="shared" si="18"/>
        <v>3.192</v>
      </c>
      <c r="J98" s="182">
        <f t="shared" si="19"/>
        <v>22.8</v>
      </c>
      <c r="K98" s="243">
        <f t="shared" si="20"/>
        <v>25.992</v>
      </c>
      <c r="Q98" s="184"/>
      <c r="S98" s="543"/>
      <c r="T98" s="543"/>
    </row>
    <row r="99">
      <c r="B99" s="67" t="s">
        <v>1706</v>
      </c>
      <c r="C99" s="67">
        <v>1.0</v>
      </c>
      <c r="D99" s="189">
        <v>5.38</v>
      </c>
      <c r="E99" s="67">
        <v>0.14</v>
      </c>
      <c r="F99" s="67">
        <v>0.5</v>
      </c>
      <c r="G99" s="67">
        <v>0.55</v>
      </c>
      <c r="H99" s="182">
        <f t="shared" si="17"/>
        <v>1.59786</v>
      </c>
      <c r="I99" s="182">
        <f t="shared" si="18"/>
        <v>0.7532</v>
      </c>
      <c r="J99" s="182">
        <f t="shared" si="19"/>
        <v>5.38</v>
      </c>
      <c r="K99" s="243">
        <f t="shared" si="20"/>
        <v>6.1332</v>
      </c>
      <c r="Q99" s="184"/>
      <c r="S99" s="543"/>
      <c r="T99" s="543"/>
    </row>
    <row r="100">
      <c r="B100" s="67" t="s">
        <v>1707</v>
      </c>
      <c r="C100" s="67">
        <v>1.0</v>
      </c>
      <c r="D100" s="182">
        <f>2.32+2</f>
        <v>4.32</v>
      </c>
      <c r="E100" s="67">
        <v>0.14</v>
      </c>
      <c r="F100" s="67">
        <v>0.5</v>
      </c>
      <c r="G100" s="67">
        <v>0.55</v>
      </c>
      <c r="H100" s="182">
        <f t="shared" si="17"/>
        <v>1.28304</v>
      </c>
      <c r="I100" s="182">
        <f t="shared" si="18"/>
        <v>0.6048</v>
      </c>
      <c r="J100" s="182">
        <f t="shared" si="19"/>
        <v>4.32</v>
      </c>
      <c r="K100" s="243">
        <f t="shared" si="20"/>
        <v>4.9248</v>
      </c>
      <c r="Q100" s="184"/>
      <c r="S100" s="543"/>
      <c r="T100" s="543"/>
    </row>
    <row r="101">
      <c r="B101" s="67" t="s">
        <v>1708</v>
      </c>
      <c r="C101" s="67">
        <v>1.0</v>
      </c>
      <c r="D101" s="182">
        <f>3.8*6</f>
        <v>22.8</v>
      </c>
      <c r="E101" s="67">
        <v>0.14</v>
      </c>
      <c r="F101" s="67">
        <v>0.5</v>
      </c>
      <c r="G101" s="67">
        <v>0.55</v>
      </c>
      <c r="H101" s="182">
        <f t="shared" si="17"/>
        <v>6.7716</v>
      </c>
      <c r="I101" s="182">
        <f t="shared" si="18"/>
        <v>3.192</v>
      </c>
      <c r="J101" s="182">
        <f t="shared" si="19"/>
        <v>22.8</v>
      </c>
      <c r="K101" s="243">
        <f t="shared" si="20"/>
        <v>25.992</v>
      </c>
      <c r="Q101" s="184"/>
      <c r="S101" s="543"/>
      <c r="T101" s="543"/>
    </row>
    <row r="102">
      <c r="B102" s="67" t="s">
        <v>1709</v>
      </c>
      <c r="C102" s="67">
        <v>1.0</v>
      </c>
      <c r="D102" s="182">
        <f>2+2.32</f>
        <v>4.32</v>
      </c>
      <c r="E102" s="67">
        <v>0.14</v>
      </c>
      <c r="F102" s="67">
        <v>0.5</v>
      </c>
      <c r="G102" s="67">
        <v>0.55</v>
      </c>
      <c r="H102" s="182">
        <f t="shared" si="17"/>
        <v>1.28304</v>
      </c>
      <c r="I102" s="182">
        <f t="shared" si="18"/>
        <v>0.6048</v>
      </c>
      <c r="J102" s="182">
        <f t="shared" si="19"/>
        <v>4.32</v>
      </c>
      <c r="K102" s="243">
        <f t="shared" si="20"/>
        <v>4.9248</v>
      </c>
      <c r="Q102" s="184"/>
      <c r="S102" s="543"/>
      <c r="T102" s="543"/>
    </row>
    <row r="103">
      <c r="B103" s="67" t="s">
        <v>1710</v>
      </c>
      <c r="C103" s="67">
        <v>1.0</v>
      </c>
      <c r="D103" s="182">
        <f>5.48+2.27+2</f>
        <v>9.75</v>
      </c>
      <c r="E103" s="67">
        <v>0.14</v>
      </c>
      <c r="F103" s="67">
        <v>0.5</v>
      </c>
      <c r="G103" s="67">
        <v>0.55</v>
      </c>
      <c r="H103" s="182">
        <f t="shared" si="17"/>
        <v>2.89575</v>
      </c>
      <c r="I103" s="182">
        <f t="shared" si="18"/>
        <v>1.365</v>
      </c>
      <c r="J103" s="182">
        <f t="shared" si="19"/>
        <v>9.75</v>
      </c>
      <c r="K103" s="243">
        <f t="shared" si="20"/>
        <v>11.115</v>
      </c>
      <c r="Q103" s="184"/>
      <c r="S103" s="543"/>
      <c r="T103" s="543"/>
    </row>
    <row r="104">
      <c r="B104" s="67" t="s">
        <v>1711</v>
      </c>
      <c r="C104" s="67">
        <v>1.0</v>
      </c>
      <c r="D104" s="182">
        <f>2+2.27+5.43</f>
        <v>9.7</v>
      </c>
      <c r="E104" s="67">
        <v>0.14</v>
      </c>
      <c r="F104" s="67">
        <v>0.5</v>
      </c>
      <c r="G104" s="67">
        <v>0.55</v>
      </c>
      <c r="H104" s="182">
        <f t="shared" si="17"/>
        <v>2.8809</v>
      </c>
      <c r="I104" s="182">
        <f t="shared" si="18"/>
        <v>1.358</v>
      </c>
      <c r="J104" s="182">
        <f t="shared" si="19"/>
        <v>9.7</v>
      </c>
      <c r="K104" s="243">
        <f t="shared" si="20"/>
        <v>11.058</v>
      </c>
      <c r="Q104" s="184"/>
      <c r="S104" s="543"/>
      <c r="T104" s="543"/>
    </row>
    <row r="105">
      <c r="B105" s="67" t="s">
        <v>1712</v>
      </c>
      <c r="C105" s="67">
        <v>1.0</v>
      </c>
      <c r="D105" s="182">
        <f>3.845+3.88+3.87+3.875*4+3.88+3.73</f>
        <v>34.705</v>
      </c>
      <c r="E105" s="67">
        <v>0.14</v>
      </c>
      <c r="F105" s="67">
        <v>0.5</v>
      </c>
      <c r="G105" s="67">
        <v>0.55</v>
      </c>
      <c r="H105" s="182">
        <f t="shared" si="17"/>
        <v>10.307385</v>
      </c>
      <c r="I105" s="182">
        <f t="shared" si="18"/>
        <v>4.8587</v>
      </c>
      <c r="J105" s="182">
        <f t="shared" si="19"/>
        <v>34.705</v>
      </c>
      <c r="K105" s="243">
        <f t="shared" si="20"/>
        <v>39.5637</v>
      </c>
      <c r="Q105" s="184"/>
      <c r="S105" s="543"/>
      <c r="T105" s="543"/>
    </row>
    <row r="106">
      <c r="B106" s="67" t="s">
        <v>1713</v>
      </c>
      <c r="C106" s="67">
        <v>1.0</v>
      </c>
      <c r="D106" s="189">
        <f>3.875+3.825</f>
        <v>7.7</v>
      </c>
      <c r="E106" s="67">
        <v>0.14</v>
      </c>
      <c r="F106" s="67">
        <v>0.5</v>
      </c>
      <c r="G106" s="67">
        <v>0.55</v>
      </c>
      <c r="H106" s="182">
        <f t="shared" si="17"/>
        <v>2.2869</v>
      </c>
      <c r="I106" s="182">
        <f t="shared" si="18"/>
        <v>1.078</v>
      </c>
      <c r="J106" s="182">
        <f t="shared" si="19"/>
        <v>7.7</v>
      </c>
      <c r="K106" s="243">
        <f t="shared" si="20"/>
        <v>8.778</v>
      </c>
      <c r="Q106" s="184"/>
      <c r="S106" s="543"/>
      <c r="T106" s="543"/>
    </row>
    <row r="107">
      <c r="B107" s="67" t="s">
        <v>1714</v>
      </c>
      <c r="C107" s="67">
        <v>1.0</v>
      </c>
      <c r="D107" s="189">
        <v>3.925</v>
      </c>
      <c r="E107" s="67">
        <v>0.14</v>
      </c>
      <c r="F107" s="67">
        <v>0.5</v>
      </c>
      <c r="G107" s="67">
        <v>0.55</v>
      </c>
      <c r="H107" s="182">
        <f t="shared" si="17"/>
        <v>1.165725</v>
      </c>
      <c r="I107" s="182">
        <f t="shared" si="18"/>
        <v>0.5495</v>
      </c>
      <c r="J107" s="182">
        <f t="shared" si="19"/>
        <v>3.925</v>
      </c>
      <c r="K107" s="243">
        <f t="shared" si="20"/>
        <v>4.4745</v>
      </c>
      <c r="Q107" s="184"/>
      <c r="S107" s="543"/>
      <c r="T107" s="543"/>
    </row>
    <row r="108">
      <c r="B108" s="67" t="s">
        <v>1715</v>
      </c>
      <c r="C108" s="67">
        <v>1.0</v>
      </c>
      <c r="D108" s="189">
        <v>1.75</v>
      </c>
      <c r="E108" s="67">
        <v>0.14</v>
      </c>
      <c r="F108" s="67">
        <v>0.5</v>
      </c>
      <c r="G108" s="67">
        <v>0.55</v>
      </c>
      <c r="H108" s="182">
        <f t="shared" si="17"/>
        <v>0.51975</v>
      </c>
      <c r="I108" s="182">
        <f t="shared" si="18"/>
        <v>0.245</v>
      </c>
      <c r="J108" s="182">
        <f t="shared" si="19"/>
        <v>1.75</v>
      </c>
      <c r="K108" s="243">
        <f t="shared" si="20"/>
        <v>1.995</v>
      </c>
      <c r="Q108" s="184"/>
      <c r="S108" s="543"/>
      <c r="T108" s="543"/>
    </row>
    <row r="109">
      <c r="B109" s="67" t="s">
        <v>1716</v>
      </c>
      <c r="C109" s="67">
        <v>1.0</v>
      </c>
      <c r="D109" s="182">
        <f>1.75+3.9+3.875*5+3.65</f>
        <v>28.675</v>
      </c>
      <c r="E109" s="67">
        <v>0.14</v>
      </c>
      <c r="F109" s="67">
        <v>0.5</v>
      </c>
      <c r="G109" s="67">
        <v>0.55</v>
      </c>
      <c r="H109" s="182">
        <f t="shared" si="17"/>
        <v>8.516475</v>
      </c>
      <c r="I109" s="182">
        <f t="shared" si="18"/>
        <v>4.0145</v>
      </c>
      <c r="J109" s="182">
        <f t="shared" si="19"/>
        <v>28.675</v>
      </c>
      <c r="K109" s="243">
        <f t="shared" si="20"/>
        <v>32.6895</v>
      </c>
      <c r="Q109" s="184"/>
      <c r="S109" s="543"/>
      <c r="T109" s="543"/>
    </row>
    <row r="110">
      <c r="B110" s="67" t="s">
        <v>1717</v>
      </c>
      <c r="C110" s="67">
        <v>1.0</v>
      </c>
      <c r="D110" s="189">
        <f>1.67+1.9+3.775*2+3.825*2+1.895</f>
        <v>20.665</v>
      </c>
      <c r="E110" s="67">
        <v>0.14</v>
      </c>
      <c r="F110" s="67">
        <v>0.5</v>
      </c>
      <c r="G110" s="67">
        <v>0.55</v>
      </c>
      <c r="H110" s="182">
        <f t="shared" si="17"/>
        <v>6.137505</v>
      </c>
      <c r="I110" s="182">
        <f t="shared" si="18"/>
        <v>2.8931</v>
      </c>
      <c r="J110" s="182">
        <f t="shared" si="19"/>
        <v>20.665</v>
      </c>
      <c r="K110" s="243">
        <f t="shared" si="20"/>
        <v>23.5581</v>
      </c>
      <c r="Q110" s="184"/>
      <c r="S110" s="543"/>
      <c r="T110" s="543"/>
    </row>
    <row r="111">
      <c r="B111" s="67" t="s">
        <v>1718</v>
      </c>
      <c r="C111" s="67">
        <v>1.0</v>
      </c>
      <c r="D111" s="182">
        <f>6.605+6.83</f>
        <v>13.435</v>
      </c>
      <c r="E111" s="67">
        <v>0.14</v>
      </c>
      <c r="F111" s="67">
        <v>0.5</v>
      </c>
      <c r="G111" s="67">
        <v>0.55</v>
      </c>
      <c r="H111" s="182">
        <f t="shared" si="17"/>
        <v>3.990195</v>
      </c>
      <c r="I111" s="182">
        <f t="shared" si="18"/>
        <v>1.8809</v>
      </c>
      <c r="J111" s="182">
        <f t="shared" si="19"/>
        <v>13.435</v>
      </c>
      <c r="K111" s="243">
        <f t="shared" si="20"/>
        <v>15.3159</v>
      </c>
      <c r="Q111" s="184"/>
      <c r="S111" s="543"/>
      <c r="T111" s="543"/>
    </row>
    <row r="112">
      <c r="B112" s="67" t="s">
        <v>1719</v>
      </c>
      <c r="C112" s="67">
        <v>1.0</v>
      </c>
      <c r="D112" s="189">
        <f>1.67+1.9+3.775*2+3.825*2+1.895</f>
        <v>20.665</v>
      </c>
      <c r="E112" s="67">
        <v>0.14</v>
      </c>
      <c r="F112" s="67">
        <v>0.5</v>
      </c>
      <c r="G112" s="67">
        <v>0.55</v>
      </c>
      <c r="H112" s="182">
        <f t="shared" si="17"/>
        <v>6.137505</v>
      </c>
      <c r="I112" s="182">
        <f t="shared" si="18"/>
        <v>2.8931</v>
      </c>
      <c r="J112" s="182">
        <f t="shared" si="19"/>
        <v>20.665</v>
      </c>
      <c r="K112" s="243">
        <f t="shared" si="20"/>
        <v>23.5581</v>
      </c>
      <c r="Q112" s="184"/>
      <c r="S112" s="543"/>
      <c r="T112" s="543"/>
    </row>
    <row r="113">
      <c r="B113" s="67" t="s">
        <v>1720</v>
      </c>
      <c r="C113" s="67">
        <v>1.0</v>
      </c>
      <c r="D113" s="182">
        <f>6.605+6.83</f>
        <v>13.435</v>
      </c>
      <c r="E113" s="67">
        <v>0.14</v>
      </c>
      <c r="F113" s="67">
        <v>0.5</v>
      </c>
      <c r="G113" s="67">
        <v>0.55</v>
      </c>
      <c r="H113" s="182">
        <f t="shared" si="17"/>
        <v>3.990195</v>
      </c>
      <c r="I113" s="182">
        <f t="shared" si="18"/>
        <v>1.8809</v>
      </c>
      <c r="J113" s="182">
        <f t="shared" si="19"/>
        <v>13.435</v>
      </c>
      <c r="K113" s="243">
        <f t="shared" si="20"/>
        <v>15.3159</v>
      </c>
      <c r="Q113" s="184"/>
      <c r="S113" s="543"/>
      <c r="T113" s="543"/>
    </row>
    <row r="114">
      <c r="B114" s="67" t="s">
        <v>1721</v>
      </c>
      <c r="C114" s="67">
        <v>1.0</v>
      </c>
      <c r="D114" s="189">
        <v>1.75</v>
      </c>
      <c r="E114" s="67">
        <v>0.14</v>
      </c>
      <c r="F114" s="67">
        <v>0.5</v>
      </c>
      <c r="G114" s="67">
        <v>0.55</v>
      </c>
      <c r="H114" s="182">
        <f t="shared" si="17"/>
        <v>0.51975</v>
      </c>
      <c r="I114" s="182">
        <f t="shared" si="18"/>
        <v>0.245</v>
      </c>
      <c r="J114" s="182">
        <f t="shared" si="19"/>
        <v>1.75</v>
      </c>
      <c r="K114" s="243">
        <f t="shared" si="20"/>
        <v>1.995</v>
      </c>
      <c r="Q114" s="184"/>
      <c r="S114" s="543"/>
      <c r="T114" s="543"/>
    </row>
    <row r="115">
      <c r="B115" s="67" t="s">
        <v>1722</v>
      </c>
      <c r="C115" s="67">
        <v>1.0</v>
      </c>
      <c r="D115" s="182">
        <f>1.75+3.9+3.875*5+3.65</f>
        <v>28.675</v>
      </c>
      <c r="E115" s="67">
        <v>0.14</v>
      </c>
      <c r="F115" s="67">
        <v>0.5</v>
      </c>
      <c r="G115" s="67">
        <v>0.55</v>
      </c>
      <c r="H115" s="182">
        <f t="shared" si="17"/>
        <v>8.516475</v>
      </c>
      <c r="I115" s="182">
        <f t="shared" si="18"/>
        <v>4.0145</v>
      </c>
      <c r="J115" s="182">
        <f t="shared" si="19"/>
        <v>28.675</v>
      </c>
      <c r="K115" s="243">
        <f t="shared" si="20"/>
        <v>32.6895</v>
      </c>
      <c r="Q115" s="184"/>
      <c r="S115" s="543"/>
      <c r="T115" s="543"/>
    </row>
    <row r="116">
      <c r="B116" s="67" t="s">
        <v>1723</v>
      </c>
      <c r="C116" s="67">
        <v>1.0</v>
      </c>
      <c r="D116" s="189">
        <f>3.875+3.825</f>
        <v>7.7</v>
      </c>
      <c r="E116" s="67">
        <v>0.14</v>
      </c>
      <c r="F116" s="67">
        <v>0.5</v>
      </c>
      <c r="G116" s="67">
        <v>0.55</v>
      </c>
      <c r="H116" s="182">
        <f t="shared" si="17"/>
        <v>2.2869</v>
      </c>
      <c r="I116" s="182">
        <f t="shared" si="18"/>
        <v>1.078</v>
      </c>
      <c r="J116" s="182">
        <f t="shared" si="19"/>
        <v>7.7</v>
      </c>
      <c r="K116" s="243">
        <f t="shared" si="20"/>
        <v>8.778</v>
      </c>
      <c r="Q116" s="184"/>
      <c r="S116" s="543"/>
      <c r="T116" s="543"/>
    </row>
    <row r="117">
      <c r="B117" s="67" t="s">
        <v>1724</v>
      </c>
      <c r="C117" s="67">
        <v>1.0</v>
      </c>
      <c r="D117" s="189">
        <v>3.935</v>
      </c>
      <c r="E117" s="67">
        <v>0.14</v>
      </c>
      <c r="F117" s="67">
        <v>0.5</v>
      </c>
      <c r="G117" s="67">
        <v>0.55</v>
      </c>
      <c r="H117" s="182">
        <f t="shared" si="17"/>
        <v>1.168695</v>
      </c>
      <c r="I117" s="182">
        <f t="shared" si="18"/>
        <v>0.5509</v>
      </c>
      <c r="J117" s="182">
        <f t="shared" si="19"/>
        <v>3.935</v>
      </c>
      <c r="K117" s="243">
        <f t="shared" si="20"/>
        <v>4.4859</v>
      </c>
      <c r="Q117" s="184"/>
      <c r="S117" s="543"/>
      <c r="T117" s="543"/>
    </row>
    <row r="118">
      <c r="B118" s="67" t="s">
        <v>1725</v>
      </c>
      <c r="C118" s="67">
        <v>1.0</v>
      </c>
      <c r="D118" s="182">
        <f>3.855+3.875+3.85+3.85+3.875+3.845+3.845+3.855+3.705</f>
        <v>34.555</v>
      </c>
      <c r="E118" s="67">
        <v>0.14</v>
      </c>
      <c r="F118" s="67">
        <v>0.5</v>
      </c>
      <c r="G118" s="67">
        <v>0.55</v>
      </c>
      <c r="H118" s="182">
        <f t="shared" si="17"/>
        <v>10.262835</v>
      </c>
      <c r="I118" s="182">
        <f t="shared" si="18"/>
        <v>4.8377</v>
      </c>
      <c r="J118" s="182">
        <f t="shared" si="19"/>
        <v>34.555</v>
      </c>
      <c r="K118" s="243">
        <f t="shared" si="20"/>
        <v>39.3927</v>
      </c>
      <c r="Q118" s="184"/>
      <c r="S118" s="543"/>
      <c r="T118" s="543"/>
    </row>
    <row r="119">
      <c r="B119" s="67" t="s">
        <v>723</v>
      </c>
      <c r="C119" s="67">
        <v>1.0</v>
      </c>
      <c r="D119" s="182">
        <f>3.8+3.55+2</f>
        <v>9.35</v>
      </c>
      <c r="E119" s="67">
        <v>0.14</v>
      </c>
      <c r="F119" s="67">
        <v>0.5</v>
      </c>
      <c r="G119" s="67">
        <v>0.55</v>
      </c>
      <c r="H119" s="182">
        <f t="shared" si="17"/>
        <v>2.77695</v>
      </c>
      <c r="I119" s="182">
        <f t="shared" si="18"/>
        <v>1.309</v>
      </c>
      <c r="J119" s="182">
        <f t="shared" si="19"/>
        <v>9.35</v>
      </c>
      <c r="K119" s="243">
        <f t="shared" si="20"/>
        <v>10.659</v>
      </c>
      <c r="Q119" s="184"/>
      <c r="S119" s="543"/>
      <c r="T119" s="543"/>
    </row>
    <row r="120">
      <c r="B120" s="67" t="s">
        <v>724</v>
      </c>
      <c r="C120" s="67">
        <v>1.0</v>
      </c>
      <c r="D120" s="182">
        <f>1.89+3.8+3.75</f>
        <v>9.44</v>
      </c>
      <c r="E120" s="67">
        <v>0.14</v>
      </c>
      <c r="F120" s="67">
        <v>0.5</v>
      </c>
      <c r="G120" s="67">
        <v>0.55</v>
      </c>
      <c r="H120" s="182">
        <f t="shared" si="17"/>
        <v>2.80368</v>
      </c>
      <c r="I120" s="182">
        <f t="shared" si="18"/>
        <v>1.3216</v>
      </c>
      <c r="J120" s="182">
        <f t="shared" si="19"/>
        <v>9.44</v>
      </c>
      <c r="K120" s="243">
        <f t="shared" si="20"/>
        <v>10.7616</v>
      </c>
      <c r="Q120" s="184"/>
      <c r="S120" s="543"/>
      <c r="T120" s="543"/>
    </row>
    <row r="121">
      <c r="B121" s="67" t="s">
        <v>725</v>
      </c>
      <c r="C121" s="67">
        <v>1.0</v>
      </c>
      <c r="D121" s="182">
        <f>3.795*2+3.75*4</f>
        <v>22.59</v>
      </c>
      <c r="E121" s="67">
        <v>0.14</v>
      </c>
      <c r="F121" s="67">
        <v>0.5</v>
      </c>
      <c r="G121" s="67">
        <v>0.55</v>
      </c>
      <c r="H121" s="182">
        <f t="shared" si="17"/>
        <v>6.70923</v>
      </c>
      <c r="I121" s="182">
        <f t="shared" si="18"/>
        <v>3.1626</v>
      </c>
      <c r="J121" s="182">
        <f t="shared" si="19"/>
        <v>22.59</v>
      </c>
      <c r="K121" s="243">
        <f t="shared" si="20"/>
        <v>25.7526</v>
      </c>
      <c r="Q121" s="184"/>
      <c r="S121" s="543"/>
      <c r="T121" s="543"/>
    </row>
    <row r="122">
      <c r="B122" s="67" t="s">
        <v>726</v>
      </c>
      <c r="C122" s="67">
        <v>1.0</v>
      </c>
      <c r="D122" s="189">
        <f>3.9*2</f>
        <v>7.8</v>
      </c>
      <c r="E122" s="67">
        <v>0.14</v>
      </c>
      <c r="F122" s="67">
        <v>0.5</v>
      </c>
      <c r="G122" s="67">
        <v>0.55</v>
      </c>
      <c r="H122" s="182">
        <f t="shared" si="17"/>
        <v>2.3166</v>
      </c>
      <c r="I122" s="182">
        <f t="shared" si="18"/>
        <v>1.092</v>
      </c>
      <c r="J122" s="182">
        <f t="shared" si="19"/>
        <v>7.8</v>
      </c>
      <c r="K122" s="243">
        <f t="shared" si="20"/>
        <v>8.892</v>
      </c>
      <c r="Q122" s="184"/>
      <c r="S122" s="543"/>
      <c r="T122" s="543"/>
    </row>
    <row r="123">
      <c r="B123" s="67" t="s">
        <v>727</v>
      </c>
      <c r="C123" s="67">
        <v>1.0</v>
      </c>
      <c r="D123" s="182">
        <f>3.795*2+3.75*4</f>
        <v>22.59</v>
      </c>
      <c r="E123" s="67">
        <v>0.14</v>
      </c>
      <c r="F123" s="67">
        <v>0.5</v>
      </c>
      <c r="G123" s="67">
        <v>0.55</v>
      </c>
      <c r="H123" s="182">
        <f t="shared" si="17"/>
        <v>6.70923</v>
      </c>
      <c r="I123" s="182">
        <f t="shared" si="18"/>
        <v>3.1626</v>
      </c>
      <c r="J123" s="182">
        <f t="shared" si="19"/>
        <v>22.59</v>
      </c>
      <c r="K123" s="243">
        <f t="shared" si="20"/>
        <v>25.7526</v>
      </c>
      <c r="Q123" s="184"/>
      <c r="S123" s="543"/>
      <c r="T123" s="543"/>
    </row>
    <row r="124">
      <c r="B124" s="67" t="s">
        <v>728</v>
      </c>
      <c r="C124" s="67">
        <v>1.0</v>
      </c>
      <c r="D124" s="182">
        <f t="shared" ref="D124:D126" si="21">3.9*2</f>
        <v>7.8</v>
      </c>
      <c r="E124" s="67">
        <v>0.14</v>
      </c>
      <c r="F124" s="67">
        <v>0.5</v>
      </c>
      <c r="G124" s="67">
        <v>0.55</v>
      </c>
      <c r="H124" s="182">
        <f t="shared" si="17"/>
        <v>2.3166</v>
      </c>
      <c r="I124" s="182">
        <f t="shared" si="18"/>
        <v>1.092</v>
      </c>
      <c r="J124" s="182">
        <f t="shared" si="19"/>
        <v>7.8</v>
      </c>
      <c r="K124" s="243">
        <f t="shared" si="20"/>
        <v>8.892</v>
      </c>
      <c r="Q124" s="184"/>
      <c r="S124" s="543"/>
      <c r="T124" s="543"/>
    </row>
    <row r="125">
      <c r="B125" s="67" t="s">
        <v>729</v>
      </c>
      <c r="C125" s="67">
        <v>1.0</v>
      </c>
      <c r="D125" s="182">
        <f t="shared" si="21"/>
        <v>7.8</v>
      </c>
      <c r="E125" s="67">
        <v>0.14</v>
      </c>
      <c r="F125" s="67">
        <v>0.5</v>
      </c>
      <c r="G125" s="67">
        <v>0.55</v>
      </c>
      <c r="H125" s="182">
        <f t="shared" si="17"/>
        <v>2.3166</v>
      </c>
      <c r="I125" s="182">
        <f t="shared" si="18"/>
        <v>1.092</v>
      </c>
      <c r="J125" s="182">
        <f t="shared" si="19"/>
        <v>7.8</v>
      </c>
      <c r="K125" s="243">
        <f t="shared" si="20"/>
        <v>8.892</v>
      </c>
      <c r="Q125" s="184"/>
      <c r="S125" s="543"/>
      <c r="T125" s="543"/>
    </row>
    <row r="126">
      <c r="B126" s="67" t="s">
        <v>730</v>
      </c>
      <c r="C126" s="67">
        <v>1.0</v>
      </c>
      <c r="D126" s="182">
        <f t="shared" si="21"/>
        <v>7.8</v>
      </c>
      <c r="E126" s="67">
        <v>0.14</v>
      </c>
      <c r="F126" s="67">
        <v>0.5</v>
      </c>
      <c r="G126" s="67">
        <v>0.55</v>
      </c>
      <c r="H126" s="182">
        <f t="shared" si="17"/>
        <v>2.3166</v>
      </c>
      <c r="I126" s="182">
        <f t="shared" si="18"/>
        <v>1.092</v>
      </c>
      <c r="J126" s="182">
        <f t="shared" si="19"/>
        <v>7.8</v>
      </c>
      <c r="K126" s="243">
        <f t="shared" si="20"/>
        <v>8.892</v>
      </c>
      <c r="Q126" s="184"/>
      <c r="S126" s="543"/>
      <c r="T126" s="543"/>
    </row>
    <row r="127">
      <c r="B127" s="67" t="s">
        <v>731</v>
      </c>
      <c r="C127" s="67">
        <v>1.0</v>
      </c>
      <c r="D127" s="182">
        <f>3.795*2+3.75*4</f>
        <v>22.59</v>
      </c>
      <c r="E127" s="67">
        <v>0.14</v>
      </c>
      <c r="F127" s="67">
        <v>0.5</v>
      </c>
      <c r="G127" s="67">
        <v>0.55</v>
      </c>
      <c r="H127" s="182">
        <f t="shared" si="17"/>
        <v>6.70923</v>
      </c>
      <c r="I127" s="182">
        <f t="shared" si="18"/>
        <v>3.1626</v>
      </c>
      <c r="J127" s="182">
        <f t="shared" si="19"/>
        <v>22.59</v>
      </c>
      <c r="K127" s="243">
        <f t="shared" si="20"/>
        <v>25.7526</v>
      </c>
      <c r="Q127" s="184"/>
      <c r="S127" s="543"/>
      <c r="T127" s="543"/>
    </row>
    <row r="128">
      <c r="B128" s="67" t="s">
        <v>732</v>
      </c>
      <c r="C128" s="67">
        <v>1.0</v>
      </c>
      <c r="D128" s="182">
        <f t="shared" ref="D128:D129" si="22">3.9*2</f>
        <v>7.8</v>
      </c>
      <c r="E128" s="67">
        <v>0.14</v>
      </c>
      <c r="F128" s="67">
        <v>0.5</v>
      </c>
      <c r="G128" s="67">
        <v>0.55</v>
      </c>
      <c r="H128" s="182">
        <f t="shared" si="17"/>
        <v>2.3166</v>
      </c>
      <c r="I128" s="182">
        <f t="shared" si="18"/>
        <v>1.092</v>
      </c>
      <c r="J128" s="182">
        <f t="shared" si="19"/>
        <v>7.8</v>
      </c>
      <c r="K128" s="243">
        <f t="shared" si="20"/>
        <v>8.892</v>
      </c>
      <c r="Q128" s="184"/>
      <c r="S128" s="543"/>
      <c r="T128" s="543"/>
    </row>
    <row r="129">
      <c r="B129" s="67" t="s">
        <v>733</v>
      </c>
      <c r="C129" s="67">
        <v>1.0</v>
      </c>
      <c r="D129" s="182">
        <f t="shared" si="22"/>
        <v>7.8</v>
      </c>
      <c r="E129" s="67">
        <v>0.14</v>
      </c>
      <c r="F129" s="67">
        <v>0.5</v>
      </c>
      <c r="G129" s="67">
        <v>0.55</v>
      </c>
      <c r="H129" s="182">
        <f t="shared" si="17"/>
        <v>2.3166</v>
      </c>
      <c r="I129" s="182">
        <f t="shared" si="18"/>
        <v>1.092</v>
      </c>
      <c r="J129" s="182">
        <f t="shared" si="19"/>
        <v>7.8</v>
      </c>
      <c r="K129" s="243">
        <f t="shared" si="20"/>
        <v>8.892</v>
      </c>
      <c r="Q129" s="184"/>
      <c r="S129" s="543"/>
      <c r="T129" s="543"/>
    </row>
    <row r="130">
      <c r="B130" s="67" t="s">
        <v>734</v>
      </c>
      <c r="C130" s="67">
        <v>1.0</v>
      </c>
      <c r="D130" s="182">
        <f>3.94*2</f>
        <v>7.88</v>
      </c>
      <c r="E130" s="67">
        <v>0.14</v>
      </c>
      <c r="F130" s="67">
        <v>0.5</v>
      </c>
      <c r="G130" s="67">
        <v>0.55</v>
      </c>
      <c r="H130" s="182">
        <f t="shared" si="17"/>
        <v>2.34036</v>
      </c>
      <c r="I130" s="182">
        <f t="shared" si="18"/>
        <v>1.1032</v>
      </c>
      <c r="J130" s="182">
        <f t="shared" si="19"/>
        <v>7.88</v>
      </c>
      <c r="K130" s="243">
        <f t="shared" si="20"/>
        <v>8.9832</v>
      </c>
      <c r="Q130" s="184"/>
      <c r="S130" s="543"/>
      <c r="T130" s="543"/>
    </row>
    <row r="131">
      <c r="B131" s="67" t="s">
        <v>735</v>
      </c>
      <c r="C131" s="67">
        <v>1.0</v>
      </c>
      <c r="D131" s="182">
        <f>3.9*2</f>
        <v>7.8</v>
      </c>
      <c r="E131" s="67">
        <v>0.14</v>
      </c>
      <c r="F131" s="67">
        <v>0.5</v>
      </c>
      <c r="G131" s="67">
        <v>0.55</v>
      </c>
      <c r="H131" s="182">
        <f t="shared" si="17"/>
        <v>2.3166</v>
      </c>
      <c r="I131" s="182">
        <f t="shared" si="18"/>
        <v>1.092</v>
      </c>
      <c r="J131" s="182">
        <f t="shared" si="19"/>
        <v>7.8</v>
      </c>
      <c r="K131" s="243">
        <f t="shared" si="20"/>
        <v>8.892</v>
      </c>
      <c r="Q131" s="184"/>
      <c r="S131" s="543"/>
      <c r="T131" s="543"/>
    </row>
    <row r="132">
      <c r="B132" s="67" t="s">
        <v>736</v>
      </c>
      <c r="C132" s="67">
        <v>1.0</v>
      </c>
      <c r="D132" s="182">
        <f>3.795*2+3.75*4</f>
        <v>22.59</v>
      </c>
      <c r="E132" s="67">
        <v>0.14</v>
      </c>
      <c r="F132" s="67">
        <v>0.5</v>
      </c>
      <c r="G132" s="67">
        <v>0.55</v>
      </c>
      <c r="H132" s="182">
        <f t="shared" si="17"/>
        <v>6.70923</v>
      </c>
      <c r="I132" s="182">
        <f t="shared" si="18"/>
        <v>3.1626</v>
      </c>
      <c r="J132" s="182">
        <f t="shared" si="19"/>
        <v>22.59</v>
      </c>
      <c r="K132" s="243">
        <f t="shared" si="20"/>
        <v>25.7526</v>
      </c>
      <c r="Q132" s="184"/>
      <c r="S132" s="543"/>
      <c r="T132" s="543"/>
    </row>
    <row r="133">
      <c r="B133" s="67" t="s">
        <v>737</v>
      </c>
      <c r="C133" s="67">
        <v>1.0</v>
      </c>
      <c r="D133" s="182">
        <f>3.9*2</f>
        <v>7.8</v>
      </c>
      <c r="E133" s="67">
        <v>0.14</v>
      </c>
      <c r="F133" s="67">
        <v>0.5</v>
      </c>
      <c r="G133" s="67">
        <v>0.55</v>
      </c>
      <c r="H133" s="182">
        <f t="shared" si="17"/>
        <v>2.3166</v>
      </c>
      <c r="I133" s="182">
        <f t="shared" si="18"/>
        <v>1.092</v>
      </c>
      <c r="J133" s="182">
        <f t="shared" si="19"/>
        <v>7.8</v>
      </c>
      <c r="K133" s="243">
        <f t="shared" si="20"/>
        <v>8.892</v>
      </c>
      <c r="Q133" s="184"/>
      <c r="S133" s="543"/>
      <c r="T133" s="543"/>
    </row>
    <row r="134">
      <c r="B134" s="67" t="s">
        <v>738</v>
      </c>
      <c r="C134" s="67">
        <v>1.0</v>
      </c>
      <c r="D134" s="182">
        <f>3.795*2+3.75*4</f>
        <v>22.59</v>
      </c>
      <c r="E134" s="67">
        <v>0.14</v>
      </c>
      <c r="F134" s="67">
        <v>0.5</v>
      </c>
      <c r="G134" s="67">
        <v>0.55</v>
      </c>
      <c r="H134" s="182">
        <f t="shared" si="17"/>
        <v>6.70923</v>
      </c>
      <c r="I134" s="182">
        <f t="shared" si="18"/>
        <v>3.1626</v>
      </c>
      <c r="J134" s="182">
        <f t="shared" si="19"/>
        <v>22.59</v>
      </c>
      <c r="K134" s="243">
        <f t="shared" si="20"/>
        <v>25.7526</v>
      </c>
      <c r="Q134" s="184"/>
      <c r="S134" s="543"/>
      <c r="T134" s="543"/>
    </row>
    <row r="135">
      <c r="B135" s="67" t="s">
        <v>739</v>
      </c>
      <c r="C135" s="67">
        <v>1.0</v>
      </c>
      <c r="D135" s="182">
        <f t="shared" ref="D135:D138" si="23">3.9*2</f>
        <v>7.8</v>
      </c>
      <c r="E135" s="67">
        <v>0.14</v>
      </c>
      <c r="F135" s="67">
        <v>0.5</v>
      </c>
      <c r="G135" s="67">
        <v>0.55</v>
      </c>
      <c r="H135" s="182">
        <f t="shared" si="17"/>
        <v>2.3166</v>
      </c>
      <c r="I135" s="182">
        <f t="shared" si="18"/>
        <v>1.092</v>
      </c>
      <c r="J135" s="182">
        <f t="shared" si="19"/>
        <v>7.8</v>
      </c>
      <c r="K135" s="243">
        <f t="shared" si="20"/>
        <v>8.892</v>
      </c>
      <c r="Q135" s="184"/>
      <c r="S135" s="543"/>
      <c r="T135" s="543"/>
    </row>
    <row r="136">
      <c r="B136" s="67" t="s">
        <v>740</v>
      </c>
      <c r="C136" s="67">
        <v>1.0</v>
      </c>
      <c r="D136" s="182">
        <f t="shared" si="23"/>
        <v>7.8</v>
      </c>
      <c r="E136" s="67">
        <v>0.14</v>
      </c>
      <c r="F136" s="67">
        <v>0.5</v>
      </c>
      <c r="G136" s="67">
        <v>0.55</v>
      </c>
      <c r="H136" s="182">
        <f t="shared" si="17"/>
        <v>2.3166</v>
      </c>
      <c r="I136" s="182">
        <f t="shared" si="18"/>
        <v>1.092</v>
      </c>
      <c r="J136" s="182">
        <f t="shared" si="19"/>
        <v>7.8</v>
      </c>
      <c r="K136" s="243">
        <f t="shared" si="20"/>
        <v>8.892</v>
      </c>
      <c r="Q136" s="184"/>
      <c r="S136" s="543"/>
      <c r="T136" s="543"/>
    </row>
    <row r="137">
      <c r="B137" s="67" t="s">
        <v>741</v>
      </c>
      <c r="C137" s="67">
        <v>1.0</v>
      </c>
      <c r="D137" s="182">
        <f t="shared" si="23"/>
        <v>7.8</v>
      </c>
      <c r="E137" s="67">
        <v>0.14</v>
      </c>
      <c r="F137" s="67">
        <v>0.5</v>
      </c>
      <c r="G137" s="67">
        <v>0.55</v>
      </c>
      <c r="H137" s="182">
        <f t="shared" si="17"/>
        <v>2.3166</v>
      </c>
      <c r="I137" s="182">
        <f t="shared" si="18"/>
        <v>1.092</v>
      </c>
      <c r="J137" s="182">
        <f t="shared" si="19"/>
        <v>7.8</v>
      </c>
      <c r="K137" s="243">
        <f t="shared" si="20"/>
        <v>8.892</v>
      </c>
      <c r="Q137" s="184"/>
      <c r="S137" s="543"/>
      <c r="T137" s="543"/>
    </row>
    <row r="138">
      <c r="B138" s="67" t="s">
        <v>1701</v>
      </c>
      <c r="C138" s="67">
        <v>1.0</v>
      </c>
      <c r="D138" s="182">
        <f t="shared" si="23"/>
        <v>7.8</v>
      </c>
      <c r="E138" s="67">
        <v>0.14</v>
      </c>
      <c r="F138" s="67">
        <v>0.5</v>
      </c>
      <c r="G138" s="67">
        <v>0.55</v>
      </c>
      <c r="H138" s="182">
        <f t="shared" si="17"/>
        <v>2.3166</v>
      </c>
      <c r="I138" s="182">
        <f t="shared" si="18"/>
        <v>1.092</v>
      </c>
      <c r="J138" s="182">
        <f t="shared" si="19"/>
        <v>7.8</v>
      </c>
      <c r="K138" s="243">
        <f t="shared" si="20"/>
        <v>8.892</v>
      </c>
      <c r="Q138" s="184"/>
      <c r="S138" s="543"/>
      <c r="T138" s="543"/>
    </row>
    <row r="139">
      <c r="B139" s="67" t="s">
        <v>1702</v>
      </c>
      <c r="C139" s="67">
        <v>1.0</v>
      </c>
      <c r="D139" s="182">
        <f t="shared" ref="D139:D141" si="24">3.68+3.775+3.77+3.78+3.78+3.77+3.775+3.675+3.795</f>
        <v>33.8</v>
      </c>
      <c r="E139" s="67">
        <v>0.14</v>
      </c>
      <c r="F139" s="67">
        <v>0.5</v>
      </c>
      <c r="G139" s="67">
        <v>0.55</v>
      </c>
      <c r="H139" s="182">
        <f t="shared" si="17"/>
        <v>10.0386</v>
      </c>
      <c r="I139" s="182">
        <f t="shared" si="18"/>
        <v>4.732</v>
      </c>
      <c r="J139" s="182">
        <f t="shared" si="19"/>
        <v>33.8</v>
      </c>
      <c r="K139" s="243">
        <f t="shared" si="20"/>
        <v>38.532</v>
      </c>
      <c r="Q139" s="184"/>
      <c r="S139" s="543"/>
      <c r="T139" s="543"/>
    </row>
    <row r="140">
      <c r="B140" s="67" t="s">
        <v>1703</v>
      </c>
      <c r="C140" s="67">
        <v>1.0</v>
      </c>
      <c r="D140" s="182">
        <f t="shared" si="24"/>
        <v>33.8</v>
      </c>
      <c r="E140" s="67">
        <v>0.14</v>
      </c>
      <c r="F140" s="67">
        <v>0.5</v>
      </c>
      <c r="G140" s="67">
        <v>0.55</v>
      </c>
      <c r="H140" s="182">
        <f t="shared" si="17"/>
        <v>10.0386</v>
      </c>
      <c r="I140" s="182">
        <f t="shared" si="18"/>
        <v>4.732</v>
      </c>
      <c r="J140" s="182">
        <f t="shared" si="19"/>
        <v>33.8</v>
      </c>
      <c r="K140" s="243">
        <f t="shared" si="20"/>
        <v>38.532</v>
      </c>
      <c r="Q140" s="184"/>
      <c r="S140" s="543"/>
      <c r="T140" s="543"/>
    </row>
    <row r="141">
      <c r="B141" s="67" t="s">
        <v>1704</v>
      </c>
      <c r="C141" s="67">
        <v>1.0</v>
      </c>
      <c r="D141" s="182">
        <f t="shared" si="24"/>
        <v>33.8</v>
      </c>
      <c r="E141" s="67">
        <v>0.14</v>
      </c>
      <c r="F141" s="67">
        <v>0.5</v>
      </c>
      <c r="G141" s="67">
        <v>0.55</v>
      </c>
      <c r="H141" s="182">
        <f t="shared" si="17"/>
        <v>10.0386</v>
      </c>
      <c r="I141" s="182">
        <f t="shared" si="18"/>
        <v>4.732</v>
      </c>
      <c r="J141" s="182">
        <f t="shared" si="19"/>
        <v>33.8</v>
      </c>
      <c r="K141" s="243">
        <f t="shared" si="20"/>
        <v>38.532</v>
      </c>
      <c r="Q141" s="184"/>
      <c r="S141" s="543"/>
      <c r="T141" s="543"/>
    </row>
    <row r="142">
      <c r="B142" s="67" t="s">
        <v>1705</v>
      </c>
      <c r="C142" s="67">
        <v>1.0</v>
      </c>
      <c r="D142" s="182">
        <f>8+3.9+3.9</f>
        <v>15.8</v>
      </c>
      <c r="E142" s="67">
        <v>0.14</v>
      </c>
      <c r="F142" s="67">
        <v>0.5</v>
      </c>
      <c r="G142" s="67">
        <v>0.55</v>
      </c>
      <c r="H142" s="182">
        <f t="shared" si="17"/>
        <v>4.6926</v>
      </c>
      <c r="I142" s="182">
        <f t="shared" si="18"/>
        <v>2.212</v>
      </c>
      <c r="J142" s="182">
        <f t="shared" si="19"/>
        <v>15.8</v>
      </c>
      <c r="K142" s="243">
        <f t="shared" si="20"/>
        <v>18.012</v>
      </c>
      <c r="Q142" s="184"/>
      <c r="S142" s="543"/>
      <c r="T142" s="543"/>
    </row>
    <row r="143">
      <c r="B143" s="67" t="s">
        <v>1706</v>
      </c>
      <c r="C143" s="67">
        <v>1.0</v>
      </c>
      <c r="D143" s="189">
        <v>2.4</v>
      </c>
      <c r="E143" s="67">
        <v>0.14</v>
      </c>
      <c r="F143" s="67">
        <v>0.5</v>
      </c>
      <c r="G143" s="67">
        <v>0.55</v>
      </c>
      <c r="H143" s="182">
        <f t="shared" si="17"/>
        <v>0.7128</v>
      </c>
      <c r="I143" s="182">
        <f t="shared" si="18"/>
        <v>0.336</v>
      </c>
      <c r="J143" s="182">
        <f t="shared" si="19"/>
        <v>2.4</v>
      </c>
      <c r="K143" s="243">
        <f t="shared" si="20"/>
        <v>2.736</v>
      </c>
      <c r="Q143" s="184"/>
      <c r="S143" s="543"/>
      <c r="T143" s="543"/>
    </row>
    <row r="144">
      <c r="B144" s="67" t="s">
        <v>1707</v>
      </c>
      <c r="C144" s="67">
        <v>1.0</v>
      </c>
      <c r="D144" s="182">
        <f>5.48</f>
        <v>5.48</v>
      </c>
      <c r="E144" s="67">
        <v>0.14</v>
      </c>
      <c r="F144" s="67">
        <v>0.5</v>
      </c>
      <c r="G144" s="67">
        <v>0.55</v>
      </c>
      <c r="H144" s="182">
        <f t="shared" si="17"/>
        <v>1.62756</v>
      </c>
      <c r="I144" s="182">
        <f t="shared" si="18"/>
        <v>0.7672</v>
      </c>
      <c r="J144" s="182">
        <f t="shared" si="19"/>
        <v>5.48</v>
      </c>
      <c r="K144" s="243">
        <f t="shared" si="20"/>
        <v>6.2472</v>
      </c>
      <c r="Q144" s="184"/>
      <c r="S144" s="543"/>
      <c r="T144" s="543"/>
    </row>
    <row r="145">
      <c r="B145" s="67" t="s">
        <v>1708</v>
      </c>
      <c r="C145" s="67">
        <v>1.0</v>
      </c>
      <c r="D145" s="565">
        <v>2.4</v>
      </c>
      <c r="E145" s="67">
        <v>0.14</v>
      </c>
      <c r="F145" s="67">
        <v>0.5</v>
      </c>
      <c r="G145" s="67">
        <v>0.55</v>
      </c>
      <c r="H145" s="182">
        <f t="shared" si="17"/>
        <v>0.7128</v>
      </c>
      <c r="I145" s="182">
        <f t="shared" si="18"/>
        <v>0.336</v>
      </c>
      <c r="J145" s="182">
        <f t="shared" si="19"/>
        <v>2.4</v>
      </c>
      <c r="K145" s="243">
        <f t="shared" si="20"/>
        <v>2.736</v>
      </c>
      <c r="Q145" s="184"/>
      <c r="S145" s="543"/>
      <c r="T145" s="543"/>
    </row>
    <row r="146">
      <c r="B146" s="67" t="s">
        <v>1709</v>
      </c>
      <c r="C146" s="67">
        <v>1.0</v>
      </c>
      <c r="D146" s="182">
        <f>8+3.9+3.9</f>
        <v>15.8</v>
      </c>
      <c r="E146" s="67">
        <v>0.14</v>
      </c>
      <c r="F146" s="67">
        <v>0.5</v>
      </c>
      <c r="G146" s="67">
        <v>0.55</v>
      </c>
      <c r="H146" s="182">
        <f t="shared" si="17"/>
        <v>4.6926</v>
      </c>
      <c r="I146" s="182">
        <f t="shared" si="18"/>
        <v>2.212</v>
      </c>
      <c r="J146" s="182">
        <f t="shared" si="19"/>
        <v>15.8</v>
      </c>
      <c r="K146" s="243">
        <f t="shared" si="20"/>
        <v>18.012</v>
      </c>
      <c r="Q146" s="184"/>
      <c r="S146" s="543"/>
      <c r="T146" s="543"/>
    </row>
    <row r="147">
      <c r="B147" s="67" t="s">
        <v>1710</v>
      </c>
      <c r="C147" s="67">
        <v>1.0</v>
      </c>
      <c r="D147" s="182">
        <f t="shared" ref="D147:D148" si="25">3.68+3.775+3.77+3.78+3.78+3.77+3.775+3.675+3.795</f>
        <v>33.8</v>
      </c>
      <c r="E147" s="67">
        <v>0.14</v>
      </c>
      <c r="F147" s="67">
        <v>0.5</v>
      </c>
      <c r="G147" s="67">
        <v>0.55</v>
      </c>
      <c r="H147" s="182">
        <f t="shared" si="17"/>
        <v>10.0386</v>
      </c>
      <c r="I147" s="182">
        <f t="shared" si="18"/>
        <v>4.732</v>
      </c>
      <c r="J147" s="182">
        <f t="shared" si="19"/>
        <v>33.8</v>
      </c>
      <c r="K147" s="243">
        <f t="shared" si="20"/>
        <v>38.532</v>
      </c>
      <c r="Q147" s="184"/>
      <c r="S147" s="543"/>
      <c r="T147" s="543"/>
    </row>
    <row r="148">
      <c r="B148" s="67" t="s">
        <v>1711</v>
      </c>
      <c r="C148" s="67">
        <v>1.0</v>
      </c>
      <c r="D148" s="182">
        <f t="shared" si="25"/>
        <v>33.8</v>
      </c>
      <c r="E148" s="67">
        <v>0.14</v>
      </c>
      <c r="F148" s="67">
        <v>0.5</v>
      </c>
      <c r="G148" s="67">
        <v>0.55</v>
      </c>
      <c r="H148" s="182">
        <f t="shared" si="17"/>
        <v>10.0386</v>
      </c>
      <c r="I148" s="182">
        <f t="shared" si="18"/>
        <v>4.732</v>
      </c>
      <c r="J148" s="182">
        <f t="shared" si="19"/>
        <v>33.8</v>
      </c>
      <c r="K148" s="243">
        <f t="shared" si="20"/>
        <v>38.532</v>
      </c>
      <c r="Q148" s="184"/>
      <c r="S148" s="543"/>
      <c r="T148" s="543"/>
    </row>
    <row r="149">
      <c r="B149" s="67" t="s">
        <v>1712</v>
      </c>
      <c r="C149" s="67">
        <v>1.0</v>
      </c>
      <c r="D149" s="189">
        <v>3.94</v>
      </c>
      <c r="E149" s="67">
        <v>0.14</v>
      </c>
      <c r="F149" s="67">
        <v>0.5</v>
      </c>
      <c r="G149" s="67">
        <v>0.55</v>
      </c>
      <c r="H149" s="182">
        <f t="shared" si="17"/>
        <v>1.17018</v>
      </c>
      <c r="I149" s="182">
        <f t="shared" si="18"/>
        <v>0.5516</v>
      </c>
      <c r="J149" s="182">
        <f t="shared" si="19"/>
        <v>3.94</v>
      </c>
      <c r="K149" s="243">
        <f t="shared" si="20"/>
        <v>4.4916</v>
      </c>
      <c r="Q149" s="184"/>
      <c r="S149" s="543"/>
      <c r="T149" s="543"/>
    </row>
    <row r="150">
      <c r="B150" s="67" t="s">
        <v>1713</v>
      </c>
      <c r="C150" s="67">
        <v>1.0</v>
      </c>
      <c r="D150" s="182">
        <f>3.68+3.775+3.77+3.78+3.78+3.77+3.775+3.675+3.795</f>
        <v>33.8</v>
      </c>
      <c r="E150" s="67">
        <v>0.14</v>
      </c>
      <c r="F150" s="67">
        <v>0.5</v>
      </c>
      <c r="G150" s="67">
        <v>0.55</v>
      </c>
      <c r="H150" s="182">
        <f t="shared" si="17"/>
        <v>10.0386</v>
      </c>
      <c r="I150" s="182">
        <f t="shared" si="18"/>
        <v>4.732</v>
      </c>
      <c r="J150" s="182">
        <f t="shared" si="19"/>
        <v>33.8</v>
      </c>
      <c r="K150" s="243">
        <f t="shared" si="20"/>
        <v>38.532</v>
      </c>
      <c r="Q150" s="184"/>
      <c r="S150" s="543"/>
      <c r="T150" s="543"/>
    </row>
    <row r="151">
      <c r="B151" s="67"/>
      <c r="C151" s="67"/>
      <c r="D151" s="67"/>
      <c r="E151" s="67"/>
      <c r="F151" s="67"/>
      <c r="G151" s="67"/>
      <c r="H151" s="182"/>
      <c r="I151" s="182"/>
      <c r="J151" s="182"/>
      <c r="K151" s="243"/>
      <c r="Q151" s="184"/>
      <c r="S151" s="543"/>
      <c r="T151" s="543"/>
    </row>
    <row r="152">
      <c r="B152" s="67"/>
      <c r="C152" s="67"/>
      <c r="D152" s="67"/>
      <c r="E152" s="67"/>
      <c r="F152" s="67"/>
      <c r="G152" s="67"/>
      <c r="H152" s="182"/>
      <c r="I152" s="182"/>
      <c r="J152" s="182"/>
      <c r="K152" s="243"/>
      <c r="Q152" s="184"/>
      <c r="S152" s="543"/>
      <c r="T152" s="543"/>
    </row>
    <row r="153">
      <c r="B153" s="67" t="s">
        <v>1726</v>
      </c>
      <c r="C153" s="67">
        <v>2.0</v>
      </c>
      <c r="D153" s="67">
        <v>0.15</v>
      </c>
      <c r="E153" s="67">
        <v>0.8</v>
      </c>
      <c r="F153" s="67">
        <v>1.5</v>
      </c>
      <c r="G153" s="67"/>
      <c r="H153" s="182"/>
      <c r="I153" s="182"/>
      <c r="J153" s="182"/>
      <c r="K153" s="243">
        <f t="shared" ref="K153:K163" si="26">C153*((D153+E153)*2)*F153</f>
        <v>5.7</v>
      </c>
      <c r="Q153" s="184"/>
      <c r="S153" s="543"/>
      <c r="T153" s="543"/>
    </row>
    <row r="154">
      <c r="B154" s="67" t="s">
        <v>666</v>
      </c>
      <c r="C154" s="67">
        <f>48+7+14+5</f>
        <v>74</v>
      </c>
      <c r="D154" s="189">
        <v>0.2</v>
      </c>
      <c r="E154" s="67">
        <v>0.2</v>
      </c>
      <c r="F154" s="67">
        <v>1.5</v>
      </c>
      <c r="G154" s="243"/>
      <c r="H154" s="182"/>
      <c r="I154" s="182"/>
      <c r="J154" s="182"/>
      <c r="K154" s="243">
        <f t="shared" si="26"/>
        <v>88.8</v>
      </c>
      <c r="Q154" s="184"/>
      <c r="S154" s="543"/>
      <c r="T154" s="543"/>
    </row>
    <row r="155">
      <c r="B155" s="67" t="s">
        <v>1727</v>
      </c>
      <c r="C155" s="67">
        <f>4+41</f>
        <v>45</v>
      </c>
      <c r="D155" s="189">
        <v>0.18</v>
      </c>
      <c r="E155" s="67">
        <v>0.25</v>
      </c>
      <c r="F155" s="67">
        <v>1.5</v>
      </c>
      <c r="G155" s="243"/>
      <c r="H155" s="182"/>
      <c r="I155" s="182"/>
      <c r="J155" s="182"/>
      <c r="K155" s="243">
        <f t="shared" si="26"/>
        <v>58.05</v>
      </c>
      <c r="Q155" s="184"/>
      <c r="S155" s="543"/>
      <c r="T155" s="543"/>
    </row>
    <row r="156">
      <c r="B156" s="67" t="s">
        <v>671</v>
      </c>
      <c r="C156" s="67">
        <v>17.0</v>
      </c>
      <c r="D156" s="189">
        <v>0.25</v>
      </c>
      <c r="E156" s="67">
        <v>0.25</v>
      </c>
      <c r="F156" s="67">
        <v>1.5</v>
      </c>
      <c r="G156" s="243"/>
      <c r="H156" s="182"/>
      <c r="I156" s="182"/>
      <c r="J156" s="182"/>
      <c r="K156" s="243">
        <f t="shared" si="26"/>
        <v>25.5</v>
      </c>
      <c r="Q156" s="184"/>
      <c r="S156" s="543"/>
      <c r="T156" s="543"/>
    </row>
    <row r="157">
      <c r="B157" s="67" t="s">
        <v>1728</v>
      </c>
      <c r="C157" s="67">
        <v>9.0</v>
      </c>
      <c r="D157" s="189">
        <v>0.2</v>
      </c>
      <c r="E157" s="67">
        <v>0.8</v>
      </c>
      <c r="F157" s="67">
        <v>1.5</v>
      </c>
      <c r="G157" s="243"/>
      <c r="H157" s="182"/>
      <c r="I157" s="182"/>
      <c r="J157" s="182"/>
      <c r="K157" s="243">
        <f t="shared" si="26"/>
        <v>27</v>
      </c>
      <c r="Q157" s="184"/>
      <c r="S157" s="543"/>
      <c r="T157" s="543"/>
    </row>
    <row r="158">
      <c r="B158" s="67" t="s">
        <v>1729</v>
      </c>
      <c r="C158" s="67">
        <f>59+2</f>
        <v>61</v>
      </c>
      <c r="D158" s="189">
        <v>0.18</v>
      </c>
      <c r="E158" s="67">
        <v>0.4</v>
      </c>
      <c r="F158" s="67">
        <v>1.5</v>
      </c>
      <c r="G158" s="243"/>
      <c r="H158" s="182"/>
      <c r="I158" s="182"/>
      <c r="J158" s="182"/>
      <c r="K158" s="243">
        <f t="shared" si="26"/>
        <v>106.14</v>
      </c>
      <c r="Q158" s="184"/>
      <c r="S158" s="543"/>
      <c r="T158" s="543"/>
    </row>
    <row r="159">
      <c r="B159" s="67" t="s">
        <v>1730</v>
      </c>
      <c r="C159" s="67">
        <v>2.0</v>
      </c>
      <c r="D159" s="189">
        <v>0.15</v>
      </c>
      <c r="E159" s="67">
        <v>0.3</v>
      </c>
      <c r="F159" s="67">
        <v>1.5</v>
      </c>
      <c r="G159" s="243"/>
      <c r="H159" s="182"/>
      <c r="I159" s="182"/>
      <c r="J159" s="182"/>
      <c r="K159" s="243">
        <f t="shared" si="26"/>
        <v>2.7</v>
      </c>
      <c r="Q159" s="184"/>
      <c r="S159" s="543"/>
      <c r="T159" s="543"/>
    </row>
    <row r="160">
      <c r="B160" s="67" t="s">
        <v>1731</v>
      </c>
      <c r="C160" s="67">
        <v>10.0</v>
      </c>
      <c r="D160" s="189">
        <v>0.3</v>
      </c>
      <c r="E160" s="67">
        <v>0.8</v>
      </c>
      <c r="F160" s="67">
        <v>1.5</v>
      </c>
      <c r="G160" s="243"/>
      <c r="H160" s="182"/>
      <c r="I160" s="182"/>
      <c r="J160" s="182"/>
      <c r="K160" s="243">
        <f t="shared" si="26"/>
        <v>33</v>
      </c>
      <c r="Q160" s="184"/>
      <c r="S160" s="543"/>
      <c r="T160" s="543"/>
    </row>
    <row r="161">
      <c r="B161" s="67" t="s">
        <v>1732</v>
      </c>
      <c r="C161" s="67">
        <v>3.0</v>
      </c>
      <c r="D161" s="189">
        <v>0.2</v>
      </c>
      <c r="E161" s="67">
        <v>0.5</v>
      </c>
      <c r="F161" s="67">
        <v>1.5</v>
      </c>
      <c r="G161" s="243"/>
      <c r="H161" s="182"/>
      <c r="I161" s="182"/>
      <c r="J161" s="182"/>
      <c r="K161" s="243">
        <f t="shared" si="26"/>
        <v>6.3</v>
      </c>
      <c r="Q161" s="184"/>
      <c r="S161" s="543"/>
      <c r="T161" s="543"/>
    </row>
    <row r="162">
      <c r="B162" s="67" t="s">
        <v>1733</v>
      </c>
      <c r="C162" s="67">
        <v>2.0</v>
      </c>
      <c r="D162" s="189">
        <v>0.35</v>
      </c>
      <c r="E162" s="67">
        <v>0.35</v>
      </c>
      <c r="F162" s="67">
        <v>1.5</v>
      </c>
      <c r="G162" s="243"/>
      <c r="H162" s="182"/>
      <c r="I162" s="182"/>
      <c r="J162" s="182"/>
      <c r="K162" s="243">
        <f t="shared" si="26"/>
        <v>4.2</v>
      </c>
      <c r="Q162" s="184"/>
      <c r="S162" s="543"/>
      <c r="T162" s="543"/>
    </row>
    <row r="163">
      <c r="B163" s="67" t="s">
        <v>1734</v>
      </c>
      <c r="C163" s="67">
        <v>2.0</v>
      </c>
      <c r="D163" s="189">
        <v>0.2</v>
      </c>
      <c r="E163" s="67">
        <v>0.25</v>
      </c>
      <c r="F163" s="67">
        <v>1.5</v>
      </c>
      <c r="G163" s="243"/>
      <c r="H163" s="182"/>
      <c r="I163" s="182"/>
      <c r="J163" s="182"/>
      <c r="K163" s="243">
        <f t="shared" si="26"/>
        <v>2.7</v>
      </c>
      <c r="Q163" s="184"/>
      <c r="S163" s="543"/>
      <c r="T163" s="543"/>
    </row>
    <row r="164">
      <c r="B164" s="67"/>
      <c r="C164" s="243"/>
      <c r="D164" s="182"/>
      <c r="E164" s="243"/>
      <c r="F164" s="67"/>
      <c r="G164" s="243"/>
      <c r="H164" s="182"/>
      <c r="I164" s="182"/>
      <c r="J164" s="182"/>
      <c r="K164" s="243"/>
      <c r="Q164" s="184"/>
      <c r="S164" s="543"/>
      <c r="T164" s="543"/>
    </row>
    <row r="165">
      <c r="B165" s="67" t="s">
        <v>1275</v>
      </c>
      <c r="C165" s="243"/>
      <c r="D165" s="182"/>
      <c r="E165" s="243"/>
      <c r="F165" s="243"/>
      <c r="G165" s="243"/>
      <c r="H165" s="182"/>
      <c r="I165" s="182"/>
      <c r="J165" s="182">
        <f>SUM(K153:K163)</f>
        <v>360.09</v>
      </c>
      <c r="K165" s="243"/>
      <c r="Q165" s="184"/>
      <c r="S165" s="543"/>
      <c r="T165" s="543"/>
    </row>
    <row r="166">
      <c r="B166" s="67" t="s">
        <v>1018</v>
      </c>
      <c r="C166" s="243"/>
      <c r="D166" s="182"/>
      <c r="E166" s="243"/>
      <c r="F166" s="243"/>
      <c r="G166" s="243"/>
      <c r="H166" s="182"/>
      <c r="I166" s="182"/>
      <c r="J166" s="182">
        <f>SUM(K75:K150)</f>
        <v>1107.909</v>
      </c>
      <c r="K166" s="243"/>
      <c r="Q166" s="184"/>
      <c r="S166" s="543"/>
      <c r="T166" s="543"/>
    </row>
    <row r="167">
      <c r="B167" s="194" t="s">
        <v>1698</v>
      </c>
      <c r="C167" s="243"/>
      <c r="D167" s="182"/>
      <c r="E167" s="243"/>
      <c r="F167" s="243"/>
      <c r="G167" s="67"/>
      <c r="H167" s="189"/>
      <c r="I167" s="189"/>
      <c r="J167" s="189">
        <f>SUM(I75:I150)</f>
        <v>136.059</v>
      </c>
      <c r="K167" s="243"/>
      <c r="Q167" s="184"/>
      <c r="S167" s="543"/>
      <c r="T167" s="543"/>
    </row>
    <row r="168">
      <c r="B168" s="194" t="s">
        <v>674</v>
      </c>
      <c r="C168" s="243"/>
      <c r="D168" s="182"/>
      <c r="E168" s="243"/>
      <c r="F168" s="243"/>
      <c r="G168" s="67"/>
      <c r="H168" s="189"/>
      <c r="I168" s="189"/>
      <c r="J168" s="189">
        <f>SUM(H75:H150)</f>
        <v>288.63945</v>
      </c>
      <c r="K168" s="243"/>
      <c r="Q168" s="184"/>
      <c r="S168" s="543"/>
      <c r="T168" s="543"/>
    </row>
    <row r="169">
      <c r="B169" s="194" t="s">
        <v>385</v>
      </c>
      <c r="C169" s="243"/>
      <c r="D169" s="182"/>
      <c r="E169" s="243"/>
      <c r="F169" s="243"/>
      <c r="G169" s="243"/>
      <c r="H169" s="182">
        <f>J167</f>
        <v>136.059</v>
      </c>
      <c r="I169" s="189">
        <v>0.05</v>
      </c>
      <c r="J169" s="182">
        <f>H169*I169</f>
        <v>6.80295</v>
      </c>
      <c r="K169" s="243"/>
      <c r="Q169" s="184"/>
      <c r="S169" s="543"/>
      <c r="T169" s="543"/>
    </row>
    <row r="170">
      <c r="B170" s="67" t="s">
        <v>747</v>
      </c>
      <c r="C170" s="243"/>
      <c r="D170" s="182"/>
      <c r="E170" s="243"/>
      <c r="F170" s="243"/>
      <c r="G170" s="243"/>
      <c r="H170" s="182"/>
      <c r="I170" s="182"/>
      <c r="J170" s="182">
        <f>277.2+263.96+295.34+242.4</f>
        <v>1078.9</v>
      </c>
      <c r="K170" s="243"/>
      <c r="Q170" s="184"/>
      <c r="S170" s="543"/>
      <c r="T170" s="543"/>
    </row>
    <row r="171">
      <c r="B171" s="67" t="s">
        <v>748</v>
      </c>
      <c r="C171" s="243"/>
      <c r="D171" s="182"/>
      <c r="E171" s="243"/>
      <c r="F171" s="243"/>
      <c r="G171" s="67"/>
      <c r="H171" s="189"/>
      <c r="I171" s="189"/>
      <c r="J171" s="189">
        <f>16.92+16.2+18.1+14.88</f>
        <v>66.1</v>
      </c>
      <c r="K171" s="243"/>
      <c r="Q171" s="184"/>
      <c r="S171" s="543"/>
      <c r="T171" s="543"/>
    </row>
    <row r="172">
      <c r="B172" s="194"/>
      <c r="C172" s="67" t="s">
        <v>683</v>
      </c>
      <c r="D172" s="189" t="s">
        <v>108</v>
      </c>
      <c r="E172" s="67" t="s">
        <v>684</v>
      </c>
      <c r="F172" s="243"/>
      <c r="G172" s="243"/>
      <c r="H172" s="182"/>
      <c r="I172" s="182"/>
      <c r="J172" s="182"/>
      <c r="K172" s="243"/>
      <c r="Q172" s="184"/>
      <c r="S172" s="543"/>
      <c r="T172" s="543"/>
    </row>
    <row r="173">
      <c r="B173" s="194" t="s">
        <v>685</v>
      </c>
      <c r="C173" s="67" t="s">
        <v>686</v>
      </c>
      <c r="D173" s="189">
        <f>1174.8+1045.7+1166.5+978.1</f>
        <v>4365.1</v>
      </c>
      <c r="E173" s="67">
        <v>0.154</v>
      </c>
      <c r="F173" s="243"/>
      <c r="G173" s="243"/>
      <c r="H173" s="182"/>
      <c r="I173" s="182"/>
      <c r="J173" s="182">
        <f t="shared" ref="J173:J177" si="27">D173*E173</f>
        <v>672.2254</v>
      </c>
      <c r="K173" s="243"/>
      <c r="Q173" s="184"/>
      <c r="S173" s="543"/>
      <c r="T173" s="543"/>
    </row>
    <row r="174">
      <c r="B174" s="194"/>
      <c r="C174" s="208">
        <v>45357.0</v>
      </c>
      <c r="D174" s="189">
        <f>0.8+0.8</f>
        <v>1.6</v>
      </c>
      <c r="E174" s="67">
        <v>0.245</v>
      </c>
      <c r="F174" s="243"/>
      <c r="G174" s="243"/>
      <c r="H174" s="182"/>
      <c r="I174" s="182"/>
      <c r="J174" s="182">
        <f t="shared" si="27"/>
        <v>0.392</v>
      </c>
      <c r="K174" s="243"/>
      <c r="Q174" s="184"/>
      <c r="S174" s="543"/>
      <c r="T174" s="543"/>
    </row>
    <row r="175">
      <c r="B175" s="194"/>
      <c r="C175" s="209">
        <v>8.0</v>
      </c>
      <c r="D175" s="189">
        <f>1142.5+1012.2+1207.3+916.1</f>
        <v>4278.1</v>
      </c>
      <c r="E175" s="67">
        <v>0.395</v>
      </c>
      <c r="F175" s="243"/>
      <c r="G175" s="243"/>
      <c r="H175" s="182"/>
      <c r="I175" s="182"/>
      <c r="J175" s="182">
        <f t="shared" si="27"/>
        <v>1689.8495</v>
      </c>
      <c r="K175" s="243"/>
      <c r="Q175" s="184"/>
      <c r="S175" s="543"/>
      <c r="T175" s="543"/>
    </row>
    <row r="176">
      <c r="B176" s="194"/>
      <c r="C176" s="209">
        <v>10.0</v>
      </c>
      <c r="D176" s="189">
        <f>4.4+8.5</f>
        <v>12.9</v>
      </c>
      <c r="E176" s="67">
        <v>0.617</v>
      </c>
      <c r="F176" s="243"/>
      <c r="G176" s="243"/>
      <c r="H176" s="182"/>
      <c r="I176" s="182"/>
      <c r="J176" s="182">
        <f t="shared" si="27"/>
        <v>7.9593</v>
      </c>
      <c r="K176" s="243"/>
      <c r="Q176" s="184"/>
      <c r="S176" s="543"/>
      <c r="T176" s="543"/>
    </row>
    <row r="177">
      <c r="B177" s="194"/>
      <c r="C177" s="208">
        <v>45424.0</v>
      </c>
      <c r="D177" s="189">
        <v>0.0</v>
      </c>
      <c r="E177" s="67">
        <v>0.963</v>
      </c>
      <c r="F177" s="243"/>
      <c r="G177" s="243"/>
      <c r="H177" s="182"/>
      <c r="I177" s="182"/>
      <c r="J177" s="182">
        <f t="shared" si="27"/>
        <v>0</v>
      </c>
      <c r="K177" s="243"/>
      <c r="Q177" s="184"/>
      <c r="S177" s="543"/>
      <c r="T177" s="543"/>
    </row>
    <row r="178">
      <c r="B178" s="67"/>
      <c r="C178" s="67" t="s">
        <v>751</v>
      </c>
      <c r="D178" s="189" t="s">
        <v>752</v>
      </c>
      <c r="E178" s="67" t="s">
        <v>212</v>
      </c>
      <c r="F178" s="243"/>
      <c r="G178" s="243"/>
      <c r="H178" s="182"/>
      <c r="I178" s="182"/>
      <c r="J178" s="182"/>
      <c r="K178" s="243"/>
      <c r="Q178" s="184"/>
      <c r="S178" s="543"/>
      <c r="T178" s="543"/>
    </row>
    <row r="179">
      <c r="B179" s="67" t="s">
        <v>339</v>
      </c>
      <c r="C179" s="182">
        <f>J61+J168</f>
        <v>720.5307</v>
      </c>
      <c r="D179" s="182">
        <f>J72+J171+J62+J169</f>
        <v>130.475325</v>
      </c>
      <c r="E179" s="182">
        <f>C179-D179</f>
        <v>590.055375</v>
      </c>
      <c r="F179" s="243"/>
      <c r="G179" s="243"/>
      <c r="H179" s="182"/>
      <c r="I179" s="182"/>
      <c r="J179" s="182"/>
      <c r="K179" s="243"/>
      <c r="Q179" s="184"/>
      <c r="S179" s="543"/>
      <c r="T179" s="543"/>
    </row>
    <row r="180">
      <c r="D180" s="184"/>
      <c r="H180" s="184"/>
      <c r="I180" s="184"/>
      <c r="J180" s="184"/>
      <c r="Q180" s="184"/>
      <c r="S180" s="543"/>
      <c r="T180" s="543"/>
    </row>
    <row r="181">
      <c r="D181" s="184"/>
      <c r="H181" s="184"/>
      <c r="I181" s="184"/>
      <c r="J181" s="184"/>
      <c r="Q181" s="184"/>
      <c r="S181" s="543"/>
      <c r="T181" s="543"/>
    </row>
    <row r="182">
      <c r="B182" s="544" t="s">
        <v>1735</v>
      </c>
      <c r="C182" s="29"/>
      <c r="D182" s="184"/>
      <c r="H182" s="184"/>
      <c r="I182" s="184"/>
      <c r="J182" s="184"/>
      <c r="Q182" s="184"/>
      <c r="S182" s="543"/>
      <c r="T182" s="543"/>
    </row>
    <row r="183">
      <c r="B183" s="67" t="s">
        <v>763</v>
      </c>
      <c r="C183" s="182">
        <f>J171+J72</f>
        <v>117.32</v>
      </c>
      <c r="D183" s="184"/>
      <c r="H183" s="184"/>
      <c r="I183" s="184"/>
      <c r="J183" s="184"/>
      <c r="Q183" s="184"/>
      <c r="S183" s="543"/>
      <c r="T183" s="543"/>
    </row>
    <row r="184">
      <c r="B184" s="67" t="s">
        <v>754</v>
      </c>
      <c r="C184" s="182">
        <f>J175+J66</f>
        <v>2787.199</v>
      </c>
      <c r="D184" s="184"/>
      <c r="H184" s="184"/>
      <c r="I184" s="184"/>
      <c r="J184" s="184"/>
      <c r="Q184" s="184"/>
      <c r="S184" s="543"/>
      <c r="T184" s="543"/>
    </row>
    <row r="185">
      <c r="B185" s="67" t="s">
        <v>1736</v>
      </c>
      <c r="C185" s="182">
        <f>J165+J166</f>
        <v>1467.999</v>
      </c>
      <c r="D185" s="184"/>
      <c r="H185" s="184"/>
      <c r="I185" s="184"/>
      <c r="J185" s="184"/>
      <c r="Q185" s="184"/>
      <c r="S185" s="543"/>
      <c r="T185" s="543"/>
    </row>
    <row r="186">
      <c r="B186" s="67" t="s">
        <v>385</v>
      </c>
      <c r="C186" s="182">
        <f>J62+J169</f>
        <v>13.155325</v>
      </c>
      <c r="D186" s="184"/>
      <c r="H186" s="184"/>
      <c r="I186" s="184"/>
      <c r="J186" s="184"/>
      <c r="Q186" s="184"/>
      <c r="S186" s="543"/>
      <c r="T186" s="543"/>
    </row>
    <row r="187">
      <c r="B187" s="194" t="s">
        <v>1698</v>
      </c>
      <c r="C187" s="182">
        <f>J167+J60</f>
        <v>263.1065</v>
      </c>
      <c r="D187" s="184"/>
      <c r="H187" s="184"/>
      <c r="I187" s="184"/>
      <c r="J187" s="184"/>
      <c r="Q187" s="184"/>
      <c r="S187" s="543"/>
      <c r="T187" s="543"/>
    </row>
    <row r="188">
      <c r="D188" s="184"/>
      <c r="H188" s="184"/>
      <c r="I188" s="184"/>
      <c r="J188" s="184"/>
      <c r="Q188" s="184"/>
      <c r="S188" s="543"/>
      <c r="T188" s="543"/>
    </row>
    <row r="189">
      <c r="B189" s="544" t="s">
        <v>1737</v>
      </c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9"/>
      <c r="S189" s="543"/>
      <c r="T189" s="543"/>
    </row>
    <row r="190">
      <c r="D190" s="184"/>
      <c r="H190" s="184"/>
      <c r="I190" s="184"/>
      <c r="J190" s="184"/>
      <c r="Q190" s="184"/>
      <c r="S190" s="543"/>
      <c r="T190" s="543"/>
    </row>
    <row r="191">
      <c r="B191" s="544" t="s">
        <v>1619</v>
      </c>
      <c r="C191" s="28"/>
      <c r="D191" s="28"/>
      <c r="E191" s="28"/>
      <c r="F191" s="28"/>
      <c r="G191" s="28"/>
      <c r="H191" s="28"/>
      <c r="I191" s="28"/>
      <c r="J191" s="28"/>
      <c r="K191" s="29"/>
      <c r="M191" s="544" t="s">
        <v>1620</v>
      </c>
      <c r="N191" s="28"/>
      <c r="O191" s="28"/>
      <c r="P191" s="28"/>
      <c r="Q191" s="28"/>
      <c r="R191" s="29"/>
      <c r="S191" s="543"/>
      <c r="T191" s="543"/>
    </row>
    <row r="192">
      <c r="B192" s="546" t="s">
        <v>1623</v>
      </c>
      <c r="C192" s="28"/>
      <c r="D192" s="28"/>
      <c r="E192" s="28"/>
      <c r="F192" s="28"/>
      <c r="G192" s="28"/>
      <c r="H192" s="28"/>
      <c r="I192" s="28"/>
      <c r="J192" s="28"/>
      <c r="K192" s="29"/>
      <c r="M192" s="546" t="s">
        <v>1624</v>
      </c>
      <c r="N192" s="28"/>
      <c r="O192" s="28"/>
      <c r="P192" s="28"/>
      <c r="Q192" s="28"/>
      <c r="R192" s="29"/>
      <c r="S192" s="543"/>
      <c r="T192" s="543"/>
    </row>
    <row r="193">
      <c r="B193" s="194" t="s">
        <v>1631</v>
      </c>
      <c r="C193" s="67" t="s">
        <v>695</v>
      </c>
      <c r="D193" s="189" t="s">
        <v>696</v>
      </c>
      <c r="E193" s="67" t="s">
        <v>1632</v>
      </c>
      <c r="F193" s="67" t="s">
        <v>1633</v>
      </c>
      <c r="G193" s="67" t="s">
        <v>1634</v>
      </c>
      <c r="H193" s="189" t="s">
        <v>1635</v>
      </c>
      <c r="I193" s="189" t="s">
        <v>1636</v>
      </c>
      <c r="J193" s="189" t="s">
        <v>1637</v>
      </c>
      <c r="K193" s="67" t="s">
        <v>1638</v>
      </c>
      <c r="M193" s="67" t="s">
        <v>758</v>
      </c>
      <c r="N193" s="243"/>
      <c r="O193" s="243"/>
      <c r="P193" s="243"/>
      <c r="Q193" s="189">
        <v>158.72</v>
      </c>
      <c r="R193" s="243"/>
      <c r="S193" s="543"/>
      <c r="T193" s="543"/>
    </row>
    <row r="194">
      <c r="B194" s="194" t="s">
        <v>1738</v>
      </c>
      <c r="C194" s="67">
        <v>2.0</v>
      </c>
      <c r="D194" s="189">
        <v>1.0</v>
      </c>
      <c r="E194" s="67">
        <v>1.0</v>
      </c>
      <c r="F194" s="67">
        <v>0.5</v>
      </c>
      <c r="G194" s="67">
        <v>1.5</v>
      </c>
      <c r="H194" s="182">
        <f t="shared" ref="H194:H199" si="28">C194*(D194+0.4)*(E194+0.4)*G194</f>
        <v>5.88</v>
      </c>
      <c r="I194" s="182">
        <f t="shared" ref="I194:I199" si="29">C194*D194*E194</f>
        <v>2</v>
      </c>
      <c r="J194" s="182">
        <f t="shared" ref="J194:J199" si="30">C194*((D194+E194)*2)*F194</f>
        <v>4</v>
      </c>
      <c r="K194" s="243"/>
      <c r="M194" s="67" t="s">
        <v>759</v>
      </c>
      <c r="N194" s="243"/>
      <c r="O194" s="243"/>
      <c r="P194" s="67"/>
      <c r="Q194" s="189">
        <v>11.39</v>
      </c>
      <c r="R194" s="243"/>
      <c r="S194" s="543"/>
      <c r="T194" s="543"/>
    </row>
    <row r="195">
      <c r="B195" s="194" t="s">
        <v>1739</v>
      </c>
      <c r="C195" s="67">
        <v>30.0</v>
      </c>
      <c r="D195" s="189">
        <v>1.0</v>
      </c>
      <c r="E195" s="67">
        <v>1.0</v>
      </c>
      <c r="F195" s="67">
        <v>0.25</v>
      </c>
      <c r="G195" s="67">
        <v>1.5</v>
      </c>
      <c r="H195" s="182">
        <f t="shared" si="28"/>
        <v>88.2</v>
      </c>
      <c r="I195" s="182">
        <f t="shared" si="29"/>
        <v>30</v>
      </c>
      <c r="J195" s="182">
        <f t="shared" si="30"/>
        <v>30</v>
      </c>
      <c r="K195" s="243"/>
      <c r="M195" s="67" t="s">
        <v>761</v>
      </c>
      <c r="N195" s="67" t="s">
        <v>686</v>
      </c>
      <c r="O195" s="67">
        <v>992.2</v>
      </c>
      <c r="P195" s="67">
        <v>0.154</v>
      </c>
      <c r="Q195" s="182">
        <f t="shared" ref="Q195:Q199" si="31">O195*P195</f>
        <v>152.7988</v>
      </c>
      <c r="R195" s="243"/>
      <c r="S195" s="543"/>
      <c r="T195" s="543"/>
    </row>
    <row r="196">
      <c r="B196" s="194" t="s">
        <v>1740</v>
      </c>
      <c r="C196" s="67">
        <v>2.0</v>
      </c>
      <c r="D196" s="189">
        <v>1.05</v>
      </c>
      <c r="E196" s="67">
        <v>1.05</v>
      </c>
      <c r="F196" s="67">
        <v>0.25</v>
      </c>
      <c r="G196" s="67">
        <v>1.5</v>
      </c>
      <c r="H196" s="182">
        <f t="shared" si="28"/>
        <v>6.3075</v>
      </c>
      <c r="I196" s="182">
        <f t="shared" si="29"/>
        <v>2.205</v>
      </c>
      <c r="J196" s="182">
        <f t="shared" si="30"/>
        <v>2.1</v>
      </c>
      <c r="K196" s="243"/>
      <c r="M196" s="243"/>
      <c r="N196" s="208">
        <v>45357.0</v>
      </c>
      <c r="O196" s="67">
        <v>0.0</v>
      </c>
      <c r="P196" s="67">
        <v>0.245</v>
      </c>
      <c r="Q196" s="182">
        <f t="shared" si="31"/>
        <v>0</v>
      </c>
      <c r="R196" s="243"/>
      <c r="S196" s="543"/>
      <c r="T196" s="543"/>
    </row>
    <row r="197">
      <c r="B197" s="194" t="s">
        <v>1741</v>
      </c>
      <c r="C197" s="67">
        <v>8.0</v>
      </c>
      <c r="D197" s="189">
        <v>0.9</v>
      </c>
      <c r="E197" s="67">
        <v>0.9</v>
      </c>
      <c r="F197" s="67">
        <v>0.25</v>
      </c>
      <c r="G197" s="67">
        <v>1.5</v>
      </c>
      <c r="H197" s="182">
        <f t="shared" si="28"/>
        <v>20.28</v>
      </c>
      <c r="I197" s="182">
        <f t="shared" si="29"/>
        <v>6.48</v>
      </c>
      <c r="J197" s="182">
        <f t="shared" si="30"/>
        <v>7.2</v>
      </c>
      <c r="K197" s="243"/>
      <c r="M197" s="243"/>
      <c r="N197" s="209" t="s">
        <v>720</v>
      </c>
      <c r="O197" s="67">
        <v>0.0</v>
      </c>
      <c r="P197" s="67">
        <v>0.395</v>
      </c>
      <c r="Q197" s="182">
        <f t="shared" si="31"/>
        <v>0</v>
      </c>
      <c r="R197" s="243"/>
      <c r="S197" s="543"/>
      <c r="T197" s="543"/>
    </row>
    <row r="198">
      <c r="B198" s="194" t="s">
        <v>1742</v>
      </c>
      <c r="C198" s="67">
        <v>2.0</v>
      </c>
      <c r="D198" s="189">
        <v>1.0</v>
      </c>
      <c r="E198" s="67">
        <v>1.0</v>
      </c>
      <c r="F198" s="67">
        <v>0.5</v>
      </c>
      <c r="G198" s="67">
        <v>1.5</v>
      </c>
      <c r="H198" s="182">
        <f t="shared" si="28"/>
        <v>5.88</v>
      </c>
      <c r="I198" s="182">
        <f t="shared" si="29"/>
        <v>2</v>
      </c>
      <c r="J198" s="182">
        <f t="shared" si="30"/>
        <v>4</v>
      </c>
      <c r="K198" s="243"/>
      <c r="M198" s="243"/>
      <c r="N198" s="209">
        <v>10.0</v>
      </c>
      <c r="O198" s="67">
        <v>101.4</v>
      </c>
      <c r="P198" s="67">
        <v>0.617</v>
      </c>
      <c r="Q198" s="182">
        <f t="shared" si="31"/>
        <v>62.5638</v>
      </c>
      <c r="R198" s="243"/>
      <c r="S198" s="543"/>
      <c r="T198" s="543"/>
    </row>
    <row r="199">
      <c r="B199" s="194"/>
      <c r="C199" s="67"/>
      <c r="D199" s="189"/>
      <c r="E199" s="67"/>
      <c r="F199" s="67"/>
      <c r="G199" s="67"/>
      <c r="H199" s="182">
        <f t="shared" si="28"/>
        <v>0</v>
      </c>
      <c r="I199" s="182">
        <f t="shared" si="29"/>
        <v>0</v>
      </c>
      <c r="J199" s="182">
        <f t="shared" si="30"/>
        <v>0</v>
      </c>
      <c r="K199" s="243"/>
      <c r="M199" s="243"/>
      <c r="N199" s="208">
        <v>45424.0</v>
      </c>
      <c r="O199" s="67">
        <v>456.5</v>
      </c>
      <c r="P199" s="67">
        <v>0.963</v>
      </c>
      <c r="Q199" s="182">
        <f t="shared" si="31"/>
        <v>439.6095</v>
      </c>
      <c r="R199" s="243"/>
      <c r="S199" s="543"/>
      <c r="T199" s="543"/>
    </row>
    <row r="200">
      <c r="B200" s="194"/>
      <c r="C200" s="243"/>
      <c r="D200" s="182"/>
      <c r="E200" s="243"/>
      <c r="F200" s="243"/>
      <c r="G200" s="67"/>
      <c r="H200" s="189"/>
      <c r="I200" s="189"/>
      <c r="J200" s="189"/>
      <c r="K200" s="243"/>
      <c r="Q200" s="184"/>
      <c r="S200" s="543"/>
      <c r="T200" s="543"/>
    </row>
    <row r="201">
      <c r="B201" s="194" t="s">
        <v>1698</v>
      </c>
      <c r="C201" s="243"/>
      <c r="D201" s="182"/>
      <c r="E201" s="243"/>
      <c r="F201" s="243"/>
      <c r="G201" s="67"/>
      <c r="H201" s="189"/>
      <c r="I201" s="189"/>
      <c r="J201" s="189">
        <f>SUM(I194:I199)</f>
        <v>42.685</v>
      </c>
      <c r="K201" s="243"/>
      <c r="M201" s="2"/>
      <c r="Q201" s="184"/>
      <c r="S201" s="543"/>
      <c r="T201" s="543"/>
    </row>
    <row r="202">
      <c r="B202" s="194" t="s">
        <v>713</v>
      </c>
      <c r="C202" s="243"/>
      <c r="D202" s="182"/>
      <c r="E202" s="243"/>
      <c r="F202" s="243"/>
      <c r="G202" s="67"/>
      <c r="H202" s="189"/>
      <c r="I202" s="189"/>
      <c r="J202" s="189">
        <f>SUM(H194:H199)</f>
        <v>126.5475</v>
      </c>
      <c r="K202" s="243"/>
      <c r="M202" s="2"/>
      <c r="Q202" s="184"/>
      <c r="S202" s="543"/>
      <c r="T202" s="543"/>
    </row>
    <row r="203">
      <c r="B203" s="194" t="s">
        <v>385</v>
      </c>
      <c r="C203" s="243"/>
      <c r="D203" s="182"/>
      <c r="E203" s="243"/>
      <c r="F203" s="243"/>
      <c r="G203" s="243"/>
      <c r="H203" s="182">
        <f>J201</f>
        <v>42.685</v>
      </c>
      <c r="I203" s="189">
        <v>0.05</v>
      </c>
      <c r="J203" s="182">
        <f>H203*I203</f>
        <v>2.13425</v>
      </c>
      <c r="K203" s="243"/>
      <c r="M203" s="2"/>
      <c r="Q203" s="184"/>
      <c r="S203" s="543"/>
      <c r="T203" s="543"/>
    </row>
    <row r="204">
      <c r="B204" s="194" t="s">
        <v>716</v>
      </c>
      <c r="C204" s="243"/>
      <c r="D204" s="182"/>
      <c r="E204" s="243"/>
      <c r="F204" s="243"/>
      <c r="G204" s="243"/>
      <c r="H204" s="182"/>
      <c r="I204" s="182"/>
      <c r="J204" s="182">
        <f>SUM(J194:J199)</f>
        <v>47.3</v>
      </c>
      <c r="K204" s="243"/>
      <c r="M204" s="2"/>
      <c r="Q204" s="184"/>
      <c r="S204" s="543"/>
      <c r="T204" s="543"/>
    </row>
    <row r="205">
      <c r="B205" s="194" t="s">
        <v>679</v>
      </c>
      <c r="C205" s="67"/>
      <c r="D205" s="189"/>
      <c r="E205" s="243"/>
      <c r="F205" s="243"/>
      <c r="G205" s="243"/>
      <c r="H205" s="182">
        <f>137.7+8.8</f>
        <v>146.5</v>
      </c>
      <c r="I205" s="182">
        <f>-J204</f>
        <v>-47.3</v>
      </c>
      <c r="J205" s="182">
        <f>H205+I205</f>
        <v>99.2</v>
      </c>
      <c r="K205" s="243"/>
      <c r="M205" s="2"/>
      <c r="Q205" s="184"/>
      <c r="S205" s="543"/>
      <c r="T205" s="543"/>
    </row>
    <row r="206">
      <c r="B206" s="194"/>
      <c r="C206" s="67" t="s">
        <v>683</v>
      </c>
      <c r="D206" s="189" t="s">
        <v>108</v>
      </c>
      <c r="E206" s="67" t="s">
        <v>684</v>
      </c>
      <c r="F206" s="243"/>
      <c r="G206" s="67"/>
      <c r="H206" s="189"/>
      <c r="I206" s="189"/>
      <c r="J206" s="189" t="s">
        <v>718</v>
      </c>
      <c r="K206" s="243"/>
      <c r="Q206" s="184"/>
      <c r="S206" s="543"/>
      <c r="T206" s="543"/>
    </row>
    <row r="207">
      <c r="B207" s="194" t="s">
        <v>719</v>
      </c>
      <c r="C207" s="67" t="s">
        <v>686</v>
      </c>
      <c r="D207" s="189">
        <v>45.0</v>
      </c>
      <c r="E207" s="67">
        <v>0.154</v>
      </c>
      <c r="F207" s="243"/>
      <c r="G207" s="243"/>
      <c r="H207" s="182"/>
      <c r="I207" s="182"/>
      <c r="J207" s="182">
        <f t="shared" ref="J207:J210" si="32">D207*E207</f>
        <v>6.93</v>
      </c>
      <c r="K207" s="243"/>
      <c r="M207" s="2"/>
      <c r="Q207" s="184"/>
      <c r="S207" s="543"/>
      <c r="T207" s="543"/>
    </row>
    <row r="208">
      <c r="B208" s="194"/>
      <c r="C208" s="67" t="s">
        <v>720</v>
      </c>
      <c r="D208" s="189">
        <v>661.56</v>
      </c>
      <c r="E208" s="243">
        <f>0.395</f>
        <v>0.395</v>
      </c>
      <c r="F208" s="243"/>
      <c r="G208" s="243"/>
      <c r="H208" s="182"/>
      <c r="I208" s="182"/>
      <c r="J208" s="182">
        <f t="shared" si="32"/>
        <v>261.3162</v>
      </c>
      <c r="K208" s="243"/>
      <c r="M208" s="2"/>
      <c r="Q208" s="184"/>
      <c r="S208" s="543"/>
      <c r="T208" s="543"/>
    </row>
    <row r="209">
      <c r="B209" s="194"/>
      <c r="C209" s="209">
        <v>10.0</v>
      </c>
      <c r="D209" s="189">
        <v>198.72</v>
      </c>
      <c r="E209" s="67">
        <v>0.617</v>
      </c>
      <c r="F209" s="243"/>
      <c r="G209" s="243"/>
      <c r="H209" s="182"/>
      <c r="I209" s="182"/>
      <c r="J209" s="182">
        <f t="shared" si="32"/>
        <v>122.61024</v>
      </c>
      <c r="K209" s="243"/>
      <c r="M209" s="2"/>
      <c r="Q209" s="184"/>
      <c r="S209" s="543"/>
      <c r="T209" s="543"/>
    </row>
    <row r="210">
      <c r="B210" s="194"/>
      <c r="C210" s="208">
        <v>45424.0</v>
      </c>
      <c r="D210" s="189">
        <v>0.0</v>
      </c>
      <c r="E210" s="67">
        <v>0.963</v>
      </c>
      <c r="F210" s="243"/>
      <c r="G210" s="243"/>
      <c r="H210" s="182"/>
      <c r="I210" s="182"/>
      <c r="J210" s="182">
        <f t="shared" si="32"/>
        <v>0</v>
      </c>
      <c r="K210" s="243"/>
      <c r="Q210" s="184"/>
      <c r="S210" s="543"/>
      <c r="T210" s="543"/>
    </row>
    <row r="211">
      <c r="B211" s="194"/>
      <c r="C211" s="67"/>
      <c r="D211" s="182"/>
      <c r="E211" s="67"/>
      <c r="F211" s="243"/>
      <c r="G211" s="243"/>
      <c r="H211" s="182"/>
      <c r="I211" s="182"/>
      <c r="J211" s="182"/>
      <c r="K211" s="243"/>
      <c r="Q211" s="184"/>
      <c r="S211" s="543"/>
      <c r="T211" s="543"/>
    </row>
    <row r="212">
      <c r="B212" s="194" t="s">
        <v>722</v>
      </c>
      <c r="C212" s="67" t="s">
        <v>686</v>
      </c>
      <c r="D212" s="189">
        <v>759.56</v>
      </c>
      <c r="E212" s="67">
        <v>0.154</v>
      </c>
      <c r="F212" s="243"/>
      <c r="G212" s="243"/>
      <c r="H212" s="182"/>
      <c r="I212" s="182"/>
      <c r="J212" s="182">
        <f t="shared" ref="J212:J215" si="33">D212*E212</f>
        <v>116.97224</v>
      </c>
      <c r="K212" s="243"/>
      <c r="M212" s="2"/>
      <c r="Q212" s="184"/>
      <c r="S212" s="543"/>
      <c r="T212" s="543"/>
    </row>
    <row r="213">
      <c r="B213" s="194"/>
      <c r="C213" s="208">
        <v>45357.0</v>
      </c>
      <c r="D213" s="189">
        <v>0.0</v>
      </c>
      <c r="E213" s="67">
        <v>0.245</v>
      </c>
      <c r="F213" s="243"/>
      <c r="G213" s="243"/>
      <c r="H213" s="182"/>
      <c r="I213" s="182"/>
      <c r="J213" s="182">
        <f t="shared" si="33"/>
        <v>0</v>
      </c>
      <c r="K213" s="243"/>
      <c r="M213" s="2"/>
      <c r="Q213" s="184"/>
      <c r="S213" s="543"/>
      <c r="T213" s="543"/>
    </row>
    <row r="214">
      <c r="B214" s="194"/>
      <c r="C214" s="209">
        <v>10.0</v>
      </c>
      <c r="D214" s="189">
        <v>80.64</v>
      </c>
      <c r="E214" s="67">
        <v>0.617</v>
      </c>
      <c r="F214" s="243"/>
      <c r="G214" s="243"/>
      <c r="H214" s="182"/>
      <c r="I214" s="182"/>
      <c r="J214" s="182">
        <f t="shared" si="33"/>
        <v>49.75488</v>
      </c>
      <c r="K214" s="243"/>
      <c r="M214" s="2"/>
      <c r="Q214" s="184"/>
      <c r="S214" s="543"/>
      <c r="T214" s="543"/>
    </row>
    <row r="215">
      <c r="B215" s="194"/>
      <c r="C215" s="208">
        <v>45424.0</v>
      </c>
      <c r="D215" s="189">
        <v>382.24</v>
      </c>
      <c r="E215" s="67">
        <v>0.963</v>
      </c>
      <c r="F215" s="243"/>
      <c r="G215" s="243"/>
      <c r="H215" s="182"/>
      <c r="I215" s="182"/>
      <c r="J215" s="182">
        <f t="shared" si="33"/>
        <v>368.09712</v>
      </c>
      <c r="K215" s="243"/>
      <c r="M215" s="2"/>
      <c r="Q215" s="184"/>
      <c r="S215" s="543"/>
      <c r="T215" s="543"/>
    </row>
    <row r="216">
      <c r="B216" s="194"/>
      <c r="C216" s="243"/>
      <c r="D216" s="182"/>
      <c r="E216" s="243"/>
      <c r="F216" s="243"/>
      <c r="G216" s="67"/>
      <c r="H216" s="189"/>
      <c r="I216" s="189"/>
      <c r="J216" s="189" t="s">
        <v>1676</v>
      </c>
      <c r="K216" s="243"/>
      <c r="Q216" s="184"/>
      <c r="S216" s="543"/>
      <c r="T216" s="543"/>
    </row>
    <row r="217">
      <c r="B217" s="194" t="s">
        <v>1699</v>
      </c>
      <c r="C217" s="243"/>
      <c r="D217" s="182"/>
      <c r="E217" s="243"/>
      <c r="F217" s="243"/>
      <c r="G217" s="243"/>
      <c r="H217" s="182"/>
      <c r="I217" s="182"/>
      <c r="J217" s="182">
        <f>16.54+1.27</f>
        <v>17.81</v>
      </c>
      <c r="K217" s="243"/>
      <c r="Q217" s="184"/>
      <c r="S217" s="543"/>
      <c r="T217" s="543"/>
    </row>
    <row r="218">
      <c r="B218" s="546" t="s">
        <v>1700</v>
      </c>
      <c r="C218" s="28"/>
      <c r="D218" s="28"/>
      <c r="E218" s="28"/>
      <c r="F218" s="28"/>
      <c r="G218" s="28"/>
      <c r="H218" s="28"/>
      <c r="I218" s="28"/>
      <c r="J218" s="28"/>
      <c r="K218" s="29"/>
      <c r="Q218" s="184"/>
      <c r="S218" s="543"/>
      <c r="T218" s="543"/>
    </row>
    <row r="219">
      <c r="B219" s="194" t="s">
        <v>1631</v>
      </c>
      <c r="C219" s="67" t="s">
        <v>695</v>
      </c>
      <c r="D219" s="189" t="s">
        <v>696</v>
      </c>
      <c r="E219" s="67" t="s">
        <v>1632</v>
      </c>
      <c r="F219" s="67" t="s">
        <v>1633</v>
      </c>
      <c r="G219" s="67" t="s">
        <v>1634</v>
      </c>
      <c r="H219" s="189" t="s">
        <v>1635</v>
      </c>
      <c r="I219" s="189" t="s">
        <v>1636</v>
      </c>
      <c r="J219" s="189" t="s">
        <v>1637</v>
      </c>
      <c r="K219" s="67" t="s">
        <v>1638</v>
      </c>
      <c r="Q219" s="184"/>
      <c r="S219" s="543"/>
      <c r="T219" s="543"/>
    </row>
    <row r="220">
      <c r="B220" s="67" t="s">
        <v>723</v>
      </c>
      <c r="C220" s="67">
        <v>1.0</v>
      </c>
      <c r="D220" s="67">
        <f t="shared" ref="D220:D221" si="34">28.67/2</f>
        <v>14.335</v>
      </c>
      <c r="E220" s="67">
        <v>0.2</v>
      </c>
      <c r="F220" s="67">
        <v>0.5</v>
      </c>
      <c r="G220" s="67">
        <v>0.55</v>
      </c>
      <c r="H220" s="182">
        <f t="shared" ref="H220:H228" si="35">D220*(E220+0.4)*G220</f>
        <v>4.73055</v>
      </c>
      <c r="I220" s="182">
        <f t="shared" ref="I220:I228" si="36">C220*D220*E220</f>
        <v>2.867</v>
      </c>
      <c r="J220" s="182">
        <f t="shared" ref="J220:J228" si="37">2*(C220*D220*F220)</f>
        <v>14.335</v>
      </c>
      <c r="K220" s="243">
        <f t="shared" ref="K220:K228" si="38">D220*(E220+F220*2)</f>
        <v>17.202</v>
      </c>
      <c r="Q220" s="184"/>
      <c r="S220" s="543"/>
      <c r="T220" s="543"/>
    </row>
    <row r="221">
      <c r="B221" s="67" t="s">
        <v>724</v>
      </c>
      <c r="C221" s="67">
        <v>1.0</v>
      </c>
      <c r="D221" s="67">
        <f t="shared" si="34"/>
        <v>14.335</v>
      </c>
      <c r="E221" s="67">
        <v>0.2</v>
      </c>
      <c r="F221" s="67">
        <v>0.5</v>
      </c>
      <c r="G221" s="67">
        <v>0.55</v>
      </c>
      <c r="H221" s="182">
        <f t="shared" si="35"/>
        <v>4.73055</v>
      </c>
      <c r="I221" s="182">
        <f t="shared" si="36"/>
        <v>2.867</v>
      </c>
      <c r="J221" s="182">
        <f t="shared" si="37"/>
        <v>14.335</v>
      </c>
      <c r="K221" s="243">
        <f t="shared" si="38"/>
        <v>17.202</v>
      </c>
      <c r="Q221" s="184"/>
      <c r="S221" s="543"/>
      <c r="T221" s="543"/>
    </row>
    <row r="222">
      <c r="B222" s="67" t="s">
        <v>725</v>
      </c>
      <c r="C222" s="67">
        <v>1.0</v>
      </c>
      <c r="D222" s="67">
        <f t="shared" ref="D222:D223" si="39">54/2</f>
        <v>27</v>
      </c>
      <c r="E222" s="67">
        <v>0.2</v>
      </c>
      <c r="F222" s="67">
        <v>0.5</v>
      </c>
      <c r="G222" s="67">
        <v>0.55</v>
      </c>
      <c r="H222" s="182">
        <f t="shared" si="35"/>
        <v>8.91</v>
      </c>
      <c r="I222" s="182">
        <f t="shared" si="36"/>
        <v>5.4</v>
      </c>
      <c r="J222" s="182">
        <f t="shared" si="37"/>
        <v>27</v>
      </c>
      <c r="K222" s="243">
        <f t="shared" si="38"/>
        <v>32.4</v>
      </c>
      <c r="Q222" s="184"/>
      <c r="S222" s="543"/>
      <c r="T222" s="543"/>
    </row>
    <row r="223">
      <c r="B223" s="67" t="s">
        <v>726</v>
      </c>
      <c r="C223" s="67">
        <v>1.0</v>
      </c>
      <c r="D223" s="67">
        <f t="shared" si="39"/>
        <v>27</v>
      </c>
      <c r="E223" s="67">
        <v>0.2</v>
      </c>
      <c r="F223" s="67">
        <v>0.5</v>
      </c>
      <c r="G223" s="67">
        <v>0.55</v>
      </c>
      <c r="H223" s="182">
        <f t="shared" si="35"/>
        <v>8.91</v>
      </c>
      <c r="I223" s="182">
        <f t="shared" si="36"/>
        <v>5.4</v>
      </c>
      <c r="J223" s="182">
        <f t="shared" si="37"/>
        <v>27</v>
      </c>
      <c r="K223" s="243">
        <f t="shared" si="38"/>
        <v>32.4</v>
      </c>
      <c r="Q223" s="184"/>
      <c r="S223" s="543"/>
      <c r="T223" s="543"/>
    </row>
    <row r="224">
      <c r="B224" s="67" t="s">
        <v>727</v>
      </c>
      <c r="C224" s="67">
        <v>1.0</v>
      </c>
      <c r="D224" s="189">
        <f>35/2</f>
        <v>17.5</v>
      </c>
      <c r="E224" s="67">
        <v>0.2</v>
      </c>
      <c r="F224" s="67">
        <v>0.5</v>
      </c>
      <c r="G224" s="67">
        <v>0.55</v>
      </c>
      <c r="H224" s="182">
        <f t="shared" si="35"/>
        <v>5.775</v>
      </c>
      <c r="I224" s="182">
        <f t="shared" si="36"/>
        <v>3.5</v>
      </c>
      <c r="J224" s="182">
        <f t="shared" si="37"/>
        <v>17.5</v>
      </c>
      <c r="K224" s="243">
        <f t="shared" si="38"/>
        <v>21</v>
      </c>
      <c r="Q224" s="184"/>
      <c r="S224" s="543"/>
      <c r="T224" s="543"/>
    </row>
    <row r="225">
      <c r="B225" s="67" t="s">
        <v>728</v>
      </c>
      <c r="C225" s="67">
        <v>1.0</v>
      </c>
      <c r="D225" s="182">
        <f t="shared" ref="D225:D226" si="40">25.4/2</f>
        <v>12.7</v>
      </c>
      <c r="E225" s="67">
        <v>0.2</v>
      </c>
      <c r="F225" s="67">
        <v>0.5</v>
      </c>
      <c r="G225" s="67">
        <v>0.55</v>
      </c>
      <c r="H225" s="182">
        <f t="shared" si="35"/>
        <v>4.191</v>
      </c>
      <c r="I225" s="182">
        <f t="shared" si="36"/>
        <v>2.54</v>
      </c>
      <c r="J225" s="182">
        <f t="shared" si="37"/>
        <v>12.7</v>
      </c>
      <c r="K225" s="243">
        <f t="shared" si="38"/>
        <v>15.24</v>
      </c>
      <c r="Q225" s="184"/>
      <c r="S225" s="543"/>
      <c r="T225" s="543"/>
    </row>
    <row r="226">
      <c r="B226" s="67" t="s">
        <v>729</v>
      </c>
      <c r="C226" s="67">
        <v>1.0</v>
      </c>
      <c r="D226" s="182">
        <f t="shared" si="40"/>
        <v>12.7</v>
      </c>
      <c r="E226" s="67">
        <v>0.2</v>
      </c>
      <c r="F226" s="67">
        <v>0.5</v>
      </c>
      <c r="G226" s="67">
        <v>0.55</v>
      </c>
      <c r="H226" s="182">
        <f t="shared" si="35"/>
        <v>4.191</v>
      </c>
      <c r="I226" s="182">
        <f t="shared" si="36"/>
        <v>2.54</v>
      </c>
      <c r="J226" s="182">
        <f t="shared" si="37"/>
        <v>12.7</v>
      </c>
      <c r="K226" s="243">
        <f t="shared" si="38"/>
        <v>15.24</v>
      </c>
      <c r="Q226" s="184"/>
      <c r="S226" s="543"/>
      <c r="T226" s="543"/>
    </row>
    <row r="227">
      <c r="B227" s="67" t="s">
        <v>730</v>
      </c>
      <c r="C227" s="67">
        <v>1.0</v>
      </c>
      <c r="D227" s="189">
        <f>59.4/2</f>
        <v>29.7</v>
      </c>
      <c r="E227" s="67">
        <v>0.2</v>
      </c>
      <c r="F227" s="67">
        <v>0.5</v>
      </c>
      <c r="G227" s="67">
        <v>0.55</v>
      </c>
      <c r="H227" s="182">
        <f t="shared" si="35"/>
        <v>9.801</v>
      </c>
      <c r="I227" s="182">
        <f t="shared" si="36"/>
        <v>5.94</v>
      </c>
      <c r="J227" s="182">
        <f t="shared" si="37"/>
        <v>29.7</v>
      </c>
      <c r="K227" s="243">
        <f t="shared" si="38"/>
        <v>35.64</v>
      </c>
      <c r="Q227" s="184"/>
      <c r="S227" s="543"/>
      <c r="T227" s="543"/>
    </row>
    <row r="228">
      <c r="B228" s="67" t="s">
        <v>731</v>
      </c>
      <c r="C228" s="67">
        <v>1.0</v>
      </c>
      <c r="D228" s="182">
        <f>19.65/2</f>
        <v>9.825</v>
      </c>
      <c r="E228" s="67">
        <v>0.2</v>
      </c>
      <c r="F228" s="67">
        <v>0.5</v>
      </c>
      <c r="G228" s="67">
        <v>0.55</v>
      </c>
      <c r="H228" s="182">
        <f t="shared" si="35"/>
        <v>3.24225</v>
      </c>
      <c r="I228" s="182">
        <f t="shared" si="36"/>
        <v>1.965</v>
      </c>
      <c r="J228" s="182">
        <f t="shared" si="37"/>
        <v>9.825</v>
      </c>
      <c r="K228" s="243">
        <f t="shared" si="38"/>
        <v>11.79</v>
      </c>
      <c r="Q228" s="184"/>
      <c r="S228" s="543"/>
      <c r="T228" s="543"/>
    </row>
    <row r="229">
      <c r="B229" s="67"/>
      <c r="C229" s="67"/>
      <c r="D229" s="67"/>
      <c r="E229" s="67"/>
      <c r="F229" s="67"/>
      <c r="G229" s="67"/>
      <c r="H229" s="182"/>
      <c r="I229" s="182"/>
      <c r="J229" s="182"/>
      <c r="K229" s="243"/>
      <c r="Q229" s="184"/>
      <c r="S229" s="543"/>
      <c r="T229" s="543"/>
    </row>
    <row r="230">
      <c r="B230" s="67" t="s">
        <v>666</v>
      </c>
      <c r="C230" s="67">
        <v>8.0</v>
      </c>
      <c r="D230" s="189">
        <v>0.2</v>
      </c>
      <c r="E230" s="67">
        <v>0.2</v>
      </c>
      <c r="F230" s="67">
        <v>3.2</v>
      </c>
      <c r="G230" s="243"/>
      <c r="H230" s="182"/>
      <c r="I230" s="182"/>
      <c r="J230" s="182"/>
      <c r="K230" s="243">
        <f t="shared" ref="K230:K231" si="41">C230*((D230+E230)*2)*F230</f>
        <v>20.48</v>
      </c>
      <c r="Q230" s="184"/>
      <c r="S230" s="543"/>
      <c r="T230" s="543"/>
    </row>
    <row r="231">
      <c r="B231" s="67" t="s">
        <v>1743</v>
      </c>
      <c r="C231" s="67">
        <f>44-C230</f>
        <v>36</v>
      </c>
      <c r="D231" s="189">
        <v>0.3</v>
      </c>
      <c r="E231" s="67">
        <v>0.3</v>
      </c>
      <c r="F231" s="67">
        <v>3.2</v>
      </c>
      <c r="G231" s="243"/>
      <c r="H231" s="182"/>
      <c r="I231" s="182"/>
      <c r="J231" s="182"/>
      <c r="K231" s="243">
        <f t="shared" si="41"/>
        <v>138.24</v>
      </c>
      <c r="M231" s="2"/>
      <c r="N231" s="2"/>
      <c r="O231" s="2"/>
      <c r="P231" s="2"/>
      <c r="Q231" s="184"/>
      <c r="S231" s="543"/>
      <c r="T231" s="543"/>
    </row>
    <row r="232">
      <c r="B232" s="67"/>
      <c r="C232" s="243"/>
      <c r="D232" s="182"/>
      <c r="E232" s="243"/>
      <c r="F232" s="67"/>
      <c r="G232" s="243"/>
      <c r="H232" s="182"/>
      <c r="I232" s="182"/>
      <c r="J232" s="182"/>
      <c r="K232" s="243"/>
      <c r="Q232" s="184"/>
      <c r="S232" s="543"/>
      <c r="T232" s="543"/>
    </row>
    <row r="233">
      <c r="B233" s="67" t="s">
        <v>1275</v>
      </c>
      <c r="C233" s="243"/>
      <c r="D233" s="182"/>
      <c r="E233" s="243"/>
      <c r="F233" s="243"/>
      <c r="G233" s="243"/>
      <c r="H233" s="182"/>
      <c r="I233" s="182"/>
      <c r="J233" s="182">
        <f>SUM(K230:K231)</f>
        <v>158.72</v>
      </c>
      <c r="K233" s="243"/>
      <c r="Q233" s="184"/>
      <c r="S233" s="543"/>
      <c r="T233" s="543"/>
    </row>
    <row r="234">
      <c r="B234" s="67" t="s">
        <v>1018</v>
      </c>
      <c r="C234" s="243"/>
      <c r="D234" s="182"/>
      <c r="E234" s="243"/>
      <c r="F234" s="243"/>
      <c r="G234" s="243"/>
      <c r="H234" s="182"/>
      <c r="I234" s="182"/>
      <c r="J234" s="182">
        <f>SUM(K220:K228)</f>
        <v>198.114</v>
      </c>
      <c r="K234" s="243"/>
      <c r="Q234" s="184"/>
      <c r="S234" s="543"/>
      <c r="T234" s="543"/>
    </row>
    <row r="235">
      <c r="B235" s="194" t="s">
        <v>1698</v>
      </c>
      <c r="C235" s="243"/>
      <c r="D235" s="182"/>
      <c r="E235" s="243"/>
      <c r="F235" s="243"/>
      <c r="G235" s="67"/>
      <c r="H235" s="189"/>
      <c r="I235" s="189"/>
      <c r="J235" s="189">
        <f>SUM(I220:I228)</f>
        <v>33.019</v>
      </c>
      <c r="K235" s="243"/>
      <c r="M235" s="2"/>
      <c r="Q235" s="184"/>
      <c r="S235" s="543"/>
      <c r="T235" s="543"/>
    </row>
    <row r="236">
      <c r="B236" s="194" t="s">
        <v>674</v>
      </c>
      <c r="C236" s="243"/>
      <c r="D236" s="182"/>
      <c r="E236" s="243"/>
      <c r="F236" s="243"/>
      <c r="G236" s="67"/>
      <c r="H236" s="189"/>
      <c r="I236" s="189"/>
      <c r="J236" s="189">
        <f>SUM(H220:H228)</f>
        <v>54.48135</v>
      </c>
      <c r="K236" s="243"/>
      <c r="M236" s="2"/>
      <c r="Q236" s="184"/>
      <c r="S236" s="543"/>
      <c r="T236" s="543"/>
    </row>
    <row r="237">
      <c r="B237" s="194" t="s">
        <v>385</v>
      </c>
      <c r="C237" s="243"/>
      <c r="D237" s="182"/>
      <c r="E237" s="243"/>
      <c r="F237" s="243"/>
      <c r="G237" s="243"/>
      <c r="H237" s="182">
        <f>J235</f>
        <v>33.019</v>
      </c>
      <c r="I237" s="189">
        <v>0.05</v>
      </c>
      <c r="J237" s="182">
        <f>H237*I237</f>
        <v>1.65095</v>
      </c>
      <c r="K237" s="243"/>
      <c r="M237" s="2"/>
      <c r="Q237" s="184"/>
      <c r="S237" s="543"/>
      <c r="T237" s="543"/>
    </row>
    <row r="238">
      <c r="B238" s="67" t="s">
        <v>747</v>
      </c>
      <c r="C238" s="243"/>
      <c r="D238" s="182"/>
      <c r="E238" s="243"/>
      <c r="F238" s="243"/>
      <c r="G238" s="243"/>
      <c r="H238" s="182"/>
      <c r="I238" s="182"/>
      <c r="J238" s="182">
        <f>150.73+47.43</f>
        <v>198.16</v>
      </c>
      <c r="K238" s="243"/>
      <c r="M238" s="2"/>
      <c r="Q238" s="184"/>
      <c r="S238" s="543"/>
      <c r="T238" s="543"/>
    </row>
    <row r="239">
      <c r="B239" s="67" t="s">
        <v>748</v>
      </c>
      <c r="C239" s="243"/>
      <c r="D239" s="182"/>
      <c r="E239" s="243"/>
      <c r="F239" s="243"/>
      <c r="G239" s="67"/>
      <c r="H239" s="189"/>
      <c r="I239" s="189"/>
      <c r="J239" s="189">
        <f>11.55+3.62</f>
        <v>15.17</v>
      </c>
      <c r="K239" s="243"/>
      <c r="Q239" s="184"/>
      <c r="S239" s="543"/>
      <c r="T239" s="543"/>
    </row>
    <row r="240">
      <c r="B240" s="194"/>
      <c r="C240" s="67" t="s">
        <v>683</v>
      </c>
      <c r="D240" s="189" t="s">
        <v>108</v>
      </c>
      <c r="E240" s="67" t="s">
        <v>684</v>
      </c>
      <c r="F240" s="243"/>
      <c r="G240" s="243"/>
      <c r="H240" s="182"/>
      <c r="I240" s="182"/>
      <c r="J240" s="182"/>
      <c r="K240" s="243"/>
      <c r="Q240" s="184"/>
      <c r="S240" s="543"/>
      <c r="T240" s="543"/>
    </row>
    <row r="241">
      <c r="B241" s="194" t="s">
        <v>685</v>
      </c>
      <c r="C241" s="67" t="s">
        <v>686</v>
      </c>
      <c r="D241" s="189">
        <f>756.9+240</f>
        <v>996.9</v>
      </c>
      <c r="E241" s="67">
        <v>0.154</v>
      </c>
      <c r="F241" s="243"/>
      <c r="G241" s="243"/>
      <c r="H241" s="182"/>
      <c r="I241" s="182"/>
      <c r="J241" s="182">
        <f t="shared" ref="J241:J245" si="42">D241*E241</f>
        <v>153.5226</v>
      </c>
      <c r="K241" s="243"/>
      <c r="Q241" s="184"/>
      <c r="S241" s="543"/>
      <c r="T241" s="543"/>
    </row>
    <row r="242">
      <c r="B242" s="194"/>
      <c r="C242" s="208">
        <v>45357.0</v>
      </c>
      <c r="D242" s="189"/>
      <c r="E242" s="67">
        <v>0.245</v>
      </c>
      <c r="F242" s="243"/>
      <c r="G242" s="243"/>
      <c r="H242" s="182"/>
      <c r="I242" s="182"/>
      <c r="J242" s="182">
        <f t="shared" si="42"/>
        <v>0</v>
      </c>
      <c r="K242" s="243"/>
      <c r="Q242" s="184"/>
      <c r="S242" s="543"/>
      <c r="T242" s="543"/>
    </row>
    <row r="243">
      <c r="B243" s="194"/>
      <c r="C243" s="209">
        <v>8.0</v>
      </c>
      <c r="D243" s="189"/>
      <c r="E243" s="67">
        <v>0.395</v>
      </c>
      <c r="F243" s="243"/>
      <c r="G243" s="243"/>
      <c r="H243" s="182"/>
      <c r="I243" s="182"/>
      <c r="J243" s="182">
        <f t="shared" si="42"/>
        <v>0</v>
      </c>
      <c r="K243" s="243"/>
      <c r="Q243" s="184"/>
      <c r="S243" s="543"/>
      <c r="T243" s="543"/>
    </row>
    <row r="244">
      <c r="B244" s="194"/>
      <c r="C244" s="209">
        <v>10.0</v>
      </c>
      <c r="D244" s="189">
        <f>524.1+162.7</f>
        <v>686.8</v>
      </c>
      <c r="E244" s="67">
        <v>0.617</v>
      </c>
      <c r="F244" s="243"/>
      <c r="G244" s="243"/>
      <c r="H244" s="182"/>
      <c r="I244" s="182"/>
      <c r="J244" s="182">
        <f t="shared" si="42"/>
        <v>423.7556</v>
      </c>
      <c r="K244" s="243"/>
      <c r="Q244" s="184"/>
      <c r="S244" s="543"/>
      <c r="T244" s="543"/>
    </row>
    <row r="245">
      <c r="B245" s="194"/>
      <c r="C245" s="208">
        <v>45424.0</v>
      </c>
      <c r="D245" s="189"/>
      <c r="E245" s="67">
        <v>0.963</v>
      </c>
      <c r="F245" s="243"/>
      <c r="G245" s="243"/>
      <c r="H245" s="182"/>
      <c r="I245" s="182"/>
      <c r="J245" s="182">
        <f t="shared" si="42"/>
        <v>0</v>
      </c>
      <c r="K245" s="243"/>
      <c r="Q245" s="184"/>
      <c r="S245" s="543"/>
      <c r="T245" s="543"/>
    </row>
    <row r="246">
      <c r="B246" s="67"/>
      <c r="C246" s="67" t="s">
        <v>751</v>
      </c>
      <c r="D246" s="189" t="s">
        <v>752</v>
      </c>
      <c r="E246" s="67" t="s">
        <v>212</v>
      </c>
      <c r="F246" s="243"/>
      <c r="G246" s="243"/>
      <c r="H246" s="182"/>
      <c r="I246" s="182"/>
      <c r="J246" s="182"/>
      <c r="K246" s="243"/>
      <c r="Q246" s="184"/>
      <c r="S246" s="543"/>
      <c r="T246" s="543"/>
    </row>
    <row r="247">
      <c r="B247" s="67" t="s">
        <v>339</v>
      </c>
      <c r="C247" s="182">
        <f>J202+J236</f>
        <v>181.02885</v>
      </c>
      <c r="D247" s="182">
        <f>J217+J239+J203+J237</f>
        <v>36.7652</v>
      </c>
      <c r="E247" s="182">
        <f>C247-D247</f>
        <v>144.26365</v>
      </c>
      <c r="F247" s="243"/>
      <c r="G247" s="243"/>
      <c r="H247" s="182"/>
      <c r="I247" s="182"/>
      <c r="J247" s="182"/>
      <c r="K247" s="243"/>
      <c r="M247" s="2"/>
      <c r="Q247" s="184"/>
      <c r="S247" s="543"/>
      <c r="T247" s="543"/>
    </row>
    <row r="248">
      <c r="D248" s="184"/>
      <c r="H248" s="184"/>
      <c r="I248" s="184"/>
      <c r="J248" s="184"/>
      <c r="Q248" s="184"/>
      <c r="S248" s="543"/>
      <c r="T248" s="543"/>
    </row>
    <row r="249">
      <c r="D249" s="184"/>
      <c r="H249" s="184"/>
      <c r="I249" s="184"/>
      <c r="J249" s="184"/>
      <c r="Q249" s="184"/>
      <c r="S249" s="543"/>
      <c r="T249" s="543"/>
    </row>
    <row r="250">
      <c r="B250" s="544" t="s">
        <v>1735</v>
      </c>
      <c r="C250" s="29"/>
      <c r="D250" s="184"/>
      <c r="H250" s="184"/>
      <c r="I250" s="184"/>
      <c r="J250" s="184"/>
      <c r="Q250" s="184"/>
      <c r="S250" s="543"/>
      <c r="T250" s="543"/>
    </row>
    <row r="251">
      <c r="B251" s="67" t="s">
        <v>763</v>
      </c>
      <c r="C251" s="182">
        <f>J239+J217</f>
        <v>32.98</v>
      </c>
      <c r="D251" s="184"/>
      <c r="H251" s="184"/>
      <c r="I251" s="184"/>
      <c r="J251" s="184"/>
      <c r="Q251" s="184"/>
      <c r="S251" s="543"/>
      <c r="T251" s="543"/>
    </row>
    <row r="252">
      <c r="B252" s="67" t="s">
        <v>1736</v>
      </c>
      <c r="C252" s="182">
        <f>J233+J234</f>
        <v>356.834</v>
      </c>
      <c r="D252" s="184"/>
      <c r="H252" s="184"/>
      <c r="I252" s="184"/>
      <c r="J252" s="184"/>
      <c r="Q252" s="184"/>
      <c r="S252" s="543"/>
      <c r="T252" s="543"/>
    </row>
    <row r="253">
      <c r="B253" s="67" t="s">
        <v>385</v>
      </c>
      <c r="C253" s="182">
        <f>J203+J237</f>
        <v>3.7852</v>
      </c>
      <c r="D253" s="184"/>
      <c r="H253" s="184"/>
      <c r="I253" s="184"/>
      <c r="J253" s="184"/>
      <c r="Q253" s="184"/>
      <c r="S253" s="543"/>
      <c r="T253" s="543"/>
    </row>
    <row r="254">
      <c r="B254" s="194" t="s">
        <v>1698</v>
      </c>
      <c r="C254" s="182">
        <f>J235+J201</f>
        <v>75.704</v>
      </c>
      <c r="D254" s="184"/>
      <c r="H254" s="184"/>
      <c r="I254" s="184"/>
      <c r="J254" s="184"/>
      <c r="Q254" s="184"/>
      <c r="S254" s="543"/>
      <c r="T254" s="543"/>
    </row>
    <row r="255">
      <c r="D255" s="184"/>
      <c r="H255" s="184"/>
      <c r="I255" s="184"/>
      <c r="J255" s="184"/>
      <c r="Q255" s="184"/>
      <c r="S255" s="543"/>
      <c r="T255" s="543"/>
    </row>
    <row r="256">
      <c r="D256" s="184"/>
      <c r="H256" s="184"/>
      <c r="I256" s="184"/>
      <c r="J256" s="184"/>
      <c r="Q256" s="184"/>
      <c r="S256" s="543"/>
      <c r="T256" s="543"/>
    </row>
    <row r="257">
      <c r="D257" s="184"/>
      <c r="H257" s="184"/>
      <c r="I257" s="184"/>
      <c r="J257" s="184"/>
      <c r="Q257" s="184"/>
      <c r="S257" s="543"/>
      <c r="T257" s="543"/>
    </row>
    <row r="258">
      <c r="D258" s="184"/>
      <c r="H258" s="184"/>
      <c r="I258" s="184"/>
      <c r="J258" s="184"/>
      <c r="Q258" s="184"/>
      <c r="S258" s="543"/>
      <c r="T258" s="543"/>
    </row>
    <row r="259">
      <c r="D259" s="184"/>
      <c r="H259" s="184"/>
      <c r="I259" s="184"/>
      <c r="J259" s="184"/>
      <c r="Q259" s="184"/>
      <c r="S259" s="543"/>
      <c r="T259" s="543"/>
    </row>
    <row r="260">
      <c r="D260" s="184"/>
      <c r="H260" s="184"/>
      <c r="I260" s="184"/>
      <c r="J260" s="184"/>
      <c r="Q260" s="184"/>
      <c r="S260" s="543"/>
      <c r="T260" s="543"/>
    </row>
    <row r="261">
      <c r="D261" s="184"/>
      <c r="H261" s="184"/>
      <c r="I261" s="565"/>
      <c r="J261" s="184"/>
      <c r="Q261" s="184"/>
      <c r="S261" s="543"/>
      <c r="T261" s="543"/>
    </row>
    <row r="262">
      <c r="D262" s="184"/>
      <c r="H262" s="184"/>
      <c r="I262" s="565"/>
      <c r="J262" s="184"/>
      <c r="Q262" s="184"/>
      <c r="S262" s="543"/>
      <c r="T262" s="543"/>
    </row>
    <row r="263">
      <c r="D263" s="184"/>
      <c r="H263" s="184"/>
      <c r="I263" s="565"/>
      <c r="J263" s="184"/>
      <c r="Q263" s="184"/>
      <c r="S263" s="543"/>
      <c r="T263" s="543"/>
    </row>
    <row r="264">
      <c r="D264" s="184"/>
      <c r="H264" s="184"/>
      <c r="I264" s="565"/>
      <c r="J264" s="184"/>
      <c r="Q264" s="184"/>
      <c r="S264" s="543"/>
      <c r="T264" s="543"/>
    </row>
    <row r="265">
      <c r="D265" s="184"/>
      <c r="H265" s="184"/>
      <c r="I265" s="565"/>
      <c r="J265" s="184"/>
      <c r="Q265" s="184"/>
      <c r="S265" s="543"/>
      <c r="T265" s="543"/>
    </row>
    <row r="266">
      <c r="D266" s="184"/>
      <c r="H266" s="184"/>
      <c r="I266" s="565"/>
      <c r="J266" s="184"/>
      <c r="Q266" s="184"/>
      <c r="S266" s="543"/>
      <c r="T266" s="543"/>
    </row>
    <row r="267">
      <c r="D267" s="184"/>
      <c r="H267" s="184"/>
      <c r="I267" s="184"/>
      <c r="J267" s="184"/>
      <c r="Q267" s="184"/>
      <c r="S267" s="543"/>
      <c r="T267" s="543"/>
    </row>
    <row r="268">
      <c r="D268" s="184"/>
      <c r="H268" s="184"/>
      <c r="I268" s="565"/>
      <c r="J268" s="184"/>
      <c r="Q268" s="184"/>
      <c r="S268" s="543"/>
      <c r="T268" s="543"/>
    </row>
    <row r="269">
      <c r="D269" s="184"/>
      <c r="H269" s="184"/>
      <c r="I269" s="565"/>
      <c r="J269" s="184"/>
      <c r="Q269" s="184"/>
      <c r="S269" s="543"/>
      <c r="T269" s="543"/>
    </row>
    <row r="270">
      <c r="D270" s="184"/>
      <c r="H270" s="184"/>
      <c r="I270" s="565"/>
      <c r="J270" s="184"/>
      <c r="Q270" s="184"/>
      <c r="S270" s="543"/>
      <c r="T270" s="543"/>
    </row>
    <row r="271">
      <c r="D271" s="184"/>
      <c r="H271" s="184"/>
      <c r="I271" s="565"/>
      <c r="J271" s="184"/>
      <c r="Q271" s="184"/>
      <c r="S271" s="543"/>
      <c r="T271" s="543"/>
    </row>
    <row r="272">
      <c r="D272" s="184"/>
      <c r="H272" s="184"/>
      <c r="I272" s="565"/>
      <c r="J272" s="184"/>
      <c r="Q272" s="184"/>
      <c r="S272" s="543"/>
      <c r="T272" s="543"/>
    </row>
    <row r="273">
      <c r="D273" s="184"/>
      <c r="H273" s="184"/>
      <c r="I273" s="565"/>
      <c r="J273" s="184"/>
      <c r="Q273" s="184"/>
      <c r="S273" s="543"/>
      <c r="T273" s="543"/>
    </row>
    <row r="274">
      <c r="D274" s="184"/>
      <c r="H274" s="184"/>
      <c r="I274" s="565"/>
      <c r="J274" s="184"/>
      <c r="Q274" s="184"/>
      <c r="S274" s="543"/>
      <c r="T274" s="543"/>
    </row>
    <row r="275">
      <c r="D275" s="184"/>
      <c r="H275" s="184"/>
      <c r="J275" s="184"/>
      <c r="Q275" s="184"/>
      <c r="S275" s="543"/>
      <c r="T275" s="543"/>
    </row>
    <row r="276">
      <c r="D276" s="184"/>
      <c r="H276" s="184"/>
      <c r="J276" s="184"/>
      <c r="Q276" s="184"/>
      <c r="S276" s="543"/>
      <c r="T276" s="543"/>
    </row>
    <row r="277">
      <c r="D277" s="184"/>
      <c r="H277" s="184"/>
      <c r="J277" s="184"/>
      <c r="Q277" s="184"/>
      <c r="S277" s="543"/>
      <c r="T277" s="543"/>
    </row>
    <row r="278">
      <c r="D278" s="184"/>
      <c r="H278" s="184"/>
      <c r="I278" s="184"/>
      <c r="J278" s="184"/>
      <c r="Q278" s="184"/>
      <c r="S278" s="543"/>
      <c r="T278" s="543"/>
    </row>
    <row r="279">
      <c r="D279" s="184"/>
      <c r="H279" s="184"/>
      <c r="I279" s="184"/>
      <c r="J279" s="184"/>
      <c r="Q279" s="184"/>
      <c r="S279" s="543"/>
      <c r="T279" s="543"/>
    </row>
    <row r="280">
      <c r="D280" s="184"/>
      <c r="H280" s="184"/>
      <c r="I280" s="184"/>
      <c r="J280" s="184"/>
      <c r="Q280" s="184"/>
      <c r="S280" s="543"/>
      <c r="T280" s="543"/>
    </row>
    <row r="281">
      <c r="D281" s="184"/>
      <c r="H281" s="184"/>
      <c r="I281" s="184"/>
      <c r="J281" s="184"/>
      <c r="Q281" s="184"/>
      <c r="S281" s="543"/>
      <c r="T281" s="543"/>
    </row>
    <row r="282">
      <c r="D282" s="184"/>
      <c r="H282" s="184"/>
      <c r="I282" s="184"/>
      <c r="J282" s="184"/>
      <c r="Q282" s="184"/>
      <c r="S282" s="543"/>
      <c r="T282" s="543"/>
    </row>
    <row r="283">
      <c r="D283" s="184"/>
      <c r="H283" s="184"/>
      <c r="I283" s="184"/>
      <c r="J283" s="184"/>
      <c r="Q283" s="184"/>
      <c r="S283" s="543"/>
      <c r="T283" s="543"/>
    </row>
    <row r="284">
      <c r="D284" s="184"/>
      <c r="H284" s="184"/>
      <c r="I284" s="184"/>
      <c r="J284" s="184"/>
      <c r="Q284" s="184"/>
      <c r="S284" s="543"/>
      <c r="T284" s="543"/>
    </row>
    <row r="285">
      <c r="D285" s="184"/>
      <c r="H285" s="184"/>
      <c r="I285" s="184"/>
      <c r="J285" s="184"/>
      <c r="Q285" s="184"/>
      <c r="S285" s="543"/>
      <c r="T285" s="543"/>
    </row>
    <row r="286">
      <c r="D286" s="184"/>
      <c r="H286" s="184"/>
      <c r="I286" s="184"/>
      <c r="J286" s="184"/>
      <c r="Q286" s="184"/>
      <c r="S286" s="543"/>
      <c r="T286" s="543"/>
    </row>
    <row r="287">
      <c r="D287" s="184"/>
      <c r="H287" s="184"/>
      <c r="I287" s="184"/>
      <c r="J287" s="184"/>
      <c r="Q287" s="184"/>
      <c r="S287" s="543"/>
      <c r="T287" s="543"/>
    </row>
    <row r="288">
      <c r="D288" s="184"/>
      <c r="H288" s="184"/>
      <c r="I288" s="184"/>
      <c r="J288" s="184"/>
      <c r="Q288" s="184"/>
      <c r="S288" s="543"/>
      <c r="T288" s="543"/>
    </row>
    <row r="289">
      <c r="D289" s="184"/>
      <c r="H289" s="184"/>
      <c r="I289" s="184"/>
      <c r="J289" s="184"/>
      <c r="Q289" s="184"/>
      <c r="S289" s="543"/>
      <c r="T289" s="543"/>
    </row>
    <row r="290">
      <c r="D290" s="184"/>
      <c r="H290" s="184"/>
      <c r="I290" s="184"/>
      <c r="J290" s="184"/>
      <c r="Q290" s="184"/>
      <c r="S290" s="543"/>
      <c r="T290" s="543"/>
    </row>
    <row r="291">
      <c r="D291" s="184"/>
      <c r="H291" s="184"/>
      <c r="I291" s="184"/>
      <c r="J291" s="184"/>
      <c r="Q291" s="184"/>
      <c r="S291" s="543"/>
      <c r="T291" s="543"/>
    </row>
    <row r="292">
      <c r="D292" s="184"/>
      <c r="H292" s="184"/>
      <c r="I292" s="184"/>
      <c r="J292" s="184"/>
      <c r="Q292" s="184"/>
      <c r="S292" s="543"/>
      <c r="T292" s="543"/>
    </row>
    <row r="293">
      <c r="D293" s="184"/>
      <c r="H293" s="184"/>
      <c r="I293" s="184"/>
      <c r="J293" s="184"/>
      <c r="Q293" s="184"/>
      <c r="S293" s="543"/>
      <c r="T293" s="543"/>
    </row>
    <row r="294">
      <c r="D294" s="184"/>
      <c r="H294" s="184"/>
      <c r="I294" s="184"/>
      <c r="J294" s="184"/>
      <c r="Q294" s="184"/>
      <c r="S294" s="543"/>
      <c r="T294" s="543"/>
    </row>
    <row r="295">
      <c r="D295" s="184"/>
      <c r="H295" s="184"/>
      <c r="I295" s="184"/>
      <c r="J295" s="184"/>
      <c r="Q295" s="184"/>
      <c r="S295" s="543"/>
      <c r="T295" s="543"/>
    </row>
    <row r="296">
      <c r="D296" s="184"/>
      <c r="H296" s="184"/>
      <c r="I296" s="184"/>
      <c r="J296" s="184"/>
      <c r="Q296" s="184"/>
      <c r="S296" s="543"/>
      <c r="T296" s="543"/>
    </row>
    <row r="297">
      <c r="D297" s="184"/>
      <c r="H297" s="184"/>
      <c r="I297" s="184"/>
      <c r="J297" s="184"/>
      <c r="Q297" s="184"/>
      <c r="S297" s="543"/>
      <c r="T297" s="543"/>
    </row>
    <row r="298">
      <c r="D298" s="184"/>
      <c r="H298" s="184"/>
      <c r="I298" s="184"/>
      <c r="J298" s="184"/>
      <c r="Q298" s="184"/>
      <c r="S298" s="543"/>
      <c r="T298" s="543"/>
    </row>
    <row r="299">
      <c r="D299" s="184"/>
      <c r="H299" s="184"/>
      <c r="I299" s="184"/>
      <c r="J299" s="184"/>
      <c r="Q299" s="184"/>
      <c r="S299" s="543"/>
      <c r="T299" s="543"/>
    </row>
    <row r="300">
      <c r="D300" s="184"/>
      <c r="H300" s="184"/>
      <c r="I300" s="184"/>
      <c r="J300" s="184"/>
      <c r="Q300" s="184"/>
      <c r="S300" s="543"/>
      <c r="T300" s="543"/>
    </row>
    <row r="301">
      <c r="D301" s="184"/>
      <c r="H301" s="184"/>
      <c r="I301" s="184"/>
      <c r="J301" s="184"/>
      <c r="Q301" s="184"/>
      <c r="S301" s="543"/>
      <c r="T301" s="543"/>
    </row>
    <row r="302">
      <c r="D302" s="184"/>
      <c r="H302" s="184"/>
      <c r="I302" s="184"/>
      <c r="J302" s="184"/>
      <c r="Q302" s="184"/>
      <c r="S302" s="543"/>
      <c r="T302" s="543"/>
    </row>
    <row r="303">
      <c r="D303" s="184"/>
      <c r="H303" s="184"/>
      <c r="I303" s="184"/>
      <c r="J303" s="184"/>
      <c r="Q303" s="184"/>
      <c r="S303" s="543"/>
      <c r="T303" s="543"/>
    </row>
    <row r="304">
      <c r="D304" s="184"/>
      <c r="H304" s="184"/>
      <c r="I304" s="184"/>
      <c r="J304" s="184"/>
      <c r="Q304" s="184"/>
      <c r="S304" s="543"/>
      <c r="T304" s="543"/>
    </row>
    <row r="305">
      <c r="D305" s="184"/>
      <c r="H305" s="184"/>
      <c r="I305" s="184"/>
      <c r="J305" s="184"/>
      <c r="Q305" s="184"/>
      <c r="S305" s="543"/>
      <c r="T305" s="543"/>
    </row>
    <row r="306">
      <c r="D306" s="184"/>
      <c r="H306" s="184"/>
      <c r="I306" s="184"/>
      <c r="J306" s="184"/>
      <c r="Q306" s="184"/>
      <c r="S306" s="543"/>
      <c r="T306" s="543"/>
    </row>
    <row r="307">
      <c r="D307" s="184"/>
      <c r="H307" s="184"/>
      <c r="I307" s="184"/>
      <c r="J307" s="184"/>
      <c r="Q307" s="184"/>
      <c r="S307" s="543"/>
      <c r="T307" s="543"/>
    </row>
    <row r="308">
      <c r="D308" s="184"/>
      <c r="H308" s="184"/>
      <c r="I308" s="184"/>
      <c r="J308" s="184"/>
      <c r="Q308" s="184"/>
      <c r="S308" s="543"/>
      <c r="T308" s="543"/>
    </row>
    <row r="309">
      <c r="D309" s="184"/>
      <c r="H309" s="184"/>
      <c r="I309" s="184"/>
      <c r="J309" s="184"/>
      <c r="Q309" s="184"/>
      <c r="S309" s="543"/>
      <c r="T309" s="543"/>
    </row>
    <row r="310">
      <c r="D310" s="184"/>
      <c r="H310" s="184"/>
      <c r="I310" s="184"/>
      <c r="J310" s="184"/>
      <c r="Q310" s="184"/>
      <c r="S310" s="543"/>
      <c r="T310" s="543"/>
    </row>
    <row r="311">
      <c r="D311" s="184"/>
      <c r="H311" s="184"/>
      <c r="I311" s="184"/>
      <c r="J311" s="184"/>
      <c r="Q311" s="184"/>
      <c r="S311" s="543"/>
      <c r="T311" s="543"/>
    </row>
    <row r="312">
      <c r="D312" s="184"/>
      <c r="H312" s="184"/>
      <c r="I312" s="184"/>
      <c r="J312" s="184"/>
      <c r="Q312" s="184"/>
      <c r="S312" s="543"/>
      <c r="T312" s="543"/>
    </row>
    <row r="313">
      <c r="D313" s="184"/>
      <c r="H313" s="184"/>
      <c r="I313" s="184"/>
      <c r="J313" s="184"/>
      <c r="Q313" s="184"/>
      <c r="S313" s="543"/>
      <c r="T313" s="543"/>
    </row>
    <row r="314">
      <c r="D314" s="184"/>
      <c r="H314" s="184"/>
      <c r="I314" s="184"/>
      <c r="J314" s="184"/>
      <c r="Q314" s="184"/>
      <c r="S314" s="543"/>
      <c r="T314" s="543"/>
    </row>
    <row r="315">
      <c r="D315" s="184"/>
      <c r="H315" s="184"/>
      <c r="I315" s="184"/>
      <c r="J315" s="184"/>
      <c r="Q315" s="184"/>
      <c r="S315" s="543"/>
      <c r="T315" s="543"/>
    </row>
    <row r="316">
      <c r="D316" s="184"/>
      <c r="H316" s="184"/>
      <c r="I316" s="184"/>
      <c r="J316" s="184"/>
      <c r="Q316" s="184"/>
      <c r="S316" s="543"/>
      <c r="T316" s="543"/>
    </row>
    <row r="317">
      <c r="D317" s="184"/>
      <c r="H317" s="184"/>
      <c r="I317" s="184"/>
      <c r="J317" s="184"/>
      <c r="Q317" s="184"/>
      <c r="S317" s="543"/>
      <c r="T317" s="543"/>
    </row>
    <row r="318">
      <c r="D318" s="184"/>
      <c r="H318" s="184"/>
      <c r="I318" s="184"/>
      <c r="J318" s="184"/>
      <c r="Q318" s="184"/>
      <c r="S318" s="543"/>
      <c r="T318" s="543"/>
    </row>
    <row r="319">
      <c r="D319" s="184"/>
      <c r="H319" s="184"/>
      <c r="I319" s="184"/>
      <c r="J319" s="184"/>
      <c r="Q319" s="184"/>
      <c r="S319" s="543"/>
      <c r="T319" s="543"/>
    </row>
    <row r="320">
      <c r="D320" s="184"/>
      <c r="H320" s="184"/>
      <c r="I320" s="184"/>
      <c r="J320" s="184"/>
      <c r="Q320" s="184"/>
      <c r="S320" s="543"/>
      <c r="T320" s="543"/>
    </row>
    <row r="321">
      <c r="D321" s="184"/>
      <c r="H321" s="184"/>
      <c r="I321" s="184"/>
      <c r="J321" s="184"/>
      <c r="Q321" s="184"/>
      <c r="S321" s="543"/>
      <c r="T321" s="543"/>
    </row>
    <row r="322">
      <c r="D322" s="184"/>
      <c r="H322" s="184"/>
      <c r="I322" s="184"/>
      <c r="J322" s="184"/>
      <c r="Q322" s="184"/>
      <c r="S322" s="543"/>
      <c r="T322" s="543"/>
    </row>
    <row r="323">
      <c r="D323" s="184"/>
      <c r="H323" s="184"/>
      <c r="I323" s="184"/>
      <c r="J323" s="184"/>
      <c r="Q323" s="184"/>
      <c r="S323" s="543"/>
      <c r="T323" s="543"/>
    </row>
    <row r="324">
      <c r="D324" s="184"/>
      <c r="H324" s="184"/>
      <c r="I324" s="184"/>
      <c r="J324" s="184"/>
      <c r="Q324" s="184"/>
      <c r="S324" s="543"/>
      <c r="T324" s="543"/>
    </row>
    <row r="325">
      <c r="D325" s="184"/>
      <c r="H325" s="184"/>
      <c r="I325" s="184"/>
      <c r="J325" s="184"/>
      <c r="Q325" s="184"/>
      <c r="S325" s="543"/>
      <c r="T325" s="543"/>
    </row>
    <row r="326">
      <c r="D326" s="184"/>
      <c r="H326" s="184"/>
      <c r="I326" s="184"/>
      <c r="J326" s="184"/>
      <c r="Q326" s="184"/>
      <c r="S326" s="543"/>
      <c r="T326" s="543"/>
    </row>
    <row r="327">
      <c r="D327" s="184"/>
      <c r="H327" s="184"/>
      <c r="I327" s="184"/>
      <c r="J327" s="184"/>
      <c r="Q327" s="184"/>
      <c r="S327" s="543"/>
      <c r="T327" s="543"/>
    </row>
    <row r="328">
      <c r="D328" s="184"/>
      <c r="H328" s="184"/>
      <c r="I328" s="184"/>
      <c r="J328" s="184"/>
      <c r="Q328" s="184"/>
      <c r="S328" s="543"/>
      <c r="T328" s="543"/>
    </row>
    <row r="329">
      <c r="D329" s="184"/>
      <c r="H329" s="184"/>
      <c r="I329" s="184"/>
      <c r="J329" s="184"/>
      <c r="Q329" s="184"/>
      <c r="S329" s="543"/>
      <c r="T329" s="543"/>
    </row>
    <row r="330">
      <c r="D330" s="184"/>
      <c r="H330" s="184"/>
      <c r="I330" s="184"/>
      <c r="J330" s="184"/>
      <c r="Q330" s="184"/>
      <c r="S330" s="543"/>
      <c r="T330" s="543"/>
    </row>
    <row r="331">
      <c r="D331" s="184"/>
      <c r="H331" s="184"/>
      <c r="I331" s="184"/>
      <c r="J331" s="184"/>
      <c r="Q331" s="184"/>
      <c r="S331" s="543"/>
      <c r="T331" s="543"/>
    </row>
    <row r="332">
      <c r="D332" s="184"/>
      <c r="H332" s="184"/>
      <c r="I332" s="184"/>
      <c r="J332" s="184"/>
      <c r="Q332" s="184"/>
      <c r="S332" s="543"/>
      <c r="T332" s="543"/>
    </row>
    <row r="333">
      <c r="D333" s="184"/>
      <c r="H333" s="184"/>
      <c r="I333" s="184"/>
      <c r="J333" s="184"/>
      <c r="Q333" s="184"/>
      <c r="S333" s="543"/>
      <c r="T333" s="543"/>
    </row>
    <row r="334">
      <c r="D334" s="184"/>
      <c r="H334" s="184"/>
      <c r="I334" s="184"/>
      <c r="J334" s="184"/>
      <c r="Q334" s="184"/>
      <c r="S334" s="543"/>
      <c r="T334" s="543"/>
    </row>
    <row r="335">
      <c r="D335" s="184"/>
      <c r="H335" s="184"/>
      <c r="I335" s="184"/>
      <c r="J335" s="184"/>
      <c r="Q335" s="184"/>
      <c r="S335" s="543"/>
      <c r="T335" s="543"/>
    </row>
    <row r="336">
      <c r="D336" s="184"/>
      <c r="H336" s="184"/>
      <c r="I336" s="184"/>
      <c r="J336" s="184"/>
      <c r="Q336" s="184"/>
      <c r="S336" s="543"/>
      <c r="T336" s="543"/>
    </row>
    <row r="337">
      <c r="D337" s="184"/>
      <c r="H337" s="184"/>
      <c r="I337" s="184"/>
      <c r="J337" s="184"/>
      <c r="Q337" s="184"/>
      <c r="S337" s="543"/>
      <c r="T337" s="543"/>
    </row>
    <row r="338">
      <c r="D338" s="184"/>
      <c r="H338" s="184"/>
      <c r="I338" s="184"/>
      <c r="J338" s="184"/>
      <c r="Q338" s="184"/>
      <c r="S338" s="543"/>
      <c r="T338" s="543"/>
    </row>
    <row r="339">
      <c r="D339" s="184"/>
      <c r="H339" s="184"/>
      <c r="I339" s="184"/>
      <c r="J339" s="184"/>
      <c r="Q339" s="184"/>
      <c r="S339" s="543"/>
      <c r="T339" s="543"/>
    </row>
    <row r="340">
      <c r="D340" s="184"/>
      <c r="H340" s="184"/>
      <c r="I340" s="184"/>
      <c r="J340" s="184"/>
      <c r="Q340" s="184"/>
      <c r="S340" s="543"/>
      <c r="T340" s="543"/>
    </row>
    <row r="341">
      <c r="D341" s="184"/>
      <c r="H341" s="184"/>
      <c r="I341" s="184"/>
      <c r="J341" s="184"/>
      <c r="Q341" s="184"/>
      <c r="S341" s="543"/>
      <c r="T341" s="543"/>
    </row>
    <row r="342">
      <c r="D342" s="184"/>
      <c r="H342" s="184"/>
      <c r="I342" s="184"/>
      <c r="J342" s="184"/>
      <c r="Q342" s="184"/>
      <c r="S342" s="543"/>
      <c r="T342" s="543"/>
    </row>
    <row r="343">
      <c r="D343" s="184"/>
      <c r="H343" s="184"/>
      <c r="I343" s="184"/>
      <c r="J343" s="184"/>
      <c r="Q343" s="184"/>
      <c r="S343" s="543"/>
      <c r="T343" s="543"/>
    </row>
    <row r="344">
      <c r="D344" s="184"/>
      <c r="H344" s="184"/>
      <c r="I344" s="184"/>
      <c r="J344" s="184"/>
      <c r="Q344" s="184"/>
      <c r="S344" s="543"/>
      <c r="T344" s="543"/>
    </row>
    <row r="345">
      <c r="D345" s="184"/>
      <c r="H345" s="184"/>
      <c r="I345" s="184"/>
      <c r="J345" s="184"/>
      <c r="Q345" s="184"/>
      <c r="S345" s="543"/>
      <c r="T345" s="543"/>
    </row>
    <row r="346">
      <c r="D346" s="184"/>
      <c r="H346" s="184"/>
      <c r="I346" s="184"/>
      <c r="J346" s="184"/>
      <c r="Q346" s="184"/>
      <c r="S346" s="543"/>
      <c r="T346" s="543"/>
    </row>
    <row r="347">
      <c r="D347" s="184"/>
      <c r="H347" s="184"/>
      <c r="I347" s="184"/>
      <c r="J347" s="184"/>
      <c r="Q347" s="184"/>
      <c r="S347" s="543"/>
      <c r="T347" s="543"/>
    </row>
    <row r="348">
      <c r="D348" s="184"/>
      <c r="H348" s="184"/>
      <c r="I348" s="184"/>
      <c r="J348" s="184"/>
      <c r="Q348" s="184"/>
      <c r="S348" s="543"/>
      <c r="T348" s="543"/>
    </row>
    <row r="349">
      <c r="D349" s="184"/>
      <c r="H349" s="184"/>
      <c r="I349" s="184"/>
      <c r="J349" s="184"/>
      <c r="Q349" s="184"/>
      <c r="S349" s="543"/>
      <c r="T349" s="543"/>
    </row>
    <row r="350">
      <c r="D350" s="184"/>
      <c r="H350" s="184"/>
      <c r="I350" s="184"/>
      <c r="J350" s="184"/>
      <c r="Q350" s="184"/>
      <c r="S350" s="543"/>
      <c r="T350" s="543"/>
    </row>
    <row r="351">
      <c r="D351" s="184"/>
      <c r="H351" s="184"/>
      <c r="I351" s="184"/>
      <c r="J351" s="184"/>
      <c r="Q351" s="184"/>
      <c r="S351" s="543"/>
      <c r="T351" s="543"/>
    </row>
    <row r="352">
      <c r="D352" s="184"/>
      <c r="H352" s="184"/>
      <c r="I352" s="184"/>
      <c r="J352" s="184"/>
      <c r="Q352" s="184"/>
      <c r="S352" s="543"/>
      <c r="T352" s="543"/>
    </row>
    <row r="353">
      <c r="D353" s="184"/>
      <c r="H353" s="184"/>
      <c r="I353" s="184"/>
      <c r="J353" s="184"/>
      <c r="Q353" s="184"/>
      <c r="S353" s="543"/>
      <c r="T353" s="543"/>
    </row>
    <row r="354">
      <c r="D354" s="184"/>
      <c r="H354" s="184"/>
      <c r="I354" s="184"/>
      <c r="J354" s="184"/>
      <c r="Q354" s="184"/>
      <c r="S354" s="543"/>
      <c r="T354" s="543"/>
    </row>
    <row r="355">
      <c r="D355" s="184"/>
      <c r="H355" s="184"/>
      <c r="I355" s="184"/>
      <c r="J355" s="184"/>
      <c r="Q355" s="184"/>
      <c r="S355" s="543"/>
      <c r="T355" s="543"/>
    </row>
    <row r="356">
      <c r="D356" s="184"/>
      <c r="H356" s="184"/>
      <c r="I356" s="184"/>
      <c r="J356" s="184"/>
      <c r="Q356" s="184"/>
      <c r="S356" s="543"/>
      <c r="T356" s="543"/>
    </row>
    <row r="357">
      <c r="D357" s="184"/>
      <c r="H357" s="184"/>
      <c r="I357" s="184"/>
      <c r="J357" s="184"/>
      <c r="Q357" s="184"/>
      <c r="S357" s="543"/>
      <c r="T357" s="543"/>
    </row>
    <row r="358">
      <c r="D358" s="184"/>
      <c r="H358" s="184"/>
      <c r="I358" s="184"/>
      <c r="J358" s="184"/>
      <c r="Q358" s="184"/>
      <c r="S358" s="543"/>
      <c r="T358" s="543"/>
    </row>
    <row r="359">
      <c r="D359" s="184"/>
      <c r="H359" s="184"/>
      <c r="I359" s="184"/>
      <c r="J359" s="184"/>
      <c r="Q359" s="184"/>
      <c r="S359" s="543"/>
      <c r="T359" s="543"/>
    </row>
    <row r="360">
      <c r="D360" s="184"/>
      <c r="H360" s="184"/>
      <c r="I360" s="184"/>
      <c r="J360" s="184"/>
      <c r="Q360" s="184"/>
      <c r="S360" s="543"/>
      <c r="T360" s="543"/>
    </row>
    <row r="361">
      <c r="D361" s="184"/>
      <c r="H361" s="184"/>
      <c r="I361" s="184"/>
      <c r="J361" s="184"/>
      <c r="Q361" s="184"/>
      <c r="S361" s="543"/>
      <c r="T361" s="543"/>
    </row>
    <row r="362">
      <c r="D362" s="184"/>
      <c r="H362" s="184"/>
      <c r="I362" s="184"/>
      <c r="J362" s="184"/>
      <c r="Q362" s="184"/>
      <c r="S362" s="543"/>
      <c r="T362" s="543"/>
    </row>
    <row r="363">
      <c r="D363" s="184"/>
      <c r="H363" s="184"/>
      <c r="I363" s="184"/>
      <c r="J363" s="184"/>
      <c r="Q363" s="184"/>
      <c r="S363" s="543"/>
      <c r="T363" s="543"/>
    </row>
    <row r="364">
      <c r="D364" s="184"/>
      <c r="H364" s="184"/>
      <c r="I364" s="184"/>
      <c r="J364" s="184"/>
      <c r="Q364" s="184"/>
      <c r="S364" s="543"/>
      <c r="T364" s="543"/>
    </row>
    <row r="365">
      <c r="D365" s="184"/>
      <c r="H365" s="184"/>
      <c r="I365" s="184"/>
      <c r="J365" s="184"/>
      <c r="Q365" s="184"/>
      <c r="S365" s="543"/>
      <c r="T365" s="543"/>
    </row>
    <row r="366">
      <c r="D366" s="184"/>
      <c r="H366" s="184"/>
      <c r="I366" s="184"/>
      <c r="J366" s="184"/>
      <c r="Q366" s="184"/>
      <c r="S366" s="543"/>
      <c r="T366" s="543"/>
    </row>
    <row r="367">
      <c r="D367" s="184"/>
      <c r="H367" s="184"/>
      <c r="I367" s="184"/>
      <c r="J367" s="184"/>
      <c r="Q367" s="184"/>
      <c r="S367" s="543"/>
      <c r="T367" s="543"/>
    </row>
    <row r="368">
      <c r="D368" s="184"/>
      <c r="H368" s="184"/>
      <c r="I368" s="184"/>
      <c r="J368" s="184"/>
      <c r="Q368" s="184"/>
      <c r="S368" s="543"/>
      <c r="T368" s="543"/>
    </row>
    <row r="369">
      <c r="D369" s="184"/>
      <c r="H369" s="184"/>
      <c r="I369" s="184"/>
      <c r="J369" s="184"/>
      <c r="Q369" s="184"/>
      <c r="S369" s="543"/>
      <c r="T369" s="543"/>
    </row>
    <row r="370">
      <c r="D370" s="184"/>
      <c r="H370" s="184"/>
      <c r="I370" s="184"/>
      <c r="J370" s="184"/>
      <c r="Q370" s="184"/>
      <c r="S370" s="543"/>
      <c r="T370" s="543"/>
    </row>
    <row r="371">
      <c r="D371" s="184"/>
      <c r="H371" s="184"/>
      <c r="I371" s="184"/>
      <c r="J371" s="184"/>
      <c r="Q371" s="184"/>
      <c r="S371" s="543"/>
      <c r="T371" s="543"/>
    </row>
    <row r="372">
      <c r="D372" s="184"/>
      <c r="H372" s="184"/>
      <c r="I372" s="184"/>
      <c r="J372" s="184"/>
      <c r="Q372" s="184"/>
      <c r="S372" s="543"/>
      <c r="T372" s="543"/>
    </row>
    <row r="373">
      <c r="D373" s="184"/>
      <c r="H373" s="184"/>
      <c r="I373" s="184"/>
      <c r="J373" s="184"/>
      <c r="Q373" s="184"/>
      <c r="S373" s="543"/>
      <c r="T373" s="543"/>
    </row>
    <row r="374">
      <c r="D374" s="184"/>
      <c r="H374" s="184"/>
      <c r="I374" s="184"/>
      <c r="J374" s="184"/>
      <c r="Q374" s="184"/>
      <c r="S374" s="543"/>
      <c r="T374" s="543"/>
    </row>
    <row r="375">
      <c r="D375" s="184"/>
      <c r="H375" s="184"/>
      <c r="I375" s="184"/>
      <c r="J375" s="184"/>
      <c r="Q375" s="184"/>
      <c r="S375" s="543"/>
      <c r="T375" s="543"/>
    </row>
    <row r="376">
      <c r="D376" s="184"/>
      <c r="H376" s="184"/>
      <c r="I376" s="184"/>
      <c r="J376" s="184"/>
      <c r="Q376" s="184"/>
      <c r="S376" s="543"/>
      <c r="T376" s="543"/>
    </row>
    <row r="377">
      <c r="D377" s="184"/>
      <c r="H377" s="184"/>
      <c r="I377" s="184"/>
      <c r="J377" s="184"/>
      <c r="Q377" s="184"/>
      <c r="S377" s="543"/>
      <c r="T377" s="543"/>
    </row>
    <row r="378">
      <c r="D378" s="184"/>
      <c r="H378" s="184"/>
      <c r="I378" s="184"/>
      <c r="J378" s="184"/>
      <c r="Q378" s="184"/>
      <c r="S378" s="543"/>
      <c r="T378" s="543"/>
    </row>
    <row r="379">
      <c r="D379" s="184"/>
      <c r="H379" s="184"/>
      <c r="I379" s="184"/>
      <c r="J379" s="184"/>
      <c r="Q379" s="184"/>
      <c r="S379" s="543"/>
      <c r="T379" s="543"/>
    </row>
    <row r="380">
      <c r="D380" s="184"/>
      <c r="H380" s="184"/>
      <c r="I380" s="184"/>
      <c r="J380" s="184"/>
      <c r="Q380" s="184"/>
      <c r="S380" s="543"/>
      <c r="T380" s="543"/>
    </row>
    <row r="381">
      <c r="D381" s="184"/>
      <c r="H381" s="184"/>
      <c r="I381" s="184"/>
      <c r="J381" s="184"/>
      <c r="Q381" s="184"/>
      <c r="S381" s="543"/>
      <c r="T381" s="543"/>
    </row>
    <row r="382">
      <c r="D382" s="184"/>
      <c r="H382" s="184"/>
      <c r="I382" s="184"/>
      <c r="J382" s="184"/>
      <c r="Q382" s="184"/>
      <c r="S382" s="543"/>
      <c r="T382" s="543"/>
    </row>
    <row r="383">
      <c r="D383" s="184"/>
      <c r="H383" s="184"/>
      <c r="I383" s="184"/>
      <c r="J383" s="184"/>
      <c r="Q383" s="184"/>
      <c r="S383" s="543"/>
      <c r="T383" s="543"/>
    </row>
    <row r="384">
      <c r="D384" s="184"/>
      <c r="H384" s="184"/>
      <c r="I384" s="184"/>
      <c r="J384" s="184"/>
      <c r="Q384" s="184"/>
      <c r="S384" s="543"/>
      <c r="T384" s="543"/>
    </row>
    <row r="385">
      <c r="D385" s="184"/>
      <c r="H385" s="184"/>
      <c r="I385" s="184"/>
      <c r="J385" s="184"/>
      <c r="Q385" s="184"/>
      <c r="S385" s="543"/>
      <c r="T385" s="543"/>
    </row>
    <row r="386">
      <c r="D386" s="184"/>
      <c r="H386" s="184"/>
      <c r="I386" s="184"/>
      <c r="J386" s="184"/>
      <c r="Q386" s="184"/>
      <c r="S386" s="543"/>
      <c r="T386" s="543"/>
    </row>
    <row r="387">
      <c r="D387" s="184"/>
      <c r="H387" s="184"/>
      <c r="I387" s="184"/>
      <c r="J387" s="184"/>
      <c r="Q387" s="184"/>
      <c r="S387" s="543"/>
      <c r="T387" s="543"/>
    </row>
    <row r="388">
      <c r="D388" s="184"/>
      <c r="H388" s="184"/>
      <c r="I388" s="184"/>
      <c r="J388" s="184"/>
      <c r="Q388" s="184"/>
      <c r="S388" s="543"/>
      <c r="T388" s="543"/>
    </row>
    <row r="389">
      <c r="D389" s="184"/>
      <c r="H389" s="184"/>
      <c r="I389" s="184"/>
      <c r="J389" s="184"/>
      <c r="Q389" s="184"/>
      <c r="S389" s="543"/>
      <c r="T389" s="543"/>
    </row>
    <row r="390">
      <c r="D390" s="184"/>
      <c r="H390" s="184"/>
      <c r="I390" s="184"/>
      <c r="J390" s="184"/>
      <c r="Q390" s="184"/>
      <c r="S390" s="543"/>
      <c r="T390" s="543"/>
    </row>
    <row r="391">
      <c r="D391" s="184"/>
      <c r="H391" s="184"/>
      <c r="I391" s="184"/>
      <c r="J391" s="184"/>
      <c r="Q391" s="184"/>
      <c r="S391" s="543"/>
      <c r="T391" s="543"/>
    </row>
    <row r="392">
      <c r="D392" s="184"/>
      <c r="H392" s="184"/>
      <c r="I392" s="184"/>
      <c r="J392" s="184"/>
      <c r="Q392" s="184"/>
      <c r="S392" s="543"/>
      <c r="T392" s="543"/>
    </row>
    <row r="393">
      <c r="D393" s="184"/>
      <c r="H393" s="184"/>
      <c r="I393" s="184"/>
      <c r="J393" s="184"/>
      <c r="Q393" s="184"/>
      <c r="S393" s="543"/>
      <c r="T393" s="543"/>
    </row>
    <row r="394">
      <c r="D394" s="184"/>
      <c r="H394" s="184"/>
      <c r="I394" s="184"/>
      <c r="J394" s="184"/>
      <c r="Q394" s="184"/>
      <c r="S394" s="543"/>
      <c r="T394" s="543"/>
    </row>
    <row r="395">
      <c r="D395" s="184"/>
      <c r="H395" s="184"/>
      <c r="I395" s="184"/>
      <c r="J395" s="184"/>
      <c r="Q395" s="184"/>
      <c r="S395" s="543"/>
      <c r="T395" s="543"/>
    </row>
    <row r="396">
      <c r="D396" s="184"/>
      <c r="H396" s="184"/>
      <c r="I396" s="184"/>
      <c r="J396" s="184"/>
      <c r="Q396" s="184"/>
      <c r="S396" s="543"/>
      <c r="T396" s="543"/>
    </row>
    <row r="397">
      <c r="D397" s="184"/>
      <c r="H397" s="184"/>
      <c r="I397" s="184"/>
      <c r="J397" s="184"/>
      <c r="Q397" s="184"/>
      <c r="S397" s="543"/>
      <c r="T397" s="543"/>
    </row>
    <row r="398">
      <c r="D398" s="184"/>
      <c r="H398" s="184"/>
      <c r="I398" s="184"/>
      <c r="J398" s="184"/>
      <c r="Q398" s="184"/>
      <c r="S398" s="543"/>
      <c r="T398" s="543"/>
    </row>
    <row r="399">
      <c r="D399" s="184"/>
      <c r="H399" s="184"/>
      <c r="I399" s="184"/>
      <c r="J399" s="184"/>
      <c r="Q399" s="184"/>
      <c r="S399" s="543"/>
      <c r="T399" s="543"/>
    </row>
    <row r="400">
      <c r="D400" s="184"/>
      <c r="H400" s="184"/>
      <c r="I400" s="184"/>
      <c r="J400" s="184"/>
      <c r="Q400" s="184"/>
      <c r="S400" s="543"/>
      <c r="T400" s="543"/>
    </row>
    <row r="401">
      <c r="D401" s="184"/>
      <c r="H401" s="184"/>
      <c r="I401" s="184"/>
      <c r="J401" s="184"/>
      <c r="Q401" s="184"/>
      <c r="S401" s="543"/>
      <c r="T401" s="543"/>
    </row>
    <row r="402">
      <c r="D402" s="184"/>
      <c r="H402" s="184"/>
      <c r="I402" s="184"/>
      <c r="J402" s="184"/>
      <c r="Q402" s="184"/>
      <c r="S402" s="543"/>
      <c r="T402" s="543"/>
    </row>
    <row r="403">
      <c r="D403" s="184"/>
      <c r="H403" s="184"/>
      <c r="I403" s="184"/>
      <c r="J403" s="184"/>
      <c r="Q403" s="184"/>
      <c r="S403" s="543"/>
      <c r="T403" s="543"/>
    </row>
    <row r="404">
      <c r="D404" s="184"/>
      <c r="H404" s="184"/>
      <c r="I404" s="184"/>
      <c r="J404" s="184"/>
      <c r="Q404" s="184"/>
      <c r="S404" s="543"/>
      <c r="T404" s="543"/>
    </row>
    <row r="405">
      <c r="D405" s="184"/>
      <c r="H405" s="184"/>
      <c r="I405" s="184"/>
      <c r="J405" s="184"/>
      <c r="Q405" s="184"/>
      <c r="S405" s="543"/>
      <c r="T405" s="543"/>
    </row>
    <row r="406">
      <c r="D406" s="184"/>
      <c r="H406" s="184"/>
      <c r="I406" s="184"/>
      <c r="J406" s="184"/>
      <c r="Q406" s="184"/>
      <c r="S406" s="543"/>
      <c r="T406" s="543"/>
    </row>
    <row r="407">
      <c r="D407" s="184"/>
      <c r="H407" s="184"/>
      <c r="I407" s="184"/>
      <c r="J407" s="184"/>
      <c r="Q407" s="184"/>
      <c r="S407" s="543"/>
      <c r="T407" s="543"/>
    </row>
    <row r="408">
      <c r="D408" s="184"/>
      <c r="H408" s="184"/>
      <c r="I408" s="184"/>
      <c r="J408" s="184"/>
      <c r="Q408" s="184"/>
      <c r="S408" s="543"/>
      <c r="T408" s="543"/>
    </row>
    <row r="409">
      <c r="D409" s="184"/>
      <c r="H409" s="184"/>
      <c r="I409" s="184"/>
      <c r="J409" s="184"/>
      <c r="Q409" s="184"/>
      <c r="S409" s="543"/>
      <c r="T409" s="543"/>
    </row>
    <row r="410">
      <c r="D410" s="184"/>
      <c r="H410" s="184"/>
      <c r="I410" s="184"/>
      <c r="J410" s="184"/>
      <c r="Q410" s="184"/>
      <c r="S410" s="543"/>
      <c r="T410" s="543"/>
    </row>
    <row r="411">
      <c r="D411" s="184"/>
      <c r="H411" s="184"/>
      <c r="I411" s="184"/>
      <c r="J411" s="184"/>
      <c r="Q411" s="184"/>
      <c r="S411" s="543"/>
      <c r="T411" s="543"/>
    </row>
    <row r="412">
      <c r="D412" s="184"/>
      <c r="H412" s="184"/>
      <c r="I412" s="184"/>
      <c r="J412" s="184"/>
      <c r="Q412" s="184"/>
      <c r="S412" s="543"/>
      <c r="T412" s="543"/>
    </row>
    <row r="413">
      <c r="D413" s="184"/>
      <c r="H413" s="184"/>
      <c r="I413" s="184"/>
      <c r="J413" s="184"/>
      <c r="Q413" s="184"/>
      <c r="S413" s="543"/>
      <c r="T413" s="543"/>
    </row>
    <row r="414">
      <c r="D414" s="184"/>
      <c r="H414" s="184"/>
      <c r="I414" s="184"/>
      <c r="J414" s="184"/>
      <c r="Q414" s="184"/>
      <c r="S414" s="543"/>
      <c r="T414" s="543"/>
    </row>
    <row r="415">
      <c r="D415" s="184"/>
      <c r="H415" s="184"/>
      <c r="I415" s="184"/>
      <c r="J415" s="184"/>
      <c r="Q415" s="184"/>
      <c r="S415" s="543"/>
      <c r="T415" s="543"/>
    </row>
    <row r="416">
      <c r="D416" s="184"/>
      <c r="H416" s="184"/>
      <c r="I416" s="184"/>
      <c r="J416" s="184"/>
      <c r="Q416" s="184"/>
      <c r="S416" s="543"/>
      <c r="T416" s="543"/>
    </row>
    <row r="417">
      <c r="D417" s="184"/>
      <c r="H417" s="184"/>
      <c r="I417" s="184"/>
      <c r="J417" s="184"/>
      <c r="Q417" s="184"/>
      <c r="S417" s="543"/>
      <c r="T417" s="543"/>
    </row>
    <row r="418">
      <c r="D418" s="184"/>
      <c r="H418" s="184"/>
      <c r="I418" s="184"/>
      <c r="J418" s="184"/>
      <c r="Q418" s="184"/>
      <c r="S418" s="543"/>
      <c r="T418" s="543"/>
    </row>
    <row r="419">
      <c r="D419" s="184"/>
      <c r="H419" s="184"/>
      <c r="I419" s="184"/>
      <c r="J419" s="184"/>
      <c r="Q419" s="184"/>
      <c r="S419" s="543"/>
      <c r="T419" s="543"/>
    </row>
    <row r="420">
      <c r="D420" s="184"/>
      <c r="H420" s="184"/>
      <c r="I420" s="184"/>
      <c r="J420" s="184"/>
      <c r="Q420" s="184"/>
      <c r="S420" s="543"/>
      <c r="T420" s="543"/>
    </row>
    <row r="421">
      <c r="D421" s="184"/>
      <c r="H421" s="184"/>
      <c r="I421" s="184"/>
      <c r="J421" s="184"/>
      <c r="Q421" s="184"/>
      <c r="S421" s="543"/>
      <c r="T421" s="543"/>
    </row>
    <row r="422">
      <c r="D422" s="184"/>
      <c r="H422" s="184"/>
      <c r="I422" s="184"/>
      <c r="J422" s="184"/>
      <c r="Q422" s="184"/>
      <c r="S422" s="543"/>
      <c r="T422" s="543"/>
    </row>
    <row r="423">
      <c r="D423" s="184"/>
      <c r="H423" s="184"/>
      <c r="I423" s="184"/>
      <c r="J423" s="184"/>
      <c r="Q423" s="184"/>
      <c r="S423" s="543"/>
      <c r="T423" s="543"/>
    </row>
    <row r="424">
      <c r="D424" s="184"/>
      <c r="H424" s="184"/>
      <c r="I424" s="184"/>
      <c r="J424" s="184"/>
      <c r="Q424" s="184"/>
      <c r="S424" s="543"/>
      <c r="T424" s="543"/>
    </row>
    <row r="425">
      <c r="D425" s="184"/>
      <c r="H425" s="184"/>
      <c r="I425" s="184"/>
      <c r="J425" s="184"/>
      <c r="Q425" s="184"/>
      <c r="S425" s="543"/>
      <c r="T425" s="543"/>
    </row>
    <row r="426">
      <c r="D426" s="184"/>
      <c r="H426" s="184"/>
      <c r="I426" s="184"/>
      <c r="J426" s="184"/>
      <c r="Q426" s="184"/>
      <c r="S426" s="543"/>
      <c r="T426" s="543"/>
    </row>
    <row r="427">
      <c r="D427" s="184"/>
      <c r="H427" s="184"/>
      <c r="I427" s="184"/>
      <c r="J427" s="184"/>
      <c r="Q427" s="184"/>
      <c r="S427" s="543"/>
      <c r="T427" s="543"/>
    </row>
    <row r="428">
      <c r="D428" s="184"/>
      <c r="H428" s="184"/>
      <c r="I428" s="184"/>
      <c r="J428" s="184"/>
      <c r="Q428" s="184"/>
      <c r="S428" s="543"/>
      <c r="T428" s="543"/>
    </row>
    <row r="429">
      <c r="D429" s="184"/>
      <c r="H429" s="184"/>
      <c r="I429" s="184"/>
      <c r="J429" s="184"/>
      <c r="Q429" s="184"/>
      <c r="S429" s="543"/>
      <c r="T429" s="543"/>
    </row>
    <row r="430">
      <c r="D430" s="184"/>
      <c r="H430" s="184"/>
      <c r="I430" s="184"/>
      <c r="J430" s="184"/>
      <c r="Q430" s="184"/>
      <c r="S430" s="543"/>
      <c r="T430" s="543"/>
    </row>
    <row r="431">
      <c r="D431" s="184"/>
      <c r="H431" s="184"/>
      <c r="I431" s="184"/>
      <c r="J431" s="184"/>
      <c r="Q431" s="184"/>
      <c r="S431" s="543"/>
      <c r="T431" s="543"/>
    </row>
    <row r="432">
      <c r="D432" s="184"/>
      <c r="H432" s="184"/>
      <c r="I432" s="184"/>
      <c r="J432" s="184"/>
      <c r="Q432" s="184"/>
      <c r="S432" s="543"/>
      <c r="T432" s="543"/>
    </row>
    <row r="433">
      <c r="D433" s="184"/>
      <c r="H433" s="184"/>
      <c r="I433" s="184"/>
      <c r="J433" s="184"/>
      <c r="Q433" s="184"/>
      <c r="S433" s="543"/>
      <c r="T433" s="543"/>
    </row>
    <row r="434">
      <c r="D434" s="184"/>
      <c r="H434" s="184"/>
      <c r="I434" s="184"/>
      <c r="J434" s="184"/>
      <c r="Q434" s="184"/>
      <c r="S434" s="543"/>
      <c r="T434" s="543"/>
    </row>
    <row r="435">
      <c r="D435" s="184"/>
      <c r="H435" s="184"/>
      <c r="I435" s="184"/>
      <c r="J435" s="184"/>
      <c r="Q435" s="184"/>
      <c r="S435" s="543"/>
      <c r="T435" s="543"/>
    </row>
    <row r="436">
      <c r="D436" s="184"/>
      <c r="H436" s="184"/>
      <c r="I436" s="184"/>
      <c r="J436" s="184"/>
      <c r="Q436" s="184"/>
      <c r="S436" s="543"/>
      <c r="T436" s="543"/>
    </row>
    <row r="437">
      <c r="D437" s="184"/>
      <c r="H437" s="184"/>
      <c r="I437" s="184"/>
      <c r="J437" s="184"/>
      <c r="Q437" s="184"/>
      <c r="S437" s="543"/>
      <c r="T437" s="543"/>
    </row>
    <row r="438">
      <c r="D438" s="184"/>
      <c r="H438" s="184"/>
      <c r="I438" s="184"/>
      <c r="J438" s="184"/>
      <c r="Q438" s="184"/>
      <c r="S438" s="543"/>
      <c r="T438" s="543"/>
    </row>
    <row r="439">
      <c r="D439" s="184"/>
      <c r="H439" s="184"/>
      <c r="I439" s="184"/>
      <c r="J439" s="184"/>
      <c r="Q439" s="184"/>
      <c r="S439" s="543"/>
      <c r="T439" s="543"/>
    </row>
    <row r="440">
      <c r="D440" s="184"/>
      <c r="H440" s="184"/>
      <c r="I440" s="184"/>
      <c r="J440" s="184"/>
      <c r="Q440" s="184"/>
      <c r="S440" s="543"/>
      <c r="T440" s="543"/>
    </row>
    <row r="441">
      <c r="D441" s="184"/>
      <c r="H441" s="184"/>
      <c r="I441" s="184"/>
      <c r="J441" s="184"/>
      <c r="Q441" s="184"/>
      <c r="S441" s="543"/>
      <c r="T441" s="543"/>
    </row>
    <row r="442">
      <c r="D442" s="184"/>
      <c r="H442" s="184"/>
      <c r="I442" s="184"/>
      <c r="J442" s="184"/>
      <c r="Q442" s="184"/>
      <c r="S442" s="543"/>
      <c r="T442" s="543"/>
    </row>
    <row r="443">
      <c r="D443" s="184"/>
      <c r="H443" s="184"/>
      <c r="I443" s="184"/>
      <c r="J443" s="184"/>
      <c r="Q443" s="184"/>
      <c r="S443" s="543"/>
      <c r="T443" s="543"/>
    </row>
    <row r="444">
      <c r="D444" s="184"/>
      <c r="H444" s="184"/>
      <c r="I444" s="184"/>
      <c r="J444" s="184"/>
      <c r="Q444" s="184"/>
      <c r="S444" s="543"/>
      <c r="T444" s="543"/>
    </row>
    <row r="445">
      <c r="D445" s="184"/>
      <c r="H445" s="184"/>
      <c r="I445" s="184"/>
      <c r="J445" s="184"/>
      <c r="Q445" s="184"/>
      <c r="S445" s="543"/>
      <c r="T445" s="543"/>
    </row>
    <row r="446">
      <c r="D446" s="184"/>
      <c r="H446" s="184"/>
      <c r="I446" s="184"/>
      <c r="J446" s="184"/>
      <c r="Q446" s="184"/>
      <c r="S446" s="543"/>
      <c r="T446" s="543"/>
    </row>
    <row r="447">
      <c r="D447" s="184"/>
      <c r="H447" s="184"/>
      <c r="I447" s="184"/>
      <c r="J447" s="184"/>
      <c r="Q447" s="184"/>
      <c r="S447" s="543"/>
      <c r="T447" s="543"/>
    </row>
    <row r="448">
      <c r="D448" s="184"/>
      <c r="H448" s="184"/>
      <c r="I448" s="184"/>
      <c r="J448" s="184"/>
      <c r="Q448" s="184"/>
      <c r="S448" s="543"/>
      <c r="T448" s="543"/>
    </row>
    <row r="449">
      <c r="D449" s="184"/>
      <c r="H449" s="184"/>
      <c r="I449" s="184"/>
      <c r="J449" s="184"/>
      <c r="Q449" s="184"/>
      <c r="S449" s="543"/>
      <c r="T449" s="543"/>
    </row>
    <row r="450">
      <c r="D450" s="184"/>
      <c r="H450" s="184"/>
      <c r="I450" s="184"/>
      <c r="J450" s="184"/>
      <c r="Q450" s="184"/>
      <c r="S450" s="543"/>
      <c r="T450" s="543"/>
    </row>
    <row r="451">
      <c r="D451" s="184"/>
      <c r="H451" s="184"/>
      <c r="I451" s="184"/>
      <c r="J451" s="184"/>
      <c r="Q451" s="184"/>
      <c r="S451" s="543"/>
      <c r="T451" s="543"/>
    </row>
    <row r="452">
      <c r="D452" s="184"/>
      <c r="H452" s="184"/>
      <c r="I452" s="184"/>
      <c r="J452" s="184"/>
      <c r="Q452" s="184"/>
      <c r="S452" s="543"/>
      <c r="T452" s="543"/>
    </row>
    <row r="453">
      <c r="D453" s="184"/>
      <c r="H453" s="184"/>
      <c r="I453" s="184"/>
      <c r="J453" s="184"/>
      <c r="Q453" s="184"/>
      <c r="S453" s="543"/>
      <c r="T453" s="543"/>
    </row>
    <row r="454">
      <c r="D454" s="184"/>
      <c r="H454" s="184"/>
      <c r="I454" s="184"/>
      <c r="J454" s="184"/>
      <c r="Q454" s="184"/>
      <c r="S454" s="543"/>
      <c r="T454" s="543"/>
    </row>
    <row r="455">
      <c r="D455" s="184"/>
      <c r="H455" s="184"/>
      <c r="I455" s="184"/>
      <c r="J455" s="184"/>
      <c r="Q455" s="184"/>
      <c r="S455" s="543"/>
      <c r="T455" s="543"/>
    </row>
    <row r="456">
      <c r="D456" s="184"/>
      <c r="H456" s="184"/>
      <c r="I456" s="184"/>
      <c r="J456" s="184"/>
      <c r="Q456" s="184"/>
      <c r="S456" s="543"/>
      <c r="T456" s="543"/>
    </row>
    <row r="457">
      <c r="D457" s="184"/>
      <c r="H457" s="184"/>
      <c r="I457" s="184"/>
      <c r="J457" s="184"/>
      <c r="Q457" s="184"/>
      <c r="S457" s="543"/>
      <c r="T457" s="543"/>
    </row>
    <row r="458">
      <c r="D458" s="184"/>
      <c r="H458" s="184"/>
      <c r="I458" s="184"/>
      <c r="J458" s="184"/>
      <c r="Q458" s="184"/>
      <c r="S458" s="543"/>
      <c r="T458" s="543"/>
    </row>
    <row r="459">
      <c r="D459" s="184"/>
      <c r="H459" s="184"/>
      <c r="I459" s="184"/>
      <c r="J459" s="184"/>
      <c r="Q459" s="184"/>
      <c r="S459" s="543"/>
      <c r="T459" s="543"/>
    </row>
    <row r="460">
      <c r="D460" s="184"/>
      <c r="H460" s="184"/>
      <c r="I460" s="184"/>
      <c r="J460" s="184"/>
      <c r="Q460" s="184"/>
      <c r="S460" s="543"/>
      <c r="T460" s="543"/>
    </row>
    <row r="461">
      <c r="D461" s="184"/>
      <c r="H461" s="184"/>
      <c r="I461" s="184"/>
      <c r="J461" s="184"/>
      <c r="Q461" s="184"/>
      <c r="S461" s="543"/>
      <c r="T461" s="543"/>
    </row>
    <row r="462">
      <c r="D462" s="184"/>
      <c r="H462" s="184"/>
      <c r="I462" s="184"/>
      <c r="J462" s="184"/>
      <c r="Q462" s="184"/>
      <c r="S462" s="543"/>
      <c r="T462" s="543"/>
    </row>
    <row r="463">
      <c r="D463" s="184"/>
      <c r="H463" s="184"/>
      <c r="I463" s="184"/>
      <c r="J463" s="184"/>
      <c r="Q463" s="184"/>
      <c r="S463" s="543"/>
      <c r="T463" s="543"/>
    </row>
    <row r="464">
      <c r="D464" s="184"/>
      <c r="H464" s="184"/>
      <c r="I464" s="184"/>
      <c r="J464" s="184"/>
      <c r="Q464" s="184"/>
      <c r="S464" s="543"/>
      <c r="T464" s="543"/>
    </row>
    <row r="465">
      <c r="D465" s="184"/>
      <c r="H465" s="184"/>
      <c r="I465" s="184"/>
      <c r="J465" s="184"/>
      <c r="Q465" s="184"/>
      <c r="S465" s="543"/>
      <c r="T465" s="543"/>
    </row>
    <row r="466">
      <c r="D466" s="184"/>
      <c r="H466" s="184"/>
      <c r="I466" s="184"/>
      <c r="J466" s="184"/>
      <c r="Q466" s="184"/>
      <c r="S466" s="543"/>
      <c r="T466" s="543"/>
    </row>
    <row r="467">
      <c r="D467" s="184"/>
      <c r="H467" s="184"/>
      <c r="I467" s="184"/>
      <c r="J467" s="184"/>
      <c r="Q467" s="184"/>
      <c r="S467" s="543"/>
      <c r="T467" s="543"/>
    </row>
    <row r="468">
      <c r="D468" s="184"/>
      <c r="H468" s="184"/>
      <c r="I468" s="184"/>
      <c r="J468" s="184"/>
      <c r="Q468" s="184"/>
      <c r="S468" s="543"/>
      <c r="T468" s="543"/>
    </row>
    <row r="469">
      <c r="D469" s="184"/>
      <c r="H469" s="184"/>
      <c r="I469" s="184"/>
      <c r="J469" s="184"/>
      <c r="Q469" s="184"/>
      <c r="S469" s="543"/>
      <c r="T469" s="543"/>
    </row>
    <row r="470">
      <c r="D470" s="184"/>
      <c r="H470" s="184"/>
      <c r="I470" s="184"/>
      <c r="J470" s="184"/>
      <c r="Q470" s="184"/>
      <c r="S470" s="543"/>
      <c r="T470" s="543"/>
    </row>
    <row r="471">
      <c r="D471" s="184"/>
      <c r="H471" s="184"/>
      <c r="I471" s="184"/>
      <c r="J471" s="184"/>
      <c r="Q471" s="184"/>
      <c r="S471" s="543"/>
      <c r="T471" s="543"/>
    </row>
    <row r="472">
      <c r="D472" s="184"/>
      <c r="H472" s="184"/>
      <c r="I472" s="184"/>
      <c r="J472" s="184"/>
      <c r="Q472" s="184"/>
      <c r="S472" s="543"/>
      <c r="T472" s="543"/>
    </row>
    <row r="473">
      <c r="D473" s="184"/>
      <c r="H473" s="184"/>
      <c r="I473" s="184"/>
      <c r="J473" s="184"/>
      <c r="Q473" s="184"/>
      <c r="S473" s="543"/>
      <c r="T473" s="543"/>
    </row>
    <row r="474">
      <c r="D474" s="184"/>
      <c r="H474" s="184"/>
      <c r="I474" s="184"/>
      <c r="J474" s="184"/>
      <c r="Q474" s="184"/>
      <c r="S474" s="543"/>
      <c r="T474" s="543"/>
    </row>
    <row r="475">
      <c r="D475" s="184"/>
      <c r="H475" s="184"/>
      <c r="I475" s="184"/>
      <c r="J475" s="184"/>
      <c r="Q475" s="184"/>
      <c r="S475" s="543"/>
      <c r="T475" s="543"/>
    </row>
    <row r="476">
      <c r="D476" s="184"/>
      <c r="H476" s="184"/>
      <c r="I476" s="184"/>
      <c r="J476" s="184"/>
      <c r="Q476" s="184"/>
      <c r="S476" s="543"/>
      <c r="T476" s="543"/>
    </row>
    <row r="477">
      <c r="D477" s="184"/>
      <c r="H477" s="184"/>
      <c r="I477" s="184"/>
      <c r="J477" s="184"/>
      <c r="Q477" s="184"/>
      <c r="S477" s="543"/>
      <c r="T477" s="543"/>
    </row>
    <row r="478">
      <c r="D478" s="184"/>
      <c r="H478" s="184"/>
      <c r="I478" s="184"/>
      <c r="J478" s="184"/>
      <c r="Q478" s="184"/>
      <c r="S478" s="543"/>
      <c r="T478" s="543"/>
    </row>
    <row r="479">
      <c r="D479" s="184"/>
      <c r="H479" s="184"/>
      <c r="I479" s="184"/>
      <c r="J479" s="184"/>
      <c r="Q479" s="184"/>
      <c r="S479" s="543"/>
      <c r="T479" s="543"/>
    </row>
    <row r="480">
      <c r="D480" s="184"/>
      <c r="H480" s="184"/>
      <c r="I480" s="184"/>
      <c r="J480" s="184"/>
      <c r="Q480" s="184"/>
      <c r="S480" s="543"/>
      <c r="T480" s="543"/>
    </row>
    <row r="481">
      <c r="D481" s="184"/>
      <c r="H481" s="184"/>
      <c r="I481" s="184"/>
      <c r="J481" s="184"/>
      <c r="Q481" s="184"/>
      <c r="S481" s="543"/>
      <c r="T481" s="543"/>
    </row>
    <row r="482">
      <c r="D482" s="184"/>
      <c r="H482" s="184"/>
      <c r="I482" s="184"/>
      <c r="J482" s="184"/>
      <c r="Q482" s="184"/>
      <c r="S482" s="543"/>
      <c r="T482" s="543"/>
    </row>
    <row r="483">
      <c r="D483" s="184"/>
      <c r="H483" s="184"/>
      <c r="I483" s="184"/>
      <c r="J483" s="184"/>
      <c r="Q483" s="184"/>
      <c r="S483" s="543"/>
      <c r="T483" s="543"/>
    </row>
    <row r="484">
      <c r="D484" s="184"/>
      <c r="H484" s="184"/>
      <c r="I484" s="184"/>
      <c r="J484" s="184"/>
      <c r="Q484" s="184"/>
      <c r="S484" s="543"/>
      <c r="T484" s="543"/>
    </row>
    <row r="485">
      <c r="D485" s="184"/>
      <c r="H485" s="184"/>
      <c r="I485" s="184"/>
      <c r="J485" s="184"/>
      <c r="Q485" s="184"/>
      <c r="S485" s="543"/>
      <c r="T485" s="543"/>
    </row>
    <row r="486">
      <c r="D486" s="184"/>
      <c r="H486" s="184"/>
      <c r="I486" s="184"/>
      <c r="J486" s="184"/>
      <c r="Q486" s="184"/>
      <c r="S486" s="543"/>
      <c r="T486" s="543"/>
    </row>
    <row r="487">
      <c r="D487" s="184"/>
      <c r="H487" s="184"/>
      <c r="I487" s="184"/>
      <c r="J487" s="184"/>
      <c r="Q487" s="184"/>
      <c r="S487" s="543"/>
      <c r="T487" s="543"/>
    </row>
    <row r="488">
      <c r="D488" s="184"/>
      <c r="H488" s="184"/>
      <c r="I488" s="184"/>
      <c r="J488" s="184"/>
      <c r="Q488" s="184"/>
      <c r="S488" s="543"/>
      <c r="T488" s="543"/>
    </row>
    <row r="489">
      <c r="D489" s="184"/>
      <c r="H489" s="184"/>
      <c r="I489" s="184"/>
      <c r="J489" s="184"/>
      <c r="Q489" s="184"/>
      <c r="S489" s="543"/>
      <c r="T489" s="543"/>
    </row>
    <row r="490">
      <c r="D490" s="184"/>
      <c r="H490" s="184"/>
      <c r="I490" s="184"/>
      <c r="J490" s="184"/>
      <c r="Q490" s="184"/>
      <c r="S490" s="543"/>
      <c r="T490" s="543"/>
    </row>
    <row r="491">
      <c r="D491" s="184"/>
      <c r="H491" s="184"/>
      <c r="I491" s="184"/>
      <c r="J491" s="184"/>
      <c r="Q491" s="184"/>
      <c r="S491" s="543"/>
      <c r="T491" s="543"/>
    </row>
    <row r="492">
      <c r="D492" s="184"/>
      <c r="H492" s="184"/>
      <c r="I492" s="184"/>
      <c r="J492" s="184"/>
      <c r="Q492" s="184"/>
      <c r="S492" s="543"/>
      <c r="T492" s="543"/>
    </row>
    <row r="493">
      <c r="D493" s="184"/>
      <c r="H493" s="184"/>
      <c r="I493" s="184"/>
      <c r="J493" s="184"/>
      <c r="Q493" s="184"/>
      <c r="S493" s="543"/>
      <c r="T493" s="543"/>
    </row>
    <row r="494">
      <c r="D494" s="184"/>
      <c r="H494" s="184"/>
      <c r="I494" s="184"/>
      <c r="J494" s="184"/>
      <c r="Q494" s="184"/>
      <c r="S494" s="543"/>
      <c r="T494" s="543"/>
    </row>
    <row r="495">
      <c r="D495" s="184"/>
      <c r="H495" s="184"/>
      <c r="I495" s="184"/>
      <c r="J495" s="184"/>
      <c r="Q495" s="184"/>
      <c r="S495" s="543"/>
      <c r="T495" s="543"/>
    </row>
    <row r="496">
      <c r="D496" s="184"/>
      <c r="H496" s="184"/>
      <c r="I496" s="184"/>
      <c r="J496" s="184"/>
      <c r="Q496" s="184"/>
      <c r="S496" s="543"/>
      <c r="T496" s="543"/>
    </row>
    <row r="497">
      <c r="D497" s="184"/>
      <c r="H497" s="184"/>
      <c r="I497" s="184"/>
      <c r="J497" s="184"/>
      <c r="Q497" s="184"/>
      <c r="S497" s="543"/>
      <c r="T497" s="543"/>
    </row>
    <row r="498">
      <c r="D498" s="184"/>
      <c r="H498" s="184"/>
      <c r="I498" s="184"/>
      <c r="J498" s="184"/>
      <c r="Q498" s="184"/>
      <c r="S498" s="543"/>
      <c r="T498" s="543"/>
    </row>
    <row r="499">
      <c r="D499" s="184"/>
      <c r="H499" s="184"/>
      <c r="I499" s="184"/>
      <c r="J499" s="184"/>
      <c r="Q499" s="184"/>
      <c r="S499" s="543"/>
      <c r="T499" s="543"/>
    </row>
    <row r="500">
      <c r="D500" s="184"/>
      <c r="H500" s="184"/>
      <c r="I500" s="184"/>
      <c r="J500" s="184"/>
      <c r="Q500" s="184"/>
      <c r="S500" s="543"/>
      <c r="T500" s="543"/>
    </row>
    <row r="501">
      <c r="D501" s="184"/>
      <c r="H501" s="184"/>
      <c r="I501" s="184"/>
      <c r="J501" s="184"/>
      <c r="Q501" s="184"/>
      <c r="S501" s="543"/>
      <c r="T501" s="543"/>
    </row>
    <row r="502">
      <c r="D502" s="184"/>
      <c r="H502" s="184"/>
      <c r="I502" s="184"/>
      <c r="J502" s="184"/>
      <c r="Q502" s="184"/>
      <c r="S502" s="543"/>
      <c r="T502" s="543"/>
    </row>
    <row r="503">
      <c r="D503" s="184"/>
      <c r="H503" s="184"/>
      <c r="I503" s="184"/>
      <c r="J503" s="184"/>
      <c r="Q503" s="184"/>
      <c r="S503" s="543"/>
      <c r="T503" s="543"/>
    </row>
    <row r="504">
      <c r="D504" s="184"/>
      <c r="H504" s="184"/>
      <c r="I504" s="184"/>
      <c r="J504" s="184"/>
      <c r="Q504" s="184"/>
      <c r="S504" s="543"/>
      <c r="T504" s="543"/>
    </row>
    <row r="505">
      <c r="D505" s="184"/>
      <c r="H505" s="184"/>
      <c r="I505" s="184"/>
      <c r="J505" s="184"/>
      <c r="Q505" s="184"/>
      <c r="S505" s="543"/>
      <c r="T505" s="543"/>
    </row>
    <row r="506">
      <c r="D506" s="184"/>
      <c r="H506" s="184"/>
      <c r="I506" s="184"/>
      <c r="J506" s="184"/>
      <c r="Q506" s="184"/>
      <c r="S506" s="543"/>
      <c r="T506" s="543"/>
    </row>
    <row r="507">
      <c r="D507" s="184"/>
      <c r="H507" s="184"/>
      <c r="I507" s="184"/>
      <c r="J507" s="184"/>
      <c r="Q507" s="184"/>
      <c r="S507" s="543"/>
      <c r="T507" s="543"/>
    </row>
    <row r="508">
      <c r="D508" s="184"/>
      <c r="H508" s="184"/>
      <c r="I508" s="184"/>
      <c r="J508" s="184"/>
      <c r="Q508" s="184"/>
      <c r="S508" s="543"/>
      <c r="T508" s="543"/>
    </row>
    <row r="509">
      <c r="D509" s="184"/>
      <c r="H509" s="184"/>
      <c r="I509" s="184"/>
      <c r="J509" s="184"/>
      <c r="Q509" s="184"/>
      <c r="S509" s="543"/>
      <c r="T509" s="543"/>
    </row>
    <row r="510">
      <c r="D510" s="184"/>
      <c r="H510" s="184"/>
      <c r="I510" s="184"/>
      <c r="J510" s="184"/>
      <c r="Q510" s="184"/>
      <c r="S510" s="543"/>
      <c r="T510" s="543"/>
    </row>
    <row r="511">
      <c r="D511" s="184"/>
      <c r="H511" s="184"/>
      <c r="I511" s="184"/>
      <c r="J511" s="184"/>
      <c r="Q511" s="184"/>
      <c r="S511" s="543"/>
      <c r="T511" s="543"/>
    </row>
    <row r="512">
      <c r="D512" s="184"/>
      <c r="H512" s="184"/>
      <c r="I512" s="184"/>
      <c r="J512" s="184"/>
      <c r="Q512" s="184"/>
      <c r="S512" s="543"/>
      <c r="T512" s="543"/>
    </row>
    <row r="513">
      <c r="D513" s="184"/>
      <c r="H513" s="184"/>
      <c r="I513" s="184"/>
      <c r="J513" s="184"/>
      <c r="Q513" s="184"/>
      <c r="S513" s="543"/>
      <c r="T513" s="543"/>
    </row>
    <row r="514">
      <c r="D514" s="184"/>
      <c r="H514" s="184"/>
      <c r="I514" s="184"/>
      <c r="J514" s="184"/>
      <c r="Q514" s="184"/>
      <c r="S514" s="543"/>
      <c r="T514" s="543"/>
    </row>
    <row r="515">
      <c r="D515" s="184"/>
      <c r="H515" s="184"/>
      <c r="I515" s="184"/>
      <c r="J515" s="184"/>
      <c r="Q515" s="184"/>
      <c r="S515" s="543"/>
      <c r="T515" s="543"/>
    </row>
    <row r="516">
      <c r="D516" s="184"/>
      <c r="H516" s="184"/>
      <c r="I516" s="184"/>
      <c r="J516" s="184"/>
      <c r="Q516" s="184"/>
      <c r="S516" s="543"/>
      <c r="T516" s="543"/>
    </row>
    <row r="517">
      <c r="D517" s="184"/>
      <c r="H517" s="184"/>
      <c r="I517" s="184"/>
      <c r="J517" s="184"/>
      <c r="Q517" s="184"/>
      <c r="S517" s="543"/>
      <c r="T517" s="543"/>
    </row>
    <row r="518">
      <c r="D518" s="184"/>
      <c r="H518" s="184"/>
      <c r="I518" s="184"/>
      <c r="J518" s="184"/>
      <c r="Q518" s="184"/>
      <c r="S518" s="543"/>
      <c r="T518" s="543"/>
    </row>
    <row r="519">
      <c r="D519" s="184"/>
      <c r="H519" s="184"/>
      <c r="I519" s="184"/>
      <c r="J519" s="184"/>
      <c r="Q519" s="184"/>
      <c r="S519" s="543"/>
      <c r="T519" s="543"/>
    </row>
    <row r="520">
      <c r="D520" s="184"/>
      <c r="H520" s="184"/>
      <c r="I520" s="184"/>
      <c r="J520" s="184"/>
      <c r="Q520" s="184"/>
      <c r="S520" s="543"/>
      <c r="T520" s="543"/>
    </row>
    <row r="521">
      <c r="D521" s="184"/>
      <c r="H521" s="184"/>
      <c r="I521" s="184"/>
      <c r="J521" s="184"/>
      <c r="Q521" s="184"/>
      <c r="S521" s="543"/>
      <c r="T521" s="543"/>
    </row>
    <row r="522">
      <c r="D522" s="184"/>
      <c r="H522" s="184"/>
      <c r="I522" s="184"/>
      <c r="J522" s="184"/>
      <c r="Q522" s="184"/>
      <c r="S522" s="543"/>
      <c r="T522" s="543"/>
    </row>
    <row r="523">
      <c r="D523" s="184"/>
      <c r="H523" s="184"/>
      <c r="I523" s="184"/>
      <c r="J523" s="184"/>
      <c r="Q523" s="184"/>
      <c r="S523" s="543"/>
      <c r="T523" s="543"/>
    </row>
    <row r="524">
      <c r="D524" s="184"/>
      <c r="H524" s="184"/>
      <c r="I524" s="184"/>
      <c r="J524" s="184"/>
      <c r="Q524" s="184"/>
      <c r="S524" s="543"/>
      <c r="T524" s="543"/>
    </row>
    <row r="525">
      <c r="D525" s="184"/>
      <c r="H525" s="184"/>
      <c r="I525" s="184"/>
      <c r="J525" s="184"/>
      <c r="Q525" s="184"/>
      <c r="S525" s="543"/>
      <c r="T525" s="543"/>
    </row>
    <row r="526">
      <c r="D526" s="184"/>
      <c r="H526" s="184"/>
      <c r="I526" s="184"/>
      <c r="J526" s="184"/>
      <c r="Q526" s="184"/>
      <c r="S526" s="543"/>
      <c r="T526" s="543"/>
    </row>
    <row r="527">
      <c r="D527" s="184"/>
      <c r="H527" s="184"/>
      <c r="I527" s="184"/>
      <c r="J527" s="184"/>
      <c r="Q527" s="184"/>
      <c r="S527" s="543"/>
      <c r="T527" s="543"/>
    </row>
    <row r="528">
      <c r="D528" s="184"/>
      <c r="H528" s="184"/>
      <c r="I528" s="184"/>
      <c r="J528" s="184"/>
      <c r="Q528" s="184"/>
      <c r="S528" s="543"/>
      <c r="T528" s="543"/>
    </row>
    <row r="529">
      <c r="D529" s="184"/>
      <c r="H529" s="184"/>
      <c r="I529" s="184"/>
      <c r="J529" s="184"/>
      <c r="Q529" s="184"/>
      <c r="S529" s="543"/>
      <c r="T529" s="543"/>
    </row>
    <row r="530">
      <c r="D530" s="184"/>
      <c r="H530" s="184"/>
      <c r="I530" s="184"/>
      <c r="J530" s="184"/>
      <c r="Q530" s="184"/>
      <c r="S530" s="543"/>
      <c r="T530" s="543"/>
    </row>
    <row r="531">
      <c r="D531" s="184"/>
      <c r="H531" s="184"/>
      <c r="I531" s="184"/>
      <c r="J531" s="184"/>
      <c r="Q531" s="184"/>
      <c r="S531" s="543"/>
      <c r="T531" s="543"/>
    </row>
    <row r="532">
      <c r="D532" s="184"/>
      <c r="H532" s="184"/>
      <c r="I532" s="184"/>
      <c r="J532" s="184"/>
      <c r="Q532" s="184"/>
      <c r="S532" s="543"/>
      <c r="T532" s="543"/>
    </row>
    <row r="533">
      <c r="D533" s="184"/>
      <c r="H533" s="184"/>
      <c r="I533" s="184"/>
      <c r="J533" s="184"/>
      <c r="Q533" s="184"/>
      <c r="S533" s="543"/>
      <c r="T533" s="543"/>
    </row>
    <row r="534">
      <c r="D534" s="184"/>
      <c r="H534" s="184"/>
      <c r="I534" s="184"/>
      <c r="J534" s="184"/>
      <c r="Q534" s="184"/>
      <c r="S534" s="543"/>
      <c r="T534" s="543"/>
    </row>
    <row r="535">
      <c r="D535" s="184"/>
      <c r="H535" s="184"/>
      <c r="I535" s="184"/>
      <c r="J535" s="184"/>
      <c r="Q535" s="184"/>
      <c r="S535" s="543"/>
      <c r="T535" s="543"/>
    </row>
    <row r="536">
      <c r="D536" s="184"/>
      <c r="H536" s="184"/>
      <c r="I536" s="184"/>
      <c r="J536" s="184"/>
      <c r="Q536" s="184"/>
      <c r="S536" s="543"/>
      <c r="T536" s="543"/>
    </row>
    <row r="537">
      <c r="D537" s="184"/>
      <c r="H537" s="184"/>
      <c r="I537" s="184"/>
      <c r="J537" s="184"/>
      <c r="Q537" s="184"/>
      <c r="S537" s="543"/>
      <c r="T537" s="543"/>
    </row>
    <row r="538">
      <c r="D538" s="184"/>
      <c r="H538" s="184"/>
      <c r="I538" s="184"/>
      <c r="J538" s="184"/>
      <c r="Q538" s="184"/>
      <c r="S538" s="543"/>
      <c r="T538" s="543"/>
    </row>
    <row r="539">
      <c r="D539" s="184"/>
      <c r="H539" s="184"/>
      <c r="I539" s="184"/>
      <c r="J539" s="184"/>
      <c r="Q539" s="184"/>
      <c r="S539" s="543"/>
      <c r="T539" s="543"/>
    </row>
    <row r="540">
      <c r="D540" s="184"/>
      <c r="H540" s="184"/>
      <c r="I540" s="184"/>
      <c r="J540" s="184"/>
      <c r="Q540" s="184"/>
      <c r="S540" s="543"/>
      <c r="T540" s="543"/>
    </row>
    <row r="541">
      <c r="D541" s="184"/>
      <c r="H541" s="184"/>
      <c r="I541" s="184"/>
      <c r="J541" s="184"/>
      <c r="Q541" s="184"/>
      <c r="S541" s="543"/>
      <c r="T541" s="543"/>
    </row>
    <row r="542">
      <c r="D542" s="184"/>
      <c r="H542" s="184"/>
      <c r="I542" s="184"/>
      <c r="J542" s="184"/>
      <c r="Q542" s="184"/>
      <c r="S542" s="543"/>
      <c r="T542" s="543"/>
    </row>
    <row r="543">
      <c r="D543" s="184"/>
      <c r="H543" s="184"/>
      <c r="I543" s="184"/>
      <c r="J543" s="184"/>
      <c r="Q543" s="184"/>
      <c r="S543" s="543"/>
      <c r="T543" s="543"/>
    </row>
    <row r="544">
      <c r="D544" s="184"/>
      <c r="H544" s="184"/>
      <c r="I544" s="184"/>
      <c r="J544" s="184"/>
      <c r="Q544" s="184"/>
      <c r="S544" s="543"/>
      <c r="T544" s="543"/>
    </row>
    <row r="545">
      <c r="D545" s="184"/>
      <c r="H545" s="184"/>
      <c r="I545" s="184"/>
      <c r="J545" s="184"/>
      <c r="Q545" s="184"/>
      <c r="S545" s="543"/>
      <c r="T545" s="543"/>
    </row>
    <row r="546">
      <c r="D546" s="184"/>
      <c r="H546" s="184"/>
      <c r="I546" s="184"/>
      <c r="J546" s="184"/>
      <c r="Q546" s="184"/>
      <c r="S546" s="543"/>
      <c r="T546" s="543"/>
    </row>
    <row r="547">
      <c r="D547" s="184"/>
      <c r="H547" s="184"/>
      <c r="I547" s="184"/>
      <c r="J547" s="184"/>
      <c r="Q547" s="184"/>
      <c r="S547" s="543"/>
      <c r="T547" s="543"/>
    </row>
    <row r="548">
      <c r="D548" s="184"/>
      <c r="H548" s="184"/>
      <c r="I548" s="184"/>
      <c r="J548" s="184"/>
      <c r="Q548" s="184"/>
      <c r="S548" s="543"/>
      <c r="T548" s="543"/>
    </row>
    <row r="549">
      <c r="D549" s="184"/>
      <c r="H549" s="184"/>
      <c r="I549" s="184"/>
      <c r="J549" s="184"/>
      <c r="Q549" s="184"/>
      <c r="S549" s="543"/>
      <c r="T549" s="543"/>
    </row>
    <row r="550">
      <c r="D550" s="184"/>
      <c r="H550" s="184"/>
      <c r="I550" s="184"/>
      <c r="J550" s="184"/>
      <c r="Q550" s="184"/>
      <c r="S550" s="543"/>
      <c r="T550" s="543"/>
    </row>
    <row r="551">
      <c r="D551" s="184"/>
      <c r="H551" s="184"/>
      <c r="I551" s="184"/>
      <c r="J551" s="184"/>
      <c r="Q551" s="184"/>
      <c r="S551" s="543"/>
      <c r="T551" s="543"/>
    </row>
    <row r="552">
      <c r="D552" s="184"/>
      <c r="H552" s="184"/>
      <c r="I552" s="184"/>
      <c r="J552" s="184"/>
      <c r="Q552" s="184"/>
      <c r="S552" s="543"/>
      <c r="T552" s="543"/>
    </row>
    <row r="553">
      <c r="D553" s="184"/>
      <c r="H553" s="184"/>
      <c r="I553" s="184"/>
      <c r="J553" s="184"/>
      <c r="Q553" s="184"/>
      <c r="S553" s="543"/>
      <c r="T553" s="543"/>
    </row>
    <row r="554">
      <c r="D554" s="184"/>
      <c r="H554" s="184"/>
      <c r="I554" s="184"/>
      <c r="J554" s="184"/>
      <c r="Q554" s="184"/>
      <c r="S554" s="543"/>
      <c r="T554" s="543"/>
    </row>
    <row r="555">
      <c r="D555" s="184"/>
      <c r="H555" s="184"/>
      <c r="I555" s="184"/>
      <c r="J555" s="184"/>
      <c r="Q555" s="184"/>
      <c r="S555" s="543"/>
      <c r="T555" s="543"/>
    </row>
    <row r="556">
      <c r="D556" s="184"/>
      <c r="H556" s="184"/>
      <c r="I556" s="184"/>
      <c r="J556" s="184"/>
      <c r="Q556" s="184"/>
      <c r="S556" s="543"/>
      <c r="T556" s="543"/>
    </row>
    <row r="557">
      <c r="D557" s="184"/>
      <c r="H557" s="184"/>
      <c r="I557" s="184"/>
      <c r="J557" s="184"/>
      <c r="Q557" s="184"/>
      <c r="S557" s="543"/>
      <c r="T557" s="543"/>
    </row>
    <row r="558">
      <c r="D558" s="184"/>
      <c r="H558" s="184"/>
      <c r="I558" s="184"/>
      <c r="J558" s="184"/>
      <c r="Q558" s="184"/>
      <c r="S558" s="543"/>
      <c r="T558" s="543"/>
    </row>
    <row r="559">
      <c r="D559" s="184"/>
      <c r="H559" s="184"/>
      <c r="I559" s="184"/>
      <c r="J559" s="184"/>
      <c r="Q559" s="184"/>
      <c r="S559" s="543"/>
      <c r="T559" s="543"/>
    </row>
    <row r="560">
      <c r="D560" s="184"/>
      <c r="H560" s="184"/>
      <c r="I560" s="184"/>
      <c r="J560" s="184"/>
      <c r="Q560" s="184"/>
      <c r="S560" s="543"/>
      <c r="T560" s="543"/>
    </row>
    <row r="561">
      <c r="D561" s="184"/>
      <c r="H561" s="184"/>
      <c r="I561" s="184"/>
      <c r="J561" s="184"/>
      <c r="Q561" s="184"/>
      <c r="S561" s="543"/>
      <c r="T561" s="543"/>
    </row>
    <row r="562">
      <c r="D562" s="184"/>
      <c r="H562" s="184"/>
      <c r="I562" s="184"/>
      <c r="J562" s="184"/>
      <c r="Q562" s="184"/>
      <c r="S562" s="543"/>
      <c r="T562" s="543"/>
    </row>
    <row r="563">
      <c r="D563" s="184"/>
      <c r="H563" s="184"/>
      <c r="I563" s="184"/>
      <c r="J563" s="184"/>
      <c r="Q563" s="184"/>
      <c r="S563" s="543"/>
      <c r="T563" s="543"/>
    </row>
    <row r="564">
      <c r="D564" s="184"/>
      <c r="H564" s="184"/>
      <c r="I564" s="184"/>
      <c r="J564" s="184"/>
      <c r="Q564" s="184"/>
      <c r="S564" s="543"/>
      <c r="T564" s="543"/>
    </row>
    <row r="565">
      <c r="D565" s="184"/>
      <c r="H565" s="184"/>
      <c r="I565" s="184"/>
      <c r="J565" s="184"/>
      <c r="Q565" s="184"/>
      <c r="S565" s="543"/>
      <c r="T565" s="543"/>
    </row>
    <row r="566">
      <c r="D566" s="184"/>
      <c r="H566" s="184"/>
      <c r="I566" s="184"/>
      <c r="J566" s="184"/>
      <c r="Q566" s="184"/>
      <c r="S566" s="543"/>
      <c r="T566" s="543"/>
    </row>
    <row r="567">
      <c r="D567" s="184"/>
      <c r="H567" s="184"/>
      <c r="I567" s="184"/>
      <c r="J567" s="184"/>
      <c r="Q567" s="184"/>
      <c r="S567" s="543"/>
      <c r="T567" s="543"/>
    </row>
    <row r="568">
      <c r="D568" s="184"/>
      <c r="H568" s="184"/>
      <c r="I568" s="184"/>
      <c r="J568" s="184"/>
      <c r="Q568" s="184"/>
      <c r="S568" s="543"/>
      <c r="T568" s="543"/>
    </row>
    <row r="569">
      <c r="D569" s="184"/>
      <c r="H569" s="184"/>
      <c r="I569" s="184"/>
      <c r="J569" s="184"/>
      <c r="Q569" s="184"/>
      <c r="S569" s="543"/>
      <c r="T569" s="543"/>
    </row>
    <row r="570">
      <c r="D570" s="184"/>
      <c r="H570" s="184"/>
      <c r="I570" s="184"/>
      <c r="J570" s="184"/>
      <c r="Q570" s="184"/>
      <c r="S570" s="543"/>
      <c r="T570" s="543"/>
    </row>
    <row r="571">
      <c r="D571" s="184"/>
      <c r="H571" s="184"/>
      <c r="I571" s="184"/>
      <c r="J571" s="184"/>
      <c r="Q571" s="184"/>
      <c r="S571" s="543"/>
      <c r="T571" s="543"/>
    </row>
    <row r="572">
      <c r="D572" s="184"/>
      <c r="H572" s="184"/>
      <c r="I572" s="184"/>
      <c r="J572" s="184"/>
      <c r="Q572" s="184"/>
      <c r="S572" s="543"/>
      <c r="T572" s="543"/>
    </row>
    <row r="573">
      <c r="D573" s="184"/>
      <c r="H573" s="184"/>
      <c r="I573" s="184"/>
      <c r="J573" s="184"/>
      <c r="Q573" s="184"/>
      <c r="S573" s="543"/>
      <c r="T573" s="543"/>
    </row>
    <row r="574">
      <c r="D574" s="184"/>
      <c r="H574" s="184"/>
      <c r="I574" s="184"/>
      <c r="J574" s="184"/>
      <c r="Q574" s="184"/>
      <c r="S574" s="543"/>
      <c r="T574" s="543"/>
    </row>
    <row r="575">
      <c r="D575" s="184"/>
      <c r="H575" s="184"/>
      <c r="I575" s="184"/>
      <c r="J575" s="184"/>
      <c r="Q575" s="184"/>
      <c r="S575" s="543"/>
      <c r="T575" s="543"/>
    </row>
    <row r="576">
      <c r="D576" s="184"/>
      <c r="H576" s="184"/>
      <c r="I576" s="184"/>
      <c r="J576" s="184"/>
      <c r="Q576" s="184"/>
      <c r="S576" s="543"/>
      <c r="T576" s="543"/>
    </row>
    <row r="577">
      <c r="D577" s="184"/>
      <c r="H577" s="184"/>
      <c r="I577" s="184"/>
      <c r="J577" s="184"/>
      <c r="Q577" s="184"/>
      <c r="S577" s="543"/>
      <c r="T577" s="543"/>
    </row>
    <row r="578">
      <c r="D578" s="184"/>
      <c r="H578" s="184"/>
      <c r="I578" s="184"/>
      <c r="J578" s="184"/>
      <c r="Q578" s="184"/>
      <c r="S578" s="543"/>
      <c r="T578" s="543"/>
    </row>
    <row r="579">
      <c r="D579" s="184"/>
      <c r="H579" s="184"/>
      <c r="I579" s="184"/>
      <c r="J579" s="184"/>
      <c r="Q579" s="184"/>
      <c r="S579" s="543"/>
      <c r="T579" s="543"/>
    </row>
    <row r="580">
      <c r="D580" s="184"/>
      <c r="H580" s="184"/>
      <c r="I580" s="184"/>
      <c r="J580" s="184"/>
      <c r="Q580" s="184"/>
      <c r="S580" s="543"/>
      <c r="T580" s="543"/>
    </row>
    <row r="581">
      <c r="D581" s="184"/>
      <c r="H581" s="184"/>
      <c r="I581" s="184"/>
      <c r="J581" s="184"/>
      <c r="Q581" s="184"/>
      <c r="S581" s="543"/>
      <c r="T581" s="543"/>
    </row>
    <row r="582">
      <c r="D582" s="184"/>
      <c r="H582" s="184"/>
      <c r="I582" s="184"/>
      <c r="J582" s="184"/>
      <c r="Q582" s="184"/>
      <c r="S582" s="543"/>
      <c r="T582" s="543"/>
    </row>
    <row r="583">
      <c r="D583" s="184"/>
      <c r="H583" s="184"/>
      <c r="I583" s="184"/>
      <c r="J583" s="184"/>
      <c r="Q583" s="184"/>
      <c r="S583" s="543"/>
      <c r="T583" s="543"/>
    </row>
    <row r="584">
      <c r="D584" s="184"/>
      <c r="H584" s="184"/>
      <c r="I584" s="184"/>
      <c r="J584" s="184"/>
      <c r="Q584" s="184"/>
      <c r="S584" s="543"/>
      <c r="T584" s="543"/>
    </row>
    <row r="585">
      <c r="D585" s="184"/>
      <c r="H585" s="184"/>
      <c r="I585" s="184"/>
      <c r="J585" s="184"/>
      <c r="Q585" s="184"/>
      <c r="S585" s="543"/>
      <c r="T585" s="543"/>
    </row>
    <row r="586">
      <c r="D586" s="184"/>
      <c r="H586" s="184"/>
      <c r="I586" s="184"/>
      <c r="J586" s="184"/>
      <c r="Q586" s="184"/>
      <c r="S586" s="543"/>
      <c r="T586" s="543"/>
    </row>
    <row r="587">
      <c r="D587" s="184"/>
      <c r="H587" s="184"/>
      <c r="I587" s="184"/>
      <c r="J587" s="184"/>
      <c r="Q587" s="184"/>
      <c r="S587" s="543"/>
      <c r="T587" s="543"/>
    </row>
    <row r="588">
      <c r="D588" s="184"/>
      <c r="H588" s="184"/>
      <c r="I588" s="184"/>
      <c r="J588" s="184"/>
      <c r="Q588" s="184"/>
      <c r="S588" s="543"/>
      <c r="T588" s="543"/>
    </row>
    <row r="589">
      <c r="D589" s="184"/>
      <c r="H589" s="184"/>
      <c r="I589" s="184"/>
      <c r="J589" s="184"/>
      <c r="Q589" s="184"/>
      <c r="S589" s="543"/>
      <c r="T589" s="543"/>
    </row>
    <row r="590">
      <c r="D590" s="184"/>
      <c r="H590" s="184"/>
      <c r="I590" s="184"/>
      <c r="J590" s="184"/>
      <c r="Q590" s="184"/>
      <c r="S590" s="543"/>
      <c r="T590" s="543"/>
    </row>
    <row r="591">
      <c r="D591" s="184"/>
      <c r="H591" s="184"/>
      <c r="I591" s="184"/>
      <c r="J591" s="184"/>
      <c r="Q591" s="184"/>
      <c r="S591" s="543"/>
      <c r="T591" s="543"/>
    </row>
    <row r="592">
      <c r="D592" s="184"/>
      <c r="H592" s="184"/>
      <c r="I592" s="184"/>
      <c r="J592" s="184"/>
      <c r="Q592" s="184"/>
      <c r="S592" s="543"/>
      <c r="T592" s="543"/>
    </row>
    <row r="593">
      <c r="D593" s="184"/>
      <c r="H593" s="184"/>
      <c r="I593" s="184"/>
      <c r="J593" s="184"/>
      <c r="Q593" s="184"/>
      <c r="S593" s="543"/>
      <c r="T593" s="543"/>
    </row>
    <row r="594">
      <c r="D594" s="184"/>
      <c r="H594" s="184"/>
      <c r="I594" s="184"/>
      <c r="J594" s="184"/>
      <c r="Q594" s="184"/>
      <c r="S594" s="543"/>
      <c r="T594" s="543"/>
    </row>
    <row r="595">
      <c r="D595" s="184"/>
      <c r="H595" s="184"/>
      <c r="I595" s="184"/>
      <c r="J595" s="184"/>
      <c r="Q595" s="184"/>
      <c r="S595" s="543"/>
      <c r="T595" s="543"/>
    </row>
    <row r="596">
      <c r="D596" s="184"/>
      <c r="H596" s="184"/>
      <c r="I596" s="184"/>
      <c r="J596" s="184"/>
      <c r="Q596" s="184"/>
      <c r="S596" s="543"/>
      <c r="T596" s="543"/>
    </row>
    <row r="597">
      <c r="D597" s="184"/>
      <c r="H597" s="184"/>
      <c r="I597" s="184"/>
      <c r="J597" s="184"/>
      <c r="Q597" s="184"/>
      <c r="S597" s="543"/>
      <c r="T597" s="543"/>
    </row>
    <row r="598">
      <c r="D598" s="184"/>
      <c r="H598" s="184"/>
      <c r="I598" s="184"/>
      <c r="J598" s="184"/>
      <c r="Q598" s="184"/>
      <c r="S598" s="543"/>
      <c r="T598" s="543"/>
    </row>
    <row r="599">
      <c r="D599" s="184"/>
      <c r="H599" s="184"/>
      <c r="I599" s="184"/>
      <c r="J599" s="184"/>
      <c r="Q599" s="184"/>
      <c r="S599" s="543"/>
      <c r="T599" s="543"/>
    </row>
    <row r="600">
      <c r="D600" s="184"/>
      <c r="H600" s="184"/>
      <c r="I600" s="184"/>
      <c r="J600" s="184"/>
      <c r="Q600" s="184"/>
      <c r="S600" s="543"/>
      <c r="T600" s="543"/>
    </row>
    <row r="601">
      <c r="D601" s="184"/>
      <c r="H601" s="184"/>
      <c r="I601" s="184"/>
      <c r="J601" s="184"/>
      <c r="Q601" s="184"/>
      <c r="S601" s="543"/>
      <c r="T601" s="543"/>
    </row>
    <row r="602">
      <c r="D602" s="184"/>
      <c r="H602" s="184"/>
      <c r="I602" s="184"/>
      <c r="J602" s="184"/>
      <c r="Q602" s="184"/>
      <c r="S602" s="543"/>
      <c r="T602" s="543"/>
    </row>
    <row r="603">
      <c r="D603" s="184"/>
      <c r="H603" s="184"/>
      <c r="I603" s="184"/>
      <c r="J603" s="184"/>
      <c r="Q603" s="184"/>
      <c r="S603" s="543"/>
      <c r="T603" s="543"/>
    </row>
    <row r="604">
      <c r="D604" s="184"/>
      <c r="H604" s="184"/>
      <c r="I604" s="184"/>
      <c r="J604" s="184"/>
      <c r="Q604" s="184"/>
      <c r="S604" s="543"/>
      <c r="T604" s="543"/>
    </row>
    <row r="605">
      <c r="D605" s="184"/>
      <c r="H605" s="184"/>
      <c r="I605" s="184"/>
      <c r="J605" s="184"/>
      <c r="Q605" s="184"/>
      <c r="S605" s="543"/>
      <c r="T605" s="543"/>
    </row>
    <row r="606">
      <c r="D606" s="184"/>
      <c r="H606" s="184"/>
      <c r="I606" s="184"/>
      <c r="J606" s="184"/>
      <c r="Q606" s="184"/>
      <c r="S606" s="543"/>
      <c r="T606" s="543"/>
    </row>
    <row r="607">
      <c r="D607" s="184"/>
      <c r="H607" s="184"/>
      <c r="I607" s="184"/>
      <c r="J607" s="184"/>
      <c r="Q607" s="184"/>
      <c r="S607" s="543"/>
      <c r="T607" s="543"/>
    </row>
    <row r="608">
      <c r="D608" s="184"/>
      <c r="H608" s="184"/>
      <c r="I608" s="184"/>
      <c r="J608" s="184"/>
      <c r="Q608" s="184"/>
      <c r="S608" s="543"/>
      <c r="T608" s="543"/>
    </row>
    <row r="609">
      <c r="D609" s="184"/>
      <c r="H609" s="184"/>
      <c r="I609" s="184"/>
      <c r="J609" s="184"/>
      <c r="Q609" s="184"/>
      <c r="S609" s="543"/>
      <c r="T609" s="543"/>
    </row>
    <row r="610">
      <c r="D610" s="184"/>
      <c r="H610" s="184"/>
      <c r="I610" s="184"/>
      <c r="J610" s="184"/>
      <c r="Q610" s="184"/>
      <c r="S610" s="543"/>
      <c r="T610" s="543"/>
    </row>
    <row r="611">
      <c r="D611" s="184"/>
      <c r="H611" s="184"/>
      <c r="I611" s="184"/>
      <c r="J611" s="184"/>
      <c r="Q611" s="184"/>
      <c r="S611" s="543"/>
      <c r="T611" s="543"/>
    </row>
    <row r="612">
      <c r="D612" s="184"/>
      <c r="H612" s="184"/>
      <c r="I612" s="184"/>
      <c r="J612" s="184"/>
      <c r="Q612" s="184"/>
      <c r="S612" s="543"/>
      <c r="T612" s="543"/>
    </row>
    <row r="613">
      <c r="D613" s="184"/>
      <c r="H613" s="184"/>
      <c r="I613" s="184"/>
      <c r="J613" s="184"/>
      <c r="Q613" s="184"/>
      <c r="S613" s="543"/>
      <c r="T613" s="543"/>
    </row>
    <row r="614">
      <c r="D614" s="184"/>
      <c r="H614" s="184"/>
      <c r="I614" s="184"/>
      <c r="J614" s="184"/>
      <c r="Q614" s="184"/>
      <c r="S614" s="543"/>
      <c r="T614" s="543"/>
    </row>
    <row r="615">
      <c r="D615" s="184"/>
      <c r="H615" s="184"/>
      <c r="I615" s="184"/>
      <c r="J615" s="184"/>
      <c r="Q615" s="184"/>
      <c r="S615" s="543"/>
      <c r="T615" s="543"/>
    </row>
    <row r="616">
      <c r="D616" s="184"/>
      <c r="H616" s="184"/>
      <c r="I616" s="184"/>
      <c r="J616" s="184"/>
      <c r="Q616" s="184"/>
      <c r="S616" s="543"/>
      <c r="T616" s="543"/>
    </row>
    <row r="617">
      <c r="D617" s="184"/>
      <c r="H617" s="184"/>
      <c r="I617" s="184"/>
      <c r="J617" s="184"/>
      <c r="Q617" s="184"/>
      <c r="S617" s="543"/>
      <c r="T617" s="543"/>
    </row>
    <row r="618">
      <c r="D618" s="184"/>
      <c r="H618" s="184"/>
      <c r="I618" s="184"/>
      <c r="J618" s="184"/>
      <c r="Q618" s="184"/>
      <c r="S618" s="543"/>
      <c r="T618" s="543"/>
    </row>
    <row r="619">
      <c r="D619" s="184"/>
      <c r="H619" s="184"/>
      <c r="I619" s="184"/>
      <c r="J619" s="184"/>
      <c r="Q619" s="184"/>
      <c r="S619" s="543"/>
      <c r="T619" s="543"/>
    </row>
    <row r="620">
      <c r="D620" s="184"/>
      <c r="H620" s="184"/>
      <c r="I620" s="184"/>
      <c r="J620" s="184"/>
      <c r="Q620" s="184"/>
      <c r="S620" s="543"/>
      <c r="T620" s="543"/>
    </row>
    <row r="621">
      <c r="D621" s="184"/>
      <c r="H621" s="184"/>
      <c r="I621" s="184"/>
      <c r="J621" s="184"/>
      <c r="Q621" s="184"/>
      <c r="S621" s="543"/>
      <c r="T621" s="543"/>
    </row>
    <row r="622">
      <c r="D622" s="184"/>
      <c r="H622" s="184"/>
      <c r="I622" s="184"/>
      <c r="J622" s="184"/>
      <c r="Q622" s="184"/>
      <c r="S622" s="543"/>
      <c r="T622" s="543"/>
    </row>
    <row r="623">
      <c r="D623" s="184"/>
      <c r="H623" s="184"/>
      <c r="I623" s="184"/>
      <c r="J623" s="184"/>
      <c r="Q623" s="184"/>
      <c r="S623" s="543"/>
      <c r="T623" s="543"/>
    </row>
    <row r="624">
      <c r="D624" s="184"/>
      <c r="H624" s="184"/>
      <c r="I624" s="184"/>
      <c r="J624" s="184"/>
      <c r="Q624" s="184"/>
      <c r="S624" s="543"/>
      <c r="T624" s="543"/>
    </row>
    <row r="625">
      <c r="D625" s="184"/>
      <c r="H625" s="184"/>
      <c r="I625" s="184"/>
      <c r="J625" s="184"/>
      <c r="Q625" s="184"/>
      <c r="S625" s="543"/>
      <c r="T625" s="543"/>
    </row>
    <row r="626">
      <c r="D626" s="184"/>
      <c r="H626" s="184"/>
      <c r="I626" s="184"/>
      <c r="J626" s="184"/>
      <c r="Q626" s="184"/>
      <c r="S626" s="543"/>
      <c r="T626" s="543"/>
    </row>
    <row r="627">
      <c r="D627" s="184"/>
      <c r="H627" s="184"/>
      <c r="I627" s="184"/>
      <c r="J627" s="184"/>
      <c r="Q627" s="184"/>
      <c r="S627" s="543"/>
      <c r="T627" s="543"/>
    </row>
    <row r="628">
      <c r="D628" s="184"/>
      <c r="H628" s="184"/>
      <c r="I628" s="184"/>
      <c r="J628" s="184"/>
      <c r="Q628" s="184"/>
      <c r="S628" s="543"/>
      <c r="T628" s="543"/>
    </row>
    <row r="629">
      <c r="D629" s="184"/>
      <c r="H629" s="184"/>
      <c r="I629" s="184"/>
      <c r="J629" s="184"/>
      <c r="Q629" s="184"/>
      <c r="S629" s="543"/>
      <c r="T629" s="543"/>
    </row>
    <row r="630">
      <c r="D630" s="184"/>
      <c r="H630" s="184"/>
      <c r="I630" s="184"/>
      <c r="J630" s="184"/>
      <c r="Q630" s="184"/>
      <c r="S630" s="543"/>
      <c r="T630" s="543"/>
    </row>
    <row r="631">
      <c r="D631" s="184"/>
      <c r="H631" s="184"/>
      <c r="I631" s="184"/>
      <c r="J631" s="184"/>
      <c r="Q631" s="184"/>
      <c r="S631" s="543"/>
      <c r="T631" s="543"/>
    </row>
    <row r="632">
      <c r="D632" s="184"/>
      <c r="H632" s="184"/>
      <c r="I632" s="184"/>
      <c r="J632" s="184"/>
      <c r="Q632" s="184"/>
      <c r="S632" s="543"/>
      <c r="T632" s="543"/>
    </row>
    <row r="633">
      <c r="D633" s="184"/>
      <c r="H633" s="184"/>
      <c r="I633" s="184"/>
      <c r="J633" s="184"/>
      <c r="Q633" s="184"/>
      <c r="S633" s="543"/>
      <c r="T633" s="543"/>
    </row>
    <row r="634">
      <c r="D634" s="184"/>
      <c r="H634" s="184"/>
      <c r="I634" s="184"/>
      <c r="J634" s="184"/>
      <c r="Q634" s="184"/>
      <c r="S634" s="543"/>
      <c r="T634" s="543"/>
    </row>
    <row r="635">
      <c r="D635" s="184"/>
      <c r="H635" s="184"/>
      <c r="I635" s="184"/>
      <c r="J635" s="184"/>
      <c r="Q635" s="184"/>
      <c r="S635" s="543"/>
      <c r="T635" s="543"/>
    </row>
    <row r="636">
      <c r="D636" s="184"/>
      <c r="H636" s="184"/>
      <c r="I636" s="184"/>
      <c r="J636" s="184"/>
      <c r="Q636" s="184"/>
      <c r="S636" s="543"/>
      <c r="T636" s="543"/>
    </row>
    <row r="637">
      <c r="D637" s="184"/>
      <c r="H637" s="184"/>
      <c r="I637" s="184"/>
      <c r="J637" s="184"/>
      <c r="Q637" s="184"/>
      <c r="S637" s="543"/>
      <c r="T637" s="543"/>
    </row>
    <row r="638">
      <c r="D638" s="184"/>
      <c r="H638" s="184"/>
      <c r="I638" s="184"/>
      <c r="J638" s="184"/>
      <c r="Q638" s="184"/>
      <c r="S638" s="543"/>
      <c r="T638" s="543"/>
    </row>
    <row r="639">
      <c r="D639" s="184"/>
      <c r="H639" s="184"/>
      <c r="I639" s="184"/>
      <c r="J639" s="184"/>
      <c r="Q639" s="184"/>
      <c r="S639" s="543"/>
      <c r="T639" s="543"/>
    </row>
    <row r="640">
      <c r="D640" s="184"/>
      <c r="H640" s="184"/>
      <c r="I640" s="184"/>
      <c r="J640" s="184"/>
      <c r="Q640" s="184"/>
      <c r="S640" s="543"/>
      <c r="T640" s="543"/>
    </row>
    <row r="641">
      <c r="D641" s="184"/>
      <c r="H641" s="184"/>
      <c r="I641" s="184"/>
      <c r="J641" s="184"/>
      <c r="Q641" s="184"/>
      <c r="S641" s="543"/>
      <c r="T641" s="543"/>
    </row>
    <row r="642">
      <c r="D642" s="184"/>
      <c r="H642" s="184"/>
      <c r="I642" s="184"/>
      <c r="J642" s="184"/>
      <c r="Q642" s="184"/>
      <c r="S642" s="543"/>
      <c r="T642" s="543"/>
    </row>
    <row r="643">
      <c r="D643" s="184"/>
      <c r="H643" s="184"/>
      <c r="I643" s="184"/>
      <c r="J643" s="184"/>
      <c r="Q643" s="184"/>
      <c r="S643" s="543"/>
      <c r="T643" s="543"/>
    </row>
    <row r="644">
      <c r="D644" s="184"/>
      <c r="H644" s="184"/>
      <c r="I644" s="184"/>
      <c r="J644" s="184"/>
      <c r="Q644" s="184"/>
      <c r="S644" s="543"/>
      <c r="T644" s="543"/>
    </row>
    <row r="645">
      <c r="D645" s="184"/>
      <c r="H645" s="184"/>
      <c r="I645" s="184"/>
      <c r="J645" s="184"/>
      <c r="Q645" s="184"/>
      <c r="S645" s="543"/>
      <c r="T645" s="543"/>
    </row>
    <row r="646">
      <c r="D646" s="184"/>
      <c r="H646" s="184"/>
      <c r="I646" s="184"/>
      <c r="J646" s="184"/>
      <c r="Q646" s="184"/>
      <c r="S646" s="543"/>
      <c r="T646" s="543"/>
    </row>
    <row r="647">
      <c r="D647" s="184"/>
      <c r="H647" s="184"/>
      <c r="I647" s="184"/>
      <c r="J647" s="184"/>
      <c r="Q647" s="184"/>
      <c r="S647" s="543"/>
      <c r="T647" s="543"/>
    </row>
    <row r="648">
      <c r="D648" s="184"/>
      <c r="H648" s="184"/>
      <c r="I648" s="184"/>
      <c r="J648" s="184"/>
      <c r="Q648" s="184"/>
      <c r="S648" s="543"/>
      <c r="T648" s="543"/>
    </row>
    <row r="649">
      <c r="D649" s="184"/>
      <c r="H649" s="184"/>
      <c r="I649" s="184"/>
      <c r="J649" s="184"/>
      <c r="Q649" s="184"/>
      <c r="S649" s="543"/>
      <c r="T649" s="543"/>
    </row>
    <row r="650">
      <c r="D650" s="184"/>
      <c r="H650" s="184"/>
      <c r="I650" s="184"/>
      <c r="J650" s="184"/>
      <c r="Q650" s="184"/>
      <c r="S650" s="543"/>
      <c r="T650" s="543"/>
    </row>
    <row r="651">
      <c r="D651" s="184"/>
      <c r="H651" s="184"/>
      <c r="I651" s="184"/>
      <c r="J651" s="184"/>
      <c r="Q651" s="184"/>
      <c r="S651" s="543"/>
      <c r="T651" s="543"/>
    </row>
    <row r="652">
      <c r="D652" s="184"/>
      <c r="H652" s="184"/>
      <c r="I652" s="184"/>
      <c r="J652" s="184"/>
      <c r="Q652" s="184"/>
      <c r="S652" s="543"/>
      <c r="T652" s="543"/>
    </row>
    <row r="653">
      <c r="D653" s="184"/>
      <c r="H653" s="184"/>
      <c r="I653" s="184"/>
      <c r="J653" s="184"/>
      <c r="Q653" s="184"/>
      <c r="S653" s="543"/>
      <c r="T653" s="543"/>
    </row>
    <row r="654">
      <c r="D654" s="184"/>
      <c r="H654" s="184"/>
      <c r="I654" s="184"/>
      <c r="J654" s="184"/>
      <c r="Q654" s="184"/>
      <c r="S654" s="543"/>
      <c r="T654" s="543"/>
    </row>
    <row r="655">
      <c r="D655" s="184"/>
      <c r="H655" s="184"/>
      <c r="I655" s="184"/>
      <c r="J655" s="184"/>
      <c r="Q655" s="184"/>
      <c r="S655" s="543"/>
      <c r="T655" s="543"/>
    </row>
    <row r="656">
      <c r="D656" s="184"/>
      <c r="H656" s="184"/>
      <c r="I656" s="184"/>
      <c r="J656" s="184"/>
      <c r="Q656" s="184"/>
      <c r="S656" s="543"/>
      <c r="T656" s="543"/>
    </row>
    <row r="657">
      <c r="D657" s="184"/>
      <c r="H657" s="184"/>
      <c r="I657" s="184"/>
      <c r="J657" s="184"/>
      <c r="Q657" s="184"/>
      <c r="S657" s="543"/>
      <c r="T657" s="543"/>
    </row>
    <row r="658">
      <c r="D658" s="184"/>
      <c r="H658" s="184"/>
      <c r="I658" s="184"/>
      <c r="J658" s="184"/>
      <c r="Q658" s="184"/>
      <c r="S658" s="543"/>
      <c r="T658" s="543"/>
    </row>
    <row r="659">
      <c r="D659" s="184"/>
      <c r="H659" s="184"/>
      <c r="I659" s="184"/>
      <c r="J659" s="184"/>
      <c r="Q659" s="184"/>
      <c r="S659" s="543"/>
      <c r="T659" s="543"/>
    </row>
    <row r="660">
      <c r="D660" s="184"/>
      <c r="H660" s="184"/>
      <c r="I660" s="184"/>
      <c r="J660" s="184"/>
      <c r="Q660" s="184"/>
      <c r="S660" s="543"/>
      <c r="T660" s="543"/>
    </row>
    <row r="661">
      <c r="D661" s="184"/>
      <c r="H661" s="184"/>
      <c r="I661" s="184"/>
      <c r="J661" s="184"/>
      <c r="Q661" s="184"/>
      <c r="S661" s="543"/>
      <c r="T661" s="543"/>
    </row>
    <row r="662">
      <c r="D662" s="184"/>
      <c r="H662" s="184"/>
      <c r="I662" s="184"/>
      <c r="J662" s="184"/>
      <c r="Q662" s="184"/>
      <c r="S662" s="543"/>
      <c r="T662" s="543"/>
    </row>
    <row r="663">
      <c r="D663" s="184"/>
      <c r="H663" s="184"/>
      <c r="I663" s="184"/>
      <c r="J663" s="184"/>
      <c r="Q663" s="184"/>
      <c r="S663" s="543"/>
      <c r="T663" s="543"/>
    </row>
    <row r="664">
      <c r="D664" s="184"/>
      <c r="H664" s="184"/>
      <c r="I664" s="184"/>
      <c r="J664" s="184"/>
      <c r="Q664" s="184"/>
      <c r="S664" s="543"/>
      <c r="T664" s="543"/>
    </row>
    <row r="665">
      <c r="D665" s="184"/>
      <c r="H665" s="184"/>
      <c r="I665" s="184"/>
      <c r="J665" s="184"/>
      <c r="Q665" s="184"/>
      <c r="S665" s="543"/>
      <c r="T665" s="543"/>
    </row>
    <row r="666">
      <c r="D666" s="184"/>
      <c r="H666" s="184"/>
      <c r="I666" s="184"/>
      <c r="J666" s="184"/>
      <c r="Q666" s="184"/>
      <c r="S666" s="543"/>
      <c r="T666" s="543"/>
    </row>
    <row r="667">
      <c r="D667" s="184"/>
      <c r="H667" s="184"/>
      <c r="I667" s="184"/>
      <c r="J667" s="184"/>
      <c r="Q667" s="184"/>
      <c r="S667" s="543"/>
      <c r="T667" s="543"/>
    </row>
    <row r="668">
      <c r="D668" s="184"/>
      <c r="H668" s="184"/>
      <c r="I668" s="184"/>
      <c r="J668" s="184"/>
      <c r="Q668" s="184"/>
      <c r="S668" s="543"/>
      <c r="T668" s="543"/>
    </row>
    <row r="669">
      <c r="D669" s="184"/>
      <c r="H669" s="184"/>
      <c r="I669" s="184"/>
      <c r="J669" s="184"/>
      <c r="Q669" s="184"/>
      <c r="S669" s="543"/>
      <c r="T669" s="543"/>
    </row>
    <row r="670">
      <c r="D670" s="184"/>
      <c r="H670" s="184"/>
      <c r="I670" s="184"/>
      <c r="J670" s="184"/>
      <c r="Q670" s="184"/>
      <c r="S670" s="543"/>
      <c r="T670" s="543"/>
    </row>
    <row r="671">
      <c r="D671" s="184"/>
      <c r="H671" s="184"/>
      <c r="I671" s="184"/>
      <c r="J671" s="184"/>
      <c r="Q671" s="184"/>
      <c r="S671" s="543"/>
      <c r="T671" s="543"/>
    </row>
    <row r="672">
      <c r="D672" s="184"/>
      <c r="H672" s="184"/>
      <c r="I672" s="184"/>
      <c r="J672" s="184"/>
      <c r="Q672" s="184"/>
      <c r="S672" s="543"/>
      <c r="T672" s="543"/>
    </row>
    <row r="673">
      <c r="D673" s="184"/>
      <c r="H673" s="184"/>
      <c r="I673" s="184"/>
      <c r="J673" s="184"/>
      <c r="Q673" s="184"/>
      <c r="S673" s="543"/>
      <c r="T673" s="543"/>
    </row>
    <row r="674">
      <c r="D674" s="184"/>
      <c r="H674" s="184"/>
      <c r="I674" s="184"/>
      <c r="J674" s="184"/>
      <c r="Q674" s="184"/>
      <c r="S674" s="543"/>
      <c r="T674" s="543"/>
    </row>
    <row r="675">
      <c r="D675" s="184"/>
      <c r="H675" s="184"/>
      <c r="I675" s="184"/>
      <c r="J675" s="184"/>
      <c r="Q675" s="184"/>
      <c r="S675" s="543"/>
      <c r="T675" s="543"/>
    </row>
    <row r="676">
      <c r="D676" s="184"/>
      <c r="H676" s="184"/>
      <c r="I676" s="184"/>
      <c r="J676" s="184"/>
      <c r="Q676" s="184"/>
      <c r="S676" s="543"/>
      <c r="T676" s="543"/>
    </row>
    <row r="677">
      <c r="D677" s="184"/>
      <c r="H677" s="184"/>
      <c r="I677" s="184"/>
      <c r="J677" s="184"/>
      <c r="Q677" s="184"/>
      <c r="S677" s="543"/>
      <c r="T677" s="543"/>
    </row>
    <row r="678">
      <c r="D678" s="184"/>
      <c r="H678" s="184"/>
      <c r="I678" s="184"/>
      <c r="J678" s="184"/>
      <c r="Q678" s="184"/>
      <c r="S678" s="543"/>
      <c r="T678" s="543"/>
    </row>
    <row r="679">
      <c r="D679" s="184"/>
      <c r="H679" s="184"/>
      <c r="I679" s="184"/>
      <c r="J679" s="184"/>
      <c r="Q679" s="184"/>
      <c r="S679" s="543"/>
      <c r="T679" s="543"/>
    </row>
    <row r="680">
      <c r="D680" s="184"/>
      <c r="H680" s="184"/>
      <c r="I680" s="184"/>
      <c r="J680" s="184"/>
      <c r="Q680" s="184"/>
      <c r="S680" s="543"/>
      <c r="T680" s="543"/>
    </row>
    <row r="681">
      <c r="D681" s="184"/>
      <c r="H681" s="184"/>
      <c r="I681" s="184"/>
      <c r="J681" s="184"/>
      <c r="Q681" s="184"/>
      <c r="S681" s="543"/>
      <c r="T681" s="543"/>
    </row>
    <row r="682">
      <c r="D682" s="184"/>
      <c r="H682" s="184"/>
      <c r="I682" s="184"/>
      <c r="J682" s="184"/>
      <c r="Q682" s="184"/>
      <c r="S682" s="543"/>
      <c r="T682" s="543"/>
    </row>
    <row r="683">
      <c r="D683" s="184"/>
      <c r="H683" s="184"/>
      <c r="I683" s="184"/>
      <c r="J683" s="184"/>
      <c r="Q683" s="184"/>
      <c r="S683" s="543"/>
      <c r="T683" s="543"/>
    </row>
    <row r="684">
      <c r="D684" s="184"/>
      <c r="H684" s="184"/>
      <c r="I684" s="184"/>
      <c r="J684" s="184"/>
      <c r="Q684" s="184"/>
      <c r="S684" s="543"/>
      <c r="T684" s="543"/>
    </row>
    <row r="685">
      <c r="D685" s="184"/>
      <c r="H685" s="184"/>
      <c r="I685" s="184"/>
      <c r="J685" s="184"/>
      <c r="Q685" s="184"/>
      <c r="S685" s="543"/>
      <c r="T685" s="543"/>
    </row>
    <row r="686">
      <c r="D686" s="184"/>
      <c r="H686" s="184"/>
      <c r="I686" s="184"/>
      <c r="J686" s="184"/>
      <c r="Q686" s="184"/>
      <c r="S686" s="543"/>
      <c r="T686" s="543"/>
    </row>
    <row r="687">
      <c r="D687" s="184"/>
      <c r="H687" s="184"/>
      <c r="I687" s="184"/>
      <c r="J687" s="184"/>
      <c r="Q687" s="184"/>
      <c r="S687" s="543"/>
      <c r="T687" s="543"/>
    </row>
    <row r="688">
      <c r="D688" s="184"/>
      <c r="H688" s="184"/>
      <c r="I688" s="184"/>
      <c r="J688" s="184"/>
      <c r="Q688" s="184"/>
      <c r="S688" s="543"/>
      <c r="T688" s="543"/>
    </row>
    <row r="689">
      <c r="D689" s="184"/>
      <c r="H689" s="184"/>
      <c r="I689" s="184"/>
      <c r="J689" s="184"/>
      <c r="Q689" s="184"/>
      <c r="S689" s="543"/>
      <c r="T689" s="543"/>
    </row>
    <row r="690">
      <c r="D690" s="184"/>
      <c r="H690" s="184"/>
      <c r="I690" s="184"/>
      <c r="J690" s="184"/>
      <c r="Q690" s="184"/>
      <c r="S690" s="543"/>
      <c r="T690" s="543"/>
    </row>
    <row r="691">
      <c r="D691" s="184"/>
      <c r="H691" s="184"/>
      <c r="I691" s="184"/>
      <c r="J691" s="184"/>
      <c r="Q691" s="184"/>
      <c r="S691" s="543"/>
      <c r="T691" s="543"/>
    </row>
    <row r="692">
      <c r="D692" s="184"/>
      <c r="H692" s="184"/>
      <c r="I692" s="184"/>
      <c r="J692" s="184"/>
      <c r="Q692" s="184"/>
      <c r="S692" s="543"/>
      <c r="T692" s="543"/>
    </row>
    <row r="693">
      <c r="D693" s="184"/>
      <c r="H693" s="184"/>
      <c r="I693" s="184"/>
      <c r="J693" s="184"/>
      <c r="Q693" s="184"/>
      <c r="S693" s="543"/>
      <c r="T693" s="543"/>
    </row>
    <row r="694">
      <c r="D694" s="184"/>
      <c r="H694" s="184"/>
      <c r="I694" s="184"/>
      <c r="J694" s="184"/>
      <c r="Q694" s="184"/>
      <c r="S694" s="543"/>
      <c r="T694" s="543"/>
    </row>
    <row r="695">
      <c r="D695" s="184"/>
      <c r="H695" s="184"/>
      <c r="I695" s="184"/>
      <c r="J695" s="184"/>
      <c r="Q695" s="184"/>
      <c r="S695" s="543"/>
      <c r="T695" s="543"/>
    </row>
    <row r="696">
      <c r="D696" s="184"/>
      <c r="H696" s="184"/>
      <c r="I696" s="184"/>
      <c r="J696" s="184"/>
      <c r="Q696" s="184"/>
      <c r="S696" s="543"/>
      <c r="T696" s="543"/>
    </row>
    <row r="697">
      <c r="D697" s="184"/>
      <c r="H697" s="184"/>
      <c r="I697" s="184"/>
      <c r="J697" s="184"/>
      <c r="Q697" s="184"/>
      <c r="S697" s="543"/>
      <c r="T697" s="543"/>
    </row>
    <row r="698">
      <c r="D698" s="184"/>
      <c r="H698" s="184"/>
      <c r="I698" s="184"/>
      <c r="J698" s="184"/>
      <c r="Q698" s="184"/>
      <c r="S698" s="543"/>
      <c r="T698" s="543"/>
    </row>
    <row r="699">
      <c r="D699" s="184"/>
      <c r="H699" s="184"/>
      <c r="I699" s="184"/>
      <c r="J699" s="184"/>
      <c r="Q699" s="184"/>
      <c r="S699" s="543"/>
      <c r="T699" s="543"/>
    </row>
    <row r="700">
      <c r="D700" s="184"/>
      <c r="H700" s="184"/>
      <c r="I700" s="184"/>
      <c r="J700" s="184"/>
      <c r="Q700" s="184"/>
      <c r="S700" s="543"/>
      <c r="T700" s="543"/>
    </row>
    <row r="701">
      <c r="D701" s="184"/>
      <c r="H701" s="184"/>
      <c r="I701" s="184"/>
      <c r="J701" s="184"/>
      <c r="Q701" s="184"/>
      <c r="S701" s="543"/>
      <c r="T701" s="543"/>
    </row>
    <row r="702">
      <c r="D702" s="184"/>
      <c r="H702" s="184"/>
      <c r="I702" s="184"/>
      <c r="J702" s="184"/>
      <c r="Q702" s="184"/>
      <c r="S702" s="543"/>
      <c r="T702" s="543"/>
    </row>
    <row r="703">
      <c r="D703" s="184"/>
      <c r="H703" s="184"/>
      <c r="I703" s="184"/>
      <c r="J703" s="184"/>
      <c r="Q703" s="184"/>
      <c r="S703" s="543"/>
      <c r="T703" s="543"/>
    </row>
    <row r="704">
      <c r="D704" s="184"/>
      <c r="H704" s="184"/>
      <c r="I704" s="184"/>
      <c r="J704" s="184"/>
      <c r="Q704" s="184"/>
      <c r="S704" s="543"/>
      <c r="T704" s="543"/>
    </row>
    <row r="705">
      <c r="D705" s="184"/>
      <c r="H705" s="184"/>
      <c r="I705" s="184"/>
      <c r="J705" s="184"/>
      <c r="Q705" s="184"/>
      <c r="S705" s="543"/>
      <c r="T705" s="543"/>
    </row>
    <row r="706">
      <c r="D706" s="184"/>
      <c r="H706" s="184"/>
      <c r="I706" s="184"/>
      <c r="J706" s="184"/>
      <c r="Q706" s="184"/>
      <c r="S706" s="543"/>
      <c r="T706" s="543"/>
    </row>
    <row r="707">
      <c r="D707" s="184"/>
      <c r="H707" s="184"/>
      <c r="I707" s="184"/>
      <c r="J707" s="184"/>
      <c r="Q707" s="184"/>
      <c r="S707" s="543"/>
      <c r="T707" s="543"/>
    </row>
    <row r="708">
      <c r="D708" s="184"/>
      <c r="H708" s="184"/>
      <c r="I708" s="184"/>
      <c r="J708" s="184"/>
      <c r="Q708" s="184"/>
      <c r="S708" s="543"/>
      <c r="T708" s="543"/>
    </row>
    <row r="709">
      <c r="D709" s="184"/>
      <c r="H709" s="184"/>
      <c r="I709" s="184"/>
      <c r="J709" s="184"/>
      <c r="Q709" s="184"/>
      <c r="S709" s="543"/>
      <c r="T709" s="543"/>
    </row>
    <row r="710">
      <c r="D710" s="184"/>
      <c r="H710" s="184"/>
      <c r="I710" s="184"/>
      <c r="J710" s="184"/>
      <c r="Q710" s="184"/>
      <c r="S710" s="543"/>
      <c r="T710" s="543"/>
    </row>
    <row r="711">
      <c r="D711" s="184"/>
      <c r="H711" s="184"/>
      <c r="I711" s="184"/>
      <c r="J711" s="184"/>
      <c r="Q711" s="184"/>
      <c r="S711" s="543"/>
      <c r="T711" s="543"/>
    </row>
    <row r="712">
      <c r="D712" s="184"/>
      <c r="H712" s="184"/>
      <c r="I712" s="184"/>
      <c r="J712" s="184"/>
      <c r="Q712" s="184"/>
      <c r="S712" s="543"/>
      <c r="T712" s="543"/>
    </row>
    <row r="713">
      <c r="D713" s="184"/>
      <c r="H713" s="184"/>
      <c r="I713" s="184"/>
      <c r="J713" s="184"/>
      <c r="Q713" s="184"/>
      <c r="S713" s="543"/>
      <c r="T713" s="543"/>
    </row>
    <row r="714">
      <c r="D714" s="184"/>
      <c r="H714" s="184"/>
      <c r="I714" s="184"/>
      <c r="J714" s="184"/>
      <c r="Q714" s="184"/>
      <c r="S714" s="543"/>
      <c r="T714" s="543"/>
    </row>
    <row r="715">
      <c r="D715" s="184"/>
      <c r="H715" s="184"/>
      <c r="I715" s="184"/>
      <c r="J715" s="184"/>
      <c r="Q715" s="184"/>
      <c r="S715" s="543"/>
      <c r="T715" s="543"/>
    </row>
    <row r="716">
      <c r="D716" s="184"/>
      <c r="H716" s="184"/>
      <c r="I716" s="184"/>
      <c r="J716" s="184"/>
      <c r="Q716" s="184"/>
      <c r="S716" s="543"/>
      <c r="T716" s="543"/>
    </row>
    <row r="717">
      <c r="D717" s="184"/>
      <c r="H717" s="184"/>
      <c r="I717" s="184"/>
      <c r="J717" s="184"/>
      <c r="Q717" s="184"/>
      <c r="S717" s="543"/>
      <c r="T717" s="543"/>
    </row>
    <row r="718">
      <c r="D718" s="184"/>
      <c r="H718" s="184"/>
      <c r="I718" s="184"/>
      <c r="J718" s="184"/>
      <c r="Q718" s="184"/>
      <c r="S718" s="543"/>
      <c r="T718" s="543"/>
    </row>
    <row r="719">
      <c r="D719" s="184"/>
      <c r="H719" s="184"/>
      <c r="I719" s="184"/>
      <c r="J719" s="184"/>
      <c r="Q719" s="184"/>
      <c r="S719" s="543"/>
      <c r="T719" s="543"/>
    </row>
    <row r="720">
      <c r="D720" s="184"/>
      <c r="H720" s="184"/>
      <c r="I720" s="184"/>
      <c r="J720" s="184"/>
      <c r="Q720" s="184"/>
      <c r="S720" s="543"/>
      <c r="T720" s="543"/>
    </row>
    <row r="721">
      <c r="D721" s="184"/>
      <c r="H721" s="184"/>
      <c r="I721" s="184"/>
      <c r="J721" s="184"/>
      <c r="Q721" s="184"/>
      <c r="S721" s="543"/>
      <c r="T721" s="543"/>
    </row>
    <row r="722">
      <c r="D722" s="184"/>
      <c r="H722" s="184"/>
      <c r="I722" s="184"/>
      <c r="J722" s="184"/>
      <c r="Q722" s="184"/>
      <c r="S722" s="543"/>
      <c r="T722" s="543"/>
    </row>
    <row r="723">
      <c r="D723" s="184"/>
      <c r="H723" s="184"/>
      <c r="I723" s="184"/>
      <c r="J723" s="184"/>
      <c r="Q723" s="184"/>
      <c r="S723" s="543"/>
      <c r="T723" s="543"/>
    </row>
    <row r="724">
      <c r="D724" s="184"/>
      <c r="H724" s="184"/>
      <c r="I724" s="184"/>
      <c r="J724" s="184"/>
      <c r="Q724" s="184"/>
      <c r="S724" s="543"/>
      <c r="T724" s="543"/>
    </row>
    <row r="725">
      <c r="D725" s="184"/>
      <c r="H725" s="184"/>
      <c r="I725" s="184"/>
      <c r="J725" s="184"/>
      <c r="Q725" s="184"/>
      <c r="S725" s="543"/>
      <c r="T725" s="543"/>
    </row>
    <row r="726">
      <c r="D726" s="184"/>
      <c r="H726" s="184"/>
      <c r="I726" s="184"/>
      <c r="J726" s="184"/>
      <c r="Q726" s="184"/>
      <c r="S726" s="543"/>
      <c r="T726" s="543"/>
    </row>
    <row r="727">
      <c r="D727" s="184"/>
      <c r="H727" s="184"/>
      <c r="I727" s="184"/>
      <c r="J727" s="184"/>
      <c r="Q727" s="184"/>
      <c r="S727" s="543"/>
      <c r="T727" s="543"/>
    </row>
    <row r="728">
      <c r="D728" s="184"/>
      <c r="H728" s="184"/>
      <c r="I728" s="184"/>
      <c r="J728" s="184"/>
      <c r="Q728" s="184"/>
      <c r="S728" s="543"/>
      <c r="T728" s="543"/>
    </row>
    <row r="729">
      <c r="D729" s="184"/>
      <c r="H729" s="184"/>
      <c r="I729" s="184"/>
      <c r="J729" s="184"/>
      <c r="Q729" s="184"/>
      <c r="S729" s="543"/>
      <c r="T729" s="543"/>
    </row>
    <row r="730">
      <c r="D730" s="184"/>
      <c r="H730" s="184"/>
      <c r="I730" s="184"/>
      <c r="J730" s="184"/>
      <c r="Q730" s="184"/>
      <c r="S730" s="543"/>
      <c r="T730" s="543"/>
    </row>
    <row r="731">
      <c r="D731" s="184"/>
      <c r="H731" s="184"/>
      <c r="I731" s="184"/>
      <c r="J731" s="184"/>
      <c r="Q731" s="184"/>
      <c r="S731" s="543"/>
      <c r="T731" s="543"/>
    </row>
    <row r="732">
      <c r="D732" s="184"/>
      <c r="H732" s="184"/>
      <c r="I732" s="184"/>
      <c r="J732" s="184"/>
      <c r="Q732" s="184"/>
      <c r="S732" s="543"/>
      <c r="T732" s="543"/>
    </row>
    <row r="733">
      <c r="D733" s="184"/>
      <c r="H733" s="184"/>
      <c r="I733" s="184"/>
      <c r="J733" s="184"/>
      <c r="Q733" s="184"/>
      <c r="S733" s="543"/>
      <c r="T733" s="543"/>
    </row>
    <row r="734">
      <c r="D734" s="184"/>
      <c r="H734" s="184"/>
      <c r="I734" s="184"/>
      <c r="J734" s="184"/>
      <c r="Q734" s="184"/>
      <c r="S734" s="543"/>
      <c r="T734" s="543"/>
    </row>
    <row r="735">
      <c r="D735" s="184"/>
      <c r="H735" s="184"/>
      <c r="I735" s="184"/>
      <c r="J735" s="184"/>
      <c r="Q735" s="184"/>
      <c r="S735" s="543"/>
      <c r="T735" s="543"/>
    </row>
    <row r="736">
      <c r="D736" s="184"/>
      <c r="H736" s="184"/>
      <c r="I736" s="184"/>
      <c r="J736" s="184"/>
      <c r="Q736" s="184"/>
      <c r="S736" s="543"/>
      <c r="T736" s="543"/>
    </row>
    <row r="737">
      <c r="D737" s="184"/>
      <c r="H737" s="184"/>
      <c r="I737" s="184"/>
      <c r="J737" s="184"/>
      <c r="Q737" s="184"/>
      <c r="S737" s="543"/>
      <c r="T737" s="543"/>
    </row>
    <row r="738">
      <c r="D738" s="184"/>
      <c r="H738" s="184"/>
      <c r="I738" s="184"/>
      <c r="J738" s="184"/>
      <c r="Q738" s="184"/>
      <c r="S738" s="543"/>
      <c r="T738" s="543"/>
    </row>
    <row r="739">
      <c r="D739" s="184"/>
      <c r="H739" s="184"/>
      <c r="I739" s="184"/>
      <c r="J739" s="184"/>
      <c r="Q739" s="184"/>
      <c r="S739" s="543"/>
      <c r="T739" s="543"/>
    </row>
    <row r="740">
      <c r="D740" s="184"/>
      <c r="H740" s="184"/>
      <c r="I740" s="184"/>
      <c r="J740" s="184"/>
      <c r="Q740" s="184"/>
      <c r="S740" s="543"/>
      <c r="T740" s="543"/>
    </row>
    <row r="741">
      <c r="D741" s="184"/>
      <c r="H741" s="184"/>
      <c r="I741" s="184"/>
      <c r="J741" s="184"/>
      <c r="Q741" s="184"/>
      <c r="S741" s="543"/>
      <c r="T741" s="543"/>
    </row>
    <row r="742">
      <c r="D742" s="184"/>
      <c r="H742" s="184"/>
      <c r="I742" s="184"/>
      <c r="J742" s="184"/>
      <c r="Q742" s="184"/>
      <c r="S742" s="543"/>
      <c r="T742" s="543"/>
    </row>
    <row r="743">
      <c r="D743" s="184"/>
      <c r="H743" s="184"/>
      <c r="I743" s="184"/>
      <c r="J743" s="184"/>
      <c r="Q743" s="184"/>
      <c r="S743" s="543"/>
      <c r="T743" s="543"/>
    </row>
    <row r="744">
      <c r="D744" s="184"/>
      <c r="H744" s="184"/>
      <c r="I744" s="184"/>
      <c r="J744" s="184"/>
      <c r="Q744" s="184"/>
      <c r="S744" s="543"/>
      <c r="T744" s="543"/>
    </row>
    <row r="745">
      <c r="D745" s="184"/>
      <c r="H745" s="184"/>
      <c r="I745" s="184"/>
      <c r="J745" s="184"/>
      <c r="Q745" s="184"/>
      <c r="S745" s="543"/>
      <c r="T745" s="543"/>
    </row>
    <row r="746">
      <c r="D746" s="184"/>
      <c r="H746" s="184"/>
      <c r="I746" s="184"/>
      <c r="J746" s="184"/>
      <c r="Q746" s="184"/>
      <c r="S746" s="543"/>
      <c r="T746" s="543"/>
    </row>
    <row r="747">
      <c r="D747" s="184"/>
      <c r="H747" s="184"/>
      <c r="I747" s="184"/>
      <c r="J747" s="184"/>
      <c r="Q747" s="184"/>
      <c r="S747" s="543"/>
      <c r="T747" s="543"/>
    </row>
    <row r="748">
      <c r="D748" s="184"/>
      <c r="H748" s="184"/>
      <c r="I748" s="184"/>
      <c r="J748" s="184"/>
      <c r="Q748" s="184"/>
      <c r="S748" s="543"/>
      <c r="T748" s="543"/>
    </row>
    <row r="749">
      <c r="D749" s="184"/>
      <c r="H749" s="184"/>
      <c r="I749" s="184"/>
      <c r="J749" s="184"/>
      <c r="Q749" s="184"/>
      <c r="S749" s="543"/>
      <c r="T749" s="543"/>
    </row>
    <row r="750">
      <c r="D750" s="184"/>
      <c r="H750" s="184"/>
      <c r="I750" s="184"/>
      <c r="J750" s="184"/>
      <c r="Q750" s="184"/>
      <c r="S750" s="543"/>
      <c r="T750" s="543"/>
    </row>
    <row r="751">
      <c r="D751" s="184"/>
      <c r="H751" s="184"/>
      <c r="I751" s="184"/>
      <c r="J751" s="184"/>
      <c r="Q751" s="184"/>
      <c r="S751" s="543"/>
      <c r="T751" s="543"/>
    </row>
    <row r="752">
      <c r="D752" s="184"/>
      <c r="H752" s="184"/>
      <c r="I752" s="184"/>
      <c r="J752" s="184"/>
      <c r="Q752" s="184"/>
      <c r="S752" s="543"/>
      <c r="T752" s="543"/>
    </row>
    <row r="753">
      <c r="D753" s="184"/>
      <c r="H753" s="184"/>
      <c r="I753" s="184"/>
      <c r="J753" s="184"/>
      <c r="Q753" s="184"/>
      <c r="S753" s="543"/>
      <c r="T753" s="543"/>
    </row>
    <row r="754">
      <c r="D754" s="184"/>
      <c r="H754" s="184"/>
      <c r="I754" s="184"/>
      <c r="J754" s="184"/>
      <c r="Q754" s="184"/>
      <c r="S754" s="543"/>
      <c r="T754" s="543"/>
    </row>
    <row r="755">
      <c r="D755" s="184"/>
      <c r="H755" s="184"/>
      <c r="I755" s="184"/>
      <c r="J755" s="184"/>
      <c r="Q755" s="184"/>
      <c r="S755" s="543"/>
      <c r="T755" s="543"/>
    </row>
    <row r="756">
      <c r="D756" s="184"/>
      <c r="H756" s="184"/>
      <c r="I756" s="184"/>
      <c r="J756" s="184"/>
      <c r="Q756" s="184"/>
      <c r="S756" s="543"/>
      <c r="T756" s="543"/>
    </row>
    <row r="757">
      <c r="D757" s="184"/>
      <c r="H757" s="184"/>
      <c r="I757" s="184"/>
      <c r="J757" s="184"/>
      <c r="Q757" s="184"/>
      <c r="S757" s="543"/>
      <c r="T757" s="543"/>
    </row>
    <row r="758">
      <c r="D758" s="184"/>
      <c r="H758" s="184"/>
      <c r="I758" s="184"/>
      <c r="J758" s="184"/>
      <c r="Q758" s="184"/>
      <c r="S758" s="543"/>
      <c r="T758" s="543"/>
    </row>
    <row r="759">
      <c r="D759" s="184"/>
      <c r="H759" s="184"/>
      <c r="I759" s="184"/>
      <c r="J759" s="184"/>
      <c r="Q759" s="184"/>
      <c r="S759" s="543"/>
      <c r="T759" s="543"/>
    </row>
    <row r="760">
      <c r="D760" s="184"/>
      <c r="H760" s="184"/>
      <c r="I760" s="184"/>
      <c r="J760" s="184"/>
      <c r="Q760" s="184"/>
      <c r="S760" s="543"/>
      <c r="T760" s="543"/>
    </row>
    <row r="761">
      <c r="D761" s="184"/>
      <c r="H761" s="184"/>
      <c r="I761" s="184"/>
      <c r="J761" s="184"/>
      <c r="Q761" s="184"/>
      <c r="S761" s="543"/>
      <c r="T761" s="543"/>
    </row>
    <row r="762">
      <c r="D762" s="184"/>
      <c r="H762" s="184"/>
      <c r="I762" s="184"/>
      <c r="J762" s="184"/>
      <c r="Q762" s="184"/>
      <c r="S762" s="543"/>
      <c r="T762" s="543"/>
    </row>
    <row r="763">
      <c r="D763" s="184"/>
      <c r="H763" s="184"/>
      <c r="I763" s="184"/>
      <c r="J763" s="184"/>
      <c r="Q763" s="184"/>
      <c r="S763" s="543"/>
      <c r="T763" s="543"/>
    </row>
    <row r="764">
      <c r="D764" s="184"/>
      <c r="H764" s="184"/>
      <c r="I764" s="184"/>
      <c r="J764" s="184"/>
      <c r="Q764" s="184"/>
      <c r="S764" s="543"/>
      <c r="T764" s="543"/>
    </row>
    <row r="765">
      <c r="D765" s="184"/>
      <c r="H765" s="184"/>
      <c r="I765" s="184"/>
      <c r="J765" s="184"/>
      <c r="Q765" s="184"/>
      <c r="S765" s="543"/>
      <c r="T765" s="543"/>
    </row>
    <row r="766">
      <c r="D766" s="184"/>
      <c r="H766" s="184"/>
      <c r="I766" s="184"/>
      <c r="J766" s="184"/>
      <c r="Q766" s="184"/>
      <c r="S766" s="543"/>
      <c r="T766" s="543"/>
    </row>
    <row r="767">
      <c r="D767" s="184"/>
      <c r="H767" s="184"/>
      <c r="I767" s="184"/>
      <c r="J767" s="184"/>
      <c r="Q767" s="184"/>
      <c r="S767" s="543"/>
      <c r="T767" s="543"/>
    </row>
    <row r="768">
      <c r="D768" s="184"/>
      <c r="H768" s="184"/>
      <c r="I768" s="184"/>
      <c r="J768" s="184"/>
      <c r="Q768" s="184"/>
      <c r="S768" s="543"/>
      <c r="T768" s="543"/>
    </row>
    <row r="769">
      <c r="D769" s="184"/>
      <c r="H769" s="184"/>
      <c r="I769" s="184"/>
      <c r="J769" s="184"/>
      <c r="Q769" s="184"/>
      <c r="S769" s="543"/>
      <c r="T769" s="543"/>
    </row>
    <row r="770">
      <c r="D770" s="184"/>
      <c r="H770" s="184"/>
      <c r="I770" s="184"/>
      <c r="J770" s="184"/>
      <c r="Q770" s="184"/>
      <c r="S770" s="543"/>
      <c r="T770" s="543"/>
    </row>
    <row r="771">
      <c r="D771" s="184"/>
      <c r="H771" s="184"/>
      <c r="I771" s="184"/>
      <c r="J771" s="184"/>
      <c r="Q771" s="184"/>
      <c r="S771" s="543"/>
      <c r="T771" s="543"/>
    </row>
    <row r="772">
      <c r="D772" s="184"/>
      <c r="H772" s="184"/>
      <c r="I772" s="184"/>
      <c r="J772" s="184"/>
      <c r="Q772" s="184"/>
      <c r="S772" s="543"/>
      <c r="T772" s="543"/>
    </row>
    <row r="773">
      <c r="D773" s="184"/>
      <c r="H773" s="184"/>
      <c r="I773" s="184"/>
      <c r="J773" s="184"/>
      <c r="Q773" s="184"/>
      <c r="S773" s="543"/>
      <c r="T773" s="543"/>
    </row>
    <row r="774">
      <c r="D774" s="184"/>
      <c r="H774" s="184"/>
      <c r="I774" s="184"/>
      <c r="J774" s="184"/>
      <c r="Q774" s="184"/>
      <c r="S774" s="543"/>
      <c r="T774" s="543"/>
    </row>
    <row r="775">
      <c r="D775" s="184"/>
      <c r="H775" s="184"/>
      <c r="I775" s="184"/>
      <c r="J775" s="184"/>
      <c r="Q775" s="184"/>
      <c r="S775" s="543"/>
      <c r="T775" s="543"/>
    </row>
    <row r="776">
      <c r="D776" s="184"/>
      <c r="H776" s="184"/>
      <c r="I776" s="184"/>
      <c r="J776" s="184"/>
      <c r="Q776" s="184"/>
      <c r="S776" s="543"/>
      <c r="T776" s="543"/>
    </row>
    <row r="777">
      <c r="D777" s="184"/>
      <c r="H777" s="184"/>
      <c r="I777" s="184"/>
      <c r="J777" s="184"/>
      <c r="Q777" s="184"/>
      <c r="S777" s="543"/>
      <c r="T777" s="543"/>
    </row>
    <row r="778">
      <c r="D778" s="184"/>
      <c r="H778" s="184"/>
      <c r="I778" s="184"/>
      <c r="J778" s="184"/>
      <c r="Q778" s="184"/>
      <c r="S778" s="543"/>
      <c r="T778" s="543"/>
    </row>
    <row r="779">
      <c r="D779" s="184"/>
      <c r="H779" s="184"/>
      <c r="I779" s="184"/>
      <c r="J779" s="184"/>
      <c r="Q779" s="184"/>
      <c r="S779" s="543"/>
      <c r="T779" s="543"/>
    </row>
    <row r="780">
      <c r="D780" s="184"/>
      <c r="H780" s="184"/>
      <c r="I780" s="184"/>
      <c r="J780" s="184"/>
      <c r="Q780" s="184"/>
      <c r="S780" s="543"/>
      <c r="T780" s="543"/>
    </row>
    <row r="781">
      <c r="D781" s="184"/>
      <c r="H781" s="184"/>
      <c r="I781" s="184"/>
      <c r="J781" s="184"/>
      <c r="Q781" s="184"/>
      <c r="S781" s="543"/>
      <c r="T781" s="543"/>
    </row>
    <row r="782">
      <c r="D782" s="184"/>
      <c r="H782" s="184"/>
      <c r="I782" s="184"/>
      <c r="J782" s="184"/>
      <c r="Q782" s="184"/>
      <c r="S782" s="543"/>
      <c r="T782" s="543"/>
    </row>
    <row r="783">
      <c r="D783" s="184"/>
      <c r="H783" s="184"/>
      <c r="I783" s="184"/>
      <c r="J783" s="184"/>
      <c r="Q783" s="184"/>
      <c r="S783" s="543"/>
      <c r="T783" s="543"/>
    </row>
    <row r="784">
      <c r="D784" s="184"/>
      <c r="H784" s="184"/>
      <c r="I784" s="184"/>
      <c r="J784" s="184"/>
      <c r="Q784" s="184"/>
      <c r="S784" s="543"/>
      <c r="T784" s="543"/>
    </row>
    <row r="785">
      <c r="D785" s="184"/>
      <c r="H785" s="184"/>
      <c r="I785" s="184"/>
      <c r="J785" s="184"/>
      <c r="Q785" s="184"/>
      <c r="S785" s="543"/>
      <c r="T785" s="543"/>
    </row>
    <row r="786">
      <c r="D786" s="184"/>
      <c r="H786" s="184"/>
      <c r="I786" s="184"/>
      <c r="J786" s="184"/>
      <c r="Q786" s="184"/>
      <c r="S786" s="543"/>
      <c r="T786" s="543"/>
    </row>
    <row r="787">
      <c r="D787" s="184"/>
      <c r="H787" s="184"/>
      <c r="I787" s="184"/>
      <c r="J787" s="184"/>
      <c r="Q787" s="184"/>
      <c r="S787" s="543"/>
      <c r="T787" s="543"/>
    </row>
    <row r="788">
      <c r="D788" s="184"/>
      <c r="H788" s="184"/>
      <c r="I788" s="184"/>
      <c r="J788" s="184"/>
      <c r="Q788" s="184"/>
      <c r="S788" s="543"/>
      <c r="T788" s="543"/>
    </row>
    <row r="789">
      <c r="D789" s="184"/>
      <c r="H789" s="184"/>
      <c r="I789" s="184"/>
      <c r="J789" s="184"/>
      <c r="Q789" s="184"/>
      <c r="S789" s="543"/>
      <c r="T789" s="543"/>
    </row>
    <row r="790">
      <c r="D790" s="184"/>
      <c r="H790" s="184"/>
      <c r="I790" s="184"/>
      <c r="J790" s="184"/>
      <c r="Q790" s="184"/>
      <c r="S790" s="543"/>
      <c r="T790" s="543"/>
    </row>
    <row r="791">
      <c r="D791" s="184"/>
      <c r="H791" s="184"/>
      <c r="I791" s="184"/>
      <c r="J791" s="184"/>
      <c r="Q791" s="184"/>
      <c r="S791" s="543"/>
      <c r="T791" s="543"/>
    </row>
    <row r="792">
      <c r="D792" s="184"/>
      <c r="H792" s="184"/>
      <c r="I792" s="184"/>
      <c r="J792" s="184"/>
      <c r="Q792" s="184"/>
      <c r="S792" s="543"/>
      <c r="T792" s="543"/>
    </row>
    <row r="793">
      <c r="D793" s="184"/>
      <c r="H793" s="184"/>
      <c r="I793" s="184"/>
      <c r="J793" s="184"/>
      <c r="Q793" s="184"/>
      <c r="S793" s="543"/>
      <c r="T793" s="543"/>
    </row>
    <row r="794">
      <c r="D794" s="184"/>
      <c r="H794" s="184"/>
      <c r="I794" s="184"/>
      <c r="J794" s="184"/>
      <c r="Q794" s="184"/>
      <c r="S794" s="543"/>
      <c r="T794" s="543"/>
    </row>
    <row r="795">
      <c r="D795" s="184"/>
      <c r="H795" s="184"/>
      <c r="I795" s="184"/>
      <c r="J795" s="184"/>
      <c r="Q795" s="184"/>
      <c r="S795" s="543"/>
      <c r="T795" s="543"/>
    </row>
    <row r="796">
      <c r="D796" s="184"/>
      <c r="H796" s="184"/>
      <c r="I796" s="184"/>
      <c r="J796" s="184"/>
      <c r="Q796" s="184"/>
      <c r="S796" s="543"/>
      <c r="T796" s="543"/>
    </row>
    <row r="797">
      <c r="D797" s="184"/>
      <c r="H797" s="184"/>
      <c r="I797" s="184"/>
      <c r="J797" s="184"/>
      <c r="Q797" s="184"/>
      <c r="S797" s="543"/>
      <c r="T797" s="543"/>
    </row>
    <row r="798">
      <c r="D798" s="184"/>
      <c r="H798" s="184"/>
      <c r="I798" s="184"/>
      <c r="J798" s="184"/>
      <c r="Q798" s="184"/>
      <c r="S798" s="543"/>
      <c r="T798" s="543"/>
    </row>
    <row r="799">
      <c r="D799" s="184"/>
      <c r="H799" s="184"/>
      <c r="I799" s="184"/>
      <c r="J799" s="184"/>
      <c r="Q799" s="184"/>
      <c r="S799" s="543"/>
      <c r="T799" s="543"/>
    </row>
    <row r="800">
      <c r="D800" s="184"/>
      <c r="H800" s="184"/>
      <c r="I800" s="184"/>
      <c r="J800" s="184"/>
      <c r="Q800" s="184"/>
      <c r="S800" s="543"/>
      <c r="T800" s="543"/>
    </row>
    <row r="801">
      <c r="D801" s="184"/>
      <c r="H801" s="184"/>
      <c r="I801" s="184"/>
      <c r="J801" s="184"/>
      <c r="Q801" s="184"/>
      <c r="S801" s="543"/>
      <c r="T801" s="543"/>
    </row>
    <row r="802">
      <c r="D802" s="184"/>
      <c r="H802" s="184"/>
      <c r="I802" s="184"/>
      <c r="J802" s="184"/>
      <c r="Q802" s="184"/>
      <c r="S802" s="543"/>
      <c r="T802" s="543"/>
    </row>
    <row r="803">
      <c r="D803" s="184"/>
      <c r="H803" s="184"/>
      <c r="I803" s="184"/>
      <c r="J803" s="184"/>
      <c r="Q803" s="184"/>
      <c r="S803" s="543"/>
      <c r="T803" s="543"/>
    </row>
    <row r="804">
      <c r="D804" s="184"/>
      <c r="H804" s="184"/>
      <c r="I804" s="184"/>
      <c r="J804" s="184"/>
      <c r="Q804" s="184"/>
      <c r="S804" s="543"/>
      <c r="T804" s="543"/>
    </row>
    <row r="805">
      <c r="D805" s="184"/>
      <c r="H805" s="184"/>
      <c r="I805" s="184"/>
      <c r="J805" s="184"/>
      <c r="Q805" s="184"/>
      <c r="S805" s="543"/>
      <c r="T805" s="543"/>
    </row>
    <row r="806">
      <c r="D806" s="184"/>
      <c r="H806" s="184"/>
      <c r="I806" s="184"/>
      <c r="J806" s="184"/>
      <c r="Q806" s="184"/>
      <c r="S806" s="543"/>
      <c r="T806" s="543"/>
    </row>
    <row r="807">
      <c r="D807" s="184"/>
      <c r="H807" s="184"/>
      <c r="I807" s="184"/>
      <c r="J807" s="184"/>
      <c r="Q807" s="184"/>
      <c r="S807" s="543"/>
      <c r="T807" s="543"/>
    </row>
    <row r="808">
      <c r="D808" s="184"/>
      <c r="H808" s="184"/>
      <c r="I808" s="184"/>
      <c r="J808" s="184"/>
      <c r="Q808" s="184"/>
      <c r="S808" s="543"/>
      <c r="T808" s="543"/>
    </row>
    <row r="809">
      <c r="D809" s="184"/>
      <c r="H809" s="184"/>
      <c r="I809" s="184"/>
      <c r="J809" s="184"/>
      <c r="Q809" s="184"/>
      <c r="S809" s="543"/>
      <c r="T809" s="543"/>
    </row>
    <row r="810">
      <c r="D810" s="184"/>
      <c r="H810" s="184"/>
      <c r="I810" s="184"/>
      <c r="J810" s="184"/>
      <c r="Q810" s="184"/>
      <c r="S810" s="543"/>
      <c r="T810" s="543"/>
    </row>
    <row r="811">
      <c r="D811" s="184"/>
      <c r="H811" s="184"/>
      <c r="I811" s="184"/>
      <c r="J811" s="184"/>
      <c r="Q811" s="184"/>
      <c r="S811" s="543"/>
      <c r="T811" s="543"/>
    </row>
    <row r="812">
      <c r="D812" s="184"/>
      <c r="H812" s="184"/>
      <c r="I812" s="184"/>
      <c r="J812" s="184"/>
      <c r="Q812" s="184"/>
      <c r="S812" s="543"/>
      <c r="T812" s="543"/>
    </row>
    <row r="813">
      <c r="D813" s="184"/>
      <c r="H813" s="184"/>
      <c r="I813" s="184"/>
      <c r="J813" s="184"/>
      <c r="Q813" s="184"/>
      <c r="S813" s="543"/>
      <c r="T813" s="543"/>
    </row>
    <row r="814">
      <c r="D814" s="184"/>
      <c r="H814" s="184"/>
      <c r="I814" s="184"/>
      <c r="J814" s="184"/>
      <c r="Q814" s="184"/>
      <c r="S814" s="543"/>
      <c r="T814" s="543"/>
    </row>
    <row r="815">
      <c r="D815" s="184"/>
      <c r="H815" s="184"/>
      <c r="I815" s="184"/>
      <c r="J815" s="184"/>
      <c r="Q815" s="184"/>
      <c r="S815" s="543"/>
      <c r="T815" s="543"/>
    </row>
    <row r="816">
      <c r="D816" s="184"/>
      <c r="H816" s="184"/>
      <c r="I816" s="184"/>
      <c r="J816" s="184"/>
      <c r="Q816" s="184"/>
      <c r="S816" s="543"/>
      <c r="T816" s="543"/>
    </row>
    <row r="817">
      <c r="D817" s="184"/>
      <c r="H817" s="184"/>
      <c r="I817" s="184"/>
      <c r="J817" s="184"/>
      <c r="Q817" s="184"/>
      <c r="S817" s="543"/>
      <c r="T817" s="543"/>
    </row>
    <row r="818">
      <c r="D818" s="184"/>
      <c r="H818" s="184"/>
      <c r="I818" s="184"/>
      <c r="J818" s="184"/>
      <c r="Q818" s="184"/>
      <c r="S818" s="543"/>
      <c r="T818" s="543"/>
    </row>
    <row r="819">
      <c r="D819" s="184"/>
      <c r="H819" s="184"/>
      <c r="I819" s="184"/>
      <c r="J819" s="184"/>
      <c r="Q819" s="184"/>
      <c r="S819" s="543"/>
      <c r="T819" s="543"/>
    </row>
    <row r="820">
      <c r="D820" s="184"/>
      <c r="H820" s="184"/>
      <c r="I820" s="184"/>
      <c r="J820" s="184"/>
      <c r="Q820" s="184"/>
      <c r="S820" s="543"/>
      <c r="T820" s="543"/>
    </row>
    <row r="821">
      <c r="D821" s="184"/>
      <c r="H821" s="184"/>
      <c r="I821" s="184"/>
      <c r="J821" s="184"/>
      <c r="Q821" s="184"/>
      <c r="S821" s="543"/>
      <c r="T821" s="543"/>
    </row>
    <row r="822">
      <c r="D822" s="184"/>
      <c r="H822" s="184"/>
      <c r="I822" s="184"/>
      <c r="J822" s="184"/>
      <c r="Q822" s="184"/>
      <c r="S822" s="543"/>
      <c r="T822" s="543"/>
    </row>
    <row r="823">
      <c r="D823" s="184"/>
      <c r="H823" s="184"/>
      <c r="I823" s="184"/>
      <c r="J823" s="184"/>
      <c r="Q823" s="184"/>
      <c r="S823" s="543"/>
      <c r="T823" s="543"/>
    </row>
    <row r="824">
      <c r="D824" s="184"/>
      <c r="H824" s="184"/>
      <c r="I824" s="184"/>
      <c r="J824" s="184"/>
      <c r="Q824" s="184"/>
      <c r="S824" s="543"/>
      <c r="T824" s="543"/>
    </row>
    <row r="825">
      <c r="D825" s="184"/>
      <c r="H825" s="184"/>
      <c r="I825" s="184"/>
      <c r="J825" s="184"/>
      <c r="Q825" s="184"/>
      <c r="S825" s="543"/>
      <c r="T825" s="543"/>
    </row>
    <row r="826">
      <c r="D826" s="184"/>
      <c r="H826" s="184"/>
      <c r="I826" s="184"/>
      <c r="J826" s="184"/>
      <c r="Q826" s="184"/>
      <c r="S826" s="543"/>
      <c r="T826" s="543"/>
    </row>
    <row r="827">
      <c r="D827" s="184"/>
      <c r="H827" s="184"/>
      <c r="I827" s="184"/>
      <c r="J827" s="184"/>
      <c r="Q827" s="184"/>
      <c r="S827" s="543"/>
      <c r="T827" s="543"/>
    </row>
    <row r="828">
      <c r="D828" s="184"/>
      <c r="H828" s="184"/>
      <c r="I828" s="184"/>
      <c r="J828" s="184"/>
      <c r="Q828" s="184"/>
      <c r="S828" s="543"/>
      <c r="T828" s="543"/>
    </row>
    <row r="829">
      <c r="D829" s="184"/>
      <c r="H829" s="184"/>
      <c r="I829" s="184"/>
      <c r="J829" s="184"/>
      <c r="Q829" s="184"/>
      <c r="S829" s="543"/>
      <c r="T829" s="543"/>
    </row>
    <row r="830">
      <c r="D830" s="184"/>
      <c r="H830" s="184"/>
      <c r="I830" s="184"/>
      <c r="J830" s="184"/>
      <c r="Q830" s="184"/>
      <c r="S830" s="543"/>
      <c r="T830" s="543"/>
    </row>
    <row r="831">
      <c r="D831" s="184"/>
      <c r="H831" s="184"/>
      <c r="I831" s="184"/>
      <c r="J831" s="184"/>
      <c r="Q831" s="184"/>
      <c r="S831" s="543"/>
      <c r="T831" s="543"/>
    </row>
    <row r="832">
      <c r="D832" s="184"/>
      <c r="H832" s="184"/>
      <c r="I832" s="184"/>
      <c r="J832" s="184"/>
      <c r="Q832" s="184"/>
      <c r="S832" s="543"/>
      <c r="T832" s="543"/>
    </row>
    <row r="833">
      <c r="D833" s="184"/>
      <c r="H833" s="184"/>
      <c r="I833" s="184"/>
      <c r="J833" s="184"/>
      <c r="Q833" s="184"/>
      <c r="S833" s="543"/>
      <c r="T833" s="543"/>
    </row>
    <row r="834">
      <c r="D834" s="184"/>
      <c r="H834" s="184"/>
      <c r="I834" s="184"/>
      <c r="J834" s="184"/>
      <c r="Q834" s="184"/>
      <c r="S834" s="543"/>
      <c r="T834" s="543"/>
    </row>
    <row r="835">
      <c r="D835" s="184"/>
      <c r="H835" s="184"/>
      <c r="I835" s="184"/>
      <c r="J835" s="184"/>
      <c r="Q835" s="184"/>
      <c r="S835" s="543"/>
      <c r="T835" s="543"/>
    </row>
    <row r="836">
      <c r="D836" s="184"/>
      <c r="H836" s="184"/>
      <c r="I836" s="184"/>
      <c r="J836" s="184"/>
      <c r="Q836" s="184"/>
      <c r="S836" s="543"/>
      <c r="T836" s="543"/>
    </row>
    <row r="837">
      <c r="D837" s="184"/>
      <c r="H837" s="184"/>
      <c r="I837" s="184"/>
      <c r="J837" s="184"/>
      <c r="Q837" s="184"/>
      <c r="S837" s="543"/>
      <c r="T837" s="543"/>
    </row>
    <row r="838">
      <c r="D838" s="184"/>
      <c r="H838" s="184"/>
      <c r="I838" s="184"/>
      <c r="J838" s="184"/>
      <c r="Q838" s="184"/>
      <c r="S838" s="543"/>
      <c r="T838" s="543"/>
    </row>
    <row r="839">
      <c r="D839" s="184"/>
      <c r="H839" s="184"/>
      <c r="I839" s="184"/>
      <c r="J839" s="184"/>
      <c r="Q839" s="184"/>
      <c r="S839" s="543"/>
      <c r="T839" s="543"/>
    </row>
    <row r="840">
      <c r="D840" s="184"/>
      <c r="H840" s="184"/>
      <c r="I840" s="184"/>
      <c r="J840" s="184"/>
      <c r="Q840" s="184"/>
      <c r="S840" s="543"/>
      <c r="T840" s="543"/>
    </row>
    <row r="841">
      <c r="D841" s="184"/>
      <c r="H841" s="184"/>
      <c r="I841" s="184"/>
      <c r="J841" s="184"/>
      <c r="Q841" s="184"/>
      <c r="S841" s="543"/>
      <c r="T841" s="543"/>
    </row>
    <row r="842">
      <c r="D842" s="184"/>
      <c r="H842" s="184"/>
      <c r="I842" s="184"/>
      <c r="J842" s="184"/>
      <c r="Q842" s="184"/>
      <c r="S842" s="543"/>
      <c r="T842" s="543"/>
    </row>
    <row r="843">
      <c r="D843" s="184"/>
      <c r="H843" s="184"/>
      <c r="I843" s="184"/>
      <c r="J843" s="184"/>
      <c r="Q843" s="184"/>
      <c r="S843" s="543"/>
      <c r="T843" s="543"/>
    </row>
    <row r="844">
      <c r="D844" s="184"/>
      <c r="H844" s="184"/>
      <c r="I844" s="184"/>
      <c r="J844" s="184"/>
      <c r="Q844" s="184"/>
      <c r="S844" s="543"/>
      <c r="T844" s="543"/>
    </row>
    <row r="845">
      <c r="D845" s="184"/>
      <c r="H845" s="184"/>
      <c r="I845" s="184"/>
      <c r="J845" s="184"/>
      <c r="Q845" s="184"/>
      <c r="S845" s="543"/>
      <c r="T845" s="543"/>
    </row>
    <row r="846">
      <c r="D846" s="184"/>
      <c r="H846" s="184"/>
      <c r="I846" s="184"/>
      <c r="J846" s="184"/>
      <c r="Q846" s="184"/>
      <c r="S846" s="543"/>
      <c r="T846" s="543"/>
    </row>
    <row r="847">
      <c r="D847" s="184"/>
      <c r="H847" s="184"/>
      <c r="I847" s="184"/>
      <c r="J847" s="184"/>
      <c r="Q847" s="184"/>
      <c r="S847" s="543"/>
      <c r="T847" s="543"/>
    </row>
    <row r="848">
      <c r="D848" s="184"/>
      <c r="H848" s="184"/>
      <c r="I848" s="184"/>
      <c r="J848" s="184"/>
      <c r="Q848" s="184"/>
      <c r="S848" s="543"/>
      <c r="T848" s="543"/>
    </row>
    <row r="849">
      <c r="D849" s="184"/>
      <c r="H849" s="184"/>
      <c r="I849" s="184"/>
      <c r="J849" s="184"/>
      <c r="Q849" s="184"/>
      <c r="S849" s="543"/>
      <c r="T849" s="543"/>
    </row>
    <row r="850">
      <c r="D850" s="184"/>
      <c r="H850" s="184"/>
      <c r="I850" s="184"/>
      <c r="J850" s="184"/>
      <c r="Q850" s="184"/>
      <c r="S850" s="543"/>
      <c r="T850" s="543"/>
    </row>
    <row r="851">
      <c r="D851" s="184"/>
      <c r="H851" s="184"/>
      <c r="I851" s="184"/>
      <c r="J851" s="184"/>
      <c r="Q851" s="184"/>
      <c r="S851" s="543"/>
      <c r="T851" s="543"/>
    </row>
    <row r="852">
      <c r="D852" s="184"/>
      <c r="H852" s="184"/>
      <c r="I852" s="184"/>
      <c r="J852" s="184"/>
      <c r="Q852" s="184"/>
      <c r="S852" s="543"/>
      <c r="T852" s="543"/>
    </row>
    <row r="853">
      <c r="D853" s="184"/>
      <c r="H853" s="184"/>
      <c r="I853" s="184"/>
      <c r="J853" s="184"/>
      <c r="Q853" s="184"/>
      <c r="S853" s="543"/>
      <c r="T853" s="543"/>
    </row>
    <row r="854">
      <c r="D854" s="184"/>
      <c r="H854" s="184"/>
      <c r="I854" s="184"/>
      <c r="J854" s="184"/>
      <c r="Q854" s="184"/>
      <c r="S854" s="543"/>
      <c r="T854" s="543"/>
    </row>
    <row r="855">
      <c r="D855" s="184"/>
      <c r="H855" s="184"/>
      <c r="I855" s="184"/>
      <c r="J855" s="184"/>
      <c r="Q855" s="184"/>
      <c r="S855" s="543"/>
      <c r="T855" s="543"/>
    </row>
    <row r="856">
      <c r="D856" s="184"/>
      <c r="H856" s="184"/>
      <c r="I856" s="184"/>
      <c r="J856" s="184"/>
      <c r="Q856" s="184"/>
      <c r="S856" s="543"/>
      <c r="T856" s="543"/>
    </row>
    <row r="857">
      <c r="D857" s="184"/>
      <c r="H857" s="184"/>
      <c r="I857" s="184"/>
      <c r="J857" s="184"/>
      <c r="Q857" s="184"/>
      <c r="S857" s="543"/>
      <c r="T857" s="543"/>
    </row>
    <row r="858">
      <c r="D858" s="184"/>
      <c r="H858" s="184"/>
      <c r="I858" s="184"/>
      <c r="J858" s="184"/>
      <c r="Q858" s="184"/>
      <c r="S858" s="543"/>
      <c r="T858" s="543"/>
    </row>
    <row r="859">
      <c r="D859" s="184"/>
      <c r="H859" s="184"/>
      <c r="I859" s="184"/>
      <c r="J859" s="184"/>
      <c r="Q859" s="184"/>
      <c r="S859" s="543"/>
      <c r="T859" s="543"/>
    </row>
    <row r="860">
      <c r="D860" s="184"/>
      <c r="H860" s="184"/>
      <c r="I860" s="184"/>
      <c r="J860" s="184"/>
      <c r="Q860" s="184"/>
      <c r="S860" s="543"/>
      <c r="T860" s="543"/>
    </row>
    <row r="861">
      <c r="D861" s="184"/>
      <c r="H861" s="184"/>
      <c r="I861" s="184"/>
      <c r="J861" s="184"/>
      <c r="Q861" s="184"/>
      <c r="S861" s="543"/>
      <c r="T861" s="543"/>
    </row>
    <row r="862">
      <c r="D862" s="184"/>
      <c r="H862" s="184"/>
      <c r="I862" s="184"/>
      <c r="J862" s="184"/>
      <c r="Q862" s="184"/>
      <c r="S862" s="543"/>
      <c r="T862" s="543"/>
    </row>
    <row r="863">
      <c r="D863" s="184"/>
      <c r="H863" s="184"/>
      <c r="I863" s="184"/>
      <c r="J863" s="184"/>
      <c r="Q863" s="184"/>
      <c r="S863" s="543"/>
      <c r="T863" s="543"/>
    </row>
    <row r="864">
      <c r="D864" s="184"/>
      <c r="H864" s="184"/>
      <c r="I864" s="184"/>
      <c r="J864" s="184"/>
      <c r="Q864" s="184"/>
      <c r="S864" s="543"/>
      <c r="T864" s="543"/>
    </row>
    <row r="865">
      <c r="D865" s="184"/>
      <c r="H865" s="184"/>
      <c r="I865" s="184"/>
      <c r="J865" s="184"/>
      <c r="Q865" s="184"/>
      <c r="S865" s="543"/>
      <c r="T865" s="543"/>
    </row>
    <row r="866">
      <c r="D866" s="184"/>
      <c r="H866" s="184"/>
      <c r="I866" s="184"/>
      <c r="J866" s="184"/>
      <c r="Q866" s="184"/>
      <c r="S866" s="543"/>
      <c r="T866" s="543"/>
    </row>
    <row r="867">
      <c r="D867" s="184"/>
      <c r="H867" s="184"/>
      <c r="I867" s="184"/>
      <c r="J867" s="184"/>
      <c r="Q867" s="184"/>
      <c r="S867" s="543"/>
      <c r="T867" s="543"/>
    </row>
    <row r="868">
      <c r="D868" s="184"/>
      <c r="H868" s="184"/>
      <c r="I868" s="184"/>
      <c r="J868" s="184"/>
      <c r="Q868" s="184"/>
      <c r="S868" s="543"/>
      <c r="T868" s="543"/>
    </row>
    <row r="869">
      <c r="D869" s="184"/>
      <c r="H869" s="184"/>
      <c r="I869" s="184"/>
      <c r="J869" s="184"/>
      <c r="Q869" s="184"/>
      <c r="S869" s="543"/>
      <c r="T869" s="543"/>
    </row>
    <row r="870">
      <c r="D870" s="184"/>
      <c r="H870" s="184"/>
      <c r="I870" s="184"/>
      <c r="J870" s="184"/>
      <c r="Q870" s="184"/>
      <c r="S870" s="543"/>
      <c r="T870" s="543"/>
    </row>
    <row r="871">
      <c r="D871" s="184"/>
      <c r="H871" s="184"/>
      <c r="I871" s="184"/>
      <c r="J871" s="184"/>
      <c r="Q871" s="184"/>
      <c r="S871" s="543"/>
      <c r="T871" s="543"/>
    </row>
    <row r="872">
      <c r="D872" s="184"/>
      <c r="H872" s="184"/>
      <c r="I872" s="184"/>
      <c r="J872" s="184"/>
      <c r="Q872" s="184"/>
      <c r="S872" s="543"/>
      <c r="T872" s="543"/>
    </row>
    <row r="873">
      <c r="D873" s="184"/>
      <c r="H873" s="184"/>
      <c r="I873" s="184"/>
      <c r="J873" s="184"/>
      <c r="Q873" s="184"/>
      <c r="S873" s="543"/>
      <c r="T873" s="543"/>
    </row>
    <row r="874">
      <c r="D874" s="184"/>
      <c r="H874" s="184"/>
      <c r="I874" s="184"/>
      <c r="J874" s="184"/>
      <c r="Q874" s="184"/>
      <c r="S874" s="543"/>
      <c r="T874" s="543"/>
    </row>
    <row r="875">
      <c r="D875" s="184"/>
      <c r="H875" s="184"/>
      <c r="I875" s="184"/>
      <c r="J875" s="184"/>
      <c r="Q875" s="184"/>
      <c r="S875" s="543"/>
      <c r="T875" s="543"/>
    </row>
    <row r="876">
      <c r="D876" s="184"/>
      <c r="H876" s="184"/>
      <c r="I876" s="184"/>
      <c r="J876" s="184"/>
      <c r="Q876" s="184"/>
      <c r="S876" s="543"/>
      <c r="T876" s="543"/>
    </row>
    <row r="877">
      <c r="D877" s="184"/>
      <c r="H877" s="184"/>
      <c r="I877" s="184"/>
      <c r="J877" s="184"/>
      <c r="Q877" s="184"/>
      <c r="S877" s="543"/>
      <c r="T877" s="543"/>
    </row>
    <row r="878">
      <c r="D878" s="184"/>
      <c r="H878" s="184"/>
      <c r="I878" s="184"/>
      <c r="J878" s="184"/>
      <c r="Q878" s="184"/>
      <c r="S878" s="543"/>
      <c r="T878" s="543"/>
    </row>
    <row r="879">
      <c r="D879" s="184"/>
      <c r="H879" s="184"/>
      <c r="I879" s="184"/>
      <c r="J879" s="184"/>
      <c r="Q879" s="184"/>
      <c r="S879" s="543"/>
      <c r="T879" s="543"/>
    </row>
    <row r="880">
      <c r="D880" s="184"/>
      <c r="H880" s="184"/>
      <c r="I880" s="184"/>
      <c r="J880" s="184"/>
      <c r="Q880" s="184"/>
      <c r="S880" s="543"/>
      <c r="T880" s="543"/>
    </row>
    <row r="881">
      <c r="D881" s="184"/>
      <c r="H881" s="184"/>
      <c r="I881" s="184"/>
      <c r="J881" s="184"/>
      <c r="Q881" s="184"/>
      <c r="S881" s="543"/>
      <c r="T881" s="543"/>
    </row>
    <row r="882">
      <c r="D882" s="184"/>
      <c r="H882" s="184"/>
      <c r="I882" s="184"/>
      <c r="J882" s="184"/>
      <c r="Q882" s="184"/>
      <c r="S882" s="543"/>
      <c r="T882" s="543"/>
    </row>
    <row r="883">
      <c r="D883" s="184"/>
      <c r="H883" s="184"/>
      <c r="I883" s="184"/>
      <c r="J883" s="184"/>
      <c r="Q883" s="184"/>
      <c r="S883" s="543"/>
      <c r="T883" s="543"/>
    </row>
    <row r="884">
      <c r="D884" s="184"/>
      <c r="H884" s="184"/>
      <c r="I884" s="184"/>
      <c r="J884" s="184"/>
      <c r="Q884" s="184"/>
      <c r="S884" s="543"/>
      <c r="T884" s="543"/>
    </row>
    <row r="885">
      <c r="D885" s="184"/>
      <c r="H885" s="184"/>
      <c r="I885" s="184"/>
      <c r="J885" s="184"/>
      <c r="Q885" s="184"/>
      <c r="S885" s="543"/>
      <c r="T885" s="543"/>
    </row>
    <row r="886">
      <c r="D886" s="184"/>
      <c r="H886" s="184"/>
      <c r="I886" s="184"/>
      <c r="J886" s="184"/>
      <c r="Q886" s="184"/>
      <c r="S886" s="543"/>
      <c r="T886" s="543"/>
    </row>
    <row r="887">
      <c r="D887" s="184"/>
      <c r="H887" s="184"/>
      <c r="I887" s="184"/>
      <c r="J887" s="184"/>
      <c r="Q887" s="184"/>
      <c r="S887" s="543"/>
      <c r="T887" s="543"/>
    </row>
    <row r="888">
      <c r="D888" s="184"/>
      <c r="H888" s="184"/>
      <c r="I888" s="184"/>
      <c r="J888" s="184"/>
      <c r="Q888" s="184"/>
      <c r="S888" s="543"/>
      <c r="T888" s="543"/>
    </row>
    <row r="889">
      <c r="D889" s="184"/>
      <c r="H889" s="184"/>
      <c r="I889" s="184"/>
      <c r="J889" s="184"/>
      <c r="Q889" s="184"/>
      <c r="S889" s="543"/>
      <c r="T889" s="543"/>
    </row>
    <row r="890">
      <c r="D890" s="184"/>
      <c r="H890" s="184"/>
      <c r="I890" s="184"/>
      <c r="J890" s="184"/>
      <c r="Q890" s="184"/>
      <c r="S890" s="543"/>
      <c r="T890" s="543"/>
    </row>
    <row r="891">
      <c r="D891" s="184"/>
      <c r="H891" s="184"/>
      <c r="I891" s="184"/>
      <c r="J891" s="184"/>
      <c r="Q891" s="184"/>
      <c r="S891" s="543"/>
      <c r="T891" s="543"/>
    </row>
    <row r="892">
      <c r="D892" s="184"/>
      <c r="H892" s="184"/>
      <c r="I892" s="184"/>
      <c r="J892" s="184"/>
      <c r="Q892" s="184"/>
      <c r="S892" s="543"/>
      <c r="T892" s="543"/>
    </row>
    <row r="893">
      <c r="D893" s="184"/>
      <c r="H893" s="184"/>
      <c r="I893" s="184"/>
      <c r="J893" s="184"/>
      <c r="Q893" s="184"/>
      <c r="S893" s="543"/>
      <c r="T893" s="543"/>
    </row>
    <row r="894">
      <c r="D894" s="184"/>
      <c r="H894" s="184"/>
      <c r="I894" s="184"/>
      <c r="J894" s="184"/>
      <c r="Q894" s="184"/>
      <c r="S894" s="543"/>
      <c r="T894" s="543"/>
    </row>
    <row r="895">
      <c r="D895" s="184"/>
      <c r="H895" s="184"/>
      <c r="I895" s="184"/>
      <c r="J895" s="184"/>
      <c r="Q895" s="184"/>
      <c r="S895" s="543"/>
      <c r="T895" s="543"/>
    </row>
    <row r="896">
      <c r="D896" s="184"/>
      <c r="H896" s="184"/>
      <c r="I896" s="184"/>
      <c r="J896" s="184"/>
      <c r="Q896" s="184"/>
      <c r="S896" s="543"/>
      <c r="T896" s="543"/>
    </row>
    <row r="897">
      <c r="D897" s="184"/>
      <c r="H897" s="184"/>
      <c r="I897" s="184"/>
      <c r="J897" s="184"/>
      <c r="Q897" s="184"/>
      <c r="S897" s="543"/>
      <c r="T897" s="543"/>
    </row>
    <row r="898">
      <c r="D898" s="184"/>
      <c r="H898" s="184"/>
      <c r="I898" s="184"/>
      <c r="J898" s="184"/>
      <c r="Q898" s="184"/>
      <c r="S898" s="543"/>
      <c r="T898" s="543"/>
    </row>
    <row r="899">
      <c r="D899" s="184"/>
      <c r="H899" s="184"/>
      <c r="I899" s="184"/>
      <c r="J899" s="184"/>
      <c r="Q899" s="184"/>
      <c r="S899" s="543"/>
      <c r="T899" s="543"/>
    </row>
    <row r="900">
      <c r="D900" s="184"/>
      <c r="H900" s="184"/>
      <c r="I900" s="184"/>
      <c r="J900" s="184"/>
      <c r="Q900" s="184"/>
      <c r="S900" s="543"/>
      <c r="T900" s="543"/>
    </row>
    <row r="901">
      <c r="D901" s="184"/>
      <c r="H901" s="184"/>
      <c r="I901" s="184"/>
      <c r="J901" s="184"/>
      <c r="Q901" s="184"/>
      <c r="S901" s="543"/>
      <c r="T901" s="543"/>
    </row>
    <row r="902">
      <c r="D902" s="184"/>
      <c r="H902" s="184"/>
      <c r="I902" s="184"/>
      <c r="J902" s="184"/>
      <c r="Q902" s="184"/>
      <c r="S902" s="543"/>
      <c r="T902" s="543"/>
    </row>
    <row r="903">
      <c r="D903" s="184"/>
      <c r="H903" s="184"/>
      <c r="I903" s="184"/>
      <c r="J903" s="184"/>
      <c r="Q903" s="184"/>
      <c r="S903" s="543"/>
      <c r="T903" s="543"/>
    </row>
    <row r="904">
      <c r="D904" s="184"/>
      <c r="H904" s="184"/>
      <c r="I904" s="184"/>
      <c r="J904" s="184"/>
      <c r="Q904" s="184"/>
      <c r="S904" s="543"/>
      <c r="T904" s="543"/>
    </row>
    <row r="905">
      <c r="D905" s="184"/>
      <c r="H905" s="184"/>
      <c r="I905" s="184"/>
      <c r="J905" s="184"/>
      <c r="Q905" s="184"/>
      <c r="S905" s="543"/>
      <c r="T905" s="543"/>
    </row>
    <row r="906">
      <c r="D906" s="184"/>
      <c r="H906" s="184"/>
      <c r="I906" s="184"/>
      <c r="J906" s="184"/>
      <c r="Q906" s="184"/>
      <c r="S906" s="543"/>
      <c r="T906" s="543"/>
    </row>
    <row r="907">
      <c r="D907" s="184"/>
      <c r="H907" s="184"/>
      <c r="I907" s="184"/>
      <c r="J907" s="184"/>
      <c r="Q907" s="184"/>
      <c r="S907" s="543"/>
      <c r="T907" s="543"/>
    </row>
    <row r="908">
      <c r="D908" s="184"/>
      <c r="H908" s="184"/>
      <c r="I908" s="184"/>
      <c r="J908" s="184"/>
      <c r="Q908" s="184"/>
      <c r="S908" s="543"/>
      <c r="T908" s="543"/>
    </row>
    <row r="909">
      <c r="D909" s="184"/>
      <c r="H909" s="184"/>
      <c r="I909" s="184"/>
      <c r="J909" s="184"/>
      <c r="Q909" s="184"/>
      <c r="S909" s="543"/>
      <c r="T909" s="543"/>
    </row>
    <row r="910">
      <c r="D910" s="184"/>
      <c r="H910" s="184"/>
      <c r="I910" s="184"/>
      <c r="J910" s="184"/>
      <c r="Q910" s="184"/>
      <c r="S910" s="543"/>
      <c r="T910" s="543"/>
    </row>
    <row r="911">
      <c r="D911" s="184"/>
      <c r="H911" s="184"/>
      <c r="I911" s="184"/>
      <c r="J911" s="184"/>
      <c r="Q911" s="184"/>
      <c r="S911" s="543"/>
      <c r="T911" s="543"/>
    </row>
    <row r="912">
      <c r="D912" s="184"/>
      <c r="H912" s="184"/>
      <c r="I912" s="184"/>
      <c r="J912" s="184"/>
      <c r="Q912" s="184"/>
      <c r="S912" s="543"/>
      <c r="T912" s="543"/>
    </row>
    <row r="913">
      <c r="D913" s="184"/>
      <c r="H913" s="184"/>
      <c r="I913" s="184"/>
      <c r="J913" s="184"/>
      <c r="Q913" s="184"/>
      <c r="S913" s="543"/>
      <c r="T913" s="543"/>
    </row>
    <row r="914">
      <c r="D914" s="184"/>
      <c r="H914" s="184"/>
      <c r="I914" s="184"/>
      <c r="J914" s="184"/>
      <c r="Q914" s="184"/>
      <c r="S914" s="543"/>
      <c r="T914" s="543"/>
    </row>
    <row r="915">
      <c r="D915" s="184"/>
      <c r="H915" s="184"/>
      <c r="I915" s="184"/>
      <c r="J915" s="184"/>
      <c r="Q915" s="184"/>
      <c r="S915" s="543"/>
      <c r="T915" s="543"/>
    </row>
    <row r="916">
      <c r="D916" s="184"/>
      <c r="H916" s="184"/>
      <c r="I916" s="184"/>
      <c r="J916" s="184"/>
      <c r="Q916" s="184"/>
      <c r="S916" s="543"/>
      <c r="T916" s="543"/>
    </row>
    <row r="917">
      <c r="D917" s="184"/>
      <c r="H917" s="184"/>
      <c r="I917" s="184"/>
      <c r="J917" s="184"/>
      <c r="Q917" s="184"/>
      <c r="S917" s="543"/>
      <c r="T917" s="543"/>
    </row>
    <row r="918">
      <c r="D918" s="184"/>
      <c r="H918" s="184"/>
      <c r="I918" s="184"/>
      <c r="J918" s="184"/>
      <c r="Q918" s="184"/>
      <c r="S918" s="543"/>
      <c r="T918" s="543"/>
    </row>
    <row r="919">
      <c r="D919" s="184"/>
      <c r="H919" s="184"/>
      <c r="I919" s="184"/>
      <c r="J919" s="184"/>
      <c r="Q919" s="184"/>
      <c r="S919" s="543"/>
      <c r="T919" s="543"/>
    </row>
    <row r="920">
      <c r="D920" s="184"/>
      <c r="H920" s="184"/>
      <c r="I920" s="184"/>
      <c r="J920" s="184"/>
      <c r="Q920" s="184"/>
      <c r="S920" s="543"/>
      <c r="T920" s="543"/>
    </row>
    <row r="921">
      <c r="D921" s="184"/>
      <c r="H921" s="184"/>
      <c r="I921" s="184"/>
      <c r="J921" s="184"/>
      <c r="Q921" s="184"/>
      <c r="S921" s="543"/>
      <c r="T921" s="543"/>
    </row>
    <row r="922">
      <c r="D922" s="184"/>
      <c r="H922" s="184"/>
      <c r="I922" s="184"/>
      <c r="J922" s="184"/>
      <c r="Q922" s="184"/>
      <c r="S922" s="543"/>
      <c r="T922" s="543"/>
    </row>
    <row r="923">
      <c r="D923" s="184"/>
      <c r="H923" s="184"/>
      <c r="I923" s="184"/>
      <c r="J923" s="184"/>
      <c r="Q923" s="184"/>
      <c r="S923" s="543"/>
      <c r="T923" s="543"/>
    </row>
    <row r="924">
      <c r="D924" s="184"/>
      <c r="H924" s="184"/>
      <c r="I924" s="184"/>
      <c r="J924" s="184"/>
      <c r="Q924" s="184"/>
      <c r="S924" s="543"/>
      <c r="T924" s="543"/>
    </row>
    <row r="925">
      <c r="D925" s="184"/>
      <c r="H925" s="184"/>
      <c r="I925" s="184"/>
      <c r="J925" s="184"/>
      <c r="Q925" s="184"/>
      <c r="S925" s="543"/>
      <c r="T925" s="543"/>
    </row>
    <row r="926">
      <c r="D926" s="184"/>
      <c r="H926" s="184"/>
      <c r="I926" s="184"/>
      <c r="J926" s="184"/>
      <c r="Q926" s="184"/>
      <c r="S926" s="543"/>
      <c r="T926" s="543"/>
    </row>
    <row r="927">
      <c r="D927" s="184"/>
      <c r="H927" s="184"/>
      <c r="I927" s="184"/>
      <c r="J927" s="184"/>
      <c r="Q927" s="184"/>
      <c r="S927" s="543"/>
      <c r="T927" s="543"/>
    </row>
    <row r="928">
      <c r="D928" s="184"/>
      <c r="H928" s="184"/>
      <c r="I928" s="184"/>
      <c r="J928" s="184"/>
      <c r="Q928" s="184"/>
      <c r="S928" s="543"/>
      <c r="T928" s="543"/>
    </row>
    <row r="929">
      <c r="D929" s="184"/>
      <c r="H929" s="184"/>
      <c r="I929" s="184"/>
      <c r="J929" s="184"/>
      <c r="Q929" s="184"/>
      <c r="S929" s="543"/>
      <c r="T929" s="543"/>
    </row>
    <row r="930">
      <c r="D930" s="184"/>
      <c r="H930" s="184"/>
      <c r="I930" s="184"/>
      <c r="J930" s="184"/>
      <c r="Q930" s="184"/>
      <c r="S930" s="543"/>
      <c r="T930" s="543"/>
    </row>
    <row r="931">
      <c r="D931" s="184"/>
      <c r="H931" s="184"/>
      <c r="I931" s="184"/>
      <c r="J931" s="184"/>
      <c r="Q931" s="184"/>
      <c r="S931" s="543"/>
      <c r="T931" s="543"/>
    </row>
    <row r="932">
      <c r="D932" s="184"/>
      <c r="H932" s="184"/>
      <c r="I932" s="184"/>
      <c r="J932" s="184"/>
      <c r="Q932" s="184"/>
      <c r="S932" s="543"/>
      <c r="T932" s="543"/>
    </row>
    <row r="933">
      <c r="D933" s="184"/>
      <c r="H933" s="184"/>
      <c r="I933" s="184"/>
      <c r="J933" s="184"/>
      <c r="Q933" s="184"/>
      <c r="S933" s="543"/>
      <c r="T933" s="543"/>
    </row>
    <row r="934">
      <c r="D934" s="184"/>
      <c r="H934" s="184"/>
      <c r="I934" s="184"/>
      <c r="J934" s="184"/>
      <c r="Q934" s="184"/>
      <c r="S934" s="543"/>
      <c r="T934" s="543"/>
    </row>
    <row r="935">
      <c r="D935" s="184"/>
      <c r="H935" s="184"/>
      <c r="I935" s="184"/>
      <c r="J935" s="184"/>
      <c r="Q935" s="184"/>
      <c r="S935" s="543"/>
      <c r="T935" s="543"/>
    </row>
    <row r="936">
      <c r="D936" s="184"/>
      <c r="H936" s="184"/>
      <c r="I936" s="184"/>
      <c r="J936" s="184"/>
      <c r="Q936" s="184"/>
      <c r="S936" s="543"/>
      <c r="T936" s="543"/>
    </row>
    <row r="937">
      <c r="D937" s="184"/>
      <c r="H937" s="184"/>
      <c r="I937" s="184"/>
      <c r="J937" s="184"/>
      <c r="Q937" s="184"/>
      <c r="S937" s="543"/>
      <c r="T937" s="543"/>
    </row>
    <row r="938">
      <c r="D938" s="184"/>
      <c r="H938" s="184"/>
      <c r="I938" s="184"/>
      <c r="J938" s="184"/>
      <c r="Q938" s="184"/>
      <c r="S938" s="543"/>
      <c r="T938" s="543"/>
    </row>
    <row r="939">
      <c r="D939" s="184"/>
      <c r="H939" s="184"/>
      <c r="I939" s="184"/>
      <c r="J939" s="184"/>
      <c r="Q939" s="184"/>
      <c r="S939" s="543"/>
      <c r="T939" s="543"/>
    </row>
    <row r="940">
      <c r="D940" s="184"/>
      <c r="H940" s="184"/>
      <c r="I940" s="184"/>
      <c r="J940" s="184"/>
      <c r="Q940" s="184"/>
      <c r="S940" s="543"/>
      <c r="T940" s="543"/>
    </row>
    <row r="941">
      <c r="D941" s="184"/>
      <c r="H941" s="184"/>
      <c r="I941" s="184"/>
      <c r="J941" s="184"/>
      <c r="Q941" s="184"/>
      <c r="S941" s="543"/>
      <c r="T941" s="543"/>
    </row>
    <row r="942">
      <c r="D942" s="184"/>
      <c r="H942" s="184"/>
      <c r="I942" s="184"/>
      <c r="J942" s="184"/>
      <c r="Q942" s="184"/>
      <c r="S942" s="543"/>
      <c r="T942" s="543"/>
    </row>
    <row r="943">
      <c r="D943" s="184"/>
      <c r="H943" s="184"/>
      <c r="I943" s="184"/>
      <c r="J943" s="184"/>
      <c r="Q943" s="184"/>
      <c r="S943" s="543"/>
      <c r="T943" s="543"/>
    </row>
    <row r="944">
      <c r="D944" s="184"/>
      <c r="H944" s="184"/>
      <c r="I944" s="184"/>
      <c r="J944" s="184"/>
      <c r="Q944" s="184"/>
      <c r="S944" s="543"/>
      <c r="T944" s="543"/>
    </row>
    <row r="945">
      <c r="D945" s="184"/>
      <c r="H945" s="184"/>
      <c r="I945" s="184"/>
      <c r="J945" s="184"/>
      <c r="Q945" s="184"/>
      <c r="S945" s="543"/>
      <c r="T945" s="543"/>
    </row>
    <row r="946">
      <c r="D946" s="184"/>
      <c r="H946" s="184"/>
      <c r="I946" s="184"/>
      <c r="J946" s="184"/>
      <c r="Q946" s="184"/>
      <c r="S946" s="543"/>
      <c r="T946" s="543"/>
    </row>
    <row r="947">
      <c r="D947" s="184"/>
      <c r="H947" s="184"/>
      <c r="I947" s="184"/>
      <c r="J947" s="184"/>
      <c r="Q947" s="184"/>
      <c r="S947" s="543"/>
      <c r="T947" s="543"/>
    </row>
    <row r="948">
      <c r="D948" s="184"/>
      <c r="H948" s="184"/>
      <c r="I948" s="184"/>
      <c r="J948" s="184"/>
      <c r="Q948" s="184"/>
      <c r="S948" s="543"/>
      <c r="T948" s="543"/>
    </row>
    <row r="949">
      <c r="D949" s="184"/>
      <c r="H949" s="184"/>
      <c r="I949" s="184"/>
      <c r="J949" s="184"/>
      <c r="Q949" s="184"/>
      <c r="S949" s="543"/>
      <c r="T949" s="543"/>
    </row>
    <row r="950">
      <c r="D950" s="184"/>
      <c r="H950" s="184"/>
      <c r="I950" s="184"/>
      <c r="J950" s="184"/>
      <c r="Q950" s="184"/>
      <c r="S950" s="543"/>
      <c r="T950" s="543"/>
    </row>
    <row r="951">
      <c r="D951" s="184"/>
      <c r="H951" s="184"/>
      <c r="I951" s="184"/>
      <c r="J951" s="184"/>
      <c r="Q951" s="184"/>
      <c r="S951" s="543"/>
      <c r="T951" s="543"/>
    </row>
    <row r="952">
      <c r="D952" s="184"/>
      <c r="H952" s="184"/>
      <c r="I952" s="184"/>
      <c r="J952" s="184"/>
      <c r="Q952" s="184"/>
      <c r="S952" s="543"/>
      <c r="T952" s="543"/>
    </row>
    <row r="953">
      <c r="D953" s="184"/>
      <c r="H953" s="184"/>
      <c r="I953" s="184"/>
      <c r="J953" s="184"/>
      <c r="Q953" s="184"/>
      <c r="S953" s="543"/>
      <c r="T953" s="543"/>
    </row>
    <row r="954">
      <c r="D954" s="184"/>
      <c r="H954" s="184"/>
      <c r="I954" s="184"/>
      <c r="J954" s="184"/>
      <c r="Q954" s="184"/>
      <c r="S954" s="543"/>
      <c r="T954" s="543"/>
    </row>
    <row r="955">
      <c r="D955" s="184"/>
      <c r="H955" s="184"/>
      <c r="I955" s="184"/>
      <c r="J955" s="184"/>
      <c r="Q955" s="184"/>
      <c r="S955" s="543"/>
      <c r="T955" s="543"/>
    </row>
    <row r="956">
      <c r="D956" s="184"/>
      <c r="H956" s="184"/>
      <c r="I956" s="184"/>
      <c r="J956" s="184"/>
      <c r="Q956" s="184"/>
      <c r="S956" s="543"/>
      <c r="T956" s="543"/>
    </row>
    <row r="957">
      <c r="D957" s="184"/>
      <c r="H957" s="184"/>
      <c r="I957" s="184"/>
      <c r="J957" s="184"/>
      <c r="Q957" s="184"/>
      <c r="S957" s="543"/>
      <c r="T957" s="543"/>
    </row>
    <row r="958">
      <c r="D958" s="184"/>
      <c r="H958" s="184"/>
      <c r="I958" s="184"/>
      <c r="J958" s="184"/>
      <c r="Q958" s="184"/>
      <c r="S958" s="543"/>
      <c r="T958" s="543"/>
    </row>
    <row r="959">
      <c r="D959" s="184"/>
      <c r="H959" s="184"/>
      <c r="I959" s="184"/>
      <c r="J959" s="184"/>
      <c r="Q959" s="184"/>
      <c r="S959" s="543"/>
      <c r="T959" s="543"/>
    </row>
    <row r="960">
      <c r="D960" s="184"/>
      <c r="H960" s="184"/>
      <c r="I960" s="184"/>
      <c r="J960" s="184"/>
      <c r="Q960" s="184"/>
      <c r="S960" s="543"/>
      <c r="T960" s="543"/>
    </row>
    <row r="961">
      <c r="D961" s="184"/>
      <c r="H961" s="184"/>
      <c r="I961" s="184"/>
      <c r="J961" s="184"/>
      <c r="Q961" s="184"/>
      <c r="S961" s="543"/>
      <c r="T961" s="543"/>
    </row>
    <row r="962">
      <c r="D962" s="184"/>
      <c r="H962" s="184"/>
      <c r="I962" s="184"/>
      <c r="J962" s="184"/>
      <c r="Q962" s="184"/>
      <c r="S962" s="543"/>
      <c r="T962" s="543"/>
    </row>
    <row r="963">
      <c r="D963" s="184"/>
      <c r="H963" s="184"/>
      <c r="I963" s="184"/>
      <c r="J963" s="184"/>
      <c r="Q963" s="184"/>
      <c r="S963" s="543"/>
      <c r="T963" s="543"/>
    </row>
    <row r="964">
      <c r="D964" s="184"/>
      <c r="H964" s="184"/>
      <c r="I964" s="184"/>
      <c r="J964" s="184"/>
      <c r="Q964" s="184"/>
      <c r="S964" s="543"/>
      <c r="T964" s="543"/>
    </row>
    <row r="965">
      <c r="D965" s="184"/>
      <c r="H965" s="184"/>
      <c r="I965" s="184"/>
      <c r="J965" s="184"/>
      <c r="Q965" s="184"/>
      <c r="S965" s="543"/>
      <c r="T965" s="543"/>
    </row>
    <row r="966">
      <c r="D966" s="184"/>
      <c r="H966" s="184"/>
      <c r="I966" s="184"/>
      <c r="J966" s="184"/>
      <c r="Q966" s="184"/>
      <c r="S966" s="543"/>
      <c r="T966" s="543"/>
    </row>
    <row r="967">
      <c r="D967" s="184"/>
      <c r="H967" s="184"/>
      <c r="I967" s="184"/>
      <c r="J967" s="184"/>
      <c r="Q967" s="184"/>
      <c r="S967" s="543"/>
      <c r="T967" s="543"/>
    </row>
    <row r="968">
      <c r="D968" s="184"/>
      <c r="H968" s="184"/>
      <c r="I968" s="184"/>
      <c r="J968" s="184"/>
      <c r="Q968" s="184"/>
      <c r="S968" s="543"/>
      <c r="T968" s="543"/>
    </row>
    <row r="969">
      <c r="D969" s="184"/>
      <c r="H969" s="184"/>
      <c r="I969" s="184"/>
      <c r="J969" s="184"/>
      <c r="Q969" s="184"/>
      <c r="S969" s="543"/>
      <c r="T969" s="543"/>
    </row>
    <row r="970">
      <c r="D970" s="184"/>
      <c r="H970" s="184"/>
      <c r="I970" s="184"/>
      <c r="J970" s="184"/>
      <c r="Q970" s="184"/>
      <c r="S970" s="543"/>
      <c r="T970" s="543"/>
    </row>
    <row r="971">
      <c r="D971" s="184"/>
      <c r="H971" s="184"/>
      <c r="I971" s="184"/>
      <c r="J971" s="184"/>
      <c r="Q971" s="184"/>
      <c r="S971" s="543"/>
      <c r="T971" s="543"/>
    </row>
    <row r="972">
      <c r="D972" s="184"/>
      <c r="H972" s="184"/>
      <c r="I972" s="184"/>
      <c r="J972" s="184"/>
      <c r="Q972" s="184"/>
      <c r="S972" s="543"/>
      <c r="T972" s="543"/>
    </row>
    <row r="973">
      <c r="D973" s="184"/>
      <c r="H973" s="184"/>
      <c r="I973" s="184"/>
      <c r="J973" s="184"/>
      <c r="Q973" s="184"/>
      <c r="S973" s="543"/>
      <c r="T973" s="543"/>
    </row>
    <row r="974">
      <c r="D974" s="184"/>
      <c r="H974" s="184"/>
      <c r="I974" s="184"/>
      <c r="J974" s="184"/>
      <c r="Q974" s="184"/>
      <c r="S974" s="543"/>
      <c r="T974" s="543"/>
    </row>
    <row r="975">
      <c r="D975" s="184"/>
      <c r="H975" s="184"/>
      <c r="I975" s="184"/>
      <c r="J975" s="184"/>
      <c r="Q975" s="184"/>
      <c r="S975" s="543"/>
      <c r="T975" s="543"/>
    </row>
    <row r="976">
      <c r="D976" s="184"/>
      <c r="H976" s="184"/>
      <c r="I976" s="184"/>
      <c r="J976" s="184"/>
      <c r="Q976" s="184"/>
      <c r="S976" s="543"/>
      <c r="T976" s="543"/>
    </row>
    <row r="977">
      <c r="D977" s="184"/>
      <c r="H977" s="184"/>
      <c r="I977" s="184"/>
      <c r="J977" s="184"/>
      <c r="Q977" s="184"/>
      <c r="S977" s="543"/>
      <c r="T977" s="543"/>
    </row>
    <row r="978">
      <c r="D978" s="184"/>
      <c r="H978" s="184"/>
      <c r="I978" s="184"/>
      <c r="J978" s="184"/>
      <c r="Q978" s="184"/>
      <c r="S978" s="543"/>
      <c r="T978" s="543"/>
    </row>
    <row r="979">
      <c r="D979" s="184"/>
      <c r="H979" s="184"/>
      <c r="I979" s="184"/>
      <c r="J979" s="184"/>
      <c r="Q979" s="184"/>
      <c r="S979" s="543"/>
      <c r="T979" s="543"/>
    </row>
    <row r="980">
      <c r="D980" s="184"/>
      <c r="H980" s="184"/>
      <c r="I980" s="184"/>
      <c r="J980" s="184"/>
      <c r="Q980" s="184"/>
      <c r="S980" s="543"/>
      <c r="T980" s="543"/>
    </row>
    <row r="981">
      <c r="D981" s="184"/>
      <c r="H981" s="184"/>
      <c r="I981" s="184"/>
      <c r="J981" s="184"/>
      <c r="Q981" s="184"/>
      <c r="S981" s="543"/>
      <c r="T981" s="543"/>
    </row>
    <row r="982">
      <c r="D982" s="184"/>
      <c r="H982" s="184"/>
      <c r="I982" s="184"/>
      <c r="J982" s="184"/>
      <c r="Q982" s="184"/>
      <c r="S982" s="543"/>
      <c r="T982" s="543"/>
    </row>
    <row r="983">
      <c r="D983" s="184"/>
      <c r="H983" s="184"/>
      <c r="I983" s="184"/>
      <c r="J983" s="184"/>
      <c r="Q983" s="184"/>
      <c r="S983" s="543"/>
      <c r="T983" s="543"/>
    </row>
    <row r="984">
      <c r="D984" s="184"/>
      <c r="H984" s="184"/>
      <c r="I984" s="184"/>
      <c r="J984" s="184"/>
      <c r="Q984" s="184"/>
      <c r="S984" s="543"/>
      <c r="T984" s="543"/>
    </row>
    <row r="985">
      <c r="D985" s="184"/>
      <c r="H985" s="184"/>
      <c r="I985" s="184"/>
      <c r="J985" s="184"/>
      <c r="Q985" s="184"/>
      <c r="S985" s="543"/>
      <c r="T985" s="543"/>
    </row>
    <row r="986">
      <c r="D986" s="184"/>
      <c r="H986" s="184"/>
      <c r="I986" s="184"/>
      <c r="J986" s="184"/>
      <c r="Q986" s="184"/>
      <c r="S986" s="543"/>
      <c r="T986" s="543"/>
    </row>
    <row r="987">
      <c r="D987" s="184"/>
      <c r="H987" s="184"/>
      <c r="I987" s="184"/>
      <c r="J987" s="184"/>
      <c r="Q987" s="184"/>
      <c r="S987" s="543"/>
      <c r="T987" s="543"/>
    </row>
    <row r="988">
      <c r="D988" s="184"/>
      <c r="H988" s="184"/>
      <c r="I988" s="184"/>
      <c r="J988" s="184"/>
      <c r="Q988" s="184"/>
      <c r="S988" s="543"/>
      <c r="T988" s="543"/>
    </row>
    <row r="989">
      <c r="D989" s="184"/>
      <c r="H989" s="184"/>
      <c r="I989" s="184"/>
      <c r="J989" s="184"/>
      <c r="Q989" s="184"/>
      <c r="S989" s="543"/>
      <c r="T989" s="543"/>
    </row>
    <row r="990">
      <c r="D990" s="184"/>
      <c r="H990" s="184"/>
      <c r="I990" s="184"/>
      <c r="J990" s="184"/>
      <c r="Q990" s="184"/>
      <c r="S990" s="543"/>
      <c r="T990" s="543"/>
    </row>
    <row r="991">
      <c r="D991" s="184"/>
      <c r="H991" s="184"/>
      <c r="I991" s="184"/>
      <c r="J991" s="184"/>
      <c r="Q991" s="184"/>
      <c r="S991" s="543"/>
      <c r="T991" s="543"/>
    </row>
    <row r="992">
      <c r="D992" s="184"/>
      <c r="H992" s="184"/>
      <c r="I992" s="184"/>
      <c r="J992" s="184"/>
      <c r="Q992" s="184"/>
      <c r="S992" s="543"/>
      <c r="T992" s="543"/>
    </row>
    <row r="993">
      <c r="D993" s="184"/>
      <c r="H993" s="184"/>
      <c r="I993" s="184"/>
      <c r="J993" s="184"/>
      <c r="Q993" s="184"/>
      <c r="S993" s="543"/>
      <c r="T993" s="543"/>
    </row>
    <row r="994">
      <c r="D994" s="184"/>
      <c r="H994" s="184"/>
      <c r="I994" s="184"/>
      <c r="J994" s="184"/>
      <c r="Q994" s="184"/>
      <c r="S994" s="543"/>
      <c r="T994" s="543"/>
    </row>
    <row r="995">
      <c r="D995" s="184"/>
      <c r="H995" s="184"/>
      <c r="I995" s="184"/>
      <c r="J995" s="184"/>
      <c r="Q995" s="184"/>
      <c r="S995" s="543"/>
      <c r="T995" s="543"/>
    </row>
    <row r="996">
      <c r="D996" s="184"/>
      <c r="H996" s="184"/>
      <c r="I996" s="184"/>
      <c r="J996" s="184"/>
      <c r="Q996" s="184"/>
      <c r="S996" s="543"/>
      <c r="T996" s="543"/>
    </row>
    <row r="997">
      <c r="D997" s="184"/>
      <c r="H997" s="184"/>
      <c r="I997" s="184"/>
      <c r="J997" s="184"/>
      <c r="Q997" s="184"/>
      <c r="S997" s="543"/>
      <c r="T997" s="543"/>
    </row>
    <row r="998">
      <c r="D998" s="184"/>
      <c r="H998" s="184"/>
      <c r="I998" s="184"/>
      <c r="J998" s="184"/>
      <c r="Q998" s="184"/>
      <c r="S998" s="543"/>
      <c r="T998" s="543"/>
    </row>
    <row r="999">
      <c r="D999" s="184"/>
      <c r="H999" s="184"/>
      <c r="I999" s="184"/>
      <c r="J999" s="184"/>
      <c r="Q999" s="184"/>
      <c r="S999" s="543"/>
      <c r="T999" s="543"/>
    </row>
    <row r="1000">
      <c r="D1000" s="184"/>
      <c r="H1000" s="184"/>
      <c r="I1000" s="184"/>
      <c r="J1000" s="184"/>
      <c r="Q1000" s="184"/>
      <c r="S1000" s="543"/>
      <c r="T1000" s="543"/>
    </row>
    <row r="1001">
      <c r="D1001" s="184"/>
      <c r="H1001" s="184"/>
      <c r="I1001" s="184"/>
      <c r="J1001" s="184"/>
      <c r="Q1001" s="184"/>
      <c r="S1001" s="543"/>
      <c r="T1001" s="543"/>
    </row>
    <row r="1002">
      <c r="D1002" s="184"/>
      <c r="H1002" s="184"/>
      <c r="I1002" s="184"/>
      <c r="J1002" s="184"/>
      <c r="Q1002" s="184"/>
      <c r="S1002" s="543"/>
      <c r="T1002" s="543"/>
    </row>
    <row r="1003">
      <c r="D1003" s="184"/>
      <c r="H1003" s="184"/>
      <c r="I1003" s="184"/>
      <c r="J1003" s="184"/>
      <c r="Q1003" s="184"/>
      <c r="S1003" s="543"/>
      <c r="T1003" s="543"/>
    </row>
    <row r="1004">
      <c r="D1004" s="184"/>
      <c r="H1004" s="184"/>
      <c r="I1004" s="184"/>
      <c r="J1004" s="184"/>
      <c r="Q1004" s="184"/>
      <c r="S1004" s="543"/>
      <c r="T1004" s="543"/>
    </row>
    <row r="1005">
      <c r="D1005" s="184"/>
      <c r="H1005" s="184"/>
      <c r="I1005" s="184"/>
      <c r="J1005" s="184"/>
      <c r="Q1005" s="184"/>
      <c r="S1005" s="543"/>
      <c r="T1005" s="543"/>
    </row>
    <row r="1006">
      <c r="D1006" s="184"/>
      <c r="H1006" s="184"/>
      <c r="I1006" s="184"/>
      <c r="J1006" s="184"/>
      <c r="Q1006" s="184"/>
      <c r="S1006" s="543"/>
      <c r="T1006" s="543"/>
    </row>
    <row r="1007">
      <c r="D1007" s="184"/>
      <c r="H1007" s="184"/>
      <c r="I1007" s="184"/>
      <c r="J1007" s="184"/>
      <c r="Q1007" s="184"/>
      <c r="S1007" s="543"/>
      <c r="T1007" s="543"/>
    </row>
    <row r="1008">
      <c r="D1008" s="184"/>
      <c r="H1008" s="184"/>
      <c r="I1008" s="184"/>
      <c r="J1008" s="184"/>
      <c r="Q1008" s="184"/>
      <c r="S1008" s="543"/>
      <c r="T1008" s="543"/>
    </row>
    <row r="1009">
      <c r="D1009" s="184"/>
      <c r="H1009" s="184"/>
      <c r="I1009" s="184"/>
      <c r="J1009" s="184"/>
      <c r="Q1009" s="184"/>
      <c r="S1009" s="543"/>
      <c r="T1009" s="543"/>
    </row>
    <row r="1010">
      <c r="D1010" s="184"/>
      <c r="H1010" s="184"/>
      <c r="I1010" s="184"/>
      <c r="J1010" s="184"/>
      <c r="Q1010" s="184"/>
      <c r="S1010" s="543"/>
      <c r="T1010" s="543"/>
    </row>
    <row r="1011">
      <c r="D1011" s="184"/>
      <c r="H1011" s="184"/>
      <c r="I1011" s="184"/>
      <c r="J1011" s="184"/>
      <c r="Q1011" s="184"/>
      <c r="S1011" s="543"/>
      <c r="T1011" s="543"/>
    </row>
    <row r="1012">
      <c r="D1012" s="184"/>
      <c r="H1012" s="184"/>
      <c r="I1012" s="184"/>
      <c r="J1012" s="184"/>
      <c r="Q1012" s="184"/>
      <c r="S1012" s="543"/>
      <c r="T1012" s="543"/>
    </row>
    <row r="1013">
      <c r="D1013" s="184"/>
      <c r="H1013" s="184"/>
      <c r="I1013" s="184"/>
      <c r="J1013" s="184"/>
      <c r="Q1013" s="184"/>
      <c r="S1013" s="543"/>
      <c r="T1013" s="543"/>
    </row>
    <row r="1014">
      <c r="D1014" s="184"/>
      <c r="H1014" s="184"/>
      <c r="I1014" s="184"/>
      <c r="J1014" s="184"/>
      <c r="Q1014" s="184"/>
      <c r="S1014" s="543"/>
      <c r="T1014" s="543"/>
    </row>
    <row r="1015">
      <c r="D1015" s="184"/>
      <c r="H1015" s="184"/>
      <c r="I1015" s="184"/>
      <c r="J1015" s="184"/>
      <c r="Q1015" s="184"/>
      <c r="S1015" s="543"/>
      <c r="T1015" s="543"/>
    </row>
    <row r="1016">
      <c r="D1016" s="184"/>
      <c r="H1016" s="184"/>
      <c r="I1016" s="184"/>
      <c r="J1016" s="184"/>
      <c r="Q1016" s="184"/>
      <c r="S1016" s="543"/>
      <c r="T1016" s="543"/>
    </row>
    <row r="1017">
      <c r="D1017" s="184"/>
      <c r="H1017" s="184"/>
      <c r="I1017" s="184"/>
      <c r="J1017" s="184"/>
      <c r="Q1017" s="184"/>
      <c r="S1017" s="543"/>
      <c r="T1017" s="543"/>
    </row>
    <row r="1018">
      <c r="D1018" s="184"/>
      <c r="H1018" s="184"/>
      <c r="I1018" s="184"/>
      <c r="J1018" s="184"/>
      <c r="Q1018" s="184"/>
      <c r="S1018" s="543"/>
      <c r="T1018" s="543"/>
    </row>
    <row r="1019">
      <c r="D1019" s="184"/>
      <c r="H1019" s="184"/>
      <c r="I1019" s="184"/>
      <c r="J1019" s="184"/>
      <c r="Q1019" s="184"/>
      <c r="S1019" s="543"/>
      <c r="T1019" s="543"/>
    </row>
    <row r="1020">
      <c r="D1020" s="184"/>
      <c r="H1020" s="184"/>
      <c r="I1020" s="184"/>
      <c r="J1020" s="184"/>
      <c r="Q1020" s="184"/>
      <c r="S1020" s="543"/>
      <c r="T1020" s="543"/>
    </row>
    <row r="1021">
      <c r="D1021" s="184"/>
      <c r="H1021" s="184"/>
      <c r="I1021" s="184"/>
      <c r="J1021" s="184"/>
      <c r="Q1021" s="184"/>
      <c r="S1021" s="543"/>
      <c r="T1021" s="543"/>
    </row>
    <row r="1022">
      <c r="D1022" s="184"/>
      <c r="H1022" s="184"/>
      <c r="I1022" s="184"/>
      <c r="J1022" s="184"/>
      <c r="Q1022" s="184"/>
      <c r="S1022" s="543"/>
      <c r="T1022" s="543"/>
    </row>
    <row r="1023">
      <c r="D1023" s="184"/>
      <c r="H1023" s="184"/>
      <c r="I1023" s="184"/>
      <c r="J1023" s="184"/>
      <c r="Q1023" s="184"/>
      <c r="S1023" s="543"/>
      <c r="T1023" s="543"/>
    </row>
    <row r="1024">
      <c r="D1024" s="184"/>
      <c r="H1024" s="184"/>
      <c r="I1024" s="184"/>
      <c r="J1024" s="184"/>
      <c r="Q1024" s="184"/>
      <c r="S1024" s="543"/>
      <c r="T1024" s="543"/>
    </row>
    <row r="1025">
      <c r="D1025" s="184"/>
      <c r="H1025" s="184"/>
      <c r="I1025" s="184"/>
      <c r="J1025" s="184"/>
      <c r="Q1025" s="184"/>
      <c r="S1025" s="543"/>
      <c r="T1025" s="543"/>
    </row>
    <row r="1026">
      <c r="D1026" s="184"/>
      <c r="H1026" s="184"/>
      <c r="I1026" s="184"/>
      <c r="J1026" s="184"/>
      <c r="Q1026" s="184"/>
      <c r="S1026" s="543"/>
      <c r="T1026" s="543"/>
    </row>
    <row r="1027">
      <c r="D1027" s="184"/>
      <c r="H1027" s="184"/>
      <c r="I1027" s="184"/>
      <c r="J1027" s="184"/>
      <c r="Q1027" s="184"/>
      <c r="S1027" s="543"/>
      <c r="T1027" s="543"/>
    </row>
    <row r="1028">
      <c r="D1028" s="184"/>
      <c r="H1028" s="184"/>
      <c r="I1028" s="184"/>
      <c r="J1028" s="184"/>
      <c r="Q1028" s="184"/>
      <c r="S1028" s="543"/>
      <c r="T1028" s="543"/>
    </row>
    <row r="1029">
      <c r="D1029" s="184"/>
      <c r="H1029" s="184"/>
      <c r="I1029" s="184"/>
      <c r="J1029" s="184"/>
      <c r="Q1029" s="184"/>
      <c r="S1029" s="543"/>
      <c r="T1029" s="543"/>
    </row>
    <row r="1030">
      <c r="D1030" s="184"/>
      <c r="H1030" s="184"/>
      <c r="I1030" s="184"/>
      <c r="J1030" s="184"/>
      <c r="Q1030" s="184"/>
      <c r="S1030" s="543"/>
      <c r="T1030" s="543"/>
    </row>
    <row r="1031">
      <c r="D1031" s="184"/>
      <c r="H1031" s="184"/>
      <c r="I1031" s="184"/>
      <c r="J1031" s="184"/>
      <c r="Q1031" s="184"/>
      <c r="S1031" s="543"/>
      <c r="T1031" s="543"/>
    </row>
    <row r="1032">
      <c r="D1032" s="184"/>
      <c r="H1032" s="184"/>
      <c r="I1032" s="184"/>
      <c r="J1032" s="184"/>
      <c r="Q1032" s="184"/>
      <c r="S1032" s="543"/>
      <c r="T1032" s="543"/>
    </row>
    <row r="1033">
      <c r="D1033" s="184"/>
      <c r="H1033" s="184"/>
      <c r="I1033" s="184"/>
      <c r="J1033" s="184"/>
      <c r="Q1033" s="184"/>
      <c r="S1033" s="543"/>
      <c r="T1033" s="543"/>
    </row>
    <row r="1034">
      <c r="D1034" s="184"/>
      <c r="H1034" s="184"/>
      <c r="I1034" s="184"/>
      <c r="J1034" s="184"/>
      <c r="Q1034" s="184"/>
      <c r="S1034" s="543"/>
      <c r="T1034" s="543"/>
    </row>
    <row r="1035">
      <c r="D1035" s="184"/>
      <c r="H1035" s="184"/>
      <c r="I1035" s="184"/>
      <c r="J1035" s="184"/>
      <c r="Q1035" s="184"/>
      <c r="S1035" s="543"/>
      <c r="T1035" s="543"/>
    </row>
    <row r="1036">
      <c r="D1036" s="184"/>
      <c r="H1036" s="184"/>
      <c r="I1036" s="184"/>
      <c r="J1036" s="184"/>
      <c r="Q1036" s="184"/>
      <c r="S1036" s="543"/>
      <c r="T1036" s="543"/>
    </row>
    <row r="1037">
      <c r="D1037" s="184"/>
      <c r="H1037" s="184"/>
      <c r="I1037" s="184"/>
      <c r="J1037" s="184"/>
      <c r="Q1037" s="184"/>
      <c r="S1037" s="543"/>
      <c r="T1037" s="543"/>
    </row>
    <row r="1038">
      <c r="D1038" s="184"/>
      <c r="H1038" s="184"/>
      <c r="I1038" s="184"/>
      <c r="J1038" s="184"/>
      <c r="Q1038" s="184"/>
      <c r="S1038" s="543"/>
      <c r="T1038" s="543"/>
    </row>
    <row r="1039">
      <c r="D1039" s="184"/>
      <c r="H1039" s="184"/>
      <c r="I1039" s="184"/>
      <c r="J1039" s="184"/>
      <c r="Q1039" s="184"/>
      <c r="S1039" s="543"/>
      <c r="T1039" s="543"/>
    </row>
    <row r="1040">
      <c r="D1040" s="184"/>
      <c r="H1040" s="184"/>
      <c r="I1040" s="184"/>
      <c r="J1040" s="184"/>
      <c r="Q1040" s="184"/>
      <c r="S1040" s="543"/>
      <c r="T1040" s="543"/>
    </row>
    <row r="1041">
      <c r="D1041" s="184"/>
      <c r="H1041" s="184"/>
      <c r="I1041" s="184"/>
      <c r="J1041" s="184"/>
      <c r="Q1041" s="184"/>
      <c r="S1041" s="543"/>
      <c r="T1041" s="543"/>
    </row>
    <row r="1042">
      <c r="D1042" s="184"/>
      <c r="H1042" s="184"/>
      <c r="I1042" s="184"/>
      <c r="J1042" s="184"/>
      <c r="Q1042" s="184"/>
      <c r="S1042" s="543"/>
      <c r="T1042" s="543"/>
    </row>
  </sheetData>
  <mergeCells count="20">
    <mergeCell ref="B4:K4"/>
    <mergeCell ref="M4:R4"/>
    <mergeCell ref="T4:Y4"/>
    <mergeCell ref="Z4:AA4"/>
    <mergeCell ref="B5:K5"/>
    <mergeCell ref="M5:R5"/>
    <mergeCell ref="M13:R13"/>
    <mergeCell ref="B191:K191"/>
    <mergeCell ref="M191:R191"/>
    <mergeCell ref="B192:K192"/>
    <mergeCell ref="M192:R192"/>
    <mergeCell ref="B218:K218"/>
    <mergeCell ref="B250:C250"/>
    <mergeCell ref="M21:R21"/>
    <mergeCell ref="M31:R31"/>
    <mergeCell ref="M35:Q35"/>
    <mergeCell ref="M40:R40"/>
    <mergeCell ref="B73:K73"/>
    <mergeCell ref="B182:C182"/>
    <mergeCell ref="B189:R189"/>
  </mergeCell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35.88"/>
    <col customWidth="1" min="3" max="3" width="9.13"/>
    <col customWidth="1" min="4" max="4" width="16.25"/>
    <col customWidth="1" min="5" max="5" width="16.38"/>
    <col customWidth="1" min="6" max="6" width="18.0"/>
    <col customWidth="1" min="7" max="7" width="16.13"/>
    <col customWidth="1" min="8" max="8" width="16.63"/>
    <col customWidth="1" min="9" max="9" width="15.75"/>
    <col customWidth="1" min="10" max="10" width="20.63"/>
    <col customWidth="1" min="11" max="11" width="51.88"/>
    <col customWidth="1" min="12" max="15" width="8.63"/>
  </cols>
  <sheetData>
    <row r="1" ht="19.5" customHeight="1">
      <c r="A1" s="4"/>
      <c r="B1" s="5"/>
      <c r="C1" s="6"/>
      <c r="D1" s="7"/>
      <c r="E1" s="5"/>
      <c r="F1" s="8"/>
      <c r="G1" s="8"/>
      <c r="H1" s="8"/>
      <c r="I1" s="8"/>
      <c r="J1" s="8"/>
      <c r="K1" s="9"/>
    </row>
    <row r="2" ht="19.5" customHeight="1">
      <c r="A2" s="10" t="s">
        <v>83</v>
      </c>
      <c r="B2" s="11" t="s">
        <v>84</v>
      </c>
      <c r="C2" s="12"/>
      <c r="D2" s="13"/>
      <c r="G2" s="14"/>
      <c r="H2" s="15"/>
      <c r="I2" s="16" t="s">
        <v>85</v>
      </c>
      <c r="J2" s="17"/>
      <c r="K2" s="18"/>
    </row>
    <row r="3" ht="19.5" customHeight="1">
      <c r="A3" s="10" t="s">
        <v>86</v>
      </c>
      <c r="B3" s="11" t="s">
        <v>87</v>
      </c>
      <c r="C3" s="12"/>
      <c r="D3" s="13"/>
      <c r="F3" s="14"/>
      <c r="G3" s="14"/>
      <c r="H3" s="14"/>
      <c r="I3" s="14"/>
      <c r="J3" s="14"/>
      <c r="K3" s="18"/>
    </row>
    <row r="4" ht="19.5" customHeight="1">
      <c r="A4" s="19"/>
      <c r="C4" s="12"/>
      <c r="D4" s="13"/>
      <c r="F4" s="14"/>
      <c r="G4" s="14"/>
      <c r="H4" s="14"/>
      <c r="I4" s="14"/>
      <c r="J4" s="14"/>
      <c r="K4" s="18"/>
    </row>
    <row r="5" ht="19.5" customHeight="1">
      <c r="A5" s="19"/>
      <c r="C5" s="12"/>
      <c r="D5" s="13"/>
      <c r="F5" s="14"/>
      <c r="G5" s="14"/>
      <c r="H5" s="14"/>
      <c r="I5" s="14"/>
      <c r="J5" s="14"/>
      <c r="K5" s="18"/>
    </row>
    <row r="6" ht="38.25" customHeight="1">
      <c r="A6" s="20" t="s">
        <v>88</v>
      </c>
      <c r="K6" s="21"/>
    </row>
    <row r="7" ht="64.5" customHeight="1">
      <c r="A7" s="22" t="s">
        <v>138</v>
      </c>
      <c r="K7" s="21"/>
    </row>
    <row r="8" ht="28.5" customHeight="1">
      <c r="A8" s="23" t="s">
        <v>90</v>
      </c>
      <c r="B8" s="24"/>
      <c r="C8" s="24"/>
      <c r="D8" s="24"/>
      <c r="E8" s="24"/>
      <c r="F8" s="24"/>
      <c r="G8" s="24"/>
      <c r="H8" s="24"/>
      <c r="I8" s="24"/>
      <c r="J8" s="24"/>
      <c r="K8" s="25"/>
    </row>
    <row r="9" ht="19.5" customHeight="1">
      <c r="A9" s="26" t="s">
        <v>1</v>
      </c>
      <c r="B9" s="26" t="s">
        <v>91</v>
      </c>
      <c r="C9" s="26" t="s">
        <v>92</v>
      </c>
      <c r="D9" s="26" t="s">
        <v>93</v>
      </c>
      <c r="E9" s="27" t="s">
        <v>94</v>
      </c>
      <c r="F9" s="28"/>
      <c r="G9" s="29"/>
      <c r="H9" s="30"/>
      <c r="I9" s="30"/>
      <c r="J9" s="31" t="s">
        <v>95</v>
      </c>
      <c r="K9" s="26" t="s">
        <v>96</v>
      </c>
    </row>
    <row r="10" ht="19.5" customHeight="1">
      <c r="A10" s="32"/>
      <c r="B10" s="32"/>
      <c r="C10" s="32"/>
      <c r="D10" s="32"/>
      <c r="E10" s="33" t="s">
        <v>97</v>
      </c>
      <c r="F10" s="34" t="s">
        <v>98</v>
      </c>
      <c r="G10" s="34" t="s">
        <v>99</v>
      </c>
      <c r="H10" s="35" t="s">
        <v>100</v>
      </c>
      <c r="I10" s="35" t="s">
        <v>101</v>
      </c>
      <c r="J10" s="32"/>
      <c r="K10" s="32"/>
    </row>
    <row r="11" ht="21.0" customHeight="1">
      <c r="A11" s="36">
        <v>36923.0</v>
      </c>
      <c r="B11" s="37" t="s">
        <v>102</v>
      </c>
      <c r="C11" s="38" t="s">
        <v>103</v>
      </c>
      <c r="D11" s="39">
        <v>1.0</v>
      </c>
      <c r="E11" s="37"/>
      <c r="F11" s="40"/>
      <c r="G11" s="40"/>
      <c r="H11" s="41">
        <v>103107.5</v>
      </c>
      <c r="I11" s="42"/>
      <c r="J11" s="43">
        <f>H11*D11</f>
        <v>103107.5</v>
      </c>
      <c r="M11" s="44" t="s">
        <v>139</v>
      </c>
      <c r="N11" s="45" t="str">
        <f>H11/#REF!</f>
        <v>#REF!</v>
      </c>
    </row>
    <row r="12" ht="19.5" customHeight="1">
      <c r="A12" s="36">
        <v>37288.0</v>
      </c>
      <c r="B12" s="37" t="s">
        <v>105</v>
      </c>
      <c r="C12" s="38" t="s">
        <v>106</v>
      </c>
      <c r="D12" s="39">
        <v>25.0</v>
      </c>
      <c r="E12" s="46"/>
      <c r="F12" s="47"/>
      <c r="G12" s="47"/>
      <c r="H12" s="41">
        <f t="shared" ref="H12:H13" si="1">D12</f>
        <v>25</v>
      </c>
      <c r="I12" s="47"/>
      <c r="J12" s="43">
        <f t="shared" ref="J12:J13" si="2">H12</f>
        <v>25</v>
      </c>
      <c r="K12" s="48"/>
    </row>
    <row r="13" ht="19.5" customHeight="1">
      <c r="A13" s="36">
        <v>37653.0</v>
      </c>
      <c r="B13" s="49" t="s">
        <v>107</v>
      </c>
      <c r="C13" s="38" t="s">
        <v>108</v>
      </c>
      <c r="D13" s="39">
        <v>1924.72</v>
      </c>
      <c r="E13" s="46"/>
      <c r="F13" s="47"/>
      <c r="G13" s="47"/>
      <c r="H13" s="41">
        <f t="shared" si="1"/>
        <v>1924.72</v>
      </c>
      <c r="I13" s="47"/>
      <c r="J13" s="43">
        <f t="shared" si="2"/>
        <v>1924.72</v>
      </c>
      <c r="K13" s="48"/>
    </row>
    <row r="14" ht="19.5" customHeight="1">
      <c r="A14" s="50" t="s">
        <v>1</v>
      </c>
      <c r="B14" s="50" t="s">
        <v>91</v>
      </c>
      <c r="C14" s="50" t="s">
        <v>92</v>
      </c>
      <c r="D14" s="50" t="s">
        <v>93</v>
      </c>
      <c r="E14" s="50" t="s">
        <v>97</v>
      </c>
      <c r="F14" s="53" t="s">
        <v>121</v>
      </c>
      <c r="G14" s="53" t="s">
        <v>99</v>
      </c>
      <c r="H14" s="53" t="s">
        <v>100</v>
      </c>
      <c r="I14" s="53" t="s">
        <v>101</v>
      </c>
      <c r="J14" s="53" t="s">
        <v>95</v>
      </c>
      <c r="K14" s="50" t="s">
        <v>96</v>
      </c>
    </row>
    <row r="15" ht="19.5" customHeight="1">
      <c r="A15" s="36">
        <v>36951.0</v>
      </c>
      <c r="B15" s="54" t="s">
        <v>112</v>
      </c>
      <c r="C15" s="55" t="s">
        <v>113</v>
      </c>
      <c r="D15" s="56">
        <v>1556.0</v>
      </c>
      <c r="E15" s="57"/>
      <c r="F15" s="59"/>
      <c r="G15" s="59"/>
      <c r="H15" s="59">
        <f t="shared" ref="H15:H19" si="3">D15</f>
        <v>1556</v>
      </c>
      <c r="I15" s="59"/>
      <c r="J15" s="60">
        <f t="shared" ref="J15:J19" si="4">H15</f>
        <v>1556</v>
      </c>
      <c r="K15" s="61"/>
    </row>
    <row r="16" ht="19.5" customHeight="1">
      <c r="A16" s="36">
        <v>37316.0</v>
      </c>
      <c r="B16" s="63" t="s">
        <v>115</v>
      </c>
      <c r="C16" s="38" t="s">
        <v>140</v>
      </c>
      <c r="D16" s="2">
        <v>18.0</v>
      </c>
      <c r="E16" s="67"/>
      <c r="F16" s="40"/>
      <c r="G16" s="40"/>
      <c r="H16" s="59">
        <f t="shared" si="3"/>
        <v>18</v>
      </c>
      <c r="I16" s="40"/>
      <c r="J16" s="64">
        <f t="shared" si="4"/>
        <v>18</v>
      </c>
      <c r="K16" s="65"/>
    </row>
    <row r="17" ht="19.5" customHeight="1">
      <c r="A17" s="36">
        <v>37681.0</v>
      </c>
      <c r="B17" s="63" t="s">
        <v>141</v>
      </c>
      <c r="C17" s="38" t="s">
        <v>113</v>
      </c>
      <c r="D17" s="56">
        <v>1556.0</v>
      </c>
      <c r="E17" s="67"/>
      <c r="F17" s="40"/>
      <c r="G17" s="40"/>
      <c r="H17" s="59">
        <f t="shared" si="3"/>
        <v>1556</v>
      </c>
      <c r="I17" s="40"/>
      <c r="J17" s="64">
        <f t="shared" si="4"/>
        <v>1556</v>
      </c>
      <c r="K17" s="65"/>
    </row>
    <row r="18" ht="19.5" customHeight="1">
      <c r="A18" s="36">
        <v>38047.0</v>
      </c>
      <c r="B18" s="63" t="s">
        <v>118</v>
      </c>
      <c r="C18" s="38" t="s">
        <v>140</v>
      </c>
      <c r="D18" s="56">
        <v>18.0</v>
      </c>
      <c r="E18" s="67"/>
      <c r="F18" s="40"/>
      <c r="G18" s="40"/>
      <c r="H18" s="59">
        <f t="shared" si="3"/>
        <v>18</v>
      </c>
      <c r="I18" s="40"/>
      <c r="J18" s="64">
        <f t="shared" si="4"/>
        <v>18</v>
      </c>
      <c r="K18" s="65"/>
    </row>
    <row r="19" ht="19.5" customHeight="1">
      <c r="A19" s="36">
        <v>38412.0</v>
      </c>
      <c r="B19" s="63" t="s">
        <v>119</v>
      </c>
      <c r="C19" s="38" t="s">
        <v>140</v>
      </c>
      <c r="D19" s="56">
        <v>18.0</v>
      </c>
      <c r="E19" s="67"/>
      <c r="F19" s="40"/>
      <c r="G19" s="40"/>
      <c r="H19" s="59">
        <f t="shared" si="3"/>
        <v>18</v>
      </c>
      <c r="I19" s="40"/>
      <c r="J19" s="64">
        <f t="shared" si="4"/>
        <v>18</v>
      </c>
      <c r="K19" s="65"/>
    </row>
    <row r="20" ht="19.5" customHeight="1">
      <c r="A20" s="12"/>
      <c r="C20" s="12"/>
      <c r="D20" s="13"/>
      <c r="F20" s="14"/>
      <c r="G20" s="14"/>
      <c r="H20" s="14"/>
      <c r="I20" s="14"/>
      <c r="J20" s="14"/>
      <c r="K20" s="12"/>
    </row>
    <row r="21" ht="19.5" customHeight="1">
      <c r="A21" s="50" t="s">
        <v>1</v>
      </c>
      <c r="B21" s="50" t="s">
        <v>91</v>
      </c>
      <c r="C21" s="50" t="s">
        <v>92</v>
      </c>
      <c r="D21" s="50" t="s">
        <v>93</v>
      </c>
      <c r="E21" s="50" t="s">
        <v>97</v>
      </c>
      <c r="F21" s="53" t="s">
        <v>121</v>
      </c>
      <c r="G21" s="53" t="s">
        <v>99</v>
      </c>
      <c r="H21" s="53" t="s">
        <v>100</v>
      </c>
      <c r="I21" s="53" t="s">
        <v>101</v>
      </c>
      <c r="J21" s="53" t="s">
        <v>95</v>
      </c>
      <c r="K21" s="50" t="s">
        <v>96</v>
      </c>
    </row>
    <row r="22" ht="19.5" customHeight="1">
      <c r="A22" s="36">
        <v>36982.0</v>
      </c>
      <c r="B22" s="2" t="s">
        <v>122</v>
      </c>
      <c r="C22" s="12" t="s">
        <v>103</v>
      </c>
      <c r="D22" s="68">
        <v>1.0</v>
      </c>
      <c r="F22" s="14"/>
      <c r="G22" s="14"/>
      <c r="H22" s="16">
        <v>4.5</v>
      </c>
      <c r="I22" s="14"/>
      <c r="J22" s="69">
        <f t="shared" ref="J22:J33" si="5">H22</f>
        <v>4.5</v>
      </c>
      <c r="K22" s="70"/>
    </row>
    <row r="23" ht="19.5" customHeight="1">
      <c r="A23" s="36">
        <v>38808.0</v>
      </c>
      <c r="B23" s="2" t="s">
        <v>123</v>
      </c>
      <c r="C23" s="12" t="s">
        <v>103</v>
      </c>
      <c r="D23" s="13">
        <v>1.0</v>
      </c>
      <c r="F23" s="14"/>
      <c r="G23" s="14"/>
      <c r="H23" s="16">
        <v>54.09</v>
      </c>
      <c r="I23" s="14"/>
      <c r="J23" s="71">
        <f t="shared" si="5"/>
        <v>54.09</v>
      </c>
      <c r="K23" s="72" t="s">
        <v>124</v>
      </c>
    </row>
    <row r="24" ht="19.5" customHeight="1">
      <c r="A24" s="36">
        <v>37712.0</v>
      </c>
      <c r="B24" s="45" t="s">
        <v>125</v>
      </c>
      <c r="C24" s="12" t="s">
        <v>103</v>
      </c>
      <c r="D24" s="13">
        <v>1.0</v>
      </c>
      <c r="F24" s="14"/>
      <c r="G24" s="14"/>
      <c r="H24" s="16">
        <v>39.2</v>
      </c>
      <c r="I24" s="14"/>
      <c r="J24" s="71">
        <f t="shared" si="5"/>
        <v>39.2</v>
      </c>
    </row>
    <row r="25" ht="19.5" customHeight="1">
      <c r="A25" s="36">
        <v>38078.0</v>
      </c>
      <c r="B25" s="2" t="s">
        <v>126</v>
      </c>
      <c r="C25" s="12" t="s">
        <v>103</v>
      </c>
      <c r="D25" s="13">
        <v>1.0</v>
      </c>
      <c r="F25" s="14"/>
      <c r="G25" s="14"/>
      <c r="H25" s="16">
        <v>41.74</v>
      </c>
      <c r="I25" s="14"/>
      <c r="J25" s="71">
        <f t="shared" si="5"/>
        <v>41.74</v>
      </c>
    </row>
    <row r="26" ht="19.5" customHeight="1">
      <c r="A26" s="36">
        <v>38443.0</v>
      </c>
      <c r="B26" s="2" t="s">
        <v>127</v>
      </c>
      <c r="C26" s="12" t="s">
        <v>103</v>
      </c>
      <c r="D26" s="13">
        <v>1.0</v>
      </c>
      <c r="F26" s="14"/>
      <c r="G26" s="14"/>
      <c r="H26" s="16">
        <v>59.86</v>
      </c>
      <c r="I26" s="14"/>
      <c r="J26" s="71">
        <f t="shared" si="5"/>
        <v>59.86</v>
      </c>
    </row>
    <row r="27" ht="19.5" customHeight="1">
      <c r="A27" s="36">
        <v>39173.0</v>
      </c>
      <c r="B27" s="2" t="s">
        <v>128</v>
      </c>
      <c r="C27" s="70" t="s">
        <v>106</v>
      </c>
      <c r="D27" s="68">
        <v>50.0</v>
      </c>
      <c r="F27" s="14"/>
      <c r="G27" s="14"/>
      <c r="H27" s="16">
        <f>D27</f>
        <v>50</v>
      </c>
      <c r="I27" s="14"/>
      <c r="J27" s="71">
        <f t="shared" si="5"/>
        <v>50</v>
      </c>
    </row>
    <row r="28" ht="19.5" customHeight="1">
      <c r="A28" s="36">
        <v>39539.0</v>
      </c>
      <c r="B28" s="2" t="s">
        <v>129</v>
      </c>
      <c r="C28" s="70" t="s">
        <v>106</v>
      </c>
      <c r="D28" s="68">
        <v>1.0</v>
      </c>
      <c r="F28" s="14"/>
      <c r="G28" s="14"/>
      <c r="H28" s="16">
        <v>1.0</v>
      </c>
      <c r="I28" s="14"/>
      <c r="J28" s="71">
        <f t="shared" si="5"/>
        <v>1</v>
      </c>
    </row>
    <row r="29" ht="19.5" customHeight="1">
      <c r="A29" s="36">
        <v>39904.0</v>
      </c>
      <c r="B29" s="2" t="s">
        <v>130</v>
      </c>
      <c r="C29" s="70" t="s">
        <v>106</v>
      </c>
      <c r="D29" s="68">
        <v>1.0</v>
      </c>
      <c r="F29" s="14"/>
      <c r="G29" s="14"/>
      <c r="H29" s="16">
        <v>1.0</v>
      </c>
      <c r="I29" s="14"/>
      <c r="J29" s="71">
        <f t="shared" si="5"/>
        <v>1</v>
      </c>
      <c r="K29" s="12"/>
    </row>
    <row r="30" ht="19.5" customHeight="1">
      <c r="A30" s="36">
        <v>40269.0</v>
      </c>
      <c r="B30" s="2" t="s">
        <v>131</v>
      </c>
      <c r="C30" s="70" t="s">
        <v>106</v>
      </c>
      <c r="D30" s="68">
        <v>1.0</v>
      </c>
      <c r="F30" s="14"/>
      <c r="G30" s="14"/>
      <c r="H30" s="16">
        <v>1.0</v>
      </c>
      <c r="I30" s="14"/>
      <c r="J30" s="71">
        <f t="shared" si="5"/>
        <v>1</v>
      </c>
      <c r="K30" s="12"/>
    </row>
    <row r="31" ht="18.75" customHeight="1">
      <c r="A31" s="36">
        <v>40634.0</v>
      </c>
      <c r="B31" s="2" t="s">
        <v>132</v>
      </c>
      <c r="C31" s="12" t="s">
        <v>103</v>
      </c>
      <c r="D31" s="13">
        <v>1.0</v>
      </c>
      <c r="F31" s="14"/>
      <c r="G31" s="14"/>
      <c r="H31" s="16">
        <v>60.4</v>
      </c>
      <c r="I31" s="14"/>
      <c r="J31" s="71">
        <f t="shared" si="5"/>
        <v>60.4</v>
      </c>
      <c r="K31" s="12"/>
    </row>
    <row r="32" ht="19.5" customHeight="1">
      <c r="A32" s="36">
        <v>41000.0</v>
      </c>
      <c r="B32" s="2" t="s">
        <v>133</v>
      </c>
      <c r="C32" s="12" t="s">
        <v>103</v>
      </c>
      <c r="D32" s="13">
        <v>1.0</v>
      </c>
      <c r="F32" s="14"/>
      <c r="G32" s="14"/>
      <c r="H32" s="16">
        <v>10.35</v>
      </c>
      <c r="I32" s="14"/>
      <c r="J32" s="71">
        <f t="shared" si="5"/>
        <v>10.35</v>
      </c>
      <c r="K32" s="12"/>
    </row>
    <row r="33" ht="19.5" customHeight="1">
      <c r="A33" s="36">
        <v>37347.0</v>
      </c>
      <c r="B33" s="45" t="s">
        <v>134</v>
      </c>
      <c r="C33" s="12" t="s">
        <v>103</v>
      </c>
      <c r="D33" s="13">
        <v>1.0</v>
      </c>
      <c r="E33" s="2">
        <v>2.0</v>
      </c>
      <c r="F33" s="14">
        <f>(26*2)+24+24</f>
        <v>100</v>
      </c>
      <c r="G33" s="14"/>
      <c r="H33" s="14">
        <f>F33*E33*D33</f>
        <v>200</v>
      </c>
      <c r="I33" s="14"/>
      <c r="J33" s="71">
        <f t="shared" si="5"/>
        <v>200</v>
      </c>
      <c r="K33" s="12"/>
    </row>
    <row r="34" ht="19.5" customHeight="1">
      <c r="A34" s="12"/>
      <c r="C34" s="12"/>
      <c r="D34" s="13"/>
      <c r="F34" s="14"/>
      <c r="G34" s="14"/>
      <c r="H34" s="14"/>
      <c r="I34" s="14"/>
      <c r="J34" s="14"/>
      <c r="K34" s="12"/>
    </row>
    <row r="35" ht="19.5" customHeight="1">
      <c r="A35" s="50" t="s">
        <v>1</v>
      </c>
      <c r="B35" s="50" t="s">
        <v>91</v>
      </c>
      <c r="C35" s="50" t="s">
        <v>92</v>
      </c>
      <c r="D35" s="50" t="s">
        <v>93</v>
      </c>
      <c r="E35" s="50" t="s">
        <v>97</v>
      </c>
      <c r="F35" s="53" t="s">
        <v>121</v>
      </c>
      <c r="G35" s="53" t="s">
        <v>99</v>
      </c>
      <c r="H35" s="53" t="s">
        <v>100</v>
      </c>
      <c r="I35" s="53" t="s">
        <v>101</v>
      </c>
      <c r="J35" s="53" t="s">
        <v>95</v>
      </c>
      <c r="K35" s="50" t="s">
        <v>96</v>
      </c>
    </row>
    <row r="36" ht="19.5" customHeight="1">
      <c r="A36" s="36">
        <v>36892.0</v>
      </c>
      <c r="B36" s="2" t="s">
        <v>135</v>
      </c>
      <c r="C36" s="70" t="s">
        <v>106</v>
      </c>
      <c r="D36" s="13">
        <v>1.0</v>
      </c>
      <c r="E36" s="2"/>
      <c r="F36" s="14"/>
      <c r="G36" s="14"/>
      <c r="H36" s="14">
        <f t="shared" ref="H36:H38" si="6">D36</f>
        <v>1</v>
      </c>
      <c r="I36" s="14"/>
      <c r="J36" s="71">
        <f t="shared" ref="J36:J38" si="7">H36</f>
        <v>1</v>
      </c>
      <c r="K36" s="12"/>
    </row>
    <row r="37" ht="19.5" customHeight="1">
      <c r="A37" s="36">
        <v>37257.0</v>
      </c>
      <c r="B37" s="2" t="s">
        <v>136</v>
      </c>
      <c r="C37" s="70" t="s">
        <v>103</v>
      </c>
      <c r="D37" s="68">
        <v>6417.91</v>
      </c>
      <c r="E37" s="2"/>
      <c r="F37" s="14"/>
      <c r="G37" s="14"/>
      <c r="H37" s="14">
        <f t="shared" si="6"/>
        <v>6417.91</v>
      </c>
      <c r="I37" s="14"/>
      <c r="J37" s="71">
        <f t="shared" si="7"/>
        <v>6417.91</v>
      </c>
      <c r="K37" s="12"/>
    </row>
    <row r="38" ht="19.5" customHeight="1">
      <c r="A38" s="36">
        <v>37622.0</v>
      </c>
      <c r="B38" s="2" t="s">
        <v>137</v>
      </c>
      <c r="C38" s="70" t="s">
        <v>103</v>
      </c>
      <c r="D38" s="68">
        <v>6417.91</v>
      </c>
      <c r="E38" s="2"/>
      <c r="F38" s="14"/>
      <c r="G38" s="14"/>
      <c r="H38" s="14">
        <f t="shared" si="6"/>
        <v>6417.91</v>
      </c>
      <c r="I38" s="14"/>
      <c r="J38" s="71">
        <f t="shared" si="7"/>
        <v>6417.91</v>
      </c>
      <c r="K38" s="12"/>
    </row>
    <row r="39" ht="19.5" customHeight="1">
      <c r="A39" s="12"/>
      <c r="C39" s="12"/>
      <c r="D39" s="13"/>
      <c r="F39" s="14"/>
      <c r="G39" s="14"/>
      <c r="H39" s="14"/>
      <c r="I39" s="14"/>
      <c r="J39" s="14"/>
      <c r="K39" s="12"/>
    </row>
    <row r="40" ht="19.5" customHeight="1">
      <c r="A40" s="12"/>
      <c r="C40" s="12"/>
      <c r="D40" s="13"/>
      <c r="F40" s="14"/>
      <c r="G40" s="14"/>
      <c r="H40" s="14"/>
      <c r="I40" s="14"/>
      <c r="J40" s="14"/>
      <c r="K40" s="12"/>
    </row>
    <row r="41" ht="19.5" customHeight="1">
      <c r="A41" s="12"/>
      <c r="C41" s="12"/>
      <c r="D41" s="13"/>
      <c r="F41" s="14"/>
      <c r="G41" s="14"/>
      <c r="H41" s="14"/>
      <c r="I41" s="14"/>
      <c r="J41" s="14"/>
      <c r="K41" s="12"/>
    </row>
    <row r="42" ht="19.5" customHeight="1">
      <c r="A42" s="12"/>
      <c r="C42" s="12"/>
      <c r="D42" s="13"/>
      <c r="F42" s="14"/>
      <c r="G42" s="14"/>
      <c r="H42" s="14"/>
      <c r="I42" s="14"/>
      <c r="J42" s="14"/>
      <c r="K42" s="12"/>
    </row>
    <row r="43" ht="19.5" customHeight="1">
      <c r="A43" s="12"/>
      <c r="C43" s="12"/>
      <c r="D43" s="13"/>
      <c r="F43" s="14"/>
      <c r="G43" s="14"/>
      <c r="H43" s="14"/>
      <c r="I43" s="14"/>
      <c r="J43" s="14"/>
      <c r="K43" s="12"/>
    </row>
    <row r="44" ht="19.5" customHeight="1">
      <c r="A44" s="12"/>
      <c r="C44" s="12"/>
      <c r="D44" s="13"/>
      <c r="F44" s="14"/>
      <c r="G44" s="14"/>
      <c r="H44" s="14"/>
      <c r="I44" s="14"/>
      <c r="J44" s="14"/>
      <c r="K44" s="12"/>
    </row>
    <row r="45" ht="19.5" customHeight="1">
      <c r="A45" s="12"/>
      <c r="C45" s="12"/>
      <c r="D45" s="13"/>
      <c r="F45" s="14"/>
      <c r="G45" s="14"/>
      <c r="H45" s="14"/>
      <c r="I45" s="14"/>
      <c r="J45" s="14"/>
      <c r="K45" s="12"/>
    </row>
    <row r="46" ht="19.5" customHeight="1">
      <c r="A46" s="12"/>
      <c r="C46" s="12"/>
      <c r="D46" s="13"/>
      <c r="F46" s="14"/>
      <c r="G46" s="14"/>
      <c r="H46" s="14"/>
      <c r="I46" s="14"/>
      <c r="J46" s="14"/>
      <c r="K46" s="12"/>
    </row>
    <row r="47" ht="19.5" customHeight="1">
      <c r="A47" s="12"/>
      <c r="C47" s="12"/>
      <c r="D47" s="13"/>
      <c r="F47" s="14"/>
      <c r="G47" s="14"/>
      <c r="H47" s="14"/>
      <c r="I47" s="14"/>
      <c r="J47" s="14"/>
      <c r="K47" s="12"/>
    </row>
    <row r="48" ht="19.5" customHeight="1">
      <c r="A48" s="12"/>
      <c r="C48" s="12"/>
      <c r="D48" s="13"/>
      <c r="F48" s="14"/>
      <c r="G48" s="14"/>
      <c r="H48" s="14"/>
      <c r="I48" s="14"/>
      <c r="J48" s="14"/>
      <c r="K48" s="12"/>
    </row>
    <row r="49" ht="19.5" customHeight="1">
      <c r="A49" s="12"/>
      <c r="C49" s="12"/>
      <c r="D49" s="13"/>
      <c r="F49" s="14"/>
      <c r="G49" s="14"/>
      <c r="H49" s="14"/>
      <c r="I49" s="14"/>
      <c r="J49" s="14"/>
      <c r="K49" s="12"/>
    </row>
    <row r="50" ht="19.5" customHeight="1">
      <c r="A50" s="12"/>
      <c r="C50" s="12"/>
      <c r="D50" s="13"/>
      <c r="F50" s="14"/>
      <c r="G50" s="14"/>
      <c r="H50" s="14"/>
      <c r="I50" s="14"/>
      <c r="J50" s="14"/>
      <c r="K50" s="12"/>
    </row>
    <row r="51" ht="19.5" customHeight="1">
      <c r="A51" s="12"/>
      <c r="C51" s="12"/>
      <c r="D51" s="13"/>
      <c r="F51" s="14"/>
      <c r="G51" s="14"/>
      <c r="H51" s="14"/>
      <c r="I51" s="14"/>
      <c r="J51" s="14"/>
      <c r="K51" s="12"/>
    </row>
    <row r="52" ht="19.5" customHeight="1">
      <c r="A52" s="12"/>
      <c r="C52" s="12"/>
      <c r="D52" s="13"/>
      <c r="F52" s="14"/>
      <c r="G52" s="14"/>
      <c r="H52" s="14"/>
      <c r="I52" s="14"/>
      <c r="J52" s="14"/>
      <c r="K52" s="12"/>
    </row>
    <row r="53" ht="19.5" customHeight="1">
      <c r="A53" s="12"/>
      <c r="C53" s="12"/>
      <c r="D53" s="13"/>
      <c r="F53" s="14"/>
      <c r="G53" s="14"/>
      <c r="H53" s="14"/>
      <c r="I53" s="14"/>
      <c r="J53" s="14"/>
      <c r="K53" s="12"/>
    </row>
    <row r="54" ht="19.5" customHeight="1">
      <c r="A54" s="12"/>
      <c r="C54" s="12"/>
      <c r="D54" s="13"/>
      <c r="F54" s="14"/>
      <c r="G54" s="14"/>
      <c r="H54" s="14"/>
      <c r="I54" s="14"/>
      <c r="J54" s="14"/>
      <c r="K54" s="12"/>
    </row>
    <row r="55" ht="19.5" customHeight="1">
      <c r="A55" s="12"/>
      <c r="C55" s="12"/>
      <c r="D55" s="13"/>
      <c r="F55" s="14"/>
      <c r="G55" s="14"/>
      <c r="H55" s="14"/>
      <c r="I55" s="14"/>
      <c r="J55" s="14"/>
      <c r="K55" s="12"/>
    </row>
    <row r="56" ht="19.5" customHeight="1">
      <c r="A56" s="12"/>
      <c r="C56" s="12"/>
      <c r="D56" s="13"/>
      <c r="F56" s="14"/>
      <c r="G56" s="14"/>
      <c r="H56" s="14"/>
      <c r="I56" s="14"/>
      <c r="J56" s="14"/>
      <c r="K56" s="12"/>
    </row>
    <row r="57" ht="19.5" customHeight="1">
      <c r="A57" s="12"/>
      <c r="C57" s="12"/>
      <c r="D57" s="13"/>
      <c r="F57" s="14"/>
      <c r="G57" s="14"/>
      <c r="H57" s="14"/>
      <c r="I57" s="14"/>
      <c r="J57" s="14"/>
      <c r="K57" s="12"/>
    </row>
    <row r="58" ht="19.5" customHeight="1">
      <c r="A58" s="12"/>
      <c r="C58" s="12"/>
      <c r="D58" s="13"/>
      <c r="F58" s="14"/>
      <c r="G58" s="14"/>
      <c r="H58" s="14"/>
      <c r="I58" s="14"/>
      <c r="J58" s="14"/>
      <c r="K58" s="12"/>
    </row>
    <row r="59" ht="19.5" customHeight="1">
      <c r="A59" s="12"/>
      <c r="C59" s="12"/>
      <c r="D59" s="13"/>
      <c r="F59" s="14"/>
      <c r="G59" s="14"/>
      <c r="H59" s="14"/>
      <c r="I59" s="14"/>
      <c r="J59" s="14"/>
      <c r="K59" s="12"/>
    </row>
    <row r="60" ht="19.5" customHeight="1">
      <c r="A60" s="12"/>
      <c r="C60" s="12"/>
      <c r="D60" s="13"/>
      <c r="F60" s="14"/>
      <c r="G60" s="14"/>
      <c r="H60" s="14"/>
      <c r="I60" s="14"/>
      <c r="J60" s="14"/>
      <c r="K60" s="12"/>
    </row>
    <row r="61" ht="19.5" customHeight="1">
      <c r="A61" s="12"/>
      <c r="C61" s="12"/>
      <c r="D61" s="13"/>
      <c r="F61" s="14"/>
      <c r="G61" s="14"/>
      <c r="H61" s="14"/>
      <c r="I61" s="14"/>
      <c r="J61" s="14"/>
      <c r="K61" s="12"/>
    </row>
    <row r="62" ht="19.5" customHeight="1">
      <c r="A62" s="12"/>
      <c r="C62" s="12"/>
      <c r="D62" s="13"/>
      <c r="F62" s="14"/>
      <c r="G62" s="14"/>
      <c r="H62" s="14"/>
      <c r="I62" s="14"/>
      <c r="J62" s="14"/>
      <c r="K62" s="12"/>
    </row>
    <row r="63" ht="19.5" customHeight="1">
      <c r="A63" s="12"/>
      <c r="C63" s="12"/>
      <c r="D63" s="13"/>
      <c r="F63" s="14"/>
      <c r="G63" s="14"/>
      <c r="H63" s="14"/>
      <c r="I63" s="14"/>
      <c r="J63" s="14"/>
      <c r="K63" s="12"/>
    </row>
    <row r="64" ht="19.5" customHeight="1">
      <c r="A64" s="12"/>
      <c r="C64" s="12"/>
      <c r="D64" s="13"/>
      <c r="F64" s="14"/>
      <c r="G64" s="14"/>
      <c r="H64" s="14"/>
      <c r="I64" s="14"/>
      <c r="J64" s="14"/>
      <c r="K64" s="12"/>
    </row>
    <row r="65" ht="19.5" customHeight="1">
      <c r="A65" s="12"/>
      <c r="C65" s="12"/>
      <c r="D65" s="13"/>
      <c r="F65" s="14"/>
      <c r="G65" s="14"/>
      <c r="H65" s="14"/>
      <c r="I65" s="14"/>
      <c r="J65" s="14"/>
      <c r="K65" s="12"/>
    </row>
    <row r="66" ht="19.5" customHeight="1">
      <c r="A66" s="12"/>
      <c r="C66" s="12"/>
      <c r="D66" s="13"/>
      <c r="F66" s="14"/>
      <c r="G66" s="14"/>
      <c r="H66" s="14"/>
      <c r="I66" s="14"/>
      <c r="J66" s="14"/>
      <c r="K66" s="12"/>
    </row>
    <row r="67" ht="19.5" customHeight="1">
      <c r="A67" s="12"/>
      <c r="C67" s="12"/>
      <c r="D67" s="13"/>
      <c r="F67" s="14"/>
      <c r="G67" s="14"/>
      <c r="H67" s="14"/>
      <c r="I67" s="14"/>
      <c r="J67" s="14"/>
      <c r="K67" s="12"/>
    </row>
    <row r="68" ht="19.5" customHeight="1">
      <c r="A68" s="12"/>
      <c r="C68" s="12"/>
      <c r="D68" s="13"/>
      <c r="F68" s="14"/>
      <c r="G68" s="14"/>
      <c r="H68" s="14"/>
      <c r="I68" s="14"/>
      <c r="J68" s="14"/>
      <c r="K68" s="12"/>
    </row>
    <row r="69" ht="19.5" customHeight="1">
      <c r="A69" s="12"/>
      <c r="C69" s="12"/>
      <c r="D69" s="13"/>
      <c r="F69" s="14"/>
      <c r="G69" s="14"/>
      <c r="H69" s="14"/>
      <c r="I69" s="14"/>
      <c r="J69" s="14"/>
      <c r="K69" s="12"/>
    </row>
    <row r="70" ht="19.5" customHeight="1">
      <c r="A70" s="12"/>
      <c r="C70" s="12"/>
      <c r="D70" s="13"/>
      <c r="F70" s="14"/>
      <c r="G70" s="14"/>
      <c r="H70" s="14"/>
      <c r="I70" s="14"/>
      <c r="J70" s="14"/>
      <c r="K70" s="12"/>
    </row>
    <row r="71" ht="19.5" customHeight="1">
      <c r="A71" s="12"/>
      <c r="C71" s="12"/>
      <c r="D71" s="13"/>
      <c r="F71" s="14"/>
      <c r="G71" s="14"/>
      <c r="H71" s="14"/>
      <c r="I71" s="14"/>
      <c r="J71" s="14"/>
      <c r="K71" s="12"/>
    </row>
    <row r="72" ht="19.5" customHeight="1">
      <c r="A72" s="12"/>
      <c r="C72" s="12"/>
      <c r="D72" s="13"/>
      <c r="F72" s="14"/>
      <c r="G72" s="14"/>
      <c r="H72" s="14"/>
      <c r="I72" s="14"/>
      <c r="J72" s="14"/>
      <c r="K72" s="12"/>
    </row>
    <row r="73" ht="19.5" customHeight="1">
      <c r="A73" s="12"/>
      <c r="C73" s="12"/>
      <c r="D73" s="13"/>
      <c r="F73" s="14"/>
      <c r="G73" s="14"/>
      <c r="H73" s="14"/>
      <c r="I73" s="14"/>
      <c r="J73" s="14"/>
      <c r="K73" s="12"/>
    </row>
    <row r="74" ht="19.5" customHeight="1">
      <c r="A74" s="12"/>
      <c r="C74" s="12"/>
      <c r="D74" s="13"/>
      <c r="F74" s="14"/>
      <c r="G74" s="14"/>
      <c r="H74" s="14"/>
      <c r="I74" s="14"/>
      <c r="J74" s="14"/>
      <c r="K74" s="12"/>
    </row>
    <row r="75" ht="19.5" customHeight="1">
      <c r="A75" s="12"/>
      <c r="C75" s="12"/>
      <c r="D75" s="13"/>
      <c r="F75" s="14"/>
      <c r="G75" s="14"/>
      <c r="H75" s="14"/>
      <c r="I75" s="14"/>
      <c r="J75" s="14"/>
      <c r="K75" s="12"/>
    </row>
    <row r="76" ht="19.5" customHeight="1">
      <c r="A76" s="12"/>
      <c r="C76" s="12"/>
      <c r="D76" s="13"/>
      <c r="F76" s="14"/>
      <c r="G76" s="14"/>
      <c r="H76" s="14"/>
      <c r="I76" s="14"/>
      <c r="J76" s="14"/>
      <c r="K76" s="12"/>
    </row>
    <row r="77" ht="19.5" customHeight="1">
      <c r="A77" s="12"/>
      <c r="C77" s="12"/>
      <c r="D77" s="13"/>
      <c r="F77" s="14"/>
      <c r="G77" s="14"/>
      <c r="H77" s="14"/>
      <c r="I77" s="14"/>
      <c r="J77" s="14"/>
      <c r="K77" s="12"/>
    </row>
    <row r="78" ht="19.5" customHeight="1">
      <c r="A78" s="12"/>
      <c r="C78" s="12"/>
      <c r="D78" s="13"/>
      <c r="F78" s="14"/>
      <c r="G78" s="14"/>
      <c r="H78" s="14"/>
      <c r="I78" s="14"/>
      <c r="J78" s="14"/>
      <c r="K78" s="12"/>
    </row>
    <row r="79" ht="19.5" customHeight="1">
      <c r="A79" s="12"/>
      <c r="C79" s="12"/>
      <c r="D79" s="13"/>
      <c r="F79" s="14"/>
      <c r="G79" s="14"/>
      <c r="H79" s="14"/>
      <c r="I79" s="14"/>
      <c r="J79" s="14"/>
      <c r="K79" s="12"/>
    </row>
    <row r="80" ht="19.5" customHeight="1">
      <c r="A80" s="12"/>
      <c r="C80" s="12"/>
      <c r="D80" s="13"/>
      <c r="F80" s="14"/>
      <c r="G80" s="14"/>
      <c r="H80" s="14"/>
      <c r="I80" s="14"/>
      <c r="J80" s="14"/>
      <c r="K80" s="12"/>
    </row>
    <row r="81" ht="19.5" customHeight="1">
      <c r="A81" s="12"/>
      <c r="C81" s="12"/>
      <c r="D81" s="13"/>
      <c r="F81" s="14"/>
      <c r="G81" s="14"/>
      <c r="H81" s="14"/>
      <c r="I81" s="14"/>
      <c r="J81" s="14"/>
      <c r="K81" s="12"/>
    </row>
    <row r="82" ht="19.5" customHeight="1">
      <c r="A82" s="12"/>
      <c r="C82" s="12"/>
      <c r="D82" s="13"/>
      <c r="F82" s="14"/>
      <c r="G82" s="14"/>
      <c r="H82" s="14"/>
      <c r="I82" s="14"/>
      <c r="J82" s="14"/>
      <c r="K82" s="12"/>
    </row>
    <row r="83" ht="19.5" customHeight="1">
      <c r="A83" s="12"/>
      <c r="C83" s="12"/>
      <c r="D83" s="13"/>
      <c r="F83" s="14"/>
      <c r="G83" s="14"/>
      <c r="H83" s="14"/>
      <c r="I83" s="14"/>
      <c r="J83" s="14"/>
      <c r="K83" s="12"/>
    </row>
    <row r="84" ht="19.5" customHeight="1">
      <c r="A84" s="12"/>
      <c r="C84" s="12"/>
      <c r="D84" s="13"/>
      <c r="F84" s="14"/>
      <c r="G84" s="14"/>
      <c r="H84" s="14"/>
      <c r="I84" s="14"/>
      <c r="J84" s="14"/>
      <c r="K84" s="12"/>
    </row>
    <row r="85" ht="19.5" customHeight="1">
      <c r="A85" s="12"/>
      <c r="C85" s="12"/>
      <c r="D85" s="13"/>
      <c r="F85" s="14"/>
      <c r="G85" s="14"/>
      <c r="H85" s="14"/>
      <c r="I85" s="14"/>
      <c r="J85" s="14"/>
      <c r="K85" s="12"/>
    </row>
    <row r="86" ht="19.5" customHeight="1">
      <c r="A86" s="12"/>
      <c r="C86" s="12"/>
      <c r="D86" s="13"/>
      <c r="F86" s="14"/>
      <c r="G86" s="14"/>
      <c r="H86" s="14"/>
      <c r="I86" s="14"/>
      <c r="J86" s="14"/>
      <c r="K86" s="12"/>
    </row>
    <row r="87" ht="19.5" customHeight="1">
      <c r="A87" s="12"/>
      <c r="C87" s="12"/>
      <c r="D87" s="13"/>
      <c r="F87" s="14"/>
      <c r="G87" s="14"/>
      <c r="H87" s="14"/>
      <c r="I87" s="14"/>
      <c r="J87" s="14"/>
      <c r="K87" s="12"/>
    </row>
    <row r="88" ht="19.5" customHeight="1">
      <c r="A88" s="12"/>
      <c r="C88" s="12"/>
      <c r="D88" s="13"/>
      <c r="F88" s="14"/>
      <c r="G88" s="14"/>
      <c r="H88" s="14"/>
      <c r="I88" s="14"/>
      <c r="J88" s="14"/>
      <c r="K88" s="12"/>
    </row>
    <row r="89" ht="19.5" customHeight="1">
      <c r="A89" s="12"/>
      <c r="C89" s="12"/>
      <c r="D89" s="13"/>
      <c r="F89" s="14"/>
      <c r="G89" s="14"/>
      <c r="H89" s="14"/>
      <c r="I89" s="14"/>
      <c r="J89" s="14"/>
      <c r="K89" s="12"/>
    </row>
    <row r="90" ht="19.5" customHeight="1">
      <c r="A90" s="12"/>
      <c r="C90" s="12"/>
      <c r="D90" s="13"/>
      <c r="F90" s="14"/>
      <c r="G90" s="14"/>
      <c r="H90" s="14"/>
      <c r="I90" s="14"/>
      <c r="J90" s="14"/>
      <c r="K90" s="12"/>
    </row>
    <row r="91" ht="19.5" customHeight="1">
      <c r="A91" s="12"/>
      <c r="C91" s="12"/>
      <c r="D91" s="13"/>
      <c r="F91" s="14"/>
      <c r="G91" s="14"/>
      <c r="H91" s="14"/>
      <c r="I91" s="14"/>
      <c r="J91" s="14"/>
      <c r="K91" s="12"/>
    </row>
    <row r="92" ht="19.5" customHeight="1">
      <c r="A92" s="12"/>
      <c r="C92" s="12"/>
      <c r="D92" s="13"/>
      <c r="F92" s="14"/>
      <c r="G92" s="14"/>
      <c r="H92" s="14"/>
      <c r="I92" s="14"/>
      <c r="J92" s="14"/>
      <c r="K92" s="12"/>
    </row>
    <row r="93" ht="19.5" customHeight="1">
      <c r="A93" s="12"/>
      <c r="C93" s="12"/>
      <c r="D93" s="13"/>
      <c r="F93" s="14"/>
      <c r="G93" s="14"/>
      <c r="H93" s="14"/>
      <c r="I93" s="14"/>
      <c r="J93" s="14"/>
      <c r="K93" s="12"/>
    </row>
    <row r="94" ht="19.5" customHeight="1">
      <c r="A94" s="12"/>
      <c r="C94" s="12"/>
      <c r="D94" s="13"/>
      <c r="F94" s="14"/>
      <c r="G94" s="14"/>
      <c r="H94" s="14"/>
      <c r="I94" s="14"/>
      <c r="J94" s="14"/>
      <c r="K94" s="12"/>
    </row>
    <row r="95" ht="19.5" customHeight="1">
      <c r="A95" s="12"/>
      <c r="C95" s="12"/>
      <c r="D95" s="13"/>
      <c r="F95" s="14"/>
      <c r="G95" s="14"/>
      <c r="H95" s="14"/>
      <c r="I95" s="14"/>
      <c r="J95" s="14"/>
      <c r="K95" s="12"/>
    </row>
    <row r="96" ht="19.5" customHeight="1">
      <c r="A96" s="12"/>
      <c r="C96" s="12"/>
      <c r="D96" s="13"/>
      <c r="F96" s="14"/>
      <c r="G96" s="14"/>
      <c r="H96" s="14"/>
      <c r="I96" s="14"/>
      <c r="J96" s="14"/>
      <c r="K96" s="12"/>
    </row>
    <row r="97" ht="19.5" customHeight="1">
      <c r="A97" s="12"/>
      <c r="C97" s="12"/>
      <c r="D97" s="13"/>
      <c r="F97" s="14"/>
      <c r="G97" s="14"/>
      <c r="H97" s="14"/>
      <c r="I97" s="14"/>
      <c r="J97" s="14"/>
      <c r="K97" s="12"/>
    </row>
    <row r="98" ht="19.5" customHeight="1">
      <c r="A98" s="12"/>
      <c r="C98" s="12"/>
      <c r="D98" s="13"/>
      <c r="F98" s="14"/>
      <c r="G98" s="14"/>
      <c r="H98" s="14"/>
      <c r="I98" s="14"/>
      <c r="J98" s="14"/>
      <c r="K98" s="12"/>
    </row>
    <row r="99" ht="19.5" customHeight="1">
      <c r="A99" s="12"/>
      <c r="C99" s="12"/>
      <c r="D99" s="13"/>
      <c r="F99" s="14"/>
      <c r="G99" s="14"/>
      <c r="H99" s="14"/>
      <c r="I99" s="14"/>
      <c r="J99" s="14"/>
      <c r="K99" s="12"/>
    </row>
    <row r="100" ht="19.5" customHeight="1">
      <c r="A100" s="12"/>
      <c r="C100" s="12"/>
      <c r="D100" s="13"/>
      <c r="F100" s="14"/>
      <c r="G100" s="14"/>
      <c r="H100" s="14"/>
      <c r="I100" s="14"/>
      <c r="J100" s="14"/>
      <c r="K100" s="12"/>
    </row>
    <row r="101" ht="19.5" customHeight="1">
      <c r="A101" s="12"/>
      <c r="C101" s="12"/>
      <c r="D101" s="13"/>
      <c r="F101" s="14"/>
      <c r="G101" s="14"/>
      <c r="H101" s="14"/>
      <c r="I101" s="14"/>
      <c r="J101" s="14"/>
      <c r="K101" s="12"/>
    </row>
    <row r="102" ht="19.5" customHeight="1">
      <c r="A102" s="12"/>
      <c r="C102" s="12"/>
      <c r="D102" s="13"/>
      <c r="F102" s="14"/>
      <c r="G102" s="14"/>
      <c r="H102" s="14"/>
      <c r="I102" s="14"/>
      <c r="J102" s="14"/>
      <c r="K102" s="12"/>
    </row>
    <row r="103" ht="19.5" customHeight="1">
      <c r="A103" s="12"/>
      <c r="C103" s="12"/>
      <c r="D103" s="13"/>
      <c r="F103" s="14"/>
      <c r="G103" s="14"/>
      <c r="H103" s="14"/>
      <c r="I103" s="14"/>
      <c r="J103" s="14"/>
      <c r="K103" s="12"/>
    </row>
    <row r="104" ht="19.5" customHeight="1">
      <c r="A104" s="12"/>
      <c r="C104" s="12"/>
      <c r="D104" s="13"/>
      <c r="F104" s="14"/>
      <c r="G104" s="14"/>
      <c r="H104" s="14"/>
      <c r="I104" s="14"/>
      <c r="J104" s="14"/>
      <c r="K104" s="12"/>
    </row>
    <row r="105" ht="19.5" customHeight="1">
      <c r="A105" s="12"/>
      <c r="C105" s="12"/>
      <c r="D105" s="13"/>
      <c r="F105" s="14"/>
      <c r="G105" s="14"/>
      <c r="H105" s="14"/>
      <c r="I105" s="14"/>
      <c r="J105" s="14"/>
      <c r="K105" s="12"/>
    </row>
    <row r="106" ht="19.5" customHeight="1">
      <c r="A106" s="12"/>
      <c r="C106" s="12"/>
      <c r="D106" s="13"/>
      <c r="F106" s="14"/>
      <c r="G106" s="14"/>
      <c r="H106" s="14"/>
      <c r="I106" s="14"/>
      <c r="J106" s="14"/>
      <c r="K106" s="12"/>
    </row>
    <row r="107" ht="19.5" customHeight="1">
      <c r="A107" s="12"/>
      <c r="C107" s="12"/>
      <c r="D107" s="13"/>
      <c r="F107" s="14"/>
      <c r="G107" s="14"/>
      <c r="H107" s="14"/>
      <c r="I107" s="14"/>
      <c r="J107" s="14"/>
      <c r="K107" s="12"/>
    </row>
    <row r="108" ht="19.5" customHeight="1">
      <c r="A108" s="12"/>
      <c r="C108" s="12"/>
      <c r="D108" s="13"/>
      <c r="F108" s="14"/>
      <c r="G108" s="14"/>
      <c r="H108" s="14"/>
      <c r="I108" s="14"/>
      <c r="J108" s="14"/>
      <c r="K108" s="12"/>
    </row>
    <row r="109" ht="19.5" customHeight="1">
      <c r="A109" s="12"/>
      <c r="C109" s="12"/>
      <c r="D109" s="13"/>
      <c r="F109" s="14"/>
      <c r="G109" s="14"/>
      <c r="H109" s="14"/>
      <c r="I109" s="14"/>
      <c r="J109" s="14"/>
      <c r="K109" s="12"/>
    </row>
    <row r="110" ht="19.5" customHeight="1">
      <c r="A110" s="12"/>
      <c r="C110" s="12"/>
      <c r="D110" s="13"/>
      <c r="F110" s="14"/>
      <c r="G110" s="14"/>
      <c r="H110" s="14"/>
      <c r="I110" s="14"/>
      <c r="J110" s="14"/>
      <c r="K110" s="12"/>
    </row>
    <row r="111" ht="19.5" customHeight="1">
      <c r="A111" s="12"/>
      <c r="C111" s="12"/>
      <c r="D111" s="13"/>
      <c r="F111" s="14"/>
      <c r="G111" s="14"/>
      <c r="H111" s="14"/>
      <c r="I111" s="14"/>
      <c r="J111" s="14"/>
      <c r="K111" s="12"/>
    </row>
    <row r="112" ht="19.5" customHeight="1">
      <c r="A112" s="12"/>
      <c r="C112" s="12"/>
      <c r="D112" s="13"/>
      <c r="F112" s="14"/>
      <c r="G112" s="14"/>
      <c r="H112" s="14"/>
      <c r="I112" s="14"/>
      <c r="J112" s="14"/>
      <c r="K112" s="12"/>
    </row>
    <row r="113" ht="19.5" customHeight="1">
      <c r="A113" s="12"/>
      <c r="C113" s="12"/>
      <c r="D113" s="13"/>
      <c r="F113" s="14"/>
      <c r="G113" s="14"/>
      <c r="H113" s="14"/>
      <c r="I113" s="14"/>
      <c r="J113" s="14"/>
      <c r="K113" s="12"/>
    </row>
    <row r="114" ht="19.5" customHeight="1">
      <c r="A114" s="12"/>
      <c r="C114" s="12"/>
      <c r="D114" s="13"/>
      <c r="F114" s="14"/>
      <c r="G114" s="14"/>
      <c r="H114" s="14"/>
      <c r="I114" s="14"/>
      <c r="J114" s="14"/>
      <c r="K114" s="12"/>
    </row>
    <row r="115" ht="19.5" customHeight="1">
      <c r="A115" s="12"/>
      <c r="C115" s="12"/>
      <c r="D115" s="13"/>
      <c r="F115" s="14"/>
      <c r="G115" s="14"/>
      <c r="H115" s="14"/>
      <c r="I115" s="14"/>
      <c r="J115" s="14"/>
      <c r="K115" s="12"/>
    </row>
    <row r="116" ht="19.5" customHeight="1">
      <c r="A116" s="12"/>
      <c r="C116" s="12"/>
      <c r="D116" s="13"/>
      <c r="F116" s="14"/>
      <c r="G116" s="14"/>
      <c r="H116" s="14"/>
      <c r="I116" s="14"/>
      <c r="J116" s="14"/>
      <c r="K116" s="12"/>
    </row>
    <row r="117" ht="19.5" customHeight="1">
      <c r="A117" s="12"/>
      <c r="C117" s="12"/>
      <c r="D117" s="13"/>
      <c r="F117" s="14"/>
      <c r="G117" s="14"/>
      <c r="H117" s="14"/>
      <c r="I117" s="14"/>
      <c r="J117" s="14"/>
      <c r="K117" s="12"/>
    </row>
    <row r="118" ht="19.5" customHeight="1">
      <c r="A118" s="12"/>
      <c r="C118" s="12"/>
      <c r="D118" s="13"/>
      <c r="F118" s="14"/>
      <c r="G118" s="14"/>
      <c r="H118" s="14"/>
      <c r="I118" s="14"/>
      <c r="J118" s="14"/>
      <c r="K118" s="12"/>
    </row>
    <row r="119" ht="19.5" customHeight="1">
      <c r="A119" s="12"/>
      <c r="C119" s="12"/>
      <c r="D119" s="13"/>
      <c r="F119" s="14"/>
      <c r="G119" s="14"/>
      <c r="H119" s="14"/>
      <c r="I119" s="14"/>
      <c r="J119" s="14"/>
      <c r="K119" s="12"/>
    </row>
    <row r="120" ht="19.5" customHeight="1">
      <c r="A120" s="12"/>
      <c r="C120" s="12"/>
      <c r="D120" s="13"/>
      <c r="F120" s="14"/>
      <c r="G120" s="14"/>
      <c r="H120" s="14"/>
      <c r="I120" s="14"/>
      <c r="J120" s="14"/>
      <c r="K120" s="12"/>
    </row>
    <row r="121" ht="19.5" customHeight="1">
      <c r="A121" s="12"/>
      <c r="C121" s="12"/>
      <c r="D121" s="13"/>
      <c r="F121" s="14"/>
      <c r="G121" s="14"/>
      <c r="H121" s="14"/>
      <c r="I121" s="14"/>
      <c r="J121" s="14"/>
      <c r="K121" s="12"/>
    </row>
    <row r="122" ht="19.5" customHeight="1">
      <c r="A122" s="12"/>
      <c r="C122" s="12"/>
      <c r="D122" s="13"/>
      <c r="F122" s="14"/>
      <c r="G122" s="14"/>
      <c r="H122" s="14"/>
      <c r="I122" s="14"/>
      <c r="J122" s="14"/>
      <c r="K122" s="12"/>
    </row>
    <row r="123" ht="19.5" customHeight="1">
      <c r="A123" s="12"/>
      <c r="C123" s="12"/>
      <c r="D123" s="13"/>
      <c r="F123" s="14"/>
      <c r="G123" s="14"/>
      <c r="H123" s="14"/>
      <c r="I123" s="14"/>
      <c r="J123" s="14"/>
      <c r="K123" s="12"/>
    </row>
    <row r="124" ht="19.5" customHeight="1">
      <c r="A124" s="12"/>
      <c r="C124" s="12"/>
      <c r="D124" s="13"/>
      <c r="F124" s="14"/>
      <c r="G124" s="14"/>
      <c r="H124" s="14"/>
      <c r="I124" s="14"/>
      <c r="J124" s="14"/>
      <c r="K124" s="12"/>
    </row>
    <row r="125" ht="19.5" customHeight="1">
      <c r="A125" s="12"/>
      <c r="C125" s="12"/>
      <c r="D125" s="13"/>
      <c r="F125" s="14"/>
      <c r="G125" s="14"/>
      <c r="H125" s="14"/>
      <c r="I125" s="14"/>
      <c r="J125" s="14"/>
      <c r="K125" s="12"/>
    </row>
    <row r="126" ht="19.5" customHeight="1">
      <c r="A126" s="12"/>
      <c r="C126" s="12"/>
      <c r="D126" s="13"/>
      <c r="F126" s="14"/>
      <c r="G126" s="14"/>
      <c r="H126" s="14"/>
      <c r="I126" s="14"/>
      <c r="J126" s="14"/>
      <c r="K126" s="12"/>
    </row>
    <row r="127" ht="19.5" customHeight="1">
      <c r="A127" s="12"/>
      <c r="C127" s="12"/>
      <c r="D127" s="13"/>
      <c r="F127" s="14"/>
      <c r="G127" s="14"/>
      <c r="H127" s="14"/>
      <c r="I127" s="14"/>
      <c r="J127" s="14"/>
      <c r="K127" s="12"/>
    </row>
    <row r="128" ht="19.5" customHeight="1">
      <c r="A128" s="12"/>
      <c r="C128" s="12"/>
      <c r="D128" s="13"/>
      <c r="F128" s="14"/>
      <c r="G128" s="14"/>
      <c r="H128" s="14"/>
      <c r="I128" s="14"/>
      <c r="J128" s="14"/>
      <c r="K128" s="12"/>
    </row>
    <row r="129" ht="19.5" customHeight="1">
      <c r="A129" s="12"/>
      <c r="C129" s="12"/>
      <c r="D129" s="13"/>
      <c r="F129" s="14"/>
      <c r="G129" s="14"/>
      <c r="H129" s="14"/>
      <c r="I129" s="14"/>
      <c r="J129" s="14"/>
      <c r="K129" s="12"/>
    </row>
    <row r="130" ht="19.5" customHeight="1">
      <c r="A130" s="12"/>
      <c r="C130" s="12"/>
      <c r="D130" s="13"/>
      <c r="F130" s="14"/>
      <c r="G130" s="14"/>
      <c r="H130" s="14"/>
      <c r="I130" s="14"/>
      <c r="J130" s="14"/>
      <c r="K130" s="12"/>
    </row>
    <row r="131" ht="19.5" customHeight="1">
      <c r="A131" s="12"/>
      <c r="C131" s="12"/>
      <c r="D131" s="13"/>
      <c r="F131" s="14"/>
      <c r="G131" s="14"/>
      <c r="H131" s="14"/>
      <c r="I131" s="14"/>
      <c r="J131" s="14"/>
      <c r="K131" s="12"/>
    </row>
    <row r="132" ht="19.5" customHeight="1">
      <c r="A132" s="12"/>
      <c r="C132" s="12"/>
      <c r="D132" s="13"/>
      <c r="F132" s="14"/>
      <c r="G132" s="14"/>
      <c r="H132" s="14"/>
      <c r="I132" s="14"/>
      <c r="J132" s="14"/>
      <c r="K132" s="12"/>
    </row>
    <row r="133" ht="19.5" customHeight="1">
      <c r="A133" s="12"/>
      <c r="C133" s="12"/>
      <c r="D133" s="13"/>
      <c r="F133" s="14"/>
      <c r="G133" s="14"/>
      <c r="H133" s="14"/>
      <c r="I133" s="14"/>
      <c r="J133" s="14"/>
      <c r="K133" s="12"/>
    </row>
    <row r="134" ht="19.5" customHeight="1">
      <c r="A134" s="12"/>
      <c r="C134" s="12"/>
      <c r="D134" s="13"/>
      <c r="F134" s="14"/>
      <c r="G134" s="14"/>
      <c r="H134" s="14"/>
      <c r="I134" s="14"/>
      <c r="J134" s="14"/>
      <c r="K134" s="12"/>
    </row>
    <row r="135" ht="19.5" customHeight="1">
      <c r="A135" s="12"/>
      <c r="C135" s="12"/>
      <c r="D135" s="13"/>
      <c r="F135" s="14"/>
      <c r="G135" s="14"/>
      <c r="H135" s="14"/>
      <c r="I135" s="14"/>
      <c r="J135" s="14"/>
      <c r="K135" s="12"/>
    </row>
    <row r="136" ht="19.5" customHeight="1">
      <c r="A136" s="12"/>
      <c r="C136" s="12"/>
      <c r="D136" s="13"/>
      <c r="F136" s="14"/>
      <c r="G136" s="14"/>
      <c r="H136" s="14"/>
      <c r="I136" s="14"/>
      <c r="J136" s="14"/>
      <c r="K136" s="12"/>
    </row>
    <row r="137" ht="19.5" customHeight="1">
      <c r="A137" s="12"/>
      <c r="C137" s="12"/>
      <c r="D137" s="13"/>
      <c r="F137" s="14"/>
      <c r="G137" s="14"/>
      <c r="H137" s="14"/>
      <c r="I137" s="14"/>
      <c r="J137" s="14"/>
      <c r="K137" s="12"/>
    </row>
    <row r="138" ht="19.5" customHeight="1">
      <c r="A138" s="12"/>
      <c r="C138" s="12"/>
      <c r="D138" s="13"/>
      <c r="F138" s="14"/>
      <c r="G138" s="14"/>
      <c r="H138" s="14"/>
      <c r="I138" s="14"/>
      <c r="J138" s="14"/>
      <c r="K138" s="12"/>
    </row>
    <row r="139" ht="19.5" customHeight="1">
      <c r="A139" s="12"/>
      <c r="C139" s="12"/>
      <c r="D139" s="13"/>
      <c r="F139" s="14"/>
      <c r="G139" s="14"/>
      <c r="H139" s="14"/>
      <c r="I139" s="14"/>
      <c r="J139" s="14"/>
      <c r="K139" s="12"/>
    </row>
    <row r="140" ht="19.5" customHeight="1">
      <c r="A140" s="12"/>
      <c r="C140" s="12"/>
      <c r="D140" s="13"/>
      <c r="F140" s="14"/>
      <c r="G140" s="14"/>
      <c r="H140" s="14"/>
      <c r="I140" s="14"/>
      <c r="J140" s="14"/>
      <c r="K140" s="12"/>
    </row>
    <row r="141" ht="19.5" customHeight="1">
      <c r="A141" s="12"/>
      <c r="C141" s="12"/>
      <c r="D141" s="13"/>
      <c r="F141" s="14"/>
      <c r="G141" s="14"/>
      <c r="H141" s="14"/>
      <c r="I141" s="14"/>
      <c r="J141" s="14"/>
      <c r="K141" s="12"/>
    </row>
    <row r="142" ht="19.5" customHeight="1">
      <c r="A142" s="12"/>
      <c r="C142" s="12"/>
      <c r="D142" s="13"/>
      <c r="F142" s="14"/>
      <c r="G142" s="14"/>
      <c r="H142" s="14"/>
      <c r="I142" s="14"/>
      <c r="J142" s="14"/>
      <c r="K142" s="12"/>
    </row>
    <row r="143" ht="19.5" customHeight="1">
      <c r="A143" s="12"/>
      <c r="C143" s="12"/>
      <c r="D143" s="13"/>
      <c r="F143" s="14"/>
      <c r="G143" s="14"/>
      <c r="H143" s="14"/>
      <c r="I143" s="14"/>
      <c r="J143" s="14"/>
      <c r="K143" s="12"/>
    </row>
    <row r="144" ht="19.5" customHeight="1">
      <c r="A144" s="12"/>
      <c r="C144" s="12"/>
      <c r="D144" s="13"/>
      <c r="F144" s="14"/>
      <c r="G144" s="14"/>
      <c r="H144" s="14"/>
      <c r="I144" s="14"/>
      <c r="J144" s="14"/>
      <c r="K144" s="12"/>
    </row>
    <row r="145" ht="19.5" customHeight="1">
      <c r="A145" s="12"/>
      <c r="C145" s="12"/>
      <c r="D145" s="13"/>
      <c r="F145" s="14"/>
      <c r="G145" s="14"/>
      <c r="H145" s="14"/>
      <c r="I145" s="14"/>
      <c r="J145" s="14"/>
      <c r="K145" s="12"/>
    </row>
    <row r="146" ht="19.5" customHeight="1">
      <c r="A146" s="12"/>
      <c r="C146" s="12"/>
      <c r="D146" s="13"/>
      <c r="F146" s="14"/>
      <c r="G146" s="14"/>
      <c r="H146" s="14"/>
      <c r="I146" s="14"/>
      <c r="J146" s="14"/>
      <c r="K146" s="12"/>
    </row>
    <row r="147" ht="19.5" customHeight="1">
      <c r="A147" s="12"/>
      <c r="C147" s="12"/>
      <c r="D147" s="13"/>
      <c r="F147" s="14"/>
      <c r="G147" s="14"/>
      <c r="H147" s="14"/>
      <c r="I147" s="14"/>
      <c r="J147" s="14"/>
      <c r="K147" s="12"/>
    </row>
    <row r="148" ht="19.5" customHeight="1">
      <c r="A148" s="12"/>
      <c r="C148" s="12"/>
      <c r="D148" s="13"/>
      <c r="F148" s="14"/>
      <c r="G148" s="14"/>
      <c r="H148" s="14"/>
      <c r="I148" s="14"/>
      <c r="J148" s="14"/>
      <c r="K148" s="12"/>
    </row>
    <row r="149" ht="19.5" customHeight="1">
      <c r="A149" s="12"/>
      <c r="C149" s="12"/>
      <c r="D149" s="13"/>
      <c r="F149" s="14"/>
      <c r="G149" s="14"/>
      <c r="H149" s="14"/>
      <c r="I149" s="14"/>
      <c r="J149" s="14"/>
      <c r="K149" s="12"/>
    </row>
    <row r="150" ht="19.5" customHeight="1">
      <c r="A150" s="12"/>
      <c r="C150" s="12"/>
      <c r="D150" s="13"/>
      <c r="F150" s="14"/>
      <c r="G150" s="14"/>
      <c r="H150" s="14"/>
      <c r="I150" s="14"/>
      <c r="J150" s="14"/>
      <c r="K150" s="12"/>
    </row>
    <row r="151" ht="19.5" customHeight="1">
      <c r="A151" s="12"/>
      <c r="C151" s="12"/>
      <c r="D151" s="13"/>
      <c r="F151" s="14"/>
      <c r="G151" s="14"/>
      <c r="H151" s="14"/>
      <c r="I151" s="14"/>
      <c r="J151" s="14"/>
      <c r="K151" s="12"/>
    </row>
    <row r="152" ht="19.5" customHeight="1">
      <c r="A152" s="12"/>
      <c r="C152" s="12"/>
      <c r="D152" s="13"/>
      <c r="F152" s="14"/>
      <c r="G152" s="14"/>
      <c r="H152" s="14"/>
      <c r="I152" s="14"/>
      <c r="J152" s="14"/>
      <c r="K152" s="12"/>
    </row>
    <row r="153" ht="19.5" customHeight="1">
      <c r="A153" s="12"/>
      <c r="C153" s="12"/>
      <c r="D153" s="13"/>
      <c r="F153" s="14"/>
      <c r="G153" s="14"/>
      <c r="H153" s="14"/>
      <c r="I153" s="14"/>
      <c r="J153" s="14"/>
      <c r="K153" s="12"/>
    </row>
    <row r="154" ht="19.5" customHeight="1">
      <c r="A154" s="12"/>
      <c r="C154" s="12"/>
      <c r="D154" s="13"/>
      <c r="F154" s="14"/>
      <c r="G154" s="14"/>
      <c r="H154" s="14"/>
      <c r="I154" s="14"/>
      <c r="J154" s="14"/>
      <c r="K154" s="12"/>
    </row>
    <row r="155" ht="19.5" customHeight="1">
      <c r="A155" s="12"/>
      <c r="C155" s="12"/>
      <c r="D155" s="13"/>
      <c r="F155" s="14"/>
      <c r="G155" s="14"/>
      <c r="H155" s="14"/>
      <c r="I155" s="14"/>
      <c r="J155" s="14"/>
      <c r="K155" s="12"/>
    </row>
    <row r="156" ht="19.5" customHeight="1">
      <c r="A156" s="12"/>
      <c r="C156" s="12"/>
      <c r="D156" s="13"/>
      <c r="F156" s="14"/>
      <c r="G156" s="14"/>
      <c r="H156" s="14"/>
      <c r="I156" s="14"/>
      <c r="J156" s="14"/>
      <c r="K156" s="12"/>
    </row>
    <row r="157" ht="19.5" customHeight="1">
      <c r="A157" s="12"/>
      <c r="C157" s="12"/>
      <c r="D157" s="13"/>
      <c r="F157" s="14"/>
      <c r="G157" s="14"/>
      <c r="H157" s="14"/>
      <c r="I157" s="14"/>
      <c r="J157" s="14"/>
      <c r="K157" s="12"/>
    </row>
    <row r="158" ht="19.5" customHeight="1">
      <c r="A158" s="12"/>
      <c r="C158" s="12"/>
      <c r="D158" s="13"/>
      <c r="F158" s="14"/>
      <c r="G158" s="14"/>
      <c r="H158" s="14"/>
      <c r="I158" s="14"/>
      <c r="J158" s="14"/>
      <c r="K158" s="12"/>
    </row>
    <row r="159" ht="19.5" customHeight="1">
      <c r="A159" s="12"/>
      <c r="C159" s="12"/>
      <c r="D159" s="13"/>
      <c r="F159" s="14"/>
      <c r="G159" s="14"/>
      <c r="H159" s="14"/>
      <c r="I159" s="14"/>
      <c r="J159" s="14"/>
      <c r="K159" s="12"/>
    </row>
    <row r="160" ht="19.5" customHeight="1">
      <c r="A160" s="12"/>
      <c r="C160" s="12"/>
      <c r="D160" s="13"/>
      <c r="F160" s="14"/>
      <c r="G160" s="14"/>
      <c r="H160" s="14"/>
      <c r="I160" s="14"/>
      <c r="J160" s="14"/>
      <c r="K160" s="12"/>
    </row>
    <row r="161" ht="19.5" customHeight="1">
      <c r="A161" s="12"/>
      <c r="C161" s="12"/>
      <c r="D161" s="13"/>
      <c r="F161" s="14"/>
      <c r="G161" s="14"/>
      <c r="H161" s="14"/>
      <c r="I161" s="14"/>
      <c r="J161" s="14"/>
      <c r="K161" s="12"/>
    </row>
    <row r="162" ht="19.5" customHeight="1">
      <c r="A162" s="12"/>
      <c r="C162" s="12"/>
      <c r="D162" s="13"/>
      <c r="F162" s="14"/>
      <c r="G162" s="14"/>
      <c r="H162" s="14"/>
      <c r="I162" s="14"/>
      <c r="J162" s="14"/>
      <c r="K162" s="12"/>
    </row>
    <row r="163" ht="19.5" customHeight="1">
      <c r="A163" s="12"/>
      <c r="C163" s="12"/>
      <c r="D163" s="13"/>
      <c r="F163" s="14"/>
      <c r="G163" s="14"/>
      <c r="H163" s="14"/>
      <c r="I163" s="14"/>
      <c r="J163" s="14"/>
      <c r="K163" s="12"/>
    </row>
    <row r="164" ht="19.5" customHeight="1">
      <c r="A164" s="12"/>
      <c r="C164" s="12"/>
      <c r="D164" s="13"/>
      <c r="F164" s="14"/>
      <c r="G164" s="14"/>
      <c r="H164" s="14"/>
      <c r="I164" s="14"/>
      <c r="J164" s="14"/>
      <c r="K164" s="12"/>
    </row>
    <row r="165" ht="19.5" customHeight="1">
      <c r="A165" s="12"/>
      <c r="C165" s="12"/>
      <c r="D165" s="13"/>
      <c r="F165" s="14"/>
      <c r="G165" s="14"/>
      <c r="H165" s="14"/>
      <c r="I165" s="14"/>
      <c r="J165" s="14"/>
      <c r="K165" s="12"/>
    </row>
    <row r="166" ht="19.5" customHeight="1">
      <c r="A166" s="12"/>
      <c r="C166" s="12"/>
      <c r="D166" s="13"/>
      <c r="F166" s="14"/>
      <c r="G166" s="14"/>
      <c r="H166" s="14"/>
      <c r="I166" s="14"/>
      <c r="J166" s="14"/>
      <c r="K166" s="12"/>
    </row>
    <row r="167" ht="19.5" customHeight="1">
      <c r="A167" s="12"/>
      <c r="C167" s="12"/>
      <c r="D167" s="13"/>
      <c r="F167" s="14"/>
      <c r="G167" s="14"/>
      <c r="H167" s="14"/>
      <c r="I167" s="14"/>
      <c r="J167" s="14"/>
      <c r="K167" s="12"/>
    </row>
    <row r="168" ht="19.5" customHeight="1">
      <c r="A168" s="12"/>
      <c r="C168" s="12"/>
      <c r="D168" s="13"/>
      <c r="F168" s="14"/>
      <c r="G168" s="14"/>
      <c r="H168" s="14"/>
      <c r="I168" s="14"/>
      <c r="J168" s="14"/>
      <c r="K168" s="12"/>
    </row>
    <row r="169" ht="19.5" customHeight="1">
      <c r="A169" s="12"/>
      <c r="C169" s="12"/>
      <c r="D169" s="13"/>
      <c r="F169" s="14"/>
      <c r="G169" s="14"/>
      <c r="H169" s="14"/>
      <c r="I169" s="14"/>
      <c r="J169" s="14"/>
      <c r="K169" s="12"/>
    </row>
    <row r="170" ht="19.5" customHeight="1">
      <c r="A170" s="12"/>
      <c r="C170" s="12"/>
      <c r="D170" s="13"/>
      <c r="F170" s="14"/>
      <c r="G170" s="14"/>
      <c r="H170" s="14"/>
      <c r="I170" s="14"/>
      <c r="J170" s="14"/>
      <c r="K170" s="12"/>
    </row>
    <row r="171" ht="19.5" customHeight="1">
      <c r="A171" s="12"/>
      <c r="C171" s="12"/>
      <c r="D171" s="13"/>
      <c r="F171" s="14"/>
      <c r="G171" s="14"/>
      <c r="H171" s="14"/>
      <c r="I171" s="14"/>
      <c r="J171" s="14"/>
      <c r="K171" s="12"/>
    </row>
    <row r="172" ht="19.5" customHeight="1">
      <c r="A172" s="12"/>
      <c r="C172" s="12"/>
      <c r="D172" s="13"/>
      <c r="F172" s="14"/>
      <c r="G172" s="14"/>
      <c r="H172" s="14"/>
      <c r="I172" s="14"/>
      <c r="J172" s="14"/>
      <c r="K172" s="12"/>
    </row>
    <row r="173" ht="19.5" customHeight="1">
      <c r="A173" s="12"/>
      <c r="C173" s="12"/>
      <c r="D173" s="13"/>
      <c r="F173" s="14"/>
      <c r="G173" s="14"/>
      <c r="H173" s="14"/>
      <c r="I173" s="14"/>
      <c r="J173" s="14"/>
      <c r="K173" s="12"/>
    </row>
    <row r="174" ht="19.5" customHeight="1">
      <c r="A174" s="12"/>
      <c r="C174" s="12"/>
      <c r="D174" s="13"/>
      <c r="F174" s="14"/>
      <c r="G174" s="14"/>
      <c r="H174" s="14"/>
      <c r="I174" s="14"/>
      <c r="J174" s="14"/>
      <c r="K174" s="12"/>
    </row>
    <row r="175" ht="19.5" customHeight="1">
      <c r="A175" s="12"/>
      <c r="C175" s="12"/>
      <c r="D175" s="13"/>
      <c r="F175" s="14"/>
      <c r="G175" s="14"/>
      <c r="H175" s="14"/>
      <c r="I175" s="14"/>
      <c r="J175" s="14"/>
      <c r="K175" s="12"/>
    </row>
    <row r="176" ht="19.5" customHeight="1">
      <c r="A176" s="12"/>
      <c r="C176" s="12"/>
      <c r="D176" s="13"/>
      <c r="F176" s="14"/>
      <c r="G176" s="14"/>
      <c r="H176" s="14"/>
      <c r="I176" s="14"/>
      <c r="J176" s="14"/>
      <c r="K176" s="12"/>
    </row>
    <row r="177" ht="19.5" customHeight="1">
      <c r="A177" s="12"/>
      <c r="C177" s="12"/>
      <c r="D177" s="13"/>
      <c r="F177" s="14"/>
      <c r="G177" s="14"/>
      <c r="H177" s="14"/>
      <c r="I177" s="14"/>
      <c r="J177" s="14"/>
      <c r="K177" s="12"/>
    </row>
    <row r="178" ht="19.5" customHeight="1">
      <c r="A178" s="12"/>
      <c r="C178" s="12"/>
      <c r="D178" s="13"/>
      <c r="F178" s="14"/>
      <c r="G178" s="14"/>
      <c r="H178" s="14"/>
      <c r="I178" s="14"/>
      <c r="J178" s="14"/>
      <c r="K178" s="12"/>
    </row>
    <row r="179" ht="19.5" customHeight="1">
      <c r="A179" s="12"/>
      <c r="C179" s="12"/>
      <c r="D179" s="13"/>
      <c r="F179" s="14"/>
      <c r="G179" s="14"/>
      <c r="H179" s="14"/>
      <c r="I179" s="14"/>
      <c r="J179" s="14"/>
      <c r="K179" s="12"/>
    </row>
    <row r="180" ht="19.5" customHeight="1">
      <c r="A180" s="12"/>
      <c r="C180" s="12"/>
      <c r="D180" s="13"/>
      <c r="F180" s="14"/>
      <c r="G180" s="14"/>
      <c r="H180" s="14"/>
      <c r="I180" s="14"/>
      <c r="J180" s="14"/>
      <c r="K180" s="12"/>
    </row>
    <row r="181" ht="19.5" customHeight="1">
      <c r="A181" s="12"/>
      <c r="C181" s="12"/>
      <c r="D181" s="13"/>
      <c r="F181" s="14"/>
      <c r="G181" s="14"/>
      <c r="H181" s="14"/>
      <c r="I181" s="14"/>
      <c r="J181" s="14"/>
      <c r="K181" s="12"/>
    </row>
    <row r="182" ht="19.5" customHeight="1">
      <c r="A182" s="12"/>
      <c r="C182" s="12"/>
      <c r="D182" s="13"/>
      <c r="F182" s="14"/>
      <c r="G182" s="14"/>
      <c r="H182" s="14"/>
      <c r="I182" s="14"/>
      <c r="J182" s="14"/>
      <c r="K182" s="12"/>
    </row>
    <row r="183" ht="19.5" customHeight="1">
      <c r="A183" s="12"/>
      <c r="C183" s="12"/>
      <c r="D183" s="13"/>
      <c r="F183" s="14"/>
      <c r="G183" s="14"/>
      <c r="H183" s="14"/>
      <c r="I183" s="14"/>
      <c r="J183" s="14"/>
      <c r="K183" s="12"/>
    </row>
    <row r="184" ht="19.5" customHeight="1">
      <c r="A184" s="12"/>
      <c r="C184" s="12"/>
      <c r="D184" s="13"/>
      <c r="F184" s="14"/>
      <c r="G184" s="14"/>
      <c r="H184" s="14"/>
      <c r="I184" s="14"/>
      <c r="J184" s="14"/>
      <c r="K184" s="12"/>
    </row>
    <row r="185" ht="19.5" customHeight="1">
      <c r="A185" s="12"/>
      <c r="C185" s="12"/>
      <c r="D185" s="13"/>
      <c r="F185" s="14"/>
      <c r="G185" s="14"/>
      <c r="H185" s="14"/>
      <c r="I185" s="14"/>
      <c r="J185" s="14"/>
      <c r="K185" s="12"/>
    </row>
    <row r="186" ht="19.5" customHeight="1">
      <c r="A186" s="12"/>
      <c r="C186" s="12"/>
      <c r="D186" s="13"/>
      <c r="F186" s="14"/>
      <c r="G186" s="14"/>
      <c r="H186" s="14"/>
      <c r="I186" s="14"/>
      <c r="J186" s="14"/>
      <c r="K186" s="12"/>
    </row>
    <row r="187" ht="19.5" customHeight="1">
      <c r="A187" s="12"/>
      <c r="C187" s="12"/>
      <c r="D187" s="13"/>
      <c r="F187" s="14"/>
      <c r="G187" s="14"/>
      <c r="H187" s="14"/>
      <c r="I187" s="14"/>
      <c r="J187" s="14"/>
      <c r="K187" s="12"/>
    </row>
    <row r="188" ht="19.5" customHeight="1">
      <c r="A188" s="12"/>
      <c r="C188" s="12"/>
      <c r="D188" s="13"/>
      <c r="F188" s="14"/>
      <c r="G188" s="14"/>
      <c r="H188" s="14"/>
      <c r="I188" s="14"/>
      <c r="J188" s="14"/>
      <c r="K188" s="12"/>
    </row>
    <row r="189" ht="19.5" customHeight="1">
      <c r="A189" s="12"/>
      <c r="C189" s="12"/>
      <c r="D189" s="13"/>
      <c r="F189" s="14"/>
      <c r="G189" s="14"/>
      <c r="H189" s="14"/>
      <c r="I189" s="14"/>
      <c r="J189" s="14"/>
      <c r="K189" s="12"/>
    </row>
    <row r="190" ht="19.5" customHeight="1">
      <c r="A190" s="12"/>
      <c r="C190" s="12"/>
      <c r="D190" s="13"/>
      <c r="F190" s="14"/>
      <c r="G190" s="14"/>
      <c r="H190" s="14"/>
      <c r="I190" s="14"/>
      <c r="J190" s="14"/>
      <c r="K190" s="12"/>
    </row>
    <row r="191" ht="19.5" customHeight="1">
      <c r="A191" s="12"/>
      <c r="C191" s="12"/>
      <c r="D191" s="13"/>
      <c r="F191" s="14"/>
      <c r="G191" s="14"/>
      <c r="H191" s="14"/>
      <c r="I191" s="14"/>
      <c r="J191" s="14"/>
      <c r="K191" s="12"/>
    </row>
    <row r="192" ht="19.5" customHeight="1">
      <c r="A192" s="12"/>
      <c r="C192" s="12"/>
      <c r="D192" s="13"/>
      <c r="F192" s="14"/>
      <c r="G192" s="14"/>
      <c r="H192" s="14"/>
      <c r="I192" s="14"/>
      <c r="J192" s="14"/>
      <c r="K192" s="12"/>
    </row>
    <row r="193" ht="19.5" customHeight="1">
      <c r="A193" s="12"/>
      <c r="C193" s="12"/>
      <c r="D193" s="13"/>
      <c r="F193" s="14"/>
      <c r="G193" s="14"/>
      <c r="H193" s="14"/>
      <c r="I193" s="14"/>
      <c r="J193" s="14"/>
      <c r="K193" s="12"/>
    </row>
    <row r="194" ht="19.5" customHeight="1">
      <c r="A194" s="12"/>
      <c r="C194" s="12"/>
      <c r="D194" s="13"/>
      <c r="F194" s="14"/>
      <c r="G194" s="14"/>
      <c r="H194" s="14"/>
      <c r="I194" s="14"/>
      <c r="J194" s="14"/>
      <c r="K194" s="12"/>
    </row>
    <row r="195" ht="19.5" customHeight="1">
      <c r="A195" s="12"/>
      <c r="C195" s="12"/>
      <c r="D195" s="13"/>
      <c r="F195" s="14"/>
      <c r="G195" s="14"/>
      <c r="H195" s="14"/>
      <c r="I195" s="14"/>
      <c r="J195" s="14"/>
      <c r="K195" s="12"/>
    </row>
    <row r="196" ht="19.5" customHeight="1">
      <c r="A196" s="12"/>
      <c r="C196" s="12"/>
      <c r="D196" s="13"/>
      <c r="F196" s="14"/>
      <c r="G196" s="14"/>
      <c r="H196" s="14"/>
      <c r="I196" s="14"/>
      <c r="J196" s="14"/>
      <c r="K196" s="12"/>
    </row>
    <row r="197" ht="19.5" customHeight="1">
      <c r="A197" s="12"/>
      <c r="C197" s="12"/>
      <c r="D197" s="13"/>
      <c r="F197" s="14"/>
      <c r="G197" s="14"/>
      <c r="H197" s="14"/>
      <c r="I197" s="14"/>
      <c r="J197" s="14"/>
      <c r="K197" s="12"/>
    </row>
    <row r="198" ht="19.5" customHeight="1">
      <c r="A198" s="12"/>
      <c r="C198" s="12"/>
      <c r="D198" s="13"/>
      <c r="F198" s="14"/>
      <c r="G198" s="14"/>
      <c r="H198" s="14"/>
      <c r="I198" s="14"/>
      <c r="J198" s="14"/>
      <c r="K198" s="12"/>
    </row>
    <row r="199" ht="19.5" customHeight="1">
      <c r="A199" s="12"/>
      <c r="C199" s="12"/>
      <c r="D199" s="13"/>
      <c r="F199" s="14"/>
      <c r="G199" s="14"/>
      <c r="H199" s="14"/>
      <c r="I199" s="14"/>
      <c r="J199" s="14"/>
      <c r="K199" s="12"/>
    </row>
    <row r="200" ht="19.5" customHeight="1">
      <c r="A200" s="12"/>
      <c r="C200" s="12"/>
      <c r="D200" s="13"/>
      <c r="F200" s="14"/>
      <c r="G200" s="14"/>
      <c r="H200" s="14"/>
      <c r="I200" s="14"/>
      <c r="J200" s="14"/>
      <c r="K200" s="12"/>
    </row>
    <row r="201" ht="19.5" customHeight="1">
      <c r="A201" s="12"/>
      <c r="C201" s="12"/>
      <c r="D201" s="13"/>
      <c r="F201" s="14"/>
      <c r="G201" s="14"/>
      <c r="H201" s="14"/>
      <c r="I201" s="14"/>
      <c r="J201" s="14"/>
      <c r="K201" s="12"/>
    </row>
    <row r="202" ht="19.5" customHeight="1">
      <c r="A202" s="12"/>
      <c r="C202" s="12"/>
      <c r="D202" s="13"/>
      <c r="F202" s="14"/>
      <c r="G202" s="14"/>
      <c r="H202" s="14"/>
      <c r="I202" s="14"/>
      <c r="J202" s="14"/>
      <c r="K202" s="12"/>
    </row>
    <row r="203" ht="19.5" customHeight="1">
      <c r="A203" s="12"/>
      <c r="C203" s="12"/>
      <c r="D203" s="13"/>
      <c r="F203" s="14"/>
      <c r="G203" s="14"/>
      <c r="H203" s="14"/>
      <c r="I203" s="14"/>
      <c r="J203" s="14"/>
      <c r="K203" s="12"/>
    </row>
    <row r="204" ht="19.5" customHeight="1">
      <c r="A204" s="12"/>
      <c r="C204" s="12"/>
      <c r="D204" s="13"/>
      <c r="F204" s="14"/>
      <c r="G204" s="14"/>
      <c r="H204" s="14"/>
      <c r="I204" s="14"/>
      <c r="J204" s="14"/>
      <c r="K204" s="12"/>
    </row>
    <row r="205" ht="19.5" customHeight="1">
      <c r="A205" s="12"/>
      <c r="C205" s="12"/>
      <c r="D205" s="13"/>
      <c r="F205" s="14"/>
      <c r="G205" s="14"/>
      <c r="H205" s="14"/>
      <c r="I205" s="14"/>
      <c r="J205" s="14"/>
      <c r="K205" s="12"/>
    </row>
    <row r="206" ht="19.5" customHeight="1">
      <c r="A206" s="12"/>
      <c r="C206" s="12"/>
      <c r="D206" s="13"/>
      <c r="F206" s="14"/>
      <c r="G206" s="14"/>
      <c r="H206" s="14"/>
      <c r="I206" s="14"/>
      <c r="J206" s="14"/>
      <c r="K206" s="12"/>
    </row>
    <row r="207" ht="19.5" customHeight="1">
      <c r="A207" s="12"/>
      <c r="C207" s="12"/>
      <c r="D207" s="13"/>
      <c r="F207" s="14"/>
      <c r="G207" s="14"/>
      <c r="H207" s="14"/>
      <c r="I207" s="14"/>
      <c r="J207" s="14"/>
      <c r="K207" s="12"/>
    </row>
    <row r="208" ht="19.5" customHeight="1">
      <c r="A208" s="12"/>
      <c r="C208" s="12"/>
      <c r="D208" s="13"/>
      <c r="F208" s="14"/>
      <c r="G208" s="14"/>
      <c r="H208" s="14"/>
      <c r="I208" s="14"/>
      <c r="J208" s="14"/>
      <c r="K208" s="12"/>
    </row>
    <row r="209" ht="19.5" customHeight="1">
      <c r="A209" s="12"/>
      <c r="C209" s="12"/>
      <c r="D209" s="13"/>
      <c r="F209" s="14"/>
      <c r="G209" s="14"/>
      <c r="H209" s="14"/>
      <c r="I209" s="14"/>
      <c r="J209" s="14"/>
      <c r="K209" s="12"/>
    </row>
    <row r="210" ht="19.5" customHeight="1">
      <c r="A210" s="12"/>
      <c r="C210" s="12"/>
      <c r="D210" s="13"/>
      <c r="F210" s="14"/>
      <c r="G210" s="14"/>
      <c r="H210" s="14"/>
      <c r="I210" s="14"/>
      <c r="J210" s="14"/>
      <c r="K210" s="12"/>
    </row>
    <row r="211" ht="19.5" customHeight="1">
      <c r="A211" s="12"/>
      <c r="C211" s="12"/>
      <c r="D211" s="13"/>
      <c r="F211" s="14"/>
      <c r="G211" s="14"/>
      <c r="H211" s="14"/>
      <c r="I211" s="14"/>
      <c r="J211" s="14"/>
      <c r="K211" s="12"/>
    </row>
    <row r="212" ht="19.5" customHeight="1">
      <c r="A212" s="12"/>
      <c r="C212" s="12"/>
      <c r="D212" s="13"/>
      <c r="F212" s="14"/>
      <c r="G212" s="14"/>
      <c r="H212" s="14"/>
      <c r="I212" s="14"/>
      <c r="J212" s="14"/>
      <c r="K212" s="12"/>
    </row>
    <row r="213" ht="19.5" customHeight="1">
      <c r="A213" s="12"/>
      <c r="C213" s="12"/>
      <c r="D213" s="13"/>
      <c r="F213" s="14"/>
      <c r="G213" s="14"/>
      <c r="H213" s="14"/>
      <c r="I213" s="14"/>
      <c r="J213" s="14"/>
      <c r="K213" s="12"/>
    </row>
    <row r="214" ht="19.5" customHeight="1">
      <c r="A214" s="12"/>
      <c r="C214" s="12"/>
      <c r="D214" s="13"/>
      <c r="F214" s="14"/>
      <c r="G214" s="14"/>
      <c r="H214" s="14"/>
      <c r="I214" s="14"/>
      <c r="J214" s="14"/>
      <c r="K214" s="12"/>
    </row>
    <row r="215" ht="19.5" customHeight="1">
      <c r="A215" s="12"/>
      <c r="C215" s="12"/>
      <c r="D215" s="13"/>
      <c r="F215" s="14"/>
      <c r="G215" s="14"/>
      <c r="H215" s="14"/>
      <c r="I215" s="14"/>
      <c r="J215" s="14"/>
      <c r="K215" s="12"/>
    </row>
    <row r="216" ht="19.5" customHeight="1">
      <c r="A216" s="12"/>
      <c r="C216" s="12"/>
      <c r="D216" s="13"/>
      <c r="F216" s="14"/>
      <c r="G216" s="14"/>
      <c r="H216" s="14"/>
      <c r="I216" s="14"/>
      <c r="J216" s="14"/>
      <c r="K216" s="12"/>
    </row>
    <row r="217" ht="19.5" customHeight="1">
      <c r="A217" s="12"/>
      <c r="C217" s="12"/>
      <c r="D217" s="13"/>
      <c r="F217" s="14"/>
      <c r="G217" s="14"/>
      <c r="H217" s="14"/>
      <c r="I217" s="14"/>
      <c r="J217" s="14"/>
      <c r="K217" s="12"/>
    </row>
    <row r="218" ht="19.5" customHeight="1">
      <c r="A218" s="12"/>
      <c r="C218" s="12"/>
      <c r="D218" s="13"/>
      <c r="F218" s="14"/>
      <c r="G218" s="14"/>
      <c r="H218" s="14"/>
      <c r="I218" s="14"/>
      <c r="J218" s="14"/>
      <c r="K218" s="12"/>
    </row>
    <row r="219" ht="19.5" customHeight="1">
      <c r="A219" s="12"/>
      <c r="C219" s="12"/>
      <c r="D219" s="13"/>
      <c r="F219" s="14"/>
      <c r="G219" s="14"/>
      <c r="H219" s="14"/>
      <c r="I219" s="14"/>
      <c r="J219" s="14"/>
      <c r="K219" s="12"/>
    </row>
    <row r="220" ht="19.5" customHeight="1">
      <c r="A220" s="12"/>
      <c r="C220" s="12"/>
      <c r="D220" s="13"/>
      <c r="F220" s="14"/>
      <c r="G220" s="14"/>
      <c r="H220" s="14"/>
      <c r="I220" s="14"/>
      <c r="J220" s="14"/>
      <c r="K220" s="12"/>
    </row>
    <row r="221" ht="19.5" customHeight="1">
      <c r="A221" s="12"/>
      <c r="C221" s="12"/>
      <c r="D221" s="13"/>
      <c r="F221" s="14"/>
      <c r="G221" s="14"/>
      <c r="H221" s="14"/>
      <c r="I221" s="14"/>
      <c r="J221" s="14"/>
      <c r="K221" s="12"/>
    </row>
    <row r="222" ht="19.5" customHeight="1">
      <c r="A222" s="12"/>
      <c r="C222" s="12"/>
      <c r="D222" s="13"/>
      <c r="F222" s="14"/>
      <c r="G222" s="14"/>
      <c r="H222" s="14"/>
      <c r="I222" s="14"/>
      <c r="J222" s="14"/>
      <c r="K222" s="12"/>
    </row>
    <row r="223" ht="19.5" customHeight="1">
      <c r="A223" s="12"/>
      <c r="C223" s="12"/>
      <c r="D223" s="13"/>
      <c r="F223" s="14"/>
      <c r="G223" s="14"/>
      <c r="H223" s="14"/>
      <c r="I223" s="14"/>
      <c r="J223" s="14"/>
      <c r="K223" s="12"/>
    </row>
    <row r="224" ht="19.5" customHeight="1">
      <c r="A224" s="12"/>
      <c r="C224" s="12"/>
      <c r="D224" s="13"/>
      <c r="F224" s="14"/>
      <c r="G224" s="14"/>
      <c r="H224" s="14"/>
      <c r="I224" s="14"/>
      <c r="J224" s="14"/>
      <c r="K224" s="12"/>
    </row>
    <row r="225" ht="19.5" customHeight="1">
      <c r="A225" s="12"/>
      <c r="C225" s="12"/>
      <c r="D225" s="13"/>
      <c r="F225" s="14"/>
      <c r="G225" s="14"/>
      <c r="H225" s="14"/>
      <c r="I225" s="14"/>
      <c r="J225" s="14"/>
      <c r="K225" s="12"/>
    </row>
    <row r="226" ht="19.5" customHeight="1">
      <c r="A226" s="12"/>
      <c r="C226" s="12"/>
      <c r="D226" s="13"/>
      <c r="F226" s="14"/>
      <c r="G226" s="14"/>
      <c r="H226" s="14"/>
      <c r="I226" s="14"/>
      <c r="J226" s="14"/>
      <c r="K226" s="12"/>
    </row>
    <row r="227" ht="19.5" customHeight="1">
      <c r="A227" s="12"/>
      <c r="C227" s="12"/>
      <c r="D227" s="13"/>
      <c r="F227" s="14"/>
      <c r="G227" s="14"/>
      <c r="H227" s="14"/>
      <c r="I227" s="14"/>
      <c r="J227" s="14"/>
      <c r="K227" s="12"/>
    </row>
    <row r="228" ht="19.5" customHeight="1">
      <c r="A228" s="12"/>
      <c r="C228" s="12"/>
      <c r="D228" s="13"/>
      <c r="F228" s="14"/>
      <c r="G228" s="14"/>
      <c r="H228" s="14"/>
      <c r="I228" s="14"/>
      <c r="J228" s="14"/>
      <c r="K228" s="12"/>
    </row>
    <row r="229" ht="19.5" customHeight="1">
      <c r="A229" s="12"/>
      <c r="C229" s="12"/>
      <c r="D229" s="13"/>
      <c r="F229" s="14"/>
      <c r="G229" s="14"/>
      <c r="H229" s="14"/>
      <c r="I229" s="14"/>
      <c r="J229" s="14"/>
      <c r="K229" s="12"/>
    </row>
    <row r="230" ht="19.5" customHeight="1">
      <c r="A230" s="12"/>
      <c r="C230" s="12"/>
      <c r="D230" s="13"/>
      <c r="F230" s="14"/>
      <c r="G230" s="14"/>
      <c r="H230" s="14"/>
      <c r="I230" s="14"/>
      <c r="J230" s="14"/>
      <c r="K230" s="12"/>
    </row>
    <row r="231" ht="19.5" customHeight="1">
      <c r="A231" s="12"/>
      <c r="C231" s="12"/>
      <c r="D231" s="13"/>
      <c r="F231" s="14"/>
      <c r="G231" s="14"/>
      <c r="H231" s="14"/>
      <c r="I231" s="14"/>
      <c r="J231" s="14"/>
      <c r="K231" s="12"/>
    </row>
    <row r="232" ht="19.5" customHeight="1">
      <c r="A232" s="12"/>
      <c r="C232" s="12"/>
      <c r="D232" s="13"/>
      <c r="F232" s="14"/>
      <c r="G232" s="14"/>
      <c r="H232" s="14"/>
      <c r="I232" s="14"/>
      <c r="J232" s="14"/>
      <c r="K232" s="12"/>
    </row>
    <row r="233" ht="19.5" customHeight="1">
      <c r="A233" s="12"/>
      <c r="C233" s="12"/>
      <c r="D233" s="13"/>
      <c r="F233" s="14"/>
      <c r="G233" s="14"/>
      <c r="H233" s="14"/>
      <c r="I233" s="14"/>
      <c r="J233" s="14"/>
      <c r="K233" s="12"/>
    </row>
    <row r="234" ht="19.5" customHeight="1">
      <c r="A234" s="12"/>
      <c r="C234" s="12"/>
      <c r="D234" s="13"/>
      <c r="F234" s="14"/>
      <c r="G234" s="14"/>
      <c r="H234" s="14"/>
      <c r="I234" s="14"/>
      <c r="J234" s="14"/>
      <c r="K234" s="12"/>
    </row>
    <row r="235" ht="19.5" customHeight="1">
      <c r="A235" s="12"/>
      <c r="C235" s="12"/>
      <c r="D235" s="13"/>
      <c r="F235" s="14"/>
      <c r="G235" s="14"/>
      <c r="H235" s="14"/>
      <c r="I235" s="14"/>
      <c r="J235" s="14"/>
      <c r="K235" s="12"/>
    </row>
    <row r="236" ht="19.5" customHeight="1">
      <c r="A236" s="12"/>
      <c r="C236" s="12"/>
      <c r="D236" s="13"/>
      <c r="F236" s="14"/>
      <c r="G236" s="14"/>
      <c r="H236" s="14"/>
      <c r="I236" s="14"/>
      <c r="J236" s="14"/>
      <c r="K236" s="12"/>
    </row>
    <row r="237" ht="19.5" customHeight="1">
      <c r="A237" s="12"/>
      <c r="C237" s="12"/>
      <c r="D237" s="13"/>
      <c r="F237" s="14"/>
      <c r="G237" s="14"/>
      <c r="H237" s="14"/>
      <c r="I237" s="14"/>
      <c r="J237" s="14"/>
      <c r="K237" s="12"/>
    </row>
    <row r="238" ht="19.5" customHeight="1">
      <c r="A238" s="12"/>
      <c r="C238" s="12"/>
      <c r="D238" s="13"/>
      <c r="F238" s="14"/>
      <c r="G238" s="14"/>
      <c r="H238" s="14"/>
      <c r="I238" s="14"/>
      <c r="J238" s="14"/>
      <c r="K238" s="12"/>
    </row>
    <row r="239" ht="19.5" customHeight="1">
      <c r="A239" s="12"/>
      <c r="C239" s="12"/>
      <c r="D239" s="13"/>
      <c r="F239" s="14"/>
      <c r="G239" s="14"/>
      <c r="H239" s="14"/>
      <c r="I239" s="14"/>
      <c r="J239" s="14"/>
      <c r="K239" s="12"/>
    </row>
    <row r="240" ht="19.5" customHeight="1">
      <c r="A240" s="12"/>
      <c r="C240" s="12"/>
      <c r="D240" s="13"/>
      <c r="F240" s="14"/>
      <c r="G240" s="14"/>
      <c r="H240" s="14"/>
      <c r="I240" s="14"/>
      <c r="J240" s="14"/>
      <c r="K240" s="12"/>
    </row>
    <row r="241" ht="19.5" customHeight="1">
      <c r="A241" s="12"/>
      <c r="C241" s="12"/>
      <c r="D241" s="13"/>
      <c r="F241" s="14"/>
      <c r="G241" s="14"/>
      <c r="H241" s="14"/>
      <c r="I241" s="14"/>
      <c r="J241" s="14"/>
      <c r="K241" s="12"/>
    </row>
    <row r="242" ht="19.5" customHeight="1">
      <c r="A242" s="12"/>
      <c r="C242" s="12"/>
      <c r="D242" s="13"/>
      <c r="F242" s="14"/>
      <c r="G242" s="14"/>
      <c r="H242" s="14"/>
      <c r="I242" s="14"/>
      <c r="J242" s="14"/>
      <c r="K242" s="12"/>
    </row>
    <row r="243" ht="19.5" customHeight="1">
      <c r="A243" s="12"/>
      <c r="C243" s="12"/>
      <c r="D243" s="13"/>
      <c r="F243" s="14"/>
      <c r="G243" s="14"/>
      <c r="H243" s="14"/>
      <c r="I243" s="14"/>
      <c r="J243" s="14"/>
      <c r="K243" s="12"/>
    </row>
    <row r="244" ht="19.5" customHeight="1">
      <c r="A244" s="12"/>
      <c r="C244" s="12"/>
      <c r="D244" s="13"/>
      <c r="F244" s="14"/>
      <c r="G244" s="14"/>
      <c r="H244" s="14"/>
      <c r="I244" s="14"/>
      <c r="J244" s="14"/>
      <c r="K244" s="12"/>
    </row>
    <row r="245" ht="19.5" customHeight="1">
      <c r="A245" s="12"/>
      <c r="C245" s="12"/>
      <c r="D245" s="13"/>
      <c r="F245" s="14"/>
      <c r="G245" s="14"/>
      <c r="H245" s="14"/>
      <c r="I245" s="14"/>
      <c r="J245" s="14"/>
      <c r="K245" s="12"/>
    </row>
    <row r="246" ht="19.5" customHeight="1">
      <c r="A246" s="12"/>
      <c r="C246" s="12"/>
      <c r="D246" s="13"/>
      <c r="F246" s="14"/>
      <c r="G246" s="14"/>
      <c r="H246" s="14"/>
      <c r="I246" s="14"/>
      <c r="J246" s="14"/>
      <c r="K246" s="12"/>
    </row>
    <row r="247" ht="19.5" customHeight="1">
      <c r="A247" s="12"/>
      <c r="C247" s="12"/>
      <c r="D247" s="13"/>
      <c r="F247" s="14"/>
      <c r="G247" s="14"/>
      <c r="H247" s="14"/>
      <c r="I247" s="14"/>
      <c r="J247" s="14"/>
      <c r="K247" s="12"/>
    </row>
    <row r="248" ht="19.5" customHeight="1">
      <c r="A248" s="12"/>
      <c r="C248" s="12"/>
      <c r="D248" s="13"/>
      <c r="F248" s="14"/>
      <c r="G248" s="14"/>
      <c r="H248" s="14"/>
      <c r="I248" s="14"/>
      <c r="J248" s="14"/>
      <c r="K248" s="12"/>
    </row>
    <row r="249" ht="19.5" customHeight="1">
      <c r="A249" s="12"/>
      <c r="C249" s="12"/>
      <c r="D249" s="13"/>
      <c r="F249" s="14"/>
      <c r="G249" s="14"/>
      <c r="H249" s="14"/>
      <c r="I249" s="14"/>
      <c r="J249" s="14"/>
      <c r="K249" s="12"/>
    </row>
    <row r="250" ht="19.5" customHeight="1">
      <c r="A250" s="12"/>
      <c r="C250" s="12"/>
      <c r="D250" s="13"/>
      <c r="F250" s="14"/>
      <c r="G250" s="14"/>
      <c r="H250" s="14"/>
      <c r="I250" s="14"/>
      <c r="J250" s="14"/>
      <c r="K250" s="12"/>
    </row>
    <row r="251" ht="19.5" customHeight="1">
      <c r="A251" s="12"/>
      <c r="C251" s="12"/>
      <c r="D251" s="13"/>
      <c r="F251" s="14"/>
      <c r="G251" s="14"/>
      <c r="H251" s="14"/>
      <c r="I251" s="14"/>
      <c r="J251" s="14"/>
      <c r="K251" s="12"/>
    </row>
    <row r="252" ht="19.5" customHeight="1">
      <c r="A252" s="12"/>
      <c r="C252" s="12"/>
      <c r="D252" s="13"/>
      <c r="F252" s="14"/>
      <c r="G252" s="14"/>
      <c r="H252" s="14"/>
      <c r="I252" s="14"/>
      <c r="J252" s="14"/>
      <c r="K252" s="12"/>
    </row>
    <row r="253" ht="19.5" customHeight="1">
      <c r="A253" s="12"/>
      <c r="C253" s="12"/>
      <c r="D253" s="13"/>
      <c r="F253" s="14"/>
      <c r="G253" s="14"/>
      <c r="H253" s="14"/>
      <c r="I253" s="14"/>
      <c r="J253" s="14"/>
      <c r="K253" s="12"/>
    </row>
    <row r="254" ht="19.5" customHeight="1">
      <c r="A254" s="12"/>
      <c r="C254" s="12"/>
      <c r="D254" s="13"/>
      <c r="F254" s="14"/>
      <c r="G254" s="14"/>
      <c r="H254" s="14"/>
      <c r="I254" s="14"/>
      <c r="J254" s="14"/>
      <c r="K254" s="12"/>
    </row>
    <row r="255" ht="19.5" customHeight="1">
      <c r="A255" s="12"/>
      <c r="C255" s="12"/>
      <c r="D255" s="13"/>
      <c r="F255" s="14"/>
      <c r="G255" s="14"/>
      <c r="H255" s="14"/>
      <c r="I255" s="14"/>
      <c r="J255" s="14"/>
      <c r="K255" s="12"/>
    </row>
    <row r="256" ht="19.5" customHeight="1">
      <c r="A256" s="12"/>
      <c r="C256" s="12"/>
      <c r="D256" s="13"/>
      <c r="F256" s="14"/>
      <c r="G256" s="14"/>
      <c r="H256" s="14"/>
      <c r="I256" s="14"/>
      <c r="J256" s="14"/>
      <c r="K256" s="12"/>
    </row>
    <row r="257" ht="19.5" customHeight="1">
      <c r="A257" s="12"/>
      <c r="C257" s="12"/>
      <c r="D257" s="13"/>
      <c r="F257" s="14"/>
      <c r="G257" s="14"/>
      <c r="H257" s="14"/>
      <c r="I257" s="14"/>
      <c r="J257" s="14"/>
      <c r="K257" s="12"/>
    </row>
    <row r="258" ht="19.5" customHeight="1">
      <c r="A258" s="12"/>
      <c r="C258" s="12"/>
      <c r="D258" s="13"/>
      <c r="F258" s="14"/>
      <c r="G258" s="14"/>
      <c r="H258" s="14"/>
      <c r="I258" s="14"/>
      <c r="J258" s="14"/>
      <c r="K258" s="12"/>
    </row>
    <row r="259" ht="19.5" customHeight="1">
      <c r="A259" s="12"/>
      <c r="C259" s="12"/>
      <c r="D259" s="13"/>
      <c r="F259" s="14"/>
      <c r="G259" s="14"/>
      <c r="H259" s="14"/>
      <c r="I259" s="14"/>
      <c r="J259" s="14"/>
      <c r="K259" s="12"/>
    </row>
    <row r="260" ht="19.5" customHeight="1">
      <c r="A260" s="12"/>
      <c r="C260" s="12"/>
      <c r="D260" s="13"/>
      <c r="F260" s="14"/>
      <c r="G260" s="14"/>
      <c r="H260" s="14"/>
      <c r="I260" s="14"/>
      <c r="J260" s="14"/>
      <c r="K260" s="12"/>
    </row>
    <row r="261" ht="19.5" customHeight="1">
      <c r="A261" s="12"/>
      <c r="C261" s="12"/>
      <c r="D261" s="13"/>
      <c r="F261" s="14"/>
      <c r="G261" s="14"/>
      <c r="H261" s="14"/>
      <c r="I261" s="14"/>
      <c r="J261" s="14"/>
      <c r="K261" s="12"/>
    </row>
    <row r="262" ht="19.5" customHeight="1">
      <c r="A262" s="12"/>
      <c r="C262" s="12"/>
      <c r="D262" s="13"/>
      <c r="F262" s="14"/>
      <c r="G262" s="14"/>
      <c r="H262" s="14"/>
      <c r="I262" s="14"/>
      <c r="J262" s="14"/>
      <c r="K262" s="12"/>
    </row>
    <row r="263" ht="19.5" customHeight="1">
      <c r="A263" s="12"/>
      <c r="C263" s="12"/>
      <c r="D263" s="13"/>
      <c r="F263" s="14"/>
      <c r="G263" s="14"/>
      <c r="H263" s="14"/>
      <c r="I263" s="14"/>
      <c r="J263" s="14"/>
      <c r="K263" s="12"/>
    </row>
    <row r="264" ht="19.5" customHeight="1">
      <c r="A264" s="12"/>
      <c r="C264" s="12"/>
      <c r="D264" s="13"/>
      <c r="F264" s="14"/>
      <c r="G264" s="14"/>
      <c r="H264" s="14"/>
      <c r="I264" s="14"/>
      <c r="J264" s="14"/>
      <c r="K264" s="12"/>
    </row>
    <row r="265" ht="19.5" customHeight="1">
      <c r="A265" s="12"/>
      <c r="C265" s="12"/>
      <c r="D265" s="13"/>
      <c r="F265" s="14"/>
      <c r="G265" s="14"/>
      <c r="H265" s="14"/>
      <c r="I265" s="14"/>
      <c r="J265" s="14"/>
      <c r="K265" s="12"/>
    </row>
    <row r="266" ht="19.5" customHeight="1">
      <c r="A266" s="12"/>
      <c r="C266" s="12"/>
      <c r="D266" s="13"/>
      <c r="F266" s="14"/>
      <c r="G266" s="14"/>
      <c r="H266" s="14"/>
      <c r="I266" s="14"/>
      <c r="J266" s="14"/>
      <c r="K266" s="12"/>
    </row>
    <row r="267" ht="19.5" customHeight="1">
      <c r="A267" s="12"/>
      <c r="C267" s="12"/>
      <c r="D267" s="13"/>
      <c r="F267" s="14"/>
      <c r="G267" s="14"/>
      <c r="H267" s="14"/>
      <c r="I267" s="14"/>
      <c r="J267" s="14"/>
      <c r="K267" s="12"/>
    </row>
    <row r="268" ht="19.5" customHeight="1">
      <c r="A268" s="12"/>
      <c r="C268" s="12"/>
      <c r="D268" s="13"/>
      <c r="F268" s="14"/>
      <c r="G268" s="14"/>
      <c r="H268" s="14"/>
      <c r="I268" s="14"/>
      <c r="J268" s="14"/>
      <c r="K268" s="12"/>
    </row>
    <row r="269" ht="19.5" customHeight="1">
      <c r="A269" s="12"/>
      <c r="C269" s="12"/>
      <c r="D269" s="13"/>
      <c r="F269" s="14"/>
      <c r="G269" s="14"/>
      <c r="H269" s="14"/>
      <c r="I269" s="14"/>
      <c r="J269" s="14"/>
      <c r="K269" s="12"/>
    </row>
    <row r="270" ht="19.5" customHeight="1">
      <c r="A270" s="12"/>
      <c r="C270" s="12"/>
      <c r="D270" s="13"/>
      <c r="F270" s="14"/>
      <c r="G270" s="14"/>
      <c r="H270" s="14"/>
      <c r="I270" s="14"/>
      <c r="J270" s="14"/>
      <c r="K270" s="12"/>
    </row>
    <row r="271" ht="19.5" customHeight="1">
      <c r="A271" s="12"/>
      <c r="C271" s="12"/>
      <c r="D271" s="13"/>
      <c r="F271" s="14"/>
      <c r="G271" s="14"/>
      <c r="H271" s="14"/>
      <c r="I271" s="14"/>
      <c r="J271" s="14"/>
      <c r="K271" s="12"/>
    </row>
    <row r="272" ht="19.5" customHeight="1">
      <c r="A272" s="12"/>
      <c r="C272" s="12"/>
      <c r="D272" s="13"/>
      <c r="F272" s="14"/>
      <c r="G272" s="14"/>
      <c r="H272" s="14"/>
      <c r="I272" s="14"/>
      <c r="J272" s="14"/>
      <c r="K272" s="12"/>
    </row>
    <row r="273" ht="19.5" customHeight="1">
      <c r="A273" s="12"/>
      <c r="C273" s="12"/>
      <c r="D273" s="13"/>
      <c r="F273" s="14"/>
      <c r="G273" s="14"/>
      <c r="H273" s="14"/>
      <c r="I273" s="14"/>
      <c r="J273" s="14"/>
      <c r="K273" s="12"/>
    </row>
    <row r="274" ht="19.5" customHeight="1">
      <c r="A274" s="12"/>
      <c r="C274" s="12"/>
      <c r="D274" s="13"/>
      <c r="F274" s="14"/>
      <c r="G274" s="14"/>
      <c r="H274" s="14"/>
      <c r="I274" s="14"/>
      <c r="J274" s="14"/>
      <c r="K274" s="12"/>
    </row>
    <row r="275" ht="19.5" customHeight="1">
      <c r="A275" s="12"/>
      <c r="C275" s="12"/>
      <c r="D275" s="13"/>
      <c r="F275" s="14"/>
      <c r="G275" s="14"/>
      <c r="H275" s="14"/>
      <c r="I275" s="14"/>
      <c r="J275" s="14"/>
      <c r="K275" s="12"/>
    </row>
    <row r="276" ht="19.5" customHeight="1">
      <c r="A276" s="12"/>
      <c r="C276" s="12"/>
      <c r="D276" s="13"/>
      <c r="F276" s="14"/>
      <c r="G276" s="14"/>
      <c r="H276" s="14"/>
      <c r="I276" s="14"/>
      <c r="J276" s="14"/>
      <c r="K276" s="12"/>
    </row>
    <row r="277" ht="19.5" customHeight="1">
      <c r="A277" s="12"/>
      <c r="C277" s="12"/>
      <c r="D277" s="13"/>
      <c r="F277" s="14"/>
      <c r="G277" s="14"/>
      <c r="H277" s="14"/>
      <c r="I277" s="14"/>
      <c r="J277" s="14"/>
      <c r="K277" s="12"/>
    </row>
    <row r="278" ht="19.5" customHeight="1">
      <c r="A278" s="12"/>
      <c r="C278" s="12"/>
      <c r="D278" s="13"/>
      <c r="F278" s="14"/>
      <c r="G278" s="14"/>
      <c r="H278" s="14"/>
      <c r="I278" s="14"/>
      <c r="J278" s="14"/>
      <c r="K278" s="12"/>
    </row>
    <row r="279" ht="19.5" customHeight="1">
      <c r="A279" s="12"/>
      <c r="C279" s="12"/>
      <c r="D279" s="13"/>
      <c r="F279" s="14"/>
      <c r="G279" s="14"/>
      <c r="H279" s="14"/>
      <c r="I279" s="14"/>
      <c r="J279" s="14"/>
      <c r="K279" s="12"/>
    </row>
    <row r="280" ht="19.5" customHeight="1">
      <c r="A280" s="12"/>
      <c r="C280" s="12"/>
      <c r="D280" s="13"/>
      <c r="F280" s="14"/>
      <c r="G280" s="14"/>
      <c r="H280" s="14"/>
      <c r="I280" s="14"/>
      <c r="J280" s="14"/>
      <c r="K280" s="12"/>
    </row>
    <row r="281" ht="19.5" customHeight="1">
      <c r="A281" s="12"/>
      <c r="C281" s="12"/>
      <c r="D281" s="13"/>
      <c r="F281" s="14"/>
      <c r="G281" s="14"/>
      <c r="H281" s="14"/>
      <c r="I281" s="14"/>
      <c r="J281" s="14"/>
      <c r="K281" s="12"/>
    </row>
    <row r="282" ht="19.5" customHeight="1">
      <c r="A282" s="12"/>
      <c r="C282" s="12"/>
      <c r="D282" s="13"/>
      <c r="F282" s="14"/>
      <c r="G282" s="14"/>
      <c r="H282" s="14"/>
      <c r="I282" s="14"/>
      <c r="J282" s="14"/>
      <c r="K282" s="12"/>
    </row>
    <row r="283" ht="19.5" customHeight="1">
      <c r="A283" s="12"/>
      <c r="C283" s="12"/>
      <c r="D283" s="13"/>
      <c r="F283" s="14"/>
      <c r="G283" s="14"/>
      <c r="H283" s="14"/>
      <c r="I283" s="14"/>
      <c r="J283" s="14"/>
      <c r="K283" s="12"/>
    </row>
    <row r="284" ht="19.5" customHeight="1">
      <c r="A284" s="12"/>
      <c r="C284" s="12"/>
      <c r="D284" s="13"/>
      <c r="F284" s="14"/>
      <c r="G284" s="14"/>
      <c r="H284" s="14"/>
      <c r="I284" s="14"/>
      <c r="J284" s="14"/>
      <c r="K284" s="12"/>
    </row>
    <row r="285" ht="19.5" customHeight="1">
      <c r="A285" s="12"/>
      <c r="C285" s="12"/>
      <c r="D285" s="13"/>
      <c r="F285" s="14"/>
      <c r="G285" s="14"/>
      <c r="H285" s="14"/>
      <c r="I285" s="14"/>
      <c r="J285" s="14"/>
      <c r="K285" s="12"/>
    </row>
    <row r="286" ht="19.5" customHeight="1">
      <c r="A286" s="12"/>
      <c r="C286" s="12"/>
      <c r="D286" s="13"/>
      <c r="F286" s="14"/>
      <c r="G286" s="14"/>
      <c r="H286" s="14"/>
      <c r="I286" s="14"/>
      <c r="J286" s="14"/>
      <c r="K286" s="12"/>
    </row>
    <row r="287" ht="19.5" customHeight="1">
      <c r="A287" s="12"/>
      <c r="C287" s="12"/>
      <c r="D287" s="13"/>
      <c r="F287" s="14"/>
      <c r="G287" s="14"/>
      <c r="H287" s="14"/>
      <c r="I287" s="14"/>
      <c r="J287" s="14"/>
      <c r="K287" s="12"/>
    </row>
    <row r="288" ht="19.5" customHeight="1">
      <c r="A288" s="12"/>
      <c r="C288" s="12"/>
      <c r="D288" s="13"/>
      <c r="F288" s="14"/>
      <c r="G288" s="14"/>
      <c r="H288" s="14"/>
      <c r="I288" s="14"/>
      <c r="J288" s="14"/>
      <c r="K288" s="12"/>
    </row>
    <row r="289" ht="19.5" customHeight="1">
      <c r="A289" s="12"/>
      <c r="C289" s="12"/>
      <c r="D289" s="13"/>
      <c r="F289" s="14"/>
      <c r="G289" s="14"/>
      <c r="H289" s="14"/>
      <c r="I289" s="14"/>
      <c r="J289" s="14"/>
      <c r="K289" s="12"/>
    </row>
    <row r="290" ht="19.5" customHeight="1">
      <c r="A290" s="12"/>
      <c r="C290" s="12"/>
      <c r="D290" s="13"/>
      <c r="F290" s="14"/>
      <c r="G290" s="14"/>
      <c r="H290" s="14"/>
      <c r="I290" s="14"/>
      <c r="J290" s="14"/>
      <c r="K290" s="12"/>
    </row>
    <row r="291" ht="19.5" customHeight="1">
      <c r="A291" s="12"/>
      <c r="C291" s="12"/>
      <c r="D291" s="13"/>
      <c r="F291" s="14"/>
      <c r="G291" s="14"/>
      <c r="H291" s="14"/>
      <c r="I291" s="14"/>
      <c r="J291" s="14"/>
      <c r="K291" s="12"/>
    </row>
    <row r="292" ht="19.5" customHeight="1">
      <c r="A292" s="12"/>
      <c r="C292" s="12"/>
      <c r="D292" s="13"/>
      <c r="F292" s="14"/>
      <c r="G292" s="14"/>
      <c r="H292" s="14"/>
      <c r="I292" s="14"/>
      <c r="J292" s="14"/>
      <c r="K292" s="12"/>
    </row>
    <row r="293" ht="19.5" customHeight="1">
      <c r="A293" s="12"/>
      <c r="C293" s="12"/>
      <c r="D293" s="13"/>
      <c r="F293" s="14"/>
      <c r="G293" s="14"/>
      <c r="H293" s="14"/>
      <c r="I293" s="14"/>
      <c r="J293" s="14"/>
      <c r="K293" s="12"/>
    </row>
    <row r="294" ht="19.5" customHeight="1">
      <c r="A294" s="12"/>
      <c r="C294" s="12"/>
      <c r="D294" s="13"/>
      <c r="F294" s="14"/>
      <c r="G294" s="14"/>
      <c r="H294" s="14"/>
      <c r="I294" s="14"/>
      <c r="J294" s="14"/>
      <c r="K294" s="12"/>
    </row>
    <row r="295" ht="19.5" customHeight="1">
      <c r="A295" s="12"/>
      <c r="C295" s="12"/>
      <c r="D295" s="13"/>
      <c r="F295" s="14"/>
      <c r="G295" s="14"/>
      <c r="H295" s="14"/>
      <c r="I295" s="14"/>
      <c r="J295" s="14"/>
      <c r="K295" s="12"/>
    </row>
    <row r="296" ht="19.5" customHeight="1">
      <c r="A296" s="12"/>
      <c r="C296" s="12"/>
      <c r="D296" s="13"/>
      <c r="F296" s="14"/>
      <c r="G296" s="14"/>
      <c r="H296" s="14"/>
      <c r="I296" s="14"/>
      <c r="J296" s="14"/>
      <c r="K296" s="12"/>
    </row>
    <row r="297" ht="19.5" customHeight="1">
      <c r="A297" s="12"/>
      <c r="C297" s="12"/>
      <c r="D297" s="13"/>
      <c r="F297" s="14"/>
      <c r="G297" s="14"/>
      <c r="H297" s="14"/>
      <c r="I297" s="14"/>
      <c r="J297" s="14"/>
      <c r="K297" s="12"/>
    </row>
    <row r="298" ht="19.5" customHeight="1">
      <c r="A298" s="12"/>
      <c r="C298" s="12"/>
      <c r="D298" s="13"/>
      <c r="F298" s="14"/>
      <c r="G298" s="14"/>
      <c r="H298" s="14"/>
      <c r="I298" s="14"/>
      <c r="J298" s="14"/>
      <c r="K298" s="12"/>
    </row>
    <row r="299" ht="19.5" customHeight="1">
      <c r="A299" s="12"/>
      <c r="C299" s="12"/>
      <c r="D299" s="13"/>
      <c r="F299" s="14"/>
      <c r="G299" s="14"/>
      <c r="H299" s="14"/>
      <c r="I299" s="14"/>
      <c r="J299" s="14"/>
      <c r="K299" s="12"/>
    </row>
    <row r="300" ht="19.5" customHeight="1">
      <c r="A300" s="12"/>
      <c r="C300" s="12"/>
      <c r="D300" s="13"/>
      <c r="F300" s="14"/>
      <c r="G300" s="14"/>
      <c r="H300" s="14"/>
      <c r="I300" s="14"/>
      <c r="J300" s="14"/>
      <c r="K300" s="12"/>
    </row>
    <row r="301" ht="19.5" customHeight="1">
      <c r="A301" s="12"/>
      <c r="C301" s="12"/>
      <c r="D301" s="13"/>
      <c r="F301" s="14"/>
      <c r="G301" s="14"/>
      <c r="H301" s="14"/>
      <c r="I301" s="14"/>
      <c r="J301" s="14"/>
      <c r="K301" s="12"/>
    </row>
    <row r="302" ht="19.5" customHeight="1">
      <c r="A302" s="12"/>
      <c r="C302" s="12"/>
      <c r="D302" s="13"/>
      <c r="F302" s="14"/>
      <c r="G302" s="14"/>
      <c r="H302" s="14"/>
      <c r="I302" s="14"/>
      <c r="J302" s="14"/>
      <c r="K302" s="12"/>
    </row>
    <row r="303" ht="19.5" customHeight="1">
      <c r="A303" s="12"/>
      <c r="C303" s="12"/>
      <c r="D303" s="13"/>
      <c r="F303" s="14"/>
      <c r="G303" s="14"/>
      <c r="H303" s="14"/>
      <c r="I303" s="14"/>
      <c r="J303" s="14"/>
      <c r="K303" s="12"/>
    </row>
    <row r="304" ht="19.5" customHeight="1">
      <c r="A304" s="12"/>
      <c r="C304" s="12"/>
      <c r="D304" s="13"/>
      <c r="F304" s="14"/>
      <c r="G304" s="14"/>
      <c r="H304" s="14"/>
      <c r="I304" s="14"/>
      <c r="J304" s="14"/>
      <c r="K304" s="12"/>
    </row>
    <row r="305" ht="19.5" customHeight="1">
      <c r="A305" s="12"/>
      <c r="C305" s="12"/>
      <c r="D305" s="13"/>
      <c r="F305" s="14"/>
      <c r="G305" s="14"/>
      <c r="H305" s="14"/>
      <c r="I305" s="14"/>
      <c r="J305" s="14"/>
      <c r="K305" s="12"/>
    </row>
    <row r="306" ht="19.5" customHeight="1">
      <c r="A306" s="12"/>
      <c r="C306" s="12"/>
      <c r="D306" s="13"/>
      <c r="F306" s="14"/>
      <c r="G306" s="14"/>
      <c r="H306" s="14"/>
      <c r="I306" s="14"/>
      <c r="J306" s="14"/>
      <c r="K306" s="12"/>
    </row>
    <row r="307" ht="19.5" customHeight="1">
      <c r="A307" s="12"/>
      <c r="C307" s="12"/>
      <c r="D307" s="13"/>
      <c r="F307" s="14"/>
      <c r="G307" s="14"/>
      <c r="H307" s="14"/>
      <c r="I307" s="14"/>
      <c r="J307" s="14"/>
      <c r="K307" s="12"/>
    </row>
    <row r="308" ht="19.5" customHeight="1">
      <c r="A308" s="12"/>
      <c r="C308" s="12"/>
      <c r="D308" s="13"/>
      <c r="F308" s="14"/>
      <c r="G308" s="14"/>
      <c r="H308" s="14"/>
      <c r="I308" s="14"/>
      <c r="J308" s="14"/>
      <c r="K308" s="12"/>
    </row>
    <row r="309" ht="19.5" customHeight="1">
      <c r="A309" s="12"/>
      <c r="C309" s="12"/>
      <c r="D309" s="13"/>
      <c r="F309" s="14"/>
      <c r="G309" s="14"/>
      <c r="H309" s="14"/>
      <c r="I309" s="14"/>
      <c r="J309" s="14"/>
      <c r="K309" s="12"/>
    </row>
    <row r="310" ht="19.5" customHeight="1">
      <c r="A310" s="12"/>
      <c r="C310" s="12"/>
      <c r="D310" s="13"/>
      <c r="F310" s="14"/>
      <c r="G310" s="14"/>
      <c r="H310" s="14"/>
      <c r="I310" s="14"/>
      <c r="J310" s="14"/>
      <c r="K310" s="12"/>
    </row>
    <row r="311" ht="19.5" customHeight="1">
      <c r="A311" s="12"/>
      <c r="C311" s="12"/>
      <c r="D311" s="13"/>
      <c r="F311" s="14"/>
      <c r="G311" s="14"/>
      <c r="H311" s="14"/>
      <c r="I311" s="14"/>
      <c r="J311" s="14"/>
      <c r="K311" s="12"/>
    </row>
    <row r="312" ht="19.5" customHeight="1">
      <c r="A312" s="12"/>
      <c r="C312" s="12"/>
      <c r="D312" s="13"/>
      <c r="F312" s="14"/>
      <c r="G312" s="14"/>
      <c r="H312" s="14"/>
      <c r="I312" s="14"/>
      <c r="J312" s="14"/>
      <c r="K312" s="12"/>
    </row>
    <row r="313" ht="19.5" customHeight="1">
      <c r="A313" s="12"/>
      <c r="C313" s="12"/>
      <c r="D313" s="13"/>
      <c r="F313" s="14"/>
      <c r="G313" s="14"/>
      <c r="H313" s="14"/>
      <c r="I313" s="14"/>
      <c r="J313" s="14"/>
      <c r="K313" s="12"/>
    </row>
    <row r="314" ht="19.5" customHeight="1">
      <c r="A314" s="12"/>
      <c r="C314" s="12"/>
      <c r="D314" s="13"/>
      <c r="F314" s="14"/>
      <c r="G314" s="14"/>
      <c r="H314" s="14"/>
      <c r="I314" s="14"/>
      <c r="J314" s="14"/>
      <c r="K314" s="12"/>
    </row>
    <row r="315" ht="19.5" customHeight="1">
      <c r="A315" s="12"/>
      <c r="C315" s="12"/>
      <c r="D315" s="13"/>
      <c r="F315" s="14"/>
      <c r="G315" s="14"/>
      <c r="H315" s="14"/>
      <c r="I315" s="14"/>
      <c r="J315" s="14"/>
      <c r="K315" s="12"/>
    </row>
    <row r="316" ht="19.5" customHeight="1">
      <c r="A316" s="12"/>
      <c r="C316" s="12"/>
      <c r="D316" s="13"/>
      <c r="F316" s="14"/>
      <c r="G316" s="14"/>
      <c r="H316" s="14"/>
      <c r="I316" s="14"/>
      <c r="J316" s="14"/>
      <c r="K316" s="12"/>
    </row>
    <row r="317" ht="19.5" customHeight="1">
      <c r="A317" s="12"/>
      <c r="C317" s="12"/>
      <c r="D317" s="13"/>
      <c r="F317" s="14"/>
      <c r="G317" s="14"/>
      <c r="H317" s="14"/>
      <c r="I317" s="14"/>
      <c r="J317" s="14"/>
      <c r="K317" s="12"/>
    </row>
    <row r="318" ht="19.5" customHeight="1">
      <c r="A318" s="12"/>
      <c r="C318" s="12"/>
      <c r="D318" s="13"/>
      <c r="F318" s="14"/>
      <c r="G318" s="14"/>
      <c r="H318" s="14"/>
      <c r="I318" s="14"/>
      <c r="J318" s="14"/>
      <c r="K318" s="12"/>
    </row>
    <row r="319" ht="19.5" customHeight="1">
      <c r="A319" s="12"/>
      <c r="C319" s="12"/>
      <c r="D319" s="13"/>
      <c r="F319" s="14"/>
      <c r="G319" s="14"/>
      <c r="H319" s="14"/>
      <c r="I319" s="14"/>
      <c r="J319" s="14"/>
      <c r="K319" s="12"/>
    </row>
    <row r="320" ht="19.5" customHeight="1">
      <c r="A320" s="12"/>
      <c r="C320" s="12"/>
      <c r="D320" s="13"/>
      <c r="F320" s="14"/>
      <c r="G320" s="14"/>
      <c r="H320" s="14"/>
      <c r="I320" s="14"/>
      <c r="J320" s="14"/>
      <c r="K320" s="12"/>
    </row>
    <row r="321" ht="19.5" customHeight="1">
      <c r="A321" s="12"/>
      <c r="C321" s="12"/>
      <c r="D321" s="13"/>
      <c r="F321" s="14"/>
      <c r="G321" s="14"/>
      <c r="H321" s="14"/>
      <c r="I321" s="14"/>
      <c r="J321" s="14"/>
      <c r="K321" s="12"/>
    </row>
    <row r="322" ht="19.5" customHeight="1">
      <c r="A322" s="12"/>
      <c r="C322" s="12"/>
      <c r="D322" s="13"/>
      <c r="F322" s="14"/>
      <c r="G322" s="14"/>
      <c r="H322" s="14"/>
      <c r="I322" s="14"/>
      <c r="J322" s="14"/>
      <c r="K322" s="12"/>
    </row>
    <row r="323" ht="19.5" customHeight="1">
      <c r="A323" s="12"/>
      <c r="C323" s="12"/>
      <c r="D323" s="13"/>
      <c r="F323" s="14"/>
      <c r="G323" s="14"/>
      <c r="H323" s="14"/>
      <c r="I323" s="14"/>
      <c r="J323" s="14"/>
      <c r="K323" s="12"/>
    </row>
    <row r="324" ht="19.5" customHeight="1">
      <c r="A324" s="12"/>
      <c r="C324" s="12"/>
      <c r="D324" s="13"/>
      <c r="F324" s="14"/>
      <c r="G324" s="14"/>
      <c r="H324" s="14"/>
      <c r="I324" s="14"/>
      <c r="J324" s="14"/>
      <c r="K324" s="12"/>
    </row>
    <row r="325" ht="19.5" customHeight="1">
      <c r="A325" s="12"/>
      <c r="C325" s="12"/>
      <c r="D325" s="13"/>
      <c r="F325" s="14"/>
      <c r="G325" s="14"/>
      <c r="H325" s="14"/>
      <c r="I325" s="14"/>
      <c r="J325" s="14"/>
      <c r="K325" s="12"/>
    </row>
    <row r="326" ht="19.5" customHeight="1">
      <c r="A326" s="12"/>
      <c r="C326" s="12"/>
      <c r="D326" s="13"/>
      <c r="F326" s="14"/>
      <c r="G326" s="14"/>
      <c r="H326" s="14"/>
      <c r="I326" s="14"/>
      <c r="J326" s="14"/>
      <c r="K326" s="12"/>
    </row>
    <row r="327" ht="19.5" customHeight="1">
      <c r="A327" s="12"/>
      <c r="C327" s="12"/>
      <c r="D327" s="13"/>
      <c r="F327" s="14"/>
      <c r="G327" s="14"/>
      <c r="H327" s="14"/>
      <c r="I327" s="14"/>
      <c r="J327" s="14"/>
      <c r="K327" s="12"/>
    </row>
    <row r="328" ht="19.5" customHeight="1">
      <c r="A328" s="12"/>
      <c r="C328" s="12"/>
      <c r="D328" s="13"/>
      <c r="F328" s="14"/>
      <c r="G328" s="14"/>
      <c r="H328" s="14"/>
      <c r="I328" s="14"/>
      <c r="J328" s="14"/>
      <c r="K328" s="12"/>
    </row>
    <row r="329" ht="19.5" customHeight="1">
      <c r="A329" s="12"/>
      <c r="C329" s="12"/>
      <c r="D329" s="13"/>
      <c r="F329" s="14"/>
      <c r="G329" s="14"/>
      <c r="H329" s="14"/>
      <c r="I329" s="14"/>
      <c r="J329" s="14"/>
      <c r="K329" s="12"/>
    </row>
    <row r="330" ht="19.5" customHeight="1">
      <c r="A330" s="12"/>
      <c r="C330" s="12"/>
      <c r="D330" s="13"/>
      <c r="F330" s="14"/>
      <c r="G330" s="14"/>
      <c r="H330" s="14"/>
      <c r="I330" s="14"/>
      <c r="J330" s="14"/>
      <c r="K330" s="12"/>
    </row>
    <row r="331" ht="19.5" customHeight="1">
      <c r="A331" s="12"/>
      <c r="C331" s="12"/>
      <c r="D331" s="13"/>
      <c r="F331" s="14"/>
      <c r="G331" s="14"/>
      <c r="H331" s="14"/>
      <c r="I331" s="14"/>
      <c r="J331" s="14"/>
      <c r="K331" s="12"/>
    </row>
    <row r="332" ht="19.5" customHeight="1">
      <c r="A332" s="12"/>
      <c r="C332" s="12"/>
      <c r="D332" s="13"/>
      <c r="F332" s="14"/>
      <c r="G332" s="14"/>
      <c r="H332" s="14"/>
      <c r="I332" s="14"/>
      <c r="J332" s="14"/>
      <c r="K332" s="12"/>
    </row>
    <row r="333" ht="19.5" customHeight="1">
      <c r="A333" s="12"/>
      <c r="C333" s="12"/>
      <c r="D333" s="13"/>
      <c r="F333" s="14"/>
      <c r="G333" s="14"/>
      <c r="H333" s="14"/>
      <c r="I333" s="14"/>
      <c r="J333" s="14"/>
      <c r="K333" s="12"/>
    </row>
    <row r="334" ht="19.5" customHeight="1">
      <c r="A334" s="12"/>
      <c r="C334" s="12"/>
      <c r="D334" s="13"/>
      <c r="F334" s="14"/>
      <c r="G334" s="14"/>
      <c r="H334" s="14"/>
      <c r="I334" s="14"/>
      <c r="J334" s="14"/>
      <c r="K334" s="12"/>
    </row>
    <row r="335" ht="19.5" customHeight="1">
      <c r="A335" s="12"/>
      <c r="C335" s="12"/>
      <c r="D335" s="13"/>
      <c r="F335" s="14"/>
      <c r="G335" s="14"/>
      <c r="H335" s="14"/>
      <c r="I335" s="14"/>
      <c r="J335" s="14"/>
      <c r="K335" s="12"/>
    </row>
    <row r="336" ht="19.5" customHeight="1">
      <c r="A336" s="12"/>
      <c r="C336" s="12"/>
      <c r="D336" s="13"/>
      <c r="F336" s="14"/>
      <c r="G336" s="14"/>
      <c r="H336" s="14"/>
      <c r="I336" s="14"/>
      <c r="J336" s="14"/>
      <c r="K336" s="12"/>
    </row>
    <row r="337" ht="19.5" customHeight="1">
      <c r="A337" s="12"/>
      <c r="C337" s="12"/>
      <c r="D337" s="13"/>
      <c r="F337" s="14"/>
      <c r="G337" s="14"/>
      <c r="H337" s="14"/>
      <c r="I337" s="14"/>
      <c r="J337" s="14"/>
      <c r="K337" s="12"/>
    </row>
    <row r="338" ht="19.5" customHeight="1">
      <c r="A338" s="12"/>
      <c r="C338" s="12"/>
      <c r="D338" s="13"/>
      <c r="F338" s="14"/>
      <c r="G338" s="14"/>
      <c r="H338" s="14"/>
      <c r="I338" s="14"/>
      <c r="J338" s="14"/>
      <c r="K338" s="12"/>
    </row>
    <row r="339" ht="19.5" customHeight="1">
      <c r="A339" s="12"/>
      <c r="C339" s="12"/>
      <c r="D339" s="13"/>
      <c r="F339" s="14"/>
      <c r="G339" s="14"/>
      <c r="H339" s="14"/>
      <c r="I339" s="14"/>
      <c r="J339" s="14"/>
      <c r="K339" s="12"/>
    </row>
    <row r="340" ht="19.5" customHeight="1">
      <c r="A340" s="12"/>
      <c r="C340" s="12"/>
      <c r="D340" s="13"/>
      <c r="F340" s="14"/>
      <c r="G340" s="14"/>
      <c r="H340" s="14"/>
      <c r="I340" s="14"/>
      <c r="J340" s="14"/>
      <c r="K340" s="12"/>
    </row>
    <row r="341" ht="19.5" customHeight="1">
      <c r="A341" s="12"/>
      <c r="C341" s="12"/>
      <c r="D341" s="13"/>
      <c r="F341" s="14"/>
      <c r="G341" s="14"/>
      <c r="H341" s="14"/>
      <c r="I341" s="14"/>
      <c r="J341" s="14"/>
      <c r="K341" s="12"/>
    </row>
    <row r="342" ht="19.5" customHeight="1">
      <c r="A342" s="12"/>
      <c r="C342" s="12"/>
      <c r="D342" s="13"/>
      <c r="F342" s="14"/>
      <c r="G342" s="14"/>
      <c r="H342" s="14"/>
      <c r="I342" s="14"/>
      <c r="J342" s="14"/>
      <c r="K342" s="12"/>
    </row>
    <row r="343" ht="19.5" customHeight="1">
      <c r="A343" s="12"/>
      <c r="C343" s="12"/>
      <c r="D343" s="13"/>
      <c r="F343" s="14"/>
      <c r="G343" s="14"/>
      <c r="H343" s="14"/>
      <c r="I343" s="14"/>
      <c r="J343" s="14"/>
      <c r="K343" s="12"/>
    </row>
    <row r="344" ht="19.5" customHeight="1">
      <c r="A344" s="12"/>
      <c r="C344" s="12"/>
      <c r="D344" s="13"/>
      <c r="F344" s="14"/>
      <c r="G344" s="14"/>
      <c r="H344" s="14"/>
      <c r="I344" s="14"/>
      <c r="J344" s="14"/>
      <c r="K344" s="12"/>
    </row>
    <row r="345" ht="19.5" customHeight="1">
      <c r="A345" s="12"/>
      <c r="C345" s="12"/>
      <c r="D345" s="13"/>
      <c r="F345" s="14"/>
      <c r="G345" s="14"/>
      <c r="H345" s="14"/>
      <c r="I345" s="14"/>
      <c r="J345" s="14"/>
      <c r="K345" s="12"/>
    </row>
    <row r="346" ht="19.5" customHeight="1">
      <c r="A346" s="12"/>
      <c r="C346" s="12"/>
      <c r="D346" s="13"/>
      <c r="F346" s="14"/>
      <c r="G346" s="14"/>
      <c r="H346" s="14"/>
      <c r="I346" s="14"/>
      <c r="J346" s="14"/>
      <c r="K346" s="12"/>
    </row>
    <row r="347" ht="19.5" customHeight="1">
      <c r="A347" s="12"/>
      <c r="C347" s="12"/>
      <c r="D347" s="13"/>
      <c r="F347" s="14"/>
      <c r="G347" s="14"/>
      <c r="H347" s="14"/>
      <c r="I347" s="14"/>
      <c r="J347" s="14"/>
      <c r="K347" s="12"/>
    </row>
    <row r="348" ht="19.5" customHeight="1">
      <c r="A348" s="12"/>
      <c r="C348" s="12"/>
      <c r="D348" s="13"/>
      <c r="F348" s="14"/>
      <c r="G348" s="14"/>
      <c r="H348" s="14"/>
      <c r="I348" s="14"/>
      <c r="J348" s="14"/>
      <c r="K348" s="12"/>
    </row>
    <row r="349" ht="19.5" customHeight="1">
      <c r="A349" s="12"/>
      <c r="C349" s="12"/>
      <c r="D349" s="13"/>
      <c r="F349" s="14"/>
      <c r="G349" s="14"/>
      <c r="H349" s="14"/>
      <c r="I349" s="14"/>
      <c r="J349" s="14"/>
      <c r="K349" s="12"/>
    </row>
    <row r="350" ht="19.5" customHeight="1">
      <c r="A350" s="12"/>
      <c r="C350" s="12"/>
      <c r="D350" s="13"/>
      <c r="F350" s="14"/>
      <c r="G350" s="14"/>
      <c r="H350" s="14"/>
      <c r="I350" s="14"/>
      <c r="J350" s="14"/>
      <c r="K350" s="12"/>
    </row>
    <row r="351" ht="19.5" customHeight="1">
      <c r="A351" s="12"/>
      <c r="C351" s="12"/>
      <c r="D351" s="13"/>
      <c r="F351" s="14"/>
      <c r="G351" s="14"/>
      <c r="H351" s="14"/>
      <c r="I351" s="14"/>
      <c r="J351" s="14"/>
      <c r="K351" s="12"/>
    </row>
    <row r="352" ht="19.5" customHeight="1">
      <c r="A352" s="12"/>
      <c r="C352" s="12"/>
      <c r="D352" s="13"/>
      <c r="F352" s="14"/>
      <c r="G352" s="14"/>
      <c r="H352" s="14"/>
      <c r="I352" s="14"/>
      <c r="J352" s="14"/>
      <c r="K352" s="12"/>
    </row>
    <row r="353" ht="19.5" customHeight="1">
      <c r="A353" s="12"/>
      <c r="C353" s="12"/>
      <c r="D353" s="13"/>
      <c r="F353" s="14"/>
      <c r="G353" s="14"/>
      <c r="H353" s="14"/>
      <c r="I353" s="14"/>
      <c r="J353" s="14"/>
      <c r="K353" s="12"/>
    </row>
    <row r="354" ht="19.5" customHeight="1">
      <c r="A354" s="12"/>
      <c r="C354" s="12"/>
      <c r="D354" s="13"/>
      <c r="F354" s="14"/>
      <c r="G354" s="14"/>
      <c r="H354" s="14"/>
      <c r="I354" s="14"/>
      <c r="J354" s="14"/>
      <c r="K354" s="12"/>
    </row>
    <row r="355" ht="19.5" customHeight="1">
      <c r="A355" s="12"/>
      <c r="C355" s="12"/>
      <c r="D355" s="13"/>
      <c r="F355" s="14"/>
      <c r="G355" s="14"/>
      <c r="H355" s="14"/>
      <c r="I355" s="14"/>
      <c r="J355" s="14"/>
      <c r="K355" s="12"/>
    </row>
    <row r="356" ht="19.5" customHeight="1">
      <c r="A356" s="12"/>
      <c r="C356" s="12"/>
      <c r="D356" s="13"/>
      <c r="F356" s="14"/>
      <c r="G356" s="14"/>
      <c r="H356" s="14"/>
      <c r="I356" s="14"/>
      <c r="J356" s="14"/>
      <c r="K356" s="12"/>
    </row>
    <row r="357" ht="19.5" customHeight="1">
      <c r="A357" s="12"/>
      <c r="C357" s="12"/>
      <c r="D357" s="13"/>
      <c r="F357" s="14"/>
      <c r="G357" s="14"/>
      <c r="H357" s="14"/>
      <c r="I357" s="14"/>
      <c r="J357" s="14"/>
      <c r="K357" s="12"/>
    </row>
    <row r="358" ht="19.5" customHeight="1">
      <c r="A358" s="12"/>
      <c r="C358" s="12"/>
      <c r="D358" s="13"/>
      <c r="F358" s="14"/>
      <c r="G358" s="14"/>
      <c r="H358" s="14"/>
      <c r="I358" s="14"/>
      <c r="J358" s="14"/>
      <c r="K358" s="12"/>
    </row>
    <row r="359" ht="19.5" customHeight="1">
      <c r="A359" s="12"/>
      <c r="C359" s="12"/>
      <c r="D359" s="13"/>
      <c r="F359" s="14"/>
      <c r="G359" s="14"/>
      <c r="H359" s="14"/>
      <c r="I359" s="14"/>
      <c r="J359" s="14"/>
      <c r="K359" s="12"/>
    </row>
    <row r="360" ht="19.5" customHeight="1">
      <c r="A360" s="12"/>
      <c r="C360" s="12"/>
      <c r="D360" s="13"/>
      <c r="F360" s="14"/>
      <c r="G360" s="14"/>
      <c r="H360" s="14"/>
      <c r="I360" s="14"/>
      <c r="J360" s="14"/>
      <c r="K360" s="12"/>
    </row>
    <row r="361" ht="19.5" customHeight="1">
      <c r="A361" s="12"/>
      <c r="C361" s="12"/>
      <c r="D361" s="13"/>
      <c r="F361" s="14"/>
      <c r="G361" s="14"/>
      <c r="H361" s="14"/>
      <c r="I361" s="14"/>
      <c r="J361" s="14"/>
      <c r="K361" s="12"/>
    </row>
    <row r="362" ht="19.5" customHeight="1">
      <c r="A362" s="12"/>
      <c r="C362" s="12"/>
      <c r="D362" s="13"/>
      <c r="F362" s="14"/>
      <c r="G362" s="14"/>
      <c r="H362" s="14"/>
      <c r="I362" s="14"/>
      <c r="J362" s="14"/>
      <c r="K362" s="12"/>
    </row>
    <row r="363" ht="19.5" customHeight="1">
      <c r="A363" s="12"/>
      <c r="C363" s="12"/>
      <c r="D363" s="13"/>
      <c r="F363" s="14"/>
      <c r="G363" s="14"/>
      <c r="H363" s="14"/>
      <c r="I363" s="14"/>
      <c r="J363" s="14"/>
      <c r="K363" s="12"/>
    </row>
    <row r="364" ht="19.5" customHeight="1">
      <c r="A364" s="12"/>
      <c r="C364" s="12"/>
      <c r="D364" s="13"/>
      <c r="F364" s="14"/>
      <c r="G364" s="14"/>
      <c r="H364" s="14"/>
      <c r="I364" s="14"/>
      <c r="J364" s="14"/>
      <c r="K364" s="12"/>
    </row>
    <row r="365" ht="19.5" customHeight="1">
      <c r="A365" s="12"/>
      <c r="C365" s="12"/>
      <c r="D365" s="13"/>
      <c r="F365" s="14"/>
      <c r="G365" s="14"/>
      <c r="H365" s="14"/>
      <c r="I365" s="14"/>
      <c r="J365" s="14"/>
      <c r="K365" s="12"/>
    </row>
    <row r="366" ht="19.5" customHeight="1">
      <c r="A366" s="12"/>
      <c r="C366" s="12"/>
      <c r="D366" s="13"/>
      <c r="F366" s="14"/>
      <c r="G366" s="14"/>
      <c r="H366" s="14"/>
      <c r="I366" s="14"/>
      <c r="J366" s="14"/>
      <c r="K366" s="12"/>
    </row>
    <row r="367" ht="19.5" customHeight="1">
      <c r="A367" s="12"/>
      <c r="C367" s="12"/>
      <c r="D367" s="13"/>
      <c r="F367" s="14"/>
      <c r="G367" s="14"/>
      <c r="H367" s="14"/>
      <c r="I367" s="14"/>
      <c r="J367" s="14"/>
      <c r="K367" s="12"/>
    </row>
    <row r="368" ht="19.5" customHeight="1">
      <c r="A368" s="12"/>
      <c r="C368" s="12"/>
      <c r="D368" s="13"/>
      <c r="F368" s="14"/>
      <c r="G368" s="14"/>
      <c r="H368" s="14"/>
      <c r="I368" s="14"/>
      <c r="J368" s="14"/>
      <c r="K368" s="12"/>
    </row>
    <row r="369" ht="19.5" customHeight="1">
      <c r="A369" s="12"/>
      <c r="C369" s="12"/>
      <c r="D369" s="13"/>
      <c r="F369" s="14"/>
      <c r="G369" s="14"/>
      <c r="H369" s="14"/>
      <c r="I369" s="14"/>
      <c r="J369" s="14"/>
      <c r="K369" s="12"/>
    </row>
    <row r="370" ht="19.5" customHeight="1">
      <c r="A370" s="12"/>
      <c r="C370" s="12"/>
      <c r="D370" s="13"/>
      <c r="F370" s="14"/>
      <c r="G370" s="14"/>
      <c r="H370" s="14"/>
      <c r="I370" s="14"/>
      <c r="J370" s="14"/>
      <c r="K370" s="12"/>
    </row>
    <row r="371" ht="19.5" customHeight="1">
      <c r="A371" s="12"/>
      <c r="C371" s="12"/>
      <c r="D371" s="13"/>
      <c r="F371" s="14"/>
      <c r="G371" s="14"/>
      <c r="H371" s="14"/>
      <c r="I371" s="14"/>
      <c r="J371" s="14"/>
      <c r="K371" s="12"/>
    </row>
    <row r="372" ht="19.5" customHeight="1">
      <c r="A372" s="12"/>
      <c r="C372" s="12"/>
      <c r="D372" s="13"/>
      <c r="F372" s="14"/>
      <c r="G372" s="14"/>
      <c r="H372" s="14"/>
      <c r="I372" s="14"/>
      <c r="J372" s="14"/>
      <c r="K372" s="12"/>
    </row>
    <row r="373" ht="19.5" customHeight="1">
      <c r="A373" s="12"/>
      <c r="C373" s="12"/>
      <c r="D373" s="13"/>
      <c r="F373" s="14"/>
      <c r="G373" s="14"/>
      <c r="H373" s="14"/>
      <c r="I373" s="14"/>
      <c r="J373" s="14"/>
      <c r="K373" s="12"/>
    </row>
    <row r="374" ht="19.5" customHeight="1">
      <c r="A374" s="12"/>
      <c r="C374" s="12"/>
      <c r="D374" s="13"/>
      <c r="F374" s="14"/>
      <c r="G374" s="14"/>
      <c r="H374" s="14"/>
      <c r="I374" s="14"/>
      <c r="J374" s="14"/>
      <c r="K374" s="12"/>
    </row>
    <row r="375" ht="19.5" customHeight="1">
      <c r="A375" s="12"/>
      <c r="C375" s="12"/>
      <c r="D375" s="13"/>
      <c r="F375" s="14"/>
      <c r="G375" s="14"/>
      <c r="H375" s="14"/>
      <c r="I375" s="14"/>
      <c r="J375" s="14"/>
      <c r="K375" s="12"/>
    </row>
    <row r="376" ht="19.5" customHeight="1">
      <c r="A376" s="12"/>
      <c r="C376" s="12"/>
      <c r="D376" s="13"/>
      <c r="F376" s="14"/>
      <c r="G376" s="14"/>
      <c r="H376" s="14"/>
      <c r="I376" s="14"/>
      <c r="J376" s="14"/>
      <c r="K376" s="12"/>
    </row>
    <row r="377" ht="19.5" customHeight="1">
      <c r="A377" s="12"/>
      <c r="C377" s="12"/>
      <c r="D377" s="13"/>
      <c r="F377" s="14"/>
      <c r="G377" s="14"/>
      <c r="H377" s="14"/>
      <c r="I377" s="14"/>
      <c r="J377" s="14"/>
      <c r="K377" s="12"/>
    </row>
    <row r="378" ht="19.5" customHeight="1">
      <c r="A378" s="12"/>
      <c r="C378" s="12"/>
      <c r="D378" s="13"/>
      <c r="F378" s="14"/>
      <c r="G378" s="14"/>
      <c r="H378" s="14"/>
      <c r="I378" s="14"/>
      <c r="J378" s="14"/>
      <c r="K378" s="12"/>
    </row>
    <row r="379" ht="19.5" customHeight="1">
      <c r="A379" s="12"/>
      <c r="C379" s="12"/>
      <c r="D379" s="13"/>
      <c r="F379" s="14"/>
      <c r="G379" s="14"/>
      <c r="H379" s="14"/>
      <c r="I379" s="14"/>
      <c r="J379" s="14"/>
      <c r="K379" s="12"/>
    </row>
    <row r="380" ht="19.5" customHeight="1">
      <c r="A380" s="12"/>
      <c r="C380" s="12"/>
      <c r="D380" s="13"/>
      <c r="F380" s="14"/>
      <c r="G380" s="14"/>
      <c r="H380" s="14"/>
      <c r="I380" s="14"/>
      <c r="J380" s="14"/>
      <c r="K380" s="12"/>
    </row>
    <row r="381" ht="19.5" customHeight="1">
      <c r="A381" s="12"/>
      <c r="C381" s="12"/>
      <c r="D381" s="13"/>
      <c r="F381" s="14"/>
      <c r="G381" s="14"/>
      <c r="H381" s="14"/>
      <c r="I381" s="14"/>
      <c r="J381" s="14"/>
      <c r="K381" s="12"/>
    </row>
    <row r="382" ht="19.5" customHeight="1">
      <c r="A382" s="12"/>
      <c r="C382" s="12"/>
      <c r="D382" s="13"/>
      <c r="F382" s="14"/>
      <c r="G382" s="14"/>
      <c r="H382" s="14"/>
      <c r="I382" s="14"/>
      <c r="J382" s="14"/>
      <c r="K382" s="12"/>
    </row>
    <row r="383" ht="19.5" customHeight="1">
      <c r="A383" s="12"/>
      <c r="C383" s="12"/>
      <c r="D383" s="13"/>
      <c r="F383" s="14"/>
      <c r="G383" s="14"/>
      <c r="H383" s="14"/>
      <c r="I383" s="14"/>
      <c r="J383" s="14"/>
      <c r="K383" s="12"/>
    </row>
    <row r="384" ht="19.5" customHeight="1">
      <c r="A384" s="12"/>
      <c r="C384" s="12"/>
      <c r="D384" s="13"/>
      <c r="F384" s="14"/>
      <c r="G384" s="14"/>
      <c r="H384" s="14"/>
      <c r="I384" s="14"/>
      <c r="J384" s="14"/>
      <c r="K384" s="12"/>
    </row>
    <row r="385" ht="19.5" customHeight="1">
      <c r="A385" s="12"/>
      <c r="C385" s="12"/>
      <c r="D385" s="13"/>
      <c r="F385" s="14"/>
      <c r="G385" s="14"/>
      <c r="H385" s="14"/>
      <c r="I385" s="14"/>
      <c r="J385" s="14"/>
      <c r="K385" s="12"/>
    </row>
    <row r="386" ht="19.5" customHeight="1">
      <c r="A386" s="12"/>
      <c r="C386" s="12"/>
      <c r="D386" s="13"/>
      <c r="F386" s="14"/>
      <c r="G386" s="14"/>
      <c r="H386" s="14"/>
      <c r="I386" s="14"/>
      <c r="J386" s="14"/>
      <c r="K386" s="12"/>
    </row>
    <row r="387" ht="19.5" customHeight="1">
      <c r="A387" s="12"/>
      <c r="C387" s="12"/>
      <c r="D387" s="13"/>
      <c r="F387" s="14"/>
      <c r="G387" s="14"/>
      <c r="H387" s="14"/>
      <c r="I387" s="14"/>
      <c r="J387" s="14"/>
      <c r="K387" s="12"/>
    </row>
    <row r="388" ht="19.5" customHeight="1">
      <c r="A388" s="12"/>
      <c r="C388" s="12"/>
      <c r="D388" s="13"/>
      <c r="F388" s="14"/>
      <c r="G388" s="14"/>
      <c r="H388" s="14"/>
      <c r="I388" s="14"/>
      <c r="J388" s="14"/>
      <c r="K388" s="12"/>
    </row>
    <row r="389" ht="19.5" customHeight="1">
      <c r="A389" s="12"/>
      <c r="C389" s="12"/>
      <c r="D389" s="13"/>
      <c r="F389" s="14"/>
      <c r="G389" s="14"/>
      <c r="H389" s="14"/>
      <c r="I389" s="14"/>
      <c r="J389" s="14"/>
      <c r="K389" s="12"/>
    </row>
    <row r="390" ht="19.5" customHeight="1">
      <c r="A390" s="12"/>
      <c r="C390" s="12"/>
      <c r="D390" s="13"/>
      <c r="F390" s="14"/>
      <c r="G390" s="14"/>
      <c r="H390" s="14"/>
      <c r="I390" s="14"/>
      <c r="J390" s="14"/>
      <c r="K390" s="12"/>
    </row>
    <row r="391" ht="19.5" customHeight="1">
      <c r="A391" s="12"/>
      <c r="C391" s="12"/>
      <c r="D391" s="13"/>
      <c r="F391" s="14"/>
      <c r="G391" s="14"/>
      <c r="H391" s="14"/>
      <c r="I391" s="14"/>
      <c r="J391" s="14"/>
      <c r="K391" s="12"/>
    </row>
    <row r="392" ht="19.5" customHeight="1">
      <c r="A392" s="12"/>
      <c r="C392" s="12"/>
      <c r="D392" s="13"/>
      <c r="F392" s="14"/>
      <c r="G392" s="14"/>
      <c r="H392" s="14"/>
      <c r="I392" s="14"/>
      <c r="J392" s="14"/>
      <c r="K392" s="12"/>
    </row>
    <row r="393" ht="19.5" customHeight="1">
      <c r="A393" s="12"/>
      <c r="C393" s="12"/>
      <c r="D393" s="13"/>
      <c r="F393" s="14"/>
      <c r="G393" s="14"/>
      <c r="H393" s="14"/>
      <c r="I393" s="14"/>
      <c r="J393" s="14"/>
      <c r="K393" s="12"/>
    </row>
    <row r="394" ht="19.5" customHeight="1">
      <c r="A394" s="12"/>
      <c r="C394" s="12"/>
      <c r="D394" s="13"/>
      <c r="F394" s="14"/>
      <c r="G394" s="14"/>
      <c r="H394" s="14"/>
      <c r="I394" s="14"/>
      <c r="J394" s="14"/>
      <c r="K394" s="12"/>
    </row>
    <row r="395" ht="19.5" customHeight="1">
      <c r="A395" s="12"/>
      <c r="C395" s="12"/>
      <c r="D395" s="13"/>
      <c r="F395" s="14"/>
      <c r="G395" s="14"/>
      <c r="H395" s="14"/>
      <c r="I395" s="14"/>
      <c r="J395" s="14"/>
      <c r="K395" s="12"/>
    </row>
    <row r="396" ht="19.5" customHeight="1">
      <c r="A396" s="12"/>
      <c r="C396" s="12"/>
      <c r="D396" s="13"/>
      <c r="F396" s="14"/>
      <c r="G396" s="14"/>
      <c r="H396" s="14"/>
      <c r="I396" s="14"/>
      <c r="J396" s="14"/>
      <c r="K396" s="12"/>
    </row>
    <row r="397" ht="19.5" customHeight="1">
      <c r="A397" s="12"/>
      <c r="C397" s="12"/>
      <c r="D397" s="13"/>
      <c r="F397" s="14"/>
      <c r="G397" s="14"/>
      <c r="H397" s="14"/>
      <c r="I397" s="14"/>
      <c r="J397" s="14"/>
      <c r="K397" s="12"/>
    </row>
    <row r="398" ht="19.5" customHeight="1">
      <c r="A398" s="12"/>
      <c r="C398" s="12"/>
      <c r="D398" s="13"/>
      <c r="F398" s="14"/>
      <c r="G398" s="14"/>
      <c r="H398" s="14"/>
      <c r="I398" s="14"/>
      <c r="J398" s="14"/>
      <c r="K398" s="12"/>
    </row>
    <row r="399" ht="19.5" customHeight="1">
      <c r="A399" s="12"/>
      <c r="C399" s="12"/>
      <c r="D399" s="13"/>
      <c r="F399" s="14"/>
      <c r="G399" s="14"/>
      <c r="H399" s="14"/>
      <c r="I399" s="14"/>
      <c r="J399" s="14"/>
      <c r="K399" s="12"/>
    </row>
    <row r="400" ht="19.5" customHeight="1">
      <c r="A400" s="12"/>
      <c r="C400" s="12"/>
      <c r="D400" s="13"/>
      <c r="F400" s="14"/>
      <c r="G400" s="14"/>
      <c r="H400" s="14"/>
      <c r="I400" s="14"/>
      <c r="J400" s="14"/>
      <c r="K400" s="12"/>
    </row>
    <row r="401" ht="19.5" customHeight="1">
      <c r="A401" s="12"/>
      <c r="C401" s="12"/>
      <c r="D401" s="13"/>
      <c r="F401" s="14"/>
      <c r="G401" s="14"/>
      <c r="H401" s="14"/>
      <c r="I401" s="14"/>
      <c r="J401" s="14"/>
      <c r="K401" s="12"/>
    </row>
    <row r="402" ht="19.5" customHeight="1">
      <c r="A402" s="12"/>
      <c r="C402" s="12"/>
      <c r="D402" s="13"/>
      <c r="F402" s="14"/>
      <c r="G402" s="14"/>
      <c r="H402" s="14"/>
      <c r="I402" s="14"/>
      <c r="J402" s="14"/>
      <c r="K402" s="12"/>
    </row>
    <row r="403" ht="19.5" customHeight="1">
      <c r="A403" s="12"/>
      <c r="C403" s="12"/>
      <c r="D403" s="13"/>
      <c r="F403" s="14"/>
      <c r="G403" s="14"/>
      <c r="H403" s="14"/>
      <c r="I403" s="14"/>
      <c r="J403" s="14"/>
      <c r="K403" s="12"/>
    </row>
    <row r="404" ht="19.5" customHeight="1">
      <c r="A404" s="12"/>
      <c r="C404" s="12"/>
      <c r="D404" s="13"/>
      <c r="F404" s="14"/>
      <c r="G404" s="14"/>
      <c r="H404" s="14"/>
      <c r="I404" s="14"/>
      <c r="J404" s="14"/>
      <c r="K404" s="12"/>
    </row>
    <row r="405" ht="19.5" customHeight="1">
      <c r="A405" s="12"/>
      <c r="C405" s="12"/>
      <c r="D405" s="13"/>
      <c r="F405" s="14"/>
      <c r="G405" s="14"/>
      <c r="H405" s="14"/>
      <c r="I405" s="14"/>
      <c r="J405" s="14"/>
      <c r="K405" s="12"/>
    </row>
    <row r="406" ht="19.5" customHeight="1">
      <c r="A406" s="12"/>
      <c r="C406" s="12"/>
      <c r="D406" s="13"/>
      <c r="F406" s="14"/>
      <c r="G406" s="14"/>
      <c r="H406" s="14"/>
      <c r="I406" s="14"/>
      <c r="J406" s="14"/>
      <c r="K406" s="12"/>
    </row>
    <row r="407" ht="19.5" customHeight="1">
      <c r="A407" s="12"/>
      <c r="C407" s="12"/>
      <c r="D407" s="13"/>
      <c r="F407" s="14"/>
      <c r="G407" s="14"/>
      <c r="H407" s="14"/>
      <c r="I407" s="14"/>
      <c r="J407" s="14"/>
      <c r="K407" s="12"/>
    </row>
    <row r="408" ht="19.5" customHeight="1">
      <c r="A408" s="12"/>
      <c r="C408" s="12"/>
      <c r="D408" s="13"/>
      <c r="F408" s="14"/>
      <c r="G408" s="14"/>
      <c r="H408" s="14"/>
      <c r="I408" s="14"/>
      <c r="J408" s="14"/>
      <c r="K408" s="12"/>
    </row>
    <row r="409" ht="19.5" customHeight="1">
      <c r="A409" s="12"/>
      <c r="C409" s="12"/>
      <c r="D409" s="13"/>
      <c r="F409" s="14"/>
      <c r="G409" s="14"/>
      <c r="H409" s="14"/>
      <c r="I409" s="14"/>
      <c r="J409" s="14"/>
      <c r="K409" s="12"/>
    </row>
    <row r="410" ht="19.5" customHeight="1">
      <c r="A410" s="12"/>
      <c r="C410" s="12"/>
      <c r="D410" s="13"/>
      <c r="F410" s="14"/>
      <c r="G410" s="14"/>
      <c r="H410" s="14"/>
      <c r="I410" s="14"/>
      <c r="J410" s="14"/>
      <c r="K410" s="12"/>
    </row>
    <row r="411" ht="19.5" customHeight="1">
      <c r="A411" s="12"/>
      <c r="C411" s="12"/>
      <c r="D411" s="13"/>
      <c r="F411" s="14"/>
      <c r="G411" s="14"/>
      <c r="H411" s="14"/>
      <c r="I411" s="14"/>
      <c r="J411" s="14"/>
      <c r="K411" s="12"/>
    </row>
    <row r="412" ht="19.5" customHeight="1">
      <c r="A412" s="12"/>
      <c r="C412" s="12"/>
      <c r="D412" s="13"/>
      <c r="F412" s="14"/>
      <c r="G412" s="14"/>
      <c r="H412" s="14"/>
      <c r="I412" s="14"/>
      <c r="J412" s="14"/>
      <c r="K412" s="12"/>
    </row>
    <row r="413" ht="19.5" customHeight="1">
      <c r="A413" s="12"/>
      <c r="C413" s="12"/>
      <c r="D413" s="13"/>
      <c r="F413" s="14"/>
      <c r="G413" s="14"/>
      <c r="H413" s="14"/>
      <c r="I413" s="14"/>
      <c r="J413" s="14"/>
      <c r="K413" s="12"/>
    </row>
    <row r="414" ht="19.5" customHeight="1">
      <c r="A414" s="12"/>
      <c r="C414" s="12"/>
      <c r="D414" s="13"/>
      <c r="F414" s="14"/>
      <c r="G414" s="14"/>
      <c r="H414" s="14"/>
      <c r="I414" s="14"/>
      <c r="J414" s="14"/>
      <c r="K414" s="12"/>
    </row>
    <row r="415" ht="19.5" customHeight="1">
      <c r="A415" s="12"/>
      <c r="C415" s="12"/>
      <c r="D415" s="13"/>
      <c r="F415" s="14"/>
      <c r="G415" s="14"/>
      <c r="H415" s="14"/>
      <c r="I415" s="14"/>
      <c r="J415" s="14"/>
      <c r="K415" s="12"/>
    </row>
    <row r="416" ht="19.5" customHeight="1">
      <c r="A416" s="12"/>
      <c r="C416" s="12"/>
      <c r="D416" s="13"/>
      <c r="F416" s="14"/>
      <c r="G416" s="14"/>
      <c r="H416" s="14"/>
      <c r="I416" s="14"/>
      <c r="J416" s="14"/>
      <c r="K416" s="12"/>
    </row>
    <row r="417" ht="19.5" customHeight="1">
      <c r="A417" s="12"/>
      <c r="C417" s="12"/>
      <c r="D417" s="13"/>
      <c r="F417" s="14"/>
      <c r="G417" s="14"/>
      <c r="H417" s="14"/>
      <c r="I417" s="14"/>
      <c r="J417" s="14"/>
      <c r="K417" s="12"/>
    </row>
    <row r="418" ht="19.5" customHeight="1">
      <c r="A418" s="12"/>
      <c r="C418" s="12"/>
      <c r="D418" s="13"/>
      <c r="F418" s="14"/>
      <c r="G418" s="14"/>
      <c r="H418" s="14"/>
      <c r="I418" s="14"/>
      <c r="J418" s="14"/>
      <c r="K418" s="12"/>
    </row>
    <row r="419" ht="19.5" customHeight="1">
      <c r="A419" s="12"/>
      <c r="C419" s="12"/>
      <c r="D419" s="13"/>
      <c r="F419" s="14"/>
      <c r="G419" s="14"/>
      <c r="H419" s="14"/>
      <c r="I419" s="14"/>
      <c r="J419" s="14"/>
      <c r="K419" s="12"/>
    </row>
    <row r="420" ht="19.5" customHeight="1">
      <c r="A420" s="12"/>
      <c r="C420" s="12"/>
      <c r="D420" s="13"/>
      <c r="F420" s="14"/>
      <c r="G420" s="14"/>
      <c r="H420" s="14"/>
      <c r="I420" s="14"/>
      <c r="J420" s="14"/>
      <c r="K420" s="12"/>
    </row>
    <row r="421" ht="19.5" customHeight="1">
      <c r="A421" s="12"/>
      <c r="C421" s="12"/>
      <c r="D421" s="13"/>
      <c r="F421" s="14"/>
      <c r="G421" s="14"/>
      <c r="H421" s="14"/>
      <c r="I421" s="14"/>
      <c r="J421" s="14"/>
      <c r="K421" s="12"/>
    </row>
    <row r="422" ht="19.5" customHeight="1">
      <c r="A422" s="12"/>
      <c r="C422" s="12"/>
      <c r="D422" s="13"/>
      <c r="F422" s="14"/>
      <c r="G422" s="14"/>
      <c r="H422" s="14"/>
      <c r="I422" s="14"/>
      <c r="J422" s="14"/>
      <c r="K422" s="12"/>
    </row>
    <row r="423" ht="19.5" customHeight="1">
      <c r="A423" s="12"/>
      <c r="C423" s="12"/>
      <c r="D423" s="13"/>
      <c r="F423" s="14"/>
      <c r="G423" s="14"/>
      <c r="H423" s="14"/>
      <c r="I423" s="14"/>
      <c r="J423" s="14"/>
      <c r="K423" s="12"/>
    </row>
    <row r="424" ht="19.5" customHeight="1">
      <c r="A424" s="12"/>
      <c r="C424" s="12"/>
      <c r="D424" s="13"/>
      <c r="F424" s="14"/>
      <c r="G424" s="14"/>
      <c r="H424" s="14"/>
      <c r="I424" s="14"/>
      <c r="J424" s="14"/>
      <c r="K424" s="12"/>
    </row>
    <row r="425" ht="19.5" customHeight="1">
      <c r="A425" s="12"/>
      <c r="C425" s="12"/>
      <c r="D425" s="13"/>
      <c r="F425" s="14"/>
      <c r="G425" s="14"/>
      <c r="H425" s="14"/>
      <c r="I425" s="14"/>
      <c r="J425" s="14"/>
      <c r="K425" s="12"/>
    </row>
    <row r="426" ht="19.5" customHeight="1">
      <c r="A426" s="12"/>
      <c r="C426" s="12"/>
      <c r="D426" s="13"/>
      <c r="F426" s="14"/>
      <c r="G426" s="14"/>
      <c r="H426" s="14"/>
      <c r="I426" s="14"/>
      <c r="J426" s="14"/>
      <c r="K426" s="12"/>
    </row>
    <row r="427" ht="19.5" customHeight="1">
      <c r="A427" s="12"/>
      <c r="C427" s="12"/>
      <c r="D427" s="13"/>
      <c r="F427" s="14"/>
      <c r="G427" s="14"/>
      <c r="H427" s="14"/>
      <c r="I427" s="14"/>
      <c r="J427" s="14"/>
      <c r="K427" s="12"/>
    </row>
    <row r="428" ht="19.5" customHeight="1">
      <c r="A428" s="12"/>
      <c r="C428" s="12"/>
      <c r="D428" s="13"/>
      <c r="F428" s="14"/>
      <c r="G428" s="14"/>
      <c r="H428" s="14"/>
      <c r="I428" s="14"/>
      <c r="J428" s="14"/>
      <c r="K428" s="12"/>
    </row>
    <row r="429" ht="19.5" customHeight="1">
      <c r="A429" s="12"/>
      <c r="C429" s="12"/>
      <c r="D429" s="13"/>
      <c r="F429" s="14"/>
      <c r="G429" s="14"/>
      <c r="H429" s="14"/>
      <c r="I429" s="14"/>
      <c r="J429" s="14"/>
      <c r="K429" s="12"/>
    </row>
    <row r="430" ht="19.5" customHeight="1">
      <c r="A430" s="12"/>
      <c r="C430" s="12"/>
      <c r="D430" s="13"/>
      <c r="F430" s="14"/>
      <c r="G430" s="14"/>
      <c r="H430" s="14"/>
      <c r="I430" s="14"/>
      <c r="J430" s="14"/>
      <c r="K430" s="12"/>
    </row>
    <row r="431" ht="19.5" customHeight="1">
      <c r="A431" s="12"/>
      <c r="C431" s="12"/>
      <c r="D431" s="13"/>
      <c r="F431" s="14"/>
      <c r="G431" s="14"/>
      <c r="H431" s="14"/>
      <c r="I431" s="14"/>
      <c r="J431" s="14"/>
      <c r="K431" s="12"/>
    </row>
    <row r="432" ht="19.5" customHeight="1">
      <c r="A432" s="12"/>
      <c r="C432" s="12"/>
      <c r="D432" s="13"/>
      <c r="F432" s="14"/>
      <c r="G432" s="14"/>
      <c r="H432" s="14"/>
      <c r="I432" s="14"/>
      <c r="J432" s="14"/>
      <c r="K432" s="12"/>
    </row>
    <row r="433" ht="19.5" customHeight="1">
      <c r="A433" s="12"/>
      <c r="C433" s="12"/>
      <c r="D433" s="13"/>
      <c r="F433" s="14"/>
      <c r="G433" s="14"/>
      <c r="H433" s="14"/>
      <c r="I433" s="14"/>
      <c r="J433" s="14"/>
      <c r="K433" s="12"/>
    </row>
    <row r="434" ht="19.5" customHeight="1">
      <c r="A434" s="12"/>
      <c r="C434" s="12"/>
      <c r="D434" s="13"/>
      <c r="F434" s="14"/>
      <c r="G434" s="14"/>
      <c r="H434" s="14"/>
      <c r="I434" s="14"/>
      <c r="J434" s="14"/>
      <c r="K434" s="12"/>
    </row>
    <row r="435" ht="19.5" customHeight="1">
      <c r="A435" s="12"/>
      <c r="C435" s="12"/>
      <c r="D435" s="13"/>
      <c r="F435" s="14"/>
      <c r="G435" s="14"/>
      <c r="H435" s="14"/>
      <c r="I435" s="14"/>
      <c r="J435" s="14"/>
      <c r="K435" s="12"/>
    </row>
    <row r="436" ht="19.5" customHeight="1">
      <c r="A436" s="12"/>
      <c r="C436" s="12"/>
      <c r="D436" s="13"/>
      <c r="F436" s="14"/>
      <c r="G436" s="14"/>
      <c r="H436" s="14"/>
      <c r="I436" s="14"/>
      <c r="J436" s="14"/>
      <c r="K436" s="12"/>
    </row>
    <row r="437" ht="19.5" customHeight="1">
      <c r="A437" s="12"/>
      <c r="C437" s="12"/>
      <c r="D437" s="13"/>
      <c r="F437" s="14"/>
      <c r="G437" s="14"/>
      <c r="H437" s="14"/>
      <c r="I437" s="14"/>
      <c r="J437" s="14"/>
      <c r="K437" s="12"/>
    </row>
    <row r="438" ht="19.5" customHeight="1">
      <c r="A438" s="12"/>
      <c r="C438" s="12"/>
      <c r="D438" s="13"/>
      <c r="F438" s="14"/>
      <c r="G438" s="14"/>
      <c r="H438" s="14"/>
      <c r="I438" s="14"/>
      <c r="J438" s="14"/>
      <c r="K438" s="12"/>
    </row>
    <row r="439" ht="19.5" customHeight="1">
      <c r="A439" s="12"/>
      <c r="C439" s="12"/>
      <c r="D439" s="13"/>
      <c r="F439" s="14"/>
      <c r="G439" s="14"/>
      <c r="H439" s="14"/>
      <c r="I439" s="14"/>
      <c r="J439" s="14"/>
      <c r="K439" s="12"/>
    </row>
    <row r="440" ht="19.5" customHeight="1">
      <c r="A440" s="12"/>
      <c r="C440" s="12"/>
      <c r="D440" s="13"/>
      <c r="F440" s="14"/>
      <c r="G440" s="14"/>
      <c r="H440" s="14"/>
      <c r="I440" s="14"/>
      <c r="J440" s="14"/>
      <c r="K440" s="12"/>
    </row>
    <row r="441" ht="19.5" customHeight="1">
      <c r="A441" s="12"/>
      <c r="C441" s="12"/>
      <c r="D441" s="13"/>
      <c r="F441" s="14"/>
      <c r="G441" s="14"/>
      <c r="H441" s="14"/>
      <c r="I441" s="14"/>
      <c r="J441" s="14"/>
      <c r="K441" s="12"/>
    </row>
    <row r="442" ht="19.5" customHeight="1">
      <c r="A442" s="12"/>
      <c r="C442" s="12"/>
      <c r="D442" s="13"/>
      <c r="F442" s="14"/>
      <c r="G442" s="14"/>
      <c r="H442" s="14"/>
      <c r="I442" s="14"/>
      <c r="J442" s="14"/>
      <c r="K442" s="12"/>
    </row>
    <row r="443" ht="19.5" customHeight="1">
      <c r="A443" s="12"/>
      <c r="C443" s="12"/>
      <c r="D443" s="13"/>
      <c r="F443" s="14"/>
      <c r="G443" s="14"/>
      <c r="H443" s="14"/>
      <c r="I443" s="14"/>
      <c r="J443" s="14"/>
      <c r="K443" s="12"/>
    </row>
    <row r="444" ht="19.5" customHeight="1">
      <c r="A444" s="12"/>
      <c r="C444" s="12"/>
      <c r="D444" s="13"/>
      <c r="F444" s="14"/>
      <c r="G444" s="14"/>
      <c r="H444" s="14"/>
      <c r="I444" s="14"/>
      <c r="J444" s="14"/>
      <c r="K444" s="12"/>
    </row>
    <row r="445" ht="19.5" customHeight="1">
      <c r="A445" s="12"/>
      <c r="C445" s="12"/>
      <c r="D445" s="13"/>
      <c r="F445" s="14"/>
      <c r="G445" s="14"/>
      <c r="H445" s="14"/>
      <c r="I445" s="14"/>
      <c r="J445" s="14"/>
      <c r="K445" s="12"/>
    </row>
    <row r="446" ht="19.5" customHeight="1">
      <c r="A446" s="12"/>
      <c r="C446" s="12"/>
      <c r="D446" s="13"/>
      <c r="F446" s="14"/>
      <c r="G446" s="14"/>
      <c r="H446" s="14"/>
      <c r="I446" s="14"/>
      <c r="J446" s="14"/>
      <c r="K446" s="12"/>
    </row>
    <row r="447" ht="19.5" customHeight="1">
      <c r="A447" s="12"/>
      <c r="C447" s="12"/>
      <c r="D447" s="13"/>
      <c r="F447" s="14"/>
      <c r="G447" s="14"/>
      <c r="H447" s="14"/>
      <c r="I447" s="14"/>
      <c r="J447" s="14"/>
      <c r="K447" s="12"/>
    </row>
    <row r="448" ht="19.5" customHeight="1">
      <c r="A448" s="12"/>
      <c r="C448" s="12"/>
      <c r="D448" s="13"/>
      <c r="F448" s="14"/>
      <c r="G448" s="14"/>
      <c r="H448" s="14"/>
      <c r="I448" s="14"/>
      <c r="J448" s="14"/>
      <c r="K448" s="12"/>
    </row>
    <row r="449" ht="19.5" customHeight="1">
      <c r="A449" s="12"/>
      <c r="C449" s="12"/>
      <c r="D449" s="13"/>
      <c r="F449" s="14"/>
      <c r="G449" s="14"/>
      <c r="H449" s="14"/>
      <c r="I449" s="14"/>
      <c r="J449" s="14"/>
      <c r="K449" s="12"/>
    </row>
    <row r="450" ht="19.5" customHeight="1">
      <c r="A450" s="12"/>
      <c r="C450" s="12"/>
      <c r="D450" s="13"/>
      <c r="F450" s="14"/>
      <c r="G450" s="14"/>
      <c r="H450" s="14"/>
      <c r="I450" s="14"/>
      <c r="J450" s="14"/>
      <c r="K450" s="12"/>
    </row>
    <row r="451" ht="19.5" customHeight="1">
      <c r="A451" s="12"/>
      <c r="C451" s="12"/>
      <c r="D451" s="13"/>
      <c r="F451" s="14"/>
      <c r="G451" s="14"/>
      <c r="H451" s="14"/>
      <c r="I451" s="14"/>
      <c r="J451" s="14"/>
      <c r="K451" s="12"/>
    </row>
    <row r="452" ht="19.5" customHeight="1">
      <c r="A452" s="12"/>
      <c r="C452" s="12"/>
      <c r="D452" s="13"/>
      <c r="F452" s="14"/>
      <c r="G452" s="14"/>
      <c r="H452" s="14"/>
      <c r="I452" s="14"/>
      <c r="J452" s="14"/>
      <c r="K452" s="12"/>
    </row>
    <row r="453" ht="19.5" customHeight="1">
      <c r="A453" s="12"/>
      <c r="C453" s="12"/>
      <c r="D453" s="13"/>
      <c r="F453" s="14"/>
      <c r="G453" s="14"/>
      <c r="H453" s="14"/>
      <c r="I453" s="14"/>
      <c r="J453" s="14"/>
      <c r="K453" s="12"/>
    </row>
    <row r="454" ht="19.5" customHeight="1">
      <c r="A454" s="12"/>
      <c r="C454" s="12"/>
      <c r="D454" s="13"/>
      <c r="F454" s="14"/>
      <c r="G454" s="14"/>
      <c r="H454" s="14"/>
      <c r="I454" s="14"/>
      <c r="J454" s="14"/>
      <c r="K454" s="12"/>
    </row>
    <row r="455" ht="19.5" customHeight="1">
      <c r="A455" s="12"/>
      <c r="C455" s="12"/>
      <c r="D455" s="13"/>
      <c r="F455" s="14"/>
      <c r="G455" s="14"/>
      <c r="H455" s="14"/>
      <c r="I455" s="14"/>
      <c r="J455" s="14"/>
      <c r="K455" s="12"/>
    </row>
    <row r="456" ht="19.5" customHeight="1">
      <c r="A456" s="12"/>
      <c r="C456" s="12"/>
      <c r="D456" s="13"/>
      <c r="F456" s="14"/>
      <c r="G456" s="14"/>
      <c r="H456" s="14"/>
      <c r="I456" s="14"/>
      <c r="J456" s="14"/>
      <c r="K456" s="12"/>
    </row>
    <row r="457" ht="19.5" customHeight="1">
      <c r="A457" s="12"/>
      <c r="C457" s="12"/>
      <c r="D457" s="13"/>
      <c r="F457" s="14"/>
      <c r="G457" s="14"/>
      <c r="H457" s="14"/>
      <c r="I457" s="14"/>
      <c r="J457" s="14"/>
      <c r="K457" s="12"/>
    </row>
    <row r="458" ht="19.5" customHeight="1">
      <c r="A458" s="12"/>
      <c r="C458" s="12"/>
      <c r="D458" s="13"/>
      <c r="F458" s="14"/>
      <c r="G458" s="14"/>
      <c r="H458" s="14"/>
      <c r="I458" s="14"/>
      <c r="J458" s="14"/>
      <c r="K458" s="12"/>
    </row>
    <row r="459" ht="19.5" customHeight="1">
      <c r="A459" s="12"/>
      <c r="C459" s="12"/>
      <c r="D459" s="13"/>
      <c r="F459" s="14"/>
      <c r="G459" s="14"/>
      <c r="H459" s="14"/>
      <c r="I459" s="14"/>
      <c r="J459" s="14"/>
      <c r="K459" s="12"/>
    </row>
    <row r="460" ht="19.5" customHeight="1">
      <c r="A460" s="12"/>
      <c r="C460" s="12"/>
      <c r="D460" s="13"/>
      <c r="F460" s="14"/>
      <c r="G460" s="14"/>
      <c r="H460" s="14"/>
      <c r="I460" s="14"/>
      <c r="J460" s="14"/>
      <c r="K460" s="12"/>
    </row>
    <row r="461" ht="19.5" customHeight="1">
      <c r="A461" s="12"/>
      <c r="C461" s="12"/>
      <c r="D461" s="13"/>
      <c r="F461" s="14"/>
      <c r="G461" s="14"/>
      <c r="H461" s="14"/>
      <c r="I461" s="14"/>
      <c r="J461" s="14"/>
      <c r="K461" s="12"/>
    </row>
    <row r="462" ht="19.5" customHeight="1">
      <c r="A462" s="12"/>
      <c r="C462" s="12"/>
      <c r="D462" s="13"/>
      <c r="F462" s="14"/>
      <c r="G462" s="14"/>
      <c r="H462" s="14"/>
      <c r="I462" s="14"/>
      <c r="J462" s="14"/>
      <c r="K462" s="12"/>
    </row>
    <row r="463" ht="19.5" customHeight="1">
      <c r="A463" s="12"/>
      <c r="C463" s="12"/>
      <c r="D463" s="13"/>
      <c r="F463" s="14"/>
      <c r="G463" s="14"/>
      <c r="H463" s="14"/>
      <c r="I463" s="14"/>
      <c r="J463" s="14"/>
      <c r="K463" s="12"/>
    </row>
    <row r="464" ht="19.5" customHeight="1">
      <c r="A464" s="12"/>
      <c r="C464" s="12"/>
      <c r="D464" s="13"/>
      <c r="F464" s="14"/>
      <c r="G464" s="14"/>
      <c r="H464" s="14"/>
      <c r="I464" s="14"/>
      <c r="J464" s="14"/>
      <c r="K464" s="12"/>
    </row>
    <row r="465" ht="19.5" customHeight="1">
      <c r="A465" s="12"/>
      <c r="C465" s="12"/>
      <c r="D465" s="13"/>
      <c r="F465" s="14"/>
      <c r="G465" s="14"/>
      <c r="H465" s="14"/>
      <c r="I465" s="14"/>
      <c r="J465" s="14"/>
      <c r="K465" s="12"/>
    </row>
    <row r="466" ht="19.5" customHeight="1">
      <c r="A466" s="12"/>
      <c r="C466" s="12"/>
      <c r="D466" s="13"/>
      <c r="F466" s="14"/>
      <c r="G466" s="14"/>
      <c r="H466" s="14"/>
      <c r="I466" s="14"/>
      <c r="J466" s="14"/>
      <c r="K466" s="12"/>
    </row>
    <row r="467" ht="19.5" customHeight="1">
      <c r="A467" s="12"/>
      <c r="C467" s="12"/>
      <c r="D467" s="13"/>
      <c r="F467" s="14"/>
      <c r="G467" s="14"/>
      <c r="H467" s="14"/>
      <c r="I467" s="14"/>
      <c r="J467" s="14"/>
      <c r="K467" s="12"/>
    </row>
    <row r="468" ht="19.5" customHeight="1">
      <c r="A468" s="12"/>
      <c r="C468" s="12"/>
      <c r="D468" s="13"/>
      <c r="F468" s="14"/>
      <c r="G468" s="14"/>
      <c r="H468" s="14"/>
      <c r="I468" s="14"/>
      <c r="J468" s="14"/>
      <c r="K468" s="12"/>
    </row>
    <row r="469" ht="19.5" customHeight="1">
      <c r="A469" s="12"/>
      <c r="C469" s="12"/>
      <c r="D469" s="13"/>
      <c r="F469" s="14"/>
      <c r="G469" s="14"/>
      <c r="H469" s="14"/>
      <c r="I469" s="14"/>
      <c r="J469" s="14"/>
      <c r="K469" s="12"/>
    </row>
    <row r="470" ht="19.5" customHeight="1">
      <c r="A470" s="12"/>
      <c r="C470" s="12"/>
      <c r="D470" s="13"/>
      <c r="F470" s="14"/>
      <c r="G470" s="14"/>
      <c r="H470" s="14"/>
      <c r="I470" s="14"/>
      <c r="J470" s="14"/>
      <c r="K470" s="12"/>
    </row>
    <row r="471" ht="19.5" customHeight="1">
      <c r="A471" s="12"/>
      <c r="C471" s="12"/>
      <c r="D471" s="13"/>
      <c r="F471" s="14"/>
      <c r="G471" s="14"/>
      <c r="H471" s="14"/>
      <c r="I471" s="14"/>
      <c r="J471" s="14"/>
      <c r="K471" s="12"/>
    </row>
    <row r="472" ht="19.5" customHeight="1">
      <c r="A472" s="12"/>
      <c r="C472" s="12"/>
      <c r="D472" s="13"/>
      <c r="F472" s="14"/>
      <c r="G472" s="14"/>
      <c r="H472" s="14"/>
      <c r="I472" s="14"/>
      <c r="J472" s="14"/>
      <c r="K472" s="12"/>
    </row>
    <row r="473" ht="19.5" customHeight="1">
      <c r="A473" s="12"/>
      <c r="C473" s="12"/>
      <c r="D473" s="13"/>
      <c r="F473" s="14"/>
      <c r="G473" s="14"/>
      <c r="H473" s="14"/>
      <c r="I473" s="14"/>
      <c r="J473" s="14"/>
      <c r="K473" s="12"/>
    </row>
    <row r="474" ht="19.5" customHeight="1">
      <c r="A474" s="12"/>
      <c r="C474" s="12"/>
      <c r="D474" s="13"/>
      <c r="F474" s="14"/>
      <c r="G474" s="14"/>
      <c r="H474" s="14"/>
      <c r="I474" s="14"/>
      <c r="J474" s="14"/>
      <c r="K474" s="12"/>
    </row>
    <row r="475" ht="19.5" customHeight="1">
      <c r="A475" s="12"/>
      <c r="C475" s="12"/>
      <c r="D475" s="13"/>
      <c r="F475" s="14"/>
      <c r="G475" s="14"/>
      <c r="H475" s="14"/>
      <c r="I475" s="14"/>
      <c r="J475" s="14"/>
      <c r="K475" s="12"/>
    </row>
    <row r="476" ht="19.5" customHeight="1">
      <c r="A476" s="12"/>
      <c r="C476" s="12"/>
      <c r="D476" s="13"/>
      <c r="F476" s="14"/>
      <c r="G476" s="14"/>
      <c r="H476" s="14"/>
      <c r="I476" s="14"/>
      <c r="J476" s="14"/>
      <c r="K476" s="12"/>
    </row>
    <row r="477" ht="19.5" customHeight="1">
      <c r="A477" s="12"/>
      <c r="C477" s="12"/>
      <c r="D477" s="13"/>
      <c r="F477" s="14"/>
      <c r="G477" s="14"/>
      <c r="H477" s="14"/>
      <c r="I477" s="14"/>
      <c r="J477" s="14"/>
      <c r="K477" s="12"/>
    </row>
    <row r="478" ht="19.5" customHeight="1">
      <c r="A478" s="12"/>
      <c r="C478" s="12"/>
      <c r="D478" s="13"/>
      <c r="F478" s="14"/>
      <c r="G478" s="14"/>
      <c r="H478" s="14"/>
      <c r="I478" s="14"/>
      <c r="J478" s="14"/>
      <c r="K478" s="12"/>
    </row>
    <row r="479" ht="19.5" customHeight="1">
      <c r="A479" s="12"/>
      <c r="C479" s="12"/>
      <c r="D479" s="13"/>
      <c r="F479" s="14"/>
      <c r="G479" s="14"/>
      <c r="H479" s="14"/>
      <c r="I479" s="14"/>
      <c r="J479" s="14"/>
      <c r="K479" s="12"/>
    </row>
    <row r="480" ht="19.5" customHeight="1">
      <c r="A480" s="12"/>
      <c r="C480" s="12"/>
      <c r="D480" s="13"/>
      <c r="F480" s="14"/>
      <c r="G480" s="14"/>
      <c r="H480" s="14"/>
      <c r="I480" s="14"/>
      <c r="J480" s="14"/>
      <c r="K480" s="12"/>
    </row>
    <row r="481" ht="19.5" customHeight="1">
      <c r="A481" s="12"/>
      <c r="C481" s="12"/>
      <c r="D481" s="13"/>
      <c r="F481" s="14"/>
      <c r="G481" s="14"/>
      <c r="H481" s="14"/>
      <c r="I481" s="14"/>
      <c r="J481" s="14"/>
      <c r="K481" s="12"/>
    </row>
    <row r="482" ht="19.5" customHeight="1">
      <c r="A482" s="12"/>
      <c r="C482" s="12"/>
      <c r="D482" s="13"/>
      <c r="F482" s="14"/>
      <c r="G482" s="14"/>
      <c r="H482" s="14"/>
      <c r="I482" s="14"/>
      <c r="J482" s="14"/>
      <c r="K482" s="12"/>
    </row>
    <row r="483" ht="19.5" customHeight="1">
      <c r="A483" s="12"/>
      <c r="C483" s="12"/>
      <c r="D483" s="13"/>
      <c r="F483" s="14"/>
      <c r="G483" s="14"/>
      <c r="H483" s="14"/>
      <c r="I483" s="14"/>
      <c r="J483" s="14"/>
      <c r="K483" s="12"/>
    </row>
    <row r="484" ht="19.5" customHeight="1">
      <c r="A484" s="12"/>
      <c r="C484" s="12"/>
      <c r="D484" s="13"/>
      <c r="F484" s="14"/>
      <c r="G484" s="14"/>
      <c r="H484" s="14"/>
      <c r="I484" s="14"/>
      <c r="J484" s="14"/>
      <c r="K484" s="12"/>
    </row>
    <row r="485" ht="19.5" customHeight="1">
      <c r="A485" s="12"/>
      <c r="C485" s="12"/>
      <c r="D485" s="13"/>
      <c r="F485" s="14"/>
      <c r="G485" s="14"/>
      <c r="H485" s="14"/>
      <c r="I485" s="14"/>
      <c r="J485" s="14"/>
      <c r="K485" s="12"/>
    </row>
    <row r="486" ht="19.5" customHeight="1">
      <c r="A486" s="12"/>
      <c r="C486" s="12"/>
      <c r="D486" s="13"/>
      <c r="F486" s="14"/>
      <c r="G486" s="14"/>
      <c r="H486" s="14"/>
      <c r="I486" s="14"/>
      <c r="J486" s="14"/>
      <c r="K486" s="12"/>
    </row>
    <row r="487" ht="19.5" customHeight="1">
      <c r="A487" s="12"/>
      <c r="C487" s="12"/>
      <c r="D487" s="13"/>
      <c r="F487" s="14"/>
      <c r="G487" s="14"/>
      <c r="H487" s="14"/>
      <c r="I487" s="14"/>
      <c r="J487" s="14"/>
      <c r="K487" s="12"/>
    </row>
    <row r="488" ht="19.5" customHeight="1">
      <c r="A488" s="12"/>
      <c r="C488" s="12"/>
      <c r="D488" s="13"/>
      <c r="F488" s="14"/>
      <c r="G488" s="14"/>
      <c r="H488" s="14"/>
      <c r="I488" s="14"/>
      <c r="J488" s="14"/>
      <c r="K488" s="12"/>
    </row>
    <row r="489" ht="19.5" customHeight="1">
      <c r="A489" s="12"/>
      <c r="C489" s="12"/>
      <c r="D489" s="13"/>
      <c r="F489" s="14"/>
      <c r="G489" s="14"/>
      <c r="H489" s="14"/>
      <c r="I489" s="14"/>
      <c r="J489" s="14"/>
      <c r="K489" s="12"/>
    </row>
    <row r="490" ht="19.5" customHeight="1">
      <c r="A490" s="12"/>
      <c r="C490" s="12"/>
      <c r="D490" s="13"/>
      <c r="F490" s="14"/>
      <c r="G490" s="14"/>
      <c r="H490" s="14"/>
      <c r="I490" s="14"/>
      <c r="J490" s="14"/>
      <c r="K490" s="12"/>
    </row>
    <row r="491" ht="19.5" customHeight="1">
      <c r="A491" s="12"/>
      <c r="C491" s="12"/>
      <c r="D491" s="13"/>
      <c r="F491" s="14"/>
      <c r="G491" s="14"/>
      <c r="H491" s="14"/>
      <c r="I491" s="14"/>
      <c r="J491" s="14"/>
      <c r="K491" s="12"/>
    </row>
    <row r="492" ht="19.5" customHeight="1">
      <c r="A492" s="12"/>
      <c r="C492" s="12"/>
      <c r="D492" s="13"/>
      <c r="F492" s="14"/>
      <c r="G492" s="14"/>
      <c r="H492" s="14"/>
      <c r="I492" s="14"/>
      <c r="J492" s="14"/>
      <c r="K492" s="12"/>
    </row>
    <row r="493" ht="19.5" customHeight="1">
      <c r="A493" s="12"/>
      <c r="C493" s="12"/>
      <c r="D493" s="13"/>
      <c r="F493" s="14"/>
      <c r="G493" s="14"/>
      <c r="H493" s="14"/>
      <c r="I493" s="14"/>
      <c r="J493" s="14"/>
      <c r="K493" s="12"/>
    </row>
    <row r="494" ht="19.5" customHeight="1">
      <c r="A494" s="12"/>
      <c r="C494" s="12"/>
      <c r="D494" s="13"/>
      <c r="F494" s="14"/>
      <c r="G494" s="14"/>
      <c r="H494" s="14"/>
      <c r="I494" s="14"/>
      <c r="J494" s="14"/>
      <c r="K494" s="12"/>
    </row>
    <row r="495" ht="19.5" customHeight="1">
      <c r="A495" s="12"/>
      <c r="C495" s="12"/>
      <c r="D495" s="13"/>
      <c r="F495" s="14"/>
      <c r="G495" s="14"/>
      <c r="H495" s="14"/>
      <c r="I495" s="14"/>
      <c r="J495" s="14"/>
      <c r="K495" s="12"/>
    </row>
    <row r="496" ht="19.5" customHeight="1">
      <c r="A496" s="12"/>
      <c r="C496" s="12"/>
      <c r="D496" s="13"/>
      <c r="F496" s="14"/>
      <c r="G496" s="14"/>
      <c r="H496" s="14"/>
      <c r="I496" s="14"/>
      <c r="J496" s="14"/>
      <c r="K496" s="12"/>
    </row>
    <row r="497" ht="19.5" customHeight="1">
      <c r="A497" s="12"/>
      <c r="C497" s="12"/>
      <c r="D497" s="13"/>
      <c r="F497" s="14"/>
      <c r="G497" s="14"/>
      <c r="H497" s="14"/>
      <c r="I497" s="14"/>
      <c r="J497" s="14"/>
      <c r="K497" s="12"/>
    </row>
    <row r="498" ht="19.5" customHeight="1">
      <c r="A498" s="12"/>
      <c r="C498" s="12"/>
      <c r="D498" s="13"/>
      <c r="F498" s="14"/>
      <c r="G498" s="14"/>
      <c r="H498" s="14"/>
      <c r="I498" s="14"/>
      <c r="J498" s="14"/>
      <c r="K498" s="12"/>
    </row>
    <row r="499" ht="19.5" customHeight="1">
      <c r="A499" s="12"/>
      <c r="C499" s="12"/>
      <c r="D499" s="13"/>
      <c r="F499" s="14"/>
      <c r="G499" s="14"/>
      <c r="H499" s="14"/>
      <c r="I499" s="14"/>
      <c r="J499" s="14"/>
      <c r="K499" s="12"/>
    </row>
    <row r="500" ht="19.5" customHeight="1">
      <c r="A500" s="12"/>
      <c r="C500" s="12"/>
      <c r="D500" s="13"/>
      <c r="F500" s="14"/>
      <c r="G500" s="14"/>
      <c r="H500" s="14"/>
      <c r="I500" s="14"/>
      <c r="J500" s="14"/>
      <c r="K500" s="12"/>
    </row>
    <row r="501" ht="19.5" customHeight="1">
      <c r="A501" s="12"/>
      <c r="C501" s="12"/>
      <c r="D501" s="13"/>
      <c r="F501" s="14"/>
      <c r="G501" s="14"/>
      <c r="H501" s="14"/>
      <c r="I501" s="14"/>
      <c r="J501" s="14"/>
      <c r="K501" s="12"/>
    </row>
    <row r="502" ht="19.5" customHeight="1">
      <c r="A502" s="12"/>
      <c r="C502" s="12"/>
      <c r="D502" s="13"/>
      <c r="F502" s="14"/>
      <c r="G502" s="14"/>
      <c r="H502" s="14"/>
      <c r="I502" s="14"/>
      <c r="J502" s="14"/>
      <c r="K502" s="12"/>
    </row>
    <row r="503" ht="19.5" customHeight="1">
      <c r="A503" s="12"/>
      <c r="C503" s="12"/>
      <c r="D503" s="13"/>
      <c r="F503" s="14"/>
      <c r="G503" s="14"/>
      <c r="H503" s="14"/>
      <c r="I503" s="14"/>
      <c r="J503" s="14"/>
      <c r="K503" s="12"/>
    </row>
    <row r="504" ht="19.5" customHeight="1">
      <c r="A504" s="12"/>
      <c r="C504" s="12"/>
      <c r="D504" s="13"/>
      <c r="F504" s="14"/>
      <c r="G504" s="14"/>
      <c r="H504" s="14"/>
      <c r="I504" s="14"/>
      <c r="J504" s="14"/>
      <c r="K504" s="12"/>
    </row>
    <row r="505" ht="19.5" customHeight="1">
      <c r="A505" s="12"/>
      <c r="C505" s="12"/>
      <c r="D505" s="13"/>
      <c r="F505" s="14"/>
      <c r="G505" s="14"/>
      <c r="H505" s="14"/>
      <c r="I505" s="14"/>
      <c r="J505" s="14"/>
      <c r="K505" s="12"/>
    </row>
    <row r="506" ht="19.5" customHeight="1">
      <c r="A506" s="12"/>
      <c r="C506" s="12"/>
      <c r="D506" s="13"/>
      <c r="F506" s="14"/>
      <c r="G506" s="14"/>
      <c r="H506" s="14"/>
      <c r="I506" s="14"/>
      <c r="J506" s="14"/>
      <c r="K506" s="12"/>
    </row>
    <row r="507" ht="19.5" customHeight="1">
      <c r="A507" s="12"/>
      <c r="C507" s="12"/>
      <c r="D507" s="13"/>
      <c r="F507" s="14"/>
      <c r="G507" s="14"/>
      <c r="H507" s="14"/>
      <c r="I507" s="14"/>
      <c r="J507" s="14"/>
      <c r="K507" s="12"/>
    </row>
    <row r="508" ht="19.5" customHeight="1">
      <c r="A508" s="12"/>
      <c r="C508" s="12"/>
      <c r="D508" s="13"/>
      <c r="F508" s="14"/>
      <c r="G508" s="14"/>
      <c r="H508" s="14"/>
      <c r="I508" s="14"/>
      <c r="J508" s="14"/>
      <c r="K508" s="12"/>
    </row>
    <row r="509" ht="19.5" customHeight="1">
      <c r="A509" s="12"/>
      <c r="C509" s="12"/>
      <c r="D509" s="13"/>
      <c r="F509" s="14"/>
      <c r="G509" s="14"/>
      <c r="H509" s="14"/>
      <c r="I509" s="14"/>
      <c r="J509" s="14"/>
      <c r="K509" s="12"/>
    </row>
    <row r="510" ht="19.5" customHeight="1">
      <c r="A510" s="12"/>
      <c r="C510" s="12"/>
      <c r="D510" s="13"/>
      <c r="F510" s="14"/>
      <c r="G510" s="14"/>
      <c r="H510" s="14"/>
      <c r="I510" s="14"/>
      <c r="J510" s="14"/>
      <c r="K510" s="12"/>
    </row>
    <row r="511" ht="19.5" customHeight="1">
      <c r="A511" s="12"/>
      <c r="C511" s="12"/>
      <c r="D511" s="13"/>
      <c r="F511" s="14"/>
      <c r="G511" s="14"/>
      <c r="H511" s="14"/>
      <c r="I511" s="14"/>
      <c r="J511" s="14"/>
      <c r="K511" s="12"/>
    </row>
    <row r="512" ht="19.5" customHeight="1">
      <c r="A512" s="12"/>
      <c r="C512" s="12"/>
      <c r="D512" s="13"/>
      <c r="F512" s="14"/>
      <c r="G512" s="14"/>
      <c r="H512" s="14"/>
      <c r="I512" s="14"/>
      <c r="J512" s="14"/>
      <c r="K512" s="12"/>
    </row>
    <row r="513" ht="19.5" customHeight="1">
      <c r="A513" s="12"/>
      <c r="C513" s="12"/>
      <c r="D513" s="13"/>
      <c r="F513" s="14"/>
      <c r="G513" s="14"/>
      <c r="H513" s="14"/>
      <c r="I513" s="14"/>
      <c r="J513" s="14"/>
      <c r="K513" s="12"/>
    </row>
    <row r="514" ht="19.5" customHeight="1">
      <c r="A514" s="12"/>
      <c r="C514" s="12"/>
      <c r="D514" s="13"/>
      <c r="F514" s="14"/>
      <c r="G514" s="14"/>
      <c r="H514" s="14"/>
      <c r="I514" s="14"/>
      <c r="J514" s="14"/>
      <c r="K514" s="12"/>
    </row>
    <row r="515" ht="19.5" customHeight="1">
      <c r="A515" s="12"/>
      <c r="C515" s="12"/>
      <c r="D515" s="13"/>
      <c r="F515" s="14"/>
      <c r="G515" s="14"/>
      <c r="H515" s="14"/>
      <c r="I515" s="14"/>
      <c r="J515" s="14"/>
      <c r="K515" s="12"/>
    </row>
    <row r="516" ht="19.5" customHeight="1">
      <c r="A516" s="12"/>
      <c r="C516" s="12"/>
      <c r="D516" s="13"/>
      <c r="F516" s="14"/>
      <c r="G516" s="14"/>
      <c r="H516" s="14"/>
      <c r="I516" s="14"/>
      <c r="J516" s="14"/>
      <c r="K516" s="12"/>
    </row>
    <row r="517" ht="19.5" customHeight="1">
      <c r="A517" s="12"/>
      <c r="C517" s="12"/>
      <c r="D517" s="13"/>
      <c r="F517" s="14"/>
      <c r="G517" s="14"/>
      <c r="H517" s="14"/>
      <c r="I517" s="14"/>
      <c r="J517" s="14"/>
      <c r="K517" s="12"/>
    </row>
    <row r="518" ht="19.5" customHeight="1">
      <c r="A518" s="12"/>
      <c r="C518" s="12"/>
      <c r="D518" s="13"/>
      <c r="F518" s="14"/>
      <c r="G518" s="14"/>
      <c r="H518" s="14"/>
      <c r="I518" s="14"/>
      <c r="J518" s="14"/>
      <c r="K518" s="12"/>
    </row>
    <row r="519" ht="19.5" customHeight="1">
      <c r="A519" s="12"/>
      <c r="C519" s="12"/>
      <c r="D519" s="13"/>
      <c r="F519" s="14"/>
      <c r="G519" s="14"/>
      <c r="H519" s="14"/>
      <c r="I519" s="14"/>
      <c r="J519" s="14"/>
      <c r="K519" s="12"/>
    </row>
    <row r="520" ht="19.5" customHeight="1">
      <c r="A520" s="12"/>
      <c r="C520" s="12"/>
      <c r="D520" s="13"/>
      <c r="F520" s="14"/>
      <c r="G520" s="14"/>
      <c r="H520" s="14"/>
      <c r="I520" s="14"/>
      <c r="J520" s="14"/>
      <c r="K520" s="12"/>
    </row>
    <row r="521" ht="19.5" customHeight="1">
      <c r="A521" s="12"/>
      <c r="C521" s="12"/>
      <c r="D521" s="13"/>
      <c r="F521" s="14"/>
      <c r="G521" s="14"/>
      <c r="H521" s="14"/>
      <c r="I521" s="14"/>
      <c r="J521" s="14"/>
      <c r="K521" s="12"/>
    </row>
    <row r="522" ht="19.5" customHeight="1">
      <c r="A522" s="12"/>
      <c r="C522" s="12"/>
      <c r="D522" s="13"/>
      <c r="F522" s="14"/>
      <c r="G522" s="14"/>
      <c r="H522" s="14"/>
      <c r="I522" s="14"/>
      <c r="J522" s="14"/>
      <c r="K522" s="12"/>
    </row>
    <row r="523" ht="19.5" customHeight="1">
      <c r="A523" s="12"/>
      <c r="C523" s="12"/>
      <c r="D523" s="13"/>
      <c r="F523" s="14"/>
      <c r="G523" s="14"/>
      <c r="H523" s="14"/>
      <c r="I523" s="14"/>
      <c r="J523" s="14"/>
      <c r="K523" s="12"/>
    </row>
    <row r="524" ht="19.5" customHeight="1">
      <c r="A524" s="12"/>
      <c r="C524" s="12"/>
      <c r="D524" s="13"/>
      <c r="F524" s="14"/>
      <c r="G524" s="14"/>
      <c r="H524" s="14"/>
      <c r="I524" s="14"/>
      <c r="J524" s="14"/>
      <c r="K524" s="12"/>
    </row>
    <row r="525" ht="19.5" customHeight="1">
      <c r="A525" s="12"/>
      <c r="C525" s="12"/>
      <c r="D525" s="13"/>
      <c r="F525" s="14"/>
      <c r="G525" s="14"/>
      <c r="H525" s="14"/>
      <c r="I525" s="14"/>
      <c r="J525" s="14"/>
      <c r="K525" s="12"/>
    </row>
    <row r="526" ht="19.5" customHeight="1">
      <c r="A526" s="12"/>
      <c r="C526" s="12"/>
      <c r="D526" s="13"/>
      <c r="F526" s="14"/>
      <c r="G526" s="14"/>
      <c r="H526" s="14"/>
      <c r="I526" s="14"/>
      <c r="J526" s="14"/>
      <c r="K526" s="12"/>
    </row>
    <row r="527" ht="19.5" customHeight="1">
      <c r="A527" s="12"/>
      <c r="C527" s="12"/>
      <c r="D527" s="13"/>
      <c r="F527" s="14"/>
      <c r="G527" s="14"/>
      <c r="H527" s="14"/>
      <c r="I527" s="14"/>
      <c r="J527" s="14"/>
      <c r="K527" s="12"/>
    </row>
    <row r="528" ht="19.5" customHeight="1">
      <c r="A528" s="12"/>
      <c r="C528" s="12"/>
      <c r="D528" s="13"/>
      <c r="F528" s="14"/>
      <c r="G528" s="14"/>
      <c r="H528" s="14"/>
      <c r="I528" s="14"/>
      <c r="J528" s="14"/>
      <c r="K528" s="12"/>
    </row>
    <row r="529" ht="19.5" customHeight="1">
      <c r="A529" s="12"/>
      <c r="C529" s="12"/>
      <c r="D529" s="13"/>
      <c r="F529" s="14"/>
      <c r="G529" s="14"/>
      <c r="H529" s="14"/>
      <c r="I529" s="14"/>
      <c r="J529" s="14"/>
      <c r="K529" s="12"/>
    </row>
    <row r="530" ht="19.5" customHeight="1">
      <c r="A530" s="12"/>
      <c r="C530" s="12"/>
      <c r="D530" s="13"/>
      <c r="F530" s="14"/>
      <c r="G530" s="14"/>
      <c r="H530" s="14"/>
      <c r="I530" s="14"/>
      <c r="J530" s="14"/>
      <c r="K530" s="12"/>
    </row>
    <row r="531" ht="19.5" customHeight="1">
      <c r="A531" s="12"/>
      <c r="C531" s="12"/>
      <c r="D531" s="13"/>
      <c r="F531" s="14"/>
      <c r="G531" s="14"/>
      <c r="H531" s="14"/>
      <c r="I531" s="14"/>
      <c r="J531" s="14"/>
      <c r="K531" s="12"/>
    </row>
    <row r="532" ht="19.5" customHeight="1">
      <c r="A532" s="12"/>
      <c r="C532" s="12"/>
      <c r="D532" s="13"/>
      <c r="F532" s="14"/>
      <c r="G532" s="14"/>
      <c r="H532" s="14"/>
      <c r="I532" s="14"/>
      <c r="J532" s="14"/>
      <c r="K532" s="12"/>
    </row>
    <row r="533" ht="19.5" customHeight="1">
      <c r="A533" s="12"/>
      <c r="C533" s="12"/>
      <c r="D533" s="13"/>
      <c r="F533" s="14"/>
      <c r="G533" s="14"/>
      <c r="H533" s="14"/>
      <c r="I533" s="14"/>
      <c r="J533" s="14"/>
      <c r="K533" s="12"/>
    </row>
    <row r="534" ht="19.5" customHeight="1">
      <c r="A534" s="12"/>
      <c r="C534" s="12"/>
      <c r="D534" s="13"/>
      <c r="F534" s="14"/>
      <c r="G534" s="14"/>
      <c r="H534" s="14"/>
      <c r="I534" s="14"/>
      <c r="J534" s="14"/>
      <c r="K534" s="12"/>
    </row>
    <row r="535" ht="19.5" customHeight="1">
      <c r="A535" s="12"/>
      <c r="C535" s="12"/>
      <c r="D535" s="13"/>
      <c r="F535" s="14"/>
      <c r="G535" s="14"/>
      <c r="H535" s="14"/>
      <c r="I535" s="14"/>
      <c r="J535" s="14"/>
      <c r="K535" s="12"/>
    </row>
    <row r="536" ht="19.5" customHeight="1">
      <c r="A536" s="12"/>
      <c r="C536" s="12"/>
      <c r="D536" s="13"/>
      <c r="F536" s="14"/>
      <c r="G536" s="14"/>
      <c r="H536" s="14"/>
      <c r="I536" s="14"/>
      <c r="J536" s="14"/>
      <c r="K536" s="12"/>
    </row>
    <row r="537" ht="19.5" customHeight="1">
      <c r="A537" s="12"/>
      <c r="C537" s="12"/>
      <c r="D537" s="13"/>
      <c r="F537" s="14"/>
      <c r="G537" s="14"/>
      <c r="H537" s="14"/>
      <c r="I537" s="14"/>
      <c r="J537" s="14"/>
      <c r="K537" s="12"/>
    </row>
    <row r="538" ht="19.5" customHeight="1">
      <c r="A538" s="12"/>
      <c r="C538" s="12"/>
      <c r="D538" s="13"/>
      <c r="F538" s="14"/>
      <c r="G538" s="14"/>
      <c r="H538" s="14"/>
      <c r="I538" s="14"/>
      <c r="J538" s="14"/>
      <c r="K538" s="12"/>
    </row>
    <row r="539" ht="19.5" customHeight="1">
      <c r="A539" s="12"/>
      <c r="C539" s="12"/>
      <c r="D539" s="13"/>
      <c r="F539" s="14"/>
      <c r="G539" s="14"/>
      <c r="H539" s="14"/>
      <c r="I539" s="14"/>
      <c r="J539" s="14"/>
      <c r="K539" s="12"/>
    </row>
    <row r="540" ht="19.5" customHeight="1">
      <c r="A540" s="12"/>
      <c r="C540" s="12"/>
      <c r="D540" s="13"/>
      <c r="F540" s="14"/>
      <c r="G540" s="14"/>
      <c r="H540" s="14"/>
      <c r="I540" s="14"/>
      <c r="J540" s="14"/>
      <c r="K540" s="12"/>
    </row>
    <row r="541" ht="19.5" customHeight="1">
      <c r="A541" s="12"/>
      <c r="C541" s="12"/>
      <c r="D541" s="13"/>
      <c r="F541" s="14"/>
      <c r="G541" s="14"/>
      <c r="H541" s="14"/>
      <c r="I541" s="14"/>
      <c r="J541" s="14"/>
      <c r="K541" s="12"/>
    </row>
    <row r="542" ht="19.5" customHeight="1">
      <c r="A542" s="12"/>
      <c r="C542" s="12"/>
      <c r="D542" s="13"/>
      <c r="F542" s="14"/>
      <c r="G542" s="14"/>
      <c r="H542" s="14"/>
      <c r="I542" s="14"/>
      <c r="J542" s="14"/>
      <c r="K542" s="12"/>
    </row>
    <row r="543" ht="19.5" customHeight="1">
      <c r="A543" s="12"/>
      <c r="C543" s="12"/>
      <c r="D543" s="13"/>
      <c r="F543" s="14"/>
      <c r="G543" s="14"/>
      <c r="H543" s="14"/>
      <c r="I543" s="14"/>
      <c r="J543" s="14"/>
      <c r="K543" s="12"/>
    </row>
    <row r="544" ht="19.5" customHeight="1">
      <c r="A544" s="12"/>
      <c r="C544" s="12"/>
      <c r="D544" s="13"/>
      <c r="F544" s="14"/>
      <c r="G544" s="14"/>
      <c r="H544" s="14"/>
      <c r="I544" s="14"/>
      <c r="J544" s="14"/>
      <c r="K544" s="12"/>
    </row>
    <row r="545" ht="19.5" customHeight="1">
      <c r="A545" s="12"/>
      <c r="C545" s="12"/>
      <c r="D545" s="13"/>
      <c r="F545" s="14"/>
      <c r="G545" s="14"/>
      <c r="H545" s="14"/>
      <c r="I545" s="14"/>
      <c r="J545" s="14"/>
      <c r="K545" s="12"/>
    </row>
    <row r="546" ht="19.5" customHeight="1">
      <c r="A546" s="12"/>
      <c r="C546" s="12"/>
      <c r="D546" s="13"/>
      <c r="F546" s="14"/>
      <c r="G546" s="14"/>
      <c r="H546" s="14"/>
      <c r="I546" s="14"/>
      <c r="J546" s="14"/>
      <c r="K546" s="12"/>
    </row>
    <row r="547" ht="19.5" customHeight="1">
      <c r="A547" s="12"/>
      <c r="C547" s="12"/>
      <c r="D547" s="13"/>
      <c r="F547" s="14"/>
      <c r="G547" s="14"/>
      <c r="H547" s="14"/>
      <c r="I547" s="14"/>
      <c r="J547" s="14"/>
      <c r="K547" s="12"/>
    </row>
    <row r="548" ht="19.5" customHeight="1">
      <c r="A548" s="12"/>
      <c r="C548" s="12"/>
      <c r="D548" s="13"/>
      <c r="F548" s="14"/>
      <c r="G548" s="14"/>
      <c r="H548" s="14"/>
      <c r="I548" s="14"/>
      <c r="J548" s="14"/>
      <c r="K548" s="12"/>
    </row>
    <row r="549" ht="19.5" customHeight="1">
      <c r="A549" s="12"/>
      <c r="C549" s="12"/>
      <c r="D549" s="13"/>
      <c r="F549" s="14"/>
      <c r="G549" s="14"/>
      <c r="H549" s="14"/>
      <c r="I549" s="14"/>
      <c r="J549" s="14"/>
      <c r="K549" s="12"/>
    </row>
    <row r="550" ht="19.5" customHeight="1">
      <c r="A550" s="12"/>
      <c r="C550" s="12"/>
      <c r="D550" s="13"/>
      <c r="F550" s="14"/>
      <c r="G550" s="14"/>
      <c r="H550" s="14"/>
      <c r="I550" s="14"/>
      <c r="J550" s="14"/>
      <c r="K550" s="12"/>
    </row>
    <row r="551" ht="19.5" customHeight="1">
      <c r="A551" s="12"/>
      <c r="C551" s="12"/>
      <c r="D551" s="13"/>
      <c r="F551" s="14"/>
      <c r="G551" s="14"/>
      <c r="H551" s="14"/>
      <c r="I551" s="14"/>
      <c r="J551" s="14"/>
      <c r="K551" s="12"/>
    </row>
    <row r="552" ht="19.5" customHeight="1">
      <c r="A552" s="12"/>
      <c r="C552" s="12"/>
      <c r="D552" s="13"/>
      <c r="F552" s="14"/>
      <c r="G552" s="14"/>
      <c r="H552" s="14"/>
      <c r="I552" s="14"/>
      <c r="J552" s="14"/>
      <c r="K552" s="12"/>
    </row>
    <row r="553" ht="19.5" customHeight="1">
      <c r="A553" s="12"/>
      <c r="C553" s="12"/>
      <c r="D553" s="13"/>
      <c r="F553" s="14"/>
      <c r="G553" s="14"/>
      <c r="H553" s="14"/>
      <c r="I553" s="14"/>
      <c r="J553" s="14"/>
      <c r="K553" s="12"/>
    </row>
    <row r="554" ht="19.5" customHeight="1">
      <c r="A554" s="12"/>
      <c r="C554" s="12"/>
      <c r="D554" s="13"/>
      <c r="F554" s="14"/>
      <c r="G554" s="14"/>
      <c r="H554" s="14"/>
      <c r="I554" s="14"/>
      <c r="J554" s="14"/>
      <c r="K554" s="12"/>
    </row>
    <row r="555" ht="19.5" customHeight="1">
      <c r="A555" s="12"/>
      <c r="C555" s="12"/>
      <c r="D555" s="13"/>
      <c r="F555" s="14"/>
      <c r="G555" s="14"/>
      <c r="H555" s="14"/>
      <c r="I555" s="14"/>
      <c r="J555" s="14"/>
      <c r="K555" s="12"/>
    </row>
    <row r="556" ht="19.5" customHeight="1">
      <c r="A556" s="12"/>
      <c r="C556" s="12"/>
      <c r="D556" s="13"/>
      <c r="F556" s="14"/>
      <c r="G556" s="14"/>
      <c r="H556" s="14"/>
      <c r="I556" s="14"/>
      <c r="J556" s="14"/>
      <c r="K556" s="12"/>
    </row>
    <row r="557" ht="19.5" customHeight="1">
      <c r="A557" s="12"/>
      <c r="C557" s="12"/>
      <c r="D557" s="13"/>
      <c r="F557" s="14"/>
      <c r="G557" s="14"/>
      <c r="H557" s="14"/>
      <c r="I557" s="14"/>
      <c r="J557" s="14"/>
      <c r="K557" s="12"/>
    </row>
    <row r="558" ht="19.5" customHeight="1">
      <c r="A558" s="12"/>
      <c r="C558" s="12"/>
      <c r="D558" s="13"/>
      <c r="F558" s="14"/>
      <c r="G558" s="14"/>
      <c r="H558" s="14"/>
      <c r="I558" s="14"/>
      <c r="J558" s="14"/>
      <c r="K558" s="12"/>
    </row>
    <row r="559" ht="19.5" customHeight="1">
      <c r="A559" s="12"/>
      <c r="C559" s="12"/>
      <c r="D559" s="13"/>
      <c r="F559" s="14"/>
      <c r="G559" s="14"/>
      <c r="H559" s="14"/>
      <c r="I559" s="14"/>
      <c r="J559" s="14"/>
      <c r="K559" s="12"/>
    </row>
    <row r="560" ht="19.5" customHeight="1">
      <c r="A560" s="12"/>
      <c r="C560" s="12"/>
      <c r="D560" s="13"/>
      <c r="F560" s="14"/>
      <c r="G560" s="14"/>
      <c r="H560" s="14"/>
      <c r="I560" s="14"/>
      <c r="J560" s="14"/>
      <c r="K560" s="12"/>
    </row>
    <row r="561" ht="19.5" customHeight="1">
      <c r="A561" s="12"/>
      <c r="C561" s="12"/>
      <c r="D561" s="13"/>
      <c r="F561" s="14"/>
      <c r="G561" s="14"/>
      <c r="H561" s="14"/>
      <c r="I561" s="14"/>
      <c r="J561" s="14"/>
      <c r="K561" s="12"/>
    </row>
    <row r="562" ht="19.5" customHeight="1">
      <c r="A562" s="12"/>
      <c r="C562" s="12"/>
      <c r="D562" s="13"/>
      <c r="F562" s="14"/>
      <c r="G562" s="14"/>
      <c r="H562" s="14"/>
      <c r="I562" s="14"/>
      <c r="J562" s="14"/>
      <c r="K562" s="12"/>
    </row>
    <row r="563" ht="19.5" customHeight="1">
      <c r="A563" s="12"/>
      <c r="C563" s="12"/>
      <c r="D563" s="13"/>
      <c r="F563" s="14"/>
      <c r="G563" s="14"/>
      <c r="H563" s="14"/>
      <c r="I563" s="14"/>
      <c r="J563" s="14"/>
      <c r="K563" s="12"/>
    </row>
    <row r="564" ht="19.5" customHeight="1">
      <c r="A564" s="12"/>
      <c r="C564" s="12"/>
      <c r="D564" s="13"/>
      <c r="F564" s="14"/>
      <c r="G564" s="14"/>
      <c r="H564" s="14"/>
      <c r="I564" s="14"/>
      <c r="J564" s="14"/>
      <c r="K564" s="12"/>
    </row>
    <row r="565" ht="19.5" customHeight="1">
      <c r="A565" s="12"/>
      <c r="C565" s="12"/>
      <c r="D565" s="13"/>
      <c r="F565" s="14"/>
      <c r="G565" s="14"/>
      <c r="H565" s="14"/>
      <c r="I565" s="14"/>
      <c r="J565" s="14"/>
      <c r="K565" s="12"/>
    </row>
    <row r="566" ht="19.5" customHeight="1">
      <c r="A566" s="12"/>
      <c r="C566" s="12"/>
      <c r="D566" s="13"/>
      <c r="F566" s="14"/>
      <c r="G566" s="14"/>
      <c r="H566" s="14"/>
      <c r="I566" s="14"/>
      <c r="J566" s="14"/>
      <c r="K566" s="12"/>
    </row>
    <row r="567" ht="19.5" customHeight="1">
      <c r="A567" s="12"/>
      <c r="C567" s="12"/>
      <c r="D567" s="13"/>
      <c r="F567" s="14"/>
      <c r="G567" s="14"/>
      <c r="H567" s="14"/>
      <c r="I567" s="14"/>
      <c r="J567" s="14"/>
      <c r="K567" s="12"/>
    </row>
    <row r="568" ht="19.5" customHeight="1">
      <c r="A568" s="12"/>
      <c r="C568" s="12"/>
      <c r="D568" s="13"/>
      <c r="F568" s="14"/>
      <c r="G568" s="14"/>
      <c r="H568" s="14"/>
      <c r="I568" s="14"/>
      <c r="J568" s="14"/>
      <c r="K568" s="12"/>
    </row>
    <row r="569" ht="19.5" customHeight="1">
      <c r="A569" s="12"/>
      <c r="C569" s="12"/>
      <c r="D569" s="13"/>
      <c r="F569" s="14"/>
      <c r="G569" s="14"/>
      <c r="H569" s="14"/>
      <c r="I569" s="14"/>
      <c r="J569" s="14"/>
      <c r="K569" s="12"/>
    </row>
    <row r="570" ht="19.5" customHeight="1">
      <c r="A570" s="12"/>
      <c r="C570" s="12"/>
      <c r="D570" s="13"/>
      <c r="F570" s="14"/>
      <c r="G570" s="14"/>
      <c r="H570" s="14"/>
      <c r="I570" s="14"/>
      <c r="J570" s="14"/>
      <c r="K570" s="12"/>
    </row>
    <row r="571" ht="19.5" customHeight="1">
      <c r="A571" s="12"/>
      <c r="C571" s="12"/>
      <c r="D571" s="13"/>
      <c r="F571" s="14"/>
      <c r="G571" s="14"/>
      <c r="H571" s="14"/>
      <c r="I571" s="14"/>
      <c r="J571" s="14"/>
      <c r="K571" s="12"/>
    </row>
    <row r="572" ht="19.5" customHeight="1">
      <c r="A572" s="12"/>
      <c r="C572" s="12"/>
      <c r="D572" s="13"/>
      <c r="F572" s="14"/>
      <c r="G572" s="14"/>
      <c r="H572" s="14"/>
      <c r="I572" s="14"/>
      <c r="J572" s="14"/>
      <c r="K572" s="12"/>
    </row>
    <row r="573" ht="19.5" customHeight="1">
      <c r="A573" s="12"/>
      <c r="C573" s="12"/>
      <c r="D573" s="13"/>
      <c r="F573" s="14"/>
      <c r="G573" s="14"/>
      <c r="H573" s="14"/>
      <c r="I573" s="14"/>
      <c r="J573" s="14"/>
      <c r="K573" s="12"/>
    </row>
    <row r="574" ht="19.5" customHeight="1">
      <c r="A574" s="12"/>
      <c r="C574" s="12"/>
      <c r="D574" s="13"/>
      <c r="F574" s="14"/>
      <c r="G574" s="14"/>
      <c r="H574" s="14"/>
      <c r="I574" s="14"/>
      <c r="J574" s="14"/>
      <c r="K574" s="12"/>
    </row>
    <row r="575" ht="19.5" customHeight="1">
      <c r="A575" s="12"/>
      <c r="C575" s="12"/>
      <c r="D575" s="13"/>
      <c r="F575" s="14"/>
      <c r="G575" s="14"/>
      <c r="H575" s="14"/>
      <c r="I575" s="14"/>
      <c r="J575" s="14"/>
      <c r="K575" s="12"/>
    </row>
    <row r="576" ht="19.5" customHeight="1">
      <c r="A576" s="12"/>
      <c r="C576" s="12"/>
      <c r="D576" s="13"/>
      <c r="F576" s="14"/>
      <c r="G576" s="14"/>
      <c r="H576" s="14"/>
      <c r="I576" s="14"/>
      <c r="J576" s="14"/>
      <c r="K576" s="12"/>
    </row>
    <row r="577" ht="19.5" customHeight="1">
      <c r="A577" s="12"/>
      <c r="C577" s="12"/>
      <c r="D577" s="13"/>
      <c r="F577" s="14"/>
      <c r="G577" s="14"/>
      <c r="H577" s="14"/>
      <c r="I577" s="14"/>
      <c r="J577" s="14"/>
      <c r="K577" s="12"/>
    </row>
    <row r="578" ht="19.5" customHeight="1">
      <c r="A578" s="12"/>
      <c r="C578" s="12"/>
      <c r="D578" s="13"/>
      <c r="F578" s="14"/>
      <c r="G578" s="14"/>
      <c r="H578" s="14"/>
      <c r="I578" s="14"/>
      <c r="J578" s="14"/>
      <c r="K578" s="12"/>
    </row>
    <row r="579" ht="19.5" customHeight="1">
      <c r="A579" s="12"/>
      <c r="C579" s="12"/>
      <c r="D579" s="13"/>
      <c r="F579" s="14"/>
      <c r="G579" s="14"/>
      <c r="H579" s="14"/>
      <c r="I579" s="14"/>
      <c r="J579" s="14"/>
      <c r="K579" s="12"/>
    </row>
    <row r="580" ht="19.5" customHeight="1">
      <c r="A580" s="12"/>
      <c r="C580" s="12"/>
      <c r="D580" s="13"/>
      <c r="F580" s="14"/>
      <c r="G580" s="14"/>
      <c r="H580" s="14"/>
      <c r="I580" s="14"/>
      <c r="J580" s="14"/>
      <c r="K580" s="12"/>
    </row>
    <row r="581" ht="19.5" customHeight="1">
      <c r="A581" s="12"/>
      <c r="C581" s="12"/>
      <c r="D581" s="13"/>
      <c r="F581" s="14"/>
      <c r="G581" s="14"/>
      <c r="H581" s="14"/>
      <c r="I581" s="14"/>
      <c r="J581" s="14"/>
      <c r="K581" s="12"/>
    </row>
    <row r="582" ht="19.5" customHeight="1">
      <c r="A582" s="12"/>
      <c r="C582" s="12"/>
      <c r="D582" s="13"/>
      <c r="F582" s="14"/>
      <c r="G582" s="14"/>
      <c r="H582" s="14"/>
      <c r="I582" s="14"/>
      <c r="J582" s="14"/>
      <c r="K582" s="12"/>
    </row>
    <row r="583" ht="19.5" customHeight="1">
      <c r="A583" s="12"/>
      <c r="C583" s="12"/>
      <c r="D583" s="13"/>
      <c r="F583" s="14"/>
      <c r="G583" s="14"/>
      <c r="H583" s="14"/>
      <c r="I583" s="14"/>
      <c r="J583" s="14"/>
      <c r="K583" s="12"/>
    </row>
    <row r="584" ht="19.5" customHeight="1">
      <c r="A584" s="12"/>
      <c r="C584" s="12"/>
      <c r="D584" s="13"/>
      <c r="F584" s="14"/>
      <c r="G584" s="14"/>
      <c r="H584" s="14"/>
      <c r="I584" s="14"/>
      <c r="J584" s="14"/>
      <c r="K584" s="12"/>
    </row>
    <row r="585" ht="19.5" customHeight="1">
      <c r="A585" s="12"/>
      <c r="C585" s="12"/>
      <c r="D585" s="13"/>
      <c r="F585" s="14"/>
      <c r="G585" s="14"/>
      <c r="H585" s="14"/>
      <c r="I585" s="14"/>
      <c r="J585" s="14"/>
      <c r="K585" s="12"/>
    </row>
    <row r="586" ht="19.5" customHeight="1">
      <c r="A586" s="12"/>
      <c r="C586" s="12"/>
      <c r="D586" s="13"/>
      <c r="F586" s="14"/>
      <c r="G586" s="14"/>
      <c r="H586" s="14"/>
      <c r="I586" s="14"/>
      <c r="J586" s="14"/>
      <c r="K586" s="12"/>
    </row>
    <row r="587" ht="19.5" customHeight="1">
      <c r="A587" s="12"/>
      <c r="C587" s="12"/>
      <c r="D587" s="13"/>
      <c r="F587" s="14"/>
      <c r="G587" s="14"/>
      <c r="H587" s="14"/>
      <c r="I587" s="14"/>
      <c r="J587" s="14"/>
      <c r="K587" s="12"/>
    </row>
    <row r="588" ht="19.5" customHeight="1">
      <c r="A588" s="12"/>
      <c r="C588" s="12"/>
      <c r="D588" s="13"/>
      <c r="F588" s="14"/>
      <c r="G588" s="14"/>
      <c r="H588" s="14"/>
      <c r="I588" s="14"/>
      <c r="J588" s="14"/>
      <c r="K588" s="12"/>
    </row>
    <row r="589" ht="19.5" customHeight="1">
      <c r="A589" s="12"/>
      <c r="C589" s="12"/>
      <c r="D589" s="13"/>
      <c r="F589" s="14"/>
      <c r="G589" s="14"/>
      <c r="H589" s="14"/>
      <c r="I589" s="14"/>
      <c r="J589" s="14"/>
      <c r="K589" s="12"/>
    </row>
    <row r="590" ht="19.5" customHeight="1">
      <c r="A590" s="12"/>
      <c r="C590" s="12"/>
      <c r="D590" s="13"/>
      <c r="F590" s="14"/>
      <c r="G590" s="14"/>
      <c r="H590" s="14"/>
      <c r="I590" s="14"/>
      <c r="J590" s="14"/>
      <c r="K590" s="12"/>
    </row>
    <row r="591" ht="19.5" customHeight="1">
      <c r="A591" s="12"/>
      <c r="C591" s="12"/>
      <c r="D591" s="13"/>
      <c r="F591" s="14"/>
      <c r="G591" s="14"/>
      <c r="H591" s="14"/>
      <c r="I591" s="14"/>
      <c r="J591" s="14"/>
      <c r="K591" s="12"/>
    </row>
    <row r="592" ht="19.5" customHeight="1">
      <c r="A592" s="12"/>
      <c r="C592" s="12"/>
      <c r="D592" s="13"/>
      <c r="F592" s="14"/>
      <c r="G592" s="14"/>
      <c r="H592" s="14"/>
      <c r="I592" s="14"/>
      <c r="J592" s="14"/>
      <c r="K592" s="12"/>
    </row>
    <row r="593" ht="19.5" customHeight="1">
      <c r="A593" s="12"/>
      <c r="C593" s="12"/>
      <c r="D593" s="13"/>
      <c r="F593" s="14"/>
      <c r="G593" s="14"/>
      <c r="H593" s="14"/>
      <c r="I593" s="14"/>
      <c r="J593" s="14"/>
      <c r="K593" s="12"/>
    </row>
    <row r="594" ht="19.5" customHeight="1">
      <c r="A594" s="12"/>
      <c r="C594" s="12"/>
      <c r="D594" s="13"/>
      <c r="F594" s="14"/>
      <c r="G594" s="14"/>
      <c r="H594" s="14"/>
      <c r="I594" s="14"/>
      <c r="J594" s="14"/>
      <c r="K594" s="12"/>
    </row>
    <row r="595" ht="19.5" customHeight="1">
      <c r="A595" s="12"/>
      <c r="C595" s="12"/>
      <c r="D595" s="13"/>
      <c r="F595" s="14"/>
      <c r="G595" s="14"/>
      <c r="H595" s="14"/>
      <c r="I595" s="14"/>
      <c r="J595" s="14"/>
      <c r="K595" s="12"/>
    </row>
    <row r="596" ht="19.5" customHeight="1">
      <c r="A596" s="12"/>
      <c r="C596" s="12"/>
      <c r="D596" s="13"/>
      <c r="F596" s="14"/>
      <c r="G596" s="14"/>
      <c r="H596" s="14"/>
      <c r="I596" s="14"/>
      <c r="J596" s="14"/>
      <c r="K596" s="12"/>
    </row>
    <row r="597" ht="19.5" customHeight="1">
      <c r="A597" s="12"/>
      <c r="C597" s="12"/>
      <c r="D597" s="13"/>
      <c r="F597" s="14"/>
      <c r="G597" s="14"/>
      <c r="H597" s="14"/>
      <c r="I597" s="14"/>
      <c r="J597" s="14"/>
      <c r="K597" s="12"/>
    </row>
    <row r="598" ht="19.5" customHeight="1">
      <c r="A598" s="12"/>
      <c r="C598" s="12"/>
      <c r="D598" s="13"/>
      <c r="F598" s="14"/>
      <c r="G598" s="14"/>
      <c r="H598" s="14"/>
      <c r="I598" s="14"/>
      <c r="J598" s="14"/>
      <c r="K598" s="12"/>
    </row>
    <row r="599" ht="19.5" customHeight="1">
      <c r="A599" s="12"/>
      <c r="C599" s="12"/>
      <c r="D599" s="13"/>
      <c r="F599" s="14"/>
      <c r="G599" s="14"/>
      <c r="H599" s="14"/>
      <c r="I599" s="14"/>
      <c r="J599" s="14"/>
      <c r="K599" s="12"/>
    </row>
    <row r="600" ht="19.5" customHeight="1">
      <c r="A600" s="12"/>
      <c r="C600" s="12"/>
      <c r="D600" s="13"/>
      <c r="F600" s="14"/>
      <c r="G600" s="14"/>
      <c r="H600" s="14"/>
      <c r="I600" s="14"/>
      <c r="J600" s="14"/>
      <c r="K600" s="12"/>
    </row>
    <row r="601" ht="19.5" customHeight="1">
      <c r="A601" s="12"/>
      <c r="C601" s="12"/>
      <c r="D601" s="13"/>
      <c r="F601" s="14"/>
      <c r="G601" s="14"/>
      <c r="H601" s="14"/>
      <c r="I601" s="14"/>
      <c r="J601" s="14"/>
      <c r="K601" s="12"/>
    </row>
    <row r="602" ht="19.5" customHeight="1">
      <c r="A602" s="12"/>
      <c r="C602" s="12"/>
      <c r="D602" s="13"/>
      <c r="F602" s="14"/>
      <c r="G602" s="14"/>
      <c r="H602" s="14"/>
      <c r="I602" s="14"/>
      <c r="J602" s="14"/>
      <c r="K602" s="12"/>
    </row>
    <row r="603" ht="19.5" customHeight="1">
      <c r="A603" s="12"/>
      <c r="C603" s="12"/>
      <c r="D603" s="13"/>
      <c r="F603" s="14"/>
      <c r="G603" s="14"/>
      <c r="H603" s="14"/>
      <c r="I603" s="14"/>
      <c r="J603" s="14"/>
      <c r="K603" s="12"/>
    </row>
    <row r="604" ht="19.5" customHeight="1">
      <c r="A604" s="12"/>
      <c r="C604" s="12"/>
      <c r="D604" s="13"/>
      <c r="F604" s="14"/>
      <c r="G604" s="14"/>
      <c r="H604" s="14"/>
      <c r="I604" s="14"/>
      <c r="J604" s="14"/>
      <c r="K604" s="12"/>
    </row>
    <row r="605" ht="19.5" customHeight="1">
      <c r="A605" s="12"/>
      <c r="C605" s="12"/>
      <c r="D605" s="13"/>
      <c r="F605" s="14"/>
      <c r="G605" s="14"/>
      <c r="H605" s="14"/>
      <c r="I605" s="14"/>
      <c r="J605" s="14"/>
      <c r="K605" s="12"/>
    </row>
    <row r="606" ht="19.5" customHeight="1">
      <c r="A606" s="12"/>
      <c r="C606" s="12"/>
      <c r="D606" s="13"/>
      <c r="F606" s="14"/>
      <c r="G606" s="14"/>
      <c r="H606" s="14"/>
      <c r="I606" s="14"/>
      <c r="J606" s="14"/>
      <c r="K606" s="12"/>
    </row>
    <row r="607" ht="19.5" customHeight="1">
      <c r="A607" s="12"/>
      <c r="C607" s="12"/>
      <c r="D607" s="13"/>
      <c r="F607" s="14"/>
      <c r="G607" s="14"/>
      <c r="H607" s="14"/>
      <c r="I607" s="14"/>
      <c r="J607" s="14"/>
      <c r="K607" s="12"/>
    </row>
    <row r="608" ht="19.5" customHeight="1">
      <c r="A608" s="12"/>
      <c r="C608" s="12"/>
      <c r="D608" s="13"/>
      <c r="F608" s="14"/>
      <c r="G608" s="14"/>
      <c r="H608" s="14"/>
      <c r="I608" s="14"/>
      <c r="J608" s="14"/>
      <c r="K608" s="12"/>
    </row>
    <row r="609" ht="19.5" customHeight="1">
      <c r="A609" s="12"/>
      <c r="C609" s="12"/>
      <c r="D609" s="13"/>
      <c r="F609" s="14"/>
      <c r="G609" s="14"/>
      <c r="H609" s="14"/>
      <c r="I609" s="14"/>
      <c r="J609" s="14"/>
      <c r="K609" s="12"/>
    </row>
    <row r="610" ht="19.5" customHeight="1">
      <c r="A610" s="12"/>
      <c r="C610" s="12"/>
      <c r="D610" s="13"/>
      <c r="F610" s="14"/>
      <c r="G610" s="14"/>
      <c r="H610" s="14"/>
      <c r="I610" s="14"/>
      <c r="J610" s="14"/>
      <c r="K610" s="12"/>
    </row>
    <row r="611" ht="19.5" customHeight="1">
      <c r="A611" s="12"/>
      <c r="C611" s="12"/>
      <c r="D611" s="13"/>
      <c r="F611" s="14"/>
      <c r="G611" s="14"/>
      <c r="H611" s="14"/>
      <c r="I611" s="14"/>
      <c r="J611" s="14"/>
      <c r="K611" s="12"/>
    </row>
    <row r="612" ht="19.5" customHeight="1">
      <c r="A612" s="12"/>
      <c r="C612" s="12"/>
      <c r="D612" s="13"/>
      <c r="F612" s="14"/>
      <c r="G612" s="14"/>
      <c r="H612" s="14"/>
      <c r="I612" s="14"/>
      <c r="J612" s="14"/>
      <c r="K612" s="12"/>
    </row>
    <row r="613" ht="19.5" customHeight="1">
      <c r="A613" s="12"/>
      <c r="C613" s="12"/>
      <c r="D613" s="13"/>
      <c r="F613" s="14"/>
      <c r="G613" s="14"/>
      <c r="H613" s="14"/>
      <c r="I613" s="14"/>
      <c r="J613" s="14"/>
      <c r="K613" s="12"/>
    </row>
    <row r="614" ht="19.5" customHeight="1">
      <c r="A614" s="12"/>
      <c r="C614" s="12"/>
      <c r="D614" s="13"/>
      <c r="F614" s="14"/>
      <c r="G614" s="14"/>
      <c r="H614" s="14"/>
      <c r="I614" s="14"/>
      <c r="J614" s="14"/>
      <c r="K614" s="12"/>
    </row>
    <row r="615" ht="19.5" customHeight="1">
      <c r="A615" s="12"/>
      <c r="C615" s="12"/>
      <c r="D615" s="13"/>
      <c r="F615" s="14"/>
      <c r="G615" s="14"/>
      <c r="H615" s="14"/>
      <c r="I615" s="14"/>
      <c r="J615" s="14"/>
      <c r="K615" s="12"/>
    </row>
    <row r="616" ht="19.5" customHeight="1">
      <c r="A616" s="12"/>
      <c r="C616" s="12"/>
      <c r="D616" s="13"/>
      <c r="F616" s="14"/>
      <c r="G616" s="14"/>
      <c r="H616" s="14"/>
      <c r="I616" s="14"/>
      <c r="J616" s="14"/>
      <c r="K616" s="12"/>
    </row>
    <row r="617" ht="19.5" customHeight="1">
      <c r="A617" s="12"/>
      <c r="C617" s="12"/>
      <c r="D617" s="13"/>
      <c r="F617" s="14"/>
      <c r="G617" s="14"/>
      <c r="H617" s="14"/>
      <c r="I617" s="14"/>
      <c r="J617" s="14"/>
      <c r="K617" s="12"/>
    </row>
    <row r="618" ht="19.5" customHeight="1">
      <c r="A618" s="12"/>
      <c r="C618" s="12"/>
      <c r="D618" s="13"/>
      <c r="F618" s="14"/>
      <c r="G618" s="14"/>
      <c r="H618" s="14"/>
      <c r="I618" s="14"/>
      <c r="J618" s="14"/>
      <c r="K618" s="12"/>
    </row>
    <row r="619" ht="19.5" customHeight="1">
      <c r="A619" s="12"/>
      <c r="C619" s="12"/>
      <c r="D619" s="13"/>
      <c r="F619" s="14"/>
      <c r="G619" s="14"/>
      <c r="H619" s="14"/>
      <c r="I619" s="14"/>
      <c r="J619" s="14"/>
      <c r="K619" s="12"/>
    </row>
    <row r="620" ht="19.5" customHeight="1">
      <c r="A620" s="12"/>
      <c r="C620" s="12"/>
      <c r="D620" s="13"/>
      <c r="F620" s="14"/>
      <c r="G620" s="14"/>
      <c r="H620" s="14"/>
      <c r="I620" s="14"/>
      <c r="J620" s="14"/>
      <c r="K620" s="12"/>
    </row>
    <row r="621" ht="19.5" customHeight="1">
      <c r="A621" s="12"/>
      <c r="C621" s="12"/>
      <c r="D621" s="13"/>
      <c r="F621" s="14"/>
      <c r="G621" s="14"/>
      <c r="H621" s="14"/>
      <c r="I621" s="14"/>
      <c r="J621" s="14"/>
      <c r="K621" s="12"/>
    </row>
    <row r="622" ht="19.5" customHeight="1">
      <c r="A622" s="12"/>
      <c r="C622" s="12"/>
      <c r="D622" s="13"/>
      <c r="F622" s="14"/>
      <c r="G622" s="14"/>
      <c r="H622" s="14"/>
      <c r="I622" s="14"/>
      <c r="J622" s="14"/>
      <c r="K622" s="12"/>
    </row>
    <row r="623" ht="19.5" customHeight="1">
      <c r="A623" s="12"/>
      <c r="C623" s="12"/>
      <c r="D623" s="13"/>
      <c r="F623" s="14"/>
      <c r="G623" s="14"/>
      <c r="H623" s="14"/>
      <c r="I623" s="14"/>
      <c r="J623" s="14"/>
      <c r="K623" s="12"/>
    </row>
    <row r="624" ht="19.5" customHeight="1">
      <c r="A624" s="12"/>
      <c r="C624" s="12"/>
      <c r="D624" s="13"/>
      <c r="F624" s="14"/>
      <c r="G624" s="14"/>
      <c r="H624" s="14"/>
      <c r="I624" s="14"/>
      <c r="J624" s="14"/>
      <c r="K624" s="12"/>
    </row>
    <row r="625" ht="19.5" customHeight="1">
      <c r="A625" s="12"/>
      <c r="C625" s="12"/>
      <c r="D625" s="13"/>
      <c r="F625" s="14"/>
      <c r="G625" s="14"/>
      <c r="H625" s="14"/>
      <c r="I625" s="14"/>
      <c r="J625" s="14"/>
      <c r="K625" s="12"/>
    </row>
    <row r="626" ht="19.5" customHeight="1">
      <c r="A626" s="12"/>
      <c r="C626" s="12"/>
      <c r="D626" s="13"/>
      <c r="F626" s="14"/>
      <c r="G626" s="14"/>
      <c r="H626" s="14"/>
      <c r="I626" s="14"/>
      <c r="J626" s="14"/>
      <c r="K626" s="12"/>
    </row>
    <row r="627" ht="19.5" customHeight="1">
      <c r="A627" s="12"/>
      <c r="C627" s="12"/>
      <c r="D627" s="13"/>
      <c r="F627" s="14"/>
      <c r="G627" s="14"/>
      <c r="H627" s="14"/>
      <c r="I627" s="14"/>
      <c r="J627" s="14"/>
      <c r="K627" s="12"/>
    </row>
    <row r="628" ht="19.5" customHeight="1">
      <c r="A628" s="12"/>
      <c r="C628" s="12"/>
      <c r="D628" s="13"/>
      <c r="F628" s="14"/>
      <c r="G628" s="14"/>
      <c r="H628" s="14"/>
      <c r="I628" s="14"/>
      <c r="J628" s="14"/>
      <c r="K628" s="12"/>
    </row>
    <row r="629" ht="19.5" customHeight="1">
      <c r="A629" s="12"/>
      <c r="C629" s="12"/>
      <c r="D629" s="13"/>
      <c r="F629" s="14"/>
      <c r="G629" s="14"/>
      <c r="H629" s="14"/>
      <c r="I629" s="14"/>
      <c r="J629" s="14"/>
      <c r="K629" s="12"/>
    </row>
    <row r="630" ht="19.5" customHeight="1">
      <c r="A630" s="12"/>
      <c r="C630" s="12"/>
      <c r="D630" s="13"/>
      <c r="F630" s="14"/>
      <c r="G630" s="14"/>
      <c r="H630" s="14"/>
      <c r="I630" s="14"/>
      <c r="J630" s="14"/>
      <c r="K630" s="12"/>
    </row>
    <row r="631" ht="19.5" customHeight="1">
      <c r="A631" s="12"/>
      <c r="C631" s="12"/>
      <c r="D631" s="13"/>
      <c r="F631" s="14"/>
      <c r="G631" s="14"/>
      <c r="H631" s="14"/>
      <c r="I631" s="14"/>
      <c r="J631" s="14"/>
      <c r="K631" s="12"/>
    </row>
    <row r="632" ht="19.5" customHeight="1">
      <c r="A632" s="12"/>
      <c r="C632" s="12"/>
      <c r="D632" s="13"/>
      <c r="F632" s="14"/>
      <c r="G632" s="14"/>
      <c r="H632" s="14"/>
      <c r="I632" s="14"/>
      <c r="J632" s="14"/>
      <c r="K632" s="12"/>
    </row>
    <row r="633" ht="19.5" customHeight="1">
      <c r="A633" s="12"/>
      <c r="C633" s="12"/>
      <c r="D633" s="13"/>
      <c r="F633" s="14"/>
      <c r="G633" s="14"/>
      <c r="H633" s="14"/>
      <c r="I633" s="14"/>
      <c r="J633" s="14"/>
      <c r="K633" s="12"/>
    </row>
    <row r="634" ht="19.5" customHeight="1">
      <c r="A634" s="12"/>
      <c r="C634" s="12"/>
      <c r="D634" s="13"/>
      <c r="F634" s="14"/>
      <c r="G634" s="14"/>
      <c r="H634" s="14"/>
      <c r="I634" s="14"/>
      <c r="J634" s="14"/>
      <c r="K634" s="12"/>
    </row>
    <row r="635" ht="19.5" customHeight="1">
      <c r="A635" s="12"/>
      <c r="C635" s="12"/>
      <c r="D635" s="13"/>
      <c r="F635" s="14"/>
      <c r="G635" s="14"/>
      <c r="H635" s="14"/>
      <c r="I635" s="14"/>
      <c r="J635" s="14"/>
      <c r="K635" s="12"/>
    </row>
    <row r="636" ht="19.5" customHeight="1">
      <c r="A636" s="12"/>
      <c r="C636" s="12"/>
      <c r="D636" s="13"/>
      <c r="F636" s="14"/>
      <c r="G636" s="14"/>
      <c r="H636" s="14"/>
      <c r="I636" s="14"/>
      <c r="J636" s="14"/>
      <c r="K636" s="12"/>
    </row>
    <row r="637" ht="19.5" customHeight="1">
      <c r="A637" s="12"/>
      <c r="C637" s="12"/>
      <c r="D637" s="13"/>
      <c r="F637" s="14"/>
      <c r="G637" s="14"/>
      <c r="H637" s="14"/>
      <c r="I637" s="14"/>
      <c r="J637" s="14"/>
      <c r="K637" s="12"/>
    </row>
    <row r="638" ht="19.5" customHeight="1">
      <c r="A638" s="12"/>
      <c r="C638" s="12"/>
      <c r="D638" s="13"/>
      <c r="F638" s="14"/>
      <c r="G638" s="14"/>
      <c r="H638" s="14"/>
      <c r="I638" s="14"/>
      <c r="J638" s="14"/>
      <c r="K638" s="12"/>
    </row>
    <row r="639" ht="19.5" customHeight="1">
      <c r="A639" s="12"/>
      <c r="C639" s="12"/>
      <c r="D639" s="13"/>
      <c r="F639" s="14"/>
      <c r="G639" s="14"/>
      <c r="H639" s="14"/>
      <c r="I639" s="14"/>
      <c r="J639" s="14"/>
      <c r="K639" s="12"/>
    </row>
    <row r="640" ht="19.5" customHeight="1">
      <c r="A640" s="12"/>
      <c r="C640" s="12"/>
      <c r="D640" s="13"/>
      <c r="F640" s="14"/>
      <c r="G640" s="14"/>
      <c r="H640" s="14"/>
      <c r="I640" s="14"/>
      <c r="J640" s="14"/>
      <c r="K640" s="12"/>
    </row>
    <row r="641" ht="19.5" customHeight="1">
      <c r="A641" s="12"/>
      <c r="C641" s="12"/>
      <c r="D641" s="13"/>
      <c r="F641" s="14"/>
      <c r="G641" s="14"/>
      <c r="H641" s="14"/>
      <c r="I641" s="14"/>
      <c r="J641" s="14"/>
      <c r="K641" s="12"/>
    </row>
    <row r="642" ht="19.5" customHeight="1">
      <c r="A642" s="12"/>
      <c r="C642" s="12"/>
      <c r="D642" s="13"/>
      <c r="F642" s="14"/>
      <c r="G642" s="14"/>
      <c r="H642" s="14"/>
      <c r="I642" s="14"/>
      <c r="J642" s="14"/>
      <c r="K642" s="12"/>
    </row>
    <row r="643" ht="19.5" customHeight="1">
      <c r="A643" s="12"/>
      <c r="C643" s="12"/>
      <c r="D643" s="13"/>
      <c r="F643" s="14"/>
      <c r="G643" s="14"/>
      <c r="H643" s="14"/>
      <c r="I643" s="14"/>
      <c r="J643" s="14"/>
      <c r="K643" s="12"/>
    </row>
    <row r="644" ht="19.5" customHeight="1">
      <c r="A644" s="12"/>
      <c r="C644" s="12"/>
      <c r="D644" s="13"/>
      <c r="F644" s="14"/>
      <c r="G644" s="14"/>
      <c r="H644" s="14"/>
      <c r="I644" s="14"/>
      <c r="J644" s="14"/>
      <c r="K644" s="12"/>
    </row>
    <row r="645" ht="19.5" customHeight="1">
      <c r="A645" s="12"/>
      <c r="C645" s="12"/>
      <c r="D645" s="13"/>
      <c r="F645" s="14"/>
      <c r="G645" s="14"/>
      <c r="H645" s="14"/>
      <c r="I645" s="14"/>
      <c r="J645" s="14"/>
      <c r="K645" s="12"/>
    </row>
    <row r="646" ht="19.5" customHeight="1">
      <c r="A646" s="12"/>
      <c r="C646" s="12"/>
      <c r="D646" s="13"/>
      <c r="F646" s="14"/>
      <c r="G646" s="14"/>
      <c r="H646" s="14"/>
      <c r="I646" s="14"/>
      <c r="J646" s="14"/>
      <c r="K646" s="12"/>
    </row>
    <row r="647" ht="19.5" customHeight="1">
      <c r="A647" s="12"/>
      <c r="C647" s="12"/>
      <c r="D647" s="13"/>
      <c r="F647" s="14"/>
      <c r="G647" s="14"/>
      <c r="H647" s="14"/>
      <c r="I647" s="14"/>
      <c r="J647" s="14"/>
      <c r="K647" s="12"/>
    </row>
    <row r="648" ht="19.5" customHeight="1">
      <c r="A648" s="12"/>
      <c r="C648" s="12"/>
      <c r="D648" s="13"/>
      <c r="F648" s="14"/>
      <c r="G648" s="14"/>
      <c r="H648" s="14"/>
      <c r="I648" s="14"/>
      <c r="J648" s="14"/>
      <c r="K648" s="12"/>
    </row>
    <row r="649" ht="19.5" customHeight="1">
      <c r="A649" s="12"/>
      <c r="C649" s="12"/>
      <c r="D649" s="13"/>
      <c r="F649" s="14"/>
      <c r="G649" s="14"/>
      <c r="H649" s="14"/>
      <c r="I649" s="14"/>
      <c r="J649" s="14"/>
      <c r="K649" s="12"/>
    </row>
    <row r="650" ht="19.5" customHeight="1">
      <c r="A650" s="12"/>
      <c r="C650" s="12"/>
      <c r="D650" s="13"/>
      <c r="F650" s="14"/>
      <c r="G650" s="14"/>
      <c r="H650" s="14"/>
      <c r="I650" s="14"/>
      <c r="J650" s="14"/>
      <c r="K650" s="12"/>
    </row>
    <row r="651" ht="19.5" customHeight="1">
      <c r="A651" s="12"/>
      <c r="C651" s="12"/>
      <c r="D651" s="13"/>
      <c r="F651" s="14"/>
      <c r="G651" s="14"/>
      <c r="H651" s="14"/>
      <c r="I651" s="14"/>
      <c r="J651" s="14"/>
      <c r="K651" s="12"/>
    </row>
    <row r="652" ht="19.5" customHeight="1">
      <c r="A652" s="12"/>
      <c r="C652" s="12"/>
      <c r="D652" s="13"/>
      <c r="F652" s="14"/>
      <c r="G652" s="14"/>
      <c r="H652" s="14"/>
      <c r="I652" s="14"/>
      <c r="J652" s="14"/>
      <c r="K652" s="12"/>
    </row>
    <row r="653" ht="19.5" customHeight="1">
      <c r="A653" s="12"/>
      <c r="C653" s="12"/>
      <c r="D653" s="13"/>
      <c r="F653" s="14"/>
      <c r="G653" s="14"/>
      <c r="H653" s="14"/>
      <c r="I653" s="14"/>
      <c r="J653" s="14"/>
      <c r="K653" s="12"/>
    </row>
    <row r="654" ht="19.5" customHeight="1">
      <c r="A654" s="12"/>
      <c r="C654" s="12"/>
      <c r="D654" s="13"/>
      <c r="F654" s="14"/>
      <c r="G654" s="14"/>
      <c r="H654" s="14"/>
      <c r="I654" s="14"/>
      <c r="J654" s="14"/>
      <c r="K654" s="12"/>
    </row>
    <row r="655" ht="19.5" customHeight="1">
      <c r="A655" s="12"/>
      <c r="C655" s="12"/>
      <c r="D655" s="13"/>
      <c r="F655" s="14"/>
      <c r="G655" s="14"/>
      <c r="H655" s="14"/>
      <c r="I655" s="14"/>
      <c r="J655" s="14"/>
      <c r="K655" s="12"/>
    </row>
    <row r="656" ht="19.5" customHeight="1">
      <c r="A656" s="12"/>
      <c r="C656" s="12"/>
      <c r="D656" s="13"/>
      <c r="F656" s="14"/>
      <c r="G656" s="14"/>
      <c r="H656" s="14"/>
      <c r="I656" s="14"/>
      <c r="J656" s="14"/>
      <c r="K656" s="12"/>
    </row>
    <row r="657" ht="19.5" customHeight="1">
      <c r="A657" s="12"/>
      <c r="C657" s="12"/>
      <c r="D657" s="13"/>
      <c r="F657" s="14"/>
      <c r="G657" s="14"/>
      <c r="H657" s="14"/>
      <c r="I657" s="14"/>
      <c r="J657" s="14"/>
      <c r="K657" s="12"/>
    </row>
    <row r="658" ht="19.5" customHeight="1">
      <c r="A658" s="12"/>
      <c r="C658" s="12"/>
      <c r="D658" s="13"/>
      <c r="F658" s="14"/>
      <c r="G658" s="14"/>
      <c r="H658" s="14"/>
      <c r="I658" s="14"/>
      <c r="J658" s="14"/>
      <c r="K658" s="12"/>
    </row>
    <row r="659" ht="19.5" customHeight="1">
      <c r="A659" s="12"/>
      <c r="C659" s="12"/>
      <c r="D659" s="13"/>
      <c r="F659" s="14"/>
      <c r="G659" s="14"/>
      <c r="H659" s="14"/>
      <c r="I659" s="14"/>
      <c r="J659" s="14"/>
      <c r="K659" s="12"/>
    </row>
    <row r="660" ht="19.5" customHeight="1">
      <c r="A660" s="12"/>
      <c r="C660" s="12"/>
      <c r="D660" s="13"/>
      <c r="F660" s="14"/>
      <c r="G660" s="14"/>
      <c r="H660" s="14"/>
      <c r="I660" s="14"/>
      <c r="J660" s="14"/>
      <c r="K660" s="12"/>
    </row>
    <row r="661" ht="19.5" customHeight="1">
      <c r="A661" s="12"/>
      <c r="C661" s="12"/>
      <c r="D661" s="13"/>
      <c r="F661" s="14"/>
      <c r="G661" s="14"/>
      <c r="H661" s="14"/>
      <c r="I661" s="14"/>
      <c r="J661" s="14"/>
      <c r="K661" s="12"/>
    </row>
    <row r="662" ht="19.5" customHeight="1">
      <c r="A662" s="12"/>
      <c r="C662" s="12"/>
      <c r="D662" s="13"/>
      <c r="F662" s="14"/>
      <c r="G662" s="14"/>
      <c r="H662" s="14"/>
      <c r="I662" s="14"/>
      <c r="J662" s="14"/>
      <c r="K662" s="12"/>
    </row>
    <row r="663" ht="19.5" customHeight="1">
      <c r="A663" s="12"/>
      <c r="C663" s="12"/>
      <c r="D663" s="13"/>
      <c r="F663" s="14"/>
      <c r="G663" s="14"/>
      <c r="H663" s="14"/>
      <c r="I663" s="14"/>
      <c r="J663" s="14"/>
      <c r="K663" s="12"/>
    </row>
    <row r="664" ht="19.5" customHeight="1">
      <c r="A664" s="12"/>
      <c r="C664" s="12"/>
      <c r="D664" s="13"/>
      <c r="F664" s="14"/>
      <c r="G664" s="14"/>
      <c r="H664" s="14"/>
      <c r="I664" s="14"/>
      <c r="J664" s="14"/>
      <c r="K664" s="12"/>
    </row>
    <row r="665" ht="19.5" customHeight="1">
      <c r="A665" s="12"/>
      <c r="C665" s="12"/>
      <c r="D665" s="13"/>
      <c r="F665" s="14"/>
      <c r="G665" s="14"/>
      <c r="H665" s="14"/>
      <c r="I665" s="14"/>
      <c r="J665" s="14"/>
      <c r="K665" s="12"/>
    </row>
    <row r="666" ht="19.5" customHeight="1">
      <c r="A666" s="12"/>
      <c r="C666" s="12"/>
      <c r="D666" s="13"/>
      <c r="F666" s="14"/>
      <c r="G666" s="14"/>
      <c r="H666" s="14"/>
      <c r="I666" s="14"/>
      <c r="J666" s="14"/>
      <c r="K666" s="12"/>
    </row>
    <row r="667" ht="19.5" customHeight="1">
      <c r="A667" s="12"/>
      <c r="C667" s="12"/>
      <c r="D667" s="13"/>
      <c r="F667" s="14"/>
      <c r="G667" s="14"/>
      <c r="H667" s="14"/>
      <c r="I667" s="14"/>
      <c r="J667" s="14"/>
      <c r="K667" s="12"/>
    </row>
    <row r="668" ht="19.5" customHeight="1">
      <c r="A668" s="12"/>
      <c r="C668" s="12"/>
      <c r="D668" s="13"/>
      <c r="F668" s="14"/>
      <c r="G668" s="14"/>
      <c r="H668" s="14"/>
      <c r="I668" s="14"/>
      <c r="J668" s="14"/>
      <c r="K668" s="12"/>
    </row>
    <row r="669" ht="19.5" customHeight="1">
      <c r="A669" s="12"/>
      <c r="C669" s="12"/>
      <c r="D669" s="13"/>
      <c r="F669" s="14"/>
      <c r="G669" s="14"/>
      <c r="H669" s="14"/>
      <c r="I669" s="14"/>
      <c r="J669" s="14"/>
      <c r="K669" s="12"/>
    </row>
    <row r="670" ht="19.5" customHeight="1">
      <c r="A670" s="12"/>
      <c r="C670" s="12"/>
      <c r="D670" s="13"/>
      <c r="F670" s="14"/>
      <c r="G670" s="14"/>
      <c r="H670" s="14"/>
      <c r="I670" s="14"/>
      <c r="J670" s="14"/>
      <c r="K670" s="12"/>
    </row>
    <row r="671" ht="19.5" customHeight="1">
      <c r="A671" s="12"/>
      <c r="C671" s="12"/>
      <c r="D671" s="13"/>
      <c r="F671" s="14"/>
      <c r="G671" s="14"/>
      <c r="H671" s="14"/>
      <c r="I671" s="14"/>
      <c r="J671" s="14"/>
      <c r="K671" s="12"/>
    </row>
    <row r="672" ht="19.5" customHeight="1">
      <c r="A672" s="12"/>
      <c r="C672" s="12"/>
      <c r="D672" s="13"/>
      <c r="F672" s="14"/>
      <c r="G672" s="14"/>
      <c r="H672" s="14"/>
      <c r="I672" s="14"/>
      <c r="J672" s="14"/>
      <c r="K672" s="12"/>
    </row>
    <row r="673" ht="19.5" customHeight="1">
      <c r="A673" s="12"/>
      <c r="C673" s="12"/>
      <c r="D673" s="13"/>
      <c r="F673" s="14"/>
      <c r="G673" s="14"/>
      <c r="H673" s="14"/>
      <c r="I673" s="14"/>
      <c r="J673" s="14"/>
      <c r="K673" s="12"/>
    </row>
    <row r="674" ht="19.5" customHeight="1">
      <c r="A674" s="12"/>
      <c r="C674" s="12"/>
      <c r="D674" s="13"/>
      <c r="F674" s="14"/>
      <c r="G674" s="14"/>
      <c r="H674" s="14"/>
      <c r="I674" s="14"/>
      <c r="J674" s="14"/>
      <c r="K674" s="12"/>
    </row>
    <row r="675" ht="19.5" customHeight="1">
      <c r="A675" s="12"/>
      <c r="C675" s="12"/>
      <c r="D675" s="13"/>
      <c r="F675" s="14"/>
      <c r="G675" s="14"/>
      <c r="H675" s="14"/>
      <c r="I675" s="14"/>
      <c r="J675" s="14"/>
      <c r="K675" s="12"/>
    </row>
    <row r="676" ht="19.5" customHeight="1">
      <c r="A676" s="12"/>
      <c r="C676" s="12"/>
      <c r="D676" s="13"/>
      <c r="F676" s="14"/>
      <c r="G676" s="14"/>
      <c r="H676" s="14"/>
      <c r="I676" s="14"/>
      <c r="J676" s="14"/>
      <c r="K676" s="12"/>
    </row>
    <row r="677" ht="19.5" customHeight="1">
      <c r="A677" s="12"/>
      <c r="C677" s="12"/>
      <c r="D677" s="13"/>
      <c r="F677" s="14"/>
      <c r="G677" s="14"/>
      <c r="H677" s="14"/>
      <c r="I677" s="14"/>
      <c r="J677" s="14"/>
      <c r="K677" s="12"/>
    </row>
    <row r="678" ht="19.5" customHeight="1">
      <c r="A678" s="12"/>
      <c r="C678" s="12"/>
      <c r="D678" s="13"/>
      <c r="F678" s="14"/>
      <c r="G678" s="14"/>
      <c r="H678" s="14"/>
      <c r="I678" s="14"/>
      <c r="J678" s="14"/>
      <c r="K678" s="12"/>
    </row>
    <row r="679" ht="19.5" customHeight="1">
      <c r="A679" s="12"/>
      <c r="C679" s="12"/>
      <c r="D679" s="13"/>
      <c r="F679" s="14"/>
      <c r="G679" s="14"/>
      <c r="H679" s="14"/>
      <c r="I679" s="14"/>
      <c r="J679" s="14"/>
      <c r="K679" s="12"/>
    </row>
    <row r="680" ht="19.5" customHeight="1">
      <c r="A680" s="12"/>
      <c r="C680" s="12"/>
      <c r="D680" s="13"/>
      <c r="F680" s="14"/>
      <c r="G680" s="14"/>
      <c r="H680" s="14"/>
      <c r="I680" s="14"/>
      <c r="J680" s="14"/>
      <c r="K680" s="12"/>
    </row>
    <row r="681" ht="19.5" customHeight="1">
      <c r="A681" s="12"/>
      <c r="C681" s="12"/>
      <c r="D681" s="13"/>
      <c r="F681" s="14"/>
      <c r="G681" s="14"/>
      <c r="H681" s="14"/>
      <c r="I681" s="14"/>
      <c r="J681" s="14"/>
      <c r="K681" s="12"/>
    </row>
    <row r="682" ht="19.5" customHeight="1">
      <c r="A682" s="12"/>
      <c r="C682" s="12"/>
      <c r="D682" s="13"/>
      <c r="F682" s="14"/>
      <c r="G682" s="14"/>
      <c r="H682" s="14"/>
      <c r="I682" s="14"/>
      <c r="J682" s="14"/>
      <c r="K682" s="12"/>
    </row>
    <row r="683" ht="19.5" customHeight="1">
      <c r="A683" s="12"/>
      <c r="C683" s="12"/>
      <c r="D683" s="13"/>
      <c r="F683" s="14"/>
      <c r="G683" s="14"/>
      <c r="H683" s="14"/>
      <c r="I683" s="14"/>
      <c r="J683" s="14"/>
      <c r="K683" s="12"/>
    </row>
    <row r="684" ht="19.5" customHeight="1">
      <c r="A684" s="12"/>
      <c r="C684" s="12"/>
      <c r="D684" s="13"/>
      <c r="F684" s="14"/>
      <c r="G684" s="14"/>
      <c r="H684" s="14"/>
      <c r="I684" s="14"/>
      <c r="J684" s="14"/>
      <c r="K684" s="12"/>
    </row>
    <row r="685" ht="19.5" customHeight="1">
      <c r="A685" s="12"/>
      <c r="C685" s="12"/>
      <c r="D685" s="13"/>
      <c r="F685" s="14"/>
      <c r="G685" s="14"/>
      <c r="H685" s="14"/>
      <c r="I685" s="14"/>
      <c r="J685" s="14"/>
      <c r="K685" s="12"/>
    </row>
    <row r="686" ht="19.5" customHeight="1">
      <c r="A686" s="12"/>
      <c r="C686" s="12"/>
      <c r="D686" s="13"/>
      <c r="F686" s="14"/>
      <c r="G686" s="14"/>
      <c r="H686" s="14"/>
      <c r="I686" s="14"/>
      <c r="J686" s="14"/>
      <c r="K686" s="12"/>
    </row>
    <row r="687" ht="19.5" customHeight="1">
      <c r="A687" s="12"/>
      <c r="C687" s="12"/>
      <c r="D687" s="13"/>
      <c r="F687" s="14"/>
      <c r="G687" s="14"/>
      <c r="H687" s="14"/>
      <c r="I687" s="14"/>
      <c r="J687" s="14"/>
      <c r="K687" s="12"/>
    </row>
    <row r="688" ht="19.5" customHeight="1">
      <c r="A688" s="12"/>
      <c r="C688" s="12"/>
      <c r="D688" s="13"/>
      <c r="F688" s="14"/>
      <c r="G688" s="14"/>
      <c r="H688" s="14"/>
      <c r="I688" s="14"/>
      <c r="J688" s="14"/>
      <c r="K688" s="12"/>
    </row>
    <row r="689" ht="19.5" customHeight="1">
      <c r="A689" s="12"/>
      <c r="C689" s="12"/>
      <c r="D689" s="13"/>
      <c r="F689" s="14"/>
      <c r="G689" s="14"/>
      <c r="H689" s="14"/>
      <c r="I689" s="14"/>
      <c r="J689" s="14"/>
      <c r="K689" s="12"/>
    </row>
    <row r="690" ht="19.5" customHeight="1">
      <c r="A690" s="12"/>
      <c r="C690" s="12"/>
      <c r="D690" s="13"/>
      <c r="F690" s="14"/>
      <c r="G690" s="14"/>
      <c r="H690" s="14"/>
      <c r="I690" s="14"/>
      <c r="J690" s="14"/>
      <c r="K690" s="12"/>
    </row>
    <row r="691" ht="19.5" customHeight="1">
      <c r="A691" s="12"/>
      <c r="C691" s="12"/>
      <c r="D691" s="13"/>
      <c r="F691" s="14"/>
      <c r="G691" s="14"/>
      <c r="H691" s="14"/>
      <c r="I691" s="14"/>
      <c r="J691" s="14"/>
      <c r="K691" s="12"/>
    </row>
    <row r="692" ht="19.5" customHeight="1">
      <c r="A692" s="12"/>
      <c r="C692" s="12"/>
      <c r="D692" s="13"/>
      <c r="F692" s="14"/>
      <c r="G692" s="14"/>
      <c r="H692" s="14"/>
      <c r="I692" s="14"/>
      <c r="J692" s="14"/>
      <c r="K692" s="12"/>
    </row>
    <row r="693" ht="19.5" customHeight="1">
      <c r="A693" s="12"/>
      <c r="C693" s="12"/>
      <c r="D693" s="13"/>
      <c r="F693" s="14"/>
      <c r="G693" s="14"/>
      <c r="H693" s="14"/>
      <c r="I693" s="14"/>
      <c r="J693" s="14"/>
      <c r="K693" s="12"/>
    </row>
    <row r="694" ht="19.5" customHeight="1">
      <c r="A694" s="12"/>
      <c r="C694" s="12"/>
      <c r="D694" s="13"/>
      <c r="F694" s="14"/>
      <c r="G694" s="14"/>
      <c r="H694" s="14"/>
      <c r="I694" s="14"/>
      <c r="J694" s="14"/>
      <c r="K694" s="12"/>
    </row>
    <row r="695" ht="19.5" customHeight="1">
      <c r="A695" s="12"/>
      <c r="C695" s="12"/>
      <c r="D695" s="13"/>
      <c r="F695" s="14"/>
      <c r="G695" s="14"/>
      <c r="H695" s="14"/>
      <c r="I695" s="14"/>
      <c r="J695" s="14"/>
      <c r="K695" s="12"/>
    </row>
    <row r="696" ht="19.5" customHeight="1">
      <c r="A696" s="12"/>
      <c r="C696" s="12"/>
      <c r="D696" s="13"/>
      <c r="F696" s="14"/>
      <c r="G696" s="14"/>
      <c r="H696" s="14"/>
      <c r="I696" s="14"/>
      <c r="J696" s="14"/>
      <c r="K696" s="12"/>
    </row>
    <row r="697" ht="19.5" customHeight="1">
      <c r="A697" s="12"/>
      <c r="C697" s="12"/>
      <c r="D697" s="13"/>
      <c r="F697" s="14"/>
      <c r="G697" s="14"/>
      <c r="H697" s="14"/>
      <c r="I697" s="14"/>
      <c r="J697" s="14"/>
      <c r="K697" s="12"/>
    </row>
    <row r="698" ht="19.5" customHeight="1">
      <c r="A698" s="12"/>
      <c r="C698" s="12"/>
      <c r="D698" s="13"/>
      <c r="F698" s="14"/>
      <c r="G698" s="14"/>
      <c r="H698" s="14"/>
      <c r="I698" s="14"/>
      <c r="J698" s="14"/>
      <c r="K698" s="12"/>
    </row>
    <row r="699" ht="19.5" customHeight="1">
      <c r="A699" s="12"/>
      <c r="C699" s="12"/>
      <c r="D699" s="13"/>
      <c r="F699" s="14"/>
      <c r="G699" s="14"/>
      <c r="H699" s="14"/>
      <c r="I699" s="14"/>
      <c r="J699" s="14"/>
      <c r="K699" s="12"/>
    </row>
    <row r="700" ht="19.5" customHeight="1">
      <c r="A700" s="12"/>
      <c r="C700" s="12"/>
      <c r="D700" s="13"/>
      <c r="F700" s="14"/>
      <c r="G700" s="14"/>
      <c r="H700" s="14"/>
      <c r="I700" s="14"/>
      <c r="J700" s="14"/>
      <c r="K700" s="12"/>
    </row>
    <row r="701" ht="19.5" customHeight="1">
      <c r="A701" s="12"/>
      <c r="C701" s="12"/>
      <c r="D701" s="13"/>
      <c r="F701" s="14"/>
      <c r="G701" s="14"/>
      <c r="H701" s="14"/>
      <c r="I701" s="14"/>
      <c r="J701" s="14"/>
      <c r="K701" s="12"/>
    </row>
    <row r="702" ht="19.5" customHeight="1">
      <c r="A702" s="12"/>
      <c r="C702" s="12"/>
      <c r="D702" s="13"/>
      <c r="F702" s="14"/>
      <c r="G702" s="14"/>
      <c r="H702" s="14"/>
      <c r="I702" s="14"/>
      <c r="J702" s="14"/>
      <c r="K702" s="12"/>
    </row>
    <row r="703" ht="19.5" customHeight="1">
      <c r="A703" s="12"/>
      <c r="C703" s="12"/>
      <c r="D703" s="13"/>
      <c r="F703" s="14"/>
      <c r="G703" s="14"/>
      <c r="H703" s="14"/>
      <c r="I703" s="14"/>
      <c r="J703" s="14"/>
      <c r="K703" s="12"/>
    </row>
    <row r="704" ht="19.5" customHeight="1">
      <c r="A704" s="12"/>
      <c r="C704" s="12"/>
      <c r="D704" s="13"/>
      <c r="F704" s="14"/>
      <c r="G704" s="14"/>
      <c r="H704" s="14"/>
      <c r="I704" s="14"/>
      <c r="J704" s="14"/>
      <c r="K704" s="12"/>
    </row>
    <row r="705" ht="19.5" customHeight="1">
      <c r="A705" s="12"/>
      <c r="C705" s="12"/>
      <c r="D705" s="13"/>
      <c r="F705" s="14"/>
      <c r="G705" s="14"/>
      <c r="H705" s="14"/>
      <c r="I705" s="14"/>
      <c r="J705" s="14"/>
      <c r="K705" s="12"/>
    </row>
    <row r="706" ht="19.5" customHeight="1">
      <c r="A706" s="12"/>
      <c r="C706" s="12"/>
      <c r="D706" s="13"/>
      <c r="F706" s="14"/>
      <c r="G706" s="14"/>
      <c r="H706" s="14"/>
      <c r="I706" s="14"/>
      <c r="J706" s="14"/>
      <c r="K706" s="12"/>
    </row>
    <row r="707" ht="19.5" customHeight="1">
      <c r="A707" s="12"/>
      <c r="C707" s="12"/>
      <c r="D707" s="13"/>
      <c r="F707" s="14"/>
      <c r="G707" s="14"/>
      <c r="H707" s="14"/>
      <c r="I707" s="14"/>
      <c r="J707" s="14"/>
      <c r="K707" s="12"/>
    </row>
    <row r="708" ht="19.5" customHeight="1">
      <c r="A708" s="12"/>
      <c r="C708" s="12"/>
      <c r="D708" s="13"/>
      <c r="F708" s="14"/>
      <c r="G708" s="14"/>
      <c r="H708" s="14"/>
      <c r="I708" s="14"/>
      <c r="J708" s="14"/>
      <c r="K708" s="12"/>
    </row>
    <row r="709" ht="19.5" customHeight="1">
      <c r="A709" s="12"/>
      <c r="C709" s="12"/>
      <c r="D709" s="13"/>
      <c r="F709" s="14"/>
      <c r="G709" s="14"/>
      <c r="H709" s="14"/>
      <c r="I709" s="14"/>
      <c r="J709" s="14"/>
      <c r="K709" s="12"/>
    </row>
    <row r="710" ht="19.5" customHeight="1">
      <c r="A710" s="12"/>
      <c r="C710" s="12"/>
      <c r="D710" s="13"/>
      <c r="F710" s="14"/>
      <c r="G710" s="14"/>
      <c r="H710" s="14"/>
      <c r="I710" s="14"/>
      <c r="J710" s="14"/>
      <c r="K710" s="12"/>
    </row>
    <row r="711" ht="19.5" customHeight="1">
      <c r="A711" s="12"/>
      <c r="C711" s="12"/>
      <c r="D711" s="13"/>
      <c r="F711" s="14"/>
      <c r="G711" s="14"/>
      <c r="H711" s="14"/>
      <c r="I711" s="14"/>
      <c r="J711" s="14"/>
      <c r="K711" s="12"/>
    </row>
    <row r="712" ht="19.5" customHeight="1">
      <c r="A712" s="12"/>
      <c r="C712" s="12"/>
      <c r="D712" s="13"/>
      <c r="F712" s="14"/>
      <c r="G712" s="14"/>
      <c r="H712" s="14"/>
      <c r="I712" s="14"/>
      <c r="J712" s="14"/>
      <c r="K712" s="12"/>
    </row>
    <row r="713" ht="19.5" customHeight="1">
      <c r="A713" s="12"/>
      <c r="C713" s="12"/>
      <c r="D713" s="13"/>
      <c r="F713" s="14"/>
      <c r="G713" s="14"/>
      <c r="H713" s="14"/>
      <c r="I713" s="14"/>
      <c r="J713" s="14"/>
      <c r="K713" s="12"/>
    </row>
    <row r="714" ht="19.5" customHeight="1">
      <c r="A714" s="12"/>
      <c r="C714" s="12"/>
      <c r="D714" s="13"/>
      <c r="F714" s="14"/>
      <c r="G714" s="14"/>
      <c r="H714" s="14"/>
      <c r="I714" s="14"/>
      <c r="J714" s="14"/>
      <c r="K714" s="12"/>
    </row>
    <row r="715" ht="19.5" customHeight="1">
      <c r="A715" s="12"/>
      <c r="C715" s="12"/>
      <c r="D715" s="13"/>
      <c r="F715" s="14"/>
      <c r="G715" s="14"/>
      <c r="H715" s="14"/>
      <c r="I715" s="14"/>
      <c r="J715" s="14"/>
      <c r="K715" s="12"/>
    </row>
    <row r="716" ht="19.5" customHeight="1">
      <c r="A716" s="12"/>
      <c r="C716" s="12"/>
      <c r="D716" s="13"/>
      <c r="F716" s="14"/>
      <c r="G716" s="14"/>
      <c r="H716" s="14"/>
      <c r="I716" s="14"/>
      <c r="J716" s="14"/>
      <c r="K716" s="12"/>
    </row>
    <row r="717" ht="19.5" customHeight="1">
      <c r="A717" s="12"/>
      <c r="C717" s="12"/>
      <c r="D717" s="13"/>
      <c r="F717" s="14"/>
      <c r="G717" s="14"/>
      <c r="H717" s="14"/>
      <c r="I717" s="14"/>
      <c r="J717" s="14"/>
      <c r="K717" s="12"/>
    </row>
    <row r="718" ht="19.5" customHeight="1">
      <c r="A718" s="12"/>
      <c r="C718" s="12"/>
      <c r="D718" s="13"/>
      <c r="F718" s="14"/>
      <c r="G718" s="14"/>
      <c r="H718" s="14"/>
      <c r="I718" s="14"/>
      <c r="J718" s="14"/>
      <c r="K718" s="12"/>
    </row>
    <row r="719" ht="19.5" customHeight="1">
      <c r="A719" s="12"/>
      <c r="C719" s="12"/>
      <c r="D719" s="13"/>
      <c r="F719" s="14"/>
      <c r="G719" s="14"/>
      <c r="H719" s="14"/>
      <c r="I719" s="14"/>
      <c r="J719" s="14"/>
      <c r="K719" s="12"/>
    </row>
    <row r="720" ht="19.5" customHeight="1">
      <c r="A720" s="12"/>
      <c r="C720" s="12"/>
      <c r="D720" s="13"/>
      <c r="F720" s="14"/>
      <c r="G720" s="14"/>
      <c r="H720" s="14"/>
      <c r="I720" s="14"/>
      <c r="J720" s="14"/>
      <c r="K720" s="12"/>
    </row>
    <row r="721" ht="19.5" customHeight="1">
      <c r="A721" s="12"/>
      <c r="C721" s="12"/>
      <c r="D721" s="13"/>
      <c r="F721" s="14"/>
      <c r="G721" s="14"/>
      <c r="H721" s="14"/>
      <c r="I721" s="14"/>
      <c r="J721" s="14"/>
      <c r="K721" s="12"/>
    </row>
    <row r="722" ht="19.5" customHeight="1">
      <c r="A722" s="12"/>
      <c r="C722" s="12"/>
      <c r="D722" s="13"/>
      <c r="F722" s="14"/>
      <c r="G722" s="14"/>
      <c r="H722" s="14"/>
      <c r="I722" s="14"/>
      <c r="J722" s="14"/>
      <c r="K722" s="12"/>
    </row>
    <row r="723" ht="19.5" customHeight="1">
      <c r="A723" s="12"/>
      <c r="C723" s="12"/>
      <c r="D723" s="13"/>
      <c r="F723" s="14"/>
      <c r="G723" s="14"/>
      <c r="H723" s="14"/>
      <c r="I723" s="14"/>
      <c r="J723" s="14"/>
      <c r="K723" s="12"/>
    </row>
    <row r="724" ht="19.5" customHeight="1">
      <c r="A724" s="12"/>
      <c r="C724" s="12"/>
      <c r="D724" s="13"/>
      <c r="F724" s="14"/>
      <c r="G724" s="14"/>
      <c r="H724" s="14"/>
      <c r="I724" s="14"/>
      <c r="J724" s="14"/>
      <c r="K724" s="12"/>
    </row>
    <row r="725" ht="19.5" customHeight="1">
      <c r="A725" s="12"/>
      <c r="C725" s="12"/>
      <c r="D725" s="13"/>
      <c r="F725" s="14"/>
      <c r="G725" s="14"/>
      <c r="H725" s="14"/>
      <c r="I725" s="14"/>
      <c r="J725" s="14"/>
      <c r="K725" s="12"/>
    </row>
    <row r="726" ht="19.5" customHeight="1">
      <c r="A726" s="12"/>
      <c r="C726" s="12"/>
      <c r="D726" s="13"/>
      <c r="F726" s="14"/>
      <c r="G726" s="14"/>
      <c r="H726" s="14"/>
      <c r="I726" s="14"/>
      <c r="J726" s="14"/>
      <c r="K726" s="12"/>
    </row>
    <row r="727" ht="19.5" customHeight="1">
      <c r="A727" s="12"/>
      <c r="C727" s="12"/>
      <c r="D727" s="13"/>
      <c r="F727" s="14"/>
      <c r="G727" s="14"/>
      <c r="H727" s="14"/>
      <c r="I727" s="14"/>
      <c r="J727" s="14"/>
      <c r="K727" s="12"/>
    </row>
    <row r="728" ht="19.5" customHeight="1">
      <c r="A728" s="12"/>
      <c r="C728" s="12"/>
      <c r="D728" s="13"/>
      <c r="F728" s="14"/>
      <c r="G728" s="14"/>
      <c r="H728" s="14"/>
      <c r="I728" s="14"/>
      <c r="J728" s="14"/>
      <c r="K728" s="12"/>
    </row>
    <row r="729" ht="19.5" customHeight="1">
      <c r="A729" s="12"/>
      <c r="C729" s="12"/>
      <c r="D729" s="13"/>
      <c r="F729" s="14"/>
      <c r="G729" s="14"/>
      <c r="H729" s="14"/>
      <c r="I729" s="14"/>
      <c r="J729" s="14"/>
      <c r="K729" s="12"/>
    </row>
    <row r="730" ht="19.5" customHeight="1">
      <c r="A730" s="12"/>
      <c r="C730" s="12"/>
      <c r="D730" s="13"/>
      <c r="F730" s="14"/>
      <c r="G730" s="14"/>
      <c r="H730" s="14"/>
      <c r="I730" s="14"/>
      <c r="J730" s="14"/>
      <c r="K730" s="12"/>
    </row>
    <row r="731" ht="19.5" customHeight="1">
      <c r="A731" s="12"/>
      <c r="C731" s="12"/>
      <c r="D731" s="13"/>
      <c r="F731" s="14"/>
      <c r="G731" s="14"/>
      <c r="H731" s="14"/>
      <c r="I731" s="14"/>
      <c r="J731" s="14"/>
      <c r="K731" s="12"/>
    </row>
    <row r="732" ht="19.5" customHeight="1">
      <c r="A732" s="12"/>
      <c r="C732" s="12"/>
      <c r="D732" s="13"/>
      <c r="F732" s="14"/>
      <c r="G732" s="14"/>
      <c r="H732" s="14"/>
      <c r="I732" s="14"/>
      <c r="J732" s="14"/>
      <c r="K732" s="12"/>
    </row>
    <row r="733" ht="19.5" customHeight="1">
      <c r="A733" s="12"/>
      <c r="C733" s="12"/>
      <c r="D733" s="13"/>
      <c r="F733" s="14"/>
      <c r="G733" s="14"/>
      <c r="H733" s="14"/>
      <c r="I733" s="14"/>
      <c r="J733" s="14"/>
      <c r="K733" s="12"/>
    </row>
    <row r="734" ht="19.5" customHeight="1">
      <c r="A734" s="12"/>
      <c r="C734" s="12"/>
      <c r="D734" s="13"/>
      <c r="F734" s="14"/>
      <c r="G734" s="14"/>
      <c r="H734" s="14"/>
      <c r="I734" s="14"/>
      <c r="J734" s="14"/>
      <c r="K734" s="12"/>
    </row>
    <row r="735" ht="19.5" customHeight="1">
      <c r="A735" s="12"/>
      <c r="C735" s="12"/>
      <c r="D735" s="13"/>
      <c r="F735" s="14"/>
      <c r="G735" s="14"/>
      <c r="H735" s="14"/>
      <c r="I735" s="14"/>
      <c r="J735" s="14"/>
      <c r="K735" s="12"/>
    </row>
    <row r="736" ht="19.5" customHeight="1">
      <c r="A736" s="12"/>
      <c r="C736" s="12"/>
      <c r="D736" s="13"/>
      <c r="F736" s="14"/>
      <c r="G736" s="14"/>
      <c r="H736" s="14"/>
      <c r="I736" s="14"/>
      <c r="J736" s="14"/>
      <c r="K736" s="12"/>
    </row>
    <row r="737" ht="19.5" customHeight="1">
      <c r="A737" s="12"/>
      <c r="C737" s="12"/>
      <c r="D737" s="13"/>
      <c r="F737" s="14"/>
      <c r="G737" s="14"/>
      <c r="H737" s="14"/>
      <c r="I737" s="14"/>
      <c r="J737" s="14"/>
      <c r="K737" s="12"/>
    </row>
    <row r="738" ht="19.5" customHeight="1">
      <c r="A738" s="12"/>
      <c r="C738" s="12"/>
      <c r="D738" s="13"/>
      <c r="F738" s="14"/>
      <c r="G738" s="14"/>
      <c r="H738" s="14"/>
      <c r="I738" s="14"/>
      <c r="J738" s="14"/>
      <c r="K738" s="12"/>
    </row>
    <row r="739" ht="19.5" customHeight="1">
      <c r="A739" s="12"/>
      <c r="C739" s="12"/>
      <c r="D739" s="13"/>
      <c r="F739" s="14"/>
      <c r="G739" s="14"/>
      <c r="H739" s="14"/>
      <c r="I739" s="14"/>
      <c r="J739" s="14"/>
      <c r="K739" s="12"/>
    </row>
    <row r="740" ht="19.5" customHeight="1">
      <c r="A740" s="12"/>
      <c r="C740" s="12"/>
      <c r="D740" s="13"/>
      <c r="F740" s="14"/>
      <c r="G740" s="14"/>
      <c r="H740" s="14"/>
      <c r="I740" s="14"/>
      <c r="J740" s="14"/>
      <c r="K740" s="12"/>
    </row>
    <row r="741" ht="19.5" customHeight="1">
      <c r="A741" s="12"/>
      <c r="C741" s="12"/>
      <c r="D741" s="13"/>
      <c r="F741" s="14"/>
      <c r="G741" s="14"/>
      <c r="H741" s="14"/>
      <c r="I741" s="14"/>
      <c r="J741" s="14"/>
      <c r="K741" s="12"/>
    </row>
    <row r="742" ht="19.5" customHeight="1">
      <c r="A742" s="12"/>
      <c r="C742" s="12"/>
      <c r="D742" s="13"/>
      <c r="F742" s="14"/>
      <c r="G742" s="14"/>
      <c r="H742" s="14"/>
      <c r="I742" s="14"/>
      <c r="J742" s="14"/>
      <c r="K742" s="12"/>
    </row>
    <row r="743" ht="19.5" customHeight="1">
      <c r="A743" s="12"/>
      <c r="C743" s="12"/>
      <c r="D743" s="13"/>
      <c r="F743" s="14"/>
      <c r="G743" s="14"/>
      <c r="H743" s="14"/>
      <c r="I743" s="14"/>
      <c r="J743" s="14"/>
      <c r="K743" s="12"/>
    </row>
    <row r="744" ht="19.5" customHeight="1">
      <c r="A744" s="12"/>
      <c r="C744" s="12"/>
      <c r="D744" s="13"/>
      <c r="F744" s="14"/>
      <c r="G744" s="14"/>
      <c r="H744" s="14"/>
      <c r="I744" s="14"/>
      <c r="J744" s="14"/>
      <c r="K744" s="12"/>
    </row>
    <row r="745" ht="19.5" customHeight="1">
      <c r="A745" s="12"/>
      <c r="C745" s="12"/>
      <c r="D745" s="13"/>
      <c r="F745" s="14"/>
      <c r="G745" s="14"/>
      <c r="H745" s="14"/>
      <c r="I745" s="14"/>
      <c r="J745" s="14"/>
      <c r="K745" s="12"/>
    </row>
    <row r="746" ht="19.5" customHeight="1">
      <c r="A746" s="12"/>
      <c r="C746" s="12"/>
      <c r="D746" s="13"/>
      <c r="F746" s="14"/>
      <c r="G746" s="14"/>
      <c r="H746" s="14"/>
      <c r="I746" s="14"/>
      <c r="J746" s="14"/>
      <c r="K746" s="12"/>
    </row>
    <row r="747" ht="19.5" customHeight="1">
      <c r="A747" s="12"/>
      <c r="C747" s="12"/>
      <c r="D747" s="13"/>
      <c r="F747" s="14"/>
      <c r="G747" s="14"/>
      <c r="H747" s="14"/>
      <c r="I747" s="14"/>
      <c r="J747" s="14"/>
      <c r="K747" s="12"/>
    </row>
    <row r="748" ht="19.5" customHeight="1">
      <c r="A748" s="12"/>
      <c r="C748" s="12"/>
      <c r="D748" s="13"/>
      <c r="F748" s="14"/>
      <c r="G748" s="14"/>
      <c r="H748" s="14"/>
      <c r="I748" s="14"/>
      <c r="J748" s="14"/>
      <c r="K748" s="12"/>
    </row>
    <row r="749" ht="19.5" customHeight="1">
      <c r="A749" s="12"/>
      <c r="C749" s="12"/>
      <c r="D749" s="13"/>
      <c r="F749" s="14"/>
      <c r="G749" s="14"/>
      <c r="H749" s="14"/>
      <c r="I749" s="14"/>
      <c r="J749" s="14"/>
      <c r="K749" s="12"/>
    </row>
    <row r="750" ht="19.5" customHeight="1">
      <c r="A750" s="12"/>
      <c r="C750" s="12"/>
      <c r="D750" s="13"/>
      <c r="F750" s="14"/>
      <c r="G750" s="14"/>
      <c r="H750" s="14"/>
      <c r="I750" s="14"/>
      <c r="J750" s="14"/>
      <c r="K750" s="12"/>
    </row>
    <row r="751" ht="19.5" customHeight="1">
      <c r="A751" s="12"/>
      <c r="C751" s="12"/>
      <c r="D751" s="13"/>
      <c r="F751" s="14"/>
      <c r="G751" s="14"/>
      <c r="H751" s="14"/>
      <c r="I751" s="14"/>
      <c r="J751" s="14"/>
      <c r="K751" s="12"/>
    </row>
    <row r="752" ht="19.5" customHeight="1">
      <c r="A752" s="12"/>
      <c r="C752" s="12"/>
      <c r="D752" s="13"/>
      <c r="F752" s="14"/>
      <c r="G752" s="14"/>
      <c r="H752" s="14"/>
      <c r="I752" s="14"/>
      <c r="J752" s="14"/>
      <c r="K752" s="12"/>
    </row>
    <row r="753" ht="19.5" customHeight="1">
      <c r="A753" s="12"/>
      <c r="C753" s="12"/>
      <c r="D753" s="13"/>
      <c r="F753" s="14"/>
      <c r="G753" s="14"/>
      <c r="H753" s="14"/>
      <c r="I753" s="14"/>
      <c r="J753" s="14"/>
      <c r="K753" s="12"/>
    </row>
    <row r="754" ht="19.5" customHeight="1">
      <c r="A754" s="12"/>
      <c r="C754" s="12"/>
      <c r="D754" s="13"/>
      <c r="F754" s="14"/>
      <c r="G754" s="14"/>
      <c r="H754" s="14"/>
      <c r="I754" s="14"/>
      <c r="J754" s="14"/>
      <c r="K754" s="12"/>
    </row>
    <row r="755" ht="19.5" customHeight="1">
      <c r="A755" s="12"/>
      <c r="C755" s="12"/>
      <c r="D755" s="13"/>
      <c r="F755" s="14"/>
      <c r="G755" s="14"/>
      <c r="H755" s="14"/>
      <c r="I755" s="14"/>
      <c r="J755" s="14"/>
      <c r="K755" s="12"/>
    </row>
    <row r="756" ht="19.5" customHeight="1">
      <c r="A756" s="12"/>
      <c r="C756" s="12"/>
      <c r="D756" s="13"/>
      <c r="F756" s="14"/>
      <c r="G756" s="14"/>
      <c r="H756" s="14"/>
      <c r="I756" s="14"/>
      <c r="J756" s="14"/>
      <c r="K756" s="12"/>
    </row>
    <row r="757" ht="19.5" customHeight="1">
      <c r="A757" s="12"/>
      <c r="C757" s="12"/>
      <c r="D757" s="13"/>
      <c r="F757" s="14"/>
      <c r="G757" s="14"/>
      <c r="H757" s="14"/>
      <c r="I757" s="14"/>
      <c r="J757" s="14"/>
      <c r="K757" s="12"/>
    </row>
    <row r="758" ht="19.5" customHeight="1">
      <c r="A758" s="12"/>
      <c r="C758" s="12"/>
      <c r="D758" s="13"/>
      <c r="F758" s="14"/>
      <c r="G758" s="14"/>
      <c r="H758" s="14"/>
      <c r="I758" s="14"/>
      <c r="J758" s="14"/>
      <c r="K758" s="12"/>
    </row>
    <row r="759" ht="19.5" customHeight="1">
      <c r="A759" s="12"/>
      <c r="C759" s="12"/>
      <c r="D759" s="13"/>
      <c r="F759" s="14"/>
      <c r="G759" s="14"/>
      <c r="H759" s="14"/>
      <c r="I759" s="14"/>
      <c r="J759" s="14"/>
      <c r="K759" s="12"/>
    </row>
    <row r="760" ht="19.5" customHeight="1">
      <c r="A760" s="12"/>
      <c r="C760" s="12"/>
      <c r="D760" s="13"/>
      <c r="F760" s="14"/>
      <c r="G760" s="14"/>
      <c r="H760" s="14"/>
      <c r="I760" s="14"/>
      <c r="J760" s="14"/>
      <c r="K760" s="12"/>
    </row>
    <row r="761" ht="19.5" customHeight="1">
      <c r="A761" s="12"/>
      <c r="C761" s="12"/>
      <c r="D761" s="13"/>
      <c r="F761" s="14"/>
      <c r="G761" s="14"/>
      <c r="H761" s="14"/>
      <c r="I761" s="14"/>
      <c r="J761" s="14"/>
      <c r="K761" s="12"/>
    </row>
    <row r="762" ht="19.5" customHeight="1">
      <c r="A762" s="12"/>
      <c r="C762" s="12"/>
      <c r="D762" s="13"/>
      <c r="F762" s="14"/>
      <c r="G762" s="14"/>
      <c r="H762" s="14"/>
      <c r="I762" s="14"/>
      <c r="J762" s="14"/>
      <c r="K762" s="12"/>
    </row>
    <row r="763" ht="19.5" customHeight="1">
      <c r="A763" s="12"/>
      <c r="C763" s="12"/>
      <c r="D763" s="13"/>
      <c r="F763" s="14"/>
      <c r="G763" s="14"/>
      <c r="H763" s="14"/>
      <c r="I763" s="14"/>
      <c r="J763" s="14"/>
      <c r="K763" s="12"/>
    </row>
    <row r="764" ht="19.5" customHeight="1">
      <c r="A764" s="12"/>
      <c r="C764" s="12"/>
      <c r="D764" s="13"/>
      <c r="F764" s="14"/>
      <c r="G764" s="14"/>
      <c r="H764" s="14"/>
      <c r="I764" s="14"/>
      <c r="J764" s="14"/>
      <c r="K764" s="12"/>
    </row>
    <row r="765" ht="19.5" customHeight="1">
      <c r="A765" s="12"/>
      <c r="C765" s="12"/>
      <c r="D765" s="13"/>
      <c r="F765" s="14"/>
      <c r="G765" s="14"/>
      <c r="H765" s="14"/>
      <c r="I765" s="14"/>
      <c r="J765" s="14"/>
      <c r="K765" s="12"/>
    </row>
    <row r="766" ht="19.5" customHeight="1">
      <c r="A766" s="12"/>
      <c r="C766" s="12"/>
      <c r="D766" s="13"/>
      <c r="F766" s="14"/>
      <c r="G766" s="14"/>
      <c r="H766" s="14"/>
      <c r="I766" s="14"/>
      <c r="J766" s="14"/>
      <c r="K766" s="12"/>
    </row>
    <row r="767" ht="19.5" customHeight="1">
      <c r="A767" s="12"/>
      <c r="C767" s="12"/>
      <c r="D767" s="13"/>
      <c r="F767" s="14"/>
      <c r="G767" s="14"/>
      <c r="H767" s="14"/>
      <c r="I767" s="14"/>
      <c r="J767" s="14"/>
      <c r="K767" s="12"/>
    </row>
    <row r="768" ht="19.5" customHeight="1">
      <c r="A768" s="12"/>
      <c r="C768" s="12"/>
      <c r="D768" s="13"/>
      <c r="F768" s="14"/>
      <c r="G768" s="14"/>
      <c r="H768" s="14"/>
      <c r="I768" s="14"/>
      <c r="J768" s="14"/>
      <c r="K768" s="12"/>
    </row>
    <row r="769" ht="19.5" customHeight="1">
      <c r="A769" s="12"/>
      <c r="C769" s="12"/>
      <c r="D769" s="13"/>
      <c r="F769" s="14"/>
      <c r="G769" s="14"/>
      <c r="H769" s="14"/>
      <c r="I769" s="14"/>
      <c r="J769" s="14"/>
      <c r="K769" s="12"/>
    </row>
    <row r="770" ht="19.5" customHeight="1">
      <c r="A770" s="12"/>
      <c r="C770" s="12"/>
      <c r="D770" s="13"/>
      <c r="F770" s="14"/>
      <c r="G770" s="14"/>
      <c r="H770" s="14"/>
      <c r="I770" s="14"/>
      <c r="J770" s="14"/>
      <c r="K770" s="12"/>
    </row>
    <row r="771" ht="19.5" customHeight="1">
      <c r="A771" s="12"/>
      <c r="C771" s="12"/>
      <c r="D771" s="13"/>
      <c r="F771" s="14"/>
      <c r="G771" s="14"/>
      <c r="H771" s="14"/>
      <c r="I771" s="14"/>
      <c r="J771" s="14"/>
      <c r="K771" s="12"/>
    </row>
    <row r="772" ht="19.5" customHeight="1">
      <c r="A772" s="12"/>
      <c r="C772" s="12"/>
      <c r="D772" s="13"/>
      <c r="F772" s="14"/>
      <c r="G772" s="14"/>
      <c r="H772" s="14"/>
      <c r="I772" s="14"/>
      <c r="J772" s="14"/>
      <c r="K772" s="12"/>
    </row>
    <row r="773" ht="19.5" customHeight="1">
      <c r="A773" s="12"/>
      <c r="C773" s="12"/>
      <c r="D773" s="13"/>
      <c r="F773" s="14"/>
      <c r="G773" s="14"/>
      <c r="H773" s="14"/>
      <c r="I773" s="14"/>
      <c r="J773" s="14"/>
      <c r="K773" s="12"/>
    </row>
    <row r="774" ht="19.5" customHeight="1">
      <c r="A774" s="12"/>
      <c r="C774" s="12"/>
      <c r="D774" s="13"/>
      <c r="F774" s="14"/>
      <c r="G774" s="14"/>
      <c r="H774" s="14"/>
      <c r="I774" s="14"/>
      <c r="J774" s="14"/>
      <c r="K774" s="12"/>
    </row>
    <row r="775" ht="19.5" customHeight="1">
      <c r="A775" s="12"/>
      <c r="C775" s="12"/>
      <c r="D775" s="13"/>
      <c r="F775" s="14"/>
      <c r="G775" s="14"/>
      <c r="H775" s="14"/>
      <c r="I775" s="14"/>
      <c r="J775" s="14"/>
      <c r="K775" s="12"/>
    </row>
    <row r="776" ht="19.5" customHeight="1">
      <c r="A776" s="12"/>
      <c r="C776" s="12"/>
      <c r="D776" s="13"/>
      <c r="F776" s="14"/>
      <c r="G776" s="14"/>
      <c r="H776" s="14"/>
      <c r="I776" s="14"/>
      <c r="J776" s="14"/>
      <c r="K776" s="12"/>
    </row>
    <row r="777" ht="19.5" customHeight="1">
      <c r="A777" s="12"/>
      <c r="C777" s="12"/>
      <c r="D777" s="13"/>
      <c r="F777" s="14"/>
      <c r="G777" s="14"/>
      <c r="H777" s="14"/>
      <c r="I777" s="14"/>
      <c r="J777" s="14"/>
      <c r="K777" s="12"/>
    </row>
    <row r="778" ht="19.5" customHeight="1">
      <c r="A778" s="12"/>
      <c r="C778" s="12"/>
      <c r="D778" s="13"/>
      <c r="F778" s="14"/>
      <c r="G778" s="14"/>
      <c r="H778" s="14"/>
      <c r="I778" s="14"/>
      <c r="J778" s="14"/>
      <c r="K778" s="12"/>
    </row>
    <row r="779" ht="19.5" customHeight="1">
      <c r="A779" s="12"/>
      <c r="C779" s="12"/>
      <c r="D779" s="13"/>
      <c r="F779" s="14"/>
      <c r="G779" s="14"/>
      <c r="H779" s="14"/>
      <c r="I779" s="14"/>
      <c r="J779" s="14"/>
      <c r="K779" s="12"/>
    </row>
    <row r="780" ht="19.5" customHeight="1">
      <c r="A780" s="12"/>
      <c r="C780" s="12"/>
      <c r="D780" s="13"/>
      <c r="F780" s="14"/>
      <c r="G780" s="14"/>
      <c r="H780" s="14"/>
      <c r="I780" s="14"/>
      <c r="J780" s="14"/>
      <c r="K780" s="12"/>
    </row>
    <row r="781" ht="19.5" customHeight="1">
      <c r="A781" s="12"/>
      <c r="C781" s="12"/>
      <c r="D781" s="13"/>
      <c r="F781" s="14"/>
      <c r="G781" s="14"/>
      <c r="H781" s="14"/>
      <c r="I781" s="14"/>
      <c r="J781" s="14"/>
      <c r="K781" s="12"/>
    </row>
    <row r="782" ht="19.5" customHeight="1">
      <c r="A782" s="12"/>
      <c r="C782" s="12"/>
      <c r="D782" s="13"/>
      <c r="F782" s="14"/>
      <c r="G782" s="14"/>
      <c r="H782" s="14"/>
      <c r="I782" s="14"/>
      <c r="J782" s="14"/>
      <c r="K782" s="12"/>
    </row>
    <row r="783" ht="19.5" customHeight="1">
      <c r="A783" s="12"/>
      <c r="C783" s="12"/>
      <c r="D783" s="13"/>
      <c r="F783" s="14"/>
      <c r="G783" s="14"/>
      <c r="H783" s="14"/>
      <c r="I783" s="14"/>
      <c r="J783" s="14"/>
      <c r="K783" s="12"/>
    </row>
    <row r="784" ht="19.5" customHeight="1">
      <c r="A784" s="12"/>
      <c r="C784" s="12"/>
      <c r="D784" s="13"/>
      <c r="F784" s="14"/>
      <c r="G784" s="14"/>
      <c r="H784" s="14"/>
      <c r="I784" s="14"/>
      <c r="J784" s="14"/>
      <c r="K784" s="12"/>
    </row>
    <row r="785" ht="19.5" customHeight="1">
      <c r="A785" s="12"/>
      <c r="C785" s="12"/>
      <c r="D785" s="13"/>
      <c r="F785" s="14"/>
      <c r="G785" s="14"/>
      <c r="H785" s="14"/>
      <c r="I785" s="14"/>
      <c r="J785" s="14"/>
      <c r="K785" s="12"/>
    </row>
    <row r="786" ht="19.5" customHeight="1">
      <c r="A786" s="12"/>
      <c r="C786" s="12"/>
      <c r="D786" s="13"/>
      <c r="F786" s="14"/>
      <c r="G786" s="14"/>
      <c r="H786" s="14"/>
      <c r="I786" s="14"/>
      <c r="J786" s="14"/>
      <c r="K786" s="12"/>
    </row>
    <row r="787" ht="19.5" customHeight="1">
      <c r="A787" s="12"/>
      <c r="C787" s="12"/>
      <c r="D787" s="13"/>
      <c r="F787" s="14"/>
      <c r="G787" s="14"/>
      <c r="H787" s="14"/>
      <c r="I787" s="14"/>
      <c r="J787" s="14"/>
      <c r="K787" s="12"/>
    </row>
    <row r="788" ht="19.5" customHeight="1">
      <c r="A788" s="12"/>
      <c r="C788" s="12"/>
      <c r="D788" s="13"/>
      <c r="F788" s="14"/>
      <c r="G788" s="14"/>
      <c r="H788" s="14"/>
      <c r="I788" s="14"/>
      <c r="J788" s="14"/>
      <c r="K788" s="12"/>
    </row>
    <row r="789" ht="19.5" customHeight="1">
      <c r="A789" s="12"/>
      <c r="C789" s="12"/>
      <c r="D789" s="13"/>
      <c r="F789" s="14"/>
      <c r="G789" s="14"/>
      <c r="H789" s="14"/>
      <c r="I789" s="14"/>
      <c r="J789" s="14"/>
      <c r="K789" s="12"/>
    </row>
    <row r="790" ht="19.5" customHeight="1">
      <c r="A790" s="12"/>
      <c r="C790" s="12"/>
      <c r="D790" s="13"/>
      <c r="F790" s="14"/>
      <c r="G790" s="14"/>
      <c r="H790" s="14"/>
      <c r="I790" s="14"/>
      <c r="J790" s="14"/>
      <c r="K790" s="12"/>
    </row>
    <row r="791" ht="19.5" customHeight="1">
      <c r="A791" s="12"/>
      <c r="C791" s="12"/>
      <c r="D791" s="13"/>
      <c r="F791" s="14"/>
      <c r="G791" s="14"/>
      <c r="H791" s="14"/>
      <c r="I791" s="14"/>
      <c r="J791" s="14"/>
      <c r="K791" s="12"/>
    </row>
    <row r="792" ht="19.5" customHeight="1">
      <c r="A792" s="12"/>
      <c r="C792" s="12"/>
      <c r="D792" s="13"/>
      <c r="F792" s="14"/>
      <c r="G792" s="14"/>
      <c r="H792" s="14"/>
      <c r="I792" s="14"/>
      <c r="J792" s="14"/>
      <c r="K792" s="12"/>
    </row>
    <row r="793" ht="19.5" customHeight="1">
      <c r="A793" s="12"/>
      <c r="C793" s="12"/>
      <c r="D793" s="13"/>
      <c r="F793" s="14"/>
      <c r="G793" s="14"/>
      <c r="H793" s="14"/>
      <c r="I793" s="14"/>
      <c r="J793" s="14"/>
      <c r="K793" s="12"/>
    </row>
    <row r="794" ht="19.5" customHeight="1">
      <c r="A794" s="12"/>
      <c r="C794" s="12"/>
      <c r="D794" s="13"/>
      <c r="F794" s="14"/>
      <c r="G794" s="14"/>
      <c r="H794" s="14"/>
      <c r="I794" s="14"/>
      <c r="J794" s="14"/>
      <c r="K794" s="12"/>
    </row>
    <row r="795" ht="19.5" customHeight="1">
      <c r="A795" s="12"/>
      <c r="C795" s="12"/>
      <c r="D795" s="13"/>
      <c r="F795" s="14"/>
      <c r="G795" s="14"/>
      <c r="H795" s="14"/>
      <c r="I795" s="14"/>
      <c r="J795" s="14"/>
      <c r="K795" s="12"/>
    </row>
    <row r="796" ht="19.5" customHeight="1">
      <c r="A796" s="12"/>
      <c r="C796" s="12"/>
      <c r="D796" s="13"/>
      <c r="F796" s="14"/>
      <c r="G796" s="14"/>
      <c r="H796" s="14"/>
      <c r="I796" s="14"/>
      <c r="J796" s="14"/>
      <c r="K796" s="12"/>
    </row>
    <row r="797" ht="19.5" customHeight="1">
      <c r="A797" s="12"/>
      <c r="C797" s="12"/>
      <c r="D797" s="13"/>
      <c r="F797" s="14"/>
      <c r="G797" s="14"/>
      <c r="H797" s="14"/>
      <c r="I797" s="14"/>
      <c r="J797" s="14"/>
      <c r="K797" s="12"/>
    </row>
    <row r="798" ht="19.5" customHeight="1">
      <c r="A798" s="12"/>
      <c r="C798" s="12"/>
      <c r="D798" s="13"/>
      <c r="F798" s="14"/>
      <c r="G798" s="14"/>
      <c r="H798" s="14"/>
      <c r="I798" s="14"/>
      <c r="J798" s="14"/>
      <c r="K798" s="12"/>
    </row>
    <row r="799" ht="19.5" customHeight="1">
      <c r="A799" s="12"/>
      <c r="C799" s="12"/>
      <c r="D799" s="13"/>
      <c r="F799" s="14"/>
      <c r="G799" s="14"/>
      <c r="H799" s="14"/>
      <c r="I799" s="14"/>
      <c r="J799" s="14"/>
      <c r="K799" s="12"/>
    </row>
    <row r="800" ht="19.5" customHeight="1">
      <c r="A800" s="12"/>
      <c r="C800" s="12"/>
      <c r="D800" s="13"/>
      <c r="F800" s="14"/>
      <c r="G800" s="14"/>
      <c r="H800" s="14"/>
      <c r="I800" s="14"/>
      <c r="J800" s="14"/>
      <c r="K800" s="12"/>
    </row>
    <row r="801" ht="19.5" customHeight="1">
      <c r="A801" s="12"/>
      <c r="C801" s="12"/>
      <c r="D801" s="13"/>
      <c r="F801" s="14"/>
      <c r="G801" s="14"/>
      <c r="H801" s="14"/>
      <c r="I801" s="14"/>
      <c r="J801" s="14"/>
      <c r="K801" s="12"/>
    </row>
    <row r="802" ht="19.5" customHeight="1">
      <c r="A802" s="12"/>
      <c r="C802" s="12"/>
      <c r="D802" s="13"/>
      <c r="F802" s="14"/>
      <c r="G802" s="14"/>
      <c r="H802" s="14"/>
      <c r="I802" s="14"/>
      <c r="J802" s="14"/>
      <c r="K802" s="12"/>
    </row>
    <row r="803" ht="19.5" customHeight="1">
      <c r="A803" s="12"/>
      <c r="C803" s="12"/>
      <c r="D803" s="13"/>
      <c r="F803" s="14"/>
      <c r="G803" s="14"/>
      <c r="H803" s="14"/>
      <c r="I803" s="14"/>
      <c r="J803" s="14"/>
      <c r="K803" s="12"/>
    </row>
    <row r="804" ht="19.5" customHeight="1">
      <c r="A804" s="12"/>
      <c r="C804" s="12"/>
      <c r="D804" s="13"/>
      <c r="F804" s="14"/>
      <c r="G804" s="14"/>
      <c r="H804" s="14"/>
      <c r="I804" s="14"/>
      <c r="J804" s="14"/>
      <c r="K804" s="12"/>
    </row>
    <row r="805" ht="19.5" customHeight="1">
      <c r="A805" s="12"/>
      <c r="C805" s="12"/>
      <c r="D805" s="13"/>
      <c r="F805" s="14"/>
      <c r="G805" s="14"/>
      <c r="H805" s="14"/>
      <c r="I805" s="14"/>
      <c r="J805" s="14"/>
      <c r="K805" s="12"/>
    </row>
    <row r="806" ht="19.5" customHeight="1">
      <c r="A806" s="12"/>
      <c r="C806" s="12"/>
      <c r="D806" s="13"/>
      <c r="F806" s="14"/>
      <c r="G806" s="14"/>
      <c r="H806" s="14"/>
      <c r="I806" s="14"/>
      <c r="J806" s="14"/>
      <c r="K806" s="12"/>
    </row>
    <row r="807" ht="19.5" customHeight="1">
      <c r="A807" s="12"/>
      <c r="C807" s="12"/>
      <c r="D807" s="13"/>
      <c r="F807" s="14"/>
      <c r="G807" s="14"/>
      <c r="H807" s="14"/>
      <c r="I807" s="14"/>
      <c r="J807" s="14"/>
      <c r="K807" s="12"/>
    </row>
    <row r="808" ht="19.5" customHeight="1">
      <c r="A808" s="12"/>
      <c r="C808" s="12"/>
      <c r="D808" s="13"/>
      <c r="F808" s="14"/>
      <c r="G808" s="14"/>
      <c r="H808" s="14"/>
      <c r="I808" s="14"/>
      <c r="J808" s="14"/>
      <c r="K808" s="12"/>
    </row>
    <row r="809" ht="19.5" customHeight="1">
      <c r="A809" s="12"/>
      <c r="C809" s="12"/>
      <c r="D809" s="13"/>
      <c r="F809" s="14"/>
      <c r="G809" s="14"/>
      <c r="H809" s="14"/>
      <c r="I809" s="14"/>
      <c r="J809" s="14"/>
      <c r="K809" s="12"/>
    </row>
    <row r="810" ht="19.5" customHeight="1">
      <c r="A810" s="12"/>
      <c r="C810" s="12"/>
      <c r="D810" s="13"/>
      <c r="F810" s="14"/>
      <c r="G810" s="14"/>
      <c r="H810" s="14"/>
      <c r="I810" s="14"/>
      <c r="J810" s="14"/>
      <c r="K810" s="12"/>
    </row>
    <row r="811" ht="19.5" customHeight="1">
      <c r="A811" s="12"/>
      <c r="C811" s="12"/>
      <c r="D811" s="13"/>
      <c r="F811" s="14"/>
      <c r="G811" s="14"/>
      <c r="H811" s="14"/>
      <c r="I811" s="14"/>
      <c r="J811" s="14"/>
      <c r="K811" s="12"/>
    </row>
    <row r="812" ht="19.5" customHeight="1">
      <c r="A812" s="12"/>
      <c r="C812" s="12"/>
      <c r="D812" s="13"/>
      <c r="F812" s="14"/>
      <c r="G812" s="14"/>
      <c r="H812" s="14"/>
      <c r="I812" s="14"/>
      <c r="J812" s="14"/>
      <c r="K812" s="12"/>
    </row>
    <row r="813" ht="19.5" customHeight="1">
      <c r="A813" s="12"/>
      <c r="C813" s="12"/>
      <c r="D813" s="13"/>
      <c r="F813" s="14"/>
      <c r="G813" s="14"/>
      <c r="H813" s="14"/>
      <c r="I813" s="14"/>
      <c r="J813" s="14"/>
      <c r="K813" s="12"/>
    </row>
    <row r="814" ht="19.5" customHeight="1">
      <c r="A814" s="12"/>
      <c r="C814" s="12"/>
      <c r="D814" s="13"/>
      <c r="F814" s="14"/>
      <c r="G814" s="14"/>
      <c r="H814" s="14"/>
      <c r="I814" s="14"/>
      <c r="J814" s="14"/>
      <c r="K814" s="12"/>
    </row>
    <row r="815" ht="19.5" customHeight="1">
      <c r="A815" s="12"/>
      <c r="C815" s="12"/>
      <c r="D815" s="13"/>
      <c r="F815" s="14"/>
      <c r="G815" s="14"/>
      <c r="H815" s="14"/>
      <c r="I815" s="14"/>
      <c r="J815" s="14"/>
      <c r="K815" s="12"/>
    </row>
    <row r="816" ht="19.5" customHeight="1">
      <c r="A816" s="12"/>
      <c r="C816" s="12"/>
      <c r="D816" s="13"/>
      <c r="F816" s="14"/>
      <c r="G816" s="14"/>
      <c r="H816" s="14"/>
      <c r="I816" s="14"/>
      <c r="J816" s="14"/>
      <c r="K816" s="12"/>
    </row>
    <row r="817" ht="19.5" customHeight="1">
      <c r="A817" s="12"/>
      <c r="C817" s="12"/>
      <c r="D817" s="13"/>
      <c r="F817" s="14"/>
      <c r="G817" s="14"/>
      <c r="H817" s="14"/>
      <c r="I817" s="14"/>
      <c r="J817" s="14"/>
      <c r="K817" s="12"/>
    </row>
    <row r="818" ht="19.5" customHeight="1">
      <c r="A818" s="12"/>
      <c r="C818" s="12"/>
      <c r="D818" s="13"/>
      <c r="F818" s="14"/>
      <c r="G818" s="14"/>
      <c r="H818" s="14"/>
      <c r="I818" s="14"/>
      <c r="J818" s="14"/>
      <c r="K818" s="12"/>
    </row>
    <row r="819" ht="19.5" customHeight="1">
      <c r="A819" s="12"/>
      <c r="C819" s="12"/>
      <c r="D819" s="13"/>
      <c r="F819" s="14"/>
      <c r="G819" s="14"/>
      <c r="H819" s="14"/>
      <c r="I819" s="14"/>
      <c r="J819" s="14"/>
      <c r="K819" s="12"/>
    </row>
    <row r="820" ht="19.5" customHeight="1">
      <c r="A820" s="12"/>
      <c r="C820" s="12"/>
      <c r="D820" s="13"/>
      <c r="F820" s="14"/>
      <c r="G820" s="14"/>
      <c r="H820" s="14"/>
      <c r="I820" s="14"/>
      <c r="J820" s="14"/>
      <c r="K820" s="12"/>
    </row>
    <row r="821" ht="19.5" customHeight="1">
      <c r="A821" s="12"/>
      <c r="C821" s="12"/>
      <c r="D821" s="13"/>
      <c r="F821" s="14"/>
      <c r="G821" s="14"/>
      <c r="H821" s="14"/>
      <c r="I821" s="14"/>
      <c r="J821" s="14"/>
      <c r="K821" s="12"/>
    </row>
    <row r="822" ht="19.5" customHeight="1">
      <c r="A822" s="12"/>
      <c r="C822" s="12"/>
      <c r="D822" s="13"/>
      <c r="F822" s="14"/>
      <c r="G822" s="14"/>
      <c r="H822" s="14"/>
      <c r="I822" s="14"/>
      <c r="J822" s="14"/>
      <c r="K822" s="12"/>
    </row>
    <row r="823" ht="19.5" customHeight="1">
      <c r="A823" s="12"/>
      <c r="C823" s="12"/>
      <c r="D823" s="13"/>
      <c r="F823" s="14"/>
      <c r="G823" s="14"/>
      <c r="H823" s="14"/>
      <c r="I823" s="14"/>
      <c r="J823" s="14"/>
      <c r="K823" s="12"/>
    </row>
    <row r="824" ht="19.5" customHeight="1">
      <c r="A824" s="12"/>
      <c r="C824" s="12"/>
      <c r="D824" s="13"/>
      <c r="F824" s="14"/>
      <c r="G824" s="14"/>
      <c r="H824" s="14"/>
      <c r="I824" s="14"/>
      <c r="J824" s="14"/>
      <c r="K824" s="12"/>
    </row>
    <row r="825" ht="19.5" customHeight="1">
      <c r="A825" s="12"/>
      <c r="C825" s="12"/>
      <c r="D825" s="13"/>
      <c r="F825" s="14"/>
      <c r="G825" s="14"/>
      <c r="H825" s="14"/>
      <c r="I825" s="14"/>
      <c r="J825" s="14"/>
      <c r="K825" s="12"/>
    </row>
    <row r="826" ht="19.5" customHeight="1">
      <c r="A826" s="12"/>
      <c r="C826" s="12"/>
      <c r="D826" s="13"/>
      <c r="F826" s="14"/>
      <c r="G826" s="14"/>
      <c r="H826" s="14"/>
      <c r="I826" s="14"/>
      <c r="J826" s="14"/>
      <c r="K826" s="12"/>
    </row>
    <row r="827" ht="19.5" customHeight="1">
      <c r="A827" s="12"/>
      <c r="C827" s="12"/>
      <c r="D827" s="13"/>
      <c r="F827" s="14"/>
      <c r="G827" s="14"/>
      <c r="H827" s="14"/>
      <c r="I827" s="14"/>
      <c r="J827" s="14"/>
      <c r="K827" s="12"/>
    </row>
    <row r="828" ht="19.5" customHeight="1">
      <c r="A828" s="12"/>
      <c r="C828" s="12"/>
      <c r="D828" s="13"/>
      <c r="F828" s="14"/>
      <c r="G828" s="14"/>
      <c r="H828" s="14"/>
      <c r="I828" s="14"/>
      <c r="J828" s="14"/>
      <c r="K828" s="12"/>
    </row>
    <row r="829" ht="19.5" customHeight="1">
      <c r="A829" s="12"/>
      <c r="C829" s="12"/>
      <c r="D829" s="13"/>
      <c r="F829" s="14"/>
      <c r="G829" s="14"/>
      <c r="H829" s="14"/>
      <c r="I829" s="14"/>
      <c r="J829" s="14"/>
      <c r="K829" s="12"/>
    </row>
    <row r="830" ht="19.5" customHeight="1">
      <c r="A830" s="12"/>
      <c r="C830" s="12"/>
      <c r="D830" s="13"/>
      <c r="F830" s="14"/>
      <c r="G830" s="14"/>
      <c r="H830" s="14"/>
      <c r="I830" s="14"/>
      <c r="J830" s="14"/>
      <c r="K830" s="12"/>
    </row>
    <row r="831" ht="19.5" customHeight="1">
      <c r="A831" s="12"/>
      <c r="C831" s="12"/>
      <c r="D831" s="13"/>
      <c r="F831" s="14"/>
      <c r="G831" s="14"/>
      <c r="H831" s="14"/>
      <c r="I831" s="14"/>
      <c r="J831" s="14"/>
      <c r="K831" s="12"/>
    </row>
    <row r="832" ht="19.5" customHeight="1">
      <c r="A832" s="12"/>
      <c r="C832" s="12"/>
      <c r="D832" s="13"/>
      <c r="F832" s="14"/>
      <c r="G832" s="14"/>
      <c r="H832" s="14"/>
      <c r="I832" s="14"/>
      <c r="J832" s="14"/>
      <c r="K832" s="12"/>
    </row>
    <row r="833" ht="19.5" customHeight="1">
      <c r="A833" s="12"/>
      <c r="C833" s="12"/>
      <c r="D833" s="13"/>
      <c r="F833" s="14"/>
      <c r="G833" s="14"/>
      <c r="H833" s="14"/>
      <c r="I833" s="14"/>
      <c r="J833" s="14"/>
      <c r="K833" s="12"/>
    </row>
    <row r="834" ht="19.5" customHeight="1">
      <c r="A834" s="12"/>
      <c r="C834" s="12"/>
      <c r="D834" s="13"/>
      <c r="F834" s="14"/>
      <c r="G834" s="14"/>
      <c r="H834" s="14"/>
      <c r="I834" s="14"/>
      <c r="J834" s="14"/>
      <c r="K834" s="12"/>
    </row>
    <row r="835" ht="19.5" customHeight="1">
      <c r="A835" s="12"/>
      <c r="C835" s="12"/>
      <c r="D835" s="13"/>
      <c r="F835" s="14"/>
      <c r="G835" s="14"/>
      <c r="H835" s="14"/>
      <c r="I835" s="14"/>
      <c r="J835" s="14"/>
      <c r="K835" s="12"/>
    </row>
    <row r="836" ht="19.5" customHeight="1">
      <c r="A836" s="12"/>
      <c r="C836" s="12"/>
      <c r="D836" s="13"/>
      <c r="F836" s="14"/>
      <c r="G836" s="14"/>
      <c r="H836" s="14"/>
      <c r="I836" s="14"/>
      <c r="J836" s="14"/>
      <c r="K836" s="12"/>
    </row>
    <row r="837" ht="19.5" customHeight="1">
      <c r="A837" s="12"/>
      <c r="C837" s="12"/>
      <c r="D837" s="13"/>
      <c r="F837" s="14"/>
      <c r="G837" s="14"/>
      <c r="H837" s="14"/>
      <c r="I837" s="14"/>
      <c r="J837" s="14"/>
      <c r="K837" s="12"/>
    </row>
    <row r="838" ht="19.5" customHeight="1">
      <c r="A838" s="12"/>
      <c r="C838" s="12"/>
      <c r="D838" s="13"/>
      <c r="F838" s="14"/>
      <c r="G838" s="14"/>
      <c r="H838" s="14"/>
      <c r="I838" s="14"/>
      <c r="J838" s="14"/>
      <c r="K838" s="12"/>
    </row>
    <row r="839" ht="19.5" customHeight="1">
      <c r="A839" s="12"/>
      <c r="C839" s="12"/>
      <c r="D839" s="13"/>
      <c r="F839" s="14"/>
      <c r="G839" s="14"/>
      <c r="H839" s="14"/>
      <c r="I839" s="14"/>
      <c r="J839" s="14"/>
      <c r="K839" s="12"/>
    </row>
    <row r="840" ht="19.5" customHeight="1">
      <c r="A840" s="12"/>
      <c r="C840" s="12"/>
      <c r="D840" s="13"/>
      <c r="F840" s="14"/>
      <c r="G840" s="14"/>
      <c r="H840" s="14"/>
      <c r="I840" s="14"/>
      <c r="J840" s="14"/>
      <c r="K840" s="12"/>
    </row>
    <row r="841" ht="19.5" customHeight="1">
      <c r="A841" s="12"/>
      <c r="C841" s="12"/>
      <c r="D841" s="13"/>
      <c r="F841" s="14"/>
      <c r="G841" s="14"/>
      <c r="H841" s="14"/>
      <c r="I841" s="14"/>
      <c r="J841" s="14"/>
      <c r="K841" s="12"/>
    </row>
    <row r="842" ht="19.5" customHeight="1">
      <c r="A842" s="12"/>
      <c r="C842" s="12"/>
      <c r="D842" s="13"/>
      <c r="F842" s="14"/>
      <c r="G842" s="14"/>
      <c r="H842" s="14"/>
      <c r="I842" s="14"/>
      <c r="J842" s="14"/>
      <c r="K842" s="12"/>
    </row>
    <row r="843" ht="19.5" customHeight="1">
      <c r="A843" s="12"/>
      <c r="C843" s="12"/>
      <c r="D843" s="13"/>
      <c r="F843" s="14"/>
      <c r="G843" s="14"/>
      <c r="H843" s="14"/>
      <c r="I843" s="14"/>
      <c r="J843" s="14"/>
      <c r="K843" s="12"/>
    </row>
    <row r="844" ht="19.5" customHeight="1">
      <c r="A844" s="12"/>
      <c r="C844" s="12"/>
      <c r="D844" s="13"/>
      <c r="F844" s="14"/>
      <c r="G844" s="14"/>
      <c r="H844" s="14"/>
      <c r="I844" s="14"/>
      <c r="J844" s="14"/>
      <c r="K844" s="12"/>
    </row>
    <row r="845" ht="19.5" customHeight="1">
      <c r="A845" s="12"/>
      <c r="C845" s="12"/>
      <c r="D845" s="13"/>
      <c r="F845" s="14"/>
      <c r="G845" s="14"/>
      <c r="H845" s="14"/>
      <c r="I845" s="14"/>
      <c r="J845" s="14"/>
      <c r="K845" s="12"/>
    </row>
    <row r="846" ht="19.5" customHeight="1">
      <c r="A846" s="12"/>
      <c r="C846" s="12"/>
      <c r="D846" s="13"/>
      <c r="F846" s="14"/>
      <c r="G846" s="14"/>
      <c r="H846" s="14"/>
      <c r="I846" s="14"/>
      <c r="J846" s="14"/>
      <c r="K846" s="12"/>
    </row>
    <row r="847" ht="19.5" customHeight="1">
      <c r="A847" s="12"/>
      <c r="C847" s="12"/>
      <c r="D847" s="13"/>
      <c r="F847" s="14"/>
      <c r="G847" s="14"/>
      <c r="H847" s="14"/>
      <c r="I847" s="14"/>
      <c r="J847" s="14"/>
      <c r="K847" s="12"/>
    </row>
    <row r="848" ht="19.5" customHeight="1">
      <c r="A848" s="12"/>
      <c r="C848" s="12"/>
      <c r="D848" s="13"/>
      <c r="F848" s="14"/>
      <c r="G848" s="14"/>
      <c r="H848" s="14"/>
      <c r="I848" s="14"/>
      <c r="J848" s="14"/>
      <c r="K848" s="12"/>
    </row>
    <row r="849" ht="19.5" customHeight="1">
      <c r="A849" s="12"/>
      <c r="C849" s="12"/>
      <c r="D849" s="13"/>
      <c r="F849" s="14"/>
      <c r="G849" s="14"/>
      <c r="H849" s="14"/>
      <c r="I849" s="14"/>
      <c r="J849" s="14"/>
      <c r="K849" s="12"/>
    </row>
    <row r="850" ht="19.5" customHeight="1">
      <c r="A850" s="12"/>
      <c r="C850" s="12"/>
      <c r="D850" s="13"/>
      <c r="F850" s="14"/>
      <c r="G850" s="14"/>
      <c r="H850" s="14"/>
      <c r="I850" s="14"/>
      <c r="J850" s="14"/>
      <c r="K850" s="12"/>
    </row>
    <row r="851" ht="19.5" customHeight="1">
      <c r="A851" s="12"/>
      <c r="C851" s="12"/>
      <c r="D851" s="13"/>
      <c r="F851" s="14"/>
      <c r="G851" s="14"/>
      <c r="H851" s="14"/>
      <c r="I851" s="14"/>
      <c r="J851" s="14"/>
      <c r="K851" s="12"/>
    </row>
    <row r="852" ht="19.5" customHeight="1">
      <c r="A852" s="12"/>
      <c r="C852" s="12"/>
      <c r="D852" s="13"/>
      <c r="F852" s="14"/>
      <c r="G852" s="14"/>
      <c r="H852" s="14"/>
      <c r="I852" s="14"/>
      <c r="J852" s="14"/>
      <c r="K852" s="12"/>
    </row>
    <row r="853" ht="19.5" customHeight="1">
      <c r="A853" s="12"/>
      <c r="C853" s="12"/>
      <c r="D853" s="13"/>
      <c r="F853" s="14"/>
      <c r="G853" s="14"/>
      <c r="H853" s="14"/>
      <c r="I853" s="14"/>
      <c r="J853" s="14"/>
      <c r="K853" s="12"/>
    </row>
    <row r="854" ht="19.5" customHeight="1">
      <c r="A854" s="12"/>
      <c r="C854" s="12"/>
      <c r="D854" s="13"/>
      <c r="F854" s="14"/>
      <c r="G854" s="14"/>
      <c r="H854" s="14"/>
      <c r="I854" s="14"/>
      <c r="J854" s="14"/>
      <c r="K854" s="12"/>
    </row>
    <row r="855" ht="19.5" customHeight="1">
      <c r="A855" s="12"/>
      <c r="C855" s="12"/>
      <c r="D855" s="13"/>
      <c r="F855" s="14"/>
      <c r="G855" s="14"/>
      <c r="H855" s="14"/>
      <c r="I855" s="14"/>
      <c r="J855" s="14"/>
      <c r="K855" s="12"/>
    </row>
    <row r="856" ht="19.5" customHeight="1">
      <c r="A856" s="12"/>
      <c r="C856" s="12"/>
      <c r="D856" s="13"/>
      <c r="F856" s="14"/>
      <c r="G856" s="14"/>
      <c r="H856" s="14"/>
      <c r="I856" s="14"/>
      <c r="J856" s="14"/>
      <c r="K856" s="12"/>
    </row>
    <row r="857" ht="19.5" customHeight="1">
      <c r="A857" s="12"/>
      <c r="C857" s="12"/>
      <c r="D857" s="13"/>
      <c r="F857" s="14"/>
      <c r="G857" s="14"/>
      <c r="H857" s="14"/>
      <c r="I857" s="14"/>
      <c r="J857" s="14"/>
      <c r="K857" s="12"/>
    </row>
    <row r="858" ht="19.5" customHeight="1">
      <c r="A858" s="12"/>
      <c r="C858" s="12"/>
      <c r="D858" s="13"/>
      <c r="F858" s="14"/>
      <c r="G858" s="14"/>
      <c r="H858" s="14"/>
      <c r="I858" s="14"/>
      <c r="J858" s="14"/>
      <c r="K858" s="12"/>
    </row>
    <row r="859" ht="19.5" customHeight="1">
      <c r="A859" s="12"/>
      <c r="C859" s="12"/>
      <c r="D859" s="13"/>
      <c r="F859" s="14"/>
      <c r="G859" s="14"/>
      <c r="H859" s="14"/>
      <c r="I859" s="14"/>
      <c r="J859" s="14"/>
      <c r="K859" s="12"/>
    </row>
    <row r="860" ht="19.5" customHeight="1">
      <c r="A860" s="12"/>
      <c r="C860" s="12"/>
      <c r="D860" s="13"/>
      <c r="F860" s="14"/>
      <c r="G860" s="14"/>
      <c r="H860" s="14"/>
      <c r="I860" s="14"/>
      <c r="J860" s="14"/>
      <c r="K860" s="12"/>
    </row>
    <row r="861" ht="19.5" customHeight="1">
      <c r="A861" s="12"/>
      <c r="C861" s="12"/>
      <c r="D861" s="13"/>
      <c r="F861" s="14"/>
      <c r="G861" s="14"/>
      <c r="H861" s="14"/>
      <c r="I861" s="14"/>
      <c r="J861" s="14"/>
      <c r="K861" s="12"/>
    </row>
    <row r="862" ht="19.5" customHeight="1">
      <c r="A862" s="12"/>
      <c r="C862" s="12"/>
      <c r="D862" s="13"/>
      <c r="F862" s="14"/>
      <c r="G862" s="14"/>
      <c r="H862" s="14"/>
      <c r="I862" s="14"/>
      <c r="J862" s="14"/>
      <c r="K862" s="12"/>
    </row>
    <row r="863" ht="19.5" customHeight="1">
      <c r="A863" s="12"/>
      <c r="C863" s="12"/>
      <c r="D863" s="13"/>
      <c r="F863" s="14"/>
      <c r="G863" s="14"/>
      <c r="H863" s="14"/>
      <c r="I863" s="14"/>
      <c r="J863" s="14"/>
      <c r="K863" s="12"/>
    </row>
    <row r="864" ht="19.5" customHeight="1">
      <c r="A864" s="12"/>
      <c r="C864" s="12"/>
      <c r="D864" s="13"/>
      <c r="F864" s="14"/>
      <c r="G864" s="14"/>
      <c r="H864" s="14"/>
      <c r="I864" s="14"/>
      <c r="J864" s="14"/>
      <c r="K864" s="12"/>
    </row>
    <row r="865" ht="19.5" customHeight="1">
      <c r="A865" s="12"/>
      <c r="C865" s="12"/>
      <c r="D865" s="13"/>
      <c r="F865" s="14"/>
      <c r="G865" s="14"/>
      <c r="H865" s="14"/>
      <c r="I865" s="14"/>
      <c r="J865" s="14"/>
      <c r="K865" s="12"/>
    </row>
    <row r="866" ht="19.5" customHeight="1">
      <c r="A866" s="12"/>
      <c r="C866" s="12"/>
      <c r="D866" s="13"/>
      <c r="F866" s="14"/>
      <c r="G866" s="14"/>
      <c r="H866" s="14"/>
      <c r="I866" s="14"/>
      <c r="J866" s="14"/>
      <c r="K866" s="12"/>
    </row>
    <row r="867" ht="19.5" customHeight="1">
      <c r="A867" s="12"/>
      <c r="C867" s="12"/>
      <c r="D867" s="13"/>
      <c r="F867" s="14"/>
      <c r="G867" s="14"/>
      <c r="H867" s="14"/>
      <c r="I867" s="14"/>
      <c r="J867" s="14"/>
      <c r="K867" s="12"/>
    </row>
    <row r="868" ht="19.5" customHeight="1">
      <c r="A868" s="12"/>
      <c r="C868" s="12"/>
      <c r="D868" s="13"/>
      <c r="F868" s="14"/>
      <c r="G868" s="14"/>
      <c r="H868" s="14"/>
      <c r="I868" s="14"/>
      <c r="J868" s="14"/>
      <c r="K868" s="12"/>
    </row>
    <row r="869" ht="19.5" customHeight="1">
      <c r="A869" s="12"/>
      <c r="C869" s="12"/>
      <c r="D869" s="13"/>
      <c r="F869" s="14"/>
      <c r="G869" s="14"/>
      <c r="H869" s="14"/>
      <c r="I869" s="14"/>
      <c r="J869" s="14"/>
      <c r="K869" s="12"/>
    </row>
    <row r="870" ht="19.5" customHeight="1">
      <c r="A870" s="12"/>
      <c r="C870" s="12"/>
      <c r="D870" s="13"/>
      <c r="F870" s="14"/>
      <c r="G870" s="14"/>
      <c r="H870" s="14"/>
      <c r="I870" s="14"/>
      <c r="J870" s="14"/>
      <c r="K870" s="12"/>
    </row>
    <row r="871" ht="19.5" customHeight="1">
      <c r="A871" s="12"/>
      <c r="C871" s="12"/>
      <c r="D871" s="13"/>
      <c r="F871" s="14"/>
      <c r="G871" s="14"/>
      <c r="H871" s="14"/>
      <c r="I871" s="14"/>
      <c r="J871" s="14"/>
      <c r="K871" s="12"/>
    </row>
    <row r="872" ht="19.5" customHeight="1">
      <c r="A872" s="12"/>
      <c r="C872" s="12"/>
      <c r="D872" s="13"/>
      <c r="F872" s="14"/>
      <c r="G872" s="14"/>
      <c r="H872" s="14"/>
      <c r="I872" s="14"/>
      <c r="J872" s="14"/>
      <c r="K872" s="12"/>
    </row>
    <row r="873" ht="19.5" customHeight="1">
      <c r="A873" s="12"/>
      <c r="C873" s="12"/>
      <c r="D873" s="13"/>
      <c r="F873" s="14"/>
      <c r="G873" s="14"/>
      <c r="H873" s="14"/>
      <c r="I873" s="14"/>
      <c r="J873" s="14"/>
      <c r="K873" s="12"/>
    </row>
    <row r="874" ht="19.5" customHeight="1">
      <c r="A874" s="12"/>
      <c r="C874" s="12"/>
      <c r="D874" s="13"/>
      <c r="F874" s="14"/>
      <c r="G874" s="14"/>
      <c r="H874" s="14"/>
      <c r="I874" s="14"/>
      <c r="J874" s="14"/>
      <c r="K874" s="12"/>
    </row>
    <row r="875" ht="19.5" customHeight="1">
      <c r="A875" s="12"/>
      <c r="C875" s="12"/>
      <c r="D875" s="13"/>
      <c r="F875" s="14"/>
      <c r="G875" s="14"/>
      <c r="H875" s="14"/>
      <c r="I875" s="14"/>
      <c r="J875" s="14"/>
      <c r="K875" s="12"/>
    </row>
    <row r="876" ht="19.5" customHeight="1">
      <c r="A876" s="12"/>
      <c r="C876" s="12"/>
      <c r="D876" s="13"/>
      <c r="F876" s="14"/>
      <c r="G876" s="14"/>
      <c r="H876" s="14"/>
      <c r="I876" s="14"/>
      <c r="J876" s="14"/>
      <c r="K876" s="12"/>
    </row>
    <row r="877" ht="19.5" customHeight="1">
      <c r="A877" s="12"/>
      <c r="C877" s="12"/>
      <c r="D877" s="13"/>
      <c r="F877" s="14"/>
      <c r="G877" s="14"/>
      <c r="H877" s="14"/>
      <c r="I877" s="14"/>
      <c r="J877" s="14"/>
      <c r="K877" s="12"/>
    </row>
    <row r="878" ht="19.5" customHeight="1">
      <c r="A878" s="12"/>
      <c r="C878" s="12"/>
      <c r="D878" s="13"/>
      <c r="F878" s="14"/>
      <c r="G878" s="14"/>
      <c r="H878" s="14"/>
      <c r="I878" s="14"/>
      <c r="J878" s="14"/>
      <c r="K878" s="12"/>
    </row>
    <row r="879" ht="19.5" customHeight="1">
      <c r="A879" s="12"/>
      <c r="C879" s="12"/>
      <c r="D879" s="13"/>
      <c r="F879" s="14"/>
      <c r="G879" s="14"/>
      <c r="H879" s="14"/>
      <c r="I879" s="14"/>
      <c r="J879" s="14"/>
      <c r="K879" s="12"/>
    </row>
    <row r="880" ht="19.5" customHeight="1">
      <c r="A880" s="12"/>
      <c r="C880" s="12"/>
      <c r="D880" s="13"/>
      <c r="F880" s="14"/>
      <c r="G880" s="14"/>
      <c r="H880" s="14"/>
      <c r="I880" s="14"/>
      <c r="J880" s="14"/>
      <c r="K880" s="12"/>
    </row>
    <row r="881" ht="19.5" customHeight="1">
      <c r="A881" s="12"/>
      <c r="C881" s="12"/>
      <c r="D881" s="13"/>
      <c r="F881" s="14"/>
      <c r="G881" s="14"/>
      <c r="H881" s="14"/>
      <c r="I881" s="14"/>
      <c r="J881" s="14"/>
      <c r="K881" s="12"/>
    </row>
    <row r="882" ht="19.5" customHeight="1">
      <c r="A882" s="12"/>
      <c r="C882" s="12"/>
      <c r="D882" s="13"/>
      <c r="F882" s="14"/>
      <c r="G882" s="14"/>
      <c r="H882" s="14"/>
      <c r="I882" s="14"/>
      <c r="J882" s="14"/>
      <c r="K882" s="12"/>
    </row>
    <row r="883" ht="19.5" customHeight="1">
      <c r="A883" s="12"/>
      <c r="C883" s="12"/>
      <c r="D883" s="13"/>
      <c r="F883" s="14"/>
      <c r="G883" s="14"/>
      <c r="H883" s="14"/>
      <c r="I883" s="14"/>
      <c r="J883" s="14"/>
      <c r="K883" s="12"/>
    </row>
    <row r="884" ht="19.5" customHeight="1">
      <c r="A884" s="12"/>
      <c r="C884" s="12"/>
      <c r="D884" s="13"/>
      <c r="F884" s="14"/>
      <c r="G884" s="14"/>
      <c r="H884" s="14"/>
      <c r="I884" s="14"/>
      <c r="J884" s="14"/>
      <c r="K884" s="12"/>
    </row>
    <row r="885" ht="19.5" customHeight="1">
      <c r="A885" s="12"/>
      <c r="C885" s="12"/>
      <c r="D885" s="13"/>
      <c r="F885" s="14"/>
      <c r="G885" s="14"/>
      <c r="H885" s="14"/>
      <c r="I885" s="14"/>
      <c r="J885" s="14"/>
      <c r="K885" s="12"/>
    </row>
    <row r="886" ht="19.5" customHeight="1">
      <c r="A886" s="12"/>
      <c r="C886" s="12"/>
      <c r="D886" s="13"/>
      <c r="F886" s="14"/>
      <c r="G886" s="14"/>
      <c r="H886" s="14"/>
      <c r="I886" s="14"/>
      <c r="J886" s="14"/>
      <c r="K886" s="12"/>
    </row>
    <row r="887" ht="19.5" customHeight="1">
      <c r="A887" s="12"/>
      <c r="C887" s="12"/>
      <c r="D887" s="13"/>
      <c r="F887" s="14"/>
      <c r="G887" s="14"/>
      <c r="H887" s="14"/>
      <c r="I887" s="14"/>
      <c r="J887" s="14"/>
      <c r="K887" s="12"/>
    </row>
    <row r="888" ht="19.5" customHeight="1">
      <c r="A888" s="12"/>
      <c r="C888" s="12"/>
      <c r="D888" s="13"/>
      <c r="F888" s="14"/>
      <c r="G888" s="14"/>
      <c r="H888" s="14"/>
      <c r="I888" s="14"/>
      <c r="J888" s="14"/>
      <c r="K888" s="12"/>
    </row>
    <row r="889" ht="19.5" customHeight="1">
      <c r="A889" s="12"/>
      <c r="C889" s="12"/>
      <c r="D889" s="13"/>
      <c r="F889" s="14"/>
      <c r="G889" s="14"/>
      <c r="H889" s="14"/>
      <c r="I889" s="14"/>
      <c r="J889" s="14"/>
      <c r="K889" s="12"/>
    </row>
    <row r="890" ht="19.5" customHeight="1">
      <c r="A890" s="12"/>
      <c r="C890" s="12"/>
      <c r="D890" s="13"/>
      <c r="F890" s="14"/>
      <c r="G890" s="14"/>
      <c r="H890" s="14"/>
      <c r="I890" s="14"/>
      <c r="J890" s="14"/>
      <c r="K890" s="12"/>
    </row>
    <row r="891" ht="19.5" customHeight="1">
      <c r="A891" s="12"/>
      <c r="C891" s="12"/>
      <c r="D891" s="13"/>
      <c r="F891" s="14"/>
      <c r="G891" s="14"/>
      <c r="H891" s="14"/>
      <c r="I891" s="14"/>
      <c r="J891" s="14"/>
      <c r="K891" s="12"/>
    </row>
    <row r="892" ht="19.5" customHeight="1">
      <c r="A892" s="12"/>
      <c r="C892" s="12"/>
      <c r="D892" s="13"/>
      <c r="F892" s="14"/>
      <c r="G892" s="14"/>
      <c r="H892" s="14"/>
      <c r="I892" s="14"/>
      <c r="J892" s="14"/>
      <c r="K892" s="12"/>
    </row>
    <row r="893" ht="19.5" customHeight="1">
      <c r="A893" s="12"/>
      <c r="C893" s="12"/>
      <c r="D893" s="13"/>
      <c r="F893" s="14"/>
      <c r="G893" s="14"/>
      <c r="H893" s="14"/>
      <c r="I893" s="14"/>
      <c r="J893" s="14"/>
      <c r="K893" s="12"/>
    </row>
    <row r="894" ht="19.5" customHeight="1">
      <c r="A894" s="12"/>
      <c r="C894" s="12"/>
      <c r="D894" s="13"/>
      <c r="F894" s="14"/>
      <c r="G894" s="14"/>
      <c r="H894" s="14"/>
      <c r="I894" s="14"/>
      <c r="J894" s="14"/>
      <c r="K894" s="12"/>
    </row>
    <row r="895" ht="19.5" customHeight="1">
      <c r="A895" s="12"/>
      <c r="C895" s="12"/>
      <c r="D895" s="13"/>
      <c r="F895" s="14"/>
      <c r="G895" s="14"/>
      <c r="H895" s="14"/>
      <c r="I895" s="14"/>
      <c r="J895" s="14"/>
      <c r="K895" s="12"/>
    </row>
    <row r="896" ht="19.5" customHeight="1">
      <c r="A896" s="12"/>
      <c r="C896" s="12"/>
      <c r="D896" s="13"/>
      <c r="F896" s="14"/>
      <c r="G896" s="14"/>
      <c r="H896" s="14"/>
      <c r="I896" s="14"/>
      <c r="J896" s="14"/>
      <c r="K896" s="12"/>
    </row>
    <row r="897" ht="19.5" customHeight="1">
      <c r="A897" s="12"/>
      <c r="C897" s="12"/>
      <c r="D897" s="13"/>
      <c r="F897" s="14"/>
      <c r="G897" s="14"/>
      <c r="H897" s="14"/>
      <c r="I897" s="14"/>
      <c r="J897" s="14"/>
      <c r="K897" s="12"/>
    </row>
    <row r="898" ht="19.5" customHeight="1">
      <c r="A898" s="12"/>
      <c r="C898" s="12"/>
      <c r="D898" s="13"/>
      <c r="F898" s="14"/>
      <c r="G898" s="14"/>
      <c r="H898" s="14"/>
      <c r="I898" s="14"/>
      <c r="J898" s="14"/>
      <c r="K898" s="12"/>
    </row>
    <row r="899" ht="19.5" customHeight="1">
      <c r="A899" s="12"/>
      <c r="C899" s="12"/>
      <c r="D899" s="13"/>
      <c r="F899" s="14"/>
      <c r="G899" s="14"/>
      <c r="H899" s="14"/>
      <c r="I899" s="14"/>
      <c r="J899" s="14"/>
      <c r="K899" s="12"/>
    </row>
    <row r="900" ht="19.5" customHeight="1">
      <c r="A900" s="12"/>
      <c r="C900" s="12"/>
      <c r="D900" s="13"/>
      <c r="F900" s="14"/>
      <c r="G900" s="14"/>
      <c r="H900" s="14"/>
      <c r="I900" s="14"/>
      <c r="J900" s="14"/>
      <c r="K900" s="12"/>
    </row>
    <row r="901" ht="19.5" customHeight="1">
      <c r="A901" s="12"/>
      <c r="C901" s="12"/>
      <c r="D901" s="13"/>
      <c r="F901" s="14"/>
      <c r="G901" s="14"/>
      <c r="H901" s="14"/>
      <c r="I901" s="14"/>
      <c r="J901" s="14"/>
      <c r="K901" s="12"/>
    </row>
    <row r="902" ht="19.5" customHeight="1">
      <c r="A902" s="12"/>
      <c r="C902" s="12"/>
      <c r="D902" s="13"/>
      <c r="F902" s="14"/>
      <c r="G902" s="14"/>
      <c r="H902" s="14"/>
      <c r="I902" s="14"/>
      <c r="J902" s="14"/>
      <c r="K902" s="12"/>
    </row>
    <row r="903" ht="19.5" customHeight="1">
      <c r="A903" s="12"/>
      <c r="C903" s="12"/>
      <c r="D903" s="13"/>
      <c r="F903" s="14"/>
      <c r="G903" s="14"/>
      <c r="H903" s="14"/>
      <c r="I903" s="14"/>
      <c r="J903" s="14"/>
      <c r="K903" s="12"/>
    </row>
    <row r="904" ht="19.5" customHeight="1">
      <c r="A904" s="12"/>
      <c r="C904" s="12"/>
      <c r="D904" s="13"/>
      <c r="F904" s="14"/>
      <c r="G904" s="14"/>
      <c r="H904" s="14"/>
      <c r="I904" s="14"/>
      <c r="J904" s="14"/>
      <c r="K904" s="12"/>
    </row>
    <row r="905" ht="19.5" customHeight="1">
      <c r="A905" s="12"/>
      <c r="C905" s="12"/>
      <c r="D905" s="13"/>
      <c r="F905" s="14"/>
      <c r="G905" s="14"/>
      <c r="H905" s="14"/>
      <c r="I905" s="14"/>
      <c r="J905" s="14"/>
      <c r="K905" s="12"/>
    </row>
    <row r="906" ht="19.5" customHeight="1">
      <c r="A906" s="12"/>
      <c r="C906" s="12"/>
      <c r="D906" s="13"/>
      <c r="F906" s="14"/>
      <c r="G906" s="14"/>
      <c r="H906" s="14"/>
      <c r="I906" s="14"/>
      <c r="J906" s="14"/>
      <c r="K906" s="12"/>
    </row>
    <row r="907" ht="19.5" customHeight="1">
      <c r="A907" s="12"/>
      <c r="C907" s="12"/>
      <c r="D907" s="13"/>
      <c r="F907" s="14"/>
      <c r="G907" s="14"/>
      <c r="H907" s="14"/>
      <c r="I907" s="14"/>
      <c r="J907" s="14"/>
      <c r="K907" s="12"/>
    </row>
    <row r="908" ht="19.5" customHeight="1">
      <c r="A908" s="12"/>
      <c r="C908" s="12"/>
      <c r="D908" s="13"/>
      <c r="F908" s="14"/>
      <c r="G908" s="14"/>
      <c r="H908" s="14"/>
      <c r="I908" s="14"/>
      <c r="J908" s="14"/>
      <c r="K908" s="12"/>
    </row>
    <row r="909" ht="19.5" customHeight="1">
      <c r="A909" s="12"/>
      <c r="C909" s="12"/>
      <c r="D909" s="13"/>
      <c r="F909" s="14"/>
      <c r="G909" s="14"/>
      <c r="H909" s="14"/>
      <c r="I909" s="14"/>
      <c r="J909" s="14"/>
      <c r="K909" s="12"/>
    </row>
    <row r="910" ht="19.5" customHeight="1">
      <c r="A910" s="12"/>
      <c r="C910" s="12"/>
      <c r="D910" s="13"/>
      <c r="F910" s="14"/>
      <c r="G910" s="14"/>
      <c r="H910" s="14"/>
      <c r="I910" s="14"/>
      <c r="J910" s="14"/>
      <c r="K910" s="12"/>
    </row>
    <row r="911" ht="19.5" customHeight="1">
      <c r="A911" s="12"/>
      <c r="C911" s="12"/>
      <c r="D911" s="13"/>
      <c r="F911" s="14"/>
      <c r="G911" s="14"/>
      <c r="H911" s="14"/>
      <c r="I911" s="14"/>
      <c r="J911" s="14"/>
      <c r="K911" s="12"/>
    </row>
    <row r="912" ht="19.5" customHeight="1">
      <c r="A912" s="12"/>
      <c r="C912" s="12"/>
      <c r="D912" s="13"/>
      <c r="F912" s="14"/>
      <c r="G912" s="14"/>
      <c r="H912" s="14"/>
      <c r="I912" s="14"/>
      <c r="J912" s="14"/>
      <c r="K912" s="12"/>
    </row>
    <row r="913" ht="19.5" customHeight="1">
      <c r="A913" s="12"/>
      <c r="C913" s="12"/>
      <c r="D913" s="13"/>
      <c r="F913" s="14"/>
      <c r="G913" s="14"/>
      <c r="H913" s="14"/>
      <c r="I913" s="14"/>
      <c r="J913" s="14"/>
      <c r="K913" s="12"/>
    </row>
    <row r="914" ht="19.5" customHeight="1">
      <c r="A914" s="12"/>
      <c r="C914" s="12"/>
      <c r="D914" s="13"/>
      <c r="F914" s="14"/>
      <c r="G914" s="14"/>
      <c r="H914" s="14"/>
      <c r="I914" s="14"/>
      <c r="J914" s="14"/>
      <c r="K914" s="12"/>
    </row>
    <row r="915" ht="19.5" customHeight="1">
      <c r="A915" s="12"/>
      <c r="C915" s="12"/>
      <c r="D915" s="13"/>
      <c r="F915" s="14"/>
      <c r="G915" s="14"/>
      <c r="H915" s="14"/>
      <c r="I915" s="14"/>
      <c r="J915" s="14"/>
      <c r="K915" s="12"/>
    </row>
    <row r="916" ht="19.5" customHeight="1">
      <c r="A916" s="12"/>
      <c r="C916" s="12"/>
      <c r="D916" s="13"/>
      <c r="F916" s="14"/>
      <c r="G916" s="14"/>
      <c r="H916" s="14"/>
      <c r="I916" s="14"/>
      <c r="J916" s="14"/>
      <c r="K916" s="12"/>
    </row>
    <row r="917" ht="19.5" customHeight="1">
      <c r="A917" s="12"/>
      <c r="C917" s="12"/>
      <c r="D917" s="13"/>
      <c r="F917" s="14"/>
      <c r="G917" s="14"/>
      <c r="H917" s="14"/>
      <c r="I917" s="14"/>
      <c r="J917" s="14"/>
      <c r="K917" s="12"/>
    </row>
    <row r="918" ht="19.5" customHeight="1">
      <c r="A918" s="12"/>
      <c r="C918" s="12"/>
      <c r="D918" s="13"/>
      <c r="F918" s="14"/>
      <c r="G918" s="14"/>
      <c r="H918" s="14"/>
      <c r="I918" s="14"/>
      <c r="J918" s="14"/>
      <c r="K918" s="12"/>
    </row>
    <row r="919" ht="19.5" customHeight="1">
      <c r="A919" s="12"/>
      <c r="C919" s="12"/>
      <c r="D919" s="13"/>
      <c r="F919" s="14"/>
      <c r="G919" s="14"/>
      <c r="H919" s="14"/>
      <c r="I919" s="14"/>
      <c r="J919" s="14"/>
      <c r="K919" s="12"/>
    </row>
    <row r="920" ht="19.5" customHeight="1">
      <c r="A920" s="12"/>
      <c r="C920" s="12"/>
      <c r="D920" s="13"/>
      <c r="F920" s="14"/>
      <c r="G920" s="14"/>
      <c r="H920" s="14"/>
      <c r="I920" s="14"/>
      <c r="J920" s="14"/>
      <c r="K920" s="12"/>
    </row>
    <row r="921" ht="19.5" customHeight="1">
      <c r="A921" s="12"/>
      <c r="C921" s="12"/>
      <c r="D921" s="13"/>
      <c r="F921" s="14"/>
      <c r="G921" s="14"/>
      <c r="H921" s="14"/>
      <c r="I921" s="14"/>
      <c r="J921" s="14"/>
      <c r="K921" s="12"/>
    </row>
    <row r="922" ht="19.5" customHeight="1">
      <c r="A922" s="12"/>
      <c r="C922" s="12"/>
      <c r="D922" s="13"/>
      <c r="F922" s="14"/>
      <c r="G922" s="14"/>
      <c r="H922" s="14"/>
      <c r="I922" s="14"/>
      <c r="J922" s="14"/>
      <c r="K922" s="12"/>
    </row>
    <row r="923" ht="19.5" customHeight="1">
      <c r="A923" s="12"/>
      <c r="C923" s="12"/>
      <c r="D923" s="13"/>
      <c r="F923" s="14"/>
      <c r="G923" s="14"/>
      <c r="H923" s="14"/>
      <c r="I923" s="14"/>
      <c r="J923" s="14"/>
      <c r="K923" s="12"/>
    </row>
    <row r="924" ht="19.5" customHeight="1">
      <c r="A924" s="12"/>
      <c r="C924" s="12"/>
      <c r="D924" s="13"/>
      <c r="F924" s="14"/>
      <c r="G924" s="14"/>
      <c r="H924" s="14"/>
      <c r="I924" s="14"/>
      <c r="J924" s="14"/>
      <c r="K924" s="12"/>
    </row>
    <row r="925" ht="19.5" customHeight="1">
      <c r="A925" s="12"/>
      <c r="C925" s="12"/>
      <c r="D925" s="13"/>
      <c r="F925" s="14"/>
      <c r="G925" s="14"/>
      <c r="H925" s="14"/>
      <c r="I925" s="14"/>
      <c r="J925" s="14"/>
      <c r="K925" s="12"/>
    </row>
    <row r="926" ht="19.5" customHeight="1">
      <c r="A926" s="12"/>
      <c r="C926" s="12"/>
      <c r="D926" s="13"/>
      <c r="F926" s="14"/>
      <c r="G926" s="14"/>
      <c r="H926" s="14"/>
      <c r="I926" s="14"/>
      <c r="J926" s="14"/>
      <c r="K926" s="12"/>
    </row>
    <row r="927" ht="19.5" customHeight="1">
      <c r="A927" s="12"/>
      <c r="C927" s="12"/>
      <c r="D927" s="13"/>
      <c r="F927" s="14"/>
      <c r="G927" s="14"/>
      <c r="H927" s="14"/>
      <c r="I927" s="14"/>
      <c r="J927" s="14"/>
      <c r="K927" s="12"/>
    </row>
    <row r="928" ht="19.5" customHeight="1">
      <c r="A928" s="12"/>
      <c r="C928" s="12"/>
      <c r="D928" s="13"/>
      <c r="F928" s="14"/>
      <c r="G928" s="14"/>
      <c r="H928" s="14"/>
      <c r="I928" s="14"/>
      <c r="J928" s="14"/>
      <c r="K928" s="12"/>
    </row>
    <row r="929" ht="19.5" customHeight="1">
      <c r="A929" s="12"/>
      <c r="C929" s="12"/>
      <c r="D929" s="13"/>
      <c r="F929" s="14"/>
      <c r="G929" s="14"/>
      <c r="H929" s="14"/>
      <c r="I929" s="14"/>
      <c r="J929" s="14"/>
      <c r="K929" s="12"/>
    </row>
    <row r="930" ht="19.5" customHeight="1">
      <c r="A930" s="12"/>
      <c r="C930" s="12"/>
      <c r="D930" s="13"/>
      <c r="F930" s="14"/>
      <c r="G930" s="14"/>
      <c r="H930" s="14"/>
      <c r="I930" s="14"/>
      <c r="J930" s="14"/>
      <c r="K930" s="12"/>
    </row>
    <row r="931" ht="19.5" customHeight="1">
      <c r="A931" s="12"/>
      <c r="C931" s="12"/>
      <c r="D931" s="13"/>
      <c r="F931" s="14"/>
      <c r="G931" s="14"/>
      <c r="H931" s="14"/>
      <c r="I931" s="14"/>
      <c r="J931" s="14"/>
      <c r="K931" s="12"/>
    </row>
    <row r="932" ht="19.5" customHeight="1">
      <c r="A932" s="12"/>
      <c r="C932" s="12"/>
      <c r="D932" s="13"/>
      <c r="F932" s="14"/>
      <c r="G932" s="14"/>
      <c r="H932" s="14"/>
      <c r="I932" s="14"/>
      <c r="J932" s="14"/>
      <c r="K932" s="12"/>
    </row>
    <row r="933" ht="19.5" customHeight="1">
      <c r="A933" s="12"/>
      <c r="C933" s="12"/>
      <c r="D933" s="13"/>
      <c r="F933" s="14"/>
      <c r="G933" s="14"/>
      <c r="H933" s="14"/>
      <c r="I933" s="14"/>
      <c r="J933" s="14"/>
      <c r="K933" s="12"/>
    </row>
    <row r="934" ht="19.5" customHeight="1">
      <c r="A934" s="12"/>
      <c r="C934" s="12"/>
      <c r="D934" s="13"/>
      <c r="F934" s="14"/>
      <c r="G934" s="14"/>
      <c r="H934" s="14"/>
      <c r="I934" s="14"/>
      <c r="J934" s="14"/>
      <c r="K934" s="12"/>
    </row>
    <row r="935" ht="19.5" customHeight="1">
      <c r="A935" s="12"/>
      <c r="C935" s="12"/>
      <c r="D935" s="13"/>
      <c r="F935" s="14"/>
      <c r="G935" s="14"/>
      <c r="H935" s="14"/>
      <c r="I935" s="14"/>
      <c r="J935" s="14"/>
      <c r="K935" s="12"/>
    </row>
    <row r="936" ht="19.5" customHeight="1">
      <c r="A936" s="12"/>
      <c r="C936" s="12"/>
      <c r="D936" s="13"/>
      <c r="F936" s="14"/>
      <c r="G936" s="14"/>
      <c r="H936" s="14"/>
      <c r="I936" s="14"/>
      <c r="J936" s="14"/>
      <c r="K936" s="12"/>
    </row>
    <row r="937" ht="19.5" customHeight="1">
      <c r="A937" s="12"/>
      <c r="C937" s="12"/>
      <c r="D937" s="13"/>
      <c r="F937" s="14"/>
      <c r="G937" s="14"/>
      <c r="H937" s="14"/>
      <c r="I937" s="14"/>
      <c r="J937" s="14"/>
      <c r="K937" s="12"/>
    </row>
    <row r="938" ht="19.5" customHeight="1">
      <c r="A938" s="12"/>
      <c r="C938" s="12"/>
      <c r="D938" s="13"/>
      <c r="F938" s="14"/>
      <c r="G938" s="14"/>
      <c r="H938" s="14"/>
      <c r="I938" s="14"/>
      <c r="J938" s="14"/>
      <c r="K938" s="12"/>
    </row>
    <row r="939" ht="19.5" customHeight="1">
      <c r="A939" s="12"/>
      <c r="C939" s="12"/>
      <c r="D939" s="13"/>
      <c r="F939" s="14"/>
      <c r="G939" s="14"/>
      <c r="H939" s="14"/>
      <c r="I939" s="14"/>
      <c r="J939" s="14"/>
      <c r="K939" s="12"/>
    </row>
    <row r="940" ht="19.5" customHeight="1">
      <c r="A940" s="12"/>
      <c r="C940" s="12"/>
      <c r="D940" s="13"/>
      <c r="F940" s="14"/>
      <c r="G940" s="14"/>
      <c r="H940" s="14"/>
      <c r="I940" s="14"/>
      <c r="J940" s="14"/>
      <c r="K940" s="12"/>
    </row>
    <row r="941" ht="19.5" customHeight="1">
      <c r="A941" s="12"/>
      <c r="C941" s="12"/>
      <c r="D941" s="13"/>
      <c r="F941" s="14"/>
      <c r="G941" s="14"/>
      <c r="H941" s="14"/>
      <c r="I941" s="14"/>
      <c r="J941" s="14"/>
      <c r="K941" s="12"/>
    </row>
    <row r="942" ht="19.5" customHeight="1">
      <c r="A942" s="12"/>
      <c r="C942" s="12"/>
      <c r="D942" s="13"/>
      <c r="F942" s="14"/>
      <c r="G942" s="14"/>
      <c r="H942" s="14"/>
      <c r="I942" s="14"/>
      <c r="J942" s="14"/>
      <c r="K942" s="12"/>
    </row>
    <row r="943" ht="19.5" customHeight="1">
      <c r="A943" s="12"/>
      <c r="C943" s="12"/>
      <c r="D943" s="13"/>
      <c r="F943" s="14"/>
      <c r="G943" s="14"/>
      <c r="H943" s="14"/>
      <c r="I943" s="14"/>
      <c r="J943" s="14"/>
      <c r="K943" s="12"/>
    </row>
    <row r="944" ht="19.5" customHeight="1">
      <c r="A944" s="12"/>
      <c r="C944" s="12"/>
      <c r="D944" s="13"/>
      <c r="F944" s="14"/>
      <c r="G944" s="14"/>
      <c r="H944" s="14"/>
      <c r="I944" s="14"/>
      <c r="J944" s="14"/>
      <c r="K944" s="12"/>
    </row>
    <row r="945" ht="19.5" customHeight="1">
      <c r="A945" s="12"/>
      <c r="C945" s="12"/>
      <c r="D945" s="13"/>
      <c r="F945" s="14"/>
      <c r="G945" s="14"/>
      <c r="H945" s="14"/>
      <c r="I945" s="14"/>
      <c r="J945" s="14"/>
      <c r="K945" s="12"/>
    </row>
    <row r="946" ht="19.5" customHeight="1">
      <c r="A946" s="12"/>
      <c r="C946" s="12"/>
      <c r="D946" s="13"/>
      <c r="F946" s="14"/>
      <c r="G946" s="14"/>
      <c r="H946" s="14"/>
      <c r="I946" s="14"/>
      <c r="J946" s="14"/>
      <c r="K946" s="12"/>
    </row>
    <row r="947" ht="19.5" customHeight="1">
      <c r="A947" s="12"/>
      <c r="C947" s="12"/>
      <c r="D947" s="13"/>
      <c r="F947" s="14"/>
      <c r="G947" s="14"/>
      <c r="H947" s="14"/>
      <c r="I947" s="14"/>
      <c r="J947" s="14"/>
      <c r="K947" s="12"/>
    </row>
    <row r="948" ht="19.5" customHeight="1">
      <c r="A948" s="12"/>
      <c r="C948" s="12"/>
      <c r="D948" s="13"/>
      <c r="F948" s="14"/>
      <c r="G948" s="14"/>
      <c r="H948" s="14"/>
      <c r="I948" s="14"/>
      <c r="J948" s="14"/>
      <c r="K948" s="12"/>
    </row>
    <row r="949" ht="19.5" customHeight="1">
      <c r="A949" s="12"/>
      <c r="C949" s="12"/>
      <c r="D949" s="13"/>
      <c r="F949" s="14"/>
      <c r="G949" s="14"/>
      <c r="H949" s="14"/>
      <c r="I949" s="14"/>
      <c r="J949" s="14"/>
      <c r="K949" s="12"/>
    </row>
    <row r="950" ht="19.5" customHeight="1">
      <c r="A950" s="12"/>
      <c r="C950" s="12"/>
      <c r="D950" s="13"/>
      <c r="F950" s="14"/>
      <c r="G950" s="14"/>
      <c r="H950" s="14"/>
      <c r="I950" s="14"/>
      <c r="J950" s="14"/>
      <c r="K950" s="12"/>
    </row>
    <row r="951" ht="19.5" customHeight="1">
      <c r="A951" s="12"/>
      <c r="C951" s="12"/>
      <c r="D951" s="13"/>
      <c r="F951" s="14"/>
      <c r="G951" s="14"/>
      <c r="H951" s="14"/>
      <c r="I951" s="14"/>
      <c r="J951" s="14"/>
      <c r="K951" s="12"/>
    </row>
    <row r="952" ht="19.5" customHeight="1">
      <c r="A952" s="12"/>
      <c r="C952" s="12"/>
      <c r="D952" s="13"/>
      <c r="F952" s="14"/>
      <c r="G952" s="14"/>
      <c r="H952" s="14"/>
      <c r="I952" s="14"/>
      <c r="J952" s="14"/>
      <c r="K952" s="12"/>
    </row>
    <row r="953" ht="19.5" customHeight="1">
      <c r="A953" s="12"/>
      <c r="C953" s="12"/>
      <c r="D953" s="13"/>
      <c r="F953" s="14"/>
      <c r="G953" s="14"/>
      <c r="H953" s="14"/>
      <c r="I953" s="14"/>
      <c r="J953" s="14"/>
      <c r="K953" s="12"/>
    </row>
    <row r="954" ht="19.5" customHeight="1">
      <c r="A954" s="12"/>
      <c r="C954" s="12"/>
      <c r="D954" s="13"/>
      <c r="F954" s="14"/>
      <c r="G954" s="14"/>
      <c r="H954" s="14"/>
      <c r="I954" s="14"/>
      <c r="J954" s="14"/>
      <c r="K954" s="12"/>
    </row>
    <row r="955" ht="19.5" customHeight="1">
      <c r="A955" s="12"/>
      <c r="C955" s="12"/>
      <c r="D955" s="13"/>
      <c r="F955" s="14"/>
      <c r="G955" s="14"/>
      <c r="H955" s="14"/>
      <c r="I955" s="14"/>
      <c r="J955" s="14"/>
      <c r="K955" s="12"/>
    </row>
    <row r="956" ht="19.5" customHeight="1">
      <c r="A956" s="12"/>
      <c r="C956" s="12"/>
      <c r="D956" s="13"/>
      <c r="F956" s="14"/>
      <c r="G956" s="14"/>
      <c r="H956" s="14"/>
      <c r="I956" s="14"/>
      <c r="J956" s="14"/>
      <c r="K956" s="12"/>
    </row>
    <row r="957" ht="19.5" customHeight="1">
      <c r="A957" s="12"/>
      <c r="C957" s="12"/>
      <c r="D957" s="13"/>
      <c r="F957" s="14"/>
      <c r="G957" s="14"/>
      <c r="H957" s="14"/>
      <c r="I957" s="14"/>
      <c r="J957" s="14"/>
      <c r="K957" s="12"/>
    </row>
    <row r="958" ht="19.5" customHeight="1">
      <c r="A958" s="12"/>
      <c r="C958" s="12"/>
      <c r="D958" s="13"/>
      <c r="F958" s="14"/>
      <c r="G958" s="14"/>
      <c r="H958" s="14"/>
      <c r="I958" s="14"/>
      <c r="J958" s="14"/>
      <c r="K958" s="12"/>
    </row>
    <row r="959" ht="19.5" customHeight="1">
      <c r="A959" s="12"/>
      <c r="C959" s="12"/>
      <c r="D959" s="13"/>
      <c r="F959" s="14"/>
      <c r="G959" s="14"/>
      <c r="H959" s="14"/>
      <c r="I959" s="14"/>
      <c r="J959" s="14"/>
      <c r="K959" s="12"/>
    </row>
    <row r="960" ht="19.5" customHeight="1">
      <c r="A960" s="12"/>
      <c r="C960" s="12"/>
      <c r="D960" s="13"/>
      <c r="F960" s="14"/>
      <c r="G960" s="14"/>
      <c r="H960" s="14"/>
      <c r="I960" s="14"/>
      <c r="J960" s="14"/>
      <c r="K960" s="12"/>
    </row>
    <row r="961" ht="19.5" customHeight="1">
      <c r="A961" s="12"/>
      <c r="C961" s="12"/>
      <c r="D961" s="13"/>
      <c r="F961" s="14"/>
      <c r="G961" s="14"/>
      <c r="H961" s="14"/>
      <c r="I961" s="14"/>
      <c r="J961" s="14"/>
      <c r="K961" s="12"/>
    </row>
    <row r="962" ht="19.5" customHeight="1">
      <c r="A962" s="12"/>
      <c r="C962" s="12"/>
      <c r="D962" s="13"/>
      <c r="F962" s="14"/>
      <c r="G962" s="14"/>
      <c r="H962" s="14"/>
      <c r="I962" s="14"/>
      <c r="J962" s="14"/>
      <c r="K962" s="12"/>
    </row>
    <row r="963" ht="19.5" customHeight="1">
      <c r="A963" s="12"/>
      <c r="C963" s="12"/>
      <c r="D963" s="13"/>
      <c r="F963" s="14"/>
      <c r="G963" s="14"/>
      <c r="H963" s="14"/>
      <c r="I963" s="14"/>
      <c r="J963" s="14"/>
      <c r="K963" s="12"/>
    </row>
    <row r="964" ht="19.5" customHeight="1">
      <c r="A964" s="12"/>
      <c r="C964" s="12"/>
      <c r="D964" s="13"/>
      <c r="F964" s="14"/>
      <c r="G964" s="14"/>
      <c r="H964" s="14"/>
      <c r="I964" s="14"/>
      <c r="J964" s="14"/>
      <c r="K964" s="12"/>
    </row>
    <row r="965" ht="19.5" customHeight="1">
      <c r="A965" s="12"/>
      <c r="C965" s="12"/>
      <c r="D965" s="13"/>
      <c r="F965" s="14"/>
      <c r="G965" s="14"/>
      <c r="H965" s="14"/>
      <c r="I965" s="14"/>
      <c r="J965" s="14"/>
      <c r="K965" s="12"/>
    </row>
    <row r="966" ht="19.5" customHeight="1">
      <c r="A966" s="12"/>
      <c r="C966" s="12"/>
      <c r="D966" s="13"/>
      <c r="F966" s="14"/>
      <c r="G966" s="14"/>
      <c r="H966" s="14"/>
      <c r="I966" s="14"/>
      <c r="J966" s="14"/>
      <c r="K966" s="12"/>
    </row>
    <row r="967" ht="19.5" customHeight="1">
      <c r="A967" s="12"/>
      <c r="C967" s="12"/>
      <c r="D967" s="13"/>
      <c r="F967" s="14"/>
      <c r="G967" s="14"/>
      <c r="H967" s="14"/>
      <c r="I967" s="14"/>
      <c r="J967" s="14"/>
      <c r="K967" s="12"/>
    </row>
    <row r="968" ht="19.5" customHeight="1">
      <c r="A968" s="12"/>
      <c r="C968" s="12"/>
      <c r="D968" s="13"/>
      <c r="F968" s="14"/>
      <c r="G968" s="14"/>
      <c r="H968" s="14"/>
      <c r="I968" s="14"/>
      <c r="J968" s="14"/>
      <c r="K968" s="12"/>
    </row>
    <row r="969" ht="19.5" customHeight="1">
      <c r="A969" s="12"/>
      <c r="C969" s="12"/>
      <c r="D969" s="13"/>
      <c r="F969" s="14"/>
      <c r="G969" s="14"/>
      <c r="H969" s="14"/>
      <c r="I969" s="14"/>
      <c r="J969" s="14"/>
      <c r="K969" s="12"/>
    </row>
    <row r="970" ht="19.5" customHeight="1">
      <c r="A970" s="12"/>
      <c r="C970" s="12"/>
      <c r="D970" s="13"/>
      <c r="F970" s="14"/>
      <c r="G970" s="14"/>
      <c r="H970" s="14"/>
      <c r="I970" s="14"/>
      <c r="J970" s="14"/>
      <c r="K970" s="12"/>
    </row>
    <row r="971" ht="19.5" customHeight="1">
      <c r="A971" s="12"/>
      <c r="C971" s="12"/>
      <c r="D971" s="13"/>
      <c r="F971" s="14"/>
      <c r="G971" s="14"/>
      <c r="H971" s="14"/>
      <c r="I971" s="14"/>
      <c r="J971" s="14"/>
      <c r="K971" s="12"/>
    </row>
    <row r="972" ht="19.5" customHeight="1">
      <c r="A972" s="12"/>
      <c r="C972" s="12"/>
      <c r="D972" s="13"/>
      <c r="F972" s="14"/>
      <c r="G972" s="14"/>
      <c r="H972" s="14"/>
      <c r="I972" s="14"/>
      <c r="J972" s="14"/>
      <c r="K972" s="12"/>
    </row>
    <row r="973" ht="19.5" customHeight="1">
      <c r="A973" s="12"/>
      <c r="C973" s="12"/>
      <c r="D973" s="13"/>
      <c r="F973" s="14"/>
      <c r="G973" s="14"/>
      <c r="H973" s="14"/>
      <c r="I973" s="14"/>
      <c r="J973" s="14"/>
      <c r="K973" s="12"/>
    </row>
    <row r="974" ht="19.5" customHeight="1">
      <c r="A974" s="12"/>
      <c r="C974" s="12"/>
      <c r="D974" s="13"/>
      <c r="F974" s="14"/>
      <c r="G974" s="14"/>
      <c r="H974" s="14"/>
      <c r="I974" s="14"/>
      <c r="J974" s="14"/>
      <c r="K974" s="12"/>
    </row>
    <row r="975" ht="19.5" customHeight="1">
      <c r="A975" s="12"/>
      <c r="C975" s="12"/>
      <c r="D975" s="13"/>
      <c r="F975" s="14"/>
      <c r="G975" s="14"/>
      <c r="H975" s="14"/>
      <c r="I975" s="14"/>
      <c r="J975" s="14"/>
      <c r="K975" s="12"/>
    </row>
    <row r="976" ht="19.5" customHeight="1">
      <c r="A976" s="12"/>
      <c r="C976" s="12"/>
      <c r="D976" s="13"/>
      <c r="F976" s="14"/>
      <c r="G976" s="14"/>
      <c r="H976" s="14"/>
      <c r="I976" s="14"/>
      <c r="J976" s="14"/>
      <c r="K976" s="12"/>
    </row>
    <row r="977" ht="19.5" customHeight="1">
      <c r="A977" s="12"/>
      <c r="C977" s="12"/>
      <c r="D977" s="13"/>
      <c r="F977" s="14"/>
      <c r="G977" s="14"/>
      <c r="H977" s="14"/>
      <c r="I977" s="14"/>
      <c r="J977" s="14"/>
      <c r="K977" s="12"/>
    </row>
    <row r="978" ht="19.5" customHeight="1">
      <c r="A978" s="12"/>
      <c r="C978" s="12"/>
      <c r="D978" s="13"/>
      <c r="F978" s="14"/>
      <c r="G978" s="14"/>
      <c r="H978" s="14"/>
      <c r="I978" s="14"/>
      <c r="J978" s="14"/>
      <c r="K978" s="12"/>
    </row>
    <row r="979" ht="19.5" customHeight="1">
      <c r="A979" s="12"/>
      <c r="C979" s="12"/>
      <c r="D979" s="13"/>
      <c r="F979" s="14"/>
      <c r="G979" s="14"/>
      <c r="H979" s="14"/>
      <c r="I979" s="14"/>
      <c r="J979" s="14"/>
      <c r="K979" s="12"/>
    </row>
    <row r="980" ht="19.5" customHeight="1">
      <c r="A980" s="12"/>
      <c r="C980" s="12"/>
      <c r="D980" s="13"/>
      <c r="F980" s="14"/>
      <c r="G980" s="14"/>
      <c r="H980" s="14"/>
      <c r="I980" s="14"/>
      <c r="J980" s="14"/>
      <c r="K980" s="12"/>
    </row>
    <row r="981" ht="19.5" customHeight="1">
      <c r="A981" s="12"/>
      <c r="C981" s="12"/>
      <c r="D981" s="13"/>
      <c r="F981" s="14"/>
      <c r="G981" s="14"/>
      <c r="H981" s="14"/>
      <c r="I981" s="14"/>
      <c r="J981" s="14"/>
      <c r="K981" s="12"/>
    </row>
    <row r="982" ht="19.5" customHeight="1">
      <c r="A982" s="12"/>
      <c r="C982" s="12"/>
      <c r="D982" s="13"/>
      <c r="F982" s="14"/>
      <c r="G982" s="14"/>
      <c r="H982" s="14"/>
      <c r="I982" s="14"/>
      <c r="J982" s="14"/>
      <c r="K982" s="12"/>
    </row>
    <row r="983" ht="19.5" customHeight="1">
      <c r="A983" s="12"/>
      <c r="C983" s="12"/>
      <c r="D983" s="13"/>
      <c r="F983" s="14"/>
      <c r="G983" s="14"/>
      <c r="H983" s="14"/>
      <c r="I983" s="14"/>
      <c r="J983" s="14"/>
      <c r="K983" s="12"/>
    </row>
    <row r="984" ht="19.5" customHeight="1">
      <c r="A984" s="12"/>
      <c r="C984" s="12"/>
      <c r="D984" s="13"/>
      <c r="F984" s="14"/>
      <c r="G984" s="14"/>
      <c r="H984" s="14"/>
      <c r="I984" s="14"/>
      <c r="J984" s="14"/>
      <c r="K984" s="12"/>
    </row>
    <row r="985" ht="19.5" customHeight="1">
      <c r="A985" s="12"/>
      <c r="C985" s="12"/>
      <c r="D985" s="13"/>
      <c r="F985" s="14"/>
      <c r="G985" s="14"/>
      <c r="H985" s="14"/>
      <c r="I985" s="14"/>
      <c r="J985" s="14"/>
      <c r="K985" s="12"/>
    </row>
    <row r="986" ht="19.5" customHeight="1">
      <c r="A986" s="12"/>
      <c r="C986" s="12"/>
      <c r="D986" s="13"/>
      <c r="F986" s="14"/>
      <c r="G986" s="14"/>
      <c r="H986" s="14"/>
      <c r="I986" s="14"/>
      <c r="J986" s="14"/>
      <c r="K986" s="12"/>
    </row>
    <row r="987" ht="19.5" customHeight="1">
      <c r="A987" s="12"/>
      <c r="C987" s="12"/>
      <c r="D987" s="13"/>
      <c r="F987" s="14"/>
      <c r="G987" s="14"/>
      <c r="H987" s="14"/>
      <c r="I987" s="14"/>
      <c r="J987" s="14"/>
      <c r="K987" s="12"/>
    </row>
    <row r="988" ht="19.5" customHeight="1">
      <c r="A988" s="12"/>
      <c r="C988" s="12"/>
      <c r="D988" s="13"/>
      <c r="F988" s="14"/>
      <c r="G988" s="14"/>
      <c r="H988" s="14"/>
      <c r="I988" s="14"/>
      <c r="J988" s="14"/>
      <c r="K988" s="12"/>
    </row>
    <row r="989" ht="19.5" customHeight="1">
      <c r="A989" s="12"/>
      <c r="C989" s="12"/>
      <c r="D989" s="13"/>
      <c r="F989" s="14"/>
      <c r="G989" s="14"/>
      <c r="H989" s="14"/>
      <c r="I989" s="14"/>
      <c r="J989" s="14"/>
      <c r="K989" s="12"/>
    </row>
    <row r="990" ht="19.5" customHeight="1">
      <c r="A990" s="12"/>
      <c r="C990" s="12"/>
      <c r="D990" s="13"/>
      <c r="F990" s="14"/>
      <c r="G990" s="14"/>
      <c r="H990" s="14"/>
      <c r="I990" s="14"/>
      <c r="J990" s="14"/>
      <c r="K990" s="12"/>
    </row>
    <row r="991" ht="19.5" customHeight="1">
      <c r="A991" s="12"/>
      <c r="C991" s="12"/>
      <c r="D991" s="13"/>
      <c r="F991" s="14"/>
      <c r="G991" s="14"/>
      <c r="H991" s="14"/>
      <c r="I991" s="14"/>
      <c r="J991" s="14"/>
      <c r="K991" s="12"/>
    </row>
    <row r="992" ht="19.5" customHeight="1">
      <c r="A992" s="12"/>
      <c r="C992" s="12"/>
      <c r="D992" s="13"/>
      <c r="F992" s="14"/>
      <c r="G992" s="14"/>
      <c r="H992" s="14"/>
      <c r="I992" s="14"/>
      <c r="J992" s="14"/>
      <c r="K992" s="12"/>
    </row>
    <row r="993" ht="19.5" customHeight="1">
      <c r="A993" s="12"/>
      <c r="C993" s="12"/>
      <c r="D993" s="13"/>
      <c r="F993" s="14"/>
      <c r="G993" s="14"/>
      <c r="H993" s="14"/>
      <c r="I993" s="14"/>
      <c r="J993" s="14"/>
      <c r="K993" s="12"/>
    </row>
    <row r="994" ht="19.5" customHeight="1">
      <c r="A994" s="12"/>
      <c r="C994" s="12"/>
      <c r="D994" s="13"/>
      <c r="F994" s="14"/>
      <c r="G994" s="14"/>
      <c r="H994" s="14"/>
      <c r="I994" s="14"/>
      <c r="J994" s="14"/>
      <c r="K994" s="12"/>
    </row>
    <row r="995" ht="19.5" customHeight="1">
      <c r="A995" s="12"/>
      <c r="C995" s="12"/>
      <c r="D995" s="13"/>
      <c r="F995" s="14"/>
      <c r="G995" s="14"/>
      <c r="H995" s="14"/>
      <c r="I995" s="14"/>
      <c r="J995" s="14"/>
      <c r="K995" s="12"/>
    </row>
    <row r="996" ht="19.5" customHeight="1">
      <c r="A996" s="12"/>
      <c r="C996" s="12"/>
      <c r="D996" s="13"/>
      <c r="F996" s="14"/>
      <c r="G996" s="14"/>
      <c r="H996" s="14"/>
      <c r="I996" s="14"/>
      <c r="J996" s="14"/>
      <c r="K996" s="12"/>
    </row>
    <row r="997" ht="19.5" customHeight="1">
      <c r="A997" s="12"/>
      <c r="C997" s="12"/>
      <c r="D997" s="13"/>
      <c r="F997" s="14"/>
      <c r="G997" s="14"/>
      <c r="H997" s="14"/>
      <c r="I997" s="14"/>
      <c r="J997" s="14"/>
      <c r="K997" s="12"/>
    </row>
    <row r="998" ht="19.5" customHeight="1">
      <c r="A998" s="12"/>
      <c r="C998" s="12"/>
      <c r="D998" s="13"/>
      <c r="F998" s="14"/>
      <c r="G998" s="14"/>
      <c r="H998" s="14"/>
      <c r="I998" s="14"/>
      <c r="J998" s="14"/>
      <c r="K998" s="12"/>
    </row>
    <row r="999" ht="19.5" customHeight="1">
      <c r="A999" s="12"/>
      <c r="C999" s="12"/>
      <c r="D999" s="13"/>
      <c r="F999" s="14"/>
      <c r="G999" s="14"/>
      <c r="H999" s="14"/>
      <c r="I999" s="14"/>
      <c r="J999" s="14"/>
      <c r="K999" s="12"/>
    </row>
    <row r="1000" ht="19.5" customHeight="1">
      <c r="A1000" s="12"/>
      <c r="C1000" s="12"/>
      <c r="D1000" s="13"/>
      <c r="F1000" s="14"/>
      <c r="G1000" s="14"/>
      <c r="H1000" s="14"/>
      <c r="I1000" s="14"/>
      <c r="J1000" s="14"/>
      <c r="K1000" s="12"/>
    </row>
    <row r="1001" ht="19.5" customHeight="1">
      <c r="A1001" s="12"/>
      <c r="C1001" s="12"/>
      <c r="D1001" s="13"/>
      <c r="F1001" s="14"/>
      <c r="G1001" s="14"/>
      <c r="H1001" s="14"/>
      <c r="I1001" s="14"/>
      <c r="J1001" s="14"/>
      <c r="K1001" s="12"/>
    </row>
    <row r="1002" ht="19.5" customHeight="1">
      <c r="A1002" s="12"/>
      <c r="C1002" s="12"/>
      <c r="D1002" s="13"/>
      <c r="F1002" s="14"/>
      <c r="G1002" s="14"/>
      <c r="H1002" s="14"/>
      <c r="I1002" s="14"/>
      <c r="J1002" s="14"/>
      <c r="K1002" s="12"/>
    </row>
    <row r="1003" ht="19.5" customHeight="1">
      <c r="A1003" s="12"/>
      <c r="C1003" s="12"/>
      <c r="D1003" s="13"/>
      <c r="F1003" s="14"/>
      <c r="G1003" s="14"/>
      <c r="H1003" s="14"/>
      <c r="I1003" s="14"/>
      <c r="J1003" s="14"/>
      <c r="K1003" s="12"/>
    </row>
    <row r="1004" ht="19.5" customHeight="1">
      <c r="A1004" s="12"/>
      <c r="C1004" s="12"/>
      <c r="D1004" s="13"/>
      <c r="F1004" s="14"/>
      <c r="G1004" s="14"/>
      <c r="H1004" s="14"/>
      <c r="I1004" s="14"/>
      <c r="J1004" s="14"/>
      <c r="K1004" s="12"/>
    </row>
    <row r="1005" ht="19.5" customHeight="1">
      <c r="A1005" s="12"/>
      <c r="C1005" s="12"/>
      <c r="D1005" s="13"/>
      <c r="F1005" s="14"/>
      <c r="G1005" s="14"/>
      <c r="H1005" s="14"/>
      <c r="I1005" s="14"/>
      <c r="J1005" s="14"/>
      <c r="K1005" s="12"/>
    </row>
    <row r="1006" ht="19.5" customHeight="1">
      <c r="A1006" s="12"/>
      <c r="C1006" s="12"/>
      <c r="D1006" s="13"/>
      <c r="F1006" s="14"/>
      <c r="G1006" s="14"/>
      <c r="H1006" s="14"/>
      <c r="I1006" s="14"/>
      <c r="J1006" s="14"/>
      <c r="K1006" s="12"/>
    </row>
    <row r="1007" ht="19.5" customHeight="1">
      <c r="A1007" s="12"/>
      <c r="C1007" s="12"/>
      <c r="D1007" s="13"/>
      <c r="F1007" s="14"/>
      <c r="G1007" s="14"/>
      <c r="H1007" s="14"/>
      <c r="I1007" s="14"/>
      <c r="J1007" s="14"/>
      <c r="K1007" s="12"/>
    </row>
    <row r="1008" ht="19.5" customHeight="1">
      <c r="A1008" s="12"/>
      <c r="C1008" s="12"/>
      <c r="D1008" s="13"/>
      <c r="F1008" s="14"/>
      <c r="G1008" s="14"/>
      <c r="H1008" s="14"/>
      <c r="I1008" s="14"/>
      <c r="J1008" s="14"/>
      <c r="K1008" s="12"/>
    </row>
    <row r="1009" ht="19.5" customHeight="1">
      <c r="A1009" s="12"/>
      <c r="C1009" s="12"/>
      <c r="D1009" s="13"/>
      <c r="F1009" s="14"/>
      <c r="G1009" s="14"/>
      <c r="H1009" s="14"/>
      <c r="I1009" s="14"/>
      <c r="J1009" s="14"/>
      <c r="K1009" s="12"/>
    </row>
    <row r="1010" ht="19.5" customHeight="1">
      <c r="A1010" s="12"/>
      <c r="C1010" s="12"/>
      <c r="D1010" s="13"/>
      <c r="F1010" s="14"/>
      <c r="G1010" s="14"/>
      <c r="H1010" s="14"/>
      <c r="I1010" s="14"/>
      <c r="J1010" s="14"/>
      <c r="K1010" s="12"/>
    </row>
    <row r="1011" ht="19.5" customHeight="1">
      <c r="A1011" s="12"/>
      <c r="C1011" s="12"/>
      <c r="D1011" s="13"/>
      <c r="F1011" s="14"/>
      <c r="G1011" s="14"/>
      <c r="H1011" s="14"/>
      <c r="I1011" s="14"/>
      <c r="J1011" s="14"/>
      <c r="K1011" s="12"/>
    </row>
    <row r="1012" ht="19.5" customHeight="1">
      <c r="A1012" s="12"/>
      <c r="C1012" s="12"/>
      <c r="D1012" s="13"/>
      <c r="F1012" s="14"/>
      <c r="G1012" s="14"/>
      <c r="H1012" s="14"/>
      <c r="I1012" s="14"/>
      <c r="J1012" s="14"/>
      <c r="K1012" s="12"/>
    </row>
    <row r="1013" ht="19.5" customHeight="1">
      <c r="A1013" s="12"/>
      <c r="C1013" s="12"/>
      <c r="D1013" s="13"/>
      <c r="F1013" s="14"/>
      <c r="G1013" s="14"/>
      <c r="H1013" s="14"/>
      <c r="I1013" s="14"/>
      <c r="J1013" s="14"/>
      <c r="K1013" s="12"/>
    </row>
    <row r="1014" ht="19.5" customHeight="1">
      <c r="A1014" s="12"/>
      <c r="C1014" s="12"/>
      <c r="D1014" s="13"/>
      <c r="F1014" s="14"/>
      <c r="G1014" s="14"/>
      <c r="H1014" s="14"/>
      <c r="I1014" s="14"/>
      <c r="J1014" s="14"/>
      <c r="K1014" s="12"/>
    </row>
    <row r="1015" ht="19.5" customHeight="1">
      <c r="A1015" s="12"/>
      <c r="C1015" s="12"/>
      <c r="D1015" s="13"/>
      <c r="F1015" s="14"/>
      <c r="G1015" s="14"/>
      <c r="H1015" s="14"/>
      <c r="I1015" s="14"/>
      <c r="J1015" s="14"/>
      <c r="K1015" s="12"/>
    </row>
    <row r="1016" ht="19.5" customHeight="1">
      <c r="A1016" s="12"/>
      <c r="C1016" s="12"/>
      <c r="D1016" s="13"/>
      <c r="F1016" s="14"/>
      <c r="G1016" s="14"/>
      <c r="H1016" s="14"/>
      <c r="I1016" s="14"/>
      <c r="J1016" s="14"/>
      <c r="K1016" s="12"/>
    </row>
    <row r="1017" ht="19.5" customHeight="1">
      <c r="A1017" s="12"/>
      <c r="C1017" s="12"/>
      <c r="D1017" s="13"/>
      <c r="F1017" s="14"/>
      <c r="G1017" s="14"/>
      <c r="H1017" s="14"/>
      <c r="I1017" s="14"/>
      <c r="J1017" s="14"/>
      <c r="K1017" s="12"/>
    </row>
    <row r="1018" ht="19.5" customHeight="1">
      <c r="A1018" s="12"/>
      <c r="C1018" s="12"/>
      <c r="D1018" s="13"/>
      <c r="F1018" s="14"/>
      <c r="G1018" s="14"/>
      <c r="H1018" s="14"/>
      <c r="I1018" s="14"/>
      <c r="J1018" s="14"/>
      <c r="K1018" s="12"/>
    </row>
    <row r="1019" ht="19.5" customHeight="1">
      <c r="A1019" s="12"/>
      <c r="C1019" s="12"/>
      <c r="D1019" s="13"/>
      <c r="F1019" s="14"/>
      <c r="G1019" s="14"/>
      <c r="H1019" s="14"/>
      <c r="I1019" s="14"/>
      <c r="J1019" s="14"/>
      <c r="K1019" s="12"/>
    </row>
    <row r="1020" ht="19.5" customHeight="1">
      <c r="A1020" s="12"/>
      <c r="C1020" s="12"/>
      <c r="D1020" s="13"/>
      <c r="F1020" s="14"/>
      <c r="G1020" s="14"/>
      <c r="H1020" s="14"/>
      <c r="I1020" s="14"/>
      <c r="J1020" s="14"/>
      <c r="K1020" s="12"/>
    </row>
    <row r="1021" ht="19.5" customHeight="1">
      <c r="A1021" s="12"/>
      <c r="C1021" s="12"/>
      <c r="D1021" s="13"/>
      <c r="F1021" s="14"/>
      <c r="G1021" s="14"/>
      <c r="H1021" s="14"/>
      <c r="I1021" s="14"/>
      <c r="J1021" s="14"/>
      <c r="K1021" s="12"/>
    </row>
    <row r="1022" ht="19.5" customHeight="1">
      <c r="A1022" s="12"/>
      <c r="C1022" s="12"/>
      <c r="D1022" s="13"/>
      <c r="F1022" s="14"/>
      <c r="G1022" s="14"/>
      <c r="H1022" s="14"/>
      <c r="I1022" s="14"/>
      <c r="J1022" s="14"/>
      <c r="K1022" s="12"/>
    </row>
    <row r="1023" ht="19.5" customHeight="1">
      <c r="A1023" s="12"/>
      <c r="C1023" s="12"/>
      <c r="D1023" s="13"/>
      <c r="F1023" s="14"/>
      <c r="G1023" s="14"/>
      <c r="H1023" s="14"/>
      <c r="I1023" s="14"/>
      <c r="J1023" s="14"/>
      <c r="K1023" s="12"/>
    </row>
    <row r="1024" ht="19.5" customHeight="1">
      <c r="A1024" s="12"/>
      <c r="C1024" s="12"/>
      <c r="D1024" s="13"/>
      <c r="F1024" s="14"/>
      <c r="G1024" s="14"/>
      <c r="H1024" s="14"/>
      <c r="I1024" s="14"/>
      <c r="J1024" s="14"/>
      <c r="K1024" s="12"/>
    </row>
    <row r="1025" ht="19.5" customHeight="1">
      <c r="A1025" s="12"/>
      <c r="C1025" s="12"/>
      <c r="D1025" s="13"/>
      <c r="F1025" s="14"/>
      <c r="G1025" s="14"/>
      <c r="H1025" s="14"/>
      <c r="I1025" s="14"/>
      <c r="J1025" s="14"/>
      <c r="K1025" s="12"/>
    </row>
    <row r="1026" ht="19.5" customHeight="1">
      <c r="A1026" s="12"/>
      <c r="C1026" s="12"/>
      <c r="D1026" s="13"/>
      <c r="F1026" s="14"/>
      <c r="G1026" s="14"/>
      <c r="H1026" s="14"/>
      <c r="I1026" s="14"/>
      <c r="J1026" s="14"/>
      <c r="K1026" s="12"/>
    </row>
    <row r="1027" ht="19.5" customHeight="1">
      <c r="A1027" s="12"/>
      <c r="C1027" s="12"/>
      <c r="D1027" s="13"/>
      <c r="F1027" s="14"/>
      <c r="G1027" s="14"/>
      <c r="H1027" s="14"/>
      <c r="I1027" s="14"/>
      <c r="J1027" s="14"/>
      <c r="K1027" s="12"/>
    </row>
    <row r="1028" ht="19.5" customHeight="1">
      <c r="A1028" s="12"/>
      <c r="C1028" s="12"/>
      <c r="D1028" s="13"/>
      <c r="F1028" s="14"/>
      <c r="G1028" s="14"/>
      <c r="H1028" s="14"/>
      <c r="I1028" s="14"/>
      <c r="J1028" s="14"/>
      <c r="K1028" s="12"/>
    </row>
    <row r="1029" ht="19.5" customHeight="1">
      <c r="A1029" s="12"/>
      <c r="C1029" s="12"/>
      <c r="D1029" s="13"/>
      <c r="F1029" s="14"/>
      <c r="G1029" s="14"/>
      <c r="H1029" s="14"/>
      <c r="I1029" s="14"/>
      <c r="J1029" s="14"/>
      <c r="K1029" s="12"/>
    </row>
    <row r="1030" ht="19.5" customHeight="1">
      <c r="A1030" s="12"/>
      <c r="C1030" s="12"/>
      <c r="D1030" s="13"/>
      <c r="F1030" s="14"/>
      <c r="G1030" s="14"/>
      <c r="H1030" s="14"/>
      <c r="I1030" s="14"/>
      <c r="J1030" s="14"/>
      <c r="K1030" s="12"/>
    </row>
    <row r="1031" ht="19.5" customHeight="1">
      <c r="A1031" s="12"/>
      <c r="C1031" s="12"/>
      <c r="D1031" s="13"/>
      <c r="F1031" s="14"/>
      <c r="G1031" s="14"/>
      <c r="H1031" s="14"/>
      <c r="I1031" s="14"/>
      <c r="J1031" s="14"/>
      <c r="K1031" s="12"/>
    </row>
    <row r="1032" ht="19.5" customHeight="1">
      <c r="A1032" s="12"/>
      <c r="C1032" s="12"/>
      <c r="D1032" s="13"/>
      <c r="F1032" s="14"/>
      <c r="G1032" s="14"/>
      <c r="H1032" s="14"/>
      <c r="I1032" s="14"/>
      <c r="J1032" s="14"/>
      <c r="K1032" s="12"/>
    </row>
    <row r="1033" ht="19.5" customHeight="1">
      <c r="A1033" s="12"/>
      <c r="C1033" s="12"/>
      <c r="D1033" s="13"/>
      <c r="F1033" s="14"/>
      <c r="G1033" s="14"/>
      <c r="H1033" s="14"/>
      <c r="I1033" s="14"/>
      <c r="J1033" s="14"/>
      <c r="K1033" s="12"/>
    </row>
    <row r="1034" ht="19.5" customHeight="1">
      <c r="A1034" s="12"/>
      <c r="C1034" s="12"/>
      <c r="D1034" s="13"/>
      <c r="F1034" s="14"/>
      <c r="G1034" s="14"/>
      <c r="H1034" s="14"/>
      <c r="I1034" s="14"/>
      <c r="J1034" s="14"/>
      <c r="K1034" s="12"/>
    </row>
    <row r="1035" ht="19.5" customHeight="1">
      <c r="A1035" s="12"/>
      <c r="C1035" s="12"/>
      <c r="D1035" s="13"/>
      <c r="F1035" s="14"/>
      <c r="G1035" s="14"/>
      <c r="H1035" s="14"/>
      <c r="I1035" s="14"/>
      <c r="J1035" s="14"/>
      <c r="K1035" s="12"/>
    </row>
    <row r="1036" ht="19.5" customHeight="1">
      <c r="A1036" s="12"/>
      <c r="C1036" s="12"/>
      <c r="D1036" s="13"/>
      <c r="F1036" s="14"/>
      <c r="G1036" s="14"/>
      <c r="H1036" s="14"/>
      <c r="I1036" s="14"/>
      <c r="J1036" s="14"/>
      <c r="K1036" s="12"/>
    </row>
    <row r="1037" ht="19.5" customHeight="1">
      <c r="A1037" s="12"/>
      <c r="C1037" s="12"/>
      <c r="D1037" s="13"/>
      <c r="F1037" s="14"/>
      <c r="G1037" s="14"/>
      <c r="H1037" s="14"/>
      <c r="I1037" s="14"/>
      <c r="J1037" s="14"/>
      <c r="K1037" s="12"/>
    </row>
    <row r="1038" ht="19.5" customHeight="1">
      <c r="A1038" s="12"/>
      <c r="C1038" s="12"/>
      <c r="D1038" s="13"/>
      <c r="F1038" s="14"/>
      <c r="G1038" s="14"/>
      <c r="H1038" s="14"/>
      <c r="I1038" s="14"/>
      <c r="J1038" s="14"/>
      <c r="K1038" s="12"/>
    </row>
    <row r="1039" ht="19.5" customHeight="1">
      <c r="A1039" s="12"/>
      <c r="C1039" s="12"/>
      <c r="D1039" s="13"/>
      <c r="F1039" s="14"/>
      <c r="G1039" s="14"/>
      <c r="H1039" s="14"/>
      <c r="I1039" s="14"/>
      <c r="J1039" s="14"/>
      <c r="K1039" s="12"/>
    </row>
  </sheetData>
  <mergeCells count="12">
    <mergeCell ref="E9:G9"/>
    <mergeCell ref="J9:J10"/>
    <mergeCell ref="N11:O11"/>
    <mergeCell ref="K23:K28"/>
    <mergeCell ref="A6:K6"/>
    <mergeCell ref="A7:K7"/>
    <mergeCell ref="A8:K8"/>
    <mergeCell ref="A9:A10"/>
    <mergeCell ref="B9:B10"/>
    <mergeCell ref="C9:C10"/>
    <mergeCell ref="D9:D10"/>
    <mergeCell ref="K9:K10"/>
  </mergeCells>
  <printOptions/>
  <pageMargins bottom="0.787401575" footer="0.0" header="0.0" left="0.511811024" right="0.511811024" top="0.787401575"/>
  <pageSetup paperSize="9" scale="60" orientation="landscape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2" max="2" width="41.88"/>
    <col customWidth="1" min="4" max="4" width="14.5"/>
    <col customWidth="1" min="8" max="8" width="14.75"/>
    <col customWidth="1" min="11" max="11" width="16.38"/>
    <col customWidth="1" min="13" max="13" width="29.0"/>
    <col customWidth="1" min="14" max="14" width="15.38"/>
    <col customWidth="1" min="18" max="18" width="13.75"/>
    <col customWidth="1" min="19" max="19" width="17.0"/>
    <col customWidth="1" min="20" max="20" width="18.5"/>
    <col customWidth="1" min="22" max="22" width="15.25"/>
  </cols>
  <sheetData>
    <row r="1">
      <c r="D1" s="184"/>
      <c r="H1" s="184"/>
      <c r="I1" s="184"/>
      <c r="J1" s="184"/>
      <c r="Q1" s="184"/>
      <c r="S1" s="543"/>
      <c r="T1" s="543"/>
    </row>
    <row r="2">
      <c r="B2" s="2" t="s">
        <v>1618</v>
      </c>
      <c r="D2" s="184"/>
      <c r="H2" s="184"/>
      <c r="I2" s="184"/>
      <c r="J2" s="184"/>
      <c r="Q2" s="184"/>
      <c r="S2" s="543"/>
      <c r="T2" s="543"/>
    </row>
    <row r="3">
      <c r="D3" s="184"/>
      <c r="H3" s="184"/>
      <c r="I3" s="184"/>
      <c r="J3" s="184"/>
      <c r="Q3" s="184"/>
      <c r="S3" s="543"/>
      <c r="T3" s="543"/>
    </row>
    <row r="4">
      <c r="B4" s="544" t="s">
        <v>1619</v>
      </c>
      <c r="C4" s="28"/>
      <c r="D4" s="28"/>
      <c r="E4" s="28"/>
      <c r="F4" s="28"/>
      <c r="G4" s="28"/>
      <c r="H4" s="28"/>
      <c r="I4" s="28"/>
      <c r="J4" s="28"/>
      <c r="K4" s="29"/>
      <c r="M4" s="544" t="s">
        <v>1620</v>
      </c>
      <c r="N4" s="28"/>
      <c r="O4" s="28"/>
      <c r="P4" s="28"/>
      <c r="Q4" s="28"/>
      <c r="R4" s="29"/>
      <c r="S4" s="543"/>
      <c r="T4" s="544" t="s">
        <v>1621</v>
      </c>
      <c r="U4" s="28"/>
      <c r="V4" s="28"/>
      <c r="W4" s="28"/>
      <c r="X4" s="28"/>
      <c r="Y4" s="29"/>
      <c r="Z4" s="545" t="s">
        <v>1622</v>
      </c>
      <c r="AA4" s="29"/>
    </row>
    <row r="5">
      <c r="B5" s="546" t="s">
        <v>1623</v>
      </c>
      <c r="C5" s="28"/>
      <c r="D5" s="28"/>
      <c r="E5" s="28"/>
      <c r="F5" s="28"/>
      <c r="G5" s="28"/>
      <c r="H5" s="28"/>
      <c r="I5" s="28"/>
      <c r="J5" s="28"/>
      <c r="K5" s="29"/>
      <c r="M5" s="546" t="s">
        <v>1624</v>
      </c>
      <c r="N5" s="28"/>
      <c r="O5" s="28"/>
      <c r="P5" s="28"/>
      <c r="Q5" s="28"/>
      <c r="R5" s="29"/>
      <c r="S5" s="2"/>
      <c r="T5" s="67" t="s">
        <v>1625</v>
      </c>
      <c r="U5" s="67" t="s">
        <v>1626</v>
      </c>
      <c r="V5" s="67" t="s">
        <v>1627</v>
      </c>
      <c r="W5" s="2" t="s">
        <v>928</v>
      </c>
      <c r="X5" s="67" t="s">
        <v>1628</v>
      </c>
      <c r="Y5" s="67" t="s">
        <v>749</v>
      </c>
      <c r="Z5" s="547" t="s">
        <v>1629</v>
      </c>
      <c r="AA5" s="67" t="s">
        <v>1630</v>
      </c>
    </row>
    <row r="6">
      <c r="B6" s="194" t="s">
        <v>1631</v>
      </c>
      <c r="C6" s="67" t="s">
        <v>695</v>
      </c>
      <c r="D6" s="189" t="s">
        <v>696</v>
      </c>
      <c r="E6" s="67" t="s">
        <v>1632</v>
      </c>
      <c r="F6" s="67" t="s">
        <v>1633</v>
      </c>
      <c r="G6" s="67" t="s">
        <v>1634</v>
      </c>
      <c r="H6" s="189" t="s">
        <v>1635</v>
      </c>
      <c r="I6" s="189" t="s">
        <v>1636</v>
      </c>
      <c r="J6" s="189" t="s">
        <v>1637</v>
      </c>
      <c r="K6" s="67" t="s">
        <v>1744</v>
      </c>
      <c r="M6" s="67" t="s">
        <v>758</v>
      </c>
      <c r="N6" s="243"/>
      <c r="O6" s="243"/>
      <c r="P6" s="243"/>
      <c r="Q6" s="182">
        <f>359.67+85.15+454.89+105.48</f>
        <v>1005.19</v>
      </c>
      <c r="R6" s="243"/>
      <c r="S6" s="2"/>
      <c r="T6" s="67" t="s">
        <v>1639</v>
      </c>
      <c r="U6" s="243">
        <f>(5.34+5.34)</f>
        <v>10.68</v>
      </c>
      <c r="V6" s="67">
        <f>85.35</f>
        <v>85.35</v>
      </c>
      <c r="W6" s="243">
        <f t="shared" ref="W6:W13" si="1">U6*V6</f>
        <v>911.538</v>
      </c>
      <c r="X6" s="67">
        <v>11.5</v>
      </c>
      <c r="Y6" s="182">
        <f t="shared" ref="Y6:Y13" si="2">W6*X6</f>
        <v>10482.687</v>
      </c>
      <c r="Z6" s="548">
        <f t="shared" ref="Z6:Z13" si="3">(1.9*0.2+0.46*1)/(22.23*0.2+5.13*1)</f>
        <v>0.08771929825</v>
      </c>
      <c r="AA6" s="182">
        <f t="shared" ref="AA6:AA13" si="4">Y6*Z6</f>
        <v>919.5339474</v>
      </c>
    </row>
    <row r="7">
      <c r="B7" s="194" t="s">
        <v>1745</v>
      </c>
      <c r="C7" s="67">
        <v>227.0</v>
      </c>
      <c r="D7" s="189">
        <v>1.5</v>
      </c>
      <c r="E7" s="67">
        <v>0.6</v>
      </c>
      <c r="F7" s="67">
        <v>0.55</v>
      </c>
      <c r="G7" s="67">
        <v>0.6</v>
      </c>
      <c r="H7" s="182">
        <f>C7*(D7+0.4)*(E7+0.4)*G7</f>
        <v>258.78</v>
      </c>
      <c r="I7" s="182">
        <f>C7*D7*E7</f>
        <v>204.3</v>
      </c>
      <c r="J7" s="182">
        <f>C7*((D7+E7)*2)*F7</f>
        <v>524.37</v>
      </c>
      <c r="K7" s="243">
        <f>C7*D7*E7*F7</f>
        <v>112.365</v>
      </c>
      <c r="M7" s="67" t="s">
        <v>759</v>
      </c>
      <c r="N7" s="243"/>
      <c r="O7" s="243"/>
      <c r="P7" s="67"/>
      <c r="Q7" s="189">
        <f>20.82+4.52+31.17+6.46</f>
        <v>62.97</v>
      </c>
      <c r="R7" s="243"/>
      <c r="S7" s="2"/>
      <c r="T7" s="67" t="s">
        <v>1640</v>
      </c>
      <c r="U7" s="243">
        <f>11.64*2</f>
        <v>23.28</v>
      </c>
      <c r="V7" s="67">
        <v>23.4</v>
      </c>
      <c r="W7" s="243">
        <f t="shared" si="1"/>
        <v>544.752</v>
      </c>
      <c r="X7" s="67">
        <v>11.5</v>
      </c>
      <c r="Y7" s="182">
        <f t="shared" si="2"/>
        <v>6264.648</v>
      </c>
      <c r="Z7" s="548">
        <f t="shared" si="3"/>
        <v>0.08771929825</v>
      </c>
      <c r="AA7" s="182">
        <f t="shared" si="4"/>
        <v>549.5305263</v>
      </c>
    </row>
    <row r="8">
      <c r="B8" s="194"/>
      <c r="C8" s="67"/>
      <c r="D8" s="189"/>
      <c r="E8" s="67"/>
      <c r="F8" s="67"/>
      <c r="G8" s="67"/>
      <c r="H8" s="182"/>
      <c r="I8" s="182"/>
      <c r="J8" s="182"/>
      <c r="K8" s="243"/>
      <c r="M8" s="67" t="s">
        <v>761</v>
      </c>
      <c r="N8" s="67" t="s">
        <v>686</v>
      </c>
      <c r="O8" s="67">
        <f>2629.2+613.3+3574.6+821.5</f>
        <v>7638.6</v>
      </c>
      <c r="P8" s="67">
        <v>0.154</v>
      </c>
      <c r="Q8" s="182">
        <f t="shared" ref="Q8:Q12" si="5">O8*P8</f>
        <v>1176.3444</v>
      </c>
      <c r="R8" s="243"/>
      <c r="S8" s="2"/>
      <c r="T8" s="67" t="s">
        <v>1642</v>
      </c>
      <c r="U8" s="243">
        <f>6.98*2</f>
        <v>13.96</v>
      </c>
      <c r="V8" s="67">
        <v>23.4</v>
      </c>
      <c r="W8" s="243">
        <f t="shared" si="1"/>
        <v>326.664</v>
      </c>
      <c r="X8" s="67">
        <v>11.5</v>
      </c>
      <c r="Y8" s="182">
        <f t="shared" si="2"/>
        <v>3756.636</v>
      </c>
      <c r="Z8" s="548">
        <f t="shared" si="3"/>
        <v>0.08771929825</v>
      </c>
      <c r="AA8" s="182">
        <f t="shared" si="4"/>
        <v>329.5294737</v>
      </c>
    </row>
    <row r="9">
      <c r="B9" s="194"/>
      <c r="C9" s="67"/>
      <c r="D9" s="189"/>
      <c r="E9" s="67"/>
      <c r="F9" s="67"/>
      <c r="G9" s="67"/>
      <c r="H9" s="182"/>
      <c r="I9" s="182"/>
      <c r="J9" s="182"/>
      <c r="K9" s="243"/>
      <c r="M9" s="243"/>
      <c r="N9" s="208">
        <v>45357.0</v>
      </c>
      <c r="O9" s="67">
        <v>0.0</v>
      </c>
      <c r="P9" s="67">
        <v>0.245</v>
      </c>
      <c r="Q9" s="182">
        <f t="shared" si="5"/>
        <v>0</v>
      </c>
      <c r="R9" s="243"/>
      <c r="S9" s="2"/>
      <c r="T9" s="67" t="s">
        <v>1644</v>
      </c>
      <c r="U9" s="243">
        <f>11.64*2</f>
        <v>23.28</v>
      </c>
      <c r="V9" s="67">
        <v>23.4</v>
      </c>
      <c r="W9" s="243">
        <f t="shared" si="1"/>
        <v>544.752</v>
      </c>
      <c r="X9" s="67">
        <v>11.5</v>
      </c>
      <c r="Y9" s="182">
        <f t="shared" si="2"/>
        <v>6264.648</v>
      </c>
      <c r="Z9" s="548">
        <f t="shared" si="3"/>
        <v>0.08771929825</v>
      </c>
      <c r="AA9" s="182">
        <f t="shared" si="4"/>
        <v>549.5305263</v>
      </c>
    </row>
    <row r="10">
      <c r="B10" s="194" t="s">
        <v>1746</v>
      </c>
      <c r="C10" s="67" t="s">
        <v>103</v>
      </c>
      <c r="D10" s="189">
        <f>I7</f>
        <v>204.3</v>
      </c>
      <c r="E10" s="67"/>
      <c r="F10" s="67"/>
      <c r="G10" s="67"/>
      <c r="H10" s="182"/>
      <c r="I10" s="182"/>
      <c r="J10" s="182"/>
      <c r="K10" s="243"/>
      <c r="M10" s="243"/>
      <c r="N10" s="209" t="s">
        <v>720</v>
      </c>
      <c r="O10" s="67">
        <v>0.0</v>
      </c>
      <c r="P10" s="67">
        <v>0.395</v>
      </c>
      <c r="Q10" s="182">
        <f t="shared" si="5"/>
        <v>0</v>
      </c>
      <c r="R10" s="243"/>
      <c r="S10" s="2"/>
      <c r="T10" s="67" t="s">
        <v>1645</v>
      </c>
      <c r="U10" s="243">
        <f>(5.34+5.34)</f>
        <v>10.68</v>
      </c>
      <c r="V10" s="67">
        <f>85.35</f>
        <v>85.35</v>
      </c>
      <c r="W10" s="243">
        <f t="shared" si="1"/>
        <v>911.538</v>
      </c>
      <c r="X10" s="67">
        <v>11.5</v>
      </c>
      <c r="Y10" s="182">
        <f t="shared" si="2"/>
        <v>10482.687</v>
      </c>
      <c r="Z10" s="548">
        <f t="shared" si="3"/>
        <v>0.08771929825</v>
      </c>
      <c r="AA10" s="182">
        <f t="shared" si="4"/>
        <v>919.5339474</v>
      </c>
    </row>
    <row r="11">
      <c r="B11" s="194" t="s">
        <v>675</v>
      </c>
      <c r="C11" s="67" t="s">
        <v>148</v>
      </c>
      <c r="D11" s="189">
        <f>H7</f>
        <v>258.78</v>
      </c>
      <c r="E11" s="67"/>
      <c r="F11" s="67"/>
      <c r="G11" s="67"/>
      <c r="H11" s="182"/>
      <c r="I11" s="182"/>
      <c r="J11" s="182"/>
      <c r="K11" s="243"/>
      <c r="M11" s="243"/>
      <c r="N11" s="209">
        <v>10.0</v>
      </c>
      <c r="O11" s="243">
        <f>1420.1+366.5+1485.4+378.4</f>
        <v>3650.4</v>
      </c>
      <c r="P11" s="67">
        <v>0.617</v>
      </c>
      <c r="Q11" s="182">
        <f t="shared" si="5"/>
        <v>2252.2968</v>
      </c>
      <c r="R11" s="243"/>
      <c r="S11" s="2"/>
      <c r="T11" s="67" t="s">
        <v>1647</v>
      </c>
      <c r="U11" s="67">
        <f>8.45*2</f>
        <v>16.9</v>
      </c>
      <c r="V11" s="67">
        <v>53.35</v>
      </c>
      <c r="W11" s="243">
        <f t="shared" si="1"/>
        <v>901.615</v>
      </c>
      <c r="X11" s="67">
        <v>11.5</v>
      </c>
      <c r="Y11" s="182">
        <f t="shared" si="2"/>
        <v>10368.5725</v>
      </c>
      <c r="Z11" s="548">
        <f t="shared" si="3"/>
        <v>0.08771929825</v>
      </c>
      <c r="AA11" s="182">
        <f t="shared" si="4"/>
        <v>909.5239035</v>
      </c>
    </row>
    <row r="12">
      <c r="B12" s="194" t="s">
        <v>1747</v>
      </c>
      <c r="C12" s="67" t="s">
        <v>148</v>
      </c>
      <c r="D12" s="189">
        <f>D10*0.05</f>
        <v>10.215</v>
      </c>
      <c r="E12" s="67"/>
      <c r="F12" s="67"/>
      <c r="G12" s="67"/>
      <c r="H12" s="182"/>
      <c r="I12" s="182"/>
      <c r="J12" s="182"/>
      <c r="K12" s="243"/>
      <c r="M12" s="243"/>
      <c r="N12" s="208">
        <v>45424.0</v>
      </c>
      <c r="O12" s="67">
        <f>230.3+24.6+311.9+24.6</f>
        <v>591.4</v>
      </c>
      <c r="P12" s="67">
        <v>0.963</v>
      </c>
      <c r="Q12" s="182">
        <f t="shared" si="5"/>
        <v>569.5182</v>
      </c>
      <c r="R12" s="243"/>
      <c r="S12" s="2"/>
      <c r="T12" s="67" t="s">
        <v>1649</v>
      </c>
      <c r="U12" s="67">
        <f>12.41*2</f>
        <v>24.82</v>
      </c>
      <c r="V12" s="67">
        <v>37.38</v>
      </c>
      <c r="W12" s="243">
        <f t="shared" si="1"/>
        <v>927.7716</v>
      </c>
      <c r="X12" s="67">
        <v>11.5</v>
      </c>
      <c r="Y12" s="549">
        <f t="shared" si="2"/>
        <v>10669.3734</v>
      </c>
      <c r="Z12" s="548">
        <f t="shared" si="3"/>
        <v>0.08771929825</v>
      </c>
      <c r="AA12" s="549">
        <f t="shared" si="4"/>
        <v>935.9099474</v>
      </c>
    </row>
    <row r="13" ht="16.5" customHeight="1">
      <c r="B13" s="194" t="s">
        <v>1748</v>
      </c>
      <c r="C13" s="67" t="s">
        <v>103</v>
      </c>
      <c r="D13" s="189">
        <f>J7</f>
        <v>524.37</v>
      </c>
      <c r="E13" s="67"/>
      <c r="F13" s="67"/>
      <c r="G13" s="67"/>
      <c r="H13" s="182"/>
      <c r="I13" s="182"/>
      <c r="J13" s="182"/>
      <c r="K13" s="243"/>
      <c r="M13" s="546" t="s">
        <v>1651</v>
      </c>
      <c r="N13" s="28"/>
      <c r="O13" s="28"/>
      <c r="P13" s="28"/>
      <c r="Q13" s="28"/>
      <c r="R13" s="29"/>
      <c r="S13" s="550"/>
      <c r="T13" s="551" t="s">
        <v>1652</v>
      </c>
      <c r="U13" s="243">
        <f>5.8*2</f>
        <v>11.6</v>
      </c>
      <c r="V13" s="67">
        <v>29.3</v>
      </c>
      <c r="W13" s="243">
        <f t="shared" si="1"/>
        <v>339.88</v>
      </c>
      <c r="X13" s="67">
        <v>11.5</v>
      </c>
      <c r="Y13" s="182">
        <f t="shared" si="2"/>
        <v>3908.62</v>
      </c>
      <c r="Z13" s="548">
        <f t="shared" si="3"/>
        <v>0.08771929825</v>
      </c>
      <c r="AA13" s="182">
        <f t="shared" si="4"/>
        <v>342.8614035</v>
      </c>
    </row>
    <row r="14" ht="16.5" customHeight="1">
      <c r="B14" s="194" t="s">
        <v>1749</v>
      </c>
      <c r="C14" s="67" t="s">
        <v>148</v>
      </c>
      <c r="D14" s="189">
        <f>K7</f>
        <v>112.365</v>
      </c>
      <c r="E14" s="67"/>
      <c r="F14" s="67"/>
      <c r="G14" s="67"/>
      <c r="H14" s="182"/>
      <c r="I14" s="182"/>
      <c r="J14" s="182"/>
      <c r="K14" s="243"/>
      <c r="M14" s="566"/>
      <c r="N14" s="566"/>
      <c r="O14" s="566"/>
      <c r="P14" s="566"/>
      <c r="Q14" s="566"/>
      <c r="R14" s="566"/>
      <c r="S14" s="550"/>
      <c r="T14" s="552"/>
      <c r="U14" s="243"/>
      <c r="V14" s="67"/>
      <c r="W14" s="243"/>
      <c r="X14" s="67"/>
      <c r="Y14" s="182"/>
      <c r="Z14" s="548"/>
      <c r="AA14" s="182"/>
    </row>
    <row r="15">
      <c r="B15" s="194"/>
      <c r="C15" s="67"/>
      <c r="D15" s="189"/>
      <c r="E15" s="67"/>
      <c r="F15" s="67"/>
      <c r="G15" s="67"/>
      <c r="H15" s="182"/>
      <c r="I15" s="182"/>
      <c r="J15" s="182"/>
      <c r="K15" s="243"/>
      <c r="M15" s="67" t="s">
        <v>758</v>
      </c>
      <c r="N15" s="243"/>
      <c r="O15" s="243"/>
      <c r="P15" s="243"/>
      <c r="Q15" s="182">
        <f>237.26+228.98+261.8+225</f>
        <v>953.04</v>
      </c>
      <c r="R15" s="243"/>
      <c r="S15" s="550"/>
      <c r="T15" s="552" t="s">
        <v>1654</v>
      </c>
      <c r="U15" s="67">
        <v>11.45</v>
      </c>
      <c r="V15" s="243">
        <f>2.04*2</f>
        <v>4.08</v>
      </c>
      <c r="W15" s="243">
        <f>U15*V15</f>
        <v>46.716</v>
      </c>
      <c r="X15" s="67">
        <v>11.5</v>
      </c>
      <c r="Y15" s="182">
        <f t="shared" ref="Y15:Y17" si="6">W15*X15</f>
        <v>537.234</v>
      </c>
      <c r="Z15" s="548">
        <f t="shared" ref="Z15:Z17" si="7">(1.9*0.2+0.46*1)/(22.23*0.2+5.13*1)</f>
        <v>0.08771929825</v>
      </c>
      <c r="AA15" s="182">
        <f t="shared" ref="AA15:AA17" si="8">Y15*Z15</f>
        <v>47.12578947</v>
      </c>
    </row>
    <row r="16">
      <c r="B16" s="555"/>
      <c r="C16" s="370" t="s">
        <v>683</v>
      </c>
      <c r="D16" s="558" t="s">
        <v>1750</v>
      </c>
      <c r="E16" s="370" t="s">
        <v>106</v>
      </c>
      <c r="F16" s="370" t="s">
        <v>695</v>
      </c>
      <c r="G16" s="370" t="s">
        <v>108</v>
      </c>
      <c r="H16" s="370" t="s">
        <v>684</v>
      </c>
      <c r="I16" s="558" t="s">
        <v>749</v>
      </c>
      <c r="J16" s="182"/>
      <c r="K16" s="243"/>
      <c r="M16" s="67" t="s">
        <v>759</v>
      </c>
      <c r="N16" s="243"/>
      <c r="O16" s="243"/>
      <c r="P16" s="67"/>
      <c r="Q16" s="189">
        <f>14.25+14.37+16.31+13.66</f>
        <v>58.59</v>
      </c>
      <c r="R16" s="243"/>
      <c r="S16" s="2"/>
      <c r="T16" s="67" t="s">
        <v>1656</v>
      </c>
      <c r="U16" s="243">
        <f>2.62</f>
        <v>2.62</v>
      </c>
      <c r="V16" s="67">
        <v>4.3</v>
      </c>
      <c r="W16" s="243">
        <f t="shared" ref="W16:W17" si="9">(U16*V16)*2</f>
        <v>22.532</v>
      </c>
      <c r="X16" s="67">
        <v>11.5</v>
      </c>
      <c r="Y16" s="182">
        <f t="shared" si="6"/>
        <v>259.118</v>
      </c>
      <c r="Z16" s="548">
        <f t="shared" si="7"/>
        <v>0.08771929825</v>
      </c>
      <c r="AA16" s="182">
        <f t="shared" si="8"/>
        <v>22.72964912</v>
      </c>
    </row>
    <row r="17">
      <c r="B17" s="555" t="s">
        <v>1751</v>
      </c>
      <c r="C17" s="370" t="s">
        <v>686</v>
      </c>
      <c r="D17" s="558" t="s">
        <v>1752</v>
      </c>
      <c r="E17" s="370">
        <v>227.0</v>
      </c>
      <c r="F17" s="370">
        <v>2.0</v>
      </c>
      <c r="G17" s="370">
        <v>1.99</v>
      </c>
      <c r="H17" s="567">
        <f>0.395</f>
        <v>0.395</v>
      </c>
      <c r="I17" s="568">
        <f t="shared" ref="I17:I21" si="10">E17*F17*G17*H17</f>
        <v>356.8667</v>
      </c>
      <c r="J17" s="182"/>
      <c r="K17" s="243"/>
      <c r="M17" s="67" t="s">
        <v>761</v>
      </c>
      <c r="N17" s="67" t="s">
        <v>686</v>
      </c>
      <c r="O17" s="67">
        <f>1245.6+1129.1+328.9+1456.9+1295.5+1046.7</f>
        <v>6502.7</v>
      </c>
      <c r="P17" s="67">
        <v>0.154</v>
      </c>
      <c r="Q17" s="182">
        <f t="shared" ref="Q17:Q21" si="11">O17*P17</f>
        <v>1001.4158</v>
      </c>
      <c r="R17" s="243"/>
      <c r="S17" s="543"/>
      <c r="T17" s="67" t="s">
        <v>1658</v>
      </c>
      <c r="U17" s="67">
        <v>3.3</v>
      </c>
      <c r="V17" s="67">
        <f>(28.67+112.8+25)/2</f>
        <v>83.235</v>
      </c>
      <c r="W17" s="243">
        <f t="shared" si="9"/>
        <v>549.351</v>
      </c>
      <c r="X17" s="67">
        <v>11.5</v>
      </c>
      <c r="Y17" s="182">
        <f t="shared" si="6"/>
        <v>6317.5365</v>
      </c>
      <c r="Z17" s="548">
        <f t="shared" si="7"/>
        <v>0.08771929825</v>
      </c>
      <c r="AA17" s="182">
        <f t="shared" si="8"/>
        <v>554.1698684</v>
      </c>
    </row>
    <row r="18">
      <c r="B18" s="555"/>
      <c r="C18" s="370" t="s">
        <v>686</v>
      </c>
      <c r="D18" s="558" t="s">
        <v>1753</v>
      </c>
      <c r="E18" s="370">
        <v>227.0</v>
      </c>
      <c r="F18" s="370">
        <v>5.0</v>
      </c>
      <c r="G18" s="370">
        <v>3.95</v>
      </c>
      <c r="H18" s="370">
        <v>0.154</v>
      </c>
      <c r="I18" s="568">
        <f t="shared" si="10"/>
        <v>690.4205</v>
      </c>
      <c r="J18" s="182"/>
      <c r="K18" s="243"/>
      <c r="M18" s="243"/>
      <c r="N18" s="208">
        <v>45357.0</v>
      </c>
      <c r="O18" s="243">
        <f>1.5+241.8+0.8+234.6</f>
        <v>478.7</v>
      </c>
      <c r="P18" s="67">
        <v>0.245</v>
      </c>
      <c r="Q18" s="182">
        <f t="shared" si="11"/>
        <v>117.2815</v>
      </c>
      <c r="R18" s="243"/>
      <c r="S18" s="543"/>
      <c r="T18" s="543"/>
      <c r="Z18" s="184">
        <f>Y13+Y15</f>
        <v>4445.854</v>
      </c>
    </row>
    <row r="19">
      <c r="B19" s="555"/>
      <c r="C19" s="569" t="s">
        <v>686</v>
      </c>
      <c r="D19" s="558" t="s">
        <v>1754</v>
      </c>
      <c r="E19" s="370">
        <v>277.0</v>
      </c>
      <c r="F19" s="370">
        <v>4.0</v>
      </c>
      <c r="G19" s="370">
        <v>1.49</v>
      </c>
      <c r="H19" s="370">
        <v>0.245</v>
      </c>
      <c r="I19" s="568">
        <f t="shared" si="10"/>
        <v>404.4754</v>
      </c>
      <c r="J19" s="182"/>
      <c r="K19" s="243"/>
      <c r="M19" s="243"/>
      <c r="N19" s="209" t="s">
        <v>720</v>
      </c>
      <c r="O19" s="243">
        <f>1150+894.5+300.7+334.2+1233.5+892.4</f>
        <v>4805.3</v>
      </c>
      <c r="P19" s="67">
        <v>0.395</v>
      </c>
      <c r="Q19" s="182">
        <f t="shared" si="11"/>
        <v>1898.0935</v>
      </c>
      <c r="R19" s="243"/>
      <c r="S19" s="543"/>
      <c r="T19" s="543"/>
      <c r="W19" s="2"/>
    </row>
    <row r="20">
      <c r="B20" s="555"/>
      <c r="C20" s="569" t="s">
        <v>686</v>
      </c>
      <c r="D20" s="558" t="s">
        <v>1755</v>
      </c>
      <c r="E20" s="370">
        <v>277.0</v>
      </c>
      <c r="F20" s="370">
        <v>7.0</v>
      </c>
      <c r="G20" s="370">
        <v>1.73</v>
      </c>
      <c r="H20" s="370">
        <v>0.617</v>
      </c>
      <c r="I20" s="568">
        <f t="shared" si="10"/>
        <v>2069.70799</v>
      </c>
      <c r="J20" s="182"/>
      <c r="K20" s="243"/>
      <c r="M20" s="243"/>
      <c r="N20" s="209">
        <v>10.0</v>
      </c>
      <c r="O20" s="67">
        <f>96.9+64+4+82.6</f>
        <v>247.5</v>
      </c>
      <c r="P20" s="67">
        <v>0.617</v>
      </c>
      <c r="Q20" s="182">
        <f t="shared" si="11"/>
        <v>152.7075</v>
      </c>
      <c r="R20" s="243"/>
      <c r="S20" s="543"/>
      <c r="T20" s="543"/>
    </row>
    <row r="21">
      <c r="B21" s="555"/>
      <c r="C21" s="569" t="s">
        <v>720</v>
      </c>
      <c r="D21" s="558" t="s">
        <v>1756</v>
      </c>
      <c r="E21" s="370">
        <v>277.0</v>
      </c>
      <c r="F21" s="370">
        <v>4.0</v>
      </c>
      <c r="G21" s="370">
        <v>1.98</v>
      </c>
      <c r="H21" s="370">
        <v>0.963</v>
      </c>
      <c r="I21" s="568">
        <f t="shared" si="10"/>
        <v>2112.66792</v>
      </c>
      <c r="J21" s="182"/>
      <c r="K21" s="243"/>
      <c r="M21" s="243"/>
      <c r="N21" s="208">
        <v>45424.0</v>
      </c>
      <c r="O21" s="67"/>
      <c r="P21" s="67">
        <v>0.963</v>
      </c>
      <c r="Q21" s="182">
        <f t="shared" si="11"/>
        <v>0</v>
      </c>
      <c r="R21" s="243"/>
      <c r="S21" s="543"/>
      <c r="T21" s="543"/>
      <c r="Y21" s="2"/>
      <c r="AA21" s="2"/>
    </row>
    <row r="22">
      <c r="B22" s="194"/>
      <c r="C22" s="67"/>
      <c r="D22" s="189"/>
      <c r="E22" s="67"/>
      <c r="F22" s="67"/>
      <c r="G22" s="67"/>
      <c r="H22" s="182"/>
      <c r="I22" s="182"/>
      <c r="J22" s="182"/>
      <c r="K22" s="243"/>
      <c r="M22" s="546" t="s">
        <v>1663</v>
      </c>
      <c r="N22" s="28"/>
      <c r="O22" s="28"/>
      <c r="P22" s="28"/>
      <c r="Q22" s="28"/>
      <c r="R22" s="29"/>
      <c r="S22" s="543"/>
      <c r="T22" s="543"/>
      <c r="V22" s="2"/>
    </row>
    <row r="23">
      <c r="B23" s="194" t="s">
        <v>1757</v>
      </c>
      <c r="C23" s="189">
        <f>SUM(I17:I20)</f>
        <v>3521.47059</v>
      </c>
      <c r="D23" s="189"/>
      <c r="E23" s="67"/>
      <c r="F23" s="67"/>
      <c r="G23" s="67"/>
      <c r="H23" s="182"/>
      <c r="I23" s="182"/>
      <c r="J23" s="182"/>
      <c r="K23" s="243"/>
      <c r="M23" s="67" t="s">
        <v>761</v>
      </c>
      <c r="N23" s="67" t="s">
        <v>686</v>
      </c>
      <c r="O23" s="67">
        <f>27*2</f>
        <v>54</v>
      </c>
      <c r="P23" s="67">
        <v>0.154</v>
      </c>
      <c r="Q23" s="182">
        <f>O23*P23</f>
        <v>8.316</v>
      </c>
      <c r="R23" s="243"/>
      <c r="S23" s="543"/>
      <c r="T23" s="543"/>
    </row>
    <row r="24">
      <c r="B24" s="194" t="s">
        <v>1758</v>
      </c>
      <c r="C24" s="189">
        <f>I21</f>
        <v>2112.66792</v>
      </c>
      <c r="D24" s="189"/>
      <c r="E24" s="67"/>
      <c r="F24" s="67"/>
      <c r="G24" s="67"/>
      <c r="H24" s="182"/>
      <c r="I24" s="182"/>
      <c r="J24" s="182"/>
      <c r="K24" s="243"/>
      <c r="M24" s="67" t="s">
        <v>1665</v>
      </c>
      <c r="N24" s="67"/>
      <c r="O24" s="67"/>
      <c r="P24" s="67"/>
      <c r="Q24" s="182">
        <f>1.29*2</f>
        <v>2.58</v>
      </c>
      <c r="R24" s="243"/>
      <c r="S24" s="543"/>
      <c r="T24" s="543"/>
    </row>
    <row r="25">
      <c r="B25" s="194"/>
      <c r="C25" s="67"/>
      <c r="D25" s="189"/>
      <c r="E25" s="67"/>
      <c r="F25" s="67"/>
      <c r="G25" s="67"/>
      <c r="H25" s="182"/>
      <c r="I25" s="182"/>
      <c r="J25" s="182"/>
      <c r="K25" s="243"/>
      <c r="M25" s="67"/>
      <c r="N25" s="67" t="s">
        <v>695</v>
      </c>
      <c r="O25" s="67" t="s">
        <v>696</v>
      </c>
      <c r="P25" s="67" t="s">
        <v>1667</v>
      </c>
      <c r="Q25" s="189" t="s">
        <v>1668</v>
      </c>
      <c r="R25" s="67"/>
      <c r="S25" s="543"/>
      <c r="T25" s="543"/>
    </row>
    <row r="26">
      <c r="B26" s="190"/>
      <c r="C26" s="210" t="s">
        <v>106</v>
      </c>
      <c r="D26" s="192" t="s">
        <v>691</v>
      </c>
      <c r="E26" s="67" t="s">
        <v>692</v>
      </c>
      <c r="F26" s="207" t="s">
        <v>693</v>
      </c>
      <c r="G26" s="205"/>
      <c r="H26" s="206"/>
      <c r="I26" s="182"/>
      <c r="J26" s="182"/>
      <c r="K26" s="243"/>
      <c r="M26" s="67" t="s">
        <v>1426</v>
      </c>
      <c r="N26" s="67">
        <v>2.0</v>
      </c>
      <c r="O26" s="67">
        <v>3.58</v>
      </c>
      <c r="P26" s="67">
        <v>0.8</v>
      </c>
      <c r="Q26" s="182">
        <f t="shared" ref="Q26:Q29" si="12">N26*O26*P26</f>
        <v>5.728</v>
      </c>
      <c r="R26" s="67"/>
      <c r="S26" s="543"/>
      <c r="T26" s="543"/>
    </row>
    <row r="27">
      <c r="B27" s="190" t="s">
        <v>694</v>
      </c>
      <c r="C27" s="210">
        <f>227*2</f>
        <v>454</v>
      </c>
      <c r="D27" s="192">
        <v>0.3</v>
      </c>
      <c r="E27" s="67">
        <v>9.0</v>
      </c>
      <c r="F27" s="205">
        <f>C27*E27</f>
        <v>4086</v>
      </c>
      <c r="G27" s="205"/>
      <c r="H27" s="206"/>
      <c r="I27" s="182"/>
      <c r="J27" s="182"/>
      <c r="K27" s="243"/>
      <c r="M27" s="243"/>
      <c r="N27" s="67">
        <v>3.0</v>
      </c>
      <c r="O27" s="67">
        <v>3.68</v>
      </c>
      <c r="P27" s="67">
        <v>0.8</v>
      </c>
      <c r="Q27" s="182">
        <f t="shared" si="12"/>
        <v>8.832</v>
      </c>
      <c r="R27" s="67"/>
      <c r="S27" s="543"/>
      <c r="T27" s="543"/>
    </row>
    <row r="28">
      <c r="B28" s="190"/>
      <c r="C28" s="210" t="s">
        <v>106</v>
      </c>
      <c r="D28" s="192" t="s">
        <v>695</v>
      </c>
      <c r="E28" s="67" t="s">
        <v>683</v>
      </c>
      <c r="F28" s="207" t="s">
        <v>696</v>
      </c>
      <c r="G28" s="67" t="s">
        <v>684</v>
      </c>
      <c r="H28" s="214" t="s">
        <v>697</v>
      </c>
      <c r="I28" s="182"/>
      <c r="J28" s="182"/>
      <c r="K28" s="243"/>
      <c r="M28" s="243"/>
      <c r="N28" s="67">
        <v>4.0</v>
      </c>
      <c r="O28" s="67">
        <v>3.67</v>
      </c>
      <c r="P28" s="67">
        <v>0.8</v>
      </c>
      <c r="Q28" s="182">
        <f t="shared" si="12"/>
        <v>11.744</v>
      </c>
      <c r="R28" s="243"/>
      <c r="S28" s="543"/>
      <c r="T28" s="543"/>
    </row>
    <row r="29">
      <c r="B29" s="190" t="s">
        <v>698</v>
      </c>
      <c r="C29" s="210">
        <f t="shared" ref="C29:C30" si="13">227*2</f>
        <v>454</v>
      </c>
      <c r="D29" s="192">
        <v>29.0</v>
      </c>
      <c r="E29" s="67" t="s">
        <v>686</v>
      </c>
      <c r="F29" s="207">
        <v>0.75</v>
      </c>
      <c r="G29" s="67">
        <v>0.154</v>
      </c>
      <c r="H29" s="206">
        <f t="shared" ref="H29:H30" si="14">C29*D29*F29*G29</f>
        <v>1520.673</v>
      </c>
      <c r="I29" s="182"/>
      <c r="J29" s="182"/>
      <c r="K29" s="243"/>
      <c r="M29" s="243"/>
      <c r="N29" s="67">
        <v>1.0</v>
      </c>
      <c r="O29" s="67">
        <v>11.1</v>
      </c>
      <c r="P29" s="67">
        <v>0.94</v>
      </c>
      <c r="Q29" s="182">
        <f t="shared" si="12"/>
        <v>10.434</v>
      </c>
      <c r="R29" s="553"/>
      <c r="S29" s="554"/>
      <c r="T29" s="554"/>
      <c r="U29" s="554"/>
    </row>
    <row r="30">
      <c r="B30" s="190"/>
      <c r="C30" s="210">
        <f t="shared" si="13"/>
        <v>454</v>
      </c>
      <c r="D30" s="192">
        <v>6.0</v>
      </c>
      <c r="E30" s="215">
        <v>45424.0</v>
      </c>
      <c r="F30" s="207">
        <v>6.42</v>
      </c>
      <c r="G30" s="67">
        <v>0.963</v>
      </c>
      <c r="H30" s="206">
        <f t="shared" si="14"/>
        <v>16841.02104</v>
      </c>
      <c r="I30" s="182"/>
      <c r="J30" s="182"/>
      <c r="K30" s="243"/>
      <c r="M30" s="553"/>
      <c r="N30" s="553"/>
      <c r="O30" s="553"/>
      <c r="P30" s="553"/>
      <c r="Q30" s="556">
        <f>SUM(Q26:Q29)</f>
        <v>36.738</v>
      </c>
      <c r="R30" s="553"/>
      <c r="S30" s="554"/>
      <c r="T30" s="554"/>
      <c r="U30" s="554"/>
    </row>
    <row r="31">
      <c r="B31" s="555"/>
      <c r="C31" s="67"/>
      <c r="D31" s="189"/>
      <c r="E31" s="67"/>
      <c r="F31" s="67"/>
      <c r="G31" s="67"/>
      <c r="H31" s="182"/>
      <c r="I31" s="182"/>
      <c r="J31" s="182"/>
      <c r="K31" s="243"/>
      <c r="M31" s="553"/>
      <c r="N31" s="553"/>
      <c r="O31" s="553"/>
      <c r="P31" s="553"/>
      <c r="Q31" s="556">
        <f>Q30*2</f>
        <v>73.476</v>
      </c>
      <c r="R31" s="553"/>
      <c r="S31" s="554"/>
      <c r="T31" s="554"/>
      <c r="U31" s="554"/>
    </row>
    <row r="32">
      <c r="B32" s="555"/>
      <c r="C32" s="67"/>
      <c r="D32" s="189"/>
      <c r="E32" s="67"/>
      <c r="F32" s="67"/>
      <c r="G32" s="67"/>
      <c r="H32" s="182"/>
      <c r="I32" s="182"/>
      <c r="J32" s="182"/>
      <c r="K32" s="243"/>
      <c r="M32" s="546" t="s">
        <v>1673</v>
      </c>
      <c r="N32" s="28"/>
      <c r="O32" s="28"/>
      <c r="P32" s="28"/>
      <c r="Q32" s="28"/>
      <c r="R32" s="29"/>
      <c r="S32" s="554"/>
      <c r="T32" s="554"/>
      <c r="U32" s="554"/>
    </row>
    <row r="33">
      <c r="B33" s="555"/>
      <c r="C33" s="67"/>
      <c r="D33" s="189"/>
      <c r="E33" s="67"/>
      <c r="F33" s="67"/>
      <c r="G33" s="67"/>
      <c r="H33" s="182"/>
      <c r="I33" s="182"/>
      <c r="J33" s="182"/>
      <c r="K33" s="243"/>
      <c r="M33" s="557"/>
      <c r="N33" s="370" t="s">
        <v>695</v>
      </c>
      <c r="O33" s="370" t="s">
        <v>696</v>
      </c>
      <c r="P33" s="370" t="s">
        <v>1667</v>
      </c>
      <c r="Q33" s="558" t="s">
        <v>1675</v>
      </c>
      <c r="R33" s="557" t="s">
        <v>1676</v>
      </c>
      <c r="S33" s="554"/>
      <c r="T33" s="554"/>
      <c r="U33" s="554"/>
    </row>
    <row r="34">
      <c r="B34" s="555"/>
      <c r="C34" s="67"/>
      <c r="D34" s="189"/>
      <c r="E34" s="67"/>
      <c r="F34" s="67"/>
      <c r="G34" s="67"/>
      <c r="H34" s="182"/>
      <c r="I34" s="182"/>
      <c r="J34" s="182"/>
      <c r="K34" s="243"/>
      <c r="M34" s="557" t="s">
        <v>1678</v>
      </c>
      <c r="N34" s="557">
        <f>138+18</f>
        <v>156</v>
      </c>
      <c r="O34" s="557">
        <v>0.2</v>
      </c>
      <c r="P34" s="557">
        <v>0.1</v>
      </c>
      <c r="Q34" s="556">
        <v>3.0</v>
      </c>
      <c r="R34" s="557">
        <f t="shared" ref="R34:R35" si="15">N34*O34*P34*Q34</f>
        <v>9.36</v>
      </c>
      <c r="S34" s="554"/>
      <c r="T34" s="554"/>
      <c r="U34" s="554"/>
    </row>
    <row r="35">
      <c r="B35" s="555"/>
      <c r="C35" s="67"/>
      <c r="D35" s="189"/>
      <c r="E35" s="67"/>
      <c r="F35" s="67"/>
      <c r="G35" s="67"/>
      <c r="H35" s="182"/>
      <c r="I35" s="182"/>
      <c r="J35" s="182"/>
      <c r="K35" s="243"/>
      <c r="M35" s="557" t="s">
        <v>152</v>
      </c>
      <c r="N35" s="557">
        <v>1.0</v>
      </c>
      <c r="O35" s="557">
        <f>(11.1+85.15)*2*2</f>
        <v>385</v>
      </c>
      <c r="P35" s="557">
        <v>0.1</v>
      </c>
      <c r="Q35" s="556">
        <v>0.2</v>
      </c>
      <c r="R35" s="557">
        <f t="shared" si="15"/>
        <v>7.7</v>
      </c>
      <c r="S35" s="554"/>
      <c r="T35" s="554"/>
      <c r="U35" s="554"/>
    </row>
    <row r="36">
      <c r="B36" s="555"/>
      <c r="C36" s="67"/>
      <c r="D36" s="189"/>
      <c r="E36" s="67"/>
      <c r="F36" s="67"/>
      <c r="G36" s="67"/>
      <c r="H36" s="182"/>
      <c r="I36" s="182"/>
      <c r="J36" s="182"/>
      <c r="K36" s="243"/>
      <c r="M36" s="559" t="s">
        <v>1681</v>
      </c>
      <c r="N36" s="28"/>
      <c r="O36" s="28"/>
      <c r="P36" s="28"/>
      <c r="Q36" s="29"/>
      <c r="R36" s="557">
        <f>SUM(R34:R35)</f>
        <v>17.06</v>
      </c>
      <c r="S36" s="554"/>
      <c r="T36" s="554"/>
      <c r="U36" s="554"/>
    </row>
    <row r="37">
      <c r="B37" s="546" t="s">
        <v>1700</v>
      </c>
      <c r="C37" s="28"/>
      <c r="D37" s="28"/>
      <c r="E37" s="28"/>
      <c r="F37" s="28"/>
      <c r="G37" s="28"/>
      <c r="H37" s="28"/>
      <c r="I37" s="28"/>
      <c r="J37" s="28"/>
      <c r="K37" s="29"/>
      <c r="Q37" s="184"/>
      <c r="S37" s="543"/>
      <c r="T37" s="543"/>
    </row>
    <row r="38">
      <c r="B38" s="194" t="s">
        <v>1631</v>
      </c>
      <c r="C38" s="67" t="s">
        <v>695</v>
      </c>
      <c r="D38" s="189" t="s">
        <v>696</v>
      </c>
      <c r="E38" s="67" t="s">
        <v>1632</v>
      </c>
      <c r="F38" s="67" t="s">
        <v>1633</v>
      </c>
      <c r="G38" s="67" t="s">
        <v>1634</v>
      </c>
      <c r="H38" s="189" t="s">
        <v>1635</v>
      </c>
      <c r="I38" s="189" t="s">
        <v>1636</v>
      </c>
      <c r="J38" s="189" t="s">
        <v>1637</v>
      </c>
      <c r="K38" s="67" t="s">
        <v>1638</v>
      </c>
      <c r="Q38" s="184"/>
      <c r="S38" s="543"/>
      <c r="T38" s="543"/>
    </row>
    <row r="39">
      <c r="B39" s="67" t="s">
        <v>723</v>
      </c>
      <c r="C39" s="67">
        <v>1.0</v>
      </c>
      <c r="D39" s="67">
        <v>2.0</v>
      </c>
      <c r="E39" s="67">
        <v>0.14</v>
      </c>
      <c r="F39" s="67">
        <v>0.5</v>
      </c>
      <c r="G39" s="67">
        <v>0.55</v>
      </c>
      <c r="H39" s="182">
        <f t="shared" ref="H39:H114" si="16">D39*(E39+0.4)*G39</f>
        <v>0.594</v>
      </c>
      <c r="I39" s="182">
        <f t="shared" ref="I39:I114" si="17">C39*D39*E39</f>
        <v>0.28</v>
      </c>
      <c r="J39" s="182">
        <f t="shared" ref="J39:J114" si="18">2*(C39*D39*F39)</f>
        <v>2</v>
      </c>
      <c r="K39" s="243">
        <f t="shared" ref="K39:K114" si="19">D39*(E39+F39*2)</f>
        <v>2.28</v>
      </c>
      <c r="Q39" s="184"/>
      <c r="S39" s="543"/>
      <c r="T39" s="543"/>
    </row>
    <row r="40">
      <c r="B40" s="67" t="s">
        <v>724</v>
      </c>
      <c r="C40" s="67">
        <v>1.0</v>
      </c>
      <c r="D40" s="67">
        <v>2.0</v>
      </c>
      <c r="E40" s="67">
        <v>0.14</v>
      </c>
      <c r="F40" s="67">
        <v>0.5</v>
      </c>
      <c r="G40" s="67">
        <v>0.55</v>
      </c>
      <c r="H40" s="182">
        <f t="shared" si="16"/>
        <v>0.594</v>
      </c>
      <c r="I40" s="182">
        <f t="shared" si="17"/>
        <v>0.28</v>
      </c>
      <c r="J40" s="182">
        <f t="shared" si="18"/>
        <v>2</v>
      </c>
      <c r="K40" s="243">
        <f t="shared" si="19"/>
        <v>2.28</v>
      </c>
      <c r="Q40" s="184"/>
      <c r="S40" s="543"/>
      <c r="T40" s="543"/>
    </row>
    <row r="41">
      <c r="B41" s="67" t="s">
        <v>725</v>
      </c>
      <c r="C41" s="67">
        <v>1.0</v>
      </c>
      <c r="D41" s="67">
        <v>2.0</v>
      </c>
      <c r="E41" s="67">
        <v>0.14</v>
      </c>
      <c r="F41" s="67">
        <v>0.5</v>
      </c>
      <c r="G41" s="67">
        <v>0.55</v>
      </c>
      <c r="H41" s="182">
        <f t="shared" si="16"/>
        <v>0.594</v>
      </c>
      <c r="I41" s="182">
        <f t="shared" si="17"/>
        <v>0.28</v>
      </c>
      <c r="J41" s="182">
        <f t="shared" si="18"/>
        <v>2</v>
      </c>
      <c r="K41" s="243">
        <f t="shared" si="19"/>
        <v>2.28</v>
      </c>
      <c r="Q41" s="184"/>
      <c r="S41" s="543"/>
      <c r="T41" s="543"/>
    </row>
    <row r="42">
      <c r="B42" s="67" t="s">
        <v>726</v>
      </c>
      <c r="C42" s="67">
        <v>1.0</v>
      </c>
      <c r="D42" s="189">
        <v>2.0</v>
      </c>
      <c r="E42" s="67">
        <v>0.14</v>
      </c>
      <c r="F42" s="67">
        <v>0.5</v>
      </c>
      <c r="G42" s="67">
        <v>0.55</v>
      </c>
      <c r="H42" s="182">
        <f t="shared" si="16"/>
        <v>0.594</v>
      </c>
      <c r="I42" s="182">
        <f t="shared" si="17"/>
        <v>0.28</v>
      </c>
      <c r="J42" s="182">
        <f t="shared" si="18"/>
        <v>2</v>
      </c>
      <c r="K42" s="243">
        <f t="shared" si="19"/>
        <v>2.28</v>
      </c>
      <c r="Q42" s="184"/>
      <c r="S42" s="543"/>
      <c r="T42" s="543"/>
    </row>
    <row r="43">
      <c r="B43" s="67" t="s">
        <v>727</v>
      </c>
      <c r="C43" s="67">
        <v>1.0</v>
      </c>
      <c r="D43" s="189">
        <f>3.875+3.825</f>
        <v>7.7</v>
      </c>
      <c r="E43" s="67">
        <v>0.14</v>
      </c>
      <c r="F43" s="67">
        <v>0.5</v>
      </c>
      <c r="G43" s="67">
        <v>0.55</v>
      </c>
      <c r="H43" s="182">
        <f t="shared" si="16"/>
        <v>2.2869</v>
      </c>
      <c r="I43" s="182">
        <f t="shared" si="17"/>
        <v>1.078</v>
      </c>
      <c r="J43" s="182">
        <f t="shared" si="18"/>
        <v>7.7</v>
      </c>
      <c r="K43" s="243">
        <f t="shared" si="19"/>
        <v>8.778</v>
      </c>
      <c r="Q43" s="184"/>
      <c r="S43" s="543"/>
      <c r="T43" s="543"/>
    </row>
    <row r="44">
      <c r="B44" s="67" t="s">
        <v>728</v>
      </c>
      <c r="C44" s="67">
        <v>1.0</v>
      </c>
      <c r="D44" s="182">
        <f>3.825*2</f>
        <v>7.65</v>
      </c>
      <c r="E44" s="67">
        <v>0.14</v>
      </c>
      <c r="F44" s="67">
        <v>0.5</v>
      </c>
      <c r="G44" s="67">
        <v>0.55</v>
      </c>
      <c r="H44" s="182">
        <f t="shared" si="16"/>
        <v>2.27205</v>
      </c>
      <c r="I44" s="182">
        <f t="shared" si="17"/>
        <v>1.071</v>
      </c>
      <c r="J44" s="182">
        <f t="shared" si="18"/>
        <v>7.65</v>
      </c>
      <c r="K44" s="243">
        <f t="shared" si="19"/>
        <v>8.721</v>
      </c>
      <c r="Q44" s="184"/>
      <c r="S44" s="543"/>
      <c r="T44" s="543"/>
    </row>
    <row r="45">
      <c r="B45" s="67" t="s">
        <v>729</v>
      </c>
      <c r="C45" s="67">
        <v>1.0</v>
      </c>
      <c r="D45" s="189">
        <f>3.875+3.825</f>
        <v>7.7</v>
      </c>
      <c r="E45" s="67">
        <v>0.14</v>
      </c>
      <c r="F45" s="67">
        <v>0.5</v>
      </c>
      <c r="G45" s="67">
        <v>0.55</v>
      </c>
      <c r="H45" s="182">
        <f t="shared" si="16"/>
        <v>2.2869</v>
      </c>
      <c r="I45" s="182">
        <f t="shared" si="17"/>
        <v>1.078</v>
      </c>
      <c r="J45" s="182">
        <f t="shared" si="18"/>
        <v>7.7</v>
      </c>
      <c r="K45" s="243">
        <f t="shared" si="19"/>
        <v>8.778</v>
      </c>
      <c r="Q45" s="184"/>
      <c r="S45" s="543"/>
      <c r="T45" s="543"/>
    </row>
    <row r="46">
      <c r="B46" s="67" t="s">
        <v>730</v>
      </c>
      <c r="C46" s="67">
        <v>1.0</v>
      </c>
      <c r="D46" s="189">
        <v>8.0</v>
      </c>
      <c r="E46" s="67">
        <v>0.14</v>
      </c>
      <c r="F46" s="67">
        <v>0.5</v>
      </c>
      <c r="G46" s="67">
        <v>0.55</v>
      </c>
      <c r="H46" s="182">
        <f t="shared" si="16"/>
        <v>2.376</v>
      </c>
      <c r="I46" s="182">
        <f t="shared" si="17"/>
        <v>1.12</v>
      </c>
      <c r="J46" s="182">
        <f t="shared" si="18"/>
        <v>8</v>
      </c>
      <c r="K46" s="243">
        <f t="shared" si="19"/>
        <v>9.12</v>
      </c>
      <c r="Q46" s="184"/>
      <c r="S46" s="543"/>
      <c r="T46" s="543"/>
    </row>
    <row r="47">
      <c r="B47" s="67" t="s">
        <v>731</v>
      </c>
      <c r="C47" s="67">
        <v>1.0</v>
      </c>
      <c r="D47" s="182">
        <f>3.8*6</f>
        <v>22.8</v>
      </c>
      <c r="E47" s="67">
        <v>0.14</v>
      </c>
      <c r="F47" s="67">
        <v>0.5</v>
      </c>
      <c r="G47" s="67">
        <v>0.55</v>
      </c>
      <c r="H47" s="182">
        <f t="shared" si="16"/>
        <v>6.7716</v>
      </c>
      <c r="I47" s="182">
        <f t="shared" si="17"/>
        <v>3.192</v>
      </c>
      <c r="J47" s="182">
        <f t="shared" si="18"/>
        <v>22.8</v>
      </c>
      <c r="K47" s="243">
        <f t="shared" si="19"/>
        <v>25.992</v>
      </c>
      <c r="Q47" s="184"/>
      <c r="S47" s="543"/>
      <c r="T47" s="543"/>
    </row>
    <row r="48">
      <c r="B48" s="67" t="s">
        <v>732</v>
      </c>
      <c r="C48" s="67">
        <v>1.0</v>
      </c>
      <c r="D48" s="189">
        <v>2.0</v>
      </c>
      <c r="E48" s="67">
        <v>0.14</v>
      </c>
      <c r="F48" s="67">
        <v>0.5</v>
      </c>
      <c r="G48" s="67">
        <v>0.55</v>
      </c>
      <c r="H48" s="182">
        <f t="shared" si="16"/>
        <v>0.594</v>
      </c>
      <c r="I48" s="182">
        <f t="shared" si="17"/>
        <v>0.28</v>
      </c>
      <c r="J48" s="182">
        <f t="shared" si="18"/>
        <v>2</v>
      </c>
      <c r="K48" s="243">
        <f t="shared" si="19"/>
        <v>2.28</v>
      </c>
      <c r="Q48" s="184"/>
      <c r="S48" s="543"/>
      <c r="T48" s="543"/>
    </row>
    <row r="49">
      <c r="B49" s="67" t="s">
        <v>733</v>
      </c>
      <c r="C49" s="67">
        <v>1.0</v>
      </c>
      <c r="D49" s="189">
        <f>3.875+3.825+2</f>
        <v>9.7</v>
      </c>
      <c r="E49" s="67">
        <v>0.14</v>
      </c>
      <c r="F49" s="67">
        <v>0.5</v>
      </c>
      <c r="G49" s="67">
        <v>0.55</v>
      </c>
      <c r="H49" s="182">
        <f t="shared" si="16"/>
        <v>2.8809</v>
      </c>
      <c r="I49" s="182">
        <f t="shared" si="17"/>
        <v>1.358</v>
      </c>
      <c r="J49" s="182">
        <f t="shared" si="18"/>
        <v>9.7</v>
      </c>
      <c r="K49" s="243">
        <f t="shared" si="19"/>
        <v>11.058</v>
      </c>
      <c r="Q49" s="184"/>
      <c r="S49" s="543"/>
      <c r="T49" s="543"/>
    </row>
    <row r="50">
      <c r="B50" s="67" t="s">
        <v>734</v>
      </c>
      <c r="C50" s="67">
        <v>1.0</v>
      </c>
      <c r="D50" s="182">
        <f>3.8*6</f>
        <v>22.8</v>
      </c>
      <c r="E50" s="67">
        <v>0.14</v>
      </c>
      <c r="F50" s="67">
        <v>0.5</v>
      </c>
      <c r="G50" s="67">
        <v>0.55</v>
      </c>
      <c r="H50" s="182">
        <f t="shared" si="16"/>
        <v>6.7716</v>
      </c>
      <c r="I50" s="182">
        <f t="shared" si="17"/>
        <v>3.192</v>
      </c>
      <c r="J50" s="182">
        <f t="shared" si="18"/>
        <v>22.8</v>
      </c>
      <c r="K50" s="243">
        <f t="shared" si="19"/>
        <v>25.992</v>
      </c>
      <c r="Q50" s="184"/>
      <c r="S50" s="543"/>
      <c r="T50" s="543"/>
    </row>
    <row r="51">
      <c r="B51" s="67" t="s">
        <v>735</v>
      </c>
      <c r="C51" s="67">
        <v>1.0</v>
      </c>
      <c r="D51" s="182">
        <f>3.825*2+2</f>
        <v>9.65</v>
      </c>
      <c r="E51" s="67">
        <v>0.14</v>
      </c>
      <c r="F51" s="67">
        <v>0.5</v>
      </c>
      <c r="G51" s="67">
        <v>0.55</v>
      </c>
      <c r="H51" s="182">
        <f t="shared" si="16"/>
        <v>2.86605</v>
      </c>
      <c r="I51" s="182">
        <f t="shared" si="17"/>
        <v>1.351</v>
      </c>
      <c r="J51" s="182">
        <f t="shared" si="18"/>
        <v>9.65</v>
      </c>
      <c r="K51" s="243">
        <f t="shared" si="19"/>
        <v>11.001</v>
      </c>
      <c r="Q51" s="184"/>
      <c r="S51" s="543"/>
      <c r="T51" s="543"/>
    </row>
    <row r="52">
      <c r="B52" s="67" t="s">
        <v>736</v>
      </c>
      <c r="C52" s="67">
        <v>1.0</v>
      </c>
      <c r="D52" s="189">
        <f>3.875+3.825+2</f>
        <v>9.7</v>
      </c>
      <c r="E52" s="67">
        <v>0.14</v>
      </c>
      <c r="F52" s="67">
        <v>0.5</v>
      </c>
      <c r="G52" s="67">
        <v>0.55</v>
      </c>
      <c r="H52" s="182">
        <f t="shared" si="16"/>
        <v>2.8809</v>
      </c>
      <c r="I52" s="182">
        <f t="shared" si="17"/>
        <v>1.358</v>
      </c>
      <c r="J52" s="182">
        <f t="shared" si="18"/>
        <v>9.7</v>
      </c>
      <c r="K52" s="243">
        <f t="shared" si="19"/>
        <v>11.058</v>
      </c>
      <c r="Q52" s="184"/>
      <c r="S52" s="543"/>
      <c r="T52" s="543"/>
    </row>
    <row r="53">
      <c r="B53" s="67" t="s">
        <v>737</v>
      </c>
      <c r="C53" s="67">
        <v>1.0</v>
      </c>
      <c r="D53" s="182">
        <f>3.825*2+2</f>
        <v>9.65</v>
      </c>
      <c r="E53" s="67">
        <v>0.14</v>
      </c>
      <c r="F53" s="67">
        <v>0.5</v>
      </c>
      <c r="G53" s="67">
        <v>0.55</v>
      </c>
      <c r="H53" s="182">
        <f t="shared" si="16"/>
        <v>2.86605</v>
      </c>
      <c r="I53" s="182">
        <f t="shared" si="17"/>
        <v>1.351</v>
      </c>
      <c r="J53" s="182">
        <f t="shared" si="18"/>
        <v>9.65</v>
      </c>
      <c r="K53" s="243">
        <f t="shared" si="19"/>
        <v>11.001</v>
      </c>
      <c r="Q53" s="184"/>
      <c r="S53" s="543"/>
      <c r="T53" s="543"/>
    </row>
    <row r="54">
      <c r="B54" s="67" t="s">
        <v>738</v>
      </c>
      <c r="C54" s="67">
        <v>1.0</v>
      </c>
      <c r="D54" s="189">
        <f>3.875+3.825+2</f>
        <v>9.7</v>
      </c>
      <c r="E54" s="67">
        <v>0.14</v>
      </c>
      <c r="F54" s="67">
        <v>0.5</v>
      </c>
      <c r="G54" s="67">
        <v>0.55</v>
      </c>
      <c r="H54" s="182">
        <f t="shared" si="16"/>
        <v>2.8809</v>
      </c>
      <c r="I54" s="182">
        <f t="shared" si="17"/>
        <v>1.358</v>
      </c>
      <c r="J54" s="182">
        <f t="shared" si="18"/>
        <v>9.7</v>
      </c>
      <c r="K54" s="243">
        <f t="shared" si="19"/>
        <v>11.058</v>
      </c>
      <c r="Q54" s="184"/>
      <c r="S54" s="543"/>
      <c r="T54" s="543"/>
    </row>
    <row r="55">
      <c r="B55" s="67" t="s">
        <v>739</v>
      </c>
      <c r="C55" s="67">
        <v>1.0</v>
      </c>
      <c r="D55" s="182">
        <f>3.8*6</f>
        <v>22.8</v>
      </c>
      <c r="E55" s="67">
        <v>0.14</v>
      </c>
      <c r="F55" s="67">
        <v>0.5</v>
      </c>
      <c r="G55" s="67">
        <v>0.55</v>
      </c>
      <c r="H55" s="182">
        <f t="shared" si="16"/>
        <v>6.7716</v>
      </c>
      <c r="I55" s="182">
        <f t="shared" si="17"/>
        <v>3.192</v>
      </c>
      <c r="J55" s="182">
        <f t="shared" si="18"/>
        <v>22.8</v>
      </c>
      <c r="K55" s="243">
        <f t="shared" si="19"/>
        <v>25.992</v>
      </c>
      <c r="Q55" s="184"/>
      <c r="S55" s="543"/>
      <c r="T55" s="543"/>
    </row>
    <row r="56">
      <c r="A56" s="2"/>
      <c r="B56" s="67" t="s">
        <v>740</v>
      </c>
      <c r="C56" s="67">
        <v>1.0</v>
      </c>
      <c r="D56" s="189">
        <v>2.0</v>
      </c>
      <c r="E56" s="67">
        <v>0.14</v>
      </c>
      <c r="F56" s="67">
        <v>0.5</v>
      </c>
      <c r="G56" s="67">
        <v>0.55</v>
      </c>
      <c r="H56" s="182">
        <f t="shared" si="16"/>
        <v>0.594</v>
      </c>
      <c r="I56" s="182">
        <f t="shared" si="17"/>
        <v>0.28</v>
      </c>
      <c r="J56" s="182">
        <f t="shared" si="18"/>
        <v>2</v>
      </c>
      <c r="K56" s="243">
        <f t="shared" si="19"/>
        <v>2.28</v>
      </c>
      <c r="Q56" s="184"/>
      <c r="S56" s="543"/>
      <c r="T56" s="543"/>
    </row>
    <row r="57">
      <c r="B57" s="67" t="s">
        <v>741</v>
      </c>
      <c r="C57" s="67">
        <v>1.0</v>
      </c>
      <c r="D57" s="189">
        <f>5.48+2.27+2</f>
        <v>9.75</v>
      </c>
      <c r="E57" s="67">
        <v>0.14</v>
      </c>
      <c r="F57" s="67">
        <v>0.5</v>
      </c>
      <c r="G57" s="67">
        <v>0.55</v>
      </c>
      <c r="H57" s="182">
        <f t="shared" si="16"/>
        <v>2.89575</v>
      </c>
      <c r="I57" s="182">
        <f t="shared" si="17"/>
        <v>1.365</v>
      </c>
      <c r="J57" s="182">
        <f t="shared" si="18"/>
        <v>9.75</v>
      </c>
      <c r="K57" s="243">
        <f t="shared" si="19"/>
        <v>11.115</v>
      </c>
      <c r="Q57" s="184"/>
      <c r="S57" s="543"/>
      <c r="T57" s="543"/>
    </row>
    <row r="58">
      <c r="B58" s="67" t="s">
        <v>1701</v>
      </c>
      <c r="C58" s="67">
        <v>1.0</v>
      </c>
      <c r="D58" s="182">
        <f>2+2.27+5.43</f>
        <v>9.7</v>
      </c>
      <c r="E58" s="67">
        <v>0.14</v>
      </c>
      <c r="F58" s="67">
        <v>0.5</v>
      </c>
      <c r="G58" s="67">
        <v>0.55</v>
      </c>
      <c r="H58" s="182">
        <f t="shared" si="16"/>
        <v>2.8809</v>
      </c>
      <c r="I58" s="182">
        <f t="shared" si="17"/>
        <v>1.358</v>
      </c>
      <c r="J58" s="182">
        <f t="shared" si="18"/>
        <v>9.7</v>
      </c>
      <c r="K58" s="243">
        <f t="shared" si="19"/>
        <v>11.058</v>
      </c>
      <c r="Q58" s="184"/>
      <c r="S58" s="543"/>
      <c r="T58" s="543"/>
    </row>
    <row r="59">
      <c r="B59" s="67" t="s">
        <v>1702</v>
      </c>
      <c r="C59" s="67">
        <v>1.0</v>
      </c>
      <c r="D59" s="189">
        <v>2.32</v>
      </c>
      <c r="E59" s="67">
        <v>0.14</v>
      </c>
      <c r="F59" s="67">
        <v>0.5</v>
      </c>
      <c r="G59" s="67">
        <v>0.55</v>
      </c>
      <c r="H59" s="182">
        <f t="shared" si="16"/>
        <v>0.68904</v>
      </c>
      <c r="I59" s="182">
        <f t="shared" si="17"/>
        <v>0.3248</v>
      </c>
      <c r="J59" s="182">
        <f t="shared" si="18"/>
        <v>2.32</v>
      </c>
      <c r="K59" s="243">
        <f t="shared" si="19"/>
        <v>2.6448</v>
      </c>
      <c r="Q59" s="184"/>
      <c r="S59" s="543"/>
      <c r="T59" s="543"/>
    </row>
    <row r="60">
      <c r="B60" s="67" t="s">
        <v>1703</v>
      </c>
      <c r="C60" s="67">
        <v>1.0</v>
      </c>
      <c r="D60" s="189">
        <v>2.32</v>
      </c>
      <c r="E60" s="67">
        <v>0.14</v>
      </c>
      <c r="F60" s="67">
        <v>0.5</v>
      </c>
      <c r="G60" s="67">
        <v>0.55</v>
      </c>
      <c r="H60" s="182">
        <f t="shared" si="16"/>
        <v>0.68904</v>
      </c>
      <c r="I60" s="182">
        <f t="shared" si="17"/>
        <v>0.3248</v>
      </c>
      <c r="J60" s="182">
        <f t="shared" si="18"/>
        <v>2.32</v>
      </c>
      <c r="K60" s="243">
        <f t="shared" si="19"/>
        <v>2.6448</v>
      </c>
      <c r="Q60" s="184"/>
      <c r="S60" s="543"/>
      <c r="T60" s="543"/>
    </row>
    <row r="61">
      <c r="B61" s="67" t="s">
        <v>1704</v>
      </c>
      <c r="C61" s="67">
        <v>1.0</v>
      </c>
      <c r="D61" s="189">
        <v>5.43</v>
      </c>
      <c r="E61" s="67">
        <v>0.14</v>
      </c>
      <c r="F61" s="67">
        <v>0.5</v>
      </c>
      <c r="G61" s="67">
        <v>0.55</v>
      </c>
      <c r="H61" s="182">
        <f t="shared" si="16"/>
        <v>1.61271</v>
      </c>
      <c r="I61" s="182">
        <f t="shared" si="17"/>
        <v>0.7602</v>
      </c>
      <c r="J61" s="182">
        <f t="shared" si="18"/>
        <v>5.43</v>
      </c>
      <c r="K61" s="243">
        <f t="shared" si="19"/>
        <v>6.1902</v>
      </c>
      <c r="Q61" s="184"/>
      <c r="S61" s="543"/>
      <c r="T61" s="543"/>
    </row>
    <row r="62">
      <c r="B62" s="67" t="s">
        <v>1705</v>
      </c>
      <c r="C62" s="67">
        <v>1.0</v>
      </c>
      <c r="D62" s="182">
        <f>3.8*6</f>
        <v>22.8</v>
      </c>
      <c r="E62" s="67">
        <v>0.14</v>
      </c>
      <c r="F62" s="67">
        <v>0.5</v>
      </c>
      <c r="G62" s="67">
        <v>0.55</v>
      </c>
      <c r="H62" s="182">
        <f t="shared" si="16"/>
        <v>6.7716</v>
      </c>
      <c r="I62" s="182">
        <f t="shared" si="17"/>
        <v>3.192</v>
      </c>
      <c r="J62" s="182">
        <f t="shared" si="18"/>
        <v>22.8</v>
      </c>
      <c r="K62" s="243">
        <f t="shared" si="19"/>
        <v>25.992</v>
      </c>
      <c r="Q62" s="184"/>
      <c r="S62" s="543"/>
      <c r="T62" s="543"/>
    </row>
    <row r="63">
      <c r="B63" s="67" t="s">
        <v>1706</v>
      </c>
      <c r="C63" s="67">
        <v>1.0</v>
      </c>
      <c r="D63" s="189">
        <v>5.38</v>
      </c>
      <c r="E63" s="67">
        <v>0.14</v>
      </c>
      <c r="F63" s="67">
        <v>0.5</v>
      </c>
      <c r="G63" s="67">
        <v>0.55</v>
      </c>
      <c r="H63" s="182">
        <f t="shared" si="16"/>
        <v>1.59786</v>
      </c>
      <c r="I63" s="182">
        <f t="shared" si="17"/>
        <v>0.7532</v>
      </c>
      <c r="J63" s="182">
        <f t="shared" si="18"/>
        <v>5.38</v>
      </c>
      <c r="K63" s="243">
        <f t="shared" si="19"/>
        <v>6.1332</v>
      </c>
      <c r="Q63" s="184"/>
      <c r="S63" s="543"/>
      <c r="T63" s="543"/>
    </row>
    <row r="64">
      <c r="B64" s="67" t="s">
        <v>1707</v>
      </c>
      <c r="C64" s="67">
        <v>1.0</v>
      </c>
      <c r="D64" s="182">
        <f>2.32+2</f>
        <v>4.32</v>
      </c>
      <c r="E64" s="67">
        <v>0.14</v>
      </c>
      <c r="F64" s="67">
        <v>0.5</v>
      </c>
      <c r="G64" s="67">
        <v>0.55</v>
      </c>
      <c r="H64" s="182">
        <f t="shared" si="16"/>
        <v>1.28304</v>
      </c>
      <c r="I64" s="182">
        <f t="shared" si="17"/>
        <v>0.6048</v>
      </c>
      <c r="J64" s="182">
        <f t="shared" si="18"/>
        <v>4.32</v>
      </c>
      <c r="K64" s="243">
        <f t="shared" si="19"/>
        <v>4.9248</v>
      </c>
      <c r="Q64" s="184"/>
      <c r="S64" s="543"/>
      <c r="T64" s="543"/>
    </row>
    <row r="65">
      <c r="B65" s="67" t="s">
        <v>1708</v>
      </c>
      <c r="C65" s="67">
        <v>1.0</v>
      </c>
      <c r="D65" s="182">
        <f>3.8*6</f>
        <v>22.8</v>
      </c>
      <c r="E65" s="67">
        <v>0.14</v>
      </c>
      <c r="F65" s="67">
        <v>0.5</v>
      </c>
      <c r="G65" s="67">
        <v>0.55</v>
      </c>
      <c r="H65" s="182">
        <f t="shared" si="16"/>
        <v>6.7716</v>
      </c>
      <c r="I65" s="182">
        <f t="shared" si="17"/>
        <v>3.192</v>
      </c>
      <c r="J65" s="182">
        <f t="shared" si="18"/>
        <v>22.8</v>
      </c>
      <c r="K65" s="243">
        <f t="shared" si="19"/>
        <v>25.992</v>
      </c>
      <c r="Q65" s="184"/>
      <c r="S65" s="543"/>
      <c r="T65" s="543"/>
    </row>
    <row r="66">
      <c r="B66" s="67" t="s">
        <v>1709</v>
      </c>
      <c r="C66" s="67">
        <v>1.0</v>
      </c>
      <c r="D66" s="182">
        <f>2+2.32</f>
        <v>4.32</v>
      </c>
      <c r="E66" s="67">
        <v>0.14</v>
      </c>
      <c r="F66" s="67">
        <v>0.5</v>
      </c>
      <c r="G66" s="67">
        <v>0.55</v>
      </c>
      <c r="H66" s="182">
        <f t="shared" si="16"/>
        <v>1.28304</v>
      </c>
      <c r="I66" s="182">
        <f t="shared" si="17"/>
        <v>0.6048</v>
      </c>
      <c r="J66" s="182">
        <f t="shared" si="18"/>
        <v>4.32</v>
      </c>
      <c r="K66" s="243">
        <f t="shared" si="19"/>
        <v>4.9248</v>
      </c>
      <c r="Q66" s="184"/>
      <c r="S66" s="543"/>
      <c r="T66" s="543"/>
    </row>
    <row r="67">
      <c r="B67" s="67" t="s">
        <v>1710</v>
      </c>
      <c r="C67" s="67">
        <v>1.0</v>
      </c>
      <c r="D67" s="182">
        <f>5.48+2.27+2</f>
        <v>9.75</v>
      </c>
      <c r="E67" s="67">
        <v>0.14</v>
      </c>
      <c r="F67" s="67">
        <v>0.5</v>
      </c>
      <c r="G67" s="67">
        <v>0.55</v>
      </c>
      <c r="H67" s="182">
        <f t="shared" si="16"/>
        <v>2.89575</v>
      </c>
      <c r="I67" s="182">
        <f t="shared" si="17"/>
        <v>1.365</v>
      </c>
      <c r="J67" s="182">
        <f t="shared" si="18"/>
        <v>9.75</v>
      </c>
      <c r="K67" s="243">
        <f t="shared" si="19"/>
        <v>11.115</v>
      </c>
      <c r="Q67" s="184"/>
      <c r="S67" s="543"/>
      <c r="T67" s="543"/>
    </row>
    <row r="68">
      <c r="B68" s="67" t="s">
        <v>1711</v>
      </c>
      <c r="C68" s="67">
        <v>1.0</v>
      </c>
      <c r="D68" s="182">
        <f>2+2.27+5.43</f>
        <v>9.7</v>
      </c>
      <c r="E68" s="67">
        <v>0.14</v>
      </c>
      <c r="F68" s="67">
        <v>0.5</v>
      </c>
      <c r="G68" s="67">
        <v>0.55</v>
      </c>
      <c r="H68" s="182">
        <f t="shared" si="16"/>
        <v>2.8809</v>
      </c>
      <c r="I68" s="182">
        <f t="shared" si="17"/>
        <v>1.358</v>
      </c>
      <c r="J68" s="182">
        <f t="shared" si="18"/>
        <v>9.7</v>
      </c>
      <c r="K68" s="243">
        <f t="shared" si="19"/>
        <v>11.058</v>
      </c>
      <c r="Q68" s="184"/>
      <c r="S68" s="543"/>
      <c r="T68" s="543"/>
    </row>
    <row r="69">
      <c r="B69" s="67" t="s">
        <v>1712</v>
      </c>
      <c r="C69" s="67">
        <v>1.0</v>
      </c>
      <c r="D69" s="182">
        <f>3.845+3.88+3.87+3.875*4+3.88+3.73</f>
        <v>34.705</v>
      </c>
      <c r="E69" s="67">
        <v>0.14</v>
      </c>
      <c r="F69" s="67">
        <v>0.5</v>
      </c>
      <c r="G69" s="67">
        <v>0.55</v>
      </c>
      <c r="H69" s="182">
        <f t="shared" si="16"/>
        <v>10.307385</v>
      </c>
      <c r="I69" s="182">
        <f t="shared" si="17"/>
        <v>4.8587</v>
      </c>
      <c r="J69" s="182">
        <f t="shared" si="18"/>
        <v>34.705</v>
      </c>
      <c r="K69" s="243">
        <f t="shared" si="19"/>
        <v>39.5637</v>
      </c>
      <c r="Q69" s="184"/>
      <c r="S69" s="543"/>
      <c r="T69" s="543"/>
    </row>
    <row r="70">
      <c r="B70" s="67" t="s">
        <v>1713</v>
      </c>
      <c r="C70" s="67">
        <v>1.0</v>
      </c>
      <c r="D70" s="189">
        <f>3.875+3.825</f>
        <v>7.7</v>
      </c>
      <c r="E70" s="67">
        <v>0.14</v>
      </c>
      <c r="F70" s="67">
        <v>0.5</v>
      </c>
      <c r="G70" s="67">
        <v>0.55</v>
      </c>
      <c r="H70" s="182">
        <f t="shared" si="16"/>
        <v>2.2869</v>
      </c>
      <c r="I70" s="182">
        <f t="shared" si="17"/>
        <v>1.078</v>
      </c>
      <c r="J70" s="182">
        <f t="shared" si="18"/>
        <v>7.7</v>
      </c>
      <c r="K70" s="243">
        <f t="shared" si="19"/>
        <v>8.778</v>
      </c>
      <c r="Q70" s="184"/>
      <c r="S70" s="543"/>
      <c r="T70" s="543"/>
    </row>
    <row r="71">
      <c r="B71" s="67" t="s">
        <v>1714</v>
      </c>
      <c r="C71" s="67">
        <v>1.0</v>
      </c>
      <c r="D71" s="189">
        <v>3.925</v>
      </c>
      <c r="E71" s="67">
        <v>0.14</v>
      </c>
      <c r="F71" s="67">
        <v>0.5</v>
      </c>
      <c r="G71" s="67">
        <v>0.55</v>
      </c>
      <c r="H71" s="182">
        <f t="shared" si="16"/>
        <v>1.165725</v>
      </c>
      <c r="I71" s="182">
        <f t="shared" si="17"/>
        <v>0.5495</v>
      </c>
      <c r="J71" s="182">
        <f t="shared" si="18"/>
        <v>3.925</v>
      </c>
      <c r="K71" s="243">
        <f t="shared" si="19"/>
        <v>4.4745</v>
      </c>
      <c r="Q71" s="184"/>
      <c r="S71" s="543"/>
      <c r="T71" s="543"/>
    </row>
    <row r="72">
      <c r="B72" s="67" t="s">
        <v>1715</v>
      </c>
      <c r="C72" s="67">
        <v>1.0</v>
      </c>
      <c r="D72" s="189">
        <v>1.75</v>
      </c>
      <c r="E72" s="67">
        <v>0.14</v>
      </c>
      <c r="F72" s="67">
        <v>0.5</v>
      </c>
      <c r="G72" s="67">
        <v>0.55</v>
      </c>
      <c r="H72" s="182">
        <f t="shared" si="16"/>
        <v>0.51975</v>
      </c>
      <c r="I72" s="182">
        <f t="shared" si="17"/>
        <v>0.245</v>
      </c>
      <c r="J72" s="182">
        <f t="shared" si="18"/>
        <v>1.75</v>
      </c>
      <c r="K72" s="243">
        <f t="shared" si="19"/>
        <v>1.995</v>
      </c>
      <c r="Q72" s="184"/>
      <c r="S72" s="543"/>
      <c r="T72" s="543"/>
    </row>
    <row r="73">
      <c r="B73" s="67" t="s">
        <v>1716</v>
      </c>
      <c r="C73" s="67">
        <v>1.0</v>
      </c>
      <c r="D73" s="182">
        <f>1.75+3.9+3.875*5+3.65</f>
        <v>28.675</v>
      </c>
      <c r="E73" s="67">
        <v>0.14</v>
      </c>
      <c r="F73" s="67">
        <v>0.5</v>
      </c>
      <c r="G73" s="67">
        <v>0.55</v>
      </c>
      <c r="H73" s="182">
        <f t="shared" si="16"/>
        <v>8.516475</v>
      </c>
      <c r="I73" s="182">
        <f t="shared" si="17"/>
        <v>4.0145</v>
      </c>
      <c r="J73" s="182">
        <f t="shared" si="18"/>
        <v>28.675</v>
      </c>
      <c r="K73" s="243">
        <f t="shared" si="19"/>
        <v>32.6895</v>
      </c>
      <c r="Q73" s="184"/>
      <c r="S73" s="543"/>
      <c r="T73" s="543"/>
    </row>
    <row r="74">
      <c r="B74" s="67" t="s">
        <v>1717</v>
      </c>
      <c r="C74" s="67">
        <v>1.0</v>
      </c>
      <c r="D74" s="189">
        <f>1.67+1.9+3.775*2+3.825*2+1.895</f>
        <v>20.665</v>
      </c>
      <c r="E74" s="67">
        <v>0.14</v>
      </c>
      <c r="F74" s="67">
        <v>0.5</v>
      </c>
      <c r="G74" s="67">
        <v>0.55</v>
      </c>
      <c r="H74" s="182">
        <f t="shared" si="16"/>
        <v>6.137505</v>
      </c>
      <c r="I74" s="182">
        <f t="shared" si="17"/>
        <v>2.8931</v>
      </c>
      <c r="J74" s="182">
        <f t="shared" si="18"/>
        <v>20.665</v>
      </c>
      <c r="K74" s="243">
        <f t="shared" si="19"/>
        <v>23.5581</v>
      </c>
      <c r="Q74" s="184"/>
      <c r="S74" s="543"/>
      <c r="T74" s="543"/>
    </row>
    <row r="75">
      <c r="B75" s="67" t="s">
        <v>1718</v>
      </c>
      <c r="C75" s="67">
        <v>1.0</v>
      </c>
      <c r="D75" s="182">
        <f>6.605+6.83</f>
        <v>13.435</v>
      </c>
      <c r="E75" s="67">
        <v>0.14</v>
      </c>
      <c r="F75" s="67">
        <v>0.5</v>
      </c>
      <c r="G75" s="67">
        <v>0.55</v>
      </c>
      <c r="H75" s="182">
        <f t="shared" si="16"/>
        <v>3.990195</v>
      </c>
      <c r="I75" s="182">
        <f t="shared" si="17"/>
        <v>1.8809</v>
      </c>
      <c r="J75" s="182">
        <f t="shared" si="18"/>
        <v>13.435</v>
      </c>
      <c r="K75" s="243">
        <f t="shared" si="19"/>
        <v>15.3159</v>
      </c>
      <c r="Q75" s="184"/>
      <c r="S75" s="543"/>
      <c r="T75" s="543"/>
    </row>
    <row r="76">
      <c r="B76" s="67" t="s">
        <v>1719</v>
      </c>
      <c r="C76" s="67">
        <v>1.0</v>
      </c>
      <c r="D76" s="189">
        <f>1.67+1.9+3.775*2+3.825*2+1.895</f>
        <v>20.665</v>
      </c>
      <c r="E76" s="67">
        <v>0.14</v>
      </c>
      <c r="F76" s="67">
        <v>0.5</v>
      </c>
      <c r="G76" s="67">
        <v>0.55</v>
      </c>
      <c r="H76" s="182">
        <f t="shared" si="16"/>
        <v>6.137505</v>
      </c>
      <c r="I76" s="182">
        <f t="shared" si="17"/>
        <v>2.8931</v>
      </c>
      <c r="J76" s="182">
        <f t="shared" si="18"/>
        <v>20.665</v>
      </c>
      <c r="K76" s="243">
        <f t="shared" si="19"/>
        <v>23.5581</v>
      </c>
      <c r="Q76" s="184"/>
      <c r="S76" s="543"/>
      <c r="T76" s="543"/>
    </row>
    <row r="77">
      <c r="B77" s="67" t="s">
        <v>1720</v>
      </c>
      <c r="C77" s="67">
        <v>1.0</v>
      </c>
      <c r="D77" s="182">
        <f>6.605+6.83</f>
        <v>13.435</v>
      </c>
      <c r="E77" s="67">
        <v>0.14</v>
      </c>
      <c r="F77" s="67">
        <v>0.5</v>
      </c>
      <c r="G77" s="67">
        <v>0.55</v>
      </c>
      <c r="H77" s="182">
        <f t="shared" si="16"/>
        <v>3.990195</v>
      </c>
      <c r="I77" s="182">
        <f t="shared" si="17"/>
        <v>1.8809</v>
      </c>
      <c r="J77" s="182">
        <f t="shared" si="18"/>
        <v>13.435</v>
      </c>
      <c r="K77" s="243">
        <f t="shared" si="19"/>
        <v>15.3159</v>
      </c>
      <c r="Q77" s="184"/>
      <c r="S77" s="543"/>
      <c r="T77" s="543"/>
    </row>
    <row r="78">
      <c r="B78" s="67" t="s">
        <v>1721</v>
      </c>
      <c r="C78" s="67">
        <v>1.0</v>
      </c>
      <c r="D78" s="189">
        <v>1.75</v>
      </c>
      <c r="E78" s="67">
        <v>0.14</v>
      </c>
      <c r="F78" s="67">
        <v>0.5</v>
      </c>
      <c r="G78" s="67">
        <v>0.55</v>
      </c>
      <c r="H78" s="182">
        <f t="shared" si="16"/>
        <v>0.51975</v>
      </c>
      <c r="I78" s="182">
        <f t="shared" si="17"/>
        <v>0.245</v>
      </c>
      <c r="J78" s="182">
        <f t="shared" si="18"/>
        <v>1.75</v>
      </c>
      <c r="K78" s="243">
        <f t="shared" si="19"/>
        <v>1.995</v>
      </c>
      <c r="Q78" s="184"/>
      <c r="S78" s="543"/>
      <c r="T78" s="543"/>
    </row>
    <row r="79">
      <c r="B79" s="67" t="s">
        <v>1722</v>
      </c>
      <c r="C79" s="67">
        <v>1.0</v>
      </c>
      <c r="D79" s="182">
        <f>1.75+3.9+3.875*5+3.65</f>
        <v>28.675</v>
      </c>
      <c r="E79" s="67">
        <v>0.14</v>
      </c>
      <c r="F79" s="67">
        <v>0.5</v>
      </c>
      <c r="G79" s="67">
        <v>0.55</v>
      </c>
      <c r="H79" s="182">
        <f t="shared" si="16"/>
        <v>8.516475</v>
      </c>
      <c r="I79" s="182">
        <f t="shared" si="17"/>
        <v>4.0145</v>
      </c>
      <c r="J79" s="182">
        <f t="shared" si="18"/>
        <v>28.675</v>
      </c>
      <c r="K79" s="243">
        <f t="shared" si="19"/>
        <v>32.6895</v>
      </c>
      <c r="Q79" s="184"/>
      <c r="S79" s="543"/>
      <c r="T79" s="543"/>
    </row>
    <row r="80">
      <c r="B80" s="67" t="s">
        <v>1723</v>
      </c>
      <c r="C80" s="67">
        <v>1.0</v>
      </c>
      <c r="D80" s="189">
        <f>3.875+3.825</f>
        <v>7.7</v>
      </c>
      <c r="E80" s="67">
        <v>0.14</v>
      </c>
      <c r="F80" s="67">
        <v>0.5</v>
      </c>
      <c r="G80" s="67">
        <v>0.55</v>
      </c>
      <c r="H80" s="182">
        <f t="shared" si="16"/>
        <v>2.2869</v>
      </c>
      <c r="I80" s="182">
        <f t="shared" si="17"/>
        <v>1.078</v>
      </c>
      <c r="J80" s="182">
        <f t="shared" si="18"/>
        <v>7.7</v>
      </c>
      <c r="K80" s="243">
        <f t="shared" si="19"/>
        <v>8.778</v>
      </c>
      <c r="Q80" s="184"/>
      <c r="S80" s="543"/>
      <c r="T80" s="543"/>
    </row>
    <row r="81">
      <c r="B81" s="67" t="s">
        <v>1724</v>
      </c>
      <c r="C81" s="67">
        <v>1.0</v>
      </c>
      <c r="D81" s="189">
        <v>3.935</v>
      </c>
      <c r="E81" s="67">
        <v>0.14</v>
      </c>
      <c r="F81" s="67">
        <v>0.5</v>
      </c>
      <c r="G81" s="67">
        <v>0.55</v>
      </c>
      <c r="H81" s="182">
        <f t="shared" si="16"/>
        <v>1.168695</v>
      </c>
      <c r="I81" s="182">
        <f t="shared" si="17"/>
        <v>0.5509</v>
      </c>
      <c r="J81" s="182">
        <f t="shared" si="18"/>
        <v>3.935</v>
      </c>
      <c r="K81" s="243">
        <f t="shared" si="19"/>
        <v>4.4859</v>
      </c>
      <c r="Q81" s="184"/>
      <c r="S81" s="543"/>
      <c r="T81" s="543"/>
    </row>
    <row r="82">
      <c r="B82" s="67" t="s">
        <v>1725</v>
      </c>
      <c r="C82" s="67">
        <v>1.0</v>
      </c>
      <c r="D82" s="182">
        <f>3.855+3.875+3.85+3.85+3.875+3.845+3.845+3.855+3.705</f>
        <v>34.555</v>
      </c>
      <c r="E82" s="67">
        <v>0.14</v>
      </c>
      <c r="F82" s="67">
        <v>0.5</v>
      </c>
      <c r="G82" s="67">
        <v>0.55</v>
      </c>
      <c r="H82" s="182">
        <f t="shared" si="16"/>
        <v>10.262835</v>
      </c>
      <c r="I82" s="182">
        <f t="shared" si="17"/>
        <v>4.8377</v>
      </c>
      <c r="J82" s="182">
        <f t="shared" si="18"/>
        <v>34.555</v>
      </c>
      <c r="K82" s="243">
        <f t="shared" si="19"/>
        <v>39.3927</v>
      </c>
      <c r="Q82" s="184"/>
      <c r="S82" s="543"/>
      <c r="T82" s="543"/>
    </row>
    <row r="83">
      <c r="B83" s="67" t="s">
        <v>723</v>
      </c>
      <c r="C83" s="67">
        <v>1.0</v>
      </c>
      <c r="D83" s="182">
        <f>3.8+3.55+2</f>
        <v>9.35</v>
      </c>
      <c r="E83" s="67">
        <v>0.14</v>
      </c>
      <c r="F83" s="67">
        <v>0.5</v>
      </c>
      <c r="G83" s="67">
        <v>0.55</v>
      </c>
      <c r="H83" s="182">
        <f t="shared" si="16"/>
        <v>2.77695</v>
      </c>
      <c r="I83" s="182">
        <f t="shared" si="17"/>
        <v>1.309</v>
      </c>
      <c r="J83" s="182">
        <f t="shared" si="18"/>
        <v>9.35</v>
      </c>
      <c r="K83" s="243">
        <f t="shared" si="19"/>
        <v>10.659</v>
      </c>
      <c r="Q83" s="184"/>
      <c r="S83" s="543"/>
      <c r="T83" s="543"/>
    </row>
    <row r="84">
      <c r="B84" s="67" t="s">
        <v>724</v>
      </c>
      <c r="C84" s="67">
        <v>1.0</v>
      </c>
      <c r="D84" s="182">
        <f>1.89+3.8+3.75</f>
        <v>9.44</v>
      </c>
      <c r="E84" s="67">
        <v>0.14</v>
      </c>
      <c r="F84" s="67">
        <v>0.5</v>
      </c>
      <c r="G84" s="67">
        <v>0.55</v>
      </c>
      <c r="H84" s="182">
        <f t="shared" si="16"/>
        <v>2.80368</v>
      </c>
      <c r="I84" s="182">
        <f t="shared" si="17"/>
        <v>1.3216</v>
      </c>
      <c r="J84" s="182">
        <f t="shared" si="18"/>
        <v>9.44</v>
      </c>
      <c r="K84" s="243">
        <f t="shared" si="19"/>
        <v>10.7616</v>
      </c>
      <c r="Q84" s="184"/>
      <c r="S84" s="543"/>
      <c r="T84" s="543"/>
    </row>
    <row r="85">
      <c r="B85" s="67" t="s">
        <v>725</v>
      </c>
      <c r="C85" s="67">
        <v>1.0</v>
      </c>
      <c r="D85" s="182">
        <f>3.795*2+3.75*4</f>
        <v>22.59</v>
      </c>
      <c r="E85" s="67">
        <v>0.14</v>
      </c>
      <c r="F85" s="67">
        <v>0.5</v>
      </c>
      <c r="G85" s="67">
        <v>0.55</v>
      </c>
      <c r="H85" s="182">
        <f t="shared" si="16"/>
        <v>6.70923</v>
      </c>
      <c r="I85" s="182">
        <f t="shared" si="17"/>
        <v>3.1626</v>
      </c>
      <c r="J85" s="182">
        <f t="shared" si="18"/>
        <v>22.59</v>
      </c>
      <c r="K85" s="243">
        <f t="shared" si="19"/>
        <v>25.7526</v>
      </c>
      <c r="Q85" s="184"/>
      <c r="S85" s="543"/>
      <c r="T85" s="543"/>
    </row>
    <row r="86">
      <c r="B86" s="67" t="s">
        <v>726</v>
      </c>
      <c r="C86" s="67">
        <v>1.0</v>
      </c>
      <c r="D86" s="189">
        <f>3.9*2</f>
        <v>7.8</v>
      </c>
      <c r="E86" s="67">
        <v>0.14</v>
      </c>
      <c r="F86" s="67">
        <v>0.5</v>
      </c>
      <c r="G86" s="67">
        <v>0.55</v>
      </c>
      <c r="H86" s="182">
        <f t="shared" si="16"/>
        <v>2.3166</v>
      </c>
      <c r="I86" s="182">
        <f t="shared" si="17"/>
        <v>1.092</v>
      </c>
      <c r="J86" s="182">
        <f t="shared" si="18"/>
        <v>7.8</v>
      </c>
      <c r="K86" s="243">
        <f t="shared" si="19"/>
        <v>8.892</v>
      </c>
      <c r="Q86" s="184"/>
      <c r="S86" s="543"/>
      <c r="T86" s="543"/>
    </row>
    <row r="87">
      <c r="B87" s="67" t="s">
        <v>727</v>
      </c>
      <c r="C87" s="67">
        <v>1.0</v>
      </c>
      <c r="D87" s="182">
        <f>3.795*2+3.75*4</f>
        <v>22.59</v>
      </c>
      <c r="E87" s="67">
        <v>0.14</v>
      </c>
      <c r="F87" s="67">
        <v>0.5</v>
      </c>
      <c r="G87" s="67">
        <v>0.55</v>
      </c>
      <c r="H87" s="182">
        <f t="shared" si="16"/>
        <v>6.70923</v>
      </c>
      <c r="I87" s="182">
        <f t="shared" si="17"/>
        <v>3.1626</v>
      </c>
      <c r="J87" s="182">
        <f t="shared" si="18"/>
        <v>22.59</v>
      </c>
      <c r="K87" s="243">
        <f t="shared" si="19"/>
        <v>25.7526</v>
      </c>
      <c r="Q87" s="184"/>
      <c r="S87" s="543"/>
      <c r="T87" s="543"/>
    </row>
    <row r="88">
      <c r="B88" s="67" t="s">
        <v>728</v>
      </c>
      <c r="C88" s="67">
        <v>1.0</v>
      </c>
      <c r="D88" s="182">
        <f t="shared" ref="D88:D90" si="20">3.9*2</f>
        <v>7.8</v>
      </c>
      <c r="E88" s="67">
        <v>0.14</v>
      </c>
      <c r="F88" s="67">
        <v>0.5</v>
      </c>
      <c r="G88" s="67">
        <v>0.55</v>
      </c>
      <c r="H88" s="182">
        <f t="shared" si="16"/>
        <v>2.3166</v>
      </c>
      <c r="I88" s="182">
        <f t="shared" si="17"/>
        <v>1.092</v>
      </c>
      <c r="J88" s="182">
        <f t="shared" si="18"/>
        <v>7.8</v>
      </c>
      <c r="K88" s="243">
        <f t="shared" si="19"/>
        <v>8.892</v>
      </c>
      <c r="Q88" s="184"/>
      <c r="S88" s="543"/>
      <c r="T88" s="543"/>
    </row>
    <row r="89">
      <c r="B89" s="67" t="s">
        <v>729</v>
      </c>
      <c r="C89" s="67">
        <v>1.0</v>
      </c>
      <c r="D89" s="182">
        <f t="shared" si="20"/>
        <v>7.8</v>
      </c>
      <c r="E89" s="67">
        <v>0.14</v>
      </c>
      <c r="F89" s="67">
        <v>0.5</v>
      </c>
      <c r="G89" s="67">
        <v>0.55</v>
      </c>
      <c r="H89" s="182">
        <f t="shared" si="16"/>
        <v>2.3166</v>
      </c>
      <c r="I89" s="182">
        <f t="shared" si="17"/>
        <v>1.092</v>
      </c>
      <c r="J89" s="182">
        <f t="shared" si="18"/>
        <v>7.8</v>
      </c>
      <c r="K89" s="243">
        <f t="shared" si="19"/>
        <v>8.892</v>
      </c>
      <c r="Q89" s="184"/>
      <c r="S89" s="543"/>
      <c r="T89" s="543"/>
    </row>
    <row r="90">
      <c r="B90" s="67" t="s">
        <v>730</v>
      </c>
      <c r="C90" s="67">
        <v>1.0</v>
      </c>
      <c r="D90" s="182">
        <f t="shared" si="20"/>
        <v>7.8</v>
      </c>
      <c r="E90" s="67">
        <v>0.14</v>
      </c>
      <c r="F90" s="67">
        <v>0.5</v>
      </c>
      <c r="G90" s="67">
        <v>0.55</v>
      </c>
      <c r="H90" s="182">
        <f t="shared" si="16"/>
        <v>2.3166</v>
      </c>
      <c r="I90" s="182">
        <f t="shared" si="17"/>
        <v>1.092</v>
      </c>
      <c r="J90" s="182">
        <f t="shared" si="18"/>
        <v>7.8</v>
      </c>
      <c r="K90" s="243">
        <f t="shared" si="19"/>
        <v>8.892</v>
      </c>
      <c r="Q90" s="184"/>
      <c r="S90" s="543"/>
      <c r="T90" s="543"/>
    </row>
    <row r="91">
      <c r="B91" s="67" t="s">
        <v>731</v>
      </c>
      <c r="C91" s="67">
        <v>1.0</v>
      </c>
      <c r="D91" s="182">
        <f>3.795*2+3.75*4</f>
        <v>22.59</v>
      </c>
      <c r="E91" s="67">
        <v>0.14</v>
      </c>
      <c r="F91" s="67">
        <v>0.5</v>
      </c>
      <c r="G91" s="67">
        <v>0.55</v>
      </c>
      <c r="H91" s="182">
        <f t="shared" si="16"/>
        <v>6.70923</v>
      </c>
      <c r="I91" s="182">
        <f t="shared" si="17"/>
        <v>3.1626</v>
      </c>
      <c r="J91" s="182">
        <f t="shared" si="18"/>
        <v>22.59</v>
      </c>
      <c r="K91" s="243">
        <f t="shared" si="19"/>
        <v>25.7526</v>
      </c>
      <c r="Q91" s="184"/>
      <c r="S91" s="543"/>
      <c r="T91" s="543"/>
    </row>
    <row r="92">
      <c r="B92" s="67" t="s">
        <v>732</v>
      </c>
      <c r="C92" s="67">
        <v>1.0</v>
      </c>
      <c r="D92" s="182">
        <f t="shared" ref="D92:D93" si="21">3.9*2</f>
        <v>7.8</v>
      </c>
      <c r="E92" s="67">
        <v>0.14</v>
      </c>
      <c r="F92" s="67">
        <v>0.5</v>
      </c>
      <c r="G92" s="67">
        <v>0.55</v>
      </c>
      <c r="H92" s="182">
        <f t="shared" si="16"/>
        <v>2.3166</v>
      </c>
      <c r="I92" s="182">
        <f t="shared" si="17"/>
        <v>1.092</v>
      </c>
      <c r="J92" s="182">
        <f t="shared" si="18"/>
        <v>7.8</v>
      </c>
      <c r="K92" s="243">
        <f t="shared" si="19"/>
        <v>8.892</v>
      </c>
      <c r="Q92" s="184"/>
      <c r="S92" s="543"/>
      <c r="T92" s="543"/>
    </row>
    <row r="93">
      <c r="B93" s="67" t="s">
        <v>733</v>
      </c>
      <c r="C93" s="67">
        <v>1.0</v>
      </c>
      <c r="D93" s="182">
        <f t="shared" si="21"/>
        <v>7.8</v>
      </c>
      <c r="E93" s="67">
        <v>0.14</v>
      </c>
      <c r="F93" s="67">
        <v>0.5</v>
      </c>
      <c r="G93" s="67">
        <v>0.55</v>
      </c>
      <c r="H93" s="182">
        <f t="shared" si="16"/>
        <v>2.3166</v>
      </c>
      <c r="I93" s="182">
        <f t="shared" si="17"/>
        <v>1.092</v>
      </c>
      <c r="J93" s="182">
        <f t="shared" si="18"/>
        <v>7.8</v>
      </c>
      <c r="K93" s="243">
        <f t="shared" si="19"/>
        <v>8.892</v>
      </c>
      <c r="Q93" s="184"/>
      <c r="S93" s="543"/>
      <c r="T93" s="543"/>
    </row>
    <row r="94">
      <c r="B94" s="67" t="s">
        <v>734</v>
      </c>
      <c r="C94" s="67">
        <v>1.0</v>
      </c>
      <c r="D94" s="182">
        <f>3.94*2</f>
        <v>7.88</v>
      </c>
      <c r="E94" s="67">
        <v>0.14</v>
      </c>
      <c r="F94" s="67">
        <v>0.5</v>
      </c>
      <c r="G94" s="67">
        <v>0.55</v>
      </c>
      <c r="H94" s="182">
        <f t="shared" si="16"/>
        <v>2.34036</v>
      </c>
      <c r="I94" s="182">
        <f t="shared" si="17"/>
        <v>1.1032</v>
      </c>
      <c r="J94" s="182">
        <f t="shared" si="18"/>
        <v>7.88</v>
      </c>
      <c r="K94" s="243">
        <f t="shared" si="19"/>
        <v>8.9832</v>
      </c>
      <c r="Q94" s="184"/>
      <c r="S94" s="543"/>
      <c r="T94" s="543"/>
    </row>
    <row r="95">
      <c r="B95" s="67" t="s">
        <v>735</v>
      </c>
      <c r="C95" s="67">
        <v>1.0</v>
      </c>
      <c r="D95" s="182">
        <f>3.9*2</f>
        <v>7.8</v>
      </c>
      <c r="E95" s="67">
        <v>0.14</v>
      </c>
      <c r="F95" s="67">
        <v>0.5</v>
      </c>
      <c r="G95" s="67">
        <v>0.55</v>
      </c>
      <c r="H95" s="182">
        <f t="shared" si="16"/>
        <v>2.3166</v>
      </c>
      <c r="I95" s="182">
        <f t="shared" si="17"/>
        <v>1.092</v>
      </c>
      <c r="J95" s="182">
        <f t="shared" si="18"/>
        <v>7.8</v>
      </c>
      <c r="K95" s="243">
        <f t="shared" si="19"/>
        <v>8.892</v>
      </c>
      <c r="Q95" s="184"/>
      <c r="S95" s="543"/>
      <c r="T95" s="543"/>
    </row>
    <row r="96">
      <c r="B96" s="67" t="s">
        <v>736</v>
      </c>
      <c r="C96" s="67">
        <v>1.0</v>
      </c>
      <c r="D96" s="182">
        <f>3.795*2+3.75*4</f>
        <v>22.59</v>
      </c>
      <c r="E96" s="67">
        <v>0.14</v>
      </c>
      <c r="F96" s="67">
        <v>0.5</v>
      </c>
      <c r="G96" s="67">
        <v>0.55</v>
      </c>
      <c r="H96" s="182">
        <f t="shared" si="16"/>
        <v>6.70923</v>
      </c>
      <c r="I96" s="182">
        <f t="shared" si="17"/>
        <v>3.1626</v>
      </c>
      <c r="J96" s="182">
        <f t="shared" si="18"/>
        <v>22.59</v>
      </c>
      <c r="K96" s="243">
        <f t="shared" si="19"/>
        <v>25.7526</v>
      </c>
      <c r="Q96" s="184"/>
      <c r="S96" s="543"/>
      <c r="T96" s="543"/>
    </row>
    <row r="97">
      <c r="B97" s="67" t="s">
        <v>737</v>
      </c>
      <c r="C97" s="67">
        <v>1.0</v>
      </c>
      <c r="D97" s="182">
        <f>3.9*2</f>
        <v>7.8</v>
      </c>
      <c r="E97" s="67">
        <v>0.14</v>
      </c>
      <c r="F97" s="67">
        <v>0.5</v>
      </c>
      <c r="G97" s="67">
        <v>0.55</v>
      </c>
      <c r="H97" s="182">
        <f t="shared" si="16"/>
        <v>2.3166</v>
      </c>
      <c r="I97" s="182">
        <f t="shared" si="17"/>
        <v>1.092</v>
      </c>
      <c r="J97" s="182">
        <f t="shared" si="18"/>
        <v>7.8</v>
      </c>
      <c r="K97" s="243">
        <f t="shared" si="19"/>
        <v>8.892</v>
      </c>
      <c r="Q97" s="184"/>
      <c r="S97" s="543"/>
      <c r="T97" s="543"/>
    </row>
    <row r="98">
      <c r="B98" s="67" t="s">
        <v>738</v>
      </c>
      <c r="C98" s="67">
        <v>1.0</v>
      </c>
      <c r="D98" s="182">
        <f>3.795*2+3.75*4</f>
        <v>22.59</v>
      </c>
      <c r="E98" s="67">
        <v>0.14</v>
      </c>
      <c r="F98" s="67">
        <v>0.5</v>
      </c>
      <c r="G98" s="67">
        <v>0.55</v>
      </c>
      <c r="H98" s="182">
        <f t="shared" si="16"/>
        <v>6.70923</v>
      </c>
      <c r="I98" s="182">
        <f t="shared" si="17"/>
        <v>3.1626</v>
      </c>
      <c r="J98" s="182">
        <f t="shared" si="18"/>
        <v>22.59</v>
      </c>
      <c r="K98" s="243">
        <f t="shared" si="19"/>
        <v>25.7526</v>
      </c>
      <c r="Q98" s="184"/>
      <c r="S98" s="543"/>
      <c r="T98" s="543"/>
    </row>
    <row r="99">
      <c r="B99" s="67" t="s">
        <v>739</v>
      </c>
      <c r="C99" s="67">
        <v>1.0</v>
      </c>
      <c r="D99" s="182">
        <f t="shared" ref="D99:D102" si="22">3.9*2</f>
        <v>7.8</v>
      </c>
      <c r="E99" s="67">
        <v>0.14</v>
      </c>
      <c r="F99" s="67">
        <v>0.5</v>
      </c>
      <c r="G99" s="67">
        <v>0.55</v>
      </c>
      <c r="H99" s="182">
        <f t="shared" si="16"/>
        <v>2.3166</v>
      </c>
      <c r="I99" s="182">
        <f t="shared" si="17"/>
        <v>1.092</v>
      </c>
      <c r="J99" s="182">
        <f t="shared" si="18"/>
        <v>7.8</v>
      </c>
      <c r="K99" s="243">
        <f t="shared" si="19"/>
        <v>8.892</v>
      </c>
      <c r="Q99" s="184"/>
      <c r="S99" s="543"/>
      <c r="T99" s="543"/>
    </row>
    <row r="100">
      <c r="B100" s="67" t="s">
        <v>740</v>
      </c>
      <c r="C100" s="67">
        <v>1.0</v>
      </c>
      <c r="D100" s="182">
        <f t="shared" si="22"/>
        <v>7.8</v>
      </c>
      <c r="E100" s="67">
        <v>0.14</v>
      </c>
      <c r="F100" s="67">
        <v>0.5</v>
      </c>
      <c r="G100" s="67">
        <v>0.55</v>
      </c>
      <c r="H100" s="182">
        <f t="shared" si="16"/>
        <v>2.3166</v>
      </c>
      <c r="I100" s="182">
        <f t="shared" si="17"/>
        <v>1.092</v>
      </c>
      <c r="J100" s="182">
        <f t="shared" si="18"/>
        <v>7.8</v>
      </c>
      <c r="K100" s="243">
        <f t="shared" si="19"/>
        <v>8.892</v>
      </c>
      <c r="Q100" s="184"/>
      <c r="S100" s="543"/>
      <c r="T100" s="543"/>
    </row>
    <row r="101">
      <c r="B101" s="67" t="s">
        <v>741</v>
      </c>
      <c r="C101" s="67">
        <v>1.0</v>
      </c>
      <c r="D101" s="182">
        <f t="shared" si="22"/>
        <v>7.8</v>
      </c>
      <c r="E101" s="67">
        <v>0.14</v>
      </c>
      <c r="F101" s="67">
        <v>0.5</v>
      </c>
      <c r="G101" s="67">
        <v>0.55</v>
      </c>
      <c r="H101" s="182">
        <f t="shared" si="16"/>
        <v>2.3166</v>
      </c>
      <c r="I101" s="182">
        <f t="shared" si="17"/>
        <v>1.092</v>
      </c>
      <c r="J101" s="182">
        <f t="shared" si="18"/>
        <v>7.8</v>
      </c>
      <c r="K101" s="243">
        <f t="shared" si="19"/>
        <v>8.892</v>
      </c>
      <c r="Q101" s="184"/>
      <c r="S101" s="543"/>
      <c r="T101" s="543"/>
    </row>
    <row r="102">
      <c r="B102" s="67" t="s">
        <v>1701</v>
      </c>
      <c r="C102" s="67">
        <v>1.0</v>
      </c>
      <c r="D102" s="182">
        <f t="shared" si="22"/>
        <v>7.8</v>
      </c>
      <c r="E102" s="67">
        <v>0.14</v>
      </c>
      <c r="F102" s="67">
        <v>0.5</v>
      </c>
      <c r="G102" s="67">
        <v>0.55</v>
      </c>
      <c r="H102" s="182">
        <f t="shared" si="16"/>
        <v>2.3166</v>
      </c>
      <c r="I102" s="182">
        <f t="shared" si="17"/>
        <v>1.092</v>
      </c>
      <c r="J102" s="182">
        <f t="shared" si="18"/>
        <v>7.8</v>
      </c>
      <c r="K102" s="243">
        <f t="shared" si="19"/>
        <v>8.892</v>
      </c>
      <c r="Q102" s="184"/>
      <c r="S102" s="543"/>
      <c r="T102" s="543"/>
    </row>
    <row r="103">
      <c r="B103" s="67" t="s">
        <v>1702</v>
      </c>
      <c r="C103" s="67">
        <v>1.0</v>
      </c>
      <c r="D103" s="182">
        <f t="shared" ref="D103:D105" si="23">3.68+3.775+3.77+3.78+3.78+3.77+3.775+3.675+3.795</f>
        <v>33.8</v>
      </c>
      <c r="E103" s="67">
        <v>0.14</v>
      </c>
      <c r="F103" s="67">
        <v>0.5</v>
      </c>
      <c r="G103" s="67">
        <v>0.55</v>
      </c>
      <c r="H103" s="182">
        <f t="shared" si="16"/>
        <v>10.0386</v>
      </c>
      <c r="I103" s="182">
        <f t="shared" si="17"/>
        <v>4.732</v>
      </c>
      <c r="J103" s="182">
        <f t="shared" si="18"/>
        <v>33.8</v>
      </c>
      <c r="K103" s="243">
        <f t="shared" si="19"/>
        <v>38.532</v>
      </c>
      <c r="Q103" s="184"/>
      <c r="S103" s="543"/>
      <c r="T103" s="543"/>
    </row>
    <row r="104">
      <c r="B104" s="67" t="s">
        <v>1703</v>
      </c>
      <c r="C104" s="67">
        <v>1.0</v>
      </c>
      <c r="D104" s="182">
        <f t="shared" si="23"/>
        <v>33.8</v>
      </c>
      <c r="E104" s="67">
        <v>0.14</v>
      </c>
      <c r="F104" s="67">
        <v>0.5</v>
      </c>
      <c r="G104" s="67">
        <v>0.55</v>
      </c>
      <c r="H104" s="182">
        <f t="shared" si="16"/>
        <v>10.0386</v>
      </c>
      <c r="I104" s="182">
        <f t="shared" si="17"/>
        <v>4.732</v>
      </c>
      <c r="J104" s="182">
        <f t="shared" si="18"/>
        <v>33.8</v>
      </c>
      <c r="K104" s="243">
        <f t="shared" si="19"/>
        <v>38.532</v>
      </c>
      <c r="Q104" s="184"/>
      <c r="S104" s="543"/>
      <c r="T104" s="543"/>
    </row>
    <row r="105">
      <c r="B105" s="67" t="s">
        <v>1704</v>
      </c>
      <c r="C105" s="67">
        <v>1.0</v>
      </c>
      <c r="D105" s="182">
        <f t="shared" si="23"/>
        <v>33.8</v>
      </c>
      <c r="E105" s="67">
        <v>0.14</v>
      </c>
      <c r="F105" s="67">
        <v>0.5</v>
      </c>
      <c r="G105" s="67">
        <v>0.55</v>
      </c>
      <c r="H105" s="182">
        <f t="shared" si="16"/>
        <v>10.0386</v>
      </c>
      <c r="I105" s="182">
        <f t="shared" si="17"/>
        <v>4.732</v>
      </c>
      <c r="J105" s="182">
        <f t="shared" si="18"/>
        <v>33.8</v>
      </c>
      <c r="K105" s="243">
        <f t="shared" si="19"/>
        <v>38.532</v>
      </c>
      <c r="Q105" s="184"/>
      <c r="S105" s="543"/>
      <c r="T105" s="543"/>
    </row>
    <row r="106">
      <c r="B106" s="67" t="s">
        <v>1705</v>
      </c>
      <c r="C106" s="67">
        <v>1.0</v>
      </c>
      <c r="D106" s="182">
        <f>8+3.9+3.9</f>
        <v>15.8</v>
      </c>
      <c r="E106" s="67">
        <v>0.14</v>
      </c>
      <c r="F106" s="67">
        <v>0.5</v>
      </c>
      <c r="G106" s="67">
        <v>0.55</v>
      </c>
      <c r="H106" s="182">
        <f t="shared" si="16"/>
        <v>4.6926</v>
      </c>
      <c r="I106" s="182">
        <f t="shared" si="17"/>
        <v>2.212</v>
      </c>
      <c r="J106" s="182">
        <f t="shared" si="18"/>
        <v>15.8</v>
      </c>
      <c r="K106" s="243">
        <f t="shared" si="19"/>
        <v>18.012</v>
      </c>
      <c r="Q106" s="184"/>
      <c r="S106" s="543"/>
      <c r="T106" s="543"/>
    </row>
    <row r="107">
      <c r="B107" s="67" t="s">
        <v>1706</v>
      </c>
      <c r="C107" s="67">
        <v>1.0</v>
      </c>
      <c r="D107" s="189">
        <v>2.4</v>
      </c>
      <c r="E107" s="67">
        <v>0.14</v>
      </c>
      <c r="F107" s="67">
        <v>0.5</v>
      </c>
      <c r="G107" s="67">
        <v>0.55</v>
      </c>
      <c r="H107" s="182">
        <f t="shared" si="16"/>
        <v>0.7128</v>
      </c>
      <c r="I107" s="182">
        <f t="shared" si="17"/>
        <v>0.336</v>
      </c>
      <c r="J107" s="182">
        <f t="shared" si="18"/>
        <v>2.4</v>
      </c>
      <c r="K107" s="243">
        <f t="shared" si="19"/>
        <v>2.736</v>
      </c>
      <c r="Q107" s="184"/>
      <c r="S107" s="543"/>
      <c r="T107" s="543"/>
    </row>
    <row r="108">
      <c r="B108" s="67" t="s">
        <v>1707</v>
      </c>
      <c r="C108" s="67">
        <v>1.0</v>
      </c>
      <c r="D108" s="182">
        <f>5.48</f>
        <v>5.48</v>
      </c>
      <c r="E108" s="67">
        <v>0.14</v>
      </c>
      <c r="F108" s="67">
        <v>0.5</v>
      </c>
      <c r="G108" s="67">
        <v>0.55</v>
      </c>
      <c r="H108" s="182">
        <f t="shared" si="16"/>
        <v>1.62756</v>
      </c>
      <c r="I108" s="182">
        <f t="shared" si="17"/>
        <v>0.7672</v>
      </c>
      <c r="J108" s="182">
        <f t="shared" si="18"/>
        <v>5.48</v>
      </c>
      <c r="K108" s="243">
        <f t="shared" si="19"/>
        <v>6.2472</v>
      </c>
      <c r="Q108" s="184"/>
      <c r="S108" s="543"/>
      <c r="T108" s="543"/>
    </row>
    <row r="109">
      <c r="B109" s="67" t="s">
        <v>1708</v>
      </c>
      <c r="C109" s="67">
        <v>1.0</v>
      </c>
      <c r="D109" s="565">
        <v>2.4</v>
      </c>
      <c r="E109" s="67">
        <v>0.14</v>
      </c>
      <c r="F109" s="67">
        <v>0.5</v>
      </c>
      <c r="G109" s="67">
        <v>0.55</v>
      </c>
      <c r="H109" s="182">
        <f t="shared" si="16"/>
        <v>0.7128</v>
      </c>
      <c r="I109" s="182">
        <f t="shared" si="17"/>
        <v>0.336</v>
      </c>
      <c r="J109" s="182">
        <f t="shared" si="18"/>
        <v>2.4</v>
      </c>
      <c r="K109" s="243">
        <f t="shared" si="19"/>
        <v>2.736</v>
      </c>
      <c r="Q109" s="184"/>
      <c r="S109" s="543"/>
      <c r="T109" s="543"/>
    </row>
    <row r="110">
      <c r="B110" s="67" t="s">
        <v>1709</v>
      </c>
      <c r="C110" s="67">
        <v>1.0</v>
      </c>
      <c r="D110" s="182">
        <f>8+3.9+3.9</f>
        <v>15.8</v>
      </c>
      <c r="E110" s="67">
        <v>0.14</v>
      </c>
      <c r="F110" s="67">
        <v>0.5</v>
      </c>
      <c r="G110" s="67">
        <v>0.55</v>
      </c>
      <c r="H110" s="182">
        <f t="shared" si="16"/>
        <v>4.6926</v>
      </c>
      <c r="I110" s="182">
        <f t="shared" si="17"/>
        <v>2.212</v>
      </c>
      <c r="J110" s="182">
        <f t="shared" si="18"/>
        <v>15.8</v>
      </c>
      <c r="K110" s="243">
        <f t="shared" si="19"/>
        <v>18.012</v>
      </c>
      <c r="Q110" s="184"/>
      <c r="S110" s="543"/>
      <c r="T110" s="543"/>
    </row>
    <row r="111">
      <c r="B111" s="67" t="s">
        <v>1710</v>
      </c>
      <c r="C111" s="67">
        <v>1.0</v>
      </c>
      <c r="D111" s="182">
        <f t="shared" ref="D111:D112" si="24">3.68+3.775+3.77+3.78+3.78+3.77+3.775+3.675+3.795</f>
        <v>33.8</v>
      </c>
      <c r="E111" s="67">
        <v>0.14</v>
      </c>
      <c r="F111" s="67">
        <v>0.5</v>
      </c>
      <c r="G111" s="67">
        <v>0.55</v>
      </c>
      <c r="H111" s="182">
        <f t="shared" si="16"/>
        <v>10.0386</v>
      </c>
      <c r="I111" s="182">
        <f t="shared" si="17"/>
        <v>4.732</v>
      </c>
      <c r="J111" s="182">
        <f t="shared" si="18"/>
        <v>33.8</v>
      </c>
      <c r="K111" s="243">
        <f t="shared" si="19"/>
        <v>38.532</v>
      </c>
      <c r="Q111" s="184"/>
      <c r="S111" s="543"/>
      <c r="T111" s="543"/>
    </row>
    <row r="112">
      <c r="B112" s="67" t="s">
        <v>1711</v>
      </c>
      <c r="C112" s="67">
        <v>1.0</v>
      </c>
      <c r="D112" s="182">
        <f t="shared" si="24"/>
        <v>33.8</v>
      </c>
      <c r="E112" s="67">
        <v>0.14</v>
      </c>
      <c r="F112" s="67">
        <v>0.5</v>
      </c>
      <c r="G112" s="67">
        <v>0.55</v>
      </c>
      <c r="H112" s="182">
        <f t="shared" si="16"/>
        <v>10.0386</v>
      </c>
      <c r="I112" s="182">
        <f t="shared" si="17"/>
        <v>4.732</v>
      </c>
      <c r="J112" s="182">
        <f t="shared" si="18"/>
        <v>33.8</v>
      </c>
      <c r="K112" s="243">
        <f t="shared" si="19"/>
        <v>38.532</v>
      </c>
      <c r="Q112" s="184"/>
      <c r="S112" s="543"/>
      <c r="T112" s="543"/>
    </row>
    <row r="113">
      <c r="B113" s="67" t="s">
        <v>1712</v>
      </c>
      <c r="C113" s="67">
        <v>1.0</v>
      </c>
      <c r="D113" s="189">
        <v>3.94</v>
      </c>
      <c r="E113" s="67">
        <v>0.14</v>
      </c>
      <c r="F113" s="67">
        <v>0.5</v>
      </c>
      <c r="G113" s="67">
        <v>0.55</v>
      </c>
      <c r="H113" s="182">
        <f t="shared" si="16"/>
        <v>1.17018</v>
      </c>
      <c r="I113" s="182">
        <f t="shared" si="17"/>
        <v>0.5516</v>
      </c>
      <c r="J113" s="182">
        <f t="shared" si="18"/>
        <v>3.94</v>
      </c>
      <c r="K113" s="243">
        <f t="shared" si="19"/>
        <v>4.4916</v>
      </c>
      <c r="Q113" s="184"/>
      <c r="S113" s="543"/>
      <c r="T113" s="543"/>
    </row>
    <row r="114">
      <c r="B114" s="67" t="s">
        <v>1713</v>
      </c>
      <c r="C114" s="67">
        <v>1.0</v>
      </c>
      <c r="D114" s="182">
        <f>3.68+3.775+3.77+3.78+3.78+3.77+3.775+3.675+3.795</f>
        <v>33.8</v>
      </c>
      <c r="E114" s="67">
        <v>0.14</v>
      </c>
      <c r="F114" s="67">
        <v>0.5</v>
      </c>
      <c r="G114" s="67">
        <v>0.55</v>
      </c>
      <c r="H114" s="182">
        <f t="shared" si="16"/>
        <v>10.0386</v>
      </c>
      <c r="I114" s="182">
        <f t="shared" si="17"/>
        <v>4.732</v>
      </c>
      <c r="J114" s="182">
        <f t="shared" si="18"/>
        <v>33.8</v>
      </c>
      <c r="K114" s="243">
        <f t="shared" si="19"/>
        <v>38.532</v>
      </c>
      <c r="Q114" s="184"/>
      <c r="S114" s="543"/>
      <c r="T114" s="543"/>
    </row>
    <row r="115">
      <c r="B115" s="67"/>
      <c r="C115" s="67"/>
      <c r="D115" s="67"/>
      <c r="E115" s="67"/>
      <c r="F115" s="67"/>
      <c r="G115" s="67"/>
      <c r="H115" s="182"/>
      <c r="I115" s="182"/>
      <c r="J115" s="182"/>
      <c r="K115" s="243"/>
      <c r="Q115" s="184"/>
      <c r="S115" s="543"/>
      <c r="T115" s="543"/>
    </row>
    <row r="116">
      <c r="B116" s="67"/>
      <c r="C116" s="67"/>
      <c r="D116" s="67"/>
      <c r="E116" s="67"/>
      <c r="F116" s="67"/>
      <c r="G116" s="67"/>
      <c r="H116" s="182"/>
      <c r="I116" s="182"/>
      <c r="J116" s="182"/>
      <c r="K116" s="243"/>
      <c r="Q116" s="184"/>
      <c r="S116" s="543"/>
      <c r="T116" s="543"/>
    </row>
    <row r="117">
      <c r="B117" s="67" t="s">
        <v>1726</v>
      </c>
      <c r="C117" s="67">
        <v>2.0</v>
      </c>
      <c r="D117" s="67">
        <v>0.15</v>
      </c>
      <c r="E117" s="67">
        <v>0.8</v>
      </c>
      <c r="F117" s="67">
        <v>1.5</v>
      </c>
      <c r="G117" s="67"/>
      <c r="H117" s="182"/>
      <c r="I117" s="182"/>
      <c r="J117" s="182"/>
      <c r="K117" s="243">
        <f t="shared" ref="K117:K127" si="25">C117*((D117+E117)*2)*F117</f>
        <v>5.7</v>
      </c>
      <c r="Q117" s="184"/>
      <c r="S117" s="543"/>
      <c r="T117" s="543"/>
    </row>
    <row r="118">
      <c r="B118" s="67" t="s">
        <v>666</v>
      </c>
      <c r="C118" s="67">
        <f>48+7+14+5</f>
        <v>74</v>
      </c>
      <c r="D118" s="189">
        <v>0.2</v>
      </c>
      <c r="E118" s="67">
        <v>0.2</v>
      </c>
      <c r="F118" s="67">
        <v>1.5</v>
      </c>
      <c r="G118" s="243"/>
      <c r="H118" s="182"/>
      <c r="I118" s="182"/>
      <c r="J118" s="182"/>
      <c r="K118" s="243">
        <f t="shared" si="25"/>
        <v>88.8</v>
      </c>
      <c r="Q118" s="184"/>
      <c r="S118" s="543"/>
      <c r="T118" s="543"/>
    </row>
    <row r="119">
      <c r="B119" s="67" t="s">
        <v>1727</v>
      </c>
      <c r="C119" s="67">
        <f>4+41</f>
        <v>45</v>
      </c>
      <c r="D119" s="189">
        <v>0.18</v>
      </c>
      <c r="E119" s="67">
        <v>0.25</v>
      </c>
      <c r="F119" s="67">
        <v>1.5</v>
      </c>
      <c r="G119" s="243"/>
      <c r="H119" s="182"/>
      <c r="I119" s="182"/>
      <c r="J119" s="182"/>
      <c r="K119" s="243">
        <f t="shared" si="25"/>
        <v>58.05</v>
      </c>
      <c r="Q119" s="184"/>
      <c r="S119" s="543"/>
      <c r="T119" s="543"/>
    </row>
    <row r="120">
      <c r="B120" s="67" t="s">
        <v>671</v>
      </c>
      <c r="C120" s="67">
        <v>17.0</v>
      </c>
      <c r="D120" s="189">
        <v>0.25</v>
      </c>
      <c r="E120" s="67">
        <v>0.25</v>
      </c>
      <c r="F120" s="67">
        <v>1.5</v>
      </c>
      <c r="G120" s="243"/>
      <c r="H120" s="182"/>
      <c r="I120" s="182"/>
      <c r="J120" s="182"/>
      <c r="K120" s="243">
        <f t="shared" si="25"/>
        <v>25.5</v>
      </c>
      <c r="Q120" s="184"/>
      <c r="S120" s="543"/>
      <c r="T120" s="543"/>
    </row>
    <row r="121">
      <c r="B121" s="67" t="s">
        <v>1728</v>
      </c>
      <c r="C121" s="67">
        <v>9.0</v>
      </c>
      <c r="D121" s="189">
        <v>0.2</v>
      </c>
      <c r="E121" s="67">
        <v>0.8</v>
      </c>
      <c r="F121" s="67">
        <v>1.5</v>
      </c>
      <c r="G121" s="243"/>
      <c r="H121" s="182"/>
      <c r="I121" s="182"/>
      <c r="J121" s="182"/>
      <c r="K121" s="243">
        <f t="shared" si="25"/>
        <v>27</v>
      </c>
      <c r="Q121" s="184"/>
      <c r="S121" s="543"/>
      <c r="T121" s="543"/>
    </row>
    <row r="122">
      <c r="B122" s="67" t="s">
        <v>1729</v>
      </c>
      <c r="C122" s="67">
        <f>59+2</f>
        <v>61</v>
      </c>
      <c r="D122" s="189">
        <v>0.18</v>
      </c>
      <c r="E122" s="67">
        <v>0.4</v>
      </c>
      <c r="F122" s="67">
        <v>1.5</v>
      </c>
      <c r="G122" s="243"/>
      <c r="H122" s="182"/>
      <c r="I122" s="182"/>
      <c r="J122" s="182"/>
      <c r="K122" s="243">
        <f t="shared" si="25"/>
        <v>106.14</v>
      </c>
      <c r="Q122" s="184"/>
      <c r="S122" s="543"/>
      <c r="T122" s="543"/>
    </row>
    <row r="123">
      <c r="B123" s="67" t="s">
        <v>1730</v>
      </c>
      <c r="C123" s="67">
        <v>2.0</v>
      </c>
      <c r="D123" s="189">
        <v>0.15</v>
      </c>
      <c r="E123" s="67">
        <v>0.3</v>
      </c>
      <c r="F123" s="67">
        <v>1.5</v>
      </c>
      <c r="G123" s="243"/>
      <c r="H123" s="182"/>
      <c r="I123" s="182"/>
      <c r="J123" s="182"/>
      <c r="K123" s="243">
        <f t="shared" si="25"/>
        <v>2.7</v>
      </c>
      <c r="Q123" s="184"/>
      <c r="S123" s="543"/>
      <c r="T123" s="543"/>
    </row>
    <row r="124">
      <c r="B124" s="67" t="s">
        <v>1731</v>
      </c>
      <c r="C124" s="67">
        <v>10.0</v>
      </c>
      <c r="D124" s="189">
        <v>0.3</v>
      </c>
      <c r="E124" s="67">
        <v>0.8</v>
      </c>
      <c r="F124" s="67">
        <v>1.5</v>
      </c>
      <c r="G124" s="243"/>
      <c r="H124" s="182"/>
      <c r="I124" s="182"/>
      <c r="J124" s="182"/>
      <c r="K124" s="243">
        <f t="shared" si="25"/>
        <v>33</v>
      </c>
      <c r="Q124" s="184"/>
      <c r="S124" s="543"/>
      <c r="T124" s="543"/>
    </row>
    <row r="125">
      <c r="B125" s="67" t="s">
        <v>1732</v>
      </c>
      <c r="C125" s="67">
        <v>3.0</v>
      </c>
      <c r="D125" s="189">
        <v>0.2</v>
      </c>
      <c r="E125" s="67">
        <v>0.5</v>
      </c>
      <c r="F125" s="67">
        <v>1.5</v>
      </c>
      <c r="G125" s="243"/>
      <c r="H125" s="182"/>
      <c r="I125" s="182"/>
      <c r="J125" s="182"/>
      <c r="K125" s="243">
        <f t="shared" si="25"/>
        <v>6.3</v>
      </c>
      <c r="Q125" s="184"/>
      <c r="S125" s="543"/>
      <c r="T125" s="543"/>
    </row>
    <row r="126">
      <c r="B126" s="67" t="s">
        <v>1733</v>
      </c>
      <c r="C126" s="67">
        <v>2.0</v>
      </c>
      <c r="D126" s="189">
        <v>0.35</v>
      </c>
      <c r="E126" s="67">
        <v>0.35</v>
      </c>
      <c r="F126" s="67">
        <v>1.5</v>
      </c>
      <c r="G126" s="243"/>
      <c r="H126" s="182"/>
      <c r="I126" s="182"/>
      <c r="J126" s="182"/>
      <c r="K126" s="243">
        <f t="shared" si="25"/>
        <v>4.2</v>
      </c>
      <c r="Q126" s="184"/>
      <c r="S126" s="543"/>
      <c r="T126" s="543"/>
    </row>
    <row r="127">
      <c r="B127" s="67" t="s">
        <v>1734</v>
      </c>
      <c r="C127" s="67">
        <v>2.0</v>
      </c>
      <c r="D127" s="189">
        <v>0.2</v>
      </c>
      <c r="E127" s="67">
        <v>0.25</v>
      </c>
      <c r="F127" s="67">
        <v>1.5</v>
      </c>
      <c r="G127" s="243"/>
      <c r="H127" s="182"/>
      <c r="I127" s="182"/>
      <c r="J127" s="182"/>
      <c r="K127" s="243">
        <f t="shared" si="25"/>
        <v>2.7</v>
      </c>
      <c r="Q127" s="184"/>
      <c r="S127" s="543"/>
      <c r="T127" s="543"/>
    </row>
    <row r="128">
      <c r="B128" s="67"/>
      <c r="C128" s="243"/>
      <c r="D128" s="182"/>
      <c r="E128" s="243"/>
      <c r="F128" s="67"/>
      <c r="G128" s="243"/>
      <c r="H128" s="182"/>
      <c r="I128" s="182"/>
      <c r="J128" s="182"/>
      <c r="K128" s="243"/>
      <c r="Q128" s="184"/>
      <c r="S128" s="543"/>
      <c r="T128" s="543"/>
    </row>
    <row r="129">
      <c r="B129" s="67" t="s">
        <v>1275</v>
      </c>
      <c r="C129" s="243"/>
      <c r="D129" s="182"/>
      <c r="E129" s="243"/>
      <c r="F129" s="243"/>
      <c r="G129" s="243"/>
      <c r="H129" s="182"/>
      <c r="I129" s="182"/>
      <c r="J129" s="182">
        <f>SUM(K117:K127)</f>
        <v>360.09</v>
      </c>
      <c r="K129" s="243"/>
      <c r="Q129" s="184"/>
      <c r="S129" s="543"/>
      <c r="T129" s="543"/>
    </row>
    <row r="130">
      <c r="B130" s="67" t="s">
        <v>1018</v>
      </c>
      <c r="C130" s="243"/>
      <c r="D130" s="182"/>
      <c r="E130" s="243"/>
      <c r="F130" s="243"/>
      <c r="G130" s="243"/>
      <c r="H130" s="182"/>
      <c r="I130" s="182"/>
      <c r="J130" s="182">
        <f>SUM(K39:K114)</f>
        <v>1107.909</v>
      </c>
      <c r="K130" s="243"/>
      <c r="Q130" s="184"/>
      <c r="S130" s="543"/>
      <c r="T130" s="543"/>
    </row>
    <row r="131">
      <c r="B131" s="194" t="s">
        <v>1698</v>
      </c>
      <c r="C131" s="243"/>
      <c r="D131" s="182"/>
      <c r="E131" s="243"/>
      <c r="F131" s="243"/>
      <c r="G131" s="67"/>
      <c r="H131" s="189"/>
      <c r="I131" s="189"/>
      <c r="J131" s="189">
        <f>SUM(I39:I114)</f>
        <v>136.059</v>
      </c>
      <c r="K131" s="243"/>
      <c r="Q131" s="184"/>
      <c r="S131" s="543"/>
      <c r="T131" s="543"/>
    </row>
    <row r="132">
      <c r="B132" s="194" t="s">
        <v>674</v>
      </c>
      <c r="C132" s="243"/>
      <c r="D132" s="182"/>
      <c r="E132" s="243"/>
      <c r="F132" s="243"/>
      <c r="G132" s="67"/>
      <c r="H132" s="189"/>
      <c r="I132" s="189"/>
      <c r="J132" s="189">
        <f>SUM(H39:H114)</f>
        <v>288.63945</v>
      </c>
      <c r="K132" s="243"/>
      <c r="Q132" s="184"/>
      <c r="S132" s="543"/>
      <c r="T132" s="543"/>
    </row>
    <row r="133">
      <c r="B133" s="194" t="s">
        <v>385</v>
      </c>
      <c r="C133" s="243"/>
      <c r="D133" s="182"/>
      <c r="E133" s="243"/>
      <c r="F133" s="243"/>
      <c r="G133" s="243"/>
      <c r="H133" s="182">
        <f>J131</f>
        <v>136.059</v>
      </c>
      <c r="I133" s="189">
        <v>0.05</v>
      </c>
      <c r="J133" s="182">
        <f>H133*I133</f>
        <v>6.80295</v>
      </c>
      <c r="K133" s="243"/>
      <c r="Q133" s="184"/>
      <c r="S133" s="543"/>
      <c r="T133" s="543"/>
    </row>
    <row r="134">
      <c r="B134" s="67" t="s">
        <v>747</v>
      </c>
      <c r="C134" s="243"/>
      <c r="D134" s="182"/>
      <c r="E134" s="243"/>
      <c r="F134" s="243"/>
      <c r="G134" s="243"/>
      <c r="H134" s="182"/>
      <c r="I134" s="182"/>
      <c r="J134" s="182">
        <f>277.2+263.96+295.34+242.4</f>
        <v>1078.9</v>
      </c>
      <c r="K134" s="243"/>
      <c r="Q134" s="184"/>
      <c r="S134" s="543"/>
      <c r="T134" s="543"/>
    </row>
    <row r="135">
      <c r="B135" s="67" t="s">
        <v>748</v>
      </c>
      <c r="C135" s="243"/>
      <c r="D135" s="182"/>
      <c r="E135" s="243"/>
      <c r="F135" s="243"/>
      <c r="G135" s="67"/>
      <c r="H135" s="189"/>
      <c r="I135" s="189"/>
      <c r="J135" s="189">
        <f>16.92+16.2+18.1+14.88</f>
        <v>66.1</v>
      </c>
      <c r="K135" s="243"/>
      <c r="Q135" s="184"/>
      <c r="S135" s="543"/>
      <c r="T135" s="543"/>
    </row>
    <row r="136">
      <c r="B136" s="194"/>
      <c r="C136" s="67" t="s">
        <v>683</v>
      </c>
      <c r="D136" s="189" t="s">
        <v>108</v>
      </c>
      <c r="E136" s="67" t="s">
        <v>684</v>
      </c>
      <c r="F136" s="243"/>
      <c r="G136" s="243"/>
      <c r="H136" s="182"/>
      <c r="I136" s="182"/>
      <c r="J136" s="182"/>
      <c r="K136" s="243"/>
      <c r="Q136" s="184"/>
      <c r="S136" s="543"/>
      <c r="T136" s="543"/>
    </row>
    <row r="137">
      <c r="B137" s="194" t="s">
        <v>685</v>
      </c>
      <c r="C137" s="67" t="s">
        <v>686</v>
      </c>
      <c r="D137" s="189">
        <f>1174.8+1045.7+1166.5+978.1</f>
        <v>4365.1</v>
      </c>
      <c r="E137" s="67">
        <v>0.154</v>
      </c>
      <c r="F137" s="243"/>
      <c r="G137" s="243"/>
      <c r="H137" s="182"/>
      <c r="I137" s="182"/>
      <c r="J137" s="182">
        <f t="shared" ref="J137:J141" si="26">D137*E137</f>
        <v>672.2254</v>
      </c>
      <c r="K137" s="243"/>
      <c r="Q137" s="184"/>
      <c r="S137" s="543"/>
      <c r="T137" s="543"/>
    </row>
    <row r="138">
      <c r="B138" s="194"/>
      <c r="C138" s="208">
        <v>45357.0</v>
      </c>
      <c r="D138" s="189">
        <f>0.8+0.8</f>
        <v>1.6</v>
      </c>
      <c r="E138" s="67">
        <v>0.245</v>
      </c>
      <c r="F138" s="243"/>
      <c r="G138" s="243"/>
      <c r="H138" s="182"/>
      <c r="I138" s="182"/>
      <c r="J138" s="182">
        <f t="shared" si="26"/>
        <v>0.392</v>
      </c>
      <c r="K138" s="243"/>
      <c r="Q138" s="184"/>
      <c r="S138" s="543"/>
      <c r="T138" s="543"/>
    </row>
    <row r="139">
      <c r="B139" s="194"/>
      <c r="C139" s="209">
        <v>8.0</v>
      </c>
      <c r="D139" s="189">
        <f>1142.5+1012.2+1207.3+916.1</f>
        <v>4278.1</v>
      </c>
      <c r="E139" s="67">
        <v>0.395</v>
      </c>
      <c r="F139" s="243"/>
      <c r="G139" s="243"/>
      <c r="H139" s="182"/>
      <c r="I139" s="182"/>
      <c r="J139" s="182">
        <f t="shared" si="26"/>
        <v>1689.8495</v>
      </c>
      <c r="K139" s="243"/>
      <c r="Q139" s="184"/>
      <c r="S139" s="543"/>
      <c r="T139" s="543"/>
    </row>
    <row r="140">
      <c r="B140" s="194"/>
      <c r="C140" s="209">
        <v>10.0</v>
      </c>
      <c r="D140" s="189">
        <f>4.4+8.5</f>
        <v>12.9</v>
      </c>
      <c r="E140" s="67">
        <v>0.617</v>
      </c>
      <c r="F140" s="243"/>
      <c r="G140" s="243"/>
      <c r="H140" s="182"/>
      <c r="I140" s="182"/>
      <c r="J140" s="182">
        <f t="shared" si="26"/>
        <v>7.9593</v>
      </c>
      <c r="K140" s="243"/>
      <c r="Q140" s="184"/>
      <c r="S140" s="543"/>
      <c r="T140" s="543"/>
    </row>
    <row r="141">
      <c r="B141" s="194"/>
      <c r="C141" s="208">
        <v>45424.0</v>
      </c>
      <c r="D141" s="189">
        <v>0.0</v>
      </c>
      <c r="E141" s="67">
        <v>0.963</v>
      </c>
      <c r="F141" s="243"/>
      <c r="G141" s="243"/>
      <c r="H141" s="182"/>
      <c r="I141" s="182"/>
      <c r="J141" s="182">
        <f t="shared" si="26"/>
        <v>0</v>
      </c>
      <c r="K141" s="243"/>
      <c r="Q141" s="184"/>
      <c r="S141" s="543"/>
      <c r="T141" s="543"/>
    </row>
    <row r="142">
      <c r="B142" s="67"/>
      <c r="C142" s="67" t="s">
        <v>751</v>
      </c>
      <c r="D142" s="189" t="s">
        <v>752</v>
      </c>
      <c r="E142" s="67" t="s">
        <v>212</v>
      </c>
      <c r="F142" s="243"/>
      <c r="G142" s="243"/>
      <c r="H142" s="182"/>
      <c r="I142" s="182"/>
      <c r="J142" s="182"/>
      <c r="K142" s="243"/>
      <c r="Q142" s="184"/>
      <c r="S142" s="543"/>
      <c r="T142" s="543"/>
    </row>
    <row r="143">
      <c r="B143" s="67" t="s">
        <v>339</v>
      </c>
      <c r="C143" s="182">
        <f>J132+D11</f>
        <v>547.41945</v>
      </c>
      <c r="D143" s="182">
        <f>C147+C149</f>
        <v>195.48295</v>
      </c>
      <c r="E143" s="182">
        <f>C143-D143</f>
        <v>351.9365</v>
      </c>
      <c r="F143" s="243"/>
      <c r="G143" s="243"/>
      <c r="H143" s="182"/>
      <c r="I143" s="182"/>
      <c r="J143" s="182"/>
      <c r="K143" s="243"/>
      <c r="Q143" s="184"/>
      <c r="S143" s="543"/>
      <c r="T143" s="543"/>
    </row>
    <row r="144">
      <c r="D144" s="184"/>
      <c r="H144" s="184"/>
      <c r="I144" s="184"/>
      <c r="J144" s="184"/>
      <c r="Q144" s="184"/>
      <c r="S144" s="543"/>
      <c r="T144" s="543"/>
    </row>
    <row r="145">
      <c r="D145" s="184"/>
      <c r="H145" s="184"/>
      <c r="I145" s="184"/>
      <c r="J145" s="184"/>
      <c r="Q145" s="184"/>
      <c r="S145" s="543"/>
      <c r="T145" s="543"/>
    </row>
    <row r="146">
      <c r="B146" s="544" t="s">
        <v>1735</v>
      </c>
      <c r="C146" s="29"/>
      <c r="D146" s="184"/>
      <c r="H146" s="184"/>
      <c r="I146" s="184"/>
      <c r="J146" s="184"/>
      <c r="Q146" s="184"/>
      <c r="S146" s="543"/>
      <c r="T146" s="543"/>
    </row>
    <row r="147">
      <c r="B147" s="67" t="s">
        <v>763</v>
      </c>
      <c r="C147" s="182">
        <f>D14+J135</f>
        <v>178.465</v>
      </c>
      <c r="D147" s="184"/>
      <c r="H147" s="184"/>
      <c r="I147" s="184"/>
      <c r="J147" s="184"/>
      <c r="Q147" s="184"/>
      <c r="S147" s="543"/>
      <c r="T147" s="543"/>
    </row>
    <row r="148">
      <c r="B148" s="67" t="s">
        <v>1736</v>
      </c>
      <c r="C148" s="182">
        <f>J129+J130</f>
        <v>1467.999</v>
      </c>
      <c r="D148" s="184"/>
      <c r="H148" s="184"/>
      <c r="I148" s="184"/>
      <c r="J148" s="184"/>
      <c r="Q148" s="184"/>
      <c r="S148" s="543"/>
      <c r="T148" s="543"/>
    </row>
    <row r="149">
      <c r="B149" s="67" t="s">
        <v>385</v>
      </c>
      <c r="C149" s="182">
        <f>D12+J133</f>
        <v>17.01795</v>
      </c>
      <c r="D149" s="184"/>
      <c r="H149" s="184"/>
      <c r="I149" s="184"/>
      <c r="J149" s="184"/>
      <c r="Q149" s="184"/>
      <c r="S149" s="543"/>
      <c r="T149" s="543"/>
    </row>
    <row r="150">
      <c r="B150" s="194" t="s">
        <v>1698</v>
      </c>
      <c r="C150" s="182">
        <f>D10+J131</f>
        <v>340.359</v>
      </c>
      <c r="D150" s="184"/>
      <c r="H150" s="184"/>
      <c r="I150" s="184"/>
      <c r="J150" s="184"/>
      <c r="Q150" s="184"/>
      <c r="S150" s="543"/>
      <c r="T150" s="543"/>
    </row>
    <row r="151">
      <c r="D151" s="184"/>
      <c r="H151" s="184"/>
      <c r="I151" s="184"/>
      <c r="J151" s="184"/>
      <c r="Q151" s="184"/>
      <c r="S151" s="543"/>
      <c r="T151" s="543"/>
    </row>
    <row r="152">
      <c r="B152" s="544" t="s">
        <v>1737</v>
      </c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9"/>
      <c r="S152" s="543"/>
      <c r="T152" s="543"/>
    </row>
    <row r="153">
      <c r="D153" s="184"/>
      <c r="H153" s="184"/>
      <c r="I153" s="184"/>
      <c r="J153" s="184"/>
      <c r="Q153" s="184"/>
      <c r="S153" s="543"/>
      <c r="T153" s="543"/>
    </row>
    <row r="154">
      <c r="B154" s="544" t="s">
        <v>1619</v>
      </c>
      <c r="C154" s="28"/>
      <c r="D154" s="28"/>
      <c r="E154" s="28"/>
      <c r="F154" s="28"/>
      <c r="G154" s="28"/>
      <c r="H154" s="28"/>
      <c r="I154" s="28"/>
      <c r="J154" s="28"/>
      <c r="K154" s="29"/>
      <c r="M154" s="544" t="s">
        <v>1620</v>
      </c>
      <c r="N154" s="28"/>
      <c r="O154" s="28"/>
      <c r="P154" s="28"/>
      <c r="Q154" s="28"/>
      <c r="R154" s="29"/>
      <c r="S154" s="543"/>
      <c r="T154" s="543"/>
    </row>
    <row r="155">
      <c r="B155" s="546" t="s">
        <v>1623</v>
      </c>
      <c r="C155" s="28"/>
      <c r="D155" s="28"/>
      <c r="E155" s="28"/>
      <c r="F155" s="28"/>
      <c r="G155" s="28"/>
      <c r="H155" s="28"/>
      <c r="I155" s="28"/>
      <c r="J155" s="28"/>
      <c r="K155" s="29"/>
      <c r="M155" s="546" t="s">
        <v>1624</v>
      </c>
      <c r="N155" s="28"/>
      <c r="O155" s="28"/>
      <c r="P155" s="28"/>
      <c r="Q155" s="28"/>
      <c r="R155" s="29"/>
      <c r="S155" s="543"/>
      <c r="T155" s="543"/>
    </row>
    <row r="156">
      <c r="B156" s="194" t="s">
        <v>1631</v>
      </c>
      <c r="C156" s="67" t="s">
        <v>695</v>
      </c>
      <c r="D156" s="189" t="s">
        <v>696</v>
      </c>
      <c r="E156" s="67" t="s">
        <v>1632</v>
      </c>
      <c r="F156" s="67" t="s">
        <v>1633</v>
      </c>
      <c r="G156" s="67" t="s">
        <v>1634</v>
      </c>
      <c r="H156" s="189" t="s">
        <v>1635</v>
      </c>
      <c r="I156" s="189" t="s">
        <v>1636</v>
      </c>
      <c r="J156" s="189" t="s">
        <v>1637</v>
      </c>
      <c r="K156" s="67" t="s">
        <v>1638</v>
      </c>
      <c r="M156" s="67" t="s">
        <v>758</v>
      </c>
      <c r="N156" s="243"/>
      <c r="O156" s="243"/>
      <c r="P156" s="243"/>
      <c r="Q156" s="189">
        <v>158.72</v>
      </c>
      <c r="R156" s="243"/>
      <c r="S156" s="543"/>
      <c r="T156" s="543"/>
    </row>
    <row r="157">
      <c r="B157" s="194" t="s">
        <v>1738</v>
      </c>
      <c r="C157" s="67">
        <v>2.0</v>
      </c>
      <c r="D157" s="189">
        <v>1.0</v>
      </c>
      <c r="E157" s="67">
        <v>1.0</v>
      </c>
      <c r="F157" s="67">
        <v>0.5</v>
      </c>
      <c r="G157" s="67">
        <v>1.5</v>
      </c>
      <c r="H157" s="182">
        <f t="shared" ref="H157:H162" si="27">C157*(D157+0.4)*(E157+0.4)*G157</f>
        <v>5.88</v>
      </c>
      <c r="I157" s="182">
        <f t="shared" ref="I157:I162" si="28">C157*D157*E157</f>
        <v>2</v>
      </c>
      <c r="J157" s="182">
        <f t="shared" ref="J157:J162" si="29">C157*((D157+E157)*2)*F157</f>
        <v>4</v>
      </c>
      <c r="K157" s="243"/>
      <c r="M157" s="67" t="s">
        <v>759</v>
      </c>
      <c r="N157" s="243"/>
      <c r="O157" s="243"/>
      <c r="P157" s="67"/>
      <c r="Q157" s="189">
        <v>11.39</v>
      </c>
      <c r="R157" s="243"/>
      <c r="S157" s="543"/>
      <c r="T157" s="543"/>
    </row>
    <row r="158">
      <c r="B158" s="194" t="s">
        <v>1739</v>
      </c>
      <c r="C158" s="67">
        <v>30.0</v>
      </c>
      <c r="D158" s="189">
        <v>1.0</v>
      </c>
      <c r="E158" s="67">
        <v>1.0</v>
      </c>
      <c r="F158" s="67">
        <v>0.25</v>
      </c>
      <c r="G158" s="67">
        <v>1.5</v>
      </c>
      <c r="H158" s="182">
        <f t="shared" si="27"/>
        <v>88.2</v>
      </c>
      <c r="I158" s="182">
        <f t="shared" si="28"/>
        <v>30</v>
      </c>
      <c r="J158" s="182">
        <f t="shared" si="29"/>
        <v>30</v>
      </c>
      <c r="K158" s="243"/>
      <c r="M158" s="67" t="s">
        <v>761</v>
      </c>
      <c r="N158" s="67" t="s">
        <v>686</v>
      </c>
      <c r="O158" s="67">
        <v>992.2</v>
      </c>
      <c r="P158" s="67">
        <v>0.154</v>
      </c>
      <c r="Q158" s="182">
        <f t="shared" ref="Q158:Q162" si="30">O158*P158</f>
        <v>152.7988</v>
      </c>
      <c r="R158" s="243"/>
      <c r="S158" s="543"/>
      <c r="T158" s="543"/>
    </row>
    <row r="159">
      <c r="B159" s="194" t="s">
        <v>1740</v>
      </c>
      <c r="C159" s="67">
        <v>2.0</v>
      </c>
      <c r="D159" s="189">
        <v>1.05</v>
      </c>
      <c r="E159" s="67">
        <v>1.05</v>
      </c>
      <c r="F159" s="67">
        <v>0.25</v>
      </c>
      <c r="G159" s="67">
        <v>1.5</v>
      </c>
      <c r="H159" s="182">
        <f t="shared" si="27"/>
        <v>6.3075</v>
      </c>
      <c r="I159" s="182">
        <f t="shared" si="28"/>
        <v>2.205</v>
      </c>
      <c r="J159" s="182">
        <f t="shared" si="29"/>
        <v>2.1</v>
      </c>
      <c r="K159" s="243"/>
      <c r="M159" s="243"/>
      <c r="N159" s="208">
        <v>45357.0</v>
      </c>
      <c r="O159" s="67">
        <v>0.0</v>
      </c>
      <c r="P159" s="67">
        <v>0.245</v>
      </c>
      <c r="Q159" s="182">
        <f t="shared" si="30"/>
        <v>0</v>
      </c>
      <c r="R159" s="243"/>
      <c r="S159" s="543"/>
      <c r="T159" s="543"/>
    </row>
    <row r="160">
      <c r="B160" s="194" t="s">
        <v>1741</v>
      </c>
      <c r="C160" s="67">
        <v>8.0</v>
      </c>
      <c r="D160" s="189">
        <v>0.9</v>
      </c>
      <c r="E160" s="67">
        <v>0.9</v>
      </c>
      <c r="F160" s="67">
        <v>0.25</v>
      </c>
      <c r="G160" s="67">
        <v>1.5</v>
      </c>
      <c r="H160" s="182">
        <f t="shared" si="27"/>
        <v>20.28</v>
      </c>
      <c r="I160" s="182">
        <f t="shared" si="28"/>
        <v>6.48</v>
      </c>
      <c r="J160" s="182">
        <f t="shared" si="29"/>
        <v>7.2</v>
      </c>
      <c r="K160" s="243"/>
      <c r="M160" s="243"/>
      <c r="N160" s="209" t="s">
        <v>720</v>
      </c>
      <c r="O160" s="67">
        <v>0.0</v>
      </c>
      <c r="P160" s="67">
        <v>0.395</v>
      </c>
      <c r="Q160" s="182">
        <f t="shared" si="30"/>
        <v>0</v>
      </c>
      <c r="R160" s="243"/>
      <c r="S160" s="543"/>
      <c r="T160" s="543"/>
    </row>
    <row r="161">
      <c r="B161" s="194" t="s">
        <v>1742</v>
      </c>
      <c r="C161" s="67">
        <v>2.0</v>
      </c>
      <c r="D161" s="189">
        <v>1.0</v>
      </c>
      <c r="E161" s="67">
        <v>1.0</v>
      </c>
      <c r="F161" s="67">
        <v>0.5</v>
      </c>
      <c r="G161" s="67">
        <v>1.5</v>
      </c>
      <c r="H161" s="182">
        <f t="shared" si="27"/>
        <v>5.88</v>
      </c>
      <c r="I161" s="182">
        <f t="shared" si="28"/>
        <v>2</v>
      </c>
      <c r="J161" s="182">
        <f t="shared" si="29"/>
        <v>4</v>
      </c>
      <c r="K161" s="243"/>
      <c r="M161" s="243"/>
      <c r="N161" s="209">
        <v>10.0</v>
      </c>
      <c r="O161" s="67">
        <v>101.4</v>
      </c>
      <c r="P161" s="67">
        <v>0.617</v>
      </c>
      <c r="Q161" s="182">
        <f t="shared" si="30"/>
        <v>62.5638</v>
      </c>
      <c r="R161" s="243"/>
      <c r="S161" s="543"/>
      <c r="T161" s="543"/>
    </row>
    <row r="162">
      <c r="B162" s="194"/>
      <c r="C162" s="67"/>
      <c r="D162" s="189"/>
      <c r="E162" s="67"/>
      <c r="F162" s="67"/>
      <c r="G162" s="67"/>
      <c r="H162" s="182">
        <f t="shared" si="27"/>
        <v>0</v>
      </c>
      <c r="I162" s="182">
        <f t="shared" si="28"/>
        <v>0</v>
      </c>
      <c r="J162" s="182">
        <f t="shared" si="29"/>
        <v>0</v>
      </c>
      <c r="K162" s="243"/>
      <c r="M162" s="243"/>
      <c r="N162" s="208">
        <v>45424.0</v>
      </c>
      <c r="O162" s="67">
        <v>456.5</v>
      </c>
      <c r="P162" s="67">
        <v>0.963</v>
      </c>
      <c r="Q162" s="182">
        <f t="shared" si="30"/>
        <v>439.6095</v>
      </c>
      <c r="R162" s="243"/>
      <c r="S162" s="543"/>
      <c r="T162" s="543"/>
    </row>
    <row r="163">
      <c r="B163" s="194"/>
      <c r="C163" s="243"/>
      <c r="D163" s="182"/>
      <c r="E163" s="243"/>
      <c r="F163" s="243"/>
      <c r="G163" s="67"/>
      <c r="H163" s="189"/>
      <c r="I163" s="189"/>
      <c r="J163" s="189"/>
      <c r="K163" s="243"/>
      <c r="Q163" s="184"/>
      <c r="S163" s="543"/>
      <c r="T163" s="543"/>
    </row>
    <row r="164">
      <c r="B164" s="194" t="s">
        <v>1698</v>
      </c>
      <c r="C164" s="243"/>
      <c r="D164" s="182"/>
      <c r="E164" s="243"/>
      <c r="F164" s="243"/>
      <c r="G164" s="67"/>
      <c r="H164" s="189"/>
      <c r="I164" s="189"/>
      <c r="J164" s="189">
        <f>SUM(I157:I162)</f>
        <v>42.685</v>
      </c>
      <c r="K164" s="243"/>
      <c r="M164" s="2"/>
      <c r="Q164" s="184"/>
      <c r="S164" s="543"/>
      <c r="T164" s="543"/>
    </row>
    <row r="165">
      <c r="B165" s="194" t="s">
        <v>713</v>
      </c>
      <c r="C165" s="243"/>
      <c r="D165" s="182"/>
      <c r="E165" s="243"/>
      <c r="F165" s="243"/>
      <c r="G165" s="67"/>
      <c r="H165" s="189"/>
      <c r="I165" s="189"/>
      <c r="J165" s="189">
        <f>SUM(H157:H162)</f>
        <v>126.5475</v>
      </c>
      <c r="K165" s="243"/>
      <c r="M165" s="2"/>
      <c r="Q165" s="184"/>
      <c r="S165" s="543"/>
      <c r="T165" s="543"/>
    </row>
    <row r="166">
      <c r="B166" s="194" t="s">
        <v>385</v>
      </c>
      <c r="C166" s="243"/>
      <c r="D166" s="182"/>
      <c r="E166" s="243"/>
      <c r="F166" s="243"/>
      <c r="G166" s="243"/>
      <c r="H166" s="182">
        <f>J164</f>
        <v>42.685</v>
      </c>
      <c r="I166" s="189">
        <v>0.05</v>
      </c>
      <c r="J166" s="182">
        <f>H166*I166</f>
        <v>2.13425</v>
      </c>
      <c r="K166" s="243"/>
      <c r="M166" s="2"/>
      <c r="Q166" s="184"/>
      <c r="S166" s="543"/>
      <c r="T166" s="543"/>
    </row>
    <row r="167">
      <c r="B167" s="194" t="s">
        <v>716</v>
      </c>
      <c r="C167" s="243"/>
      <c r="D167" s="182"/>
      <c r="E167" s="243"/>
      <c r="F167" s="243"/>
      <c r="G167" s="243"/>
      <c r="H167" s="182"/>
      <c r="I167" s="182"/>
      <c r="J167" s="182">
        <f>SUM(J157:J162)</f>
        <v>47.3</v>
      </c>
      <c r="K167" s="243"/>
      <c r="M167" s="2"/>
      <c r="Q167" s="184"/>
      <c r="S167" s="543"/>
      <c r="T167" s="543"/>
    </row>
    <row r="168">
      <c r="B168" s="194" t="s">
        <v>679</v>
      </c>
      <c r="C168" s="67"/>
      <c r="D168" s="189"/>
      <c r="E168" s="243"/>
      <c r="F168" s="243"/>
      <c r="G168" s="243"/>
      <c r="H168" s="182">
        <f>137.7+8.8</f>
        <v>146.5</v>
      </c>
      <c r="I168" s="182">
        <f>-J167</f>
        <v>-47.3</v>
      </c>
      <c r="J168" s="182">
        <f>H168+I168</f>
        <v>99.2</v>
      </c>
      <c r="K168" s="243"/>
      <c r="M168" s="2"/>
      <c r="Q168" s="184"/>
      <c r="S168" s="543"/>
      <c r="T168" s="543"/>
    </row>
    <row r="169">
      <c r="B169" s="194"/>
      <c r="C169" s="67" t="s">
        <v>683</v>
      </c>
      <c r="D169" s="189" t="s">
        <v>108</v>
      </c>
      <c r="E169" s="67" t="s">
        <v>684</v>
      </c>
      <c r="F169" s="243"/>
      <c r="G169" s="67"/>
      <c r="H169" s="189"/>
      <c r="I169" s="189"/>
      <c r="J169" s="189" t="s">
        <v>718</v>
      </c>
      <c r="K169" s="243"/>
      <c r="Q169" s="184"/>
      <c r="S169" s="543"/>
      <c r="T169" s="543"/>
    </row>
    <row r="170">
      <c r="B170" s="194" t="s">
        <v>719</v>
      </c>
      <c r="C170" s="67" t="s">
        <v>686</v>
      </c>
      <c r="D170" s="189">
        <v>45.0</v>
      </c>
      <c r="E170" s="67">
        <v>0.154</v>
      </c>
      <c r="F170" s="243"/>
      <c r="G170" s="243"/>
      <c r="H170" s="182"/>
      <c r="I170" s="182"/>
      <c r="J170" s="182">
        <f t="shared" ref="J170:J173" si="31">D170*E170</f>
        <v>6.93</v>
      </c>
      <c r="K170" s="243"/>
      <c r="M170" s="2"/>
      <c r="Q170" s="184"/>
      <c r="S170" s="543"/>
      <c r="T170" s="543"/>
    </row>
    <row r="171">
      <c r="B171" s="194"/>
      <c r="C171" s="67" t="s">
        <v>720</v>
      </c>
      <c r="D171" s="189">
        <v>661.56</v>
      </c>
      <c r="E171" s="243">
        <f>0.395</f>
        <v>0.395</v>
      </c>
      <c r="F171" s="243"/>
      <c r="G171" s="243"/>
      <c r="H171" s="182"/>
      <c r="I171" s="182"/>
      <c r="J171" s="182">
        <f t="shared" si="31"/>
        <v>261.3162</v>
      </c>
      <c r="K171" s="243"/>
      <c r="M171" s="2"/>
      <c r="Q171" s="184"/>
      <c r="S171" s="543"/>
      <c r="T171" s="543"/>
    </row>
    <row r="172">
      <c r="B172" s="194"/>
      <c r="C172" s="209">
        <v>10.0</v>
      </c>
      <c r="D172" s="189">
        <v>198.72</v>
      </c>
      <c r="E172" s="67">
        <v>0.617</v>
      </c>
      <c r="F172" s="243"/>
      <c r="G172" s="243"/>
      <c r="H172" s="182"/>
      <c r="I172" s="182"/>
      <c r="J172" s="182">
        <f t="shared" si="31"/>
        <v>122.61024</v>
      </c>
      <c r="K172" s="243"/>
      <c r="M172" s="2"/>
      <c r="Q172" s="184"/>
      <c r="S172" s="543"/>
      <c r="T172" s="543"/>
    </row>
    <row r="173">
      <c r="B173" s="194"/>
      <c r="C173" s="208">
        <v>45424.0</v>
      </c>
      <c r="D173" s="189">
        <v>0.0</v>
      </c>
      <c r="E173" s="67">
        <v>0.963</v>
      </c>
      <c r="F173" s="243"/>
      <c r="G173" s="243"/>
      <c r="H173" s="182"/>
      <c r="I173" s="182"/>
      <c r="J173" s="182">
        <f t="shared" si="31"/>
        <v>0</v>
      </c>
      <c r="K173" s="243"/>
      <c r="Q173" s="184"/>
      <c r="S173" s="543"/>
      <c r="T173" s="543"/>
    </row>
    <row r="174">
      <c r="B174" s="194"/>
      <c r="C174" s="67"/>
      <c r="D174" s="182"/>
      <c r="E174" s="67"/>
      <c r="F174" s="243"/>
      <c r="G174" s="243"/>
      <c r="H174" s="182"/>
      <c r="I174" s="182"/>
      <c r="J174" s="182"/>
      <c r="K174" s="243"/>
      <c r="Q174" s="184"/>
      <c r="S174" s="543"/>
      <c r="T174" s="543"/>
    </row>
    <row r="175">
      <c r="B175" s="194" t="s">
        <v>722</v>
      </c>
      <c r="C175" s="67" t="s">
        <v>686</v>
      </c>
      <c r="D175" s="189">
        <v>759.56</v>
      </c>
      <c r="E175" s="67">
        <v>0.154</v>
      </c>
      <c r="F175" s="243"/>
      <c r="G175" s="243"/>
      <c r="H175" s="182"/>
      <c r="I175" s="182"/>
      <c r="J175" s="182">
        <f t="shared" ref="J175:J178" si="32">D175*E175</f>
        <v>116.97224</v>
      </c>
      <c r="K175" s="243"/>
      <c r="M175" s="2"/>
      <c r="Q175" s="184"/>
      <c r="S175" s="543"/>
      <c r="T175" s="543"/>
    </row>
    <row r="176">
      <c r="B176" s="194"/>
      <c r="C176" s="208">
        <v>45357.0</v>
      </c>
      <c r="D176" s="189">
        <v>0.0</v>
      </c>
      <c r="E176" s="67">
        <v>0.245</v>
      </c>
      <c r="F176" s="243"/>
      <c r="G176" s="243"/>
      <c r="H176" s="182"/>
      <c r="I176" s="182"/>
      <c r="J176" s="182">
        <f t="shared" si="32"/>
        <v>0</v>
      </c>
      <c r="K176" s="243"/>
      <c r="M176" s="2"/>
      <c r="Q176" s="184"/>
      <c r="S176" s="543"/>
      <c r="T176" s="543"/>
    </row>
    <row r="177">
      <c r="B177" s="194"/>
      <c r="C177" s="209">
        <v>10.0</v>
      </c>
      <c r="D177" s="189">
        <v>80.64</v>
      </c>
      <c r="E177" s="67">
        <v>0.617</v>
      </c>
      <c r="F177" s="243"/>
      <c r="G177" s="243"/>
      <c r="H177" s="182"/>
      <c r="I177" s="182"/>
      <c r="J177" s="182">
        <f t="shared" si="32"/>
        <v>49.75488</v>
      </c>
      <c r="K177" s="243"/>
      <c r="M177" s="2"/>
      <c r="Q177" s="184"/>
      <c r="S177" s="543"/>
      <c r="T177" s="543"/>
    </row>
    <row r="178">
      <c r="B178" s="194"/>
      <c r="C178" s="208">
        <v>45424.0</v>
      </c>
      <c r="D178" s="189">
        <v>382.24</v>
      </c>
      <c r="E178" s="67">
        <v>0.963</v>
      </c>
      <c r="F178" s="243"/>
      <c r="G178" s="243"/>
      <c r="H178" s="182"/>
      <c r="I178" s="182"/>
      <c r="J178" s="182">
        <f t="shared" si="32"/>
        <v>368.09712</v>
      </c>
      <c r="K178" s="243"/>
      <c r="M178" s="2"/>
      <c r="Q178" s="184"/>
      <c r="S178" s="543"/>
      <c r="T178" s="543"/>
    </row>
    <row r="179">
      <c r="B179" s="194"/>
      <c r="C179" s="243"/>
      <c r="D179" s="182"/>
      <c r="E179" s="243"/>
      <c r="F179" s="243"/>
      <c r="G179" s="67"/>
      <c r="H179" s="189"/>
      <c r="I179" s="189"/>
      <c r="J179" s="189" t="s">
        <v>1676</v>
      </c>
      <c r="K179" s="243"/>
      <c r="Q179" s="184"/>
      <c r="S179" s="543"/>
      <c r="T179" s="543"/>
    </row>
    <row r="180">
      <c r="B180" s="194" t="s">
        <v>1699</v>
      </c>
      <c r="C180" s="243"/>
      <c r="D180" s="182"/>
      <c r="E180" s="243"/>
      <c r="F180" s="243"/>
      <c r="G180" s="243"/>
      <c r="H180" s="182"/>
      <c r="I180" s="182"/>
      <c r="J180" s="182">
        <f>16.54+1.27</f>
        <v>17.81</v>
      </c>
      <c r="K180" s="243"/>
      <c r="Q180" s="184"/>
      <c r="S180" s="543"/>
      <c r="T180" s="543"/>
    </row>
    <row r="181">
      <c r="B181" s="546" t="s">
        <v>1700</v>
      </c>
      <c r="C181" s="28"/>
      <c r="D181" s="28"/>
      <c r="E181" s="28"/>
      <c r="F181" s="28"/>
      <c r="G181" s="28"/>
      <c r="H181" s="28"/>
      <c r="I181" s="28"/>
      <c r="J181" s="28"/>
      <c r="K181" s="29"/>
      <c r="Q181" s="184"/>
      <c r="S181" s="543"/>
      <c r="T181" s="543"/>
    </row>
    <row r="182">
      <c r="B182" s="194" t="s">
        <v>1631</v>
      </c>
      <c r="C182" s="67" t="s">
        <v>695</v>
      </c>
      <c r="D182" s="189" t="s">
        <v>696</v>
      </c>
      <c r="E182" s="67" t="s">
        <v>1632</v>
      </c>
      <c r="F182" s="67" t="s">
        <v>1633</v>
      </c>
      <c r="G182" s="67" t="s">
        <v>1634</v>
      </c>
      <c r="H182" s="189" t="s">
        <v>1635</v>
      </c>
      <c r="I182" s="189" t="s">
        <v>1636</v>
      </c>
      <c r="J182" s="189" t="s">
        <v>1637</v>
      </c>
      <c r="K182" s="67" t="s">
        <v>1638</v>
      </c>
      <c r="Q182" s="184"/>
      <c r="S182" s="543"/>
      <c r="T182" s="543"/>
    </row>
    <row r="183">
      <c r="B183" s="67" t="s">
        <v>723</v>
      </c>
      <c r="C183" s="67">
        <v>1.0</v>
      </c>
      <c r="D183" s="67">
        <f t="shared" ref="D183:D184" si="33">28.67/2</f>
        <v>14.335</v>
      </c>
      <c r="E183" s="67">
        <v>0.2</v>
      </c>
      <c r="F183" s="67">
        <v>0.5</v>
      </c>
      <c r="G183" s="67">
        <v>0.55</v>
      </c>
      <c r="H183" s="182">
        <f t="shared" ref="H183:H191" si="34">D183*(E183+0.4)*G183</f>
        <v>4.73055</v>
      </c>
      <c r="I183" s="182">
        <f t="shared" ref="I183:I191" si="35">C183*D183*E183</f>
        <v>2.867</v>
      </c>
      <c r="J183" s="182">
        <f t="shared" ref="J183:J191" si="36">2*(C183*D183*F183)</f>
        <v>14.335</v>
      </c>
      <c r="K183" s="243">
        <f t="shared" ref="K183:K191" si="37">D183*(E183+F183*2)</f>
        <v>17.202</v>
      </c>
      <c r="Q183" s="184"/>
      <c r="S183" s="543"/>
      <c r="T183" s="543"/>
    </row>
    <row r="184">
      <c r="B184" s="67" t="s">
        <v>724</v>
      </c>
      <c r="C184" s="67">
        <v>1.0</v>
      </c>
      <c r="D184" s="67">
        <f t="shared" si="33"/>
        <v>14.335</v>
      </c>
      <c r="E184" s="67">
        <v>0.2</v>
      </c>
      <c r="F184" s="67">
        <v>0.5</v>
      </c>
      <c r="G184" s="67">
        <v>0.55</v>
      </c>
      <c r="H184" s="182">
        <f t="shared" si="34"/>
        <v>4.73055</v>
      </c>
      <c r="I184" s="182">
        <f t="shared" si="35"/>
        <v>2.867</v>
      </c>
      <c r="J184" s="182">
        <f t="shared" si="36"/>
        <v>14.335</v>
      </c>
      <c r="K184" s="243">
        <f t="shared" si="37"/>
        <v>17.202</v>
      </c>
      <c r="Q184" s="184"/>
      <c r="S184" s="543"/>
      <c r="T184" s="543"/>
    </row>
    <row r="185">
      <c r="B185" s="67" t="s">
        <v>725</v>
      </c>
      <c r="C185" s="67">
        <v>1.0</v>
      </c>
      <c r="D185" s="67">
        <f t="shared" ref="D185:D186" si="38">54/2</f>
        <v>27</v>
      </c>
      <c r="E185" s="67">
        <v>0.2</v>
      </c>
      <c r="F185" s="67">
        <v>0.5</v>
      </c>
      <c r="G185" s="67">
        <v>0.55</v>
      </c>
      <c r="H185" s="182">
        <f t="shared" si="34"/>
        <v>8.91</v>
      </c>
      <c r="I185" s="182">
        <f t="shared" si="35"/>
        <v>5.4</v>
      </c>
      <c r="J185" s="182">
        <f t="shared" si="36"/>
        <v>27</v>
      </c>
      <c r="K185" s="243">
        <f t="shared" si="37"/>
        <v>32.4</v>
      </c>
      <c r="Q185" s="184"/>
      <c r="S185" s="543"/>
      <c r="T185" s="543"/>
    </row>
    <row r="186">
      <c r="B186" s="67" t="s">
        <v>726</v>
      </c>
      <c r="C186" s="67">
        <v>1.0</v>
      </c>
      <c r="D186" s="67">
        <f t="shared" si="38"/>
        <v>27</v>
      </c>
      <c r="E186" s="67">
        <v>0.2</v>
      </c>
      <c r="F186" s="67">
        <v>0.5</v>
      </c>
      <c r="G186" s="67">
        <v>0.55</v>
      </c>
      <c r="H186" s="182">
        <f t="shared" si="34"/>
        <v>8.91</v>
      </c>
      <c r="I186" s="182">
        <f t="shared" si="35"/>
        <v>5.4</v>
      </c>
      <c r="J186" s="182">
        <f t="shared" si="36"/>
        <v>27</v>
      </c>
      <c r="K186" s="243">
        <f t="shared" si="37"/>
        <v>32.4</v>
      </c>
      <c r="Q186" s="184"/>
      <c r="S186" s="543"/>
      <c r="T186" s="543"/>
    </row>
    <row r="187">
      <c r="B187" s="67" t="s">
        <v>727</v>
      </c>
      <c r="C187" s="67">
        <v>1.0</v>
      </c>
      <c r="D187" s="189">
        <f>35/2</f>
        <v>17.5</v>
      </c>
      <c r="E187" s="67">
        <v>0.2</v>
      </c>
      <c r="F187" s="67">
        <v>0.5</v>
      </c>
      <c r="G187" s="67">
        <v>0.55</v>
      </c>
      <c r="H187" s="182">
        <f t="shared" si="34"/>
        <v>5.775</v>
      </c>
      <c r="I187" s="182">
        <f t="shared" si="35"/>
        <v>3.5</v>
      </c>
      <c r="J187" s="182">
        <f t="shared" si="36"/>
        <v>17.5</v>
      </c>
      <c r="K187" s="243">
        <f t="shared" si="37"/>
        <v>21</v>
      </c>
      <c r="Q187" s="184"/>
      <c r="S187" s="543"/>
      <c r="T187" s="543"/>
    </row>
    <row r="188">
      <c r="B188" s="67" t="s">
        <v>728</v>
      </c>
      <c r="C188" s="67">
        <v>1.0</v>
      </c>
      <c r="D188" s="182">
        <f t="shared" ref="D188:D189" si="39">25.4/2</f>
        <v>12.7</v>
      </c>
      <c r="E188" s="67">
        <v>0.2</v>
      </c>
      <c r="F188" s="67">
        <v>0.5</v>
      </c>
      <c r="G188" s="67">
        <v>0.55</v>
      </c>
      <c r="H188" s="182">
        <f t="shared" si="34"/>
        <v>4.191</v>
      </c>
      <c r="I188" s="182">
        <f t="shared" si="35"/>
        <v>2.54</v>
      </c>
      <c r="J188" s="182">
        <f t="shared" si="36"/>
        <v>12.7</v>
      </c>
      <c r="K188" s="243">
        <f t="shared" si="37"/>
        <v>15.24</v>
      </c>
      <c r="Q188" s="184"/>
      <c r="S188" s="543"/>
      <c r="T188" s="543"/>
    </row>
    <row r="189">
      <c r="B189" s="67" t="s">
        <v>729</v>
      </c>
      <c r="C189" s="67">
        <v>1.0</v>
      </c>
      <c r="D189" s="182">
        <f t="shared" si="39"/>
        <v>12.7</v>
      </c>
      <c r="E189" s="67">
        <v>0.2</v>
      </c>
      <c r="F189" s="67">
        <v>0.5</v>
      </c>
      <c r="G189" s="67">
        <v>0.55</v>
      </c>
      <c r="H189" s="182">
        <f t="shared" si="34"/>
        <v>4.191</v>
      </c>
      <c r="I189" s="182">
        <f t="shared" si="35"/>
        <v>2.54</v>
      </c>
      <c r="J189" s="182">
        <f t="shared" si="36"/>
        <v>12.7</v>
      </c>
      <c r="K189" s="243">
        <f t="shared" si="37"/>
        <v>15.24</v>
      </c>
      <c r="Q189" s="184"/>
      <c r="S189" s="543"/>
      <c r="T189" s="543"/>
    </row>
    <row r="190">
      <c r="B190" s="67" t="s">
        <v>730</v>
      </c>
      <c r="C190" s="67">
        <v>1.0</v>
      </c>
      <c r="D190" s="189">
        <f>59.4/2</f>
        <v>29.7</v>
      </c>
      <c r="E190" s="67">
        <v>0.2</v>
      </c>
      <c r="F190" s="67">
        <v>0.5</v>
      </c>
      <c r="G190" s="67">
        <v>0.55</v>
      </c>
      <c r="H190" s="182">
        <f t="shared" si="34"/>
        <v>9.801</v>
      </c>
      <c r="I190" s="182">
        <f t="shared" si="35"/>
        <v>5.94</v>
      </c>
      <c r="J190" s="182">
        <f t="shared" si="36"/>
        <v>29.7</v>
      </c>
      <c r="K190" s="243">
        <f t="shared" si="37"/>
        <v>35.64</v>
      </c>
      <c r="Q190" s="184"/>
      <c r="S190" s="543"/>
      <c r="T190" s="543"/>
    </row>
    <row r="191">
      <c r="B191" s="67" t="s">
        <v>731</v>
      </c>
      <c r="C191" s="67">
        <v>1.0</v>
      </c>
      <c r="D191" s="182">
        <f>19.65/2</f>
        <v>9.825</v>
      </c>
      <c r="E191" s="67">
        <v>0.2</v>
      </c>
      <c r="F191" s="67">
        <v>0.5</v>
      </c>
      <c r="G191" s="67">
        <v>0.55</v>
      </c>
      <c r="H191" s="182">
        <f t="shared" si="34"/>
        <v>3.24225</v>
      </c>
      <c r="I191" s="182">
        <f t="shared" si="35"/>
        <v>1.965</v>
      </c>
      <c r="J191" s="182">
        <f t="shared" si="36"/>
        <v>9.825</v>
      </c>
      <c r="K191" s="243">
        <f t="shared" si="37"/>
        <v>11.79</v>
      </c>
      <c r="Q191" s="184"/>
      <c r="S191" s="543"/>
      <c r="T191" s="543"/>
    </row>
    <row r="192">
      <c r="B192" s="67"/>
      <c r="C192" s="67"/>
      <c r="D192" s="67"/>
      <c r="E192" s="67"/>
      <c r="F192" s="67"/>
      <c r="G192" s="67"/>
      <c r="H192" s="182"/>
      <c r="I192" s="182"/>
      <c r="J192" s="182"/>
      <c r="K192" s="243"/>
      <c r="Q192" s="184"/>
      <c r="S192" s="543"/>
      <c r="T192" s="543"/>
    </row>
    <row r="193">
      <c r="B193" s="67" t="s">
        <v>666</v>
      </c>
      <c r="C193" s="67">
        <v>8.0</v>
      </c>
      <c r="D193" s="189">
        <v>0.2</v>
      </c>
      <c r="E193" s="67">
        <v>0.2</v>
      </c>
      <c r="F193" s="67">
        <v>3.2</v>
      </c>
      <c r="G193" s="243"/>
      <c r="H193" s="182"/>
      <c r="I193" s="182"/>
      <c r="J193" s="182"/>
      <c r="K193" s="243">
        <f t="shared" ref="K193:K194" si="40">C193*((D193+E193)*2)*F193</f>
        <v>20.48</v>
      </c>
      <c r="Q193" s="184"/>
      <c r="S193" s="543"/>
      <c r="T193" s="543"/>
    </row>
    <row r="194">
      <c r="B194" s="67" t="s">
        <v>1743</v>
      </c>
      <c r="C194" s="67">
        <f>44-C193</f>
        <v>36</v>
      </c>
      <c r="D194" s="189">
        <v>0.3</v>
      </c>
      <c r="E194" s="67">
        <v>0.3</v>
      </c>
      <c r="F194" s="67">
        <v>3.2</v>
      </c>
      <c r="G194" s="243"/>
      <c r="H194" s="182"/>
      <c r="I194" s="182"/>
      <c r="J194" s="182"/>
      <c r="K194" s="243">
        <f t="shared" si="40"/>
        <v>138.24</v>
      </c>
      <c r="M194" s="2"/>
      <c r="N194" s="2"/>
      <c r="O194" s="2"/>
      <c r="P194" s="2"/>
      <c r="Q194" s="184"/>
      <c r="S194" s="543"/>
      <c r="T194" s="543"/>
    </row>
    <row r="195">
      <c r="B195" s="67"/>
      <c r="C195" s="243"/>
      <c r="D195" s="182"/>
      <c r="E195" s="243"/>
      <c r="F195" s="67"/>
      <c r="G195" s="243"/>
      <c r="H195" s="182"/>
      <c r="I195" s="182"/>
      <c r="J195" s="182"/>
      <c r="K195" s="243"/>
      <c r="Q195" s="184"/>
      <c r="S195" s="543"/>
      <c r="T195" s="543"/>
    </row>
    <row r="196">
      <c r="B196" s="67" t="s">
        <v>1275</v>
      </c>
      <c r="C196" s="243"/>
      <c r="D196" s="182"/>
      <c r="E196" s="243"/>
      <c r="F196" s="243"/>
      <c r="G196" s="243"/>
      <c r="H196" s="182"/>
      <c r="I196" s="182"/>
      <c r="J196" s="182">
        <f>SUM(K193:K194)</f>
        <v>158.72</v>
      </c>
      <c r="K196" s="243"/>
      <c r="Q196" s="184"/>
      <c r="S196" s="543"/>
      <c r="T196" s="543"/>
    </row>
    <row r="197">
      <c r="B197" s="67" t="s">
        <v>1018</v>
      </c>
      <c r="C197" s="243"/>
      <c r="D197" s="182"/>
      <c r="E197" s="243"/>
      <c r="F197" s="243"/>
      <c r="G197" s="243"/>
      <c r="H197" s="182"/>
      <c r="I197" s="182"/>
      <c r="J197" s="182">
        <f>SUM(K183:K191)</f>
        <v>198.114</v>
      </c>
      <c r="K197" s="243"/>
      <c r="Q197" s="184"/>
      <c r="S197" s="543"/>
      <c r="T197" s="543"/>
    </row>
    <row r="198">
      <c r="B198" s="194" t="s">
        <v>1698</v>
      </c>
      <c r="C198" s="243"/>
      <c r="D198" s="182"/>
      <c r="E198" s="243"/>
      <c r="F198" s="243"/>
      <c r="G198" s="67"/>
      <c r="H198" s="189"/>
      <c r="I198" s="189"/>
      <c r="J198" s="189">
        <f>SUM(I183:I191)</f>
        <v>33.019</v>
      </c>
      <c r="K198" s="243"/>
      <c r="M198" s="2"/>
      <c r="Q198" s="184"/>
      <c r="S198" s="543"/>
      <c r="T198" s="543"/>
    </row>
    <row r="199">
      <c r="B199" s="194" t="s">
        <v>674</v>
      </c>
      <c r="C199" s="243"/>
      <c r="D199" s="182"/>
      <c r="E199" s="243"/>
      <c r="F199" s="243"/>
      <c r="G199" s="67"/>
      <c r="H199" s="189"/>
      <c r="I199" s="189"/>
      <c r="J199" s="189">
        <f>SUM(H183:H191)</f>
        <v>54.48135</v>
      </c>
      <c r="K199" s="243"/>
      <c r="M199" s="2"/>
      <c r="Q199" s="184"/>
      <c r="S199" s="543"/>
      <c r="T199" s="543"/>
    </row>
    <row r="200">
      <c r="B200" s="194" t="s">
        <v>385</v>
      </c>
      <c r="C200" s="243"/>
      <c r="D200" s="182"/>
      <c r="E200" s="243"/>
      <c r="F200" s="243"/>
      <c r="G200" s="243"/>
      <c r="H200" s="182">
        <f>J198</f>
        <v>33.019</v>
      </c>
      <c r="I200" s="189">
        <v>0.05</v>
      </c>
      <c r="J200" s="182">
        <f>H200*I200</f>
        <v>1.65095</v>
      </c>
      <c r="K200" s="243"/>
      <c r="M200" s="2"/>
      <c r="Q200" s="184"/>
      <c r="S200" s="543"/>
      <c r="T200" s="543"/>
    </row>
    <row r="201">
      <c r="B201" s="67" t="s">
        <v>747</v>
      </c>
      <c r="C201" s="243"/>
      <c r="D201" s="182"/>
      <c r="E201" s="243"/>
      <c r="F201" s="243"/>
      <c r="G201" s="243"/>
      <c r="H201" s="182"/>
      <c r="I201" s="182"/>
      <c r="J201" s="182">
        <f>150.73+47.43</f>
        <v>198.16</v>
      </c>
      <c r="K201" s="243"/>
      <c r="M201" s="2"/>
      <c r="Q201" s="184"/>
      <c r="S201" s="543"/>
      <c r="T201" s="543"/>
    </row>
    <row r="202">
      <c r="B202" s="67" t="s">
        <v>748</v>
      </c>
      <c r="C202" s="243"/>
      <c r="D202" s="182"/>
      <c r="E202" s="243"/>
      <c r="F202" s="243"/>
      <c r="G202" s="67"/>
      <c r="H202" s="189"/>
      <c r="I202" s="189"/>
      <c r="J202" s="189">
        <f>11.55+3.62</f>
        <v>15.17</v>
      </c>
      <c r="K202" s="243"/>
      <c r="Q202" s="184"/>
      <c r="S202" s="543"/>
      <c r="T202" s="543"/>
    </row>
    <row r="203">
      <c r="B203" s="194"/>
      <c r="C203" s="67" t="s">
        <v>683</v>
      </c>
      <c r="D203" s="189" t="s">
        <v>108</v>
      </c>
      <c r="E203" s="67" t="s">
        <v>684</v>
      </c>
      <c r="F203" s="243"/>
      <c r="G203" s="243"/>
      <c r="H203" s="182"/>
      <c r="I203" s="182"/>
      <c r="J203" s="182"/>
      <c r="K203" s="243"/>
      <c r="Q203" s="184"/>
      <c r="S203" s="543"/>
      <c r="T203" s="543"/>
    </row>
    <row r="204">
      <c r="B204" s="194" t="s">
        <v>685</v>
      </c>
      <c r="C204" s="67" t="s">
        <v>686</v>
      </c>
      <c r="D204" s="189">
        <f>756.9+240</f>
        <v>996.9</v>
      </c>
      <c r="E204" s="67">
        <v>0.154</v>
      </c>
      <c r="F204" s="243"/>
      <c r="G204" s="243"/>
      <c r="H204" s="182"/>
      <c r="I204" s="182"/>
      <c r="J204" s="182">
        <f t="shared" ref="J204:J208" si="41">D204*E204</f>
        <v>153.5226</v>
      </c>
      <c r="K204" s="243"/>
      <c r="Q204" s="184"/>
      <c r="S204" s="543"/>
      <c r="T204" s="543"/>
    </row>
    <row r="205">
      <c r="B205" s="194"/>
      <c r="C205" s="208">
        <v>45357.0</v>
      </c>
      <c r="D205" s="189"/>
      <c r="E205" s="67">
        <v>0.245</v>
      </c>
      <c r="F205" s="243"/>
      <c r="G205" s="243"/>
      <c r="H205" s="182"/>
      <c r="I205" s="182"/>
      <c r="J205" s="182">
        <f t="shared" si="41"/>
        <v>0</v>
      </c>
      <c r="K205" s="243"/>
      <c r="Q205" s="184"/>
      <c r="S205" s="543"/>
      <c r="T205" s="543"/>
    </row>
    <row r="206">
      <c r="B206" s="194"/>
      <c r="C206" s="209">
        <v>8.0</v>
      </c>
      <c r="D206" s="189"/>
      <c r="E206" s="67">
        <v>0.395</v>
      </c>
      <c r="F206" s="243"/>
      <c r="G206" s="243"/>
      <c r="H206" s="182"/>
      <c r="I206" s="182"/>
      <c r="J206" s="182">
        <f t="shared" si="41"/>
        <v>0</v>
      </c>
      <c r="K206" s="243"/>
      <c r="Q206" s="184"/>
      <c r="S206" s="543"/>
      <c r="T206" s="543"/>
    </row>
    <row r="207">
      <c r="B207" s="194"/>
      <c r="C207" s="209">
        <v>10.0</v>
      </c>
      <c r="D207" s="189">
        <f>524.1+162.7</f>
        <v>686.8</v>
      </c>
      <c r="E207" s="67">
        <v>0.617</v>
      </c>
      <c r="F207" s="243"/>
      <c r="G207" s="243"/>
      <c r="H207" s="182"/>
      <c r="I207" s="182"/>
      <c r="J207" s="182">
        <f t="shared" si="41"/>
        <v>423.7556</v>
      </c>
      <c r="K207" s="243"/>
      <c r="Q207" s="184"/>
      <c r="S207" s="543"/>
      <c r="T207" s="543"/>
    </row>
    <row r="208">
      <c r="B208" s="194"/>
      <c r="C208" s="208">
        <v>45424.0</v>
      </c>
      <c r="D208" s="189"/>
      <c r="E208" s="67">
        <v>0.963</v>
      </c>
      <c r="F208" s="243"/>
      <c r="G208" s="243"/>
      <c r="H208" s="182"/>
      <c r="I208" s="182"/>
      <c r="J208" s="182">
        <f t="shared" si="41"/>
        <v>0</v>
      </c>
      <c r="K208" s="243"/>
      <c r="Q208" s="184"/>
      <c r="S208" s="543"/>
      <c r="T208" s="543"/>
    </row>
    <row r="209">
      <c r="B209" s="67"/>
      <c r="C209" s="67" t="s">
        <v>751</v>
      </c>
      <c r="D209" s="189" t="s">
        <v>752</v>
      </c>
      <c r="E209" s="67" t="s">
        <v>212</v>
      </c>
      <c r="F209" s="243"/>
      <c r="G209" s="243"/>
      <c r="H209" s="182"/>
      <c r="I209" s="182"/>
      <c r="J209" s="182"/>
      <c r="K209" s="243"/>
      <c r="Q209" s="184"/>
      <c r="S209" s="543"/>
      <c r="T209" s="543"/>
    </row>
    <row r="210">
      <c r="B210" s="67" t="s">
        <v>339</v>
      </c>
      <c r="C210" s="182">
        <f>J165+J199</f>
        <v>181.02885</v>
      </c>
      <c r="D210" s="182">
        <f>J180+J202+J166+J200</f>
        <v>36.7652</v>
      </c>
      <c r="E210" s="182">
        <f>C210-D210</f>
        <v>144.26365</v>
      </c>
      <c r="F210" s="243"/>
      <c r="G210" s="243"/>
      <c r="H210" s="182"/>
      <c r="I210" s="182"/>
      <c r="J210" s="182"/>
      <c r="K210" s="243"/>
      <c r="M210" s="2"/>
      <c r="Q210" s="184"/>
      <c r="S210" s="543"/>
      <c r="T210" s="543"/>
    </row>
    <row r="211">
      <c r="D211" s="184"/>
      <c r="H211" s="184"/>
      <c r="I211" s="184"/>
      <c r="J211" s="184"/>
      <c r="Q211" s="184"/>
      <c r="S211" s="543"/>
      <c r="T211" s="543"/>
    </row>
    <row r="212">
      <c r="D212" s="184"/>
      <c r="H212" s="184"/>
      <c r="I212" s="184"/>
      <c r="J212" s="184"/>
      <c r="Q212" s="184"/>
      <c r="S212" s="543"/>
      <c r="T212" s="543"/>
    </row>
    <row r="213">
      <c r="B213" s="544" t="s">
        <v>1735</v>
      </c>
      <c r="C213" s="29"/>
      <c r="D213" s="184"/>
      <c r="H213" s="184"/>
      <c r="I213" s="184"/>
      <c r="J213" s="184"/>
      <c r="Q213" s="184"/>
      <c r="S213" s="543"/>
      <c r="T213" s="543"/>
    </row>
    <row r="214">
      <c r="B214" s="67" t="s">
        <v>763</v>
      </c>
      <c r="C214" s="182">
        <f>J202+J180</f>
        <v>32.98</v>
      </c>
      <c r="D214" s="184"/>
      <c r="H214" s="184"/>
      <c r="I214" s="184"/>
      <c r="J214" s="184"/>
      <c r="Q214" s="184"/>
      <c r="S214" s="543"/>
      <c r="T214" s="543"/>
    </row>
    <row r="215">
      <c r="B215" s="67" t="s">
        <v>1736</v>
      </c>
      <c r="C215" s="182">
        <f>J196+J197</f>
        <v>356.834</v>
      </c>
      <c r="D215" s="184"/>
      <c r="H215" s="184"/>
      <c r="I215" s="184"/>
      <c r="J215" s="184"/>
      <c r="Q215" s="184"/>
      <c r="S215" s="543"/>
      <c r="T215" s="543"/>
    </row>
    <row r="216">
      <c r="B216" s="67" t="s">
        <v>385</v>
      </c>
      <c r="C216" s="182">
        <f>J166+J200</f>
        <v>3.7852</v>
      </c>
      <c r="D216" s="184"/>
      <c r="H216" s="184"/>
      <c r="I216" s="184"/>
      <c r="J216" s="184"/>
      <c r="Q216" s="184"/>
      <c r="S216" s="543"/>
      <c r="T216" s="543"/>
    </row>
    <row r="217">
      <c r="B217" s="194" t="s">
        <v>1698</v>
      </c>
      <c r="C217" s="182">
        <f>J198+J164</f>
        <v>75.704</v>
      </c>
      <c r="D217" s="184"/>
      <c r="H217" s="184"/>
      <c r="I217" s="184"/>
      <c r="J217" s="184"/>
      <c r="Q217" s="184"/>
      <c r="S217" s="543"/>
      <c r="T217" s="543"/>
    </row>
    <row r="218">
      <c r="D218" s="184"/>
      <c r="H218" s="184"/>
      <c r="I218" s="184"/>
      <c r="J218" s="184"/>
      <c r="Q218" s="184"/>
      <c r="S218" s="543"/>
      <c r="T218" s="543"/>
    </row>
    <row r="219">
      <c r="D219" s="184"/>
      <c r="H219" s="184"/>
      <c r="I219" s="184"/>
      <c r="J219" s="184"/>
      <c r="Q219" s="184"/>
      <c r="S219" s="543"/>
      <c r="T219" s="543"/>
    </row>
    <row r="220">
      <c r="D220" s="184"/>
      <c r="H220" s="184"/>
      <c r="I220" s="184"/>
      <c r="J220" s="184"/>
      <c r="Q220" s="184"/>
      <c r="S220" s="543"/>
      <c r="T220" s="543"/>
    </row>
    <row r="221">
      <c r="D221" s="184"/>
      <c r="H221" s="184"/>
      <c r="I221" s="184"/>
      <c r="J221" s="184"/>
      <c r="Q221" s="184"/>
      <c r="S221" s="543"/>
      <c r="T221" s="543"/>
    </row>
    <row r="222">
      <c r="D222" s="184"/>
      <c r="H222" s="184"/>
      <c r="I222" s="184"/>
      <c r="J222" s="184"/>
      <c r="Q222" s="184"/>
      <c r="S222" s="543"/>
      <c r="T222" s="543"/>
    </row>
    <row r="223">
      <c r="D223" s="184"/>
      <c r="H223" s="184"/>
      <c r="I223" s="184"/>
      <c r="J223" s="184"/>
      <c r="Q223" s="184"/>
      <c r="S223" s="543"/>
      <c r="T223" s="543"/>
    </row>
    <row r="224">
      <c r="D224" s="184"/>
      <c r="H224" s="184"/>
      <c r="I224" s="565"/>
      <c r="J224" s="184"/>
      <c r="Q224" s="184"/>
      <c r="S224" s="543"/>
      <c r="T224" s="543"/>
    </row>
    <row r="225">
      <c r="D225" s="184"/>
      <c r="H225" s="184"/>
      <c r="I225" s="565"/>
      <c r="J225" s="184"/>
      <c r="Q225" s="184"/>
      <c r="S225" s="543"/>
      <c r="T225" s="543"/>
    </row>
    <row r="226">
      <c r="D226" s="184"/>
      <c r="H226" s="184"/>
      <c r="I226" s="565"/>
      <c r="J226" s="184"/>
      <c r="Q226" s="184"/>
      <c r="S226" s="543"/>
      <c r="T226" s="543"/>
    </row>
    <row r="227">
      <c r="D227" s="184"/>
      <c r="H227" s="184"/>
      <c r="I227" s="565"/>
      <c r="J227" s="184"/>
      <c r="Q227" s="184"/>
      <c r="S227" s="543"/>
      <c r="T227" s="543"/>
    </row>
    <row r="228">
      <c r="D228" s="184"/>
      <c r="H228" s="184"/>
      <c r="I228" s="565"/>
      <c r="J228" s="184"/>
      <c r="Q228" s="184"/>
      <c r="S228" s="543"/>
      <c r="T228" s="543"/>
    </row>
    <row r="229">
      <c r="D229" s="184"/>
      <c r="H229" s="184"/>
      <c r="I229" s="565"/>
      <c r="J229" s="184"/>
      <c r="Q229" s="184"/>
      <c r="S229" s="543"/>
      <c r="T229" s="543"/>
    </row>
    <row r="230">
      <c r="D230" s="184"/>
      <c r="H230" s="184"/>
      <c r="I230" s="184"/>
      <c r="J230" s="184"/>
      <c r="Q230" s="184"/>
      <c r="S230" s="543"/>
      <c r="T230" s="543"/>
    </row>
    <row r="231">
      <c r="D231" s="184"/>
      <c r="H231" s="184"/>
      <c r="I231" s="565"/>
      <c r="J231" s="184"/>
      <c r="Q231" s="184"/>
      <c r="S231" s="543"/>
      <c r="T231" s="543"/>
    </row>
    <row r="232">
      <c r="D232" s="184"/>
      <c r="H232" s="184"/>
      <c r="I232" s="565"/>
      <c r="J232" s="184"/>
      <c r="Q232" s="184"/>
      <c r="S232" s="543"/>
      <c r="T232" s="543"/>
    </row>
    <row r="233">
      <c r="D233" s="184"/>
      <c r="H233" s="184"/>
      <c r="I233" s="565"/>
      <c r="J233" s="184"/>
      <c r="Q233" s="184"/>
      <c r="S233" s="543"/>
      <c r="T233" s="543"/>
    </row>
    <row r="234">
      <c r="D234" s="184"/>
      <c r="H234" s="184"/>
      <c r="I234" s="565"/>
      <c r="J234" s="184"/>
      <c r="Q234" s="184"/>
      <c r="S234" s="543"/>
      <c r="T234" s="543"/>
    </row>
    <row r="235">
      <c r="D235" s="184"/>
      <c r="H235" s="184"/>
      <c r="I235" s="565"/>
      <c r="J235" s="184"/>
      <c r="Q235" s="184"/>
      <c r="S235" s="543"/>
      <c r="T235" s="543"/>
    </row>
    <row r="236">
      <c r="D236" s="184"/>
      <c r="H236" s="184"/>
      <c r="I236" s="565"/>
      <c r="J236" s="184"/>
      <c r="Q236" s="184"/>
      <c r="S236" s="543"/>
      <c r="T236" s="543"/>
    </row>
    <row r="237">
      <c r="D237" s="184"/>
      <c r="H237" s="184"/>
      <c r="I237" s="565"/>
      <c r="J237" s="184"/>
      <c r="Q237" s="184"/>
      <c r="S237" s="543"/>
      <c r="T237" s="543"/>
    </row>
    <row r="238">
      <c r="D238" s="184"/>
      <c r="H238" s="184"/>
      <c r="J238" s="184"/>
      <c r="Q238" s="184"/>
      <c r="S238" s="543"/>
      <c r="T238" s="543"/>
    </row>
    <row r="239">
      <c r="D239" s="184"/>
      <c r="H239" s="184"/>
      <c r="J239" s="184"/>
      <c r="Q239" s="184"/>
      <c r="S239" s="543"/>
      <c r="T239" s="543"/>
    </row>
    <row r="240">
      <c r="D240" s="184"/>
      <c r="H240" s="184"/>
      <c r="J240" s="184"/>
      <c r="Q240" s="184"/>
      <c r="S240" s="543"/>
      <c r="T240" s="543"/>
    </row>
    <row r="241">
      <c r="D241" s="184"/>
      <c r="H241" s="184"/>
      <c r="I241" s="184"/>
      <c r="J241" s="184"/>
      <c r="Q241" s="184"/>
      <c r="S241" s="543"/>
      <c r="T241" s="543"/>
    </row>
    <row r="242">
      <c r="D242" s="184"/>
      <c r="H242" s="184"/>
      <c r="I242" s="184"/>
      <c r="J242" s="184"/>
      <c r="Q242" s="184"/>
      <c r="S242" s="543"/>
      <c r="T242" s="543"/>
    </row>
    <row r="243">
      <c r="D243" s="184"/>
      <c r="H243" s="184"/>
      <c r="I243" s="184"/>
      <c r="J243" s="184"/>
      <c r="Q243" s="184"/>
      <c r="S243" s="543"/>
      <c r="T243" s="543"/>
    </row>
    <row r="244">
      <c r="D244" s="184"/>
      <c r="H244" s="184"/>
      <c r="I244" s="184"/>
      <c r="J244" s="184"/>
      <c r="Q244" s="184"/>
      <c r="S244" s="543"/>
      <c r="T244" s="543"/>
    </row>
    <row r="245">
      <c r="D245" s="184"/>
      <c r="H245" s="184"/>
      <c r="I245" s="184"/>
      <c r="J245" s="184"/>
      <c r="Q245" s="184"/>
      <c r="S245" s="543"/>
      <c r="T245" s="543"/>
    </row>
    <row r="246">
      <c r="D246" s="184"/>
      <c r="H246" s="184"/>
      <c r="I246" s="184"/>
      <c r="J246" s="184"/>
      <c r="Q246" s="184"/>
      <c r="S246" s="543"/>
      <c r="T246" s="543"/>
    </row>
    <row r="247">
      <c r="D247" s="184"/>
      <c r="H247" s="184"/>
      <c r="I247" s="184"/>
      <c r="J247" s="184"/>
      <c r="Q247" s="184"/>
      <c r="S247" s="543"/>
      <c r="T247" s="543"/>
    </row>
    <row r="248">
      <c r="D248" s="184"/>
      <c r="H248" s="184"/>
      <c r="I248" s="184"/>
      <c r="J248" s="184"/>
      <c r="Q248" s="184"/>
      <c r="S248" s="543"/>
      <c r="T248" s="543"/>
    </row>
    <row r="249">
      <c r="D249" s="184"/>
      <c r="H249" s="184"/>
      <c r="I249" s="184"/>
      <c r="J249" s="184"/>
      <c r="Q249" s="184"/>
      <c r="S249" s="543"/>
      <c r="T249" s="543"/>
    </row>
    <row r="250">
      <c r="D250" s="184"/>
      <c r="H250" s="184"/>
      <c r="I250" s="184"/>
      <c r="J250" s="184"/>
      <c r="Q250" s="184"/>
      <c r="S250" s="543"/>
      <c r="T250" s="543"/>
    </row>
    <row r="251">
      <c r="D251" s="184"/>
      <c r="H251" s="184"/>
      <c r="I251" s="184"/>
      <c r="J251" s="184"/>
      <c r="Q251" s="184"/>
      <c r="S251" s="543"/>
      <c r="T251" s="543"/>
    </row>
    <row r="252">
      <c r="D252" s="184"/>
      <c r="H252" s="184"/>
      <c r="I252" s="184"/>
      <c r="J252" s="184"/>
      <c r="Q252" s="184"/>
      <c r="S252" s="543"/>
      <c r="T252" s="543"/>
    </row>
    <row r="253">
      <c r="D253" s="184"/>
      <c r="H253" s="184"/>
      <c r="I253" s="184"/>
      <c r="J253" s="184"/>
      <c r="Q253" s="184"/>
      <c r="S253" s="543"/>
      <c r="T253" s="543"/>
    </row>
    <row r="254">
      <c r="D254" s="184"/>
      <c r="H254" s="184"/>
      <c r="I254" s="184"/>
      <c r="J254" s="184"/>
      <c r="Q254" s="184"/>
      <c r="S254" s="543"/>
      <c r="T254" s="543"/>
    </row>
    <row r="255">
      <c r="D255" s="184"/>
      <c r="H255" s="184"/>
      <c r="I255" s="184"/>
      <c r="J255" s="184"/>
      <c r="Q255" s="184"/>
      <c r="S255" s="543"/>
      <c r="T255" s="543"/>
    </row>
    <row r="256">
      <c r="D256" s="184"/>
      <c r="H256" s="184"/>
      <c r="I256" s="184"/>
      <c r="J256" s="184"/>
      <c r="Q256" s="184"/>
      <c r="S256" s="543"/>
      <c r="T256" s="543"/>
    </row>
    <row r="257">
      <c r="D257" s="184"/>
      <c r="H257" s="184"/>
      <c r="I257" s="184"/>
      <c r="J257" s="184"/>
      <c r="Q257" s="184"/>
      <c r="S257" s="543"/>
      <c r="T257" s="543"/>
    </row>
    <row r="258">
      <c r="D258" s="184"/>
      <c r="H258" s="184"/>
      <c r="I258" s="184"/>
      <c r="J258" s="184"/>
      <c r="Q258" s="184"/>
      <c r="S258" s="543"/>
      <c r="T258" s="543"/>
    </row>
    <row r="259">
      <c r="D259" s="184"/>
      <c r="H259" s="184"/>
      <c r="I259" s="184"/>
      <c r="J259" s="184"/>
      <c r="Q259" s="184"/>
      <c r="S259" s="543"/>
      <c r="T259" s="543"/>
    </row>
    <row r="260">
      <c r="D260" s="184"/>
      <c r="H260" s="184"/>
      <c r="I260" s="184"/>
      <c r="J260" s="184"/>
      <c r="Q260" s="184"/>
      <c r="S260" s="543"/>
      <c r="T260" s="543"/>
    </row>
    <row r="261">
      <c r="D261" s="184"/>
      <c r="H261" s="184"/>
      <c r="I261" s="184"/>
      <c r="J261" s="184"/>
      <c r="Q261" s="184"/>
      <c r="S261" s="543"/>
      <c r="T261" s="543"/>
    </row>
    <row r="262">
      <c r="D262" s="184"/>
      <c r="H262" s="184"/>
      <c r="I262" s="184"/>
      <c r="J262" s="184"/>
      <c r="Q262" s="184"/>
      <c r="S262" s="543"/>
      <c r="T262" s="543"/>
    </row>
    <row r="263">
      <c r="D263" s="184"/>
      <c r="H263" s="184"/>
      <c r="I263" s="184"/>
      <c r="J263" s="184"/>
      <c r="Q263" s="184"/>
      <c r="S263" s="543"/>
      <c r="T263" s="543"/>
    </row>
    <row r="264">
      <c r="D264" s="184"/>
      <c r="H264" s="184"/>
      <c r="I264" s="184"/>
      <c r="J264" s="184"/>
      <c r="Q264" s="184"/>
      <c r="S264" s="543"/>
      <c r="T264" s="543"/>
    </row>
    <row r="265">
      <c r="D265" s="184"/>
      <c r="H265" s="184"/>
      <c r="I265" s="184"/>
      <c r="J265" s="184"/>
      <c r="Q265" s="184"/>
      <c r="S265" s="543"/>
      <c r="T265" s="543"/>
    </row>
    <row r="266">
      <c r="D266" s="184"/>
      <c r="H266" s="184"/>
      <c r="I266" s="184"/>
      <c r="J266" s="184"/>
      <c r="Q266" s="184"/>
      <c r="S266" s="543"/>
      <c r="T266" s="543"/>
    </row>
    <row r="267">
      <c r="D267" s="184"/>
      <c r="H267" s="184"/>
      <c r="I267" s="184"/>
      <c r="J267" s="184"/>
      <c r="Q267" s="184"/>
      <c r="S267" s="543"/>
      <c r="T267" s="543"/>
    </row>
    <row r="268">
      <c r="D268" s="184"/>
      <c r="H268" s="184"/>
      <c r="I268" s="184"/>
      <c r="J268" s="184"/>
      <c r="Q268" s="184"/>
      <c r="S268" s="543"/>
      <c r="T268" s="543"/>
    </row>
    <row r="269">
      <c r="D269" s="184"/>
      <c r="H269" s="184"/>
      <c r="I269" s="184"/>
      <c r="J269" s="184"/>
      <c r="Q269" s="184"/>
      <c r="S269" s="543"/>
      <c r="T269" s="543"/>
    </row>
    <row r="270">
      <c r="D270" s="184"/>
      <c r="H270" s="184"/>
      <c r="I270" s="184"/>
      <c r="J270" s="184"/>
      <c r="Q270" s="184"/>
      <c r="S270" s="543"/>
      <c r="T270" s="543"/>
    </row>
    <row r="271">
      <c r="D271" s="184"/>
      <c r="H271" s="184"/>
      <c r="I271" s="184"/>
      <c r="J271" s="184"/>
      <c r="Q271" s="184"/>
      <c r="S271" s="543"/>
      <c r="T271" s="543"/>
    </row>
    <row r="272">
      <c r="D272" s="184"/>
      <c r="H272" s="184"/>
      <c r="I272" s="184"/>
      <c r="J272" s="184"/>
      <c r="Q272" s="184"/>
      <c r="S272" s="543"/>
      <c r="T272" s="543"/>
    </row>
    <row r="273">
      <c r="D273" s="184"/>
      <c r="H273" s="184"/>
      <c r="I273" s="184"/>
      <c r="J273" s="184"/>
      <c r="Q273" s="184"/>
      <c r="S273" s="543"/>
      <c r="T273" s="543"/>
    </row>
    <row r="274">
      <c r="D274" s="184"/>
      <c r="H274" s="184"/>
      <c r="I274" s="184"/>
      <c r="J274" s="184"/>
      <c r="Q274" s="184"/>
      <c r="S274" s="543"/>
      <c r="T274" s="543"/>
    </row>
    <row r="275">
      <c r="D275" s="184"/>
      <c r="H275" s="184"/>
      <c r="I275" s="184"/>
      <c r="J275" s="184"/>
      <c r="Q275" s="184"/>
      <c r="S275" s="543"/>
      <c r="T275" s="543"/>
    </row>
    <row r="276">
      <c r="D276" s="184"/>
      <c r="H276" s="184"/>
      <c r="I276" s="184"/>
      <c r="J276" s="184"/>
      <c r="Q276" s="184"/>
      <c r="S276" s="543"/>
      <c r="T276" s="543"/>
    </row>
    <row r="277">
      <c r="D277" s="184"/>
      <c r="H277" s="184"/>
      <c r="I277" s="184"/>
      <c r="J277" s="184"/>
      <c r="Q277" s="184"/>
      <c r="S277" s="543"/>
      <c r="T277" s="543"/>
    </row>
    <row r="278">
      <c r="D278" s="184"/>
      <c r="H278" s="184"/>
      <c r="I278" s="184"/>
      <c r="J278" s="184"/>
      <c r="Q278" s="184"/>
      <c r="S278" s="543"/>
      <c r="T278" s="543"/>
    </row>
    <row r="279">
      <c r="D279" s="184"/>
      <c r="H279" s="184"/>
      <c r="I279" s="184"/>
      <c r="J279" s="184"/>
      <c r="Q279" s="184"/>
      <c r="S279" s="543"/>
      <c r="T279" s="543"/>
    </row>
    <row r="280">
      <c r="D280" s="184"/>
      <c r="H280" s="184"/>
      <c r="I280" s="184"/>
      <c r="J280" s="184"/>
      <c r="Q280" s="184"/>
      <c r="S280" s="543"/>
      <c r="T280" s="543"/>
    </row>
    <row r="281">
      <c r="D281" s="184"/>
      <c r="H281" s="184"/>
      <c r="I281" s="184"/>
      <c r="J281" s="184"/>
      <c r="Q281" s="184"/>
      <c r="S281" s="543"/>
      <c r="T281" s="543"/>
    </row>
    <row r="282">
      <c r="D282" s="184"/>
      <c r="H282" s="184"/>
      <c r="I282" s="184"/>
      <c r="J282" s="184"/>
      <c r="Q282" s="184"/>
      <c r="S282" s="543"/>
      <c r="T282" s="543"/>
    </row>
    <row r="283">
      <c r="D283" s="184"/>
      <c r="H283" s="184"/>
      <c r="I283" s="184"/>
      <c r="J283" s="184"/>
      <c r="Q283" s="184"/>
      <c r="S283" s="543"/>
      <c r="T283" s="543"/>
    </row>
    <row r="284">
      <c r="D284" s="184"/>
      <c r="H284" s="184"/>
      <c r="I284" s="184"/>
      <c r="J284" s="184"/>
      <c r="Q284" s="184"/>
      <c r="S284" s="543"/>
      <c r="T284" s="543"/>
    </row>
    <row r="285">
      <c r="D285" s="184"/>
      <c r="H285" s="184"/>
      <c r="I285" s="184"/>
      <c r="J285" s="184"/>
      <c r="Q285" s="184"/>
      <c r="S285" s="543"/>
      <c r="T285" s="543"/>
    </row>
    <row r="286">
      <c r="D286" s="184"/>
      <c r="H286" s="184"/>
      <c r="I286" s="184"/>
      <c r="J286" s="184"/>
      <c r="Q286" s="184"/>
      <c r="S286" s="543"/>
      <c r="T286" s="543"/>
    </row>
    <row r="287">
      <c r="D287" s="184"/>
      <c r="H287" s="184"/>
      <c r="I287" s="184"/>
      <c r="J287" s="184"/>
      <c r="Q287" s="184"/>
      <c r="S287" s="543"/>
      <c r="T287" s="543"/>
    </row>
    <row r="288">
      <c r="D288" s="184"/>
      <c r="H288" s="184"/>
      <c r="I288" s="184"/>
      <c r="J288" s="184"/>
      <c r="Q288" s="184"/>
      <c r="S288" s="543"/>
      <c r="T288" s="543"/>
    </row>
    <row r="289">
      <c r="D289" s="184"/>
      <c r="H289" s="184"/>
      <c r="I289" s="184"/>
      <c r="J289" s="184"/>
      <c r="Q289" s="184"/>
      <c r="S289" s="543"/>
      <c r="T289" s="543"/>
    </row>
    <row r="290">
      <c r="D290" s="184"/>
      <c r="H290" s="184"/>
      <c r="I290" s="184"/>
      <c r="J290" s="184"/>
      <c r="Q290" s="184"/>
      <c r="S290" s="543"/>
      <c r="T290" s="543"/>
    </row>
    <row r="291">
      <c r="D291" s="184"/>
      <c r="H291" s="184"/>
      <c r="I291" s="184"/>
      <c r="J291" s="184"/>
      <c r="Q291" s="184"/>
      <c r="S291" s="543"/>
      <c r="T291" s="543"/>
    </row>
    <row r="292">
      <c r="D292" s="184"/>
      <c r="H292" s="184"/>
      <c r="I292" s="184"/>
      <c r="J292" s="184"/>
      <c r="Q292" s="184"/>
      <c r="S292" s="543"/>
      <c r="T292" s="543"/>
    </row>
    <row r="293">
      <c r="D293" s="184"/>
      <c r="H293" s="184"/>
      <c r="I293" s="184"/>
      <c r="J293" s="184"/>
      <c r="Q293" s="184"/>
      <c r="S293" s="543"/>
      <c r="T293" s="543"/>
    </row>
    <row r="294">
      <c r="D294" s="184"/>
      <c r="H294" s="184"/>
      <c r="I294" s="184"/>
      <c r="J294" s="184"/>
      <c r="Q294" s="184"/>
      <c r="S294" s="543"/>
      <c r="T294" s="543"/>
    </row>
    <row r="295">
      <c r="D295" s="184"/>
      <c r="H295" s="184"/>
      <c r="I295" s="184"/>
      <c r="J295" s="184"/>
      <c r="Q295" s="184"/>
      <c r="S295" s="543"/>
      <c r="T295" s="543"/>
    </row>
    <row r="296">
      <c r="D296" s="184"/>
      <c r="H296" s="184"/>
      <c r="I296" s="184"/>
      <c r="J296" s="184"/>
      <c r="Q296" s="184"/>
      <c r="S296" s="543"/>
      <c r="T296" s="543"/>
    </row>
    <row r="297">
      <c r="D297" s="184"/>
      <c r="H297" s="184"/>
      <c r="I297" s="184"/>
      <c r="J297" s="184"/>
      <c r="Q297" s="184"/>
      <c r="S297" s="543"/>
      <c r="T297" s="543"/>
    </row>
    <row r="298">
      <c r="D298" s="184"/>
      <c r="H298" s="184"/>
      <c r="I298" s="184"/>
      <c r="J298" s="184"/>
      <c r="Q298" s="184"/>
      <c r="S298" s="543"/>
      <c r="T298" s="543"/>
    </row>
    <row r="299">
      <c r="D299" s="184"/>
      <c r="H299" s="184"/>
      <c r="I299" s="184"/>
      <c r="J299" s="184"/>
      <c r="Q299" s="184"/>
      <c r="S299" s="543"/>
      <c r="T299" s="543"/>
    </row>
    <row r="300">
      <c r="D300" s="184"/>
      <c r="H300" s="184"/>
      <c r="I300" s="184"/>
      <c r="J300" s="184"/>
      <c r="Q300" s="184"/>
      <c r="S300" s="543"/>
      <c r="T300" s="543"/>
    </row>
    <row r="301">
      <c r="D301" s="184"/>
      <c r="H301" s="184"/>
      <c r="I301" s="184"/>
      <c r="J301" s="184"/>
      <c r="Q301" s="184"/>
      <c r="S301" s="543"/>
      <c r="T301" s="543"/>
    </row>
    <row r="302">
      <c r="D302" s="184"/>
      <c r="H302" s="184"/>
      <c r="I302" s="184"/>
      <c r="J302" s="184"/>
      <c r="Q302" s="184"/>
      <c r="S302" s="543"/>
      <c r="T302" s="543"/>
    </row>
    <row r="303">
      <c r="D303" s="184"/>
      <c r="H303" s="184"/>
      <c r="I303" s="184"/>
      <c r="J303" s="184"/>
      <c r="Q303" s="184"/>
      <c r="S303" s="543"/>
      <c r="T303" s="543"/>
    </row>
    <row r="304">
      <c r="D304" s="184"/>
      <c r="H304" s="184"/>
      <c r="I304" s="184"/>
      <c r="J304" s="184"/>
      <c r="Q304" s="184"/>
      <c r="S304" s="543"/>
      <c r="T304" s="543"/>
    </row>
    <row r="305">
      <c r="D305" s="184"/>
      <c r="H305" s="184"/>
      <c r="I305" s="184"/>
      <c r="J305" s="184"/>
      <c r="Q305" s="184"/>
      <c r="S305" s="543"/>
      <c r="T305" s="543"/>
    </row>
    <row r="306">
      <c r="D306" s="184"/>
      <c r="H306" s="184"/>
      <c r="I306" s="184"/>
      <c r="J306" s="184"/>
      <c r="Q306" s="184"/>
      <c r="S306" s="543"/>
      <c r="T306" s="543"/>
    </row>
    <row r="307">
      <c r="D307" s="184"/>
      <c r="H307" s="184"/>
      <c r="I307" s="184"/>
      <c r="J307" s="184"/>
      <c r="Q307" s="184"/>
      <c r="S307" s="543"/>
      <c r="T307" s="543"/>
    </row>
    <row r="308">
      <c r="D308" s="184"/>
      <c r="H308" s="184"/>
      <c r="I308" s="184"/>
      <c r="J308" s="184"/>
      <c r="Q308" s="184"/>
      <c r="S308" s="543"/>
      <c r="T308" s="543"/>
    </row>
    <row r="309">
      <c r="D309" s="184"/>
      <c r="H309" s="184"/>
      <c r="I309" s="184"/>
      <c r="J309" s="184"/>
      <c r="Q309" s="184"/>
      <c r="S309" s="543"/>
      <c r="T309" s="543"/>
    </row>
    <row r="310">
      <c r="D310" s="184"/>
      <c r="H310" s="184"/>
      <c r="I310" s="184"/>
      <c r="J310" s="184"/>
      <c r="Q310" s="184"/>
      <c r="S310" s="543"/>
      <c r="T310" s="543"/>
    </row>
    <row r="311">
      <c r="D311" s="184"/>
      <c r="H311" s="184"/>
      <c r="I311" s="184"/>
      <c r="J311" s="184"/>
      <c r="Q311" s="184"/>
      <c r="S311" s="543"/>
      <c r="T311" s="543"/>
    </row>
    <row r="312">
      <c r="D312" s="184"/>
      <c r="H312" s="184"/>
      <c r="I312" s="184"/>
      <c r="J312" s="184"/>
      <c r="Q312" s="184"/>
      <c r="S312" s="543"/>
      <c r="T312" s="543"/>
    </row>
    <row r="313">
      <c r="D313" s="184"/>
      <c r="H313" s="184"/>
      <c r="I313" s="184"/>
      <c r="J313" s="184"/>
      <c r="Q313" s="184"/>
      <c r="S313" s="543"/>
      <c r="T313" s="543"/>
    </row>
    <row r="314">
      <c r="D314" s="184"/>
      <c r="H314" s="184"/>
      <c r="I314" s="184"/>
      <c r="J314" s="184"/>
      <c r="Q314" s="184"/>
      <c r="S314" s="543"/>
      <c r="T314" s="543"/>
    </row>
    <row r="315">
      <c r="D315" s="184"/>
      <c r="H315" s="184"/>
      <c r="I315" s="184"/>
      <c r="J315" s="184"/>
      <c r="Q315" s="184"/>
      <c r="S315" s="543"/>
      <c r="T315" s="543"/>
    </row>
    <row r="316">
      <c r="D316" s="184"/>
      <c r="H316" s="184"/>
      <c r="I316" s="184"/>
      <c r="J316" s="184"/>
      <c r="Q316" s="184"/>
      <c r="S316" s="543"/>
      <c r="T316" s="543"/>
    </row>
    <row r="317">
      <c r="D317" s="184"/>
      <c r="H317" s="184"/>
      <c r="I317" s="184"/>
      <c r="J317" s="184"/>
      <c r="Q317" s="184"/>
      <c r="S317" s="543"/>
      <c r="T317" s="543"/>
    </row>
    <row r="318">
      <c r="D318" s="184"/>
      <c r="H318" s="184"/>
      <c r="I318" s="184"/>
      <c r="J318" s="184"/>
      <c r="Q318" s="184"/>
      <c r="S318" s="543"/>
      <c r="T318" s="543"/>
    </row>
    <row r="319">
      <c r="D319" s="184"/>
      <c r="H319" s="184"/>
      <c r="I319" s="184"/>
      <c r="J319" s="184"/>
      <c r="Q319" s="184"/>
      <c r="S319" s="543"/>
      <c r="T319" s="543"/>
    </row>
    <row r="320">
      <c r="D320" s="184"/>
      <c r="H320" s="184"/>
      <c r="I320" s="184"/>
      <c r="J320" s="184"/>
      <c r="Q320" s="184"/>
      <c r="S320" s="543"/>
      <c r="T320" s="543"/>
    </row>
    <row r="321">
      <c r="D321" s="184"/>
      <c r="H321" s="184"/>
      <c r="I321" s="184"/>
      <c r="J321" s="184"/>
      <c r="Q321" s="184"/>
      <c r="S321" s="543"/>
      <c r="T321" s="543"/>
    </row>
    <row r="322">
      <c r="D322" s="184"/>
      <c r="H322" s="184"/>
      <c r="I322" s="184"/>
      <c r="J322" s="184"/>
      <c r="Q322" s="184"/>
      <c r="S322" s="543"/>
      <c r="T322" s="543"/>
    </row>
    <row r="323">
      <c r="D323" s="184"/>
      <c r="H323" s="184"/>
      <c r="I323" s="184"/>
      <c r="J323" s="184"/>
      <c r="Q323" s="184"/>
      <c r="S323" s="543"/>
      <c r="T323" s="543"/>
    </row>
    <row r="324">
      <c r="D324" s="184"/>
      <c r="H324" s="184"/>
      <c r="I324" s="184"/>
      <c r="J324" s="184"/>
      <c r="Q324" s="184"/>
      <c r="S324" s="543"/>
      <c r="T324" s="543"/>
    </row>
    <row r="325">
      <c r="D325" s="184"/>
      <c r="H325" s="184"/>
      <c r="I325" s="184"/>
      <c r="J325" s="184"/>
      <c r="Q325" s="184"/>
      <c r="S325" s="543"/>
      <c r="T325" s="543"/>
    </row>
    <row r="326">
      <c r="D326" s="184"/>
      <c r="H326" s="184"/>
      <c r="I326" s="184"/>
      <c r="J326" s="184"/>
      <c r="Q326" s="184"/>
      <c r="S326" s="543"/>
      <c r="T326" s="543"/>
    </row>
    <row r="327">
      <c r="D327" s="184"/>
      <c r="H327" s="184"/>
      <c r="I327" s="184"/>
      <c r="J327" s="184"/>
      <c r="Q327" s="184"/>
      <c r="S327" s="543"/>
      <c r="T327" s="543"/>
    </row>
    <row r="328">
      <c r="D328" s="184"/>
      <c r="H328" s="184"/>
      <c r="I328" s="184"/>
      <c r="J328" s="184"/>
      <c r="Q328" s="184"/>
      <c r="S328" s="543"/>
      <c r="T328" s="543"/>
    </row>
    <row r="329">
      <c r="D329" s="184"/>
      <c r="H329" s="184"/>
      <c r="I329" s="184"/>
      <c r="J329" s="184"/>
      <c r="Q329" s="184"/>
      <c r="S329" s="543"/>
      <c r="T329" s="543"/>
    </row>
    <row r="330">
      <c r="D330" s="184"/>
      <c r="H330" s="184"/>
      <c r="I330" s="184"/>
      <c r="J330" s="184"/>
      <c r="Q330" s="184"/>
      <c r="S330" s="543"/>
      <c r="T330" s="543"/>
    </row>
    <row r="331">
      <c r="D331" s="184"/>
      <c r="H331" s="184"/>
      <c r="I331" s="184"/>
      <c r="J331" s="184"/>
      <c r="Q331" s="184"/>
      <c r="S331" s="543"/>
      <c r="T331" s="543"/>
    </row>
    <row r="332">
      <c r="D332" s="184"/>
      <c r="H332" s="184"/>
      <c r="I332" s="184"/>
      <c r="J332" s="184"/>
      <c r="Q332" s="184"/>
      <c r="S332" s="543"/>
      <c r="T332" s="543"/>
    </row>
    <row r="333">
      <c r="D333" s="184"/>
      <c r="H333" s="184"/>
      <c r="I333" s="184"/>
      <c r="J333" s="184"/>
      <c r="Q333" s="184"/>
      <c r="S333" s="543"/>
      <c r="T333" s="543"/>
    </row>
    <row r="334">
      <c r="D334" s="184"/>
      <c r="H334" s="184"/>
      <c r="I334" s="184"/>
      <c r="J334" s="184"/>
      <c r="Q334" s="184"/>
      <c r="S334" s="543"/>
      <c r="T334" s="543"/>
    </row>
    <row r="335">
      <c r="D335" s="184"/>
      <c r="H335" s="184"/>
      <c r="I335" s="184"/>
      <c r="J335" s="184"/>
      <c r="Q335" s="184"/>
      <c r="S335" s="543"/>
      <c r="T335" s="543"/>
    </row>
    <row r="336">
      <c r="D336" s="184"/>
      <c r="H336" s="184"/>
      <c r="I336" s="184"/>
      <c r="J336" s="184"/>
      <c r="Q336" s="184"/>
      <c r="S336" s="543"/>
      <c r="T336" s="543"/>
    </row>
    <row r="337">
      <c r="D337" s="184"/>
      <c r="H337" s="184"/>
      <c r="I337" s="184"/>
      <c r="J337" s="184"/>
      <c r="Q337" s="184"/>
      <c r="S337" s="543"/>
      <c r="T337" s="543"/>
    </row>
    <row r="338">
      <c r="D338" s="184"/>
      <c r="H338" s="184"/>
      <c r="I338" s="184"/>
      <c r="J338" s="184"/>
      <c r="Q338" s="184"/>
      <c r="S338" s="543"/>
      <c r="T338" s="543"/>
    </row>
    <row r="339">
      <c r="D339" s="184"/>
      <c r="H339" s="184"/>
      <c r="I339" s="184"/>
      <c r="J339" s="184"/>
      <c r="Q339" s="184"/>
      <c r="S339" s="543"/>
      <c r="T339" s="543"/>
    </row>
    <row r="340">
      <c r="D340" s="184"/>
      <c r="H340" s="184"/>
      <c r="I340" s="184"/>
      <c r="J340" s="184"/>
      <c r="Q340" s="184"/>
      <c r="S340" s="543"/>
      <c r="T340" s="543"/>
    </row>
    <row r="341">
      <c r="D341" s="184"/>
      <c r="H341" s="184"/>
      <c r="I341" s="184"/>
      <c r="J341" s="184"/>
      <c r="Q341" s="184"/>
      <c r="S341" s="543"/>
      <c r="T341" s="543"/>
    </row>
    <row r="342">
      <c r="D342" s="184"/>
      <c r="H342" s="184"/>
      <c r="I342" s="184"/>
      <c r="J342" s="184"/>
      <c r="Q342" s="184"/>
      <c r="S342" s="543"/>
      <c r="T342" s="543"/>
    </row>
    <row r="343">
      <c r="D343" s="184"/>
      <c r="H343" s="184"/>
      <c r="I343" s="184"/>
      <c r="J343" s="184"/>
      <c r="Q343" s="184"/>
      <c r="S343" s="543"/>
      <c r="T343" s="543"/>
    </row>
    <row r="344">
      <c r="D344" s="184"/>
      <c r="H344" s="184"/>
      <c r="I344" s="184"/>
      <c r="J344" s="184"/>
      <c r="Q344" s="184"/>
      <c r="S344" s="543"/>
      <c r="T344" s="543"/>
    </row>
    <row r="345">
      <c r="D345" s="184"/>
      <c r="H345" s="184"/>
      <c r="I345" s="184"/>
      <c r="J345" s="184"/>
      <c r="Q345" s="184"/>
      <c r="S345" s="543"/>
      <c r="T345" s="543"/>
    </row>
    <row r="346">
      <c r="D346" s="184"/>
      <c r="H346" s="184"/>
      <c r="I346" s="184"/>
      <c r="J346" s="184"/>
      <c r="Q346" s="184"/>
      <c r="S346" s="543"/>
      <c r="T346" s="543"/>
    </row>
    <row r="347">
      <c r="D347" s="184"/>
      <c r="H347" s="184"/>
      <c r="I347" s="184"/>
      <c r="J347" s="184"/>
      <c r="Q347" s="184"/>
      <c r="S347" s="543"/>
      <c r="T347" s="543"/>
    </row>
    <row r="348">
      <c r="D348" s="184"/>
      <c r="H348" s="184"/>
      <c r="I348" s="184"/>
      <c r="J348" s="184"/>
      <c r="Q348" s="184"/>
      <c r="S348" s="543"/>
      <c r="T348" s="543"/>
    </row>
    <row r="349">
      <c r="D349" s="184"/>
      <c r="H349" s="184"/>
      <c r="I349" s="184"/>
      <c r="J349" s="184"/>
      <c r="Q349" s="184"/>
      <c r="S349" s="543"/>
      <c r="T349" s="543"/>
    </row>
    <row r="350">
      <c r="D350" s="184"/>
      <c r="H350" s="184"/>
      <c r="I350" s="184"/>
      <c r="J350" s="184"/>
      <c r="Q350" s="184"/>
      <c r="S350" s="543"/>
      <c r="T350" s="543"/>
    </row>
    <row r="351">
      <c r="D351" s="184"/>
      <c r="H351" s="184"/>
      <c r="I351" s="184"/>
      <c r="J351" s="184"/>
      <c r="Q351" s="184"/>
      <c r="S351" s="543"/>
      <c r="T351" s="543"/>
    </row>
    <row r="352">
      <c r="D352" s="184"/>
      <c r="H352" s="184"/>
      <c r="I352" s="184"/>
      <c r="J352" s="184"/>
      <c r="Q352" s="184"/>
      <c r="S352" s="543"/>
      <c r="T352" s="543"/>
    </row>
    <row r="353">
      <c r="D353" s="184"/>
      <c r="H353" s="184"/>
      <c r="I353" s="184"/>
      <c r="J353" s="184"/>
      <c r="Q353" s="184"/>
      <c r="S353" s="543"/>
      <c r="T353" s="543"/>
    </row>
    <row r="354">
      <c r="D354" s="184"/>
      <c r="H354" s="184"/>
      <c r="I354" s="184"/>
      <c r="J354" s="184"/>
      <c r="Q354" s="184"/>
      <c r="S354" s="543"/>
      <c r="T354" s="543"/>
    </row>
    <row r="355">
      <c r="D355" s="184"/>
      <c r="H355" s="184"/>
      <c r="I355" s="184"/>
      <c r="J355" s="184"/>
      <c r="Q355" s="184"/>
      <c r="S355" s="543"/>
      <c r="T355" s="543"/>
    </row>
    <row r="356">
      <c r="D356" s="184"/>
      <c r="H356" s="184"/>
      <c r="I356" s="184"/>
      <c r="J356" s="184"/>
      <c r="Q356" s="184"/>
      <c r="S356" s="543"/>
      <c r="T356" s="543"/>
    </row>
    <row r="357">
      <c r="D357" s="184"/>
      <c r="H357" s="184"/>
      <c r="I357" s="184"/>
      <c r="J357" s="184"/>
      <c r="Q357" s="184"/>
      <c r="S357" s="543"/>
      <c r="T357" s="543"/>
    </row>
    <row r="358">
      <c r="D358" s="184"/>
      <c r="H358" s="184"/>
      <c r="I358" s="184"/>
      <c r="J358" s="184"/>
      <c r="Q358" s="184"/>
      <c r="S358" s="543"/>
      <c r="T358" s="543"/>
    </row>
    <row r="359">
      <c r="D359" s="184"/>
      <c r="H359" s="184"/>
      <c r="I359" s="184"/>
      <c r="J359" s="184"/>
      <c r="Q359" s="184"/>
      <c r="S359" s="543"/>
      <c r="T359" s="543"/>
    </row>
    <row r="360">
      <c r="D360" s="184"/>
      <c r="H360" s="184"/>
      <c r="I360" s="184"/>
      <c r="J360" s="184"/>
      <c r="Q360" s="184"/>
      <c r="S360" s="543"/>
      <c r="T360" s="543"/>
    </row>
    <row r="361">
      <c r="D361" s="184"/>
      <c r="H361" s="184"/>
      <c r="I361" s="184"/>
      <c r="J361" s="184"/>
      <c r="Q361" s="184"/>
      <c r="S361" s="543"/>
      <c r="T361" s="543"/>
    </row>
    <row r="362">
      <c r="D362" s="184"/>
      <c r="H362" s="184"/>
      <c r="I362" s="184"/>
      <c r="J362" s="184"/>
      <c r="Q362" s="184"/>
      <c r="S362" s="543"/>
      <c r="T362" s="543"/>
    </row>
    <row r="363">
      <c r="D363" s="184"/>
      <c r="H363" s="184"/>
      <c r="I363" s="184"/>
      <c r="J363" s="184"/>
      <c r="Q363" s="184"/>
      <c r="S363" s="543"/>
      <c r="T363" s="543"/>
    </row>
    <row r="364">
      <c r="D364" s="184"/>
      <c r="H364" s="184"/>
      <c r="I364" s="184"/>
      <c r="J364" s="184"/>
      <c r="Q364" s="184"/>
      <c r="S364" s="543"/>
      <c r="T364" s="543"/>
    </row>
    <row r="365">
      <c r="D365" s="184"/>
      <c r="H365" s="184"/>
      <c r="I365" s="184"/>
      <c r="J365" s="184"/>
      <c r="Q365" s="184"/>
      <c r="S365" s="543"/>
      <c r="T365" s="543"/>
    </row>
    <row r="366">
      <c r="D366" s="184"/>
      <c r="H366" s="184"/>
      <c r="I366" s="184"/>
      <c r="J366" s="184"/>
      <c r="Q366" s="184"/>
      <c r="S366" s="543"/>
      <c r="T366" s="543"/>
    </row>
    <row r="367">
      <c r="D367" s="184"/>
      <c r="H367" s="184"/>
      <c r="I367" s="184"/>
      <c r="J367" s="184"/>
      <c r="Q367" s="184"/>
      <c r="S367" s="543"/>
      <c r="T367" s="543"/>
    </row>
    <row r="368">
      <c r="D368" s="184"/>
      <c r="H368" s="184"/>
      <c r="I368" s="184"/>
      <c r="J368" s="184"/>
      <c r="Q368" s="184"/>
      <c r="S368" s="543"/>
      <c r="T368" s="543"/>
    </row>
    <row r="369">
      <c r="D369" s="184"/>
      <c r="H369" s="184"/>
      <c r="I369" s="184"/>
      <c r="J369" s="184"/>
      <c r="Q369" s="184"/>
      <c r="S369" s="543"/>
      <c r="T369" s="543"/>
    </row>
    <row r="370">
      <c r="D370" s="184"/>
      <c r="H370" s="184"/>
      <c r="I370" s="184"/>
      <c r="J370" s="184"/>
      <c r="Q370" s="184"/>
      <c r="S370" s="543"/>
      <c r="T370" s="543"/>
    </row>
    <row r="371">
      <c r="D371" s="184"/>
      <c r="H371" s="184"/>
      <c r="I371" s="184"/>
      <c r="J371" s="184"/>
      <c r="Q371" s="184"/>
      <c r="S371" s="543"/>
      <c r="T371" s="543"/>
    </row>
    <row r="372">
      <c r="D372" s="184"/>
      <c r="H372" s="184"/>
      <c r="I372" s="184"/>
      <c r="J372" s="184"/>
      <c r="Q372" s="184"/>
      <c r="S372" s="543"/>
      <c r="T372" s="543"/>
    </row>
    <row r="373">
      <c r="D373" s="184"/>
      <c r="H373" s="184"/>
      <c r="I373" s="184"/>
      <c r="J373" s="184"/>
      <c r="Q373" s="184"/>
      <c r="S373" s="543"/>
      <c r="T373" s="543"/>
    </row>
    <row r="374">
      <c r="D374" s="184"/>
      <c r="H374" s="184"/>
      <c r="I374" s="184"/>
      <c r="J374" s="184"/>
      <c r="Q374" s="184"/>
      <c r="S374" s="543"/>
      <c r="T374" s="543"/>
    </row>
    <row r="375">
      <c r="D375" s="184"/>
      <c r="H375" s="184"/>
      <c r="I375" s="184"/>
      <c r="J375" s="184"/>
      <c r="Q375" s="184"/>
      <c r="S375" s="543"/>
      <c r="T375" s="543"/>
    </row>
    <row r="376">
      <c r="D376" s="184"/>
      <c r="H376" s="184"/>
      <c r="I376" s="184"/>
      <c r="J376" s="184"/>
      <c r="Q376" s="184"/>
      <c r="S376" s="543"/>
      <c r="T376" s="543"/>
    </row>
    <row r="377">
      <c r="D377" s="184"/>
      <c r="H377" s="184"/>
      <c r="I377" s="184"/>
      <c r="J377" s="184"/>
      <c r="Q377" s="184"/>
      <c r="S377" s="543"/>
      <c r="T377" s="543"/>
    </row>
    <row r="378">
      <c r="D378" s="184"/>
      <c r="H378" s="184"/>
      <c r="I378" s="184"/>
      <c r="J378" s="184"/>
      <c r="Q378" s="184"/>
      <c r="S378" s="543"/>
      <c r="T378" s="543"/>
    </row>
    <row r="379">
      <c r="D379" s="184"/>
      <c r="H379" s="184"/>
      <c r="I379" s="184"/>
      <c r="J379" s="184"/>
      <c r="Q379" s="184"/>
      <c r="S379" s="543"/>
      <c r="T379" s="543"/>
    </row>
    <row r="380">
      <c r="D380" s="184"/>
      <c r="H380" s="184"/>
      <c r="I380" s="184"/>
      <c r="J380" s="184"/>
      <c r="Q380" s="184"/>
      <c r="S380" s="543"/>
      <c r="T380" s="543"/>
    </row>
    <row r="381">
      <c r="D381" s="184"/>
      <c r="H381" s="184"/>
      <c r="I381" s="184"/>
      <c r="J381" s="184"/>
      <c r="Q381" s="184"/>
      <c r="S381" s="543"/>
      <c r="T381" s="543"/>
    </row>
    <row r="382">
      <c r="D382" s="184"/>
      <c r="H382" s="184"/>
      <c r="I382" s="184"/>
      <c r="J382" s="184"/>
      <c r="Q382" s="184"/>
      <c r="S382" s="543"/>
      <c r="T382" s="543"/>
    </row>
    <row r="383">
      <c r="D383" s="184"/>
      <c r="H383" s="184"/>
      <c r="I383" s="184"/>
      <c r="J383" s="184"/>
      <c r="Q383" s="184"/>
      <c r="S383" s="543"/>
      <c r="T383" s="543"/>
    </row>
    <row r="384">
      <c r="D384" s="184"/>
      <c r="H384" s="184"/>
      <c r="I384" s="184"/>
      <c r="J384" s="184"/>
      <c r="Q384" s="184"/>
      <c r="S384" s="543"/>
      <c r="T384" s="543"/>
    </row>
    <row r="385">
      <c r="D385" s="184"/>
      <c r="H385" s="184"/>
      <c r="I385" s="184"/>
      <c r="J385" s="184"/>
      <c r="Q385" s="184"/>
      <c r="S385" s="543"/>
      <c r="T385" s="543"/>
    </row>
    <row r="386">
      <c r="D386" s="184"/>
      <c r="H386" s="184"/>
      <c r="I386" s="184"/>
      <c r="J386" s="184"/>
      <c r="Q386" s="184"/>
      <c r="S386" s="543"/>
      <c r="T386" s="543"/>
    </row>
    <row r="387">
      <c r="D387" s="184"/>
      <c r="H387" s="184"/>
      <c r="I387" s="184"/>
      <c r="J387" s="184"/>
      <c r="Q387" s="184"/>
      <c r="S387" s="543"/>
      <c r="T387" s="543"/>
    </row>
    <row r="388">
      <c r="D388" s="184"/>
      <c r="H388" s="184"/>
      <c r="I388" s="184"/>
      <c r="J388" s="184"/>
      <c r="Q388" s="184"/>
      <c r="S388" s="543"/>
      <c r="T388" s="543"/>
    </row>
    <row r="389">
      <c r="D389" s="184"/>
      <c r="H389" s="184"/>
      <c r="I389" s="184"/>
      <c r="J389" s="184"/>
      <c r="Q389" s="184"/>
      <c r="S389" s="543"/>
      <c r="T389" s="543"/>
    </row>
    <row r="390">
      <c r="D390" s="184"/>
      <c r="H390" s="184"/>
      <c r="I390" s="184"/>
      <c r="J390" s="184"/>
      <c r="Q390" s="184"/>
      <c r="S390" s="543"/>
      <c r="T390" s="543"/>
    </row>
    <row r="391">
      <c r="D391" s="184"/>
      <c r="H391" s="184"/>
      <c r="I391" s="184"/>
      <c r="J391" s="184"/>
      <c r="Q391" s="184"/>
      <c r="S391" s="543"/>
      <c r="T391" s="543"/>
    </row>
    <row r="392">
      <c r="D392" s="184"/>
      <c r="H392" s="184"/>
      <c r="I392" s="184"/>
      <c r="J392" s="184"/>
      <c r="Q392" s="184"/>
      <c r="S392" s="543"/>
      <c r="T392" s="543"/>
    </row>
    <row r="393">
      <c r="D393" s="184"/>
      <c r="H393" s="184"/>
      <c r="I393" s="184"/>
      <c r="J393" s="184"/>
      <c r="Q393" s="184"/>
      <c r="S393" s="543"/>
      <c r="T393" s="543"/>
    </row>
    <row r="394">
      <c r="D394" s="184"/>
      <c r="H394" s="184"/>
      <c r="I394" s="184"/>
      <c r="J394" s="184"/>
      <c r="Q394" s="184"/>
      <c r="S394" s="543"/>
      <c r="T394" s="543"/>
    </row>
    <row r="395">
      <c r="D395" s="184"/>
      <c r="H395" s="184"/>
      <c r="I395" s="184"/>
      <c r="J395" s="184"/>
      <c r="Q395" s="184"/>
      <c r="S395" s="543"/>
      <c r="T395" s="543"/>
    </row>
    <row r="396">
      <c r="D396" s="184"/>
      <c r="H396" s="184"/>
      <c r="I396" s="184"/>
      <c r="J396" s="184"/>
      <c r="Q396" s="184"/>
      <c r="S396" s="543"/>
      <c r="T396" s="543"/>
    </row>
    <row r="397">
      <c r="D397" s="184"/>
      <c r="H397" s="184"/>
      <c r="I397" s="184"/>
      <c r="J397" s="184"/>
      <c r="Q397" s="184"/>
      <c r="S397" s="543"/>
      <c r="T397" s="543"/>
    </row>
    <row r="398">
      <c r="D398" s="184"/>
      <c r="H398" s="184"/>
      <c r="I398" s="184"/>
      <c r="J398" s="184"/>
      <c r="Q398" s="184"/>
      <c r="S398" s="543"/>
      <c r="T398" s="543"/>
    </row>
    <row r="399">
      <c r="D399" s="184"/>
      <c r="H399" s="184"/>
      <c r="I399" s="184"/>
      <c r="J399" s="184"/>
      <c r="Q399" s="184"/>
      <c r="S399" s="543"/>
      <c r="T399" s="543"/>
    </row>
    <row r="400">
      <c r="D400" s="184"/>
      <c r="H400" s="184"/>
      <c r="I400" s="184"/>
      <c r="J400" s="184"/>
      <c r="Q400" s="184"/>
      <c r="S400" s="543"/>
      <c r="T400" s="543"/>
    </row>
    <row r="401">
      <c r="D401" s="184"/>
      <c r="H401" s="184"/>
      <c r="I401" s="184"/>
      <c r="J401" s="184"/>
      <c r="Q401" s="184"/>
      <c r="S401" s="543"/>
      <c r="T401" s="543"/>
    </row>
    <row r="402">
      <c r="D402" s="184"/>
      <c r="H402" s="184"/>
      <c r="I402" s="184"/>
      <c r="J402" s="184"/>
      <c r="Q402" s="184"/>
      <c r="S402" s="543"/>
      <c r="T402" s="543"/>
    </row>
    <row r="403">
      <c r="D403" s="184"/>
      <c r="H403" s="184"/>
      <c r="I403" s="184"/>
      <c r="J403" s="184"/>
      <c r="Q403" s="184"/>
      <c r="S403" s="543"/>
      <c r="T403" s="543"/>
    </row>
    <row r="404">
      <c r="D404" s="184"/>
      <c r="H404" s="184"/>
      <c r="I404" s="184"/>
      <c r="J404" s="184"/>
      <c r="Q404" s="184"/>
      <c r="S404" s="543"/>
      <c r="T404" s="543"/>
    </row>
    <row r="405">
      <c r="D405" s="184"/>
      <c r="H405" s="184"/>
      <c r="I405" s="184"/>
      <c r="J405" s="184"/>
      <c r="Q405" s="184"/>
      <c r="S405" s="543"/>
      <c r="T405" s="543"/>
    </row>
    <row r="406">
      <c r="D406" s="184"/>
      <c r="H406" s="184"/>
      <c r="I406" s="184"/>
      <c r="J406" s="184"/>
      <c r="Q406" s="184"/>
      <c r="S406" s="543"/>
      <c r="T406" s="543"/>
    </row>
    <row r="407">
      <c r="D407" s="184"/>
      <c r="H407" s="184"/>
      <c r="I407" s="184"/>
      <c r="J407" s="184"/>
      <c r="Q407" s="184"/>
      <c r="S407" s="543"/>
      <c r="T407" s="543"/>
    </row>
    <row r="408">
      <c r="D408" s="184"/>
      <c r="H408" s="184"/>
      <c r="I408" s="184"/>
      <c r="J408" s="184"/>
      <c r="Q408" s="184"/>
      <c r="S408" s="543"/>
      <c r="T408" s="543"/>
    </row>
    <row r="409">
      <c r="D409" s="184"/>
      <c r="H409" s="184"/>
      <c r="I409" s="184"/>
      <c r="J409" s="184"/>
      <c r="Q409" s="184"/>
      <c r="S409" s="543"/>
      <c r="T409" s="543"/>
    </row>
    <row r="410">
      <c r="D410" s="184"/>
      <c r="H410" s="184"/>
      <c r="I410" s="184"/>
      <c r="J410" s="184"/>
      <c r="Q410" s="184"/>
      <c r="S410" s="543"/>
      <c r="T410" s="543"/>
    </row>
    <row r="411">
      <c r="D411" s="184"/>
      <c r="H411" s="184"/>
      <c r="I411" s="184"/>
      <c r="J411" s="184"/>
      <c r="Q411" s="184"/>
      <c r="S411" s="543"/>
      <c r="T411" s="543"/>
    </row>
    <row r="412">
      <c r="D412" s="184"/>
      <c r="H412" s="184"/>
      <c r="I412" s="184"/>
      <c r="J412" s="184"/>
      <c r="Q412" s="184"/>
      <c r="S412" s="543"/>
      <c r="T412" s="543"/>
    </row>
    <row r="413">
      <c r="D413" s="184"/>
      <c r="H413" s="184"/>
      <c r="I413" s="184"/>
      <c r="J413" s="184"/>
      <c r="Q413" s="184"/>
      <c r="S413" s="543"/>
      <c r="T413" s="543"/>
    </row>
    <row r="414">
      <c r="D414" s="184"/>
      <c r="H414" s="184"/>
      <c r="I414" s="184"/>
      <c r="J414" s="184"/>
      <c r="Q414" s="184"/>
      <c r="S414" s="543"/>
      <c r="T414" s="543"/>
    </row>
    <row r="415">
      <c r="D415" s="184"/>
      <c r="H415" s="184"/>
      <c r="I415" s="184"/>
      <c r="J415" s="184"/>
      <c r="Q415" s="184"/>
      <c r="S415" s="543"/>
      <c r="T415" s="543"/>
    </row>
    <row r="416">
      <c r="D416" s="184"/>
      <c r="H416" s="184"/>
      <c r="I416" s="184"/>
      <c r="J416" s="184"/>
      <c r="Q416" s="184"/>
      <c r="S416" s="543"/>
      <c r="T416" s="543"/>
    </row>
    <row r="417">
      <c r="D417" s="184"/>
      <c r="H417" s="184"/>
      <c r="I417" s="184"/>
      <c r="J417" s="184"/>
      <c r="Q417" s="184"/>
      <c r="S417" s="543"/>
      <c r="T417" s="543"/>
    </row>
    <row r="418">
      <c r="D418" s="184"/>
      <c r="H418" s="184"/>
      <c r="I418" s="184"/>
      <c r="J418" s="184"/>
      <c r="Q418" s="184"/>
      <c r="S418" s="543"/>
      <c r="T418" s="543"/>
    </row>
    <row r="419">
      <c r="D419" s="184"/>
      <c r="H419" s="184"/>
      <c r="I419" s="184"/>
      <c r="J419" s="184"/>
      <c r="Q419" s="184"/>
      <c r="S419" s="543"/>
      <c r="T419" s="543"/>
    </row>
    <row r="420">
      <c r="D420" s="184"/>
      <c r="H420" s="184"/>
      <c r="I420" s="184"/>
      <c r="J420" s="184"/>
      <c r="Q420" s="184"/>
      <c r="S420" s="543"/>
      <c r="T420" s="543"/>
    </row>
    <row r="421">
      <c r="D421" s="184"/>
      <c r="H421" s="184"/>
      <c r="I421" s="184"/>
      <c r="J421" s="184"/>
      <c r="Q421" s="184"/>
      <c r="S421" s="543"/>
      <c r="T421" s="543"/>
    </row>
    <row r="422">
      <c r="D422" s="184"/>
      <c r="H422" s="184"/>
      <c r="I422" s="184"/>
      <c r="J422" s="184"/>
      <c r="Q422" s="184"/>
      <c r="S422" s="543"/>
      <c r="T422" s="543"/>
    </row>
    <row r="423">
      <c r="D423" s="184"/>
      <c r="H423" s="184"/>
      <c r="I423" s="184"/>
      <c r="J423" s="184"/>
      <c r="Q423" s="184"/>
      <c r="S423" s="543"/>
      <c r="T423" s="543"/>
    </row>
    <row r="424">
      <c r="D424" s="184"/>
      <c r="H424" s="184"/>
      <c r="I424" s="184"/>
      <c r="J424" s="184"/>
      <c r="Q424" s="184"/>
      <c r="S424" s="543"/>
      <c r="T424" s="543"/>
    </row>
    <row r="425">
      <c r="D425" s="184"/>
      <c r="H425" s="184"/>
      <c r="I425" s="184"/>
      <c r="J425" s="184"/>
      <c r="Q425" s="184"/>
      <c r="S425" s="543"/>
      <c r="T425" s="543"/>
    </row>
    <row r="426">
      <c r="D426" s="184"/>
      <c r="H426" s="184"/>
      <c r="I426" s="184"/>
      <c r="J426" s="184"/>
      <c r="Q426" s="184"/>
      <c r="S426" s="543"/>
      <c r="T426" s="543"/>
    </row>
    <row r="427">
      <c r="D427" s="184"/>
      <c r="H427" s="184"/>
      <c r="I427" s="184"/>
      <c r="J427" s="184"/>
      <c r="Q427" s="184"/>
      <c r="S427" s="543"/>
      <c r="T427" s="543"/>
    </row>
    <row r="428">
      <c r="D428" s="184"/>
      <c r="H428" s="184"/>
      <c r="I428" s="184"/>
      <c r="J428" s="184"/>
      <c r="Q428" s="184"/>
      <c r="S428" s="543"/>
      <c r="T428" s="543"/>
    </row>
    <row r="429">
      <c r="D429" s="184"/>
      <c r="H429" s="184"/>
      <c r="I429" s="184"/>
      <c r="J429" s="184"/>
      <c r="Q429" s="184"/>
      <c r="S429" s="543"/>
      <c r="T429" s="543"/>
    </row>
    <row r="430">
      <c r="D430" s="184"/>
      <c r="H430" s="184"/>
      <c r="I430" s="184"/>
      <c r="J430" s="184"/>
      <c r="Q430" s="184"/>
      <c r="S430" s="543"/>
      <c r="T430" s="543"/>
    </row>
    <row r="431">
      <c r="D431" s="184"/>
      <c r="H431" s="184"/>
      <c r="I431" s="184"/>
      <c r="J431" s="184"/>
      <c r="Q431" s="184"/>
      <c r="S431" s="543"/>
      <c r="T431" s="543"/>
    </row>
    <row r="432">
      <c r="D432" s="184"/>
      <c r="H432" s="184"/>
      <c r="I432" s="184"/>
      <c r="J432" s="184"/>
      <c r="Q432" s="184"/>
      <c r="S432" s="543"/>
      <c r="T432" s="543"/>
    </row>
    <row r="433">
      <c r="D433" s="184"/>
      <c r="H433" s="184"/>
      <c r="I433" s="184"/>
      <c r="J433" s="184"/>
      <c r="Q433" s="184"/>
      <c r="S433" s="543"/>
      <c r="T433" s="543"/>
    </row>
    <row r="434">
      <c r="D434" s="184"/>
      <c r="H434" s="184"/>
      <c r="I434" s="184"/>
      <c r="J434" s="184"/>
      <c r="Q434" s="184"/>
      <c r="S434" s="543"/>
      <c r="T434" s="543"/>
    </row>
    <row r="435">
      <c r="D435" s="184"/>
      <c r="H435" s="184"/>
      <c r="I435" s="184"/>
      <c r="J435" s="184"/>
      <c r="Q435" s="184"/>
      <c r="S435" s="543"/>
      <c r="T435" s="543"/>
    </row>
    <row r="436">
      <c r="D436" s="184"/>
      <c r="H436" s="184"/>
      <c r="I436" s="184"/>
      <c r="J436" s="184"/>
      <c r="Q436" s="184"/>
      <c r="S436" s="543"/>
      <c r="T436" s="543"/>
    </row>
    <row r="437">
      <c r="D437" s="184"/>
      <c r="H437" s="184"/>
      <c r="I437" s="184"/>
      <c r="J437" s="184"/>
      <c r="Q437" s="184"/>
      <c r="S437" s="543"/>
      <c r="T437" s="543"/>
    </row>
    <row r="438">
      <c r="D438" s="184"/>
      <c r="H438" s="184"/>
      <c r="I438" s="184"/>
      <c r="J438" s="184"/>
      <c r="Q438" s="184"/>
      <c r="S438" s="543"/>
      <c r="T438" s="543"/>
    </row>
    <row r="439">
      <c r="D439" s="184"/>
      <c r="H439" s="184"/>
      <c r="I439" s="184"/>
      <c r="J439" s="184"/>
      <c r="Q439" s="184"/>
      <c r="S439" s="543"/>
      <c r="T439" s="543"/>
    </row>
    <row r="440">
      <c r="D440" s="184"/>
      <c r="H440" s="184"/>
      <c r="I440" s="184"/>
      <c r="J440" s="184"/>
      <c r="Q440" s="184"/>
      <c r="S440" s="543"/>
      <c r="T440" s="543"/>
    </row>
    <row r="441">
      <c r="D441" s="184"/>
      <c r="H441" s="184"/>
      <c r="I441" s="184"/>
      <c r="J441" s="184"/>
      <c r="Q441" s="184"/>
      <c r="S441" s="543"/>
      <c r="T441" s="543"/>
    </row>
    <row r="442">
      <c r="D442" s="184"/>
      <c r="H442" s="184"/>
      <c r="I442" s="184"/>
      <c r="J442" s="184"/>
      <c r="Q442" s="184"/>
      <c r="S442" s="543"/>
      <c r="T442" s="543"/>
    </row>
    <row r="443">
      <c r="D443" s="184"/>
      <c r="H443" s="184"/>
      <c r="I443" s="184"/>
      <c r="J443" s="184"/>
      <c r="Q443" s="184"/>
      <c r="S443" s="543"/>
      <c r="T443" s="543"/>
    </row>
    <row r="444">
      <c r="D444" s="184"/>
      <c r="H444" s="184"/>
      <c r="I444" s="184"/>
      <c r="J444" s="184"/>
      <c r="Q444" s="184"/>
      <c r="S444" s="543"/>
      <c r="T444" s="543"/>
    </row>
    <row r="445">
      <c r="D445" s="184"/>
      <c r="H445" s="184"/>
      <c r="I445" s="184"/>
      <c r="J445" s="184"/>
      <c r="Q445" s="184"/>
      <c r="S445" s="543"/>
      <c r="T445" s="543"/>
    </row>
    <row r="446">
      <c r="D446" s="184"/>
      <c r="H446" s="184"/>
      <c r="I446" s="184"/>
      <c r="J446" s="184"/>
      <c r="Q446" s="184"/>
      <c r="S446" s="543"/>
      <c r="T446" s="543"/>
    </row>
    <row r="447">
      <c r="D447" s="184"/>
      <c r="H447" s="184"/>
      <c r="I447" s="184"/>
      <c r="J447" s="184"/>
      <c r="Q447" s="184"/>
      <c r="S447" s="543"/>
      <c r="T447" s="543"/>
    </row>
    <row r="448">
      <c r="D448" s="184"/>
      <c r="H448" s="184"/>
      <c r="I448" s="184"/>
      <c r="J448" s="184"/>
      <c r="Q448" s="184"/>
      <c r="S448" s="543"/>
      <c r="T448" s="543"/>
    </row>
    <row r="449">
      <c r="D449" s="184"/>
      <c r="H449" s="184"/>
      <c r="I449" s="184"/>
      <c r="J449" s="184"/>
      <c r="Q449" s="184"/>
      <c r="S449" s="543"/>
      <c r="T449" s="543"/>
    </row>
    <row r="450">
      <c r="D450" s="184"/>
      <c r="H450" s="184"/>
      <c r="I450" s="184"/>
      <c r="J450" s="184"/>
      <c r="Q450" s="184"/>
      <c r="S450" s="543"/>
      <c r="T450" s="543"/>
    </row>
    <row r="451">
      <c r="D451" s="184"/>
      <c r="H451" s="184"/>
      <c r="I451" s="184"/>
      <c r="J451" s="184"/>
      <c r="Q451" s="184"/>
      <c r="S451" s="543"/>
      <c r="T451" s="543"/>
    </row>
    <row r="452">
      <c r="D452" s="184"/>
      <c r="H452" s="184"/>
      <c r="I452" s="184"/>
      <c r="J452" s="184"/>
      <c r="Q452" s="184"/>
      <c r="S452" s="543"/>
      <c r="T452" s="543"/>
    </row>
    <row r="453">
      <c r="D453" s="184"/>
      <c r="H453" s="184"/>
      <c r="I453" s="184"/>
      <c r="J453" s="184"/>
      <c r="Q453" s="184"/>
      <c r="S453" s="543"/>
      <c r="T453" s="543"/>
    </row>
    <row r="454">
      <c r="D454" s="184"/>
      <c r="H454" s="184"/>
      <c r="I454" s="184"/>
      <c r="J454" s="184"/>
      <c r="Q454" s="184"/>
      <c r="S454" s="543"/>
      <c r="T454" s="543"/>
    </row>
    <row r="455">
      <c r="D455" s="184"/>
      <c r="H455" s="184"/>
      <c r="I455" s="184"/>
      <c r="J455" s="184"/>
      <c r="Q455" s="184"/>
      <c r="S455" s="543"/>
      <c r="T455" s="543"/>
    </row>
    <row r="456">
      <c r="D456" s="184"/>
      <c r="H456" s="184"/>
      <c r="I456" s="184"/>
      <c r="J456" s="184"/>
      <c r="Q456" s="184"/>
      <c r="S456" s="543"/>
      <c r="T456" s="543"/>
    </row>
    <row r="457">
      <c r="D457" s="184"/>
      <c r="H457" s="184"/>
      <c r="I457" s="184"/>
      <c r="J457" s="184"/>
      <c r="Q457" s="184"/>
      <c r="S457" s="543"/>
      <c r="T457" s="543"/>
    </row>
    <row r="458">
      <c r="D458" s="184"/>
      <c r="H458" s="184"/>
      <c r="I458" s="184"/>
      <c r="J458" s="184"/>
      <c r="Q458" s="184"/>
      <c r="S458" s="543"/>
      <c r="T458" s="543"/>
    </row>
    <row r="459">
      <c r="D459" s="184"/>
      <c r="H459" s="184"/>
      <c r="I459" s="184"/>
      <c r="J459" s="184"/>
      <c r="Q459" s="184"/>
      <c r="S459" s="543"/>
      <c r="T459" s="543"/>
    </row>
    <row r="460">
      <c r="D460" s="184"/>
      <c r="H460" s="184"/>
      <c r="I460" s="184"/>
      <c r="J460" s="184"/>
      <c r="Q460" s="184"/>
      <c r="S460" s="543"/>
      <c r="T460" s="543"/>
    </row>
    <row r="461">
      <c r="D461" s="184"/>
      <c r="H461" s="184"/>
      <c r="I461" s="184"/>
      <c r="J461" s="184"/>
      <c r="Q461" s="184"/>
      <c r="S461" s="543"/>
      <c r="T461" s="543"/>
    </row>
    <row r="462">
      <c r="D462" s="184"/>
      <c r="H462" s="184"/>
      <c r="I462" s="184"/>
      <c r="J462" s="184"/>
      <c r="Q462" s="184"/>
      <c r="S462" s="543"/>
      <c r="T462" s="543"/>
    </row>
    <row r="463">
      <c r="D463" s="184"/>
      <c r="H463" s="184"/>
      <c r="I463" s="184"/>
      <c r="J463" s="184"/>
      <c r="Q463" s="184"/>
      <c r="S463" s="543"/>
      <c r="T463" s="543"/>
    </row>
    <row r="464">
      <c r="D464" s="184"/>
      <c r="H464" s="184"/>
      <c r="I464" s="184"/>
      <c r="J464" s="184"/>
      <c r="Q464" s="184"/>
      <c r="S464" s="543"/>
      <c r="T464" s="543"/>
    </row>
    <row r="465">
      <c r="D465" s="184"/>
      <c r="H465" s="184"/>
      <c r="I465" s="184"/>
      <c r="J465" s="184"/>
      <c r="Q465" s="184"/>
      <c r="S465" s="543"/>
      <c r="T465" s="543"/>
    </row>
    <row r="466">
      <c r="D466" s="184"/>
      <c r="H466" s="184"/>
      <c r="I466" s="184"/>
      <c r="J466" s="184"/>
      <c r="Q466" s="184"/>
      <c r="S466" s="543"/>
      <c r="T466" s="543"/>
    </row>
    <row r="467">
      <c r="D467" s="184"/>
      <c r="H467" s="184"/>
      <c r="I467" s="184"/>
      <c r="J467" s="184"/>
      <c r="Q467" s="184"/>
      <c r="S467" s="543"/>
      <c r="T467" s="543"/>
    </row>
    <row r="468">
      <c r="D468" s="184"/>
      <c r="H468" s="184"/>
      <c r="I468" s="184"/>
      <c r="J468" s="184"/>
      <c r="Q468" s="184"/>
      <c r="S468" s="543"/>
      <c r="T468" s="543"/>
    </row>
    <row r="469">
      <c r="D469" s="184"/>
      <c r="H469" s="184"/>
      <c r="I469" s="184"/>
      <c r="J469" s="184"/>
      <c r="Q469" s="184"/>
      <c r="S469" s="543"/>
      <c r="T469" s="543"/>
    </row>
    <row r="470">
      <c r="D470" s="184"/>
      <c r="H470" s="184"/>
      <c r="I470" s="184"/>
      <c r="J470" s="184"/>
      <c r="Q470" s="184"/>
      <c r="S470" s="543"/>
      <c r="T470" s="543"/>
    </row>
    <row r="471">
      <c r="D471" s="184"/>
      <c r="H471" s="184"/>
      <c r="I471" s="184"/>
      <c r="J471" s="184"/>
      <c r="Q471" s="184"/>
      <c r="S471" s="543"/>
      <c r="T471" s="543"/>
    </row>
    <row r="472">
      <c r="D472" s="184"/>
      <c r="H472" s="184"/>
      <c r="I472" s="184"/>
      <c r="J472" s="184"/>
      <c r="Q472" s="184"/>
      <c r="S472" s="543"/>
      <c r="T472" s="543"/>
    </row>
    <row r="473">
      <c r="D473" s="184"/>
      <c r="H473" s="184"/>
      <c r="I473" s="184"/>
      <c r="J473" s="184"/>
      <c r="Q473" s="184"/>
      <c r="S473" s="543"/>
      <c r="T473" s="543"/>
    </row>
    <row r="474">
      <c r="D474" s="184"/>
      <c r="H474" s="184"/>
      <c r="I474" s="184"/>
      <c r="J474" s="184"/>
      <c r="Q474" s="184"/>
      <c r="S474" s="543"/>
      <c r="T474" s="543"/>
    </row>
    <row r="475">
      <c r="D475" s="184"/>
      <c r="H475" s="184"/>
      <c r="I475" s="184"/>
      <c r="J475" s="184"/>
      <c r="Q475" s="184"/>
      <c r="S475" s="543"/>
      <c r="T475" s="543"/>
    </row>
    <row r="476">
      <c r="D476" s="184"/>
      <c r="H476" s="184"/>
      <c r="I476" s="184"/>
      <c r="J476" s="184"/>
      <c r="Q476" s="184"/>
      <c r="S476" s="543"/>
      <c r="T476" s="543"/>
    </row>
    <row r="477">
      <c r="D477" s="184"/>
      <c r="H477" s="184"/>
      <c r="I477" s="184"/>
      <c r="J477" s="184"/>
      <c r="Q477" s="184"/>
      <c r="S477" s="543"/>
      <c r="T477" s="543"/>
    </row>
    <row r="478">
      <c r="D478" s="184"/>
      <c r="H478" s="184"/>
      <c r="I478" s="184"/>
      <c r="J478" s="184"/>
      <c r="Q478" s="184"/>
      <c r="S478" s="543"/>
      <c r="T478" s="543"/>
    </row>
    <row r="479">
      <c r="D479" s="184"/>
      <c r="H479" s="184"/>
      <c r="I479" s="184"/>
      <c r="J479" s="184"/>
      <c r="Q479" s="184"/>
      <c r="S479" s="543"/>
      <c r="T479" s="543"/>
    </row>
    <row r="480">
      <c r="D480" s="184"/>
      <c r="H480" s="184"/>
      <c r="I480" s="184"/>
      <c r="J480" s="184"/>
      <c r="Q480" s="184"/>
      <c r="S480" s="543"/>
      <c r="T480" s="543"/>
    </row>
    <row r="481">
      <c r="D481" s="184"/>
      <c r="H481" s="184"/>
      <c r="I481" s="184"/>
      <c r="J481" s="184"/>
      <c r="Q481" s="184"/>
      <c r="S481" s="543"/>
      <c r="T481" s="543"/>
    </row>
    <row r="482">
      <c r="D482" s="184"/>
      <c r="H482" s="184"/>
      <c r="I482" s="184"/>
      <c r="J482" s="184"/>
      <c r="Q482" s="184"/>
      <c r="S482" s="543"/>
      <c r="T482" s="543"/>
    </row>
    <row r="483">
      <c r="D483" s="184"/>
      <c r="H483" s="184"/>
      <c r="I483" s="184"/>
      <c r="J483" s="184"/>
      <c r="Q483" s="184"/>
      <c r="S483" s="543"/>
      <c r="T483" s="543"/>
    </row>
    <row r="484">
      <c r="D484" s="184"/>
      <c r="H484" s="184"/>
      <c r="I484" s="184"/>
      <c r="J484" s="184"/>
      <c r="Q484" s="184"/>
      <c r="S484" s="543"/>
      <c r="T484" s="543"/>
    </row>
    <row r="485">
      <c r="D485" s="184"/>
      <c r="H485" s="184"/>
      <c r="I485" s="184"/>
      <c r="J485" s="184"/>
      <c r="Q485" s="184"/>
      <c r="S485" s="543"/>
      <c r="T485" s="543"/>
    </row>
    <row r="486">
      <c r="D486" s="184"/>
      <c r="H486" s="184"/>
      <c r="I486" s="184"/>
      <c r="J486" s="184"/>
      <c r="Q486" s="184"/>
      <c r="S486" s="543"/>
      <c r="T486" s="543"/>
    </row>
    <row r="487">
      <c r="D487" s="184"/>
      <c r="H487" s="184"/>
      <c r="I487" s="184"/>
      <c r="J487" s="184"/>
      <c r="Q487" s="184"/>
      <c r="S487" s="543"/>
      <c r="T487" s="543"/>
    </row>
    <row r="488">
      <c r="D488" s="184"/>
      <c r="H488" s="184"/>
      <c r="I488" s="184"/>
      <c r="J488" s="184"/>
      <c r="Q488" s="184"/>
      <c r="S488" s="543"/>
      <c r="T488" s="543"/>
    </row>
    <row r="489">
      <c r="D489" s="184"/>
      <c r="H489" s="184"/>
      <c r="I489" s="184"/>
      <c r="J489" s="184"/>
      <c r="Q489" s="184"/>
      <c r="S489" s="543"/>
      <c r="T489" s="543"/>
    </row>
    <row r="490">
      <c r="D490" s="184"/>
      <c r="H490" s="184"/>
      <c r="I490" s="184"/>
      <c r="J490" s="184"/>
      <c r="Q490" s="184"/>
      <c r="S490" s="543"/>
      <c r="T490" s="543"/>
    </row>
    <row r="491">
      <c r="D491" s="184"/>
      <c r="H491" s="184"/>
      <c r="I491" s="184"/>
      <c r="J491" s="184"/>
      <c r="Q491" s="184"/>
      <c r="S491" s="543"/>
      <c r="T491" s="543"/>
    </row>
    <row r="492">
      <c r="D492" s="184"/>
      <c r="H492" s="184"/>
      <c r="I492" s="184"/>
      <c r="J492" s="184"/>
      <c r="Q492" s="184"/>
      <c r="S492" s="543"/>
      <c r="T492" s="543"/>
    </row>
    <row r="493">
      <c r="D493" s="184"/>
      <c r="H493" s="184"/>
      <c r="I493" s="184"/>
      <c r="J493" s="184"/>
      <c r="Q493" s="184"/>
      <c r="S493" s="543"/>
      <c r="T493" s="543"/>
    </row>
    <row r="494">
      <c r="D494" s="184"/>
      <c r="H494" s="184"/>
      <c r="I494" s="184"/>
      <c r="J494" s="184"/>
      <c r="Q494" s="184"/>
      <c r="S494" s="543"/>
      <c r="T494" s="543"/>
    </row>
    <row r="495">
      <c r="D495" s="184"/>
      <c r="H495" s="184"/>
      <c r="I495" s="184"/>
      <c r="J495" s="184"/>
      <c r="Q495" s="184"/>
      <c r="S495" s="543"/>
      <c r="T495" s="543"/>
    </row>
    <row r="496">
      <c r="D496" s="184"/>
      <c r="H496" s="184"/>
      <c r="I496" s="184"/>
      <c r="J496" s="184"/>
      <c r="Q496" s="184"/>
      <c r="S496" s="543"/>
      <c r="T496" s="543"/>
    </row>
    <row r="497">
      <c r="D497" s="184"/>
      <c r="H497" s="184"/>
      <c r="I497" s="184"/>
      <c r="J497" s="184"/>
      <c r="Q497" s="184"/>
      <c r="S497" s="543"/>
      <c r="T497" s="543"/>
    </row>
    <row r="498">
      <c r="D498" s="184"/>
      <c r="H498" s="184"/>
      <c r="I498" s="184"/>
      <c r="J498" s="184"/>
      <c r="Q498" s="184"/>
      <c r="S498" s="543"/>
      <c r="T498" s="543"/>
    </row>
    <row r="499">
      <c r="D499" s="184"/>
      <c r="H499" s="184"/>
      <c r="I499" s="184"/>
      <c r="J499" s="184"/>
      <c r="Q499" s="184"/>
      <c r="S499" s="543"/>
      <c r="T499" s="543"/>
    </row>
    <row r="500">
      <c r="D500" s="184"/>
      <c r="H500" s="184"/>
      <c r="I500" s="184"/>
      <c r="J500" s="184"/>
      <c r="Q500" s="184"/>
      <c r="S500" s="543"/>
      <c r="T500" s="543"/>
    </row>
    <row r="501">
      <c r="D501" s="184"/>
      <c r="H501" s="184"/>
      <c r="I501" s="184"/>
      <c r="J501" s="184"/>
      <c r="Q501" s="184"/>
      <c r="S501" s="543"/>
      <c r="T501" s="543"/>
    </row>
    <row r="502">
      <c r="D502" s="184"/>
      <c r="H502" s="184"/>
      <c r="I502" s="184"/>
      <c r="J502" s="184"/>
      <c r="Q502" s="184"/>
      <c r="S502" s="543"/>
      <c r="T502" s="543"/>
    </row>
    <row r="503">
      <c r="D503" s="184"/>
      <c r="H503" s="184"/>
      <c r="I503" s="184"/>
      <c r="J503" s="184"/>
      <c r="Q503" s="184"/>
      <c r="S503" s="543"/>
      <c r="T503" s="543"/>
    </row>
    <row r="504">
      <c r="D504" s="184"/>
      <c r="H504" s="184"/>
      <c r="I504" s="184"/>
      <c r="J504" s="184"/>
      <c r="Q504" s="184"/>
      <c r="S504" s="543"/>
      <c r="T504" s="543"/>
    </row>
    <row r="505">
      <c r="D505" s="184"/>
      <c r="H505" s="184"/>
      <c r="I505" s="184"/>
      <c r="J505" s="184"/>
      <c r="Q505" s="184"/>
      <c r="S505" s="543"/>
      <c r="T505" s="543"/>
    </row>
    <row r="506">
      <c r="D506" s="184"/>
      <c r="H506" s="184"/>
      <c r="I506" s="184"/>
      <c r="J506" s="184"/>
      <c r="Q506" s="184"/>
      <c r="S506" s="543"/>
      <c r="T506" s="543"/>
    </row>
    <row r="507">
      <c r="D507" s="184"/>
      <c r="H507" s="184"/>
      <c r="I507" s="184"/>
      <c r="J507" s="184"/>
      <c r="Q507" s="184"/>
      <c r="S507" s="543"/>
      <c r="T507" s="543"/>
    </row>
    <row r="508">
      <c r="D508" s="184"/>
      <c r="H508" s="184"/>
      <c r="I508" s="184"/>
      <c r="J508" s="184"/>
      <c r="Q508" s="184"/>
      <c r="S508" s="543"/>
      <c r="T508" s="543"/>
    </row>
    <row r="509">
      <c r="D509" s="184"/>
      <c r="H509" s="184"/>
      <c r="I509" s="184"/>
      <c r="J509" s="184"/>
      <c r="Q509" s="184"/>
      <c r="S509" s="543"/>
      <c r="T509" s="543"/>
    </row>
    <row r="510">
      <c r="D510" s="184"/>
      <c r="H510" s="184"/>
      <c r="I510" s="184"/>
      <c r="J510" s="184"/>
      <c r="Q510" s="184"/>
      <c r="S510" s="543"/>
      <c r="T510" s="543"/>
    </row>
    <row r="511">
      <c r="D511" s="184"/>
      <c r="H511" s="184"/>
      <c r="I511" s="184"/>
      <c r="J511" s="184"/>
      <c r="Q511" s="184"/>
      <c r="S511" s="543"/>
      <c r="T511" s="543"/>
    </row>
    <row r="512">
      <c r="D512" s="184"/>
      <c r="H512" s="184"/>
      <c r="I512" s="184"/>
      <c r="J512" s="184"/>
      <c r="Q512" s="184"/>
      <c r="S512" s="543"/>
      <c r="T512" s="543"/>
    </row>
    <row r="513">
      <c r="D513" s="184"/>
      <c r="H513" s="184"/>
      <c r="I513" s="184"/>
      <c r="J513" s="184"/>
      <c r="Q513" s="184"/>
      <c r="S513" s="543"/>
      <c r="T513" s="543"/>
    </row>
    <row r="514">
      <c r="D514" s="184"/>
      <c r="H514" s="184"/>
      <c r="I514" s="184"/>
      <c r="J514" s="184"/>
      <c r="Q514" s="184"/>
      <c r="S514" s="543"/>
      <c r="T514" s="543"/>
    </row>
    <row r="515">
      <c r="D515" s="184"/>
      <c r="H515" s="184"/>
      <c r="I515" s="184"/>
      <c r="J515" s="184"/>
      <c r="Q515" s="184"/>
      <c r="S515" s="543"/>
      <c r="T515" s="543"/>
    </row>
    <row r="516">
      <c r="D516" s="184"/>
      <c r="H516" s="184"/>
      <c r="I516" s="184"/>
      <c r="J516" s="184"/>
      <c r="Q516" s="184"/>
      <c r="S516" s="543"/>
      <c r="T516" s="543"/>
    </row>
    <row r="517">
      <c r="D517" s="184"/>
      <c r="H517" s="184"/>
      <c r="I517" s="184"/>
      <c r="J517" s="184"/>
      <c r="Q517" s="184"/>
      <c r="S517" s="543"/>
      <c r="T517" s="543"/>
    </row>
    <row r="518">
      <c r="D518" s="184"/>
      <c r="H518" s="184"/>
      <c r="I518" s="184"/>
      <c r="J518" s="184"/>
      <c r="Q518" s="184"/>
      <c r="S518" s="543"/>
      <c r="T518" s="543"/>
    </row>
    <row r="519">
      <c r="D519" s="184"/>
      <c r="H519" s="184"/>
      <c r="I519" s="184"/>
      <c r="J519" s="184"/>
      <c r="Q519" s="184"/>
      <c r="S519" s="543"/>
      <c r="T519" s="543"/>
    </row>
    <row r="520">
      <c r="D520" s="184"/>
      <c r="H520" s="184"/>
      <c r="I520" s="184"/>
      <c r="J520" s="184"/>
      <c r="Q520" s="184"/>
      <c r="S520" s="543"/>
      <c r="T520" s="543"/>
    </row>
    <row r="521">
      <c r="D521" s="184"/>
      <c r="H521" s="184"/>
      <c r="I521" s="184"/>
      <c r="J521" s="184"/>
      <c r="Q521" s="184"/>
      <c r="S521" s="543"/>
      <c r="T521" s="543"/>
    </row>
    <row r="522">
      <c r="D522" s="184"/>
      <c r="H522" s="184"/>
      <c r="I522" s="184"/>
      <c r="J522" s="184"/>
      <c r="Q522" s="184"/>
      <c r="S522" s="543"/>
      <c r="T522" s="543"/>
    </row>
    <row r="523">
      <c r="D523" s="184"/>
      <c r="H523" s="184"/>
      <c r="I523" s="184"/>
      <c r="J523" s="184"/>
      <c r="Q523" s="184"/>
      <c r="S523" s="543"/>
      <c r="T523" s="543"/>
    </row>
    <row r="524">
      <c r="D524" s="184"/>
      <c r="H524" s="184"/>
      <c r="I524" s="184"/>
      <c r="J524" s="184"/>
      <c r="Q524" s="184"/>
      <c r="S524" s="543"/>
      <c r="T524" s="543"/>
    </row>
    <row r="525">
      <c r="D525" s="184"/>
      <c r="H525" s="184"/>
      <c r="I525" s="184"/>
      <c r="J525" s="184"/>
      <c r="Q525" s="184"/>
      <c r="S525" s="543"/>
      <c r="T525" s="543"/>
    </row>
    <row r="526">
      <c r="D526" s="184"/>
      <c r="H526" s="184"/>
      <c r="I526" s="184"/>
      <c r="J526" s="184"/>
      <c r="Q526" s="184"/>
      <c r="S526" s="543"/>
      <c r="T526" s="543"/>
    </row>
    <row r="527">
      <c r="D527" s="184"/>
      <c r="H527" s="184"/>
      <c r="I527" s="184"/>
      <c r="J527" s="184"/>
      <c r="Q527" s="184"/>
      <c r="S527" s="543"/>
      <c r="T527" s="543"/>
    </row>
    <row r="528">
      <c r="D528" s="184"/>
      <c r="H528" s="184"/>
      <c r="I528" s="184"/>
      <c r="J528" s="184"/>
      <c r="Q528" s="184"/>
      <c r="S528" s="543"/>
      <c r="T528" s="543"/>
    </row>
    <row r="529">
      <c r="D529" s="184"/>
      <c r="H529" s="184"/>
      <c r="I529" s="184"/>
      <c r="J529" s="184"/>
      <c r="Q529" s="184"/>
      <c r="S529" s="543"/>
      <c r="T529" s="543"/>
    </row>
    <row r="530">
      <c r="D530" s="184"/>
      <c r="H530" s="184"/>
      <c r="I530" s="184"/>
      <c r="J530" s="184"/>
      <c r="Q530" s="184"/>
      <c r="S530" s="543"/>
      <c r="T530" s="543"/>
    </row>
    <row r="531">
      <c r="D531" s="184"/>
      <c r="H531" s="184"/>
      <c r="I531" s="184"/>
      <c r="J531" s="184"/>
      <c r="Q531" s="184"/>
      <c r="S531" s="543"/>
      <c r="T531" s="543"/>
    </row>
    <row r="532">
      <c r="D532" s="184"/>
      <c r="H532" s="184"/>
      <c r="I532" s="184"/>
      <c r="J532" s="184"/>
      <c r="Q532" s="184"/>
      <c r="S532" s="543"/>
      <c r="T532" s="543"/>
    </row>
    <row r="533">
      <c r="D533" s="184"/>
      <c r="H533" s="184"/>
      <c r="I533" s="184"/>
      <c r="J533" s="184"/>
      <c r="Q533" s="184"/>
      <c r="S533" s="543"/>
      <c r="T533" s="543"/>
    </row>
    <row r="534">
      <c r="D534" s="184"/>
      <c r="H534" s="184"/>
      <c r="I534" s="184"/>
      <c r="J534" s="184"/>
      <c r="Q534" s="184"/>
      <c r="S534" s="543"/>
      <c r="T534" s="543"/>
    </row>
    <row r="535">
      <c r="D535" s="184"/>
      <c r="H535" s="184"/>
      <c r="I535" s="184"/>
      <c r="J535" s="184"/>
      <c r="Q535" s="184"/>
      <c r="S535" s="543"/>
      <c r="T535" s="543"/>
    </row>
    <row r="536">
      <c r="D536" s="184"/>
      <c r="H536" s="184"/>
      <c r="I536" s="184"/>
      <c r="J536" s="184"/>
      <c r="Q536" s="184"/>
      <c r="S536" s="543"/>
      <c r="T536" s="543"/>
    </row>
    <row r="537">
      <c r="D537" s="184"/>
      <c r="H537" s="184"/>
      <c r="I537" s="184"/>
      <c r="J537" s="184"/>
      <c r="Q537" s="184"/>
      <c r="S537" s="543"/>
      <c r="T537" s="543"/>
    </row>
    <row r="538">
      <c r="D538" s="184"/>
      <c r="H538" s="184"/>
      <c r="I538" s="184"/>
      <c r="J538" s="184"/>
      <c r="Q538" s="184"/>
      <c r="S538" s="543"/>
      <c r="T538" s="543"/>
    </row>
    <row r="539">
      <c r="D539" s="184"/>
      <c r="H539" s="184"/>
      <c r="I539" s="184"/>
      <c r="J539" s="184"/>
      <c r="Q539" s="184"/>
      <c r="S539" s="543"/>
      <c r="T539" s="543"/>
    </row>
    <row r="540">
      <c r="D540" s="184"/>
      <c r="H540" s="184"/>
      <c r="I540" s="184"/>
      <c r="J540" s="184"/>
      <c r="Q540" s="184"/>
      <c r="S540" s="543"/>
      <c r="T540" s="543"/>
    </row>
    <row r="541">
      <c r="D541" s="184"/>
      <c r="H541" s="184"/>
      <c r="I541" s="184"/>
      <c r="J541" s="184"/>
      <c r="Q541" s="184"/>
      <c r="S541" s="543"/>
      <c r="T541" s="543"/>
    </row>
    <row r="542">
      <c r="D542" s="184"/>
      <c r="H542" s="184"/>
      <c r="I542" s="184"/>
      <c r="J542" s="184"/>
      <c r="Q542" s="184"/>
      <c r="S542" s="543"/>
      <c r="T542" s="543"/>
    </row>
    <row r="543">
      <c r="D543" s="184"/>
      <c r="H543" s="184"/>
      <c r="I543" s="184"/>
      <c r="J543" s="184"/>
      <c r="Q543" s="184"/>
      <c r="S543" s="543"/>
      <c r="T543" s="543"/>
    </row>
    <row r="544">
      <c r="D544" s="184"/>
      <c r="H544" s="184"/>
      <c r="I544" s="184"/>
      <c r="J544" s="184"/>
      <c r="Q544" s="184"/>
      <c r="S544" s="543"/>
      <c r="T544" s="543"/>
    </row>
    <row r="545">
      <c r="D545" s="184"/>
      <c r="H545" s="184"/>
      <c r="I545" s="184"/>
      <c r="J545" s="184"/>
      <c r="Q545" s="184"/>
      <c r="S545" s="543"/>
      <c r="T545" s="543"/>
    </row>
    <row r="546">
      <c r="D546" s="184"/>
      <c r="H546" s="184"/>
      <c r="I546" s="184"/>
      <c r="J546" s="184"/>
      <c r="Q546" s="184"/>
      <c r="S546" s="543"/>
      <c r="T546" s="543"/>
    </row>
    <row r="547">
      <c r="D547" s="184"/>
      <c r="H547" s="184"/>
      <c r="I547" s="184"/>
      <c r="J547" s="184"/>
      <c r="Q547" s="184"/>
      <c r="S547" s="543"/>
      <c r="T547" s="543"/>
    </row>
    <row r="548">
      <c r="D548" s="184"/>
      <c r="H548" s="184"/>
      <c r="I548" s="184"/>
      <c r="J548" s="184"/>
      <c r="Q548" s="184"/>
      <c r="S548" s="543"/>
      <c r="T548" s="543"/>
    </row>
    <row r="549">
      <c r="D549" s="184"/>
      <c r="H549" s="184"/>
      <c r="I549" s="184"/>
      <c r="J549" s="184"/>
      <c r="Q549" s="184"/>
      <c r="S549" s="543"/>
      <c r="T549" s="543"/>
    </row>
    <row r="550">
      <c r="D550" s="184"/>
      <c r="H550" s="184"/>
      <c r="I550" s="184"/>
      <c r="J550" s="184"/>
      <c r="Q550" s="184"/>
      <c r="S550" s="543"/>
      <c r="T550" s="543"/>
    </row>
    <row r="551">
      <c r="D551" s="184"/>
      <c r="H551" s="184"/>
      <c r="I551" s="184"/>
      <c r="J551" s="184"/>
      <c r="Q551" s="184"/>
      <c r="S551" s="543"/>
      <c r="T551" s="543"/>
    </row>
    <row r="552">
      <c r="D552" s="184"/>
      <c r="H552" s="184"/>
      <c r="I552" s="184"/>
      <c r="J552" s="184"/>
      <c r="Q552" s="184"/>
      <c r="S552" s="543"/>
      <c r="T552" s="543"/>
    </row>
    <row r="553">
      <c r="D553" s="184"/>
      <c r="H553" s="184"/>
      <c r="I553" s="184"/>
      <c r="J553" s="184"/>
      <c r="Q553" s="184"/>
      <c r="S553" s="543"/>
      <c r="T553" s="543"/>
    </row>
    <row r="554">
      <c r="D554" s="184"/>
      <c r="H554" s="184"/>
      <c r="I554" s="184"/>
      <c r="J554" s="184"/>
      <c r="Q554" s="184"/>
      <c r="S554" s="543"/>
      <c r="T554" s="543"/>
    </row>
    <row r="555">
      <c r="D555" s="184"/>
      <c r="H555" s="184"/>
      <c r="I555" s="184"/>
      <c r="J555" s="184"/>
      <c r="Q555" s="184"/>
      <c r="S555" s="543"/>
      <c r="T555" s="543"/>
    </row>
    <row r="556">
      <c r="D556" s="184"/>
      <c r="H556" s="184"/>
      <c r="I556" s="184"/>
      <c r="J556" s="184"/>
      <c r="Q556" s="184"/>
      <c r="S556" s="543"/>
      <c r="T556" s="543"/>
    </row>
    <row r="557">
      <c r="D557" s="184"/>
      <c r="H557" s="184"/>
      <c r="I557" s="184"/>
      <c r="J557" s="184"/>
      <c r="Q557" s="184"/>
      <c r="S557" s="543"/>
      <c r="T557" s="543"/>
    </row>
    <row r="558">
      <c r="D558" s="184"/>
      <c r="H558" s="184"/>
      <c r="I558" s="184"/>
      <c r="J558" s="184"/>
      <c r="Q558" s="184"/>
      <c r="S558" s="543"/>
      <c r="T558" s="543"/>
    </row>
    <row r="559">
      <c r="D559" s="184"/>
      <c r="H559" s="184"/>
      <c r="I559" s="184"/>
      <c r="J559" s="184"/>
      <c r="Q559" s="184"/>
      <c r="S559" s="543"/>
      <c r="T559" s="543"/>
    </row>
    <row r="560">
      <c r="D560" s="184"/>
      <c r="H560" s="184"/>
      <c r="I560" s="184"/>
      <c r="J560" s="184"/>
      <c r="Q560" s="184"/>
      <c r="S560" s="543"/>
      <c r="T560" s="543"/>
    </row>
    <row r="561">
      <c r="D561" s="184"/>
      <c r="H561" s="184"/>
      <c r="I561" s="184"/>
      <c r="J561" s="184"/>
      <c r="Q561" s="184"/>
      <c r="S561" s="543"/>
      <c r="T561" s="543"/>
    </row>
    <row r="562">
      <c r="D562" s="184"/>
      <c r="H562" s="184"/>
      <c r="I562" s="184"/>
      <c r="J562" s="184"/>
      <c r="Q562" s="184"/>
      <c r="S562" s="543"/>
      <c r="T562" s="543"/>
    </row>
    <row r="563">
      <c r="D563" s="184"/>
      <c r="H563" s="184"/>
      <c r="I563" s="184"/>
      <c r="J563" s="184"/>
      <c r="Q563" s="184"/>
      <c r="S563" s="543"/>
      <c r="T563" s="543"/>
    </row>
    <row r="564">
      <c r="D564" s="184"/>
      <c r="H564" s="184"/>
      <c r="I564" s="184"/>
      <c r="J564" s="184"/>
      <c r="Q564" s="184"/>
      <c r="S564" s="543"/>
      <c r="T564" s="543"/>
    </row>
    <row r="565">
      <c r="D565" s="184"/>
      <c r="H565" s="184"/>
      <c r="I565" s="184"/>
      <c r="J565" s="184"/>
      <c r="Q565" s="184"/>
      <c r="S565" s="543"/>
      <c r="T565" s="543"/>
    </row>
    <row r="566">
      <c r="D566" s="184"/>
      <c r="H566" s="184"/>
      <c r="I566" s="184"/>
      <c r="J566" s="184"/>
      <c r="Q566" s="184"/>
      <c r="S566" s="543"/>
      <c r="T566" s="543"/>
    </row>
    <row r="567">
      <c r="D567" s="184"/>
      <c r="H567" s="184"/>
      <c r="I567" s="184"/>
      <c r="J567" s="184"/>
      <c r="Q567" s="184"/>
      <c r="S567" s="543"/>
      <c r="T567" s="543"/>
    </row>
    <row r="568">
      <c r="D568" s="184"/>
      <c r="H568" s="184"/>
      <c r="I568" s="184"/>
      <c r="J568" s="184"/>
      <c r="Q568" s="184"/>
      <c r="S568" s="543"/>
      <c r="T568" s="543"/>
    </row>
    <row r="569">
      <c r="D569" s="184"/>
      <c r="H569" s="184"/>
      <c r="I569" s="184"/>
      <c r="J569" s="184"/>
      <c r="Q569" s="184"/>
      <c r="S569" s="543"/>
      <c r="T569" s="543"/>
    </row>
    <row r="570">
      <c r="D570" s="184"/>
      <c r="H570" s="184"/>
      <c r="I570" s="184"/>
      <c r="J570" s="184"/>
      <c r="Q570" s="184"/>
      <c r="S570" s="543"/>
      <c r="T570" s="543"/>
    </row>
    <row r="571">
      <c r="D571" s="184"/>
      <c r="H571" s="184"/>
      <c r="I571" s="184"/>
      <c r="J571" s="184"/>
      <c r="Q571" s="184"/>
      <c r="S571" s="543"/>
      <c r="T571" s="543"/>
    </row>
    <row r="572">
      <c r="D572" s="184"/>
      <c r="H572" s="184"/>
      <c r="I572" s="184"/>
      <c r="J572" s="184"/>
      <c r="Q572" s="184"/>
      <c r="S572" s="543"/>
      <c r="T572" s="543"/>
    </row>
    <row r="573">
      <c r="D573" s="184"/>
      <c r="H573" s="184"/>
      <c r="I573" s="184"/>
      <c r="J573" s="184"/>
      <c r="Q573" s="184"/>
      <c r="S573" s="543"/>
      <c r="T573" s="543"/>
    </row>
    <row r="574">
      <c r="D574" s="184"/>
      <c r="H574" s="184"/>
      <c r="I574" s="184"/>
      <c r="J574" s="184"/>
      <c r="Q574" s="184"/>
      <c r="S574" s="543"/>
      <c r="T574" s="543"/>
    </row>
    <row r="575">
      <c r="D575" s="184"/>
      <c r="H575" s="184"/>
      <c r="I575" s="184"/>
      <c r="J575" s="184"/>
      <c r="Q575" s="184"/>
      <c r="S575" s="543"/>
      <c r="T575" s="543"/>
    </row>
    <row r="576">
      <c r="D576" s="184"/>
      <c r="H576" s="184"/>
      <c r="I576" s="184"/>
      <c r="J576" s="184"/>
      <c r="Q576" s="184"/>
      <c r="S576" s="543"/>
      <c r="T576" s="543"/>
    </row>
    <row r="577">
      <c r="D577" s="184"/>
      <c r="H577" s="184"/>
      <c r="I577" s="184"/>
      <c r="J577" s="184"/>
      <c r="Q577" s="184"/>
      <c r="S577" s="543"/>
      <c r="T577" s="543"/>
    </row>
    <row r="578">
      <c r="D578" s="184"/>
      <c r="H578" s="184"/>
      <c r="I578" s="184"/>
      <c r="J578" s="184"/>
      <c r="Q578" s="184"/>
      <c r="S578" s="543"/>
      <c r="T578" s="543"/>
    </row>
    <row r="579">
      <c r="D579" s="184"/>
      <c r="H579" s="184"/>
      <c r="I579" s="184"/>
      <c r="J579" s="184"/>
      <c r="Q579" s="184"/>
      <c r="S579" s="543"/>
      <c r="T579" s="543"/>
    </row>
    <row r="580">
      <c r="D580" s="184"/>
      <c r="H580" s="184"/>
      <c r="I580" s="184"/>
      <c r="J580" s="184"/>
      <c r="Q580" s="184"/>
      <c r="S580" s="543"/>
      <c r="T580" s="543"/>
    </row>
    <row r="581">
      <c r="D581" s="184"/>
      <c r="H581" s="184"/>
      <c r="I581" s="184"/>
      <c r="J581" s="184"/>
      <c r="Q581" s="184"/>
      <c r="S581" s="543"/>
      <c r="T581" s="543"/>
    </row>
    <row r="582">
      <c r="D582" s="184"/>
      <c r="H582" s="184"/>
      <c r="I582" s="184"/>
      <c r="J582" s="184"/>
      <c r="Q582" s="184"/>
      <c r="S582" s="543"/>
      <c r="T582" s="543"/>
    </row>
    <row r="583">
      <c r="D583" s="184"/>
      <c r="H583" s="184"/>
      <c r="I583" s="184"/>
      <c r="J583" s="184"/>
      <c r="Q583" s="184"/>
      <c r="S583" s="543"/>
      <c r="T583" s="543"/>
    </row>
    <row r="584">
      <c r="D584" s="184"/>
      <c r="H584" s="184"/>
      <c r="I584" s="184"/>
      <c r="J584" s="184"/>
      <c r="Q584" s="184"/>
      <c r="S584" s="543"/>
      <c r="T584" s="543"/>
    </row>
    <row r="585">
      <c r="D585" s="184"/>
      <c r="H585" s="184"/>
      <c r="I585" s="184"/>
      <c r="J585" s="184"/>
      <c r="Q585" s="184"/>
      <c r="S585" s="543"/>
      <c r="T585" s="543"/>
    </row>
    <row r="586">
      <c r="D586" s="184"/>
      <c r="H586" s="184"/>
      <c r="I586" s="184"/>
      <c r="J586" s="184"/>
      <c r="Q586" s="184"/>
      <c r="S586" s="543"/>
      <c r="T586" s="543"/>
    </row>
    <row r="587">
      <c r="D587" s="184"/>
      <c r="H587" s="184"/>
      <c r="I587" s="184"/>
      <c r="J587" s="184"/>
      <c r="Q587" s="184"/>
      <c r="S587" s="543"/>
      <c r="T587" s="543"/>
    </row>
    <row r="588">
      <c r="D588" s="184"/>
      <c r="H588" s="184"/>
      <c r="I588" s="184"/>
      <c r="J588" s="184"/>
      <c r="Q588" s="184"/>
      <c r="S588" s="543"/>
      <c r="T588" s="543"/>
    </row>
    <row r="589">
      <c r="D589" s="184"/>
      <c r="H589" s="184"/>
      <c r="I589" s="184"/>
      <c r="J589" s="184"/>
      <c r="Q589" s="184"/>
      <c r="S589" s="543"/>
      <c r="T589" s="543"/>
    </row>
    <row r="590">
      <c r="D590" s="184"/>
      <c r="H590" s="184"/>
      <c r="I590" s="184"/>
      <c r="J590" s="184"/>
      <c r="Q590" s="184"/>
      <c r="S590" s="543"/>
      <c r="T590" s="543"/>
    </row>
    <row r="591">
      <c r="D591" s="184"/>
      <c r="H591" s="184"/>
      <c r="I591" s="184"/>
      <c r="J591" s="184"/>
      <c r="Q591" s="184"/>
      <c r="S591" s="543"/>
      <c r="T591" s="543"/>
    </row>
    <row r="592">
      <c r="D592" s="184"/>
      <c r="H592" s="184"/>
      <c r="I592" s="184"/>
      <c r="J592" s="184"/>
      <c r="Q592" s="184"/>
      <c r="S592" s="543"/>
      <c r="T592" s="543"/>
    </row>
    <row r="593">
      <c r="D593" s="184"/>
      <c r="H593" s="184"/>
      <c r="I593" s="184"/>
      <c r="J593" s="184"/>
      <c r="Q593" s="184"/>
      <c r="S593" s="543"/>
      <c r="T593" s="543"/>
    </row>
    <row r="594">
      <c r="D594" s="184"/>
      <c r="H594" s="184"/>
      <c r="I594" s="184"/>
      <c r="J594" s="184"/>
      <c r="Q594" s="184"/>
      <c r="S594" s="543"/>
      <c r="T594" s="543"/>
    </row>
    <row r="595">
      <c r="D595" s="184"/>
      <c r="H595" s="184"/>
      <c r="I595" s="184"/>
      <c r="J595" s="184"/>
      <c r="Q595" s="184"/>
      <c r="S595" s="543"/>
      <c r="T595" s="543"/>
    </row>
    <row r="596">
      <c r="D596" s="184"/>
      <c r="H596" s="184"/>
      <c r="I596" s="184"/>
      <c r="J596" s="184"/>
      <c r="Q596" s="184"/>
      <c r="S596" s="543"/>
      <c r="T596" s="543"/>
    </row>
    <row r="597">
      <c r="D597" s="184"/>
      <c r="H597" s="184"/>
      <c r="I597" s="184"/>
      <c r="J597" s="184"/>
      <c r="Q597" s="184"/>
      <c r="S597" s="543"/>
      <c r="T597" s="543"/>
    </row>
    <row r="598">
      <c r="D598" s="184"/>
      <c r="H598" s="184"/>
      <c r="I598" s="184"/>
      <c r="J598" s="184"/>
      <c r="Q598" s="184"/>
      <c r="S598" s="543"/>
      <c r="T598" s="543"/>
    </row>
    <row r="599">
      <c r="D599" s="184"/>
      <c r="H599" s="184"/>
      <c r="I599" s="184"/>
      <c r="J599" s="184"/>
      <c r="Q599" s="184"/>
      <c r="S599" s="543"/>
      <c r="T599" s="543"/>
    </row>
    <row r="600">
      <c r="D600" s="184"/>
      <c r="H600" s="184"/>
      <c r="I600" s="184"/>
      <c r="J600" s="184"/>
      <c r="Q600" s="184"/>
      <c r="S600" s="543"/>
      <c r="T600" s="543"/>
    </row>
    <row r="601">
      <c r="D601" s="184"/>
      <c r="H601" s="184"/>
      <c r="I601" s="184"/>
      <c r="J601" s="184"/>
      <c r="Q601" s="184"/>
      <c r="S601" s="543"/>
      <c r="T601" s="543"/>
    </row>
    <row r="602">
      <c r="D602" s="184"/>
      <c r="H602" s="184"/>
      <c r="I602" s="184"/>
      <c r="J602" s="184"/>
      <c r="Q602" s="184"/>
      <c r="S602" s="543"/>
      <c r="T602" s="543"/>
    </row>
    <row r="603">
      <c r="D603" s="184"/>
      <c r="H603" s="184"/>
      <c r="I603" s="184"/>
      <c r="J603" s="184"/>
      <c r="Q603" s="184"/>
      <c r="S603" s="543"/>
      <c r="T603" s="543"/>
    </row>
    <row r="604">
      <c r="D604" s="184"/>
      <c r="H604" s="184"/>
      <c r="I604" s="184"/>
      <c r="J604" s="184"/>
      <c r="Q604" s="184"/>
      <c r="S604" s="543"/>
      <c r="T604" s="543"/>
    </row>
    <row r="605">
      <c r="D605" s="184"/>
      <c r="H605" s="184"/>
      <c r="I605" s="184"/>
      <c r="J605" s="184"/>
      <c r="Q605" s="184"/>
      <c r="S605" s="543"/>
      <c r="T605" s="543"/>
    </row>
    <row r="606">
      <c r="D606" s="184"/>
      <c r="H606" s="184"/>
      <c r="I606" s="184"/>
      <c r="J606" s="184"/>
      <c r="Q606" s="184"/>
      <c r="S606" s="543"/>
      <c r="T606" s="543"/>
    </row>
    <row r="607">
      <c r="D607" s="184"/>
      <c r="H607" s="184"/>
      <c r="I607" s="184"/>
      <c r="J607" s="184"/>
      <c r="Q607" s="184"/>
      <c r="S607" s="543"/>
      <c r="T607" s="543"/>
    </row>
    <row r="608">
      <c r="D608" s="184"/>
      <c r="H608" s="184"/>
      <c r="I608" s="184"/>
      <c r="J608" s="184"/>
      <c r="Q608" s="184"/>
      <c r="S608" s="543"/>
      <c r="T608" s="543"/>
    </row>
    <row r="609">
      <c r="D609" s="184"/>
      <c r="H609" s="184"/>
      <c r="I609" s="184"/>
      <c r="J609" s="184"/>
      <c r="Q609" s="184"/>
      <c r="S609" s="543"/>
      <c r="T609" s="543"/>
    </row>
    <row r="610">
      <c r="D610" s="184"/>
      <c r="H610" s="184"/>
      <c r="I610" s="184"/>
      <c r="J610" s="184"/>
      <c r="Q610" s="184"/>
      <c r="S610" s="543"/>
      <c r="T610" s="543"/>
    </row>
    <row r="611">
      <c r="D611" s="184"/>
      <c r="H611" s="184"/>
      <c r="I611" s="184"/>
      <c r="J611" s="184"/>
      <c r="Q611" s="184"/>
      <c r="S611" s="543"/>
      <c r="T611" s="543"/>
    </row>
    <row r="612">
      <c r="D612" s="184"/>
      <c r="H612" s="184"/>
      <c r="I612" s="184"/>
      <c r="J612" s="184"/>
      <c r="Q612" s="184"/>
      <c r="S612" s="543"/>
      <c r="T612" s="543"/>
    </row>
    <row r="613">
      <c r="D613" s="184"/>
      <c r="H613" s="184"/>
      <c r="I613" s="184"/>
      <c r="J613" s="184"/>
      <c r="Q613" s="184"/>
      <c r="S613" s="543"/>
      <c r="T613" s="543"/>
    </row>
    <row r="614">
      <c r="D614" s="184"/>
      <c r="H614" s="184"/>
      <c r="I614" s="184"/>
      <c r="J614" s="184"/>
      <c r="Q614" s="184"/>
      <c r="S614" s="543"/>
      <c r="T614" s="543"/>
    </row>
    <row r="615">
      <c r="D615" s="184"/>
      <c r="H615" s="184"/>
      <c r="I615" s="184"/>
      <c r="J615" s="184"/>
      <c r="Q615" s="184"/>
      <c r="S615" s="543"/>
      <c r="T615" s="543"/>
    </row>
    <row r="616">
      <c r="D616" s="184"/>
      <c r="H616" s="184"/>
      <c r="I616" s="184"/>
      <c r="J616" s="184"/>
      <c r="Q616" s="184"/>
      <c r="S616" s="543"/>
      <c r="T616" s="543"/>
    </row>
    <row r="617">
      <c r="D617" s="184"/>
      <c r="H617" s="184"/>
      <c r="I617" s="184"/>
      <c r="J617" s="184"/>
      <c r="Q617" s="184"/>
      <c r="S617" s="543"/>
      <c r="T617" s="543"/>
    </row>
    <row r="618">
      <c r="D618" s="184"/>
      <c r="H618" s="184"/>
      <c r="I618" s="184"/>
      <c r="J618" s="184"/>
      <c r="Q618" s="184"/>
      <c r="S618" s="543"/>
      <c r="T618" s="543"/>
    </row>
    <row r="619">
      <c r="D619" s="184"/>
      <c r="H619" s="184"/>
      <c r="I619" s="184"/>
      <c r="J619" s="184"/>
      <c r="Q619" s="184"/>
      <c r="S619" s="543"/>
      <c r="T619" s="543"/>
    </row>
    <row r="620">
      <c r="D620" s="184"/>
      <c r="H620" s="184"/>
      <c r="I620" s="184"/>
      <c r="J620" s="184"/>
      <c r="Q620" s="184"/>
      <c r="S620" s="543"/>
      <c r="T620" s="543"/>
    </row>
    <row r="621">
      <c r="D621" s="184"/>
      <c r="H621" s="184"/>
      <c r="I621" s="184"/>
      <c r="J621" s="184"/>
      <c r="Q621" s="184"/>
      <c r="S621" s="543"/>
      <c r="T621" s="543"/>
    </row>
    <row r="622">
      <c r="D622" s="184"/>
      <c r="H622" s="184"/>
      <c r="I622" s="184"/>
      <c r="J622" s="184"/>
      <c r="Q622" s="184"/>
      <c r="S622" s="543"/>
      <c r="T622" s="543"/>
    </row>
    <row r="623">
      <c r="D623" s="184"/>
      <c r="H623" s="184"/>
      <c r="I623" s="184"/>
      <c r="J623" s="184"/>
      <c r="Q623" s="184"/>
      <c r="S623" s="543"/>
      <c r="T623" s="543"/>
    </row>
    <row r="624">
      <c r="D624" s="184"/>
      <c r="H624" s="184"/>
      <c r="I624" s="184"/>
      <c r="J624" s="184"/>
      <c r="Q624" s="184"/>
      <c r="S624" s="543"/>
      <c r="T624" s="543"/>
    </row>
    <row r="625">
      <c r="D625" s="184"/>
      <c r="H625" s="184"/>
      <c r="I625" s="184"/>
      <c r="J625" s="184"/>
      <c r="Q625" s="184"/>
      <c r="S625" s="543"/>
      <c r="T625" s="543"/>
    </row>
    <row r="626">
      <c r="D626" s="184"/>
      <c r="H626" s="184"/>
      <c r="I626" s="184"/>
      <c r="J626" s="184"/>
      <c r="Q626" s="184"/>
      <c r="S626" s="543"/>
      <c r="T626" s="543"/>
    </row>
    <row r="627">
      <c r="D627" s="184"/>
      <c r="H627" s="184"/>
      <c r="I627" s="184"/>
      <c r="J627" s="184"/>
      <c r="Q627" s="184"/>
      <c r="S627" s="543"/>
      <c r="T627" s="543"/>
    </row>
    <row r="628">
      <c r="D628" s="184"/>
      <c r="H628" s="184"/>
      <c r="I628" s="184"/>
      <c r="J628" s="184"/>
      <c r="Q628" s="184"/>
      <c r="S628" s="543"/>
      <c r="T628" s="543"/>
    </row>
    <row r="629">
      <c r="D629" s="184"/>
      <c r="H629" s="184"/>
      <c r="I629" s="184"/>
      <c r="J629" s="184"/>
      <c r="Q629" s="184"/>
      <c r="S629" s="543"/>
      <c r="T629" s="543"/>
    </row>
    <row r="630">
      <c r="D630" s="184"/>
      <c r="H630" s="184"/>
      <c r="I630" s="184"/>
      <c r="J630" s="184"/>
      <c r="Q630" s="184"/>
      <c r="S630" s="543"/>
      <c r="T630" s="543"/>
    </row>
    <row r="631">
      <c r="D631" s="184"/>
      <c r="H631" s="184"/>
      <c r="I631" s="184"/>
      <c r="J631" s="184"/>
      <c r="Q631" s="184"/>
      <c r="S631" s="543"/>
      <c r="T631" s="543"/>
    </row>
    <row r="632">
      <c r="D632" s="184"/>
      <c r="H632" s="184"/>
      <c r="I632" s="184"/>
      <c r="J632" s="184"/>
      <c r="Q632" s="184"/>
      <c r="S632" s="543"/>
      <c r="T632" s="543"/>
    </row>
    <row r="633">
      <c r="D633" s="184"/>
      <c r="H633" s="184"/>
      <c r="I633" s="184"/>
      <c r="J633" s="184"/>
      <c r="Q633" s="184"/>
      <c r="S633" s="543"/>
      <c r="T633" s="543"/>
    </row>
    <row r="634">
      <c r="D634" s="184"/>
      <c r="H634" s="184"/>
      <c r="I634" s="184"/>
      <c r="J634" s="184"/>
      <c r="Q634" s="184"/>
      <c r="S634" s="543"/>
      <c r="T634" s="543"/>
    </row>
    <row r="635">
      <c r="D635" s="184"/>
      <c r="H635" s="184"/>
      <c r="I635" s="184"/>
      <c r="J635" s="184"/>
      <c r="Q635" s="184"/>
      <c r="S635" s="543"/>
      <c r="T635" s="543"/>
    </row>
    <row r="636">
      <c r="D636" s="184"/>
      <c r="H636" s="184"/>
      <c r="I636" s="184"/>
      <c r="J636" s="184"/>
      <c r="Q636" s="184"/>
      <c r="S636" s="543"/>
      <c r="T636" s="543"/>
    </row>
    <row r="637">
      <c r="D637" s="184"/>
      <c r="H637" s="184"/>
      <c r="I637" s="184"/>
      <c r="J637" s="184"/>
      <c r="Q637" s="184"/>
      <c r="S637" s="543"/>
      <c r="T637" s="543"/>
    </row>
    <row r="638">
      <c r="D638" s="184"/>
      <c r="H638" s="184"/>
      <c r="I638" s="184"/>
      <c r="J638" s="184"/>
      <c r="Q638" s="184"/>
      <c r="S638" s="543"/>
      <c r="T638" s="543"/>
    </row>
    <row r="639">
      <c r="D639" s="184"/>
      <c r="H639" s="184"/>
      <c r="I639" s="184"/>
      <c r="J639" s="184"/>
      <c r="Q639" s="184"/>
      <c r="S639" s="543"/>
      <c r="T639" s="543"/>
    </row>
    <row r="640">
      <c r="D640" s="184"/>
      <c r="H640" s="184"/>
      <c r="I640" s="184"/>
      <c r="J640" s="184"/>
      <c r="Q640" s="184"/>
      <c r="S640" s="543"/>
      <c r="T640" s="543"/>
    </row>
    <row r="641">
      <c r="D641" s="184"/>
      <c r="H641" s="184"/>
      <c r="I641" s="184"/>
      <c r="J641" s="184"/>
      <c r="Q641" s="184"/>
      <c r="S641" s="543"/>
      <c r="T641" s="543"/>
    </row>
    <row r="642">
      <c r="D642" s="184"/>
      <c r="H642" s="184"/>
      <c r="I642" s="184"/>
      <c r="J642" s="184"/>
      <c r="Q642" s="184"/>
      <c r="S642" s="543"/>
      <c r="T642" s="543"/>
    </row>
    <row r="643">
      <c r="D643" s="184"/>
      <c r="H643" s="184"/>
      <c r="I643" s="184"/>
      <c r="J643" s="184"/>
      <c r="Q643" s="184"/>
      <c r="S643" s="543"/>
      <c r="T643" s="543"/>
    </row>
    <row r="644">
      <c r="D644" s="184"/>
      <c r="H644" s="184"/>
      <c r="I644" s="184"/>
      <c r="J644" s="184"/>
      <c r="Q644" s="184"/>
      <c r="S644" s="543"/>
      <c r="T644" s="543"/>
    </row>
    <row r="645">
      <c r="D645" s="184"/>
      <c r="H645" s="184"/>
      <c r="I645" s="184"/>
      <c r="J645" s="184"/>
      <c r="Q645" s="184"/>
      <c r="S645" s="543"/>
      <c r="T645" s="543"/>
    </row>
    <row r="646">
      <c r="D646" s="184"/>
      <c r="H646" s="184"/>
      <c r="I646" s="184"/>
      <c r="J646" s="184"/>
      <c r="Q646" s="184"/>
      <c r="S646" s="543"/>
      <c r="T646" s="543"/>
    </row>
    <row r="647">
      <c r="D647" s="184"/>
      <c r="H647" s="184"/>
      <c r="I647" s="184"/>
      <c r="J647" s="184"/>
      <c r="Q647" s="184"/>
      <c r="S647" s="543"/>
      <c r="T647" s="543"/>
    </row>
    <row r="648">
      <c r="D648" s="184"/>
      <c r="H648" s="184"/>
      <c r="I648" s="184"/>
      <c r="J648" s="184"/>
      <c r="Q648" s="184"/>
      <c r="S648" s="543"/>
      <c r="T648" s="543"/>
    </row>
    <row r="649">
      <c r="D649" s="184"/>
      <c r="H649" s="184"/>
      <c r="I649" s="184"/>
      <c r="J649" s="184"/>
      <c r="Q649" s="184"/>
      <c r="S649" s="543"/>
      <c r="T649" s="543"/>
    </row>
    <row r="650">
      <c r="D650" s="184"/>
      <c r="H650" s="184"/>
      <c r="I650" s="184"/>
      <c r="J650" s="184"/>
      <c r="Q650" s="184"/>
      <c r="S650" s="543"/>
      <c r="T650" s="543"/>
    </row>
    <row r="651">
      <c r="D651" s="184"/>
      <c r="H651" s="184"/>
      <c r="I651" s="184"/>
      <c r="J651" s="184"/>
      <c r="Q651" s="184"/>
      <c r="S651" s="543"/>
      <c r="T651" s="543"/>
    </row>
    <row r="652">
      <c r="D652" s="184"/>
      <c r="H652" s="184"/>
      <c r="I652" s="184"/>
      <c r="J652" s="184"/>
      <c r="Q652" s="184"/>
      <c r="S652" s="543"/>
      <c r="T652" s="543"/>
    </row>
    <row r="653">
      <c r="D653" s="184"/>
      <c r="H653" s="184"/>
      <c r="I653" s="184"/>
      <c r="J653" s="184"/>
      <c r="Q653" s="184"/>
      <c r="S653" s="543"/>
      <c r="T653" s="543"/>
    </row>
    <row r="654">
      <c r="D654" s="184"/>
      <c r="H654" s="184"/>
      <c r="I654" s="184"/>
      <c r="J654" s="184"/>
      <c r="Q654" s="184"/>
      <c r="S654" s="543"/>
      <c r="T654" s="543"/>
    </row>
    <row r="655">
      <c r="D655" s="184"/>
      <c r="H655" s="184"/>
      <c r="I655" s="184"/>
      <c r="J655" s="184"/>
      <c r="Q655" s="184"/>
      <c r="S655" s="543"/>
      <c r="T655" s="543"/>
    </row>
    <row r="656">
      <c r="D656" s="184"/>
      <c r="H656" s="184"/>
      <c r="I656" s="184"/>
      <c r="J656" s="184"/>
      <c r="Q656" s="184"/>
      <c r="S656" s="543"/>
      <c r="T656" s="543"/>
    </row>
    <row r="657">
      <c r="D657" s="184"/>
      <c r="H657" s="184"/>
      <c r="I657" s="184"/>
      <c r="J657" s="184"/>
      <c r="Q657" s="184"/>
      <c r="S657" s="543"/>
      <c r="T657" s="543"/>
    </row>
    <row r="658">
      <c r="D658" s="184"/>
      <c r="H658" s="184"/>
      <c r="I658" s="184"/>
      <c r="J658" s="184"/>
      <c r="Q658" s="184"/>
      <c r="S658" s="543"/>
      <c r="T658" s="543"/>
    </row>
    <row r="659">
      <c r="D659" s="184"/>
      <c r="H659" s="184"/>
      <c r="I659" s="184"/>
      <c r="J659" s="184"/>
      <c r="Q659" s="184"/>
      <c r="S659" s="543"/>
      <c r="T659" s="543"/>
    </row>
    <row r="660">
      <c r="D660" s="184"/>
      <c r="H660" s="184"/>
      <c r="I660" s="184"/>
      <c r="J660" s="184"/>
      <c r="Q660" s="184"/>
      <c r="S660" s="543"/>
      <c r="T660" s="543"/>
    </row>
    <row r="661">
      <c r="D661" s="184"/>
      <c r="H661" s="184"/>
      <c r="I661" s="184"/>
      <c r="J661" s="184"/>
      <c r="Q661" s="184"/>
      <c r="S661" s="543"/>
      <c r="T661" s="543"/>
    </row>
    <row r="662">
      <c r="D662" s="184"/>
      <c r="H662" s="184"/>
      <c r="I662" s="184"/>
      <c r="J662" s="184"/>
      <c r="Q662" s="184"/>
      <c r="S662" s="543"/>
      <c r="T662" s="543"/>
    </row>
    <row r="663">
      <c r="D663" s="184"/>
      <c r="H663" s="184"/>
      <c r="I663" s="184"/>
      <c r="J663" s="184"/>
      <c r="Q663" s="184"/>
      <c r="S663" s="543"/>
      <c r="T663" s="543"/>
    </row>
    <row r="664">
      <c r="D664" s="184"/>
      <c r="H664" s="184"/>
      <c r="I664" s="184"/>
      <c r="J664" s="184"/>
      <c r="Q664" s="184"/>
      <c r="S664" s="543"/>
      <c r="T664" s="543"/>
    </row>
    <row r="665">
      <c r="D665" s="184"/>
      <c r="H665" s="184"/>
      <c r="I665" s="184"/>
      <c r="J665" s="184"/>
      <c r="Q665" s="184"/>
      <c r="S665" s="543"/>
      <c r="T665" s="543"/>
    </row>
    <row r="666">
      <c r="D666" s="184"/>
      <c r="H666" s="184"/>
      <c r="I666" s="184"/>
      <c r="J666" s="184"/>
      <c r="Q666" s="184"/>
      <c r="S666" s="543"/>
      <c r="T666" s="543"/>
    </row>
    <row r="667">
      <c r="D667" s="184"/>
      <c r="H667" s="184"/>
      <c r="I667" s="184"/>
      <c r="J667" s="184"/>
      <c r="Q667" s="184"/>
      <c r="S667" s="543"/>
      <c r="T667" s="543"/>
    </row>
    <row r="668">
      <c r="D668" s="184"/>
      <c r="H668" s="184"/>
      <c r="I668" s="184"/>
      <c r="J668" s="184"/>
      <c r="Q668" s="184"/>
      <c r="S668" s="543"/>
      <c r="T668" s="543"/>
    </row>
    <row r="669">
      <c r="D669" s="184"/>
      <c r="H669" s="184"/>
      <c r="I669" s="184"/>
      <c r="J669" s="184"/>
      <c r="Q669" s="184"/>
      <c r="S669" s="543"/>
      <c r="T669" s="543"/>
    </row>
    <row r="670">
      <c r="D670" s="184"/>
      <c r="H670" s="184"/>
      <c r="I670" s="184"/>
      <c r="J670" s="184"/>
      <c r="Q670" s="184"/>
      <c r="S670" s="543"/>
      <c r="T670" s="543"/>
    </row>
    <row r="671">
      <c r="D671" s="184"/>
      <c r="H671" s="184"/>
      <c r="I671" s="184"/>
      <c r="J671" s="184"/>
      <c r="Q671" s="184"/>
      <c r="S671" s="543"/>
      <c r="T671" s="543"/>
    </row>
    <row r="672">
      <c r="D672" s="184"/>
      <c r="H672" s="184"/>
      <c r="I672" s="184"/>
      <c r="J672" s="184"/>
      <c r="Q672" s="184"/>
      <c r="S672" s="543"/>
      <c r="T672" s="543"/>
    </row>
    <row r="673">
      <c r="D673" s="184"/>
      <c r="H673" s="184"/>
      <c r="I673" s="184"/>
      <c r="J673" s="184"/>
      <c r="Q673" s="184"/>
      <c r="S673" s="543"/>
      <c r="T673" s="543"/>
    </row>
    <row r="674">
      <c r="D674" s="184"/>
      <c r="H674" s="184"/>
      <c r="I674" s="184"/>
      <c r="J674" s="184"/>
      <c r="Q674" s="184"/>
      <c r="S674" s="543"/>
      <c r="T674" s="543"/>
    </row>
    <row r="675">
      <c r="D675" s="184"/>
      <c r="H675" s="184"/>
      <c r="I675" s="184"/>
      <c r="J675" s="184"/>
      <c r="Q675" s="184"/>
      <c r="S675" s="543"/>
      <c r="T675" s="543"/>
    </row>
    <row r="676">
      <c r="D676" s="184"/>
      <c r="H676" s="184"/>
      <c r="I676" s="184"/>
      <c r="J676" s="184"/>
      <c r="Q676" s="184"/>
      <c r="S676" s="543"/>
      <c r="T676" s="543"/>
    </row>
    <row r="677">
      <c r="D677" s="184"/>
      <c r="H677" s="184"/>
      <c r="I677" s="184"/>
      <c r="J677" s="184"/>
      <c r="Q677" s="184"/>
      <c r="S677" s="543"/>
      <c r="T677" s="543"/>
    </row>
    <row r="678">
      <c r="D678" s="184"/>
      <c r="H678" s="184"/>
      <c r="I678" s="184"/>
      <c r="J678" s="184"/>
      <c r="Q678" s="184"/>
      <c r="S678" s="543"/>
      <c r="T678" s="543"/>
    </row>
    <row r="679">
      <c r="D679" s="184"/>
      <c r="H679" s="184"/>
      <c r="I679" s="184"/>
      <c r="J679" s="184"/>
      <c r="Q679" s="184"/>
      <c r="S679" s="543"/>
      <c r="T679" s="543"/>
    </row>
    <row r="680">
      <c r="D680" s="184"/>
      <c r="H680" s="184"/>
      <c r="I680" s="184"/>
      <c r="J680" s="184"/>
      <c r="Q680" s="184"/>
      <c r="S680" s="543"/>
      <c r="T680" s="543"/>
    </row>
    <row r="681">
      <c r="D681" s="184"/>
      <c r="H681" s="184"/>
      <c r="I681" s="184"/>
      <c r="J681" s="184"/>
      <c r="Q681" s="184"/>
      <c r="S681" s="543"/>
      <c r="T681" s="543"/>
    </row>
    <row r="682">
      <c r="D682" s="184"/>
      <c r="H682" s="184"/>
      <c r="I682" s="184"/>
      <c r="J682" s="184"/>
      <c r="Q682" s="184"/>
      <c r="S682" s="543"/>
      <c r="T682" s="543"/>
    </row>
    <row r="683">
      <c r="D683" s="184"/>
      <c r="H683" s="184"/>
      <c r="I683" s="184"/>
      <c r="J683" s="184"/>
      <c r="Q683" s="184"/>
      <c r="S683" s="543"/>
      <c r="T683" s="543"/>
    </row>
    <row r="684">
      <c r="D684" s="184"/>
      <c r="H684" s="184"/>
      <c r="I684" s="184"/>
      <c r="J684" s="184"/>
      <c r="Q684" s="184"/>
      <c r="S684" s="543"/>
      <c r="T684" s="543"/>
    </row>
    <row r="685">
      <c r="D685" s="184"/>
      <c r="H685" s="184"/>
      <c r="I685" s="184"/>
      <c r="J685" s="184"/>
      <c r="Q685" s="184"/>
      <c r="S685" s="543"/>
      <c r="T685" s="543"/>
    </row>
    <row r="686">
      <c r="D686" s="184"/>
      <c r="H686" s="184"/>
      <c r="I686" s="184"/>
      <c r="J686" s="184"/>
      <c r="Q686" s="184"/>
      <c r="S686" s="543"/>
      <c r="T686" s="543"/>
    </row>
    <row r="687">
      <c r="D687" s="184"/>
      <c r="H687" s="184"/>
      <c r="I687" s="184"/>
      <c r="J687" s="184"/>
      <c r="Q687" s="184"/>
      <c r="S687" s="543"/>
      <c r="T687" s="543"/>
    </row>
    <row r="688">
      <c r="D688" s="184"/>
      <c r="H688" s="184"/>
      <c r="I688" s="184"/>
      <c r="J688" s="184"/>
      <c r="Q688" s="184"/>
      <c r="S688" s="543"/>
      <c r="T688" s="543"/>
    </row>
    <row r="689">
      <c r="D689" s="184"/>
      <c r="H689" s="184"/>
      <c r="I689" s="184"/>
      <c r="J689" s="184"/>
      <c r="Q689" s="184"/>
      <c r="S689" s="543"/>
      <c r="T689" s="543"/>
    </row>
    <row r="690">
      <c r="D690" s="184"/>
      <c r="H690" s="184"/>
      <c r="I690" s="184"/>
      <c r="J690" s="184"/>
      <c r="Q690" s="184"/>
      <c r="S690" s="543"/>
      <c r="T690" s="543"/>
    </row>
    <row r="691">
      <c r="D691" s="184"/>
      <c r="H691" s="184"/>
      <c r="I691" s="184"/>
      <c r="J691" s="184"/>
      <c r="Q691" s="184"/>
      <c r="S691" s="543"/>
      <c r="T691" s="543"/>
    </row>
    <row r="692">
      <c r="D692" s="184"/>
      <c r="H692" s="184"/>
      <c r="I692" s="184"/>
      <c r="J692" s="184"/>
      <c r="Q692" s="184"/>
      <c r="S692" s="543"/>
      <c r="T692" s="543"/>
    </row>
    <row r="693">
      <c r="D693" s="184"/>
      <c r="H693" s="184"/>
      <c r="I693" s="184"/>
      <c r="J693" s="184"/>
      <c r="Q693" s="184"/>
      <c r="S693" s="543"/>
      <c r="T693" s="543"/>
    </row>
    <row r="694">
      <c r="D694" s="184"/>
      <c r="H694" s="184"/>
      <c r="I694" s="184"/>
      <c r="J694" s="184"/>
      <c r="Q694" s="184"/>
      <c r="S694" s="543"/>
      <c r="T694" s="543"/>
    </row>
    <row r="695">
      <c r="D695" s="184"/>
      <c r="H695" s="184"/>
      <c r="I695" s="184"/>
      <c r="J695" s="184"/>
      <c r="Q695" s="184"/>
      <c r="S695" s="543"/>
      <c r="T695" s="543"/>
    </row>
    <row r="696">
      <c r="D696" s="184"/>
      <c r="H696" s="184"/>
      <c r="I696" s="184"/>
      <c r="J696" s="184"/>
      <c r="Q696" s="184"/>
      <c r="S696" s="543"/>
      <c r="T696" s="543"/>
    </row>
    <row r="697">
      <c r="D697" s="184"/>
      <c r="H697" s="184"/>
      <c r="I697" s="184"/>
      <c r="J697" s="184"/>
      <c r="Q697" s="184"/>
      <c r="S697" s="543"/>
      <c r="T697" s="543"/>
    </row>
    <row r="698">
      <c r="D698" s="184"/>
      <c r="H698" s="184"/>
      <c r="I698" s="184"/>
      <c r="J698" s="184"/>
      <c r="Q698" s="184"/>
      <c r="S698" s="543"/>
      <c r="T698" s="543"/>
    </row>
    <row r="699">
      <c r="D699" s="184"/>
      <c r="H699" s="184"/>
      <c r="I699" s="184"/>
      <c r="J699" s="184"/>
      <c r="Q699" s="184"/>
      <c r="S699" s="543"/>
      <c r="T699" s="543"/>
    </row>
    <row r="700">
      <c r="D700" s="184"/>
      <c r="H700" s="184"/>
      <c r="I700" s="184"/>
      <c r="J700" s="184"/>
      <c r="Q700" s="184"/>
      <c r="S700" s="543"/>
      <c r="T700" s="543"/>
    </row>
    <row r="701">
      <c r="D701" s="184"/>
      <c r="H701" s="184"/>
      <c r="I701" s="184"/>
      <c r="J701" s="184"/>
      <c r="Q701" s="184"/>
      <c r="S701" s="543"/>
      <c r="T701" s="543"/>
    </row>
    <row r="702">
      <c r="D702" s="184"/>
      <c r="H702" s="184"/>
      <c r="I702" s="184"/>
      <c r="J702" s="184"/>
      <c r="Q702" s="184"/>
      <c r="S702" s="543"/>
      <c r="T702" s="543"/>
    </row>
    <row r="703">
      <c r="D703" s="184"/>
      <c r="H703" s="184"/>
      <c r="I703" s="184"/>
      <c r="J703" s="184"/>
      <c r="Q703" s="184"/>
      <c r="S703" s="543"/>
      <c r="T703" s="543"/>
    </row>
    <row r="704">
      <c r="D704" s="184"/>
      <c r="H704" s="184"/>
      <c r="I704" s="184"/>
      <c r="J704" s="184"/>
      <c r="Q704" s="184"/>
      <c r="S704" s="543"/>
      <c r="T704" s="543"/>
    </row>
    <row r="705">
      <c r="D705" s="184"/>
      <c r="H705" s="184"/>
      <c r="I705" s="184"/>
      <c r="J705" s="184"/>
      <c r="Q705" s="184"/>
      <c r="S705" s="543"/>
      <c r="T705" s="543"/>
    </row>
    <row r="706">
      <c r="D706" s="184"/>
      <c r="H706" s="184"/>
      <c r="I706" s="184"/>
      <c r="J706" s="184"/>
      <c r="Q706" s="184"/>
      <c r="S706" s="543"/>
      <c r="T706" s="543"/>
    </row>
    <row r="707">
      <c r="D707" s="184"/>
      <c r="H707" s="184"/>
      <c r="I707" s="184"/>
      <c r="J707" s="184"/>
      <c r="Q707" s="184"/>
      <c r="S707" s="543"/>
      <c r="T707" s="543"/>
    </row>
    <row r="708">
      <c r="D708" s="184"/>
      <c r="H708" s="184"/>
      <c r="I708" s="184"/>
      <c r="J708" s="184"/>
      <c r="Q708" s="184"/>
      <c r="S708" s="543"/>
      <c r="T708" s="543"/>
    </row>
    <row r="709">
      <c r="D709" s="184"/>
      <c r="H709" s="184"/>
      <c r="I709" s="184"/>
      <c r="J709" s="184"/>
      <c r="Q709" s="184"/>
      <c r="S709" s="543"/>
      <c r="T709" s="543"/>
    </row>
    <row r="710">
      <c r="D710" s="184"/>
      <c r="H710" s="184"/>
      <c r="I710" s="184"/>
      <c r="J710" s="184"/>
      <c r="Q710" s="184"/>
      <c r="S710" s="543"/>
      <c r="T710" s="543"/>
    </row>
    <row r="711">
      <c r="D711" s="184"/>
      <c r="H711" s="184"/>
      <c r="I711" s="184"/>
      <c r="J711" s="184"/>
      <c r="Q711" s="184"/>
      <c r="S711" s="543"/>
      <c r="T711" s="543"/>
    </row>
    <row r="712">
      <c r="D712" s="184"/>
      <c r="H712" s="184"/>
      <c r="I712" s="184"/>
      <c r="J712" s="184"/>
      <c r="Q712" s="184"/>
      <c r="S712" s="543"/>
      <c r="T712" s="543"/>
    </row>
    <row r="713">
      <c r="D713" s="184"/>
      <c r="H713" s="184"/>
      <c r="I713" s="184"/>
      <c r="J713" s="184"/>
      <c r="Q713" s="184"/>
      <c r="S713" s="543"/>
      <c r="T713" s="543"/>
    </row>
    <row r="714">
      <c r="D714" s="184"/>
      <c r="H714" s="184"/>
      <c r="I714" s="184"/>
      <c r="J714" s="184"/>
      <c r="Q714" s="184"/>
      <c r="S714" s="543"/>
      <c r="T714" s="543"/>
    </row>
    <row r="715">
      <c r="D715" s="184"/>
      <c r="H715" s="184"/>
      <c r="I715" s="184"/>
      <c r="J715" s="184"/>
      <c r="Q715" s="184"/>
      <c r="S715" s="543"/>
      <c r="T715" s="543"/>
    </row>
    <row r="716">
      <c r="D716" s="184"/>
      <c r="H716" s="184"/>
      <c r="I716" s="184"/>
      <c r="J716" s="184"/>
      <c r="Q716" s="184"/>
      <c r="S716" s="543"/>
      <c r="T716" s="543"/>
    </row>
    <row r="717">
      <c r="D717" s="184"/>
      <c r="H717" s="184"/>
      <c r="I717" s="184"/>
      <c r="J717" s="184"/>
      <c r="Q717" s="184"/>
      <c r="S717" s="543"/>
      <c r="T717" s="543"/>
    </row>
    <row r="718">
      <c r="D718" s="184"/>
      <c r="H718" s="184"/>
      <c r="I718" s="184"/>
      <c r="J718" s="184"/>
      <c r="Q718" s="184"/>
      <c r="S718" s="543"/>
      <c r="T718" s="543"/>
    </row>
    <row r="719">
      <c r="D719" s="184"/>
      <c r="H719" s="184"/>
      <c r="I719" s="184"/>
      <c r="J719" s="184"/>
      <c r="Q719" s="184"/>
      <c r="S719" s="543"/>
      <c r="T719" s="543"/>
    </row>
    <row r="720">
      <c r="D720" s="184"/>
      <c r="H720" s="184"/>
      <c r="I720" s="184"/>
      <c r="J720" s="184"/>
      <c r="Q720" s="184"/>
      <c r="S720" s="543"/>
      <c r="T720" s="543"/>
    </row>
    <row r="721">
      <c r="D721" s="184"/>
      <c r="H721" s="184"/>
      <c r="I721" s="184"/>
      <c r="J721" s="184"/>
      <c r="Q721" s="184"/>
      <c r="S721" s="543"/>
      <c r="T721" s="543"/>
    </row>
    <row r="722">
      <c r="D722" s="184"/>
      <c r="H722" s="184"/>
      <c r="I722" s="184"/>
      <c r="J722" s="184"/>
      <c r="Q722" s="184"/>
      <c r="S722" s="543"/>
      <c r="T722" s="543"/>
    </row>
    <row r="723">
      <c r="D723" s="184"/>
      <c r="H723" s="184"/>
      <c r="I723" s="184"/>
      <c r="J723" s="184"/>
      <c r="Q723" s="184"/>
      <c r="S723" s="543"/>
      <c r="T723" s="543"/>
    </row>
    <row r="724">
      <c r="D724" s="184"/>
      <c r="H724" s="184"/>
      <c r="I724" s="184"/>
      <c r="J724" s="184"/>
      <c r="Q724" s="184"/>
      <c r="S724" s="543"/>
      <c r="T724" s="543"/>
    </row>
    <row r="725">
      <c r="D725" s="184"/>
      <c r="H725" s="184"/>
      <c r="I725" s="184"/>
      <c r="J725" s="184"/>
      <c r="Q725" s="184"/>
      <c r="S725" s="543"/>
      <c r="T725" s="543"/>
    </row>
    <row r="726">
      <c r="D726" s="184"/>
      <c r="H726" s="184"/>
      <c r="I726" s="184"/>
      <c r="J726" s="184"/>
      <c r="Q726" s="184"/>
      <c r="S726" s="543"/>
      <c r="T726" s="543"/>
    </row>
    <row r="727">
      <c r="D727" s="184"/>
      <c r="H727" s="184"/>
      <c r="I727" s="184"/>
      <c r="J727" s="184"/>
      <c r="Q727" s="184"/>
      <c r="S727" s="543"/>
      <c r="T727" s="543"/>
    </row>
    <row r="728">
      <c r="D728" s="184"/>
      <c r="H728" s="184"/>
      <c r="I728" s="184"/>
      <c r="J728" s="184"/>
      <c r="Q728" s="184"/>
      <c r="S728" s="543"/>
      <c r="T728" s="543"/>
    </row>
    <row r="729">
      <c r="D729" s="184"/>
      <c r="H729" s="184"/>
      <c r="I729" s="184"/>
      <c r="J729" s="184"/>
      <c r="Q729" s="184"/>
      <c r="S729" s="543"/>
      <c r="T729" s="543"/>
    </row>
    <row r="730">
      <c r="D730" s="184"/>
      <c r="H730" s="184"/>
      <c r="I730" s="184"/>
      <c r="J730" s="184"/>
      <c r="Q730" s="184"/>
      <c r="S730" s="543"/>
      <c r="T730" s="543"/>
    </row>
    <row r="731">
      <c r="D731" s="184"/>
      <c r="H731" s="184"/>
      <c r="I731" s="184"/>
      <c r="J731" s="184"/>
      <c r="Q731" s="184"/>
      <c r="S731" s="543"/>
      <c r="T731" s="543"/>
    </row>
    <row r="732">
      <c r="D732" s="184"/>
      <c r="H732" s="184"/>
      <c r="I732" s="184"/>
      <c r="J732" s="184"/>
      <c r="Q732" s="184"/>
      <c r="S732" s="543"/>
      <c r="T732" s="543"/>
    </row>
    <row r="733">
      <c r="D733" s="184"/>
      <c r="H733" s="184"/>
      <c r="I733" s="184"/>
      <c r="J733" s="184"/>
      <c r="Q733" s="184"/>
      <c r="S733" s="543"/>
      <c r="T733" s="543"/>
    </row>
    <row r="734">
      <c r="D734" s="184"/>
      <c r="H734" s="184"/>
      <c r="I734" s="184"/>
      <c r="J734" s="184"/>
      <c r="Q734" s="184"/>
      <c r="S734" s="543"/>
      <c r="T734" s="543"/>
    </row>
    <row r="735">
      <c r="D735" s="184"/>
      <c r="H735" s="184"/>
      <c r="I735" s="184"/>
      <c r="J735" s="184"/>
      <c r="Q735" s="184"/>
      <c r="S735" s="543"/>
      <c r="T735" s="543"/>
    </row>
    <row r="736">
      <c r="D736" s="184"/>
      <c r="H736" s="184"/>
      <c r="I736" s="184"/>
      <c r="J736" s="184"/>
      <c r="Q736" s="184"/>
      <c r="S736" s="543"/>
      <c r="T736" s="543"/>
    </row>
    <row r="737">
      <c r="D737" s="184"/>
      <c r="H737" s="184"/>
      <c r="I737" s="184"/>
      <c r="J737" s="184"/>
      <c r="Q737" s="184"/>
      <c r="S737" s="543"/>
      <c r="T737" s="543"/>
    </row>
    <row r="738">
      <c r="D738" s="184"/>
      <c r="H738" s="184"/>
      <c r="I738" s="184"/>
      <c r="J738" s="184"/>
      <c r="Q738" s="184"/>
      <c r="S738" s="543"/>
      <c r="T738" s="543"/>
    </row>
    <row r="739">
      <c r="D739" s="184"/>
      <c r="H739" s="184"/>
      <c r="I739" s="184"/>
      <c r="J739" s="184"/>
      <c r="Q739" s="184"/>
      <c r="S739" s="543"/>
      <c r="T739" s="543"/>
    </row>
    <row r="740">
      <c r="D740" s="184"/>
      <c r="H740" s="184"/>
      <c r="I740" s="184"/>
      <c r="J740" s="184"/>
      <c r="Q740" s="184"/>
      <c r="S740" s="543"/>
      <c r="T740" s="543"/>
    </row>
    <row r="741">
      <c r="D741" s="184"/>
      <c r="H741" s="184"/>
      <c r="I741" s="184"/>
      <c r="J741" s="184"/>
      <c r="Q741" s="184"/>
      <c r="S741" s="543"/>
      <c r="T741" s="543"/>
    </row>
    <row r="742">
      <c r="D742" s="184"/>
      <c r="H742" s="184"/>
      <c r="I742" s="184"/>
      <c r="J742" s="184"/>
      <c r="Q742" s="184"/>
      <c r="S742" s="543"/>
      <c r="T742" s="543"/>
    </row>
    <row r="743">
      <c r="D743" s="184"/>
      <c r="H743" s="184"/>
      <c r="I743" s="184"/>
      <c r="J743" s="184"/>
      <c r="Q743" s="184"/>
      <c r="S743" s="543"/>
      <c r="T743" s="543"/>
    </row>
    <row r="744">
      <c r="D744" s="184"/>
      <c r="H744" s="184"/>
      <c r="I744" s="184"/>
      <c r="J744" s="184"/>
      <c r="Q744" s="184"/>
      <c r="S744" s="543"/>
      <c r="T744" s="543"/>
    </row>
    <row r="745">
      <c r="D745" s="184"/>
      <c r="H745" s="184"/>
      <c r="I745" s="184"/>
      <c r="J745" s="184"/>
      <c r="Q745" s="184"/>
      <c r="S745" s="543"/>
      <c r="T745" s="543"/>
    </row>
    <row r="746">
      <c r="D746" s="184"/>
      <c r="H746" s="184"/>
      <c r="I746" s="184"/>
      <c r="J746" s="184"/>
      <c r="Q746" s="184"/>
      <c r="S746" s="543"/>
      <c r="T746" s="543"/>
    </row>
    <row r="747">
      <c r="D747" s="184"/>
      <c r="H747" s="184"/>
      <c r="I747" s="184"/>
      <c r="J747" s="184"/>
      <c r="Q747" s="184"/>
      <c r="S747" s="543"/>
      <c r="T747" s="543"/>
    </row>
    <row r="748">
      <c r="D748" s="184"/>
      <c r="H748" s="184"/>
      <c r="I748" s="184"/>
      <c r="J748" s="184"/>
      <c r="Q748" s="184"/>
      <c r="S748" s="543"/>
      <c r="T748" s="543"/>
    </row>
    <row r="749">
      <c r="D749" s="184"/>
      <c r="H749" s="184"/>
      <c r="I749" s="184"/>
      <c r="J749" s="184"/>
      <c r="Q749" s="184"/>
      <c r="S749" s="543"/>
      <c r="T749" s="543"/>
    </row>
    <row r="750">
      <c r="D750" s="184"/>
      <c r="H750" s="184"/>
      <c r="I750" s="184"/>
      <c r="J750" s="184"/>
      <c r="Q750" s="184"/>
      <c r="S750" s="543"/>
      <c r="T750" s="543"/>
    </row>
    <row r="751">
      <c r="D751" s="184"/>
      <c r="H751" s="184"/>
      <c r="I751" s="184"/>
      <c r="J751" s="184"/>
      <c r="Q751" s="184"/>
      <c r="S751" s="543"/>
      <c r="T751" s="543"/>
    </row>
    <row r="752">
      <c r="D752" s="184"/>
      <c r="H752" s="184"/>
      <c r="I752" s="184"/>
      <c r="J752" s="184"/>
      <c r="Q752" s="184"/>
      <c r="S752" s="543"/>
      <c r="T752" s="543"/>
    </row>
    <row r="753">
      <c r="D753" s="184"/>
      <c r="H753" s="184"/>
      <c r="I753" s="184"/>
      <c r="J753" s="184"/>
      <c r="Q753" s="184"/>
      <c r="S753" s="543"/>
      <c r="T753" s="543"/>
    </row>
    <row r="754">
      <c r="D754" s="184"/>
      <c r="H754" s="184"/>
      <c r="I754" s="184"/>
      <c r="J754" s="184"/>
      <c r="Q754" s="184"/>
      <c r="S754" s="543"/>
      <c r="T754" s="543"/>
    </row>
    <row r="755">
      <c r="D755" s="184"/>
      <c r="H755" s="184"/>
      <c r="I755" s="184"/>
      <c r="J755" s="184"/>
      <c r="Q755" s="184"/>
      <c r="S755" s="543"/>
      <c r="T755" s="543"/>
    </row>
    <row r="756">
      <c r="D756" s="184"/>
      <c r="H756" s="184"/>
      <c r="I756" s="184"/>
      <c r="J756" s="184"/>
      <c r="Q756" s="184"/>
      <c r="S756" s="543"/>
      <c r="T756" s="543"/>
    </row>
    <row r="757">
      <c r="D757" s="184"/>
      <c r="H757" s="184"/>
      <c r="I757" s="184"/>
      <c r="J757" s="184"/>
      <c r="Q757" s="184"/>
      <c r="S757" s="543"/>
      <c r="T757" s="543"/>
    </row>
    <row r="758">
      <c r="D758" s="184"/>
      <c r="H758" s="184"/>
      <c r="I758" s="184"/>
      <c r="J758" s="184"/>
      <c r="Q758" s="184"/>
      <c r="S758" s="543"/>
      <c r="T758" s="543"/>
    </row>
    <row r="759">
      <c r="D759" s="184"/>
      <c r="H759" s="184"/>
      <c r="I759" s="184"/>
      <c r="J759" s="184"/>
      <c r="Q759" s="184"/>
      <c r="S759" s="543"/>
      <c r="T759" s="543"/>
    </row>
    <row r="760">
      <c r="D760" s="184"/>
      <c r="H760" s="184"/>
      <c r="I760" s="184"/>
      <c r="J760" s="184"/>
      <c r="Q760" s="184"/>
      <c r="S760" s="543"/>
      <c r="T760" s="543"/>
    </row>
    <row r="761">
      <c r="D761" s="184"/>
      <c r="H761" s="184"/>
      <c r="I761" s="184"/>
      <c r="J761" s="184"/>
      <c r="Q761" s="184"/>
      <c r="S761" s="543"/>
      <c r="T761" s="543"/>
    </row>
    <row r="762">
      <c r="D762" s="184"/>
      <c r="H762" s="184"/>
      <c r="I762" s="184"/>
      <c r="J762" s="184"/>
      <c r="Q762" s="184"/>
      <c r="S762" s="543"/>
      <c r="T762" s="543"/>
    </row>
    <row r="763">
      <c r="D763" s="184"/>
      <c r="H763" s="184"/>
      <c r="I763" s="184"/>
      <c r="J763" s="184"/>
      <c r="Q763" s="184"/>
      <c r="S763" s="543"/>
      <c r="T763" s="543"/>
    </row>
    <row r="764">
      <c r="D764" s="184"/>
      <c r="H764" s="184"/>
      <c r="I764" s="184"/>
      <c r="J764" s="184"/>
      <c r="Q764" s="184"/>
      <c r="S764" s="543"/>
      <c r="T764" s="543"/>
    </row>
    <row r="765">
      <c r="D765" s="184"/>
      <c r="H765" s="184"/>
      <c r="I765" s="184"/>
      <c r="J765" s="184"/>
      <c r="Q765" s="184"/>
      <c r="S765" s="543"/>
      <c r="T765" s="543"/>
    </row>
    <row r="766">
      <c r="D766" s="184"/>
      <c r="H766" s="184"/>
      <c r="I766" s="184"/>
      <c r="J766" s="184"/>
      <c r="Q766" s="184"/>
      <c r="S766" s="543"/>
      <c r="T766" s="543"/>
    </row>
    <row r="767">
      <c r="D767" s="184"/>
      <c r="H767" s="184"/>
      <c r="I767" s="184"/>
      <c r="J767" s="184"/>
      <c r="Q767" s="184"/>
      <c r="S767" s="543"/>
      <c r="T767" s="543"/>
    </row>
    <row r="768">
      <c r="D768" s="184"/>
      <c r="H768" s="184"/>
      <c r="I768" s="184"/>
      <c r="J768" s="184"/>
      <c r="Q768" s="184"/>
      <c r="S768" s="543"/>
      <c r="T768" s="543"/>
    </row>
    <row r="769">
      <c r="D769" s="184"/>
      <c r="H769" s="184"/>
      <c r="I769" s="184"/>
      <c r="J769" s="184"/>
      <c r="Q769" s="184"/>
      <c r="S769" s="543"/>
      <c r="T769" s="543"/>
    </row>
    <row r="770">
      <c r="D770" s="184"/>
      <c r="H770" s="184"/>
      <c r="I770" s="184"/>
      <c r="J770" s="184"/>
      <c r="Q770" s="184"/>
      <c r="S770" s="543"/>
      <c r="T770" s="543"/>
    </row>
    <row r="771">
      <c r="D771" s="184"/>
      <c r="H771" s="184"/>
      <c r="I771" s="184"/>
      <c r="J771" s="184"/>
      <c r="Q771" s="184"/>
      <c r="S771" s="543"/>
      <c r="T771" s="543"/>
    </row>
    <row r="772">
      <c r="D772" s="184"/>
      <c r="H772" s="184"/>
      <c r="I772" s="184"/>
      <c r="J772" s="184"/>
      <c r="Q772" s="184"/>
      <c r="S772" s="543"/>
      <c r="T772" s="543"/>
    </row>
    <row r="773">
      <c r="D773" s="184"/>
      <c r="H773" s="184"/>
      <c r="I773" s="184"/>
      <c r="J773" s="184"/>
      <c r="Q773" s="184"/>
      <c r="S773" s="543"/>
      <c r="T773" s="543"/>
    </row>
    <row r="774">
      <c r="D774" s="184"/>
      <c r="H774" s="184"/>
      <c r="I774" s="184"/>
      <c r="J774" s="184"/>
      <c r="Q774" s="184"/>
      <c r="S774" s="543"/>
      <c r="T774" s="543"/>
    </row>
    <row r="775">
      <c r="D775" s="184"/>
      <c r="H775" s="184"/>
      <c r="I775" s="184"/>
      <c r="J775" s="184"/>
      <c r="Q775" s="184"/>
      <c r="S775" s="543"/>
      <c r="T775" s="543"/>
    </row>
    <row r="776">
      <c r="D776" s="184"/>
      <c r="H776" s="184"/>
      <c r="I776" s="184"/>
      <c r="J776" s="184"/>
      <c r="Q776" s="184"/>
      <c r="S776" s="543"/>
      <c r="T776" s="543"/>
    </row>
    <row r="777">
      <c r="D777" s="184"/>
      <c r="H777" s="184"/>
      <c r="I777" s="184"/>
      <c r="J777" s="184"/>
      <c r="Q777" s="184"/>
      <c r="S777" s="543"/>
      <c r="T777" s="543"/>
    </row>
    <row r="778">
      <c r="D778" s="184"/>
      <c r="H778" s="184"/>
      <c r="I778" s="184"/>
      <c r="J778" s="184"/>
      <c r="Q778" s="184"/>
      <c r="S778" s="543"/>
      <c r="T778" s="543"/>
    </row>
    <row r="779">
      <c r="D779" s="184"/>
      <c r="H779" s="184"/>
      <c r="I779" s="184"/>
      <c r="J779" s="184"/>
      <c r="Q779" s="184"/>
      <c r="S779" s="543"/>
      <c r="T779" s="543"/>
    </row>
    <row r="780">
      <c r="D780" s="184"/>
      <c r="H780" s="184"/>
      <c r="I780" s="184"/>
      <c r="J780" s="184"/>
      <c r="Q780" s="184"/>
      <c r="S780" s="543"/>
      <c r="T780" s="543"/>
    </row>
    <row r="781">
      <c r="D781" s="184"/>
      <c r="H781" s="184"/>
      <c r="I781" s="184"/>
      <c r="J781" s="184"/>
      <c r="Q781" s="184"/>
      <c r="S781" s="543"/>
      <c r="T781" s="543"/>
    </row>
    <row r="782">
      <c r="D782" s="184"/>
      <c r="H782" s="184"/>
      <c r="I782" s="184"/>
      <c r="J782" s="184"/>
      <c r="Q782" s="184"/>
      <c r="S782" s="543"/>
      <c r="T782" s="543"/>
    </row>
    <row r="783">
      <c r="D783" s="184"/>
      <c r="H783" s="184"/>
      <c r="I783" s="184"/>
      <c r="J783" s="184"/>
      <c r="Q783" s="184"/>
      <c r="S783" s="543"/>
      <c r="T783" s="543"/>
    </row>
    <row r="784">
      <c r="D784" s="184"/>
      <c r="H784" s="184"/>
      <c r="I784" s="184"/>
      <c r="J784" s="184"/>
      <c r="Q784" s="184"/>
      <c r="S784" s="543"/>
      <c r="T784" s="543"/>
    </row>
    <row r="785">
      <c r="D785" s="184"/>
      <c r="H785" s="184"/>
      <c r="I785" s="184"/>
      <c r="J785" s="184"/>
      <c r="Q785" s="184"/>
      <c r="S785" s="543"/>
      <c r="T785" s="543"/>
    </row>
    <row r="786">
      <c r="D786" s="184"/>
      <c r="H786" s="184"/>
      <c r="I786" s="184"/>
      <c r="J786" s="184"/>
      <c r="Q786" s="184"/>
      <c r="S786" s="543"/>
      <c r="T786" s="543"/>
    </row>
    <row r="787">
      <c r="D787" s="184"/>
      <c r="H787" s="184"/>
      <c r="I787" s="184"/>
      <c r="J787" s="184"/>
      <c r="Q787" s="184"/>
      <c r="S787" s="543"/>
      <c r="T787" s="543"/>
    </row>
    <row r="788">
      <c r="D788" s="184"/>
      <c r="H788" s="184"/>
      <c r="I788" s="184"/>
      <c r="J788" s="184"/>
      <c r="Q788" s="184"/>
      <c r="S788" s="543"/>
      <c r="T788" s="543"/>
    </row>
    <row r="789">
      <c r="D789" s="184"/>
      <c r="H789" s="184"/>
      <c r="I789" s="184"/>
      <c r="J789" s="184"/>
      <c r="Q789" s="184"/>
      <c r="S789" s="543"/>
      <c r="T789" s="543"/>
    </row>
    <row r="790">
      <c r="D790" s="184"/>
      <c r="H790" s="184"/>
      <c r="I790" s="184"/>
      <c r="J790" s="184"/>
      <c r="Q790" s="184"/>
      <c r="S790" s="543"/>
      <c r="T790" s="543"/>
    </row>
    <row r="791">
      <c r="D791" s="184"/>
      <c r="H791" s="184"/>
      <c r="I791" s="184"/>
      <c r="J791" s="184"/>
      <c r="Q791" s="184"/>
      <c r="S791" s="543"/>
      <c r="T791" s="543"/>
    </row>
    <row r="792">
      <c r="D792" s="184"/>
      <c r="H792" s="184"/>
      <c r="I792" s="184"/>
      <c r="J792" s="184"/>
      <c r="Q792" s="184"/>
      <c r="S792" s="543"/>
      <c r="T792" s="543"/>
    </row>
    <row r="793">
      <c r="D793" s="184"/>
      <c r="H793" s="184"/>
      <c r="I793" s="184"/>
      <c r="J793" s="184"/>
      <c r="Q793" s="184"/>
      <c r="S793" s="543"/>
      <c r="T793" s="543"/>
    </row>
    <row r="794">
      <c r="D794" s="184"/>
      <c r="H794" s="184"/>
      <c r="I794" s="184"/>
      <c r="J794" s="184"/>
      <c r="Q794" s="184"/>
      <c r="S794" s="543"/>
      <c r="T794" s="543"/>
    </row>
    <row r="795">
      <c r="D795" s="184"/>
      <c r="H795" s="184"/>
      <c r="I795" s="184"/>
      <c r="J795" s="184"/>
      <c r="Q795" s="184"/>
      <c r="S795" s="543"/>
      <c r="T795" s="543"/>
    </row>
    <row r="796">
      <c r="D796" s="184"/>
      <c r="H796" s="184"/>
      <c r="I796" s="184"/>
      <c r="J796" s="184"/>
      <c r="Q796" s="184"/>
      <c r="S796" s="543"/>
      <c r="T796" s="543"/>
    </row>
    <row r="797">
      <c r="D797" s="184"/>
      <c r="H797" s="184"/>
      <c r="I797" s="184"/>
      <c r="J797" s="184"/>
      <c r="Q797" s="184"/>
      <c r="S797" s="543"/>
      <c r="T797" s="543"/>
    </row>
    <row r="798">
      <c r="D798" s="184"/>
      <c r="H798" s="184"/>
      <c r="I798" s="184"/>
      <c r="J798" s="184"/>
      <c r="Q798" s="184"/>
      <c r="S798" s="543"/>
      <c r="T798" s="543"/>
    </row>
    <row r="799">
      <c r="D799" s="184"/>
      <c r="H799" s="184"/>
      <c r="I799" s="184"/>
      <c r="J799" s="184"/>
      <c r="Q799" s="184"/>
      <c r="S799" s="543"/>
      <c r="T799" s="543"/>
    </row>
    <row r="800">
      <c r="D800" s="184"/>
      <c r="H800" s="184"/>
      <c r="I800" s="184"/>
      <c r="J800" s="184"/>
      <c r="Q800" s="184"/>
      <c r="S800" s="543"/>
      <c r="T800" s="543"/>
    </row>
    <row r="801">
      <c r="D801" s="184"/>
      <c r="H801" s="184"/>
      <c r="I801" s="184"/>
      <c r="J801" s="184"/>
      <c r="Q801" s="184"/>
      <c r="S801" s="543"/>
      <c r="T801" s="543"/>
    </row>
    <row r="802">
      <c r="D802" s="184"/>
      <c r="H802" s="184"/>
      <c r="I802" s="184"/>
      <c r="J802" s="184"/>
      <c r="Q802" s="184"/>
      <c r="S802" s="543"/>
      <c r="T802" s="543"/>
    </row>
    <row r="803">
      <c r="D803" s="184"/>
      <c r="H803" s="184"/>
      <c r="I803" s="184"/>
      <c r="J803" s="184"/>
      <c r="Q803" s="184"/>
      <c r="S803" s="543"/>
      <c r="T803" s="543"/>
    </row>
    <row r="804">
      <c r="D804" s="184"/>
      <c r="H804" s="184"/>
      <c r="I804" s="184"/>
      <c r="J804" s="184"/>
      <c r="Q804" s="184"/>
      <c r="S804" s="543"/>
      <c r="T804" s="543"/>
    </row>
    <row r="805">
      <c r="D805" s="184"/>
      <c r="H805" s="184"/>
      <c r="I805" s="184"/>
      <c r="J805" s="184"/>
      <c r="Q805" s="184"/>
      <c r="S805" s="543"/>
      <c r="T805" s="543"/>
    </row>
    <row r="806">
      <c r="D806" s="184"/>
      <c r="H806" s="184"/>
      <c r="I806" s="184"/>
      <c r="J806" s="184"/>
      <c r="Q806" s="184"/>
      <c r="S806" s="543"/>
      <c r="T806" s="543"/>
    </row>
    <row r="807">
      <c r="D807" s="184"/>
      <c r="H807" s="184"/>
      <c r="I807" s="184"/>
      <c r="J807" s="184"/>
      <c r="Q807" s="184"/>
      <c r="S807" s="543"/>
      <c r="T807" s="543"/>
    </row>
    <row r="808">
      <c r="D808" s="184"/>
      <c r="H808" s="184"/>
      <c r="I808" s="184"/>
      <c r="J808" s="184"/>
      <c r="Q808" s="184"/>
      <c r="S808" s="543"/>
      <c r="T808" s="543"/>
    </row>
    <row r="809">
      <c r="D809" s="184"/>
      <c r="H809" s="184"/>
      <c r="I809" s="184"/>
      <c r="J809" s="184"/>
      <c r="Q809" s="184"/>
      <c r="S809" s="543"/>
      <c r="T809" s="543"/>
    </row>
    <row r="810">
      <c r="D810" s="184"/>
      <c r="H810" s="184"/>
      <c r="I810" s="184"/>
      <c r="J810" s="184"/>
      <c r="Q810" s="184"/>
      <c r="S810" s="543"/>
      <c r="T810" s="543"/>
    </row>
    <row r="811">
      <c r="D811" s="184"/>
      <c r="H811" s="184"/>
      <c r="I811" s="184"/>
      <c r="J811" s="184"/>
      <c r="Q811" s="184"/>
      <c r="S811" s="543"/>
      <c r="T811" s="543"/>
    </row>
    <row r="812">
      <c r="D812" s="184"/>
      <c r="H812" s="184"/>
      <c r="I812" s="184"/>
      <c r="J812" s="184"/>
      <c r="Q812" s="184"/>
      <c r="S812" s="543"/>
      <c r="T812" s="543"/>
    </row>
    <row r="813">
      <c r="D813" s="184"/>
      <c r="H813" s="184"/>
      <c r="I813" s="184"/>
      <c r="J813" s="184"/>
      <c r="Q813" s="184"/>
      <c r="S813" s="543"/>
      <c r="T813" s="543"/>
    </row>
    <row r="814">
      <c r="D814" s="184"/>
      <c r="H814" s="184"/>
      <c r="I814" s="184"/>
      <c r="J814" s="184"/>
      <c r="Q814" s="184"/>
      <c r="S814" s="543"/>
      <c r="T814" s="543"/>
    </row>
    <row r="815">
      <c r="D815" s="184"/>
      <c r="H815" s="184"/>
      <c r="I815" s="184"/>
      <c r="J815" s="184"/>
      <c r="Q815" s="184"/>
      <c r="S815" s="543"/>
      <c r="T815" s="543"/>
    </row>
    <row r="816">
      <c r="D816" s="184"/>
      <c r="H816" s="184"/>
      <c r="I816" s="184"/>
      <c r="J816" s="184"/>
      <c r="Q816" s="184"/>
      <c r="S816" s="543"/>
      <c r="T816" s="543"/>
    </row>
    <row r="817">
      <c r="D817" s="184"/>
      <c r="H817" s="184"/>
      <c r="I817" s="184"/>
      <c r="J817" s="184"/>
      <c r="Q817" s="184"/>
      <c r="S817" s="543"/>
      <c r="T817" s="543"/>
    </row>
    <row r="818">
      <c r="D818" s="184"/>
      <c r="H818" s="184"/>
      <c r="I818" s="184"/>
      <c r="J818" s="184"/>
      <c r="Q818" s="184"/>
      <c r="S818" s="543"/>
      <c r="T818" s="543"/>
    </row>
    <row r="819">
      <c r="D819" s="184"/>
      <c r="H819" s="184"/>
      <c r="I819" s="184"/>
      <c r="J819" s="184"/>
      <c r="Q819" s="184"/>
      <c r="S819" s="543"/>
      <c r="T819" s="543"/>
    </row>
    <row r="820">
      <c r="D820" s="184"/>
      <c r="H820" s="184"/>
      <c r="I820" s="184"/>
      <c r="J820" s="184"/>
      <c r="Q820" s="184"/>
      <c r="S820" s="543"/>
      <c r="T820" s="543"/>
    </row>
    <row r="821">
      <c r="D821" s="184"/>
      <c r="H821" s="184"/>
      <c r="I821" s="184"/>
      <c r="J821" s="184"/>
      <c r="Q821" s="184"/>
      <c r="S821" s="543"/>
      <c r="T821" s="543"/>
    </row>
    <row r="822">
      <c r="D822" s="184"/>
      <c r="H822" s="184"/>
      <c r="I822" s="184"/>
      <c r="J822" s="184"/>
      <c r="Q822" s="184"/>
      <c r="S822" s="543"/>
      <c r="T822" s="543"/>
    </row>
    <row r="823">
      <c r="D823" s="184"/>
      <c r="H823" s="184"/>
      <c r="I823" s="184"/>
      <c r="J823" s="184"/>
      <c r="Q823" s="184"/>
      <c r="S823" s="543"/>
      <c r="T823" s="543"/>
    </row>
    <row r="824">
      <c r="D824" s="184"/>
      <c r="H824" s="184"/>
      <c r="I824" s="184"/>
      <c r="J824" s="184"/>
      <c r="Q824" s="184"/>
      <c r="S824" s="543"/>
      <c r="T824" s="543"/>
    </row>
    <row r="825">
      <c r="D825" s="184"/>
      <c r="H825" s="184"/>
      <c r="I825" s="184"/>
      <c r="J825" s="184"/>
      <c r="Q825" s="184"/>
      <c r="S825" s="543"/>
      <c r="T825" s="543"/>
    </row>
    <row r="826">
      <c r="D826" s="184"/>
      <c r="H826" s="184"/>
      <c r="I826" s="184"/>
      <c r="J826" s="184"/>
      <c r="Q826" s="184"/>
      <c r="S826" s="543"/>
      <c r="T826" s="543"/>
    </row>
    <row r="827">
      <c r="D827" s="184"/>
      <c r="H827" s="184"/>
      <c r="I827" s="184"/>
      <c r="J827" s="184"/>
      <c r="Q827" s="184"/>
      <c r="S827" s="543"/>
      <c r="T827" s="543"/>
    </row>
    <row r="828">
      <c r="D828" s="184"/>
      <c r="H828" s="184"/>
      <c r="I828" s="184"/>
      <c r="J828" s="184"/>
      <c r="Q828" s="184"/>
      <c r="S828" s="543"/>
      <c r="T828" s="543"/>
    </row>
    <row r="829">
      <c r="D829" s="184"/>
      <c r="H829" s="184"/>
      <c r="I829" s="184"/>
      <c r="J829" s="184"/>
      <c r="Q829" s="184"/>
      <c r="S829" s="543"/>
      <c r="T829" s="543"/>
    </row>
    <row r="830">
      <c r="D830" s="184"/>
      <c r="H830" s="184"/>
      <c r="I830" s="184"/>
      <c r="J830" s="184"/>
      <c r="Q830" s="184"/>
      <c r="S830" s="543"/>
      <c r="T830" s="543"/>
    </row>
    <row r="831">
      <c r="D831" s="184"/>
      <c r="H831" s="184"/>
      <c r="I831" s="184"/>
      <c r="J831" s="184"/>
      <c r="Q831" s="184"/>
      <c r="S831" s="543"/>
      <c r="T831" s="543"/>
    </row>
    <row r="832">
      <c r="D832" s="184"/>
      <c r="H832" s="184"/>
      <c r="I832" s="184"/>
      <c r="J832" s="184"/>
      <c r="Q832" s="184"/>
      <c r="S832" s="543"/>
      <c r="T832" s="543"/>
    </row>
    <row r="833">
      <c r="D833" s="184"/>
      <c r="H833" s="184"/>
      <c r="I833" s="184"/>
      <c r="J833" s="184"/>
      <c r="Q833" s="184"/>
      <c r="S833" s="543"/>
      <c r="T833" s="543"/>
    </row>
    <row r="834">
      <c r="D834" s="184"/>
      <c r="H834" s="184"/>
      <c r="I834" s="184"/>
      <c r="J834" s="184"/>
      <c r="Q834" s="184"/>
      <c r="S834" s="543"/>
      <c r="T834" s="543"/>
    </row>
    <row r="835">
      <c r="D835" s="184"/>
      <c r="H835" s="184"/>
      <c r="I835" s="184"/>
      <c r="J835" s="184"/>
      <c r="Q835" s="184"/>
      <c r="S835" s="543"/>
      <c r="T835" s="543"/>
    </row>
    <row r="836">
      <c r="D836" s="184"/>
      <c r="H836" s="184"/>
      <c r="I836" s="184"/>
      <c r="J836" s="184"/>
      <c r="Q836" s="184"/>
      <c r="S836" s="543"/>
      <c r="T836" s="543"/>
    </row>
    <row r="837">
      <c r="D837" s="184"/>
      <c r="H837" s="184"/>
      <c r="I837" s="184"/>
      <c r="J837" s="184"/>
      <c r="Q837" s="184"/>
      <c r="S837" s="543"/>
      <c r="T837" s="543"/>
    </row>
    <row r="838">
      <c r="D838" s="184"/>
      <c r="H838" s="184"/>
      <c r="I838" s="184"/>
      <c r="J838" s="184"/>
      <c r="Q838" s="184"/>
      <c r="S838" s="543"/>
      <c r="T838" s="543"/>
    </row>
    <row r="839">
      <c r="D839" s="184"/>
      <c r="H839" s="184"/>
      <c r="I839" s="184"/>
      <c r="J839" s="184"/>
      <c r="Q839" s="184"/>
      <c r="S839" s="543"/>
      <c r="T839" s="543"/>
    </row>
    <row r="840">
      <c r="D840" s="184"/>
      <c r="H840" s="184"/>
      <c r="I840" s="184"/>
      <c r="J840" s="184"/>
      <c r="Q840" s="184"/>
      <c r="S840" s="543"/>
      <c r="T840" s="543"/>
    </row>
    <row r="841">
      <c r="D841" s="184"/>
      <c r="H841" s="184"/>
      <c r="I841" s="184"/>
      <c r="J841" s="184"/>
      <c r="Q841" s="184"/>
      <c r="S841" s="543"/>
      <c r="T841" s="543"/>
    </row>
    <row r="842">
      <c r="D842" s="184"/>
      <c r="H842" s="184"/>
      <c r="I842" s="184"/>
      <c r="J842" s="184"/>
      <c r="Q842" s="184"/>
      <c r="S842" s="543"/>
      <c r="T842" s="543"/>
    </row>
    <row r="843">
      <c r="D843" s="184"/>
      <c r="H843" s="184"/>
      <c r="I843" s="184"/>
      <c r="J843" s="184"/>
      <c r="Q843" s="184"/>
      <c r="S843" s="543"/>
      <c r="T843" s="543"/>
    </row>
    <row r="844">
      <c r="D844" s="184"/>
      <c r="H844" s="184"/>
      <c r="I844" s="184"/>
      <c r="J844" s="184"/>
      <c r="Q844" s="184"/>
      <c r="S844" s="543"/>
      <c r="T844" s="543"/>
    </row>
    <row r="845">
      <c r="D845" s="184"/>
      <c r="H845" s="184"/>
      <c r="I845" s="184"/>
      <c r="J845" s="184"/>
      <c r="Q845" s="184"/>
      <c r="S845" s="543"/>
      <c r="T845" s="543"/>
    </row>
    <row r="846">
      <c r="D846" s="184"/>
      <c r="H846" s="184"/>
      <c r="I846" s="184"/>
      <c r="J846" s="184"/>
      <c r="Q846" s="184"/>
      <c r="S846" s="543"/>
      <c r="T846" s="543"/>
    </row>
    <row r="847">
      <c r="D847" s="184"/>
      <c r="H847" s="184"/>
      <c r="I847" s="184"/>
      <c r="J847" s="184"/>
      <c r="Q847" s="184"/>
      <c r="S847" s="543"/>
      <c r="T847" s="543"/>
    </row>
    <row r="848">
      <c r="D848" s="184"/>
      <c r="H848" s="184"/>
      <c r="I848" s="184"/>
      <c r="J848" s="184"/>
      <c r="Q848" s="184"/>
      <c r="S848" s="543"/>
      <c r="T848" s="543"/>
    </row>
    <row r="849">
      <c r="D849" s="184"/>
      <c r="H849" s="184"/>
      <c r="I849" s="184"/>
      <c r="J849" s="184"/>
      <c r="Q849" s="184"/>
      <c r="S849" s="543"/>
      <c r="T849" s="543"/>
    </row>
    <row r="850">
      <c r="D850" s="184"/>
      <c r="H850" s="184"/>
      <c r="I850" s="184"/>
      <c r="J850" s="184"/>
      <c r="Q850" s="184"/>
      <c r="S850" s="543"/>
      <c r="T850" s="543"/>
    </row>
    <row r="851">
      <c r="D851" s="184"/>
      <c r="H851" s="184"/>
      <c r="I851" s="184"/>
      <c r="J851" s="184"/>
      <c r="Q851" s="184"/>
      <c r="S851" s="543"/>
      <c r="T851" s="543"/>
    </row>
    <row r="852">
      <c r="D852" s="184"/>
      <c r="H852" s="184"/>
      <c r="I852" s="184"/>
      <c r="J852" s="184"/>
      <c r="Q852" s="184"/>
      <c r="S852" s="543"/>
      <c r="T852" s="543"/>
    </row>
    <row r="853">
      <c r="D853" s="184"/>
      <c r="H853" s="184"/>
      <c r="I853" s="184"/>
      <c r="J853" s="184"/>
      <c r="Q853" s="184"/>
      <c r="S853" s="543"/>
      <c r="T853" s="543"/>
    </row>
    <row r="854">
      <c r="D854" s="184"/>
      <c r="H854" s="184"/>
      <c r="I854" s="184"/>
      <c r="J854" s="184"/>
      <c r="Q854" s="184"/>
      <c r="S854" s="543"/>
      <c r="T854" s="543"/>
    </row>
    <row r="855">
      <c r="D855" s="184"/>
      <c r="H855" s="184"/>
      <c r="I855" s="184"/>
      <c r="J855" s="184"/>
      <c r="Q855" s="184"/>
      <c r="S855" s="543"/>
      <c r="T855" s="543"/>
    </row>
    <row r="856">
      <c r="D856" s="184"/>
      <c r="H856" s="184"/>
      <c r="I856" s="184"/>
      <c r="J856" s="184"/>
      <c r="Q856" s="184"/>
      <c r="S856" s="543"/>
      <c r="T856" s="543"/>
    </row>
    <row r="857">
      <c r="D857" s="184"/>
      <c r="H857" s="184"/>
      <c r="I857" s="184"/>
      <c r="J857" s="184"/>
      <c r="Q857" s="184"/>
      <c r="S857" s="543"/>
      <c r="T857" s="543"/>
    </row>
    <row r="858">
      <c r="D858" s="184"/>
      <c r="H858" s="184"/>
      <c r="I858" s="184"/>
      <c r="J858" s="184"/>
      <c r="Q858" s="184"/>
      <c r="S858" s="543"/>
      <c r="T858" s="543"/>
    </row>
    <row r="859">
      <c r="D859" s="184"/>
      <c r="H859" s="184"/>
      <c r="I859" s="184"/>
      <c r="J859" s="184"/>
      <c r="Q859" s="184"/>
      <c r="S859" s="543"/>
      <c r="T859" s="543"/>
    </row>
    <row r="860">
      <c r="D860" s="184"/>
      <c r="H860" s="184"/>
      <c r="I860" s="184"/>
      <c r="J860" s="184"/>
      <c r="Q860" s="184"/>
      <c r="S860" s="543"/>
      <c r="T860" s="543"/>
    </row>
    <row r="861">
      <c r="D861" s="184"/>
      <c r="H861" s="184"/>
      <c r="I861" s="184"/>
      <c r="J861" s="184"/>
      <c r="Q861" s="184"/>
      <c r="S861" s="543"/>
      <c r="T861" s="543"/>
    </row>
    <row r="862">
      <c r="D862" s="184"/>
      <c r="H862" s="184"/>
      <c r="I862" s="184"/>
      <c r="J862" s="184"/>
      <c r="Q862" s="184"/>
      <c r="S862" s="543"/>
      <c r="T862" s="543"/>
    </row>
    <row r="863">
      <c r="D863" s="184"/>
      <c r="H863" s="184"/>
      <c r="I863" s="184"/>
      <c r="J863" s="184"/>
      <c r="Q863" s="184"/>
      <c r="S863" s="543"/>
      <c r="T863" s="543"/>
    </row>
    <row r="864">
      <c r="D864" s="184"/>
      <c r="H864" s="184"/>
      <c r="I864" s="184"/>
      <c r="J864" s="184"/>
      <c r="Q864" s="184"/>
      <c r="S864" s="543"/>
      <c r="T864" s="543"/>
    </row>
    <row r="865">
      <c r="D865" s="184"/>
      <c r="H865" s="184"/>
      <c r="I865" s="184"/>
      <c r="J865" s="184"/>
      <c r="Q865" s="184"/>
      <c r="S865" s="543"/>
      <c r="T865" s="543"/>
    </row>
    <row r="866">
      <c r="D866" s="184"/>
      <c r="H866" s="184"/>
      <c r="I866" s="184"/>
      <c r="J866" s="184"/>
      <c r="Q866" s="184"/>
      <c r="S866" s="543"/>
      <c r="T866" s="543"/>
    </row>
    <row r="867">
      <c r="D867" s="184"/>
      <c r="H867" s="184"/>
      <c r="I867" s="184"/>
      <c r="J867" s="184"/>
      <c r="Q867" s="184"/>
      <c r="S867" s="543"/>
      <c r="T867" s="543"/>
    </row>
    <row r="868">
      <c r="D868" s="184"/>
      <c r="H868" s="184"/>
      <c r="I868" s="184"/>
      <c r="J868" s="184"/>
      <c r="Q868" s="184"/>
      <c r="S868" s="543"/>
      <c r="T868" s="543"/>
    </row>
    <row r="869">
      <c r="D869" s="184"/>
      <c r="H869" s="184"/>
      <c r="I869" s="184"/>
      <c r="J869" s="184"/>
      <c r="Q869" s="184"/>
      <c r="S869" s="543"/>
      <c r="T869" s="543"/>
    </row>
    <row r="870">
      <c r="D870" s="184"/>
      <c r="H870" s="184"/>
      <c r="I870" s="184"/>
      <c r="J870" s="184"/>
      <c r="Q870" s="184"/>
      <c r="S870" s="543"/>
      <c r="T870" s="543"/>
    </row>
    <row r="871">
      <c r="D871" s="184"/>
      <c r="H871" s="184"/>
      <c r="I871" s="184"/>
      <c r="J871" s="184"/>
      <c r="Q871" s="184"/>
      <c r="S871" s="543"/>
      <c r="T871" s="543"/>
    </row>
    <row r="872">
      <c r="D872" s="184"/>
      <c r="H872" s="184"/>
      <c r="I872" s="184"/>
      <c r="J872" s="184"/>
      <c r="Q872" s="184"/>
      <c r="S872" s="543"/>
      <c r="T872" s="543"/>
    </row>
    <row r="873">
      <c r="D873" s="184"/>
      <c r="H873" s="184"/>
      <c r="I873" s="184"/>
      <c r="J873" s="184"/>
      <c r="Q873" s="184"/>
      <c r="S873" s="543"/>
      <c r="T873" s="543"/>
    </row>
    <row r="874">
      <c r="D874" s="184"/>
      <c r="H874" s="184"/>
      <c r="I874" s="184"/>
      <c r="J874" s="184"/>
      <c r="Q874" s="184"/>
      <c r="S874" s="543"/>
      <c r="T874" s="543"/>
    </row>
    <row r="875">
      <c r="D875" s="184"/>
      <c r="H875" s="184"/>
      <c r="I875" s="184"/>
      <c r="J875" s="184"/>
      <c r="Q875" s="184"/>
      <c r="S875" s="543"/>
      <c r="T875" s="543"/>
    </row>
    <row r="876">
      <c r="D876" s="184"/>
      <c r="H876" s="184"/>
      <c r="I876" s="184"/>
      <c r="J876" s="184"/>
      <c r="Q876" s="184"/>
      <c r="S876" s="543"/>
      <c r="T876" s="543"/>
    </row>
    <row r="877">
      <c r="D877" s="184"/>
      <c r="H877" s="184"/>
      <c r="I877" s="184"/>
      <c r="J877" s="184"/>
      <c r="Q877" s="184"/>
      <c r="S877" s="543"/>
      <c r="T877" s="543"/>
    </row>
    <row r="878">
      <c r="D878" s="184"/>
      <c r="H878" s="184"/>
      <c r="I878" s="184"/>
      <c r="J878" s="184"/>
      <c r="Q878" s="184"/>
      <c r="S878" s="543"/>
      <c r="T878" s="543"/>
    </row>
    <row r="879">
      <c r="D879" s="184"/>
      <c r="H879" s="184"/>
      <c r="I879" s="184"/>
      <c r="J879" s="184"/>
      <c r="Q879" s="184"/>
      <c r="S879" s="543"/>
      <c r="T879" s="543"/>
    </row>
    <row r="880">
      <c r="D880" s="184"/>
      <c r="H880" s="184"/>
      <c r="I880" s="184"/>
      <c r="J880" s="184"/>
      <c r="Q880" s="184"/>
      <c r="S880" s="543"/>
      <c r="T880" s="543"/>
    </row>
    <row r="881">
      <c r="D881" s="184"/>
      <c r="H881" s="184"/>
      <c r="I881" s="184"/>
      <c r="J881" s="184"/>
      <c r="Q881" s="184"/>
      <c r="S881" s="543"/>
      <c r="T881" s="543"/>
    </row>
    <row r="882">
      <c r="D882" s="184"/>
      <c r="H882" s="184"/>
      <c r="I882" s="184"/>
      <c r="J882" s="184"/>
      <c r="Q882" s="184"/>
      <c r="S882" s="543"/>
      <c r="T882" s="543"/>
    </row>
    <row r="883">
      <c r="D883" s="184"/>
      <c r="H883" s="184"/>
      <c r="I883" s="184"/>
      <c r="J883" s="184"/>
      <c r="Q883" s="184"/>
      <c r="S883" s="543"/>
      <c r="T883" s="543"/>
    </row>
    <row r="884">
      <c r="D884" s="184"/>
      <c r="H884" s="184"/>
      <c r="I884" s="184"/>
      <c r="J884" s="184"/>
      <c r="Q884" s="184"/>
      <c r="S884" s="543"/>
      <c r="T884" s="543"/>
    </row>
    <row r="885">
      <c r="D885" s="184"/>
      <c r="H885" s="184"/>
      <c r="I885" s="184"/>
      <c r="J885" s="184"/>
      <c r="Q885" s="184"/>
      <c r="S885" s="543"/>
      <c r="T885" s="543"/>
    </row>
    <row r="886">
      <c r="D886" s="184"/>
      <c r="H886" s="184"/>
      <c r="I886" s="184"/>
      <c r="J886" s="184"/>
      <c r="Q886" s="184"/>
      <c r="S886" s="543"/>
      <c r="T886" s="543"/>
    </row>
    <row r="887">
      <c r="D887" s="184"/>
      <c r="H887" s="184"/>
      <c r="I887" s="184"/>
      <c r="J887" s="184"/>
      <c r="Q887" s="184"/>
      <c r="S887" s="543"/>
      <c r="T887" s="543"/>
    </row>
    <row r="888">
      <c r="D888" s="184"/>
      <c r="H888" s="184"/>
      <c r="I888" s="184"/>
      <c r="J888" s="184"/>
      <c r="Q888" s="184"/>
      <c r="S888" s="543"/>
      <c r="T888" s="543"/>
    </row>
    <row r="889">
      <c r="D889" s="184"/>
      <c r="H889" s="184"/>
      <c r="I889" s="184"/>
      <c r="J889" s="184"/>
      <c r="Q889" s="184"/>
      <c r="S889" s="543"/>
      <c r="T889" s="543"/>
    </row>
    <row r="890">
      <c r="D890" s="184"/>
      <c r="H890" s="184"/>
      <c r="I890" s="184"/>
      <c r="J890" s="184"/>
      <c r="Q890" s="184"/>
      <c r="S890" s="543"/>
      <c r="T890" s="543"/>
    </row>
    <row r="891">
      <c r="D891" s="184"/>
      <c r="H891" s="184"/>
      <c r="I891" s="184"/>
      <c r="J891" s="184"/>
      <c r="Q891" s="184"/>
      <c r="S891" s="543"/>
      <c r="T891" s="543"/>
    </row>
    <row r="892">
      <c r="D892" s="184"/>
      <c r="H892" s="184"/>
      <c r="I892" s="184"/>
      <c r="J892" s="184"/>
      <c r="Q892" s="184"/>
      <c r="S892" s="543"/>
      <c r="T892" s="543"/>
    </row>
    <row r="893">
      <c r="D893" s="184"/>
      <c r="H893" s="184"/>
      <c r="I893" s="184"/>
      <c r="J893" s="184"/>
      <c r="Q893" s="184"/>
      <c r="S893" s="543"/>
      <c r="T893" s="543"/>
    </row>
    <row r="894">
      <c r="D894" s="184"/>
      <c r="H894" s="184"/>
      <c r="I894" s="184"/>
      <c r="J894" s="184"/>
      <c r="Q894" s="184"/>
      <c r="S894" s="543"/>
      <c r="T894" s="543"/>
    </row>
    <row r="895">
      <c r="D895" s="184"/>
      <c r="H895" s="184"/>
      <c r="I895" s="184"/>
      <c r="J895" s="184"/>
      <c r="Q895" s="184"/>
      <c r="S895" s="543"/>
      <c r="T895" s="543"/>
    </row>
    <row r="896">
      <c r="D896" s="184"/>
      <c r="H896" s="184"/>
      <c r="I896" s="184"/>
      <c r="J896" s="184"/>
      <c r="Q896" s="184"/>
      <c r="S896" s="543"/>
      <c r="T896" s="543"/>
    </row>
    <row r="897">
      <c r="D897" s="184"/>
      <c r="H897" s="184"/>
      <c r="I897" s="184"/>
      <c r="J897" s="184"/>
      <c r="Q897" s="184"/>
      <c r="S897" s="543"/>
      <c r="T897" s="543"/>
    </row>
    <row r="898">
      <c r="D898" s="184"/>
      <c r="H898" s="184"/>
      <c r="I898" s="184"/>
      <c r="J898" s="184"/>
      <c r="Q898" s="184"/>
      <c r="S898" s="543"/>
      <c r="T898" s="543"/>
    </row>
    <row r="899">
      <c r="D899" s="184"/>
      <c r="H899" s="184"/>
      <c r="I899" s="184"/>
      <c r="J899" s="184"/>
      <c r="Q899" s="184"/>
      <c r="S899" s="543"/>
      <c r="T899" s="543"/>
    </row>
    <row r="900">
      <c r="D900" s="184"/>
      <c r="H900" s="184"/>
      <c r="I900" s="184"/>
      <c r="J900" s="184"/>
      <c r="Q900" s="184"/>
      <c r="S900" s="543"/>
      <c r="T900" s="543"/>
    </row>
    <row r="901">
      <c r="D901" s="184"/>
      <c r="H901" s="184"/>
      <c r="I901" s="184"/>
      <c r="J901" s="184"/>
      <c r="Q901" s="184"/>
      <c r="S901" s="543"/>
      <c r="T901" s="543"/>
    </row>
    <row r="902">
      <c r="D902" s="184"/>
      <c r="H902" s="184"/>
      <c r="I902" s="184"/>
      <c r="J902" s="184"/>
      <c r="Q902" s="184"/>
      <c r="S902" s="543"/>
      <c r="T902" s="543"/>
    </row>
    <row r="903">
      <c r="D903" s="184"/>
      <c r="H903" s="184"/>
      <c r="I903" s="184"/>
      <c r="J903" s="184"/>
      <c r="Q903" s="184"/>
      <c r="S903" s="543"/>
      <c r="T903" s="543"/>
    </row>
    <row r="904">
      <c r="D904" s="184"/>
      <c r="H904" s="184"/>
      <c r="I904" s="184"/>
      <c r="J904" s="184"/>
      <c r="Q904" s="184"/>
      <c r="S904" s="543"/>
      <c r="T904" s="543"/>
    </row>
    <row r="905">
      <c r="D905" s="184"/>
      <c r="H905" s="184"/>
      <c r="I905" s="184"/>
      <c r="J905" s="184"/>
      <c r="Q905" s="184"/>
      <c r="S905" s="543"/>
      <c r="T905" s="543"/>
    </row>
    <row r="906">
      <c r="D906" s="184"/>
      <c r="H906" s="184"/>
      <c r="I906" s="184"/>
      <c r="J906" s="184"/>
      <c r="Q906" s="184"/>
      <c r="S906" s="543"/>
      <c r="T906" s="543"/>
    </row>
    <row r="907">
      <c r="D907" s="184"/>
      <c r="H907" s="184"/>
      <c r="I907" s="184"/>
      <c r="J907" s="184"/>
      <c r="Q907" s="184"/>
      <c r="S907" s="543"/>
      <c r="T907" s="543"/>
    </row>
    <row r="908">
      <c r="D908" s="184"/>
      <c r="H908" s="184"/>
      <c r="I908" s="184"/>
      <c r="J908" s="184"/>
      <c r="Q908" s="184"/>
      <c r="S908" s="543"/>
      <c r="T908" s="543"/>
    </row>
    <row r="909">
      <c r="D909" s="184"/>
      <c r="H909" s="184"/>
      <c r="I909" s="184"/>
      <c r="J909" s="184"/>
      <c r="Q909" s="184"/>
      <c r="S909" s="543"/>
      <c r="T909" s="543"/>
    </row>
    <row r="910">
      <c r="D910" s="184"/>
      <c r="H910" s="184"/>
      <c r="I910" s="184"/>
      <c r="J910" s="184"/>
      <c r="Q910" s="184"/>
      <c r="S910" s="543"/>
      <c r="T910" s="543"/>
    </row>
    <row r="911">
      <c r="D911" s="184"/>
      <c r="H911" s="184"/>
      <c r="I911" s="184"/>
      <c r="J911" s="184"/>
      <c r="Q911" s="184"/>
      <c r="S911" s="543"/>
      <c r="T911" s="543"/>
    </row>
    <row r="912">
      <c r="D912" s="184"/>
      <c r="H912" s="184"/>
      <c r="I912" s="184"/>
      <c r="J912" s="184"/>
      <c r="Q912" s="184"/>
      <c r="S912" s="543"/>
      <c r="T912" s="543"/>
    </row>
    <row r="913">
      <c r="D913" s="184"/>
      <c r="H913" s="184"/>
      <c r="I913" s="184"/>
      <c r="J913" s="184"/>
      <c r="Q913" s="184"/>
      <c r="S913" s="543"/>
      <c r="T913" s="543"/>
    </row>
    <row r="914">
      <c r="D914" s="184"/>
      <c r="H914" s="184"/>
      <c r="I914" s="184"/>
      <c r="J914" s="184"/>
      <c r="Q914" s="184"/>
      <c r="S914" s="543"/>
      <c r="T914" s="543"/>
    </row>
    <row r="915">
      <c r="D915" s="184"/>
      <c r="H915" s="184"/>
      <c r="I915" s="184"/>
      <c r="J915" s="184"/>
      <c r="Q915" s="184"/>
      <c r="S915" s="543"/>
      <c r="T915" s="543"/>
    </row>
    <row r="916">
      <c r="D916" s="184"/>
      <c r="H916" s="184"/>
      <c r="I916" s="184"/>
      <c r="J916" s="184"/>
      <c r="Q916" s="184"/>
      <c r="S916" s="543"/>
      <c r="T916" s="543"/>
    </row>
    <row r="917">
      <c r="D917" s="184"/>
      <c r="H917" s="184"/>
      <c r="I917" s="184"/>
      <c r="J917" s="184"/>
      <c r="Q917" s="184"/>
      <c r="S917" s="543"/>
      <c r="T917" s="543"/>
    </row>
    <row r="918">
      <c r="D918" s="184"/>
      <c r="H918" s="184"/>
      <c r="I918" s="184"/>
      <c r="J918" s="184"/>
      <c r="Q918" s="184"/>
      <c r="S918" s="543"/>
      <c r="T918" s="543"/>
    </row>
    <row r="919">
      <c r="D919" s="184"/>
      <c r="H919" s="184"/>
      <c r="I919" s="184"/>
      <c r="J919" s="184"/>
      <c r="Q919" s="184"/>
      <c r="S919" s="543"/>
      <c r="T919" s="543"/>
    </row>
    <row r="920">
      <c r="D920" s="184"/>
      <c r="H920" s="184"/>
      <c r="I920" s="184"/>
      <c r="J920" s="184"/>
      <c r="Q920" s="184"/>
      <c r="S920" s="543"/>
      <c r="T920" s="543"/>
    </row>
    <row r="921">
      <c r="D921" s="184"/>
      <c r="H921" s="184"/>
      <c r="I921" s="184"/>
      <c r="J921" s="184"/>
      <c r="Q921" s="184"/>
      <c r="S921" s="543"/>
      <c r="T921" s="543"/>
    </row>
    <row r="922">
      <c r="D922" s="184"/>
      <c r="H922" s="184"/>
      <c r="I922" s="184"/>
      <c r="J922" s="184"/>
      <c r="Q922" s="184"/>
      <c r="S922" s="543"/>
      <c r="T922" s="543"/>
    </row>
    <row r="923">
      <c r="D923" s="184"/>
      <c r="H923" s="184"/>
      <c r="I923" s="184"/>
      <c r="J923" s="184"/>
      <c r="Q923" s="184"/>
      <c r="S923" s="543"/>
      <c r="T923" s="543"/>
    </row>
    <row r="924">
      <c r="D924" s="184"/>
      <c r="H924" s="184"/>
      <c r="I924" s="184"/>
      <c r="J924" s="184"/>
      <c r="Q924" s="184"/>
      <c r="S924" s="543"/>
      <c r="T924" s="543"/>
    </row>
    <row r="925">
      <c r="D925" s="184"/>
      <c r="H925" s="184"/>
      <c r="I925" s="184"/>
      <c r="J925" s="184"/>
      <c r="Q925" s="184"/>
      <c r="S925" s="543"/>
      <c r="T925" s="543"/>
    </row>
    <row r="926">
      <c r="D926" s="184"/>
      <c r="H926" s="184"/>
      <c r="I926" s="184"/>
      <c r="J926" s="184"/>
      <c r="Q926" s="184"/>
      <c r="S926" s="543"/>
      <c r="T926" s="543"/>
    </row>
    <row r="927">
      <c r="D927" s="184"/>
      <c r="H927" s="184"/>
      <c r="I927" s="184"/>
      <c r="J927" s="184"/>
      <c r="Q927" s="184"/>
      <c r="S927" s="543"/>
      <c r="T927" s="543"/>
    </row>
    <row r="928">
      <c r="D928" s="184"/>
      <c r="H928" s="184"/>
      <c r="I928" s="184"/>
      <c r="J928" s="184"/>
      <c r="Q928" s="184"/>
      <c r="S928" s="543"/>
      <c r="T928" s="543"/>
    </row>
    <row r="929">
      <c r="D929" s="184"/>
      <c r="H929" s="184"/>
      <c r="I929" s="184"/>
      <c r="J929" s="184"/>
      <c r="Q929" s="184"/>
      <c r="S929" s="543"/>
      <c r="T929" s="543"/>
    </row>
    <row r="930">
      <c r="D930" s="184"/>
      <c r="H930" s="184"/>
      <c r="I930" s="184"/>
      <c r="J930" s="184"/>
      <c r="Q930" s="184"/>
      <c r="S930" s="543"/>
      <c r="T930" s="543"/>
    </row>
    <row r="931">
      <c r="D931" s="184"/>
      <c r="H931" s="184"/>
      <c r="I931" s="184"/>
      <c r="J931" s="184"/>
      <c r="Q931" s="184"/>
      <c r="S931" s="543"/>
      <c r="T931" s="543"/>
    </row>
    <row r="932">
      <c r="D932" s="184"/>
      <c r="H932" s="184"/>
      <c r="I932" s="184"/>
      <c r="J932" s="184"/>
      <c r="Q932" s="184"/>
      <c r="S932" s="543"/>
      <c r="T932" s="543"/>
    </row>
    <row r="933">
      <c r="D933" s="184"/>
      <c r="H933" s="184"/>
      <c r="I933" s="184"/>
      <c r="J933" s="184"/>
      <c r="Q933" s="184"/>
      <c r="S933" s="543"/>
      <c r="T933" s="543"/>
    </row>
    <row r="934">
      <c r="D934" s="184"/>
      <c r="H934" s="184"/>
      <c r="I934" s="184"/>
      <c r="J934" s="184"/>
      <c r="Q934" s="184"/>
      <c r="S934" s="543"/>
      <c r="T934" s="543"/>
    </row>
    <row r="935">
      <c r="D935" s="184"/>
      <c r="H935" s="184"/>
      <c r="I935" s="184"/>
      <c r="J935" s="184"/>
      <c r="Q935" s="184"/>
      <c r="S935" s="543"/>
      <c r="T935" s="543"/>
    </row>
    <row r="936">
      <c r="D936" s="184"/>
      <c r="H936" s="184"/>
      <c r="I936" s="184"/>
      <c r="J936" s="184"/>
      <c r="Q936" s="184"/>
      <c r="S936" s="543"/>
      <c r="T936" s="543"/>
    </row>
    <row r="937">
      <c r="D937" s="184"/>
      <c r="H937" s="184"/>
      <c r="I937" s="184"/>
      <c r="J937" s="184"/>
      <c r="Q937" s="184"/>
      <c r="S937" s="543"/>
      <c r="T937" s="543"/>
    </row>
    <row r="938">
      <c r="D938" s="184"/>
      <c r="H938" s="184"/>
      <c r="I938" s="184"/>
      <c r="J938" s="184"/>
      <c r="Q938" s="184"/>
      <c r="S938" s="543"/>
      <c r="T938" s="543"/>
    </row>
    <row r="939">
      <c r="D939" s="184"/>
      <c r="H939" s="184"/>
      <c r="I939" s="184"/>
      <c r="J939" s="184"/>
      <c r="Q939" s="184"/>
      <c r="S939" s="543"/>
      <c r="T939" s="543"/>
    </row>
    <row r="940">
      <c r="D940" s="184"/>
      <c r="H940" s="184"/>
      <c r="I940" s="184"/>
      <c r="J940" s="184"/>
      <c r="Q940" s="184"/>
      <c r="S940" s="543"/>
      <c r="T940" s="543"/>
    </row>
    <row r="941">
      <c r="D941" s="184"/>
      <c r="H941" s="184"/>
      <c r="I941" s="184"/>
      <c r="J941" s="184"/>
      <c r="Q941" s="184"/>
      <c r="S941" s="543"/>
      <c r="T941" s="543"/>
    </row>
    <row r="942">
      <c r="D942" s="184"/>
      <c r="H942" s="184"/>
      <c r="I942" s="184"/>
      <c r="J942" s="184"/>
      <c r="Q942" s="184"/>
      <c r="S942" s="543"/>
      <c r="T942" s="543"/>
    </row>
    <row r="943">
      <c r="D943" s="184"/>
      <c r="H943" s="184"/>
      <c r="I943" s="184"/>
      <c r="J943" s="184"/>
      <c r="Q943" s="184"/>
      <c r="S943" s="543"/>
      <c r="T943" s="543"/>
    </row>
    <row r="944">
      <c r="D944" s="184"/>
      <c r="H944" s="184"/>
      <c r="I944" s="184"/>
      <c r="J944" s="184"/>
      <c r="Q944" s="184"/>
      <c r="S944" s="543"/>
      <c r="T944" s="543"/>
    </row>
    <row r="945">
      <c r="D945" s="184"/>
      <c r="H945" s="184"/>
      <c r="I945" s="184"/>
      <c r="J945" s="184"/>
      <c r="Q945" s="184"/>
      <c r="S945" s="543"/>
      <c r="T945" s="543"/>
    </row>
    <row r="946">
      <c r="D946" s="184"/>
      <c r="H946" s="184"/>
      <c r="I946" s="184"/>
      <c r="J946" s="184"/>
      <c r="Q946" s="184"/>
      <c r="S946" s="543"/>
      <c r="T946" s="543"/>
    </row>
    <row r="947">
      <c r="D947" s="184"/>
      <c r="H947" s="184"/>
      <c r="I947" s="184"/>
      <c r="J947" s="184"/>
      <c r="Q947" s="184"/>
      <c r="S947" s="543"/>
      <c r="T947" s="543"/>
    </row>
    <row r="948">
      <c r="D948" s="184"/>
      <c r="H948" s="184"/>
      <c r="I948" s="184"/>
      <c r="J948" s="184"/>
      <c r="Q948" s="184"/>
      <c r="S948" s="543"/>
      <c r="T948" s="543"/>
    </row>
    <row r="949">
      <c r="D949" s="184"/>
      <c r="H949" s="184"/>
      <c r="I949" s="184"/>
      <c r="J949" s="184"/>
      <c r="Q949" s="184"/>
      <c r="S949" s="543"/>
      <c r="T949" s="543"/>
    </row>
    <row r="950">
      <c r="D950" s="184"/>
      <c r="H950" s="184"/>
      <c r="I950" s="184"/>
      <c r="J950" s="184"/>
      <c r="Q950" s="184"/>
      <c r="S950" s="543"/>
      <c r="T950" s="543"/>
    </row>
    <row r="951">
      <c r="D951" s="184"/>
      <c r="H951" s="184"/>
      <c r="I951" s="184"/>
      <c r="J951" s="184"/>
      <c r="Q951" s="184"/>
      <c r="S951" s="543"/>
      <c r="T951" s="543"/>
    </row>
    <row r="952">
      <c r="D952" s="184"/>
      <c r="H952" s="184"/>
      <c r="I952" s="184"/>
      <c r="J952" s="184"/>
      <c r="Q952" s="184"/>
      <c r="S952" s="543"/>
      <c r="T952" s="543"/>
    </row>
    <row r="953">
      <c r="D953" s="184"/>
      <c r="H953" s="184"/>
      <c r="I953" s="184"/>
      <c r="J953" s="184"/>
      <c r="Q953" s="184"/>
      <c r="S953" s="543"/>
      <c r="T953" s="543"/>
    </row>
    <row r="954">
      <c r="D954" s="184"/>
      <c r="H954" s="184"/>
      <c r="I954" s="184"/>
      <c r="J954" s="184"/>
      <c r="Q954" s="184"/>
      <c r="S954" s="543"/>
      <c r="T954" s="543"/>
    </row>
    <row r="955">
      <c r="D955" s="184"/>
      <c r="H955" s="184"/>
      <c r="I955" s="184"/>
      <c r="J955" s="184"/>
      <c r="Q955" s="184"/>
      <c r="S955" s="543"/>
      <c r="T955" s="543"/>
    </row>
    <row r="956">
      <c r="D956" s="184"/>
      <c r="H956" s="184"/>
      <c r="I956" s="184"/>
      <c r="J956" s="184"/>
      <c r="Q956" s="184"/>
      <c r="S956" s="543"/>
      <c r="T956" s="543"/>
    </row>
    <row r="957">
      <c r="D957" s="184"/>
      <c r="H957" s="184"/>
      <c r="I957" s="184"/>
      <c r="J957" s="184"/>
      <c r="Q957" s="184"/>
      <c r="S957" s="543"/>
      <c r="T957" s="543"/>
    </row>
    <row r="958">
      <c r="D958" s="184"/>
      <c r="H958" s="184"/>
      <c r="I958" s="184"/>
      <c r="J958" s="184"/>
      <c r="Q958" s="184"/>
      <c r="S958" s="543"/>
      <c r="T958" s="543"/>
    </row>
    <row r="959">
      <c r="D959" s="184"/>
      <c r="H959" s="184"/>
      <c r="I959" s="184"/>
      <c r="J959" s="184"/>
      <c r="Q959" s="184"/>
      <c r="S959" s="543"/>
      <c r="T959" s="543"/>
    </row>
    <row r="960">
      <c r="D960" s="184"/>
      <c r="H960" s="184"/>
      <c r="I960" s="184"/>
      <c r="J960" s="184"/>
      <c r="Q960" s="184"/>
      <c r="S960" s="543"/>
      <c r="T960" s="543"/>
    </row>
    <row r="961">
      <c r="D961" s="184"/>
      <c r="H961" s="184"/>
      <c r="I961" s="184"/>
      <c r="J961" s="184"/>
      <c r="Q961" s="184"/>
      <c r="S961" s="543"/>
      <c r="T961" s="543"/>
    </row>
    <row r="962">
      <c r="D962" s="184"/>
      <c r="H962" s="184"/>
      <c r="I962" s="184"/>
      <c r="J962" s="184"/>
      <c r="Q962" s="184"/>
      <c r="S962" s="543"/>
      <c r="T962" s="543"/>
    </row>
    <row r="963">
      <c r="D963" s="184"/>
      <c r="H963" s="184"/>
      <c r="I963" s="184"/>
      <c r="J963" s="184"/>
      <c r="Q963" s="184"/>
      <c r="S963" s="543"/>
      <c r="T963" s="543"/>
    </row>
    <row r="964">
      <c r="D964" s="184"/>
      <c r="H964" s="184"/>
      <c r="I964" s="184"/>
      <c r="J964" s="184"/>
      <c r="Q964" s="184"/>
      <c r="S964" s="543"/>
      <c r="T964" s="543"/>
    </row>
    <row r="965">
      <c r="D965" s="184"/>
      <c r="H965" s="184"/>
      <c r="I965" s="184"/>
      <c r="J965" s="184"/>
      <c r="Q965" s="184"/>
      <c r="S965" s="543"/>
      <c r="T965" s="543"/>
    </row>
    <row r="966">
      <c r="D966" s="184"/>
      <c r="H966" s="184"/>
      <c r="I966" s="184"/>
      <c r="J966" s="184"/>
      <c r="Q966" s="184"/>
      <c r="S966" s="543"/>
      <c r="T966" s="543"/>
    </row>
    <row r="967">
      <c r="D967" s="184"/>
      <c r="H967" s="184"/>
      <c r="I967" s="184"/>
      <c r="J967" s="184"/>
      <c r="Q967" s="184"/>
      <c r="S967" s="543"/>
      <c r="T967" s="543"/>
    </row>
    <row r="968">
      <c r="D968" s="184"/>
      <c r="H968" s="184"/>
      <c r="I968" s="184"/>
      <c r="J968" s="184"/>
      <c r="Q968" s="184"/>
      <c r="S968" s="543"/>
      <c r="T968" s="543"/>
    </row>
    <row r="969">
      <c r="D969" s="184"/>
      <c r="H969" s="184"/>
      <c r="I969" s="184"/>
      <c r="J969" s="184"/>
      <c r="Q969" s="184"/>
      <c r="S969" s="543"/>
      <c r="T969" s="543"/>
    </row>
    <row r="970">
      <c r="D970" s="184"/>
      <c r="H970" s="184"/>
      <c r="I970" s="184"/>
      <c r="J970" s="184"/>
      <c r="Q970" s="184"/>
      <c r="S970" s="543"/>
      <c r="T970" s="543"/>
    </row>
    <row r="971">
      <c r="D971" s="184"/>
      <c r="H971" s="184"/>
      <c r="I971" s="184"/>
      <c r="J971" s="184"/>
      <c r="Q971" s="184"/>
      <c r="S971" s="543"/>
      <c r="T971" s="543"/>
    </row>
    <row r="972">
      <c r="D972" s="184"/>
      <c r="H972" s="184"/>
      <c r="I972" s="184"/>
      <c r="J972" s="184"/>
      <c r="Q972" s="184"/>
      <c r="S972" s="543"/>
      <c r="T972" s="543"/>
    </row>
    <row r="973">
      <c r="D973" s="184"/>
      <c r="H973" s="184"/>
      <c r="I973" s="184"/>
      <c r="J973" s="184"/>
      <c r="Q973" s="184"/>
      <c r="S973" s="543"/>
      <c r="T973" s="543"/>
    </row>
    <row r="974">
      <c r="D974" s="184"/>
      <c r="H974" s="184"/>
      <c r="I974" s="184"/>
      <c r="J974" s="184"/>
      <c r="Q974" s="184"/>
      <c r="S974" s="543"/>
      <c r="T974" s="543"/>
    </row>
    <row r="975">
      <c r="D975" s="184"/>
      <c r="H975" s="184"/>
      <c r="I975" s="184"/>
      <c r="J975" s="184"/>
      <c r="Q975" s="184"/>
      <c r="S975" s="543"/>
      <c r="T975" s="543"/>
    </row>
    <row r="976">
      <c r="D976" s="184"/>
      <c r="H976" s="184"/>
      <c r="I976" s="184"/>
      <c r="J976" s="184"/>
      <c r="Q976" s="184"/>
      <c r="S976" s="543"/>
      <c r="T976" s="543"/>
    </row>
    <row r="977">
      <c r="D977" s="184"/>
      <c r="H977" s="184"/>
      <c r="I977" s="184"/>
      <c r="J977" s="184"/>
      <c r="Q977" s="184"/>
      <c r="S977" s="543"/>
      <c r="T977" s="543"/>
    </row>
    <row r="978">
      <c r="D978" s="184"/>
      <c r="H978" s="184"/>
      <c r="I978" s="184"/>
      <c r="J978" s="184"/>
      <c r="Q978" s="184"/>
      <c r="S978" s="543"/>
      <c r="T978" s="543"/>
    </row>
    <row r="979">
      <c r="D979" s="184"/>
      <c r="H979" s="184"/>
      <c r="I979" s="184"/>
      <c r="J979" s="184"/>
      <c r="Q979" s="184"/>
      <c r="S979" s="543"/>
      <c r="T979" s="543"/>
    </row>
    <row r="980">
      <c r="D980" s="184"/>
      <c r="H980" s="184"/>
      <c r="I980" s="184"/>
      <c r="J980" s="184"/>
      <c r="Q980" s="184"/>
      <c r="S980" s="543"/>
      <c r="T980" s="543"/>
    </row>
    <row r="981">
      <c r="D981" s="184"/>
      <c r="H981" s="184"/>
      <c r="I981" s="184"/>
      <c r="J981" s="184"/>
      <c r="Q981" s="184"/>
      <c r="S981" s="543"/>
      <c r="T981" s="543"/>
    </row>
    <row r="982">
      <c r="D982" s="184"/>
      <c r="H982" s="184"/>
      <c r="I982" s="184"/>
      <c r="J982" s="184"/>
      <c r="Q982" s="184"/>
      <c r="S982" s="543"/>
      <c r="T982" s="543"/>
    </row>
    <row r="983">
      <c r="D983" s="184"/>
      <c r="H983" s="184"/>
      <c r="I983" s="184"/>
      <c r="J983" s="184"/>
      <c r="Q983" s="184"/>
      <c r="S983" s="543"/>
      <c r="T983" s="543"/>
    </row>
    <row r="984">
      <c r="D984" s="184"/>
      <c r="H984" s="184"/>
      <c r="I984" s="184"/>
      <c r="J984" s="184"/>
      <c r="Q984" s="184"/>
      <c r="S984" s="543"/>
      <c r="T984" s="543"/>
    </row>
    <row r="985">
      <c r="D985" s="184"/>
      <c r="H985" s="184"/>
      <c r="I985" s="184"/>
      <c r="J985" s="184"/>
      <c r="Q985" s="184"/>
      <c r="S985" s="543"/>
      <c r="T985" s="543"/>
    </row>
    <row r="986">
      <c r="D986" s="184"/>
      <c r="H986" s="184"/>
      <c r="I986" s="184"/>
      <c r="J986" s="184"/>
      <c r="Q986" s="184"/>
      <c r="S986" s="543"/>
      <c r="T986" s="543"/>
    </row>
    <row r="987">
      <c r="D987" s="184"/>
      <c r="H987" s="184"/>
      <c r="I987" s="184"/>
      <c r="J987" s="184"/>
      <c r="Q987" s="184"/>
      <c r="S987" s="543"/>
      <c r="T987" s="543"/>
    </row>
    <row r="988">
      <c r="D988" s="184"/>
      <c r="H988" s="184"/>
      <c r="I988" s="184"/>
      <c r="J988" s="184"/>
      <c r="Q988" s="184"/>
      <c r="S988" s="543"/>
      <c r="T988" s="543"/>
    </row>
    <row r="989">
      <c r="D989" s="184"/>
      <c r="H989" s="184"/>
      <c r="I989" s="184"/>
      <c r="J989" s="184"/>
      <c r="Q989" s="184"/>
      <c r="S989" s="543"/>
      <c r="T989" s="543"/>
    </row>
    <row r="990">
      <c r="D990" s="184"/>
      <c r="H990" s="184"/>
      <c r="I990" s="184"/>
      <c r="J990" s="184"/>
      <c r="Q990" s="184"/>
      <c r="S990" s="543"/>
      <c r="T990" s="543"/>
    </row>
    <row r="991">
      <c r="D991" s="184"/>
      <c r="H991" s="184"/>
      <c r="I991" s="184"/>
      <c r="J991" s="184"/>
      <c r="Q991" s="184"/>
      <c r="S991" s="543"/>
      <c r="T991" s="543"/>
    </row>
    <row r="992">
      <c r="D992" s="184"/>
      <c r="H992" s="184"/>
      <c r="I992" s="184"/>
      <c r="J992" s="184"/>
      <c r="Q992" s="184"/>
      <c r="S992" s="543"/>
      <c r="T992" s="543"/>
    </row>
    <row r="993">
      <c r="D993" s="184"/>
      <c r="H993" s="184"/>
      <c r="I993" s="184"/>
      <c r="J993" s="184"/>
      <c r="Q993" s="184"/>
      <c r="S993" s="543"/>
      <c r="T993" s="543"/>
    </row>
    <row r="994">
      <c r="D994" s="184"/>
      <c r="H994" s="184"/>
      <c r="I994" s="184"/>
      <c r="J994" s="184"/>
      <c r="Q994" s="184"/>
      <c r="S994" s="543"/>
      <c r="T994" s="543"/>
    </row>
    <row r="995">
      <c r="D995" s="184"/>
      <c r="H995" s="184"/>
      <c r="I995" s="184"/>
      <c r="J995" s="184"/>
      <c r="Q995" s="184"/>
      <c r="S995" s="543"/>
      <c r="T995" s="543"/>
    </row>
    <row r="996">
      <c r="D996" s="184"/>
      <c r="H996" s="184"/>
      <c r="I996" s="184"/>
      <c r="J996" s="184"/>
      <c r="Q996" s="184"/>
      <c r="S996" s="543"/>
      <c r="T996" s="543"/>
    </row>
    <row r="997">
      <c r="D997" s="184"/>
      <c r="H997" s="184"/>
      <c r="I997" s="184"/>
      <c r="J997" s="184"/>
      <c r="Q997" s="184"/>
      <c r="S997" s="543"/>
      <c r="T997" s="543"/>
    </row>
    <row r="998">
      <c r="D998" s="184"/>
      <c r="H998" s="184"/>
      <c r="I998" s="184"/>
      <c r="J998" s="184"/>
      <c r="Q998" s="184"/>
      <c r="S998" s="543"/>
      <c r="T998" s="543"/>
    </row>
    <row r="999">
      <c r="D999" s="184"/>
      <c r="H999" s="184"/>
      <c r="I999" s="184"/>
      <c r="J999" s="184"/>
      <c r="Q999" s="184"/>
      <c r="S999" s="543"/>
      <c r="T999" s="543"/>
    </row>
    <row r="1000">
      <c r="D1000" s="184"/>
      <c r="H1000" s="184"/>
      <c r="I1000" s="184"/>
      <c r="J1000" s="184"/>
      <c r="Q1000" s="184"/>
      <c r="S1000" s="543"/>
      <c r="T1000" s="543"/>
    </row>
    <row r="1001">
      <c r="D1001" s="184"/>
      <c r="H1001" s="184"/>
      <c r="I1001" s="184"/>
      <c r="J1001" s="184"/>
      <c r="Q1001" s="184"/>
      <c r="S1001" s="543"/>
      <c r="T1001" s="543"/>
    </row>
    <row r="1002">
      <c r="D1002" s="184"/>
      <c r="H1002" s="184"/>
      <c r="I1002" s="184"/>
      <c r="J1002" s="184"/>
      <c r="Q1002" s="184"/>
      <c r="S1002" s="543"/>
      <c r="T1002" s="543"/>
    </row>
    <row r="1003">
      <c r="D1003" s="184"/>
      <c r="H1003" s="184"/>
      <c r="I1003" s="184"/>
      <c r="J1003" s="184"/>
      <c r="Q1003" s="184"/>
      <c r="S1003" s="543"/>
      <c r="T1003" s="543"/>
    </row>
    <row r="1004">
      <c r="D1004" s="184"/>
      <c r="H1004" s="184"/>
      <c r="I1004" s="184"/>
      <c r="J1004" s="184"/>
      <c r="Q1004" s="184"/>
      <c r="S1004" s="543"/>
      <c r="T1004" s="543"/>
    </row>
    <row r="1005">
      <c r="D1005" s="184"/>
      <c r="H1005" s="184"/>
      <c r="I1005" s="184"/>
      <c r="J1005" s="184"/>
      <c r="Q1005" s="184"/>
      <c r="S1005" s="543"/>
      <c r="T1005" s="543"/>
    </row>
  </sheetData>
  <mergeCells count="19">
    <mergeCell ref="B4:K4"/>
    <mergeCell ref="M4:R4"/>
    <mergeCell ref="T4:Y4"/>
    <mergeCell ref="Z4:AA4"/>
    <mergeCell ref="B5:K5"/>
    <mergeCell ref="M5:R5"/>
    <mergeCell ref="M13:R13"/>
    <mergeCell ref="B154:K154"/>
    <mergeCell ref="B155:K155"/>
    <mergeCell ref="M155:R155"/>
    <mergeCell ref="B181:K181"/>
    <mergeCell ref="B213:C213"/>
    <mergeCell ref="M22:R22"/>
    <mergeCell ref="M32:R32"/>
    <mergeCell ref="M36:Q36"/>
    <mergeCell ref="B37:K37"/>
    <mergeCell ref="B146:C146"/>
    <mergeCell ref="B152:R152"/>
    <mergeCell ref="M154:R154"/>
  </mergeCells>
  <drawing r:id="rId2"/>
  <legacyDrawing r:id="rId3"/>
</worksheet>
</file>

<file path=xl/worksheets/sheet3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2" max="2" width="41.88"/>
    <col customWidth="1" min="4" max="4" width="14.5"/>
    <col customWidth="1" min="8" max="8" width="14.75"/>
    <col customWidth="1" min="11" max="11" width="16.38"/>
    <col customWidth="1" min="13" max="13" width="29.0"/>
    <col customWidth="1" min="14" max="14" width="15.38"/>
    <col customWidth="1" min="18" max="18" width="13.75"/>
    <col customWidth="1" min="19" max="19" width="17.0"/>
    <col customWidth="1" min="20" max="20" width="18.5"/>
    <col customWidth="1" min="22" max="22" width="15.25"/>
  </cols>
  <sheetData>
    <row r="1">
      <c r="D1" s="184"/>
      <c r="H1" s="184"/>
      <c r="I1" s="184"/>
      <c r="J1" s="184"/>
      <c r="Q1" s="184"/>
      <c r="S1" s="543"/>
      <c r="T1" s="543"/>
    </row>
    <row r="2">
      <c r="B2" s="2" t="s">
        <v>1618</v>
      </c>
      <c r="D2" s="184"/>
      <c r="H2" s="184"/>
      <c r="I2" s="184"/>
      <c r="J2" s="184"/>
      <c r="Q2" s="184"/>
      <c r="S2" s="543"/>
      <c r="T2" s="543"/>
    </row>
    <row r="3">
      <c r="D3" s="184"/>
      <c r="H3" s="184"/>
      <c r="I3" s="184"/>
      <c r="J3" s="184"/>
      <c r="Q3" s="184"/>
      <c r="S3" s="543"/>
      <c r="T3" s="543"/>
    </row>
    <row r="4">
      <c r="B4" s="544" t="s">
        <v>1619</v>
      </c>
      <c r="C4" s="28"/>
      <c r="D4" s="28"/>
      <c r="E4" s="28"/>
      <c r="F4" s="28"/>
      <c r="G4" s="28"/>
      <c r="H4" s="28"/>
      <c r="I4" s="28"/>
      <c r="J4" s="28"/>
      <c r="K4" s="29"/>
      <c r="M4" s="544" t="s">
        <v>1620</v>
      </c>
      <c r="N4" s="28"/>
      <c r="O4" s="28"/>
      <c r="P4" s="28"/>
      <c r="Q4" s="28"/>
      <c r="R4" s="29"/>
      <c r="S4" s="543"/>
      <c r="T4" s="544" t="s">
        <v>1621</v>
      </c>
      <c r="U4" s="28"/>
      <c r="V4" s="28"/>
      <c r="W4" s="28"/>
      <c r="X4" s="28"/>
      <c r="Y4" s="29"/>
      <c r="Z4" s="545" t="s">
        <v>1622</v>
      </c>
      <c r="AA4" s="29"/>
    </row>
    <row r="5">
      <c r="B5" s="546" t="s">
        <v>1623</v>
      </c>
      <c r="C5" s="28"/>
      <c r="D5" s="28"/>
      <c r="E5" s="28"/>
      <c r="F5" s="28"/>
      <c r="G5" s="28"/>
      <c r="H5" s="28"/>
      <c r="I5" s="28"/>
      <c r="J5" s="28"/>
      <c r="K5" s="29"/>
      <c r="M5" s="546" t="s">
        <v>1624</v>
      </c>
      <c r="N5" s="28"/>
      <c r="O5" s="28"/>
      <c r="P5" s="28"/>
      <c r="Q5" s="28"/>
      <c r="R5" s="29"/>
      <c r="S5" s="2"/>
      <c r="T5" s="67" t="s">
        <v>1625</v>
      </c>
      <c r="U5" s="67" t="s">
        <v>1626</v>
      </c>
      <c r="V5" s="67" t="s">
        <v>1627</v>
      </c>
      <c r="W5" s="2" t="s">
        <v>928</v>
      </c>
      <c r="X5" s="67" t="s">
        <v>1628</v>
      </c>
      <c r="Y5" s="67" t="s">
        <v>749</v>
      </c>
      <c r="Z5" s="547" t="s">
        <v>1629</v>
      </c>
      <c r="AA5" s="67" t="s">
        <v>1630</v>
      </c>
    </row>
    <row r="6">
      <c r="B6" s="194" t="s">
        <v>1631</v>
      </c>
      <c r="C6" s="67" t="s">
        <v>695</v>
      </c>
      <c r="D6" s="189" t="s">
        <v>696</v>
      </c>
      <c r="E6" s="67" t="s">
        <v>1632</v>
      </c>
      <c r="F6" s="67" t="s">
        <v>1633</v>
      </c>
      <c r="G6" s="67" t="s">
        <v>1634</v>
      </c>
      <c r="H6" s="189" t="s">
        <v>1635</v>
      </c>
      <c r="I6" s="189" t="s">
        <v>1636</v>
      </c>
      <c r="J6" s="189" t="s">
        <v>1637</v>
      </c>
      <c r="K6" s="67" t="s">
        <v>1744</v>
      </c>
      <c r="M6" s="67" t="s">
        <v>758</v>
      </c>
      <c r="N6" s="243"/>
      <c r="O6" s="243"/>
      <c r="P6" s="243"/>
      <c r="Q6" s="182">
        <f>359.67+85.15+454.89+105.48</f>
        <v>1005.19</v>
      </c>
      <c r="R6" s="243"/>
      <c r="S6" s="2"/>
      <c r="T6" s="67" t="s">
        <v>1639</v>
      </c>
      <c r="U6" s="243">
        <f>(5.34+5.34)</f>
        <v>10.68</v>
      </c>
      <c r="V6" s="67">
        <f>85.35</f>
        <v>85.35</v>
      </c>
      <c r="W6" s="243">
        <f t="shared" ref="W6:W13" si="1">U6*V6</f>
        <v>911.538</v>
      </c>
      <c r="X6" s="67">
        <v>11.5</v>
      </c>
      <c r="Y6" s="182">
        <f t="shared" ref="Y6:Y13" si="2">W6*X6</f>
        <v>10482.687</v>
      </c>
      <c r="Z6" s="548">
        <f t="shared" ref="Z6:Z13" si="3">(1.9*0.2+0.46*1)/(22.23*0.2+5.13*1)</f>
        <v>0.08771929825</v>
      </c>
      <c r="AA6" s="182">
        <f t="shared" ref="AA6:AA13" si="4">Y6*Z6</f>
        <v>919.5339474</v>
      </c>
    </row>
    <row r="7">
      <c r="B7" s="194" t="s">
        <v>1745</v>
      </c>
      <c r="C7" s="67">
        <v>227.0</v>
      </c>
      <c r="D7" s="189">
        <v>1.5</v>
      </c>
      <c r="E7" s="67">
        <v>0.6</v>
      </c>
      <c r="F7" s="67">
        <v>0.55</v>
      </c>
      <c r="G7" s="67">
        <v>0.6</v>
      </c>
      <c r="H7" s="182">
        <f>C7*(D7+0.4)*(E7+0.4)*G7</f>
        <v>258.78</v>
      </c>
      <c r="I7" s="182">
        <f>C7*D7*E7</f>
        <v>204.3</v>
      </c>
      <c r="J7" s="182">
        <f>C7*((D7+E7)*2)*F7</f>
        <v>524.37</v>
      </c>
      <c r="K7" s="243">
        <f>C7*D7*E7*F7</f>
        <v>112.365</v>
      </c>
      <c r="M7" s="67" t="s">
        <v>759</v>
      </c>
      <c r="N7" s="243"/>
      <c r="O7" s="243"/>
      <c r="P7" s="67"/>
      <c r="Q7" s="189">
        <f>20.82+4.52+31.17+6.46</f>
        <v>62.97</v>
      </c>
      <c r="R7" s="243"/>
      <c r="S7" s="2"/>
      <c r="T7" s="67" t="s">
        <v>1640</v>
      </c>
      <c r="U7" s="243">
        <f>11.64*2</f>
        <v>23.28</v>
      </c>
      <c r="V7" s="67">
        <v>23.4</v>
      </c>
      <c r="W7" s="243">
        <f t="shared" si="1"/>
        <v>544.752</v>
      </c>
      <c r="X7" s="67">
        <v>11.5</v>
      </c>
      <c r="Y7" s="182">
        <f t="shared" si="2"/>
        <v>6264.648</v>
      </c>
      <c r="Z7" s="548">
        <f t="shared" si="3"/>
        <v>0.08771929825</v>
      </c>
      <c r="AA7" s="182">
        <f t="shared" si="4"/>
        <v>549.5305263</v>
      </c>
    </row>
    <row r="8">
      <c r="B8" s="194"/>
      <c r="C8" s="67"/>
      <c r="D8" s="189"/>
      <c r="E8" s="67"/>
      <c r="F8" s="67"/>
      <c r="G8" s="67"/>
      <c r="H8" s="182"/>
      <c r="I8" s="182"/>
      <c r="J8" s="182"/>
      <c r="K8" s="243"/>
      <c r="M8" s="67" t="s">
        <v>761</v>
      </c>
      <c r="N8" s="67" t="s">
        <v>686</v>
      </c>
      <c r="O8" s="67">
        <f>2629.2+613.3+3574.6+821.5</f>
        <v>7638.6</v>
      </c>
      <c r="P8" s="67">
        <v>0.154</v>
      </c>
      <c r="Q8" s="182">
        <f t="shared" ref="Q8:Q12" si="5">O8*P8</f>
        <v>1176.3444</v>
      </c>
      <c r="R8" s="243"/>
      <c r="S8" s="2"/>
      <c r="T8" s="67" t="s">
        <v>1642</v>
      </c>
      <c r="U8" s="243">
        <f>6.98*2</f>
        <v>13.96</v>
      </c>
      <c r="V8" s="67">
        <v>23.4</v>
      </c>
      <c r="W8" s="243">
        <f t="shared" si="1"/>
        <v>326.664</v>
      </c>
      <c r="X8" s="67">
        <v>11.5</v>
      </c>
      <c r="Y8" s="182">
        <f t="shared" si="2"/>
        <v>3756.636</v>
      </c>
      <c r="Z8" s="548">
        <f t="shared" si="3"/>
        <v>0.08771929825</v>
      </c>
      <c r="AA8" s="182">
        <f t="shared" si="4"/>
        <v>329.5294737</v>
      </c>
    </row>
    <row r="9">
      <c r="B9" s="194"/>
      <c r="C9" s="67"/>
      <c r="D9" s="189"/>
      <c r="E9" s="67"/>
      <c r="F9" s="67"/>
      <c r="G9" s="67"/>
      <c r="H9" s="182"/>
      <c r="I9" s="182"/>
      <c r="J9" s="182"/>
      <c r="K9" s="243"/>
      <c r="M9" s="243"/>
      <c r="N9" s="208">
        <v>45357.0</v>
      </c>
      <c r="O9" s="67">
        <v>0.0</v>
      </c>
      <c r="P9" s="67">
        <v>0.245</v>
      </c>
      <c r="Q9" s="182">
        <f t="shared" si="5"/>
        <v>0</v>
      </c>
      <c r="R9" s="243"/>
      <c r="S9" s="2"/>
      <c r="T9" s="67" t="s">
        <v>1644</v>
      </c>
      <c r="U9" s="243">
        <f>11.64*2</f>
        <v>23.28</v>
      </c>
      <c r="V9" s="67">
        <v>23.4</v>
      </c>
      <c r="W9" s="243">
        <f t="shared" si="1"/>
        <v>544.752</v>
      </c>
      <c r="X9" s="67">
        <v>11.5</v>
      </c>
      <c r="Y9" s="182">
        <f t="shared" si="2"/>
        <v>6264.648</v>
      </c>
      <c r="Z9" s="548">
        <f t="shared" si="3"/>
        <v>0.08771929825</v>
      </c>
      <c r="AA9" s="182">
        <f t="shared" si="4"/>
        <v>549.5305263</v>
      </c>
    </row>
    <row r="10">
      <c r="B10" s="194" t="s">
        <v>1746</v>
      </c>
      <c r="C10" s="67" t="s">
        <v>103</v>
      </c>
      <c r="D10" s="189">
        <f>I7</f>
        <v>204.3</v>
      </c>
      <c r="E10" s="67"/>
      <c r="F10" s="67"/>
      <c r="G10" s="67"/>
      <c r="H10" s="182"/>
      <c r="I10" s="182"/>
      <c r="J10" s="182"/>
      <c r="K10" s="243"/>
      <c r="M10" s="243"/>
      <c r="N10" s="209" t="s">
        <v>720</v>
      </c>
      <c r="O10" s="67">
        <v>0.0</v>
      </c>
      <c r="P10" s="67">
        <v>0.395</v>
      </c>
      <c r="Q10" s="182">
        <f t="shared" si="5"/>
        <v>0</v>
      </c>
      <c r="R10" s="243"/>
      <c r="S10" s="2"/>
      <c r="T10" s="67" t="s">
        <v>1645</v>
      </c>
      <c r="U10" s="243">
        <f>(5.34+5.34)</f>
        <v>10.68</v>
      </c>
      <c r="V10" s="67">
        <f>85.35</f>
        <v>85.35</v>
      </c>
      <c r="W10" s="243">
        <f t="shared" si="1"/>
        <v>911.538</v>
      </c>
      <c r="X10" s="67">
        <v>11.5</v>
      </c>
      <c r="Y10" s="182">
        <f t="shared" si="2"/>
        <v>10482.687</v>
      </c>
      <c r="Z10" s="548">
        <f t="shared" si="3"/>
        <v>0.08771929825</v>
      </c>
      <c r="AA10" s="182">
        <f t="shared" si="4"/>
        <v>919.5339474</v>
      </c>
    </row>
    <row r="11">
      <c r="B11" s="194" t="s">
        <v>675</v>
      </c>
      <c r="C11" s="67" t="s">
        <v>148</v>
      </c>
      <c r="D11" s="189">
        <f>H7</f>
        <v>258.78</v>
      </c>
      <c r="E11" s="67"/>
      <c r="F11" s="67"/>
      <c r="G11" s="67"/>
      <c r="H11" s="182"/>
      <c r="I11" s="182"/>
      <c r="J11" s="182"/>
      <c r="K11" s="243"/>
      <c r="M11" s="243"/>
      <c r="N11" s="209">
        <v>10.0</v>
      </c>
      <c r="O11" s="243">
        <f>1420.1+366.5+1485.4+378.4</f>
        <v>3650.4</v>
      </c>
      <c r="P11" s="67">
        <v>0.617</v>
      </c>
      <c r="Q11" s="182">
        <f t="shared" si="5"/>
        <v>2252.2968</v>
      </c>
      <c r="R11" s="243"/>
      <c r="S11" s="2"/>
      <c r="T11" s="67" t="s">
        <v>1647</v>
      </c>
      <c r="U11" s="67">
        <f>8.45*2</f>
        <v>16.9</v>
      </c>
      <c r="V11" s="67">
        <v>53.35</v>
      </c>
      <c r="W11" s="243">
        <f t="shared" si="1"/>
        <v>901.615</v>
      </c>
      <c r="X11" s="67">
        <v>11.5</v>
      </c>
      <c r="Y11" s="182">
        <f t="shared" si="2"/>
        <v>10368.5725</v>
      </c>
      <c r="Z11" s="548">
        <f t="shared" si="3"/>
        <v>0.08771929825</v>
      </c>
      <c r="AA11" s="182">
        <f t="shared" si="4"/>
        <v>909.5239035</v>
      </c>
    </row>
    <row r="12">
      <c r="B12" s="194" t="s">
        <v>1747</v>
      </c>
      <c r="C12" s="67" t="s">
        <v>148</v>
      </c>
      <c r="D12" s="189">
        <f>D10*0.05</f>
        <v>10.215</v>
      </c>
      <c r="E12" s="67"/>
      <c r="F12" s="67"/>
      <c r="G12" s="67"/>
      <c r="H12" s="182"/>
      <c r="I12" s="182"/>
      <c r="J12" s="182"/>
      <c r="K12" s="243"/>
      <c r="M12" s="243"/>
      <c r="N12" s="208">
        <v>45424.0</v>
      </c>
      <c r="O12" s="67">
        <f>230.3+24.6+311.9+24.6</f>
        <v>591.4</v>
      </c>
      <c r="P12" s="67">
        <v>0.963</v>
      </c>
      <c r="Q12" s="182">
        <f t="shared" si="5"/>
        <v>569.5182</v>
      </c>
      <c r="R12" s="243"/>
      <c r="S12" s="2"/>
      <c r="T12" s="67" t="s">
        <v>1649</v>
      </c>
      <c r="U12" s="67">
        <f>12.41*2</f>
        <v>24.82</v>
      </c>
      <c r="V12" s="67">
        <v>37.38</v>
      </c>
      <c r="W12" s="243">
        <f t="shared" si="1"/>
        <v>927.7716</v>
      </c>
      <c r="X12" s="67">
        <v>11.5</v>
      </c>
      <c r="Y12" s="549">
        <f t="shared" si="2"/>
        <v>10669.3734</v>
      </c>
      <c r="Z12" s="548">
        <f t="shared" si="3"/>
        <v>0.08771929825</v>
      </c>
      <c r="AA12" s="549">
        <f t="shared" si="4"/>
        <v>935.9099474</v>
      </c>
    </row>
    <row r="13" ht="16.5" customHeight="1">
      <c r="B13" s="194" t="s">
        <v>1748</v>
      </c>
      <c r="C13" s="67" t="s">
        <v>103</v>
      </c>
      <c r="D13" s="189">
        <f>J7</f>
        <v>524.37</v>
      </c>
      <c r="E13" s="67"/>
      <c r="F13" s="67"/>
      <c r="G13" s="67"/>
      <c r="H13" s="182"/>
      <c r="I13" s="182"/>
      <c r="J13" s="182"/>
      <c r="K13" s="243"/>
      <c r="M13" s="546" t="s">
        <v>1651</v>
      </c>
      <c r="N13" s="28"/>
      <c r="O13" s="28"/>
      <c r="P13" s="28"/>
      <c r="Q13" s="28"/>
      <c r="R13" s="29"/>
      <c r="S13" s="550"/>
      <c r="T13" s="551" t="s">
        <v>1652</v>
      </c>
      <c r="U13" s="243">
        <f>5.8*2</f>
        <v>11.6</v>
      </c>
      <c r="V13" s="67">
        <v>29.3</v>
      </c>
      <c r="W13" s="243">
        <f t="shared" si="1"/>
        <v>339.88</v>
      </c>
      <c r="X13" s="67">
        <v>11.5</v>
      </c>
      <c r="Y13" s="182">
        <f t="shared" si="2"/>
        <v>3908.62</v>
      </c>
      <c r="Z13" s="548">
        <f t="shared" si="3"/>
        <v>0.08771929825</v>
      </c>
      <c r="AA13" s="182">
        <f t="shared" si="4"/>
        <v>342.8614035</v>
      </c>
    </row>
    <row r="14" ht="16.5" customHeight="1">
      <c r="B14" s="194" t="s">
        <v>1749</v>
      </c>
      <c r="C14" s="67" t="s">
        <v>148</v>
      </c>
      <c r="D14" s="189">
        <f>K7</f>
        <v>112.365</v>
      </c>
      <c r="E14" s="67"/>
      <c r="F14" s="67"/>
      <c r="G14" s="67"/>
      <c r="H14" s="182"/>
      <c r="I14" s="182"/>
      <c r="J14" s="182"/>
      <c r="K14" s="243"/>
      <c r="M14" s="566"/>
      <c r="N14" s="566"/>
      <c r="O14" s="566"/>
      <c r="P14" s="566"/>
      <c r="Q14" s="566"/>
      <c r="R14" s="566"/>
      <c r="S14" s="550"/>
      <c r="T14" s="552"/>
      <c r="U14" s="243"/>
      <c r="V14" s="67"/>
      <c r="W14" s="243"/>
      <c r="X14" s="67"/>
      <c r="Y14" s="182"/>
      <c r="Z14" s="548"/>
      <c r="AA14" s="182"/>
    </row>
    <row r="15">
      <c r="B15" s="194"/>
      <c r="C15" s="67"/>
      <c r="D15" s="189"/>
      <c r="E15" s="67"/>
      <c r="F15" s="67"/>
      <c r="G15" s="67"/>
      <c r="H15" s="182"/>
      <c r="I15" s="182"/>
      <c r="J15" s="182"/>
      <c r="K15" s="243"/>
      <c r="M15" s="67" t="s">
        <v>758</v>
      </c>
      <c r="N15" s="243"/>
      <c r="O15" s="243"/>
      <c r="P15" s="243"/>
      <c r="Q15" s="182">
        <f>237.26+228.98+261.8+225</f>
        <v>953.04</v>
      </c>
      <c r="R15" s="243"/>
      <c r="S15" s="550"/>
      <c r="T15" s="552" t="s">
        <v>1654</v>
      </c>
      <c r="U15" s="67">
        <v>11.45</v>
      </c>
      <c r="V15" s="243">
        <f>2.04*2</f>
        <v>4.08</v>
      </c>
      <c r="W15" s="243">
        <f>U15*V15</f>
        <v>46.716</v>
      </c>
      <c r="X15" s="67">
        <v>11.5</v>
      </c>
      <c r="Y15" s="182">
        <f t="shared" ref="Y15:Y17" si="6">W15*X15</f>
        <v>537.234</v>
      </c>
      <c r="Z15" s="548">
        <f t="shared" ref="Z15:Z17" si="7">(1.9*0.2+0.46*1)/(22.23*0.2+5.13*1)</f>
        <v>0.08771929825</v>
      </c>
      <c r="AA15" s="182">
        <f t="shared" ref="AA15:AA17" si="8">Y15*Z15</f>
        <v>47.12578947</v>
      </c>
    </row>
    <row r="16">
      <c r="B16" s="555"/>
      <c r="C16" s="370" t="s">
        <v>683</v>
      </c>
      <c r="D16" s="558" t="s">
        <v>1750</v>
      </c>
      <c r="E16" s="370" t="s">
        <v>106</v>
      </c>
      <c r="F16" s="370" t="s">
        <v>695</v>
      </c>
      <c r="G16" s="370" t="s">
        <v>108</v>
      </c>
      <c r="H16" s="370" t="s">
        <v>684</v>
      </c>
      <c r="I16" s="558" t="s">
        <v>749</v>
      </c>
      <c r="J16" s="182"/>
      <c r="K16" s="243"/>
      <c r="M16" s="67" t="s">
        <v>759</v>
      </c>
      <c r="N16" s="243"/>
      <c r="O16" s="243"/>
      <c r="P16" s="67"/>
      <c r="Q16" s="189">
        <f>14.25+14.37+16.31+13.66</f>
        <v>58.59</v>
      </c>
      <c r="R16" s="243"/>
      <c r="S16" s="2"/>
      <c r="T16" s="67" t="s">
        <v>1656</v>
      </c>
      <c r="U16" s="243">
        <f>2.62</f>
        <v>2.62</v>
      </c>
      <c r="V16" s="67">
        <v>4.3</v>
      </c>
      <c r="W16" s="243">
        <f t="shared" ref="W16:W17" si="9">(U16*V16)*2</f>
        <v>22.532</v>
      </c>
      <c r="X16" s="67">
        <v>11.5</v>
      </c>
      <c r="Y16" s="182">
        <f t="shared" si="6"/>
        <v>259.118</v>
      </c>
      <c r="Z16" s="548">
        <f t="shared" si="7"/>
        <v>0.08771929825</v>
      </c>
      <c r="AA16" s="182">
        <f t="shared" si="8"/>
        <v>22.72964912</v>
      </c>
    </row>
    <row r="17">
      <c r="B17" s="555" t="s">
        <v>1751</v>
      </c>
      <c r="C17" s="370" t="s">
        <v>686</v>
      </c>
      <c r="D17" s="558" t="s">
        <v>1752</v>
      </c>
      <c r="E17" s="370">
        <v>227.0</v>
      </c>
      <c r="F17" s="370">
        <v>2.0</v>
      </c>
      <c r="G17" s="370">
        <v>1.99</v>
      </c>
      <c r="H17" s="567">
        <f>0.395</f>
        <v>0.395</v>
      </c>
      <c r="I17" s="568">
        <f t="shared" ref="I17:I21" si="10">E17*F17*G17*H17</f>
        <v>356.8667</v>
      </c>
      <c r="J17" s="182"/>
      <c r="K17" s="243"/>
      <c r="M17" s="67" t="s">
        <v>761</v>
      </c>
      <c r="N17" s="67" t="s">
        <v>686</v>
      </c>
      <c r="O17" s="67">
        <f>1245.6+1129.1+328.9+1456.9+1295.5+1046.7</f>
        <v>6502.7</v>
      </c>
      <c r="P17" s="67">
        <v>0.154</v>
      </c>
      <c r="Q17" s="182">
        <f t="shared" ref="Q17:Q21" si="11">O17*P17</f>
        <v>1001.4158</v>
      </c>
      <c r="R17" s="243"/>
      <c r="S17" s="543"/>
      <c r="T17" s="67" t="s">
        <v>1658</v>
      </c>
      <c r="U17" s="67">
        <v>3.3</v>
      </c>
      <c r="V17" s="67">
        <f>(28.67+112.8+25)/2</f>
        <v>83.235</v>
      </c>
      <c r="W17" s="243">
        <f t="shared" si="9"/>
        <v>549.351</v>
      </c>
      <c r="X17" s="67">
        <v>11.5</v>
      </c>
      <c r="Y17" s="182">
        <f t="shared" si="6"/>
        <v>6317.5365</v>
      </c>
      <c r="Z17" s="548">
        <f t="shared" si="7"/>
        <v>0.08771929825</v>
      </c>
      <c r="AA17" s="182">
        <f t="shared" si="8"/>
        <v>554.1698684</v>
      </c>
    </row>
    <row r="18">
      <c r="B18" s="555"/>
      <c r="C18" s="370" t="s">
        <v>686</v>
      </c>
      <c r="D18" s="558" t="s">
        <v>1753</v>
      </c>
      <c r="E18" s="370">
        <v>227.0</v>
      </c>
      <c r="F18" s="370">
        <v>5.0</v>
      </c>
      <c r="G18" s="370">
        <v>3.95</v>
      </c>
      <c r="H18" s="370">
        <v>0.154</v>
      </c>
      <c r="I18" s="568">
        <f t="shared" si="10"/>
        <v>690.4205</v>
      </c>
      <c r="J18" s="182"/>
      <c r="K18" s="243"/>
      <c r="M18" s="243"/>
      <c r="N18" s="208">
        <v>45357.0</v>
      </c>
      <c r="O18" s="243">
        <f>1.5+241.8+0.8+234.6</f>
        <v>478.7</v>
      </c>
      <c r="P18" s="67">
        <v>0.245</v>
      </c>
      <c r="Q18" s="182">
        <f t="shared" si="11"/>
        <v>117.2815</v>
      </c>
      <c r="R18" s="243"/>
      <c r="S18" s="543"/>
      <c r="T18" s="543"/>
      <c r="Z18" s="184">
        <f>Y13+Y15</f>
        <v>4445.854</v>
      </c>
    </row>
    <row r="19">
      <c r="B19" s="555"/>
      <c r="C19" s="569" t="s">
        <v>686</v>
      </c>
      <c r="D19" s="558" t="s">
        <v>1754</v>
      </c>
      <c r="E19" s="370">
        <v>277.0</v>
      </c>
      <c r="F19" s="370">
        <v>4.0</v>
      </c>
      <c r="G19" s="370">
        <v>1.49</v>
      </c>
      <c r="H19" s="370">
        <v>0.245</v>
      </c>
      <c r="I19" s="568">
        <f t="shared" si="10"/>
        <v>404.4754</v>
      </c>
      <c r="J19" s="182"/>
      <c r="K19" s="243"/>
      <c r="M19" s="243"/>
      <c r="N19" s="209" t="s">
        <v>720</v>
      </c>
      <c r="O19" s="243">
        <f>1150+894.5+300.7+334.2+1233.5+892.4</f>
        <v>4805.3</v>
      </c>
      <c r="P19" s="67">
        <v>0.395</v>
      </c>
      <c r="Q19" s="182">
        <f t="shared" si="11"/>
        <v>1898.0935</v>
      </c>
      <c r="R19" s="243"/>
      <c r="S19" s="543"/>
      <c r="T19" s="543"/>
      <c r="W19" s="2"/>
    </row>
    <row r="20">
      <c r="B20" s="555"/>
      <c r="C20" s="569" t="s">
        <v>686</v>
      </c>
      <c r="D20" s="558" t="s">
        <v>1755</v>
      </c>
      <c r="E20" s="370">
        <v>277.0</v>
      </c>
      <c r="F20" s="370">
        <v>7.0</v>
      </c>
      <c r="G20" s="370">
        <v>1.73</v>
      </c>
      <c r="H20" s="370">
        <v>0.617</v>
      </c>
      <c r="I20" s="568">
        <f t="shared" si="10"/>
        <v>2069.70799</v>
      </c>
      <c r="J20" s="182"/>
      <c r="K20" s="243"/>
      <c r="M20" s="243"/>
      <c r="N20" s="209">
        <v>10.0</v>
      </c>
      <c r="O20" s="67">
        <f>96.9+64+4+82.6</f>
        <v>247.5</v>
      </c>
      <c r="P20" s="67">
        <v>0.617</v>
      </c>
      <c r="Q20" s="182">
        <f t="shared" si="11"/>
        <v>152.7075</v>
      </c>
      <c r="R20" s="243"/>
      <c r="S20" s="543"/>
      <c r="T20" s="543"/>
    </row>
    <row r="21">
      <c r="B21" s="555"/>
      <c r="C21" s="569" t="s">
        <v>720</v>
      </c>
      <c r="D21" s="558" t="s">
        <v>1756</v>
      </c>
      <c r="E21" s="370">
        <v>277.0</v>
      </c>
      <c r="F21" s="370">
        <v>4.0</v>
      </c>
      <c r="G21" s="370">
        <v>1.98</v>
      </c>
      <c r="H21" s="370">
        <v>0.963</v>
      </c>
      <c r="I21" s="568">
        <f t="shared" si="10"/>
        <v>2112.66792</v>
      </c>
      <c r="J21" s="182"/>
      <c r="K21" s="243"/>
      <c r="M21" s="243"/>
      <c r="N21" s="208">
        <v>45424.0</v>
      </c>
      <c r="O21" s="67"/>
      <c r="P21" s="67">
        <v>0.963</v>
      </c>
      <c r="Q21" s="182">
        <f t="shared" si="11"/>
        <v>0</v>
      </c>
      <c r="R21" s="243"/>
      <c r="S21" s="543"/>
      <c r="T21" s="543"/>
      <c r="Y21" s="2"/>
      <c r="AA21" s="2"/>
    </row>
    <row r="22">
      <c r="B22" s="194"/>
      <c r="C22" s="67"/>
      <c r="D22" s="189"/>
      <c r="E22" s="67"/>
      <c r="F22" s="67"/>
      <c r="G22" s="67"/>
      <c r="H22" s="182"/>
      <c r="I22" s="182"/>
      <c r="J22" s="182"/>
      <c r="K22" s="243"/>
      <c r="M22" s="546" t="s">
        <v>1663</v>
      </c>
      <c r="N22" s="28"/>
      <c r="O22" s="28"/>
      <c r="P22" s="28"/>
      <c r="Q22" s="28"/>
      <c r="R22" s="29"/>
      <c r="S22" s="543"/>
      <c r="T22" s="543"/>
      <c r="V22" s="2"/>
    </row>
    <row r="23">
      <c r="B23" s="194" t="s">
        <v>1757</v>
      </c>
      <c r="C23" s="189">
        <f>SUM(I17:I20)</f>
        <v>3521.47059</v>
      </c>
      <c r="D23" s="189"/>
      <c r="E23" s="67"/>
      <c r="F23" s="67"/>
      <c r="G23" s="67"/>
      <c r="H23" s="182"/>
      <c r="I23" s="182"/>
      <c r="J23" s="182"/>
      <c r="K23" s="243"/>
      <c r="M23" s="67" t="s">
        <v>761</v>
      </c>
      <c r="N23" s="67" t="s">
        <v>686</v>
      </c>
      <c r="O23" s="67">
        <f>27*2</f>
        <v>54</v>
      </c>
      <c r="P23" s="67">
        <v>0.154</v>
      </c>
      <c r="Q23" s="182">
        <f>O23*P23</f>
        <v>8.316</v>
      </c>
      <c r="R23" s="243"/>
      <c r="S23" s="543"/>
      <c r="T23" s="543"/>
    </row>
    <row r="24">
      <c r="B24" s="194" t="s">
        <v>1758</v>
      </c>
      <c r="C24" s="189">
        <f>I21</f>
        <v>2112.66792</v>
      </c>
      <c r="D24" s="189"/>
      <c r="E24" s="67"/>
      <c r="F24" s="67"/>
      <c r="G24" s="67"/>
      <c r="H24" s="182"/>
      <c r="I24" s="182"/>
      <c r="J24" s="182"/>
      <c r="K24" s="243"/>
      <c r="M24" s="67" t="s">
        <v>1665</v>
      </c>
      <c r="N24" s="67"/>
      <c r="O24" s="67"/>
      <c r="P24" s="67"/>
      <c r="Q24" s="182">
        <f>1.29*2</f>
        <v>2.58</v>
      </c>
      <c r="R24" s="243"/>
      <c r="S24" s="543"/>
      <c r="T24" s="543"/>
    </row>
    <row r="25">
      <c r="B25" s="194"/>
      <c r="C25" s="67"/>
      <c r="D25" s="189"/>
      <c r="E25" s="67"/>
      <c r="F25" s="67"/>
      <c r="G25" s="67"/>
      <c r="H25" s="182"/>
      <c r="I25" s="182"/>
      <c r="J25" s="182"/>
      <c r="K25" s="243"/>
      <c r="M25" s="67"/>
      <c r="N25" s="67" t="s">
        <v>695</v>
      </c>
      <c r="O25" s="67" t="s">
        <v>696</v>
      </c>
      <c r="P25" s="67" t="s">
        <v>1667</v>
      </c>
      <c r="Q25" s="189" t="s">
        <v>1668</v>
      </c>
      <c r="R25" s="67"/>
      <c r="S25" s="543"/>
      <c r="T25" s="543"/>
    </row>
    <row r="26">
      <c r="B26" s="190"/>
      <c r="C26" s="210" t="s">
        <v>106</v>
      </c>
      <c r="D26" s="192" t="s">
        <v>691</v>
      </c>
      <c r="E26" s="67" t="s">
        <v>692</v>
      </c>
      <c r="F26" s="207" t="s">
        <v>693</v>
      </c>
      <c r="G26" s="205"/>
      <c r="H26" s="206"/>
      <c r="I26" s="182"/>
      <c r="J26" s="182"/>
      <c r="K26" s="243"/>
      <c r="M26" s="67" t="s">
        <v>1426</v>
      </c>
      <c r="N26" s="67">
        <v>2.0</v>
      </c>
      <c r="O26" s="67">
        <v>3.58</v>
      </c>
      <c r="P26" s="67">
        <v>0.8</v>
      </c>
      <c r="Q26" s="182">
        <f t="shared" ref="Q26:Q29" si="12">N26*O26*P26</f>
        <v>5.728</v>
      </c>
      <c r="R26" s="67"/>
      <c r="S26" s="543"/>
      <c r="T26" s="543"/>
    </row>
    <row r="27">
      <c r="B27" s="190" t="s">
        <v>694</v>
      </c>
      <c r="C27" s="210">
        <f>227*2</f>
        <v>454</v>
      </c>
      <c r="D27" s="192">
        <v>0.3</v>
      </c>
      <c r="E27" s="67">
        <v>10.0</v>
      </c>
      <c r="F27" s="205">
        <f>C27*E27</f>
        <v>4540</v>
      </c>
      <c r="G27" s="205"/>
      <c r="H27" s="206"/>
      <c r="I27" s="182"/>
      <c r="J27" s="182"/>
      <c r="K27" s="243"/>
      <c r="M27" s="243"/>
      <c r="N27" s="67">
        <v>3.0</v>
      </c>
      <c r="O27" s="67">
        <v>3.68</v>
      </c>
      <c r="P27" s="67">
        <v>0.8</v>
      </c>
      <c r="Q27" s="182">
        <f t="shared" si="12"/>
        <v>8.832</v>
      </c>
      <c r="R27" s="67"/>
      <c r="S27" s="543"/>
      <c r="T27" s="543"/>
    </row>
    <row r="28">
      <c r="B28" s="190"/>
      <c r="C28" s="210" t="s">
        <v>106</v>
      </c>
      <c r="D28" s="192" t="s">
        <v>695</v>
      </c>
      <c r="E28" s="67" t="s">
        <v>683</v>
      </c>
      <c r="F28" s="207" t="s">
        <v>696</v>
      </c>
      <c r="G28" s="67" t="s">
        <v>684</v>
      </c>
      <c r="H28" s="214" t="s">
        <v>697</v>
      </c>
      <c r="I28" s="182"/>
      <c r="J28" s="182"/>
      <c r="K28" s="243"/>
      <c r="M28" s="243"/>
      <c r="N28" s="67">
        <v>4.0</v>
      </c>
      <c r="O28" s="67">
        <v>3.67</v>
      </c>
      <c r="P28" s="67">
        <v>0.8</v>
      </c>
      <c r="Q28" s="182">
        <f t="shared" si="12"/>
        <v>11.744</v>
      </c>
      <c r="R28" s="243"/>
      <c r="S28" s="543"/>
      <c r="T28" s="543"/>
    </row>
    <row r="29">
      <c r="B29" s="190" t="s">
        <v>698</v>
      </c>
      <c r="C29" s="210">
        <f t="shared" ref="C29:C30" si="13">227*2</f>
        <v>454</v>
      </c>
      <c r="D29" s="192">
        <v>35.0</v>
      </c>
      <c r="E29" s="67" t="s">
        <v>686</v>
      </c>
      <c r="F29" s="207">
        <v>0.75</v>
      </c>
      <c r="G29" s="67">
        <v>0.154</v>
      </c>
      <c r="H29" s="206">
        <f t="shared" ref="H29:H30" si="14">C29*D29*F29*G29</f>
        <v>1835.295</v>
      </c>
      <c r="I29" s="182"/>
      <c r="J29" s="182"/>
      <c r="K29" s="243"/>
      <c r="M29" s="243"/>
      <c r="N29" s="67">
        <v>1.0</v>
      </c>
      <c r="O29" s="67">
        <v>11.1</v>
      </c>
      <c r="P29" s="67">
        <v>0.94</v>
      </c>
      <c r="Q29" s="182">
        <f t="shared" si="12"/>
        <v>10.434</v>
      </c>
      <c r="R29" s="553"/>
      <c r="S29" s="554"/>
      <c r="T29" s="554"/>
      <c r="U29" s="554"/>
    </row>
    <row r="30">
      <c r="B30" s="190"/>
      <c r="C30" s="210">
        <f t="shared" si="13"/>
        <v>454</v>
      </c>
      <c r="D30" s="192">
        <v>6.0</v>
      </c>
      <c r="E30" s="215">
        <v>45424.0</v>
      </c>
      <c r="F30" s="207">
        <v>7.42</v>
      </c>
      <c r="G30" s="67">
        <v>0.963</v>
      </c>
      <c r="H30" s="206">
        <f t="shared" si="14"/>
        <v>19464.23304</v>
      </c>
      <c r="I30" s="182"/>
      <c r="J30" s="182"/>
      <c r="K30" s="243"/>
      <c r="M30" s="553"/>
      <c r="N30" s="553"/>
      <c r="O30" s="553"/>
      <c r="P30" s="553"/>
      <c r="Q30" s="556">
        <f>SUM(Q26:Q29)</f>
        <v>36.738</v>
      </c>
      <c r="R30" s="553"/>
      <c r="S30" s="554"/>
      <c r="T30" s="554"/>
      <c r="U30" s="554"/>
    </row>
    <row r="31">
      <c r="B31" s="555"/>
      <c r="C31" s="67"/>
      <c r="D31" s="189"/>
      <c r="E31" s="67"/>
      <c r="F31" s="67"/>
      <c r="G31" s="67"/>
      <c r="H31" s="182"/>
      <c r="I31" s="182"/>
      <c r="J31" s="182"/>
      <c r="K31" s="243"/>
      <c r="M31" s="553"/>
      <c r="N31" s="553"/>
      <c r="O31" s="553"/>
      <c r="P31" s="553"/>
      <c r="Q31" s="556">
        <f>Q30*2</f>
        <v>73.476</v>
      </c>
      <c r="R31" s="553"/>
      <c r="S31" s="554"/>
      <c r="T31" s="554"/>
      <c r="U31" s="554"/>
    </row>
    <row r="32">
      <c r="B32" s="555"/>
      <c r="C32" s="67"/>
      <c r="D32" s="189"/>
      <c r="E32" s="67"/>
      <c r="F32" s="67"/>
      <c r="G32" s="67"/>
      <c r="H32" s="182"/>
      <c r="I32" s="182"/>
      <c r="J32" s="182"/>
      <c r="K32" s="243"/>
      <c r="M32" s="546" t="s">
        <v>1673</v>
      </c>
      <c r="N32" s="28"/>
      <c r="O32" s="28"/>
      <c r="P32" s="28"/>
      <c r="Q32" s="28"/>
      <c r="R32" s="29"/>
      <c r="S32" s="554"/>
      <c r="T32" s="554"/>
      <c r="U32" s="554"/>
    </row>
    <row r="33">
      <c r="B33" s="555"/>
      <c r="C33" s="67"/>
      <c r="D33" s="189"/>
      <c r="E33" s="67"/>
      <c r="F33" s="67"/>
      <c r="G33" s="67"/>
      <c r="H33" s="182"/>
      <c r="I33" s="182"/>
      <c r="J33" s="182"/>
      <c r="K33" s="243"/>
      <c r="M33" s="557"/>
      <c r="N33" s="370" t="s">
        <v>695</v>
      </c>
      <c r="O33" s="370" t="s">
        <v>696</v>
      </c>
      <c r="P33" s="370" t="s">
        <v>1667</v>
      </c>
      <c r="Q33" s="558" t="s">
        <v>1675</v>
      </c>
      <c r="R33" s="557" t="s">
        <v>1676</v>
      </c>
      <c r="S33" s="554"/>
      <c r="T33" s="554"/>
      <c r="U33" s="554"/>
    </row>
    <row r="34">
      <c r="B34" s="555"/>
      <c r="C34" s="67"/>
      <c r="D34" s="189"/>
      <c r="E34" s="67"/>
      <c r="F34" s="67"/>
      <c r="G34" s="67"/>
      <c r="H34" s="182"/>
      <c r="I34" s="182"/>
      <c r="J34" s="182"/>
      <c r="K34" s="243"/>
      <c r="M34" s="557" t="s">
        <v>1678</v>
      </c>
      <c r="N34" s="557">
        <f>138+18</f>
        <v>156</v>
      </c>
      <c r="O34" s="557">
        <v>0.2</v>
      </c>
      <c r="P34" s="557">
        <v>0.1</v>
      </c>
      <c r="Q34" s="556">
        <v>3.0</v>
      </c>
      <c r="R34" s="557">
        <f t="shared" ref="R34:R35" si="15">N34*O34*P34*Q34</f>
        <v>9.36</v>
      </c>
      <c r="S34" s="554"/>
      <c r="T34" s="554"/>
      <c r="U34" s="554"/>
    </row>
    <row r="35">
      <c r="B35" s="555"/>
      <c r="C35" s="67"/>
      <c r="D35" s="189"/>
      <c r="E35" s="67"/>
      <c r="F35" s="67"/>
      <c r="G35" s="67"/>
      <c r="H35" s="182"/>
      <c r="I35" s="182"/>
      <c r="J35" s="182"/>
      <c r="K35" s="243"/>
      <c r="M35" s="557" t="s">
        <v>152</v>
      </c>
      <c r="N35" s="557">
        <v>1.0</v>
      </c>
      <c r="O35" s="557">
        <f>(11.1+85.15)*2*2</f>
        <v>385</v>
      </c>
      <c r="P35" s="557">
        <v>0.1</v>
      </c>
      <c r="Q35" s="556">
        <v>0.2</v>
      </c>
      <c r="R35" s="557">
        <f t="shared" si="15"/>
        <v>7.7</v>
      </c>
      <c r="S35" s="554"/>
      <c r="T35" s="554"/>
      <c r="U35" s="554"/>
    </row>
    <row r="36">
      <c r="B36" s="555"/>
      <c r="C36" s="67"/>
      <c r="D36" s="189"/>
      <c r="E36" s="67"/>
      <c r="F36" s="67"/>
      <c r="G36" s="67"/>
      <c r="H36" s="182"/>
      <c r="I36" s="182"/>
      <c r="J36" s="182"/>
      <c r="K36" s="243"/>
      <c r="M36" s="559" t="s">
        <v>1681</v>
      </c>
      <c r="N36" s="28"/>
      <c r="O36" s="28"/>
      <c r="P36" s="28"/>
      <c r="Q36" s="29"/>
      <c r="R36" s="557">
        <f>SUM(R34:R35)</f>
        <v>17.06</v>
      </c>
      <c r="S36" s="554"/>
      <c r="T36" s="554"/>
      <c r="U36" s="554"/>
    </row>
    <row r="37">
      <c r="B37" s="546" t="s">
        <v>1700</v>
      </c>
      <c r="C37" s="28"/>
      <c r="D37" s="28"/>
      <c r="E37" s="28"/>
      <c r="F37" s="28"/>
      <c r="G37" s="28"/>
      <c r="H37" s="28"/>
      <c r="I37" s="28"/>
      <c r="J37" s="28"/>
      <c r="K37" s="29"/>
      <c r="Q37" s="184"/>
      <c r="S37" s="543"/>
      <c r="T37" s="543"/>
    </row>
    <row r="38">
      <c r="B38" s="194" t="s">
        <v>1631</v>
      </c>
      <c r="C38" s="67" t="s">
        <v>695</v>
      </c>
      <c r="D38" s="189" t="s">
        <v>696</v>
      </c>
      <c r="E38" s="67" t="s">
        <v>1632</v>
      </c>
      <c r="F38" s="67" t="s">
        <v>1633</v>
      </c>
      <c r="G38" s="67" t="s">
        <v>1634</v>
      </c>
      <c r="H38" s="189" t="s">
        <v>1635</v>
      </c>
      <c r="I38" s="189" t="s">
        <v>1636</v>
      </c>
      <c r="J38" s="189" t="s">
        <v>1637</v>
      </c>
      <c r="K38" s="67" t="s">
        <v>1638</v>
      </c>
      <c r="Q38" s="184"/>
      <c r="S38" s="543"/>
      <c r="T38" s="543"/>
    </row>
    <row r="39">
      <c r="B39" s="67" t="s">
        <v>723</v>
      </c>
      <c r="C39" s="67">
        <v>1.0</v>
      </c>
      <c r="D39" s="67">
        <v>2.0</v>
      </c>
      <c r="E39" s="67">
        <v>0.14</v>
      </c>
      <c r="F39" s="67">
        <v>0.5</v>
      </c>
      <c r="G39" s="67">
        <v>0.55</v>
      </c>
      <c r="H39" s="182">
        <f t="shared" ref="H39:H114" si="16">D39*(E39+0.4)*G39</f>
        <v>0.594</v>
      </c>
      <c r="I39" s="182">
        <f t="shared" ref="I39:I114" si="17">C39*D39*E39</f>
        <v>0.28</v>
      </c>
      <c r="J39" s="182">
        <f t="shared" ref="J39:J114" si="18">2*(C39*D39*F39)</f>
        <v>2</v>
      </c>
      <c r="K39" s="243">
        <f t="shared" ref="K39:K114" si="19">D39*(E39+F39*2)</f>
        <v>2.28</v>
      </c>
      <c r="Q39" s="184"/>
      <c r="S39" s="543"/>
      <c r="T39" s="543"/>
    </row>
    <row r="40">
      <c r="B40" s="67" t="s">
        <v>724</v>
      </c>
      <c r="C40" s="67">
        <v>1.0</v>
      </c>
      <c r="D40" s="67">
        <v>2.0</v>
      </c>
      <c r="E40" s="67">
        <v>0.14</v>
      </c>
      <c r="F40" s="67">
        <v>0.5</v>
      </c>
      <c r="G40" s="67">
        <v>0.55</v>
      </c>
      <c r="H40" s="182">
        <f t="shared" si="16"/>
        <v>0.594</v>
      </c>
      <c r="I40" s="182">
        <f t="shared" si="17"/>
        <v>0.28</v>
      </c>
      <c r="J40" s="182">
        <f t="shared" si="18"/>
        <v>2</v>
      </c>
      <c r="K40" s="243">
        <f t="shared" si="19"/>
        <v>2.28</v>
      </c>
      <c r="Q40" s="184"/>
      <c r="S40" s="543"/>
      <c r="T40" s="543"/>
    </row>
    <row r="41">
      <c r="B41" s="67" t="s">
        <v>725</v>
      </c>
      <c r="C41" s="67">
        <v>1.0</v>
      </c>
      <c r="D41" s="67">
        <v>2.0</v>
      </c>
      <c r="E41" s="67">
        <v>0.14</v>
      </c>
      <c r="F41" s="67">
        <v>0.5</v>
      </c>
      <c r="G41" s="67">
        <v>0.55</v>
      </c>
      <c r="H41" s="182">
        <f t="shared" si="16"/>
        <v>0.594</v>
      </c>
      <c r="I41" s="182">
        <f t="shared" si="17"/>
        <v>0.28</v>
      </c>
      <c r="J41" s="182">
        <f t="shared" si="18"/>
        <v>2</v>
      </c>
      <c r="K41" s="243">
        <f t="shared" si="19"/>
        <v>2.28</v>
      </c>
      <c r="Q41" s="184"/>
      <c r="S41" s="543"/>
      <c r="T41" s="543"/>
    </row>
    <row r="42">
      <c r="B42" s="67" t="s">
        <v>726</v>
      </c>
      <c r="C42" s="67">
        <v>1.0</v>
      </c>
      <c r="D42" s="189">
        <v>2.0</v>
      </c>
      <c r="E42" s="67">
        <v>0.14</v>
      </c>
      <c r="F42" s="67">
        <v>0.5</v>
      </c>
      <c r="G42" s="67">
        <v>0.55</v>
      </c>
      <c r="H42" s="182">
        <f t="shared" si="16"/>
        <v>0.594</v>
      </c>
      <c r="I42" s="182">
        <f t="shared" si="17"/>
        <v>0.28</v>
      </c>
      <c r="J42" s="182">
        <f t="shared" si="18"/>
        <v>2</v>
      </c>
      <c r="K42" s="243">
        <f t="shared" si="19"/>
        <v>2.28</v>
      </c>
      <c r="Q42" s="184"/>
      <c r="S42" s="543"/>
      <c r="T42" s="543"/>
    </row>
    <row r="43">
      <c r="B43" s="67" t="s">
        <v>727</v>
      </c>
      <c r="C43" s="67">
        <v>1.0</v>
      </c>
      <c r="D43" s="189">
        <f>3.875+3.825</f>
        <v>7.7</v>
      </c>
      <c r="E43" s="67">
        <v>0.14</v>
      </c>
      <c r="F43" s="67">
        <v>0.5</v>
      </c>
      <c r="G43" s="67">
        <v>0.55</v>
      </c>
      <c r="H43" s="182">
        <f t="shared" si="16"/>
        <v>2.2869</v>
      </c>
      <c r="I43" s="182">
        <f t="shared" si="17"/>
        <v>1.078</v>
      </c>
      <c r="J43" s="182">
        <f t="shared" si="18"/>
        <v>7.7</v>
      </c>
      <c r="K43" s="243">
        <f t="shared" si="19"/>
        <v>8.778</v>
      </c>
      <c r="Q43" s="184"/>
      <c r="S43" s="543"/>
      <c r="T43" s="543"/>
    </row>
    <row r="44">
      <c r="B44" s="67" t="s">
        <v>728</v>
      </c>
      <c r="C44" s="67">
        <v>1.0</v>
      </c>
      <c r="D44" s="182">
        <f>3.825*2</f>
        <v>7.65</v>
      </c>
      <c r="E44" s="67">
        <v>0.14</v>
      </c>
      <c r="F44" s="67">
        <v>0.5</v>
      </c>
      <c r="G44" s="67">
        <v>0.55</v>
      </c>
      <c r="H44" s="182">
        <f t="shared" si="16"/>
        <v>2.27205</v>
      </c>
      <c r="I44" s="182">
        <f t="shared" si="17"/>
        <v>1.071</v>
      </c>
      <c r="J44" s="182">
        <f t="shared" si="18"/>
        <v>7.65</v>
      </c>
      <c r="K44" s="243">
        <f t="shared" si="19"/>
        <v>8.721</v>
      </c>
      <c r="Q44" s="184"/>
      <c r="S44" s="543"/>
      <c r="T44" s="543"/>
    </row>
    <row r="45">
      <c r="B45" s="67" t="s">
        <v>729</v>
      </c>
      <c r="C45" s="67">
        <v>1.0</v>
      </c>
      <c r="D45" s="189">
        <f>3.875+3.825</f>
        <v>7.7</v>
      </c>
      <c r="E45" s="67">
        <v>0.14</v>
      </c>
      <c r="F45" s="67">
        <v>0.5</v>
      </c>
      <c r="G45" s="67">
        <v>0.55</v>
      </c>
      <c r="H45" s="182">
        <f t="shared" si="16"/>
        <v>2.2869</v>
      </c>
      <c r="I45" s="182">
        <f t="shared" si="17"/>
        <v>1.078</v>
      </c>
      <c r="J45" s="182">
        <f t="shared" si="18"/>
        <v>7.7</v>
      </c>
      <c r="K45" s="243">
        <f t="shared" si="19"/>
        <v>8.778</v>
      </c>
      <c r="Q45" s="184"/>
      <c r="S45" s="543"/>
      <c r="T45" s="543"/>
    </row>
    <row r="46">
      <c r="B46" s="67" t="s">
        <v>730</v>
      </c>
      <c r="C46" s="67">
        <v>1.0</v>
      </c>
      <c r="D46" s="189">
        <v>8.0</v>
      </c>
      <c r="E46" s="67">
        <v>0.14</v>
      </c>
      <c r="F46" s="67">
        <v>0.5</v>
      </c>
      <c r="G46" s="67">
        <v>0.55</v>
      </c>
      <c r="H46" s="182">
        <f t="shared" si="16"/>
        <v>2.376</v>
      </c>
      <c r="I46" s="182">
        <f t="shared" si="17"/>
        <v>1.12</v>
      </c>
      <c r="J46" s="182">
        <f t="shared" si="18"/>
        <v>8</v>
      </c>
      <c r="K46" s="243">
        <f t="shared" si="19"/>
        <v>9.12</v>
      </c>
      <c r="Q46" s="184"/>
      <c r="S46" s="543"/>
      <c r="T46" s="543"/>
    </row>
    <row r="47">
      <c r="B47" s="67" t="s">
        <v>731</v>
      </c>
      <c r="C47" s="67">
        <v>1.0</v>
      </c>
      <c r="D47" s="182">
        <f>3.8*6</f>
        <v>22.8</v>
      </c>
      <c r="E47" s="67">
        <v>0.14</v>
      </c>
      <c r="F47" s="67">
        <v>0.5</v>
      </c>
      <c r="G47" s="67">
        <v>0.55</v>
      </c>
      <c r="H47" s="182">
        <f t="shared" si="16"/>
        <v>6.7716</v>
      </c>
      <c r="I47" s="182">
        <f t="shared" si="17"/>
        <v>3.192</v>
      </c>
      <c r="J47" s="182">
        <f t="shared" si="18"/>
        <v>22.8</v>
      </c>
      <c r="K47" s="243">
        <f t="shared" si="19"/>
        <v>25.992</v>
      </c>
      <c r="Q47" s="184"/>
      <c r="S47" s="543"/>
      <c r="T47" s="543"/>
    </row>
    <row r="48">
      <c r="B48" s="67" t="s">
        <v>732</v>
      </c>
      <c r="C48" s="67">
        <v>1.0</v>
      </c>
      <c r="D48" s="189">
        <v>2.0</v>
      </c>
      <c r="E48" s="67">
        <v>0.14</v>
      </c>
      <c r="F48" s="67">
        <v>0.5</v>
      </c>
      <c r="G48" s="67">
        <v>0.55</v>
      </c>
      <c r="H48" s="182">
        <f t="shared" si="16"/>
        <v>0.594</v>
      </c>
      <c r="I48" s="182">
        <f t="shared" si="17"/>
        <v>0.28</v>
      </c>
      <c r="J48" s="182">
        <f t="shared" si="18"/>
        <v>2</v>
      </c>
      <c r="K48" s="243">
        <f t="shared" si="19"/>
        <v>2.28</v>
      </c>
      <c r="Q48" s="184"/>
      <c r="S48" s="543"/>
      <c r="T48" s="543"/>
    </row>
    <row r="49">
      <c r="B49" s="67" t="s">
        <v>733</v>
      </c>
      <c r="C49" s="67">
        <v>1.0</v>
      </c>
      <c r="D49" s="189">
        <f>3.875+3.825+2</f>
        <v>9.7</v>
      </c>
      <c r="E49" s="67">
        <v>0.14</v>
      </c>
      <c r="F49" s="67">
        <v>0.5</v>
      </c>
      <c r="G49" s="67">
        <v>0.55</v>
      </c>
      <c r="H49" s="182">
        <f t="shared" si="16"/>
        <v>2.8809</v>
      </c>
      <c r="I49" s="182">
        <f t="shared" si="17"/>
        <v>1.358</v>
      </c>
      <c r="J49" s="182">
        <f t="shared" si="18"/>
        <v>9.7</v>
      </c>
      <c r="K49" s="243">
        <f t="shared" si="19"/>
        <v>11.058</v>
      </c>
      <c r="Q49" s="184"/>
      <c r="S49" s="543"/>
      <c r="T49" s="543"/>
    </row>
    <row r="50">
      <c r="B50" s="67" t="s">
        <v>734</v>
      </c>
      <c r="C50" s="67">
        <v>1.0</v>
      </c>
      <c r="D50" s="182">
        <f>3.8*6</f>
        <v>22.8</v>
      </c>
      <c r="E50" s="67">
        <v>0.14</v>
      </c>
      <c r="F50" s="67">
        <v>0.5</v>
      </c>
      <c r="G50" s="67">
        <v>0.55</v>
      </c>
      <c r="H50" s="182">
        <f t="shared" si="16"/>
        <v>6.7716</v>
      </c>
      <c r="I50" s="182">
        <f t="shared" si="17"/>
        <v>3.192</v>
      </c>
      <c r="J50" s="182">
        <f t="shared" si="18"/>
        <v>22.8</v>
      </c>
      <c r="K50" s="243">
        <f t="shared" si="19"/>
        <v>25.992</v>
      </c>
      <c r="Q50" s="184"/>
      <c r="S50" s="543"/>
      <c r="T50" s="543"/>
    </row>
    <row r="51">
      <c r="B51" s="67" t="s">
        <v>735</v>
      </c>
      <c r="C51" s="67">
        <v>1.0</v>
      </c>
      <c r="D51" s="182">
        <f>3.825*2+2</f>
        <v>9.65</v>
      </c>
      <c r="E51" s="67">
        <v>0.14</v>
      </c>
      <c r="F51" s="67">
        <v>0.5</v>
      </c>
      <c r="G51" s="67">
        <v>0.55</v>
      </c>
      <c r="H51" s="182">
        <f t="shared" si="16"/>
        <v>2.86605</v>
      </c>
      <c r="I51" s="182">
        <f t="shared" si="17"/>
        <v>1.351</v>
      </c>
      <c r="J51" s="182">
        <f t="shared" si="18"/>
        <v>9.65</v>
      </c>
      <c r="K51" s="243">
        <f t="shared" si="19"/>
        <v>11.001</v>
      </c>
      <c r="Q51" s="184"/>
      <c r="S51" s="543"/>
      <c r="T51" s="543"/>
    </row>
    <row r="52">
      <c r="B52" s="67" t="s">
        <v>736</v>
      </c>
      <c r="C52" s="67">
        <v>1.0</v>
      </c>
      <c r="D52" s="189">
        <f>3.875+3.825+2</f>
        <v>9.7</v>
      </c>
      <c r="E52" s="67">
        <v>0.14</v>
      </c>
      <c r="F52" s="67">
        <v>0.5</v>
      </c>
      <c r="G52" s="67">
        <v>0.55</v>
      </c>
      <c r="H52" s="182">
        <f t="shared" si="16"/>
        <v>2.8809</v>
      </c>
      <c r="I52" s="182">
        <f t="shared" si="17"/>
        <v>1.358</v>
      </c>
      <c r="J52" s="182">
        <f t="shared" si="18"/>
        <v>9.7</v>
      </c>
      <c r="K52" s="243">
        <f t="shared" si="19"/>
        <v>11.058</v>
      </c>
      <c r="Q52" s="184"/>
      <c r="S52" s="543"/>
      <c r="T52" s="543"/>
    </row>
    <row r="53">
      <c r="B53" s="67" t="s">
        <v>737</v>
      </c>
      <c r="C53" s="67">
        <v>1.0</v>
      </c>
      <c r="D53" s="182">
        <f>3.825*2+2</f>
        <v>9.65</v>
      </c>
      <c r="E53" s="67">
        <v>0.14</v>
      </c>
      <c r="F53" s="67">
        <v>0.5</v>
      </c>
      <c r="G53" s="67">
        <v>0.55</v>
      </c>
      <c r="H53" s="182">
        <f t="shared" si="16"/>
        <v>2.86605</v>
      </c>
      <c r="I53" s="182">
        <f t="shared" si="17"/>
        <v>1.351</v>
      </c>
      <c r="J53" s="182">
        <f t="shared" si="18"/>
        <v>9.65</v>
      </c>
      <c r="K53" s="243">
        <f t="shared" si="19"/>
        <v>11.001</v>
      </c>
      <c r="Q53" s="184"/>
      <c r="S53" s="543"/>
      <c r="T53" s="543"/>
    </row>
    <row r="54">
      <c r="B54" s="67" t="s">
        <v>738</v>
      </c>
      <c r="C54" s="67">
        <v>1.0</v>
      </c>
      <c r="D54" s="189">
        <f>3.875+3.825+2</f>
        <v>9.7</v>
      </c>
      <c r="E54" s="67">
        <v>0.14</v>
      </c>
      <c r="F54" s="67">
        <v>0.5</v>
      </c>
      <c r="G54" s="67">
        <v>0.55</v>
      </c>
      <c r="H54" s="182">
        <f t="shared" si="16"/>
        <v>2.8809</v>
      </c>
      <c r="I54" s="182">
        <f t="shared" si="17"/>
        <v>1.358</v>
      </c>
      <c r="J54" s="182">
        <f t="shared" si="18"/>
        <v>9.7</v>
      </c>
      <c r="K54" s="243">
        <f t="shared" si="19"/>
        <v>11.058</v>
      </c>
      <c r="Q54" s="184"/>
      <c r="S54" s="543"/>
      <c r="T54" s="543"/>
    </row>
    <row r="55">
      <c r="B55" s="67" t="s">
        <v>739</v>
      </c>
      <c r="C55" s="67">
        <v>1.0</v>
      </c>
      <c r="D55" s="182">
        <f>3.8*6</f>
        <v>22.8</v>
      </c>
      <c r="E55" s="67">
        <v>0.14</v>
      </c>
      <c r="F55" s="67">
        <v>0.5</v>
      </c>
      <c r="G55" s="67">
        <v>0.55</v>
      </c>
      <c r="H55" s="182">
        <f t="shared" si="16"/>
        <v>6.7716</v>
      </c>
      <c r="I55" s="182">
        <f t="shared" si="17"/>
        <v>3.192</v>
      </c>
      <c r="J55" s="182">
        <f t="shared" si="18"/>
        <v>22.8</v>
      </c>
      <c r="K55" s="243">
        <f t="shared" si="19"/>
        <v>25.992</v>
      </c>
      <c r="Q55" s="184"/>
      <c r="S55" s="543"/>
      <c r="T55" s="543"/>
    </row>
    <row r="56">
      <c r="A56" s="2"/>
      <c r="B56" s="67" t="s">
        <v>740</v>
      </c>
      <c r="C56" s="67">
        <v>1.0</v>
      </c>
      <c r="D56" s="189">
        <v>2.0</v>
      </c>
      <c r="E56" s="67">
        <v>0.14</v>
      </c>
      <c r="F56" s="67">
        <v>0.5</v>
      </c>
      <c r="G56" s="67">
        <v>0.55</v>
      </c>
      <c r="H56" s="182">
        <f t="shared" si="16"/>
        <v>0.594</v>
      </c>
      <c r="I56" s="182">
        <f t="shared" si="17"/>
        <v>0.28</v>
      </c>
      <c r="J56" s="182">
        <f t="shared" si="18"/>
        <v>2</v>
      </c>
      <c r="K56" s="243">
        <f t="shared" si="19"/>
        <v>2.28</v>
      </c>
      <c r="Q56" s="184"/>
      <c r="S56" s="543"/>
      <c r="T56" s="543"/>
    </row>
    <row r="57">
      <c r="B57" s="67" t="s">
        <v>741</v>
      </c>
      <c r="C57" s="67">
        <v>1.0</v>
      </c>
      <c r="D57" s="189">
        <f>5.48+2.27+2</f>
        <v>9.75</v>
      </c>
      <c r="E57" s="67">
        <v>0.14</v>
      </c>
      <c r="F57" s="67">
        <v>0.5</v>
      </c>
      <c r="G57" s="67">
        <v>0.55</v>
      </c>
      <c r="H57" s="182">
        <f t="shared" si="16"/>
        <v>2.89575</v>
      </c>
      <c r="I57" s="182">
        <f t="shared" si="17"/>
        <v>1.365</v>
      </c>
      <c r="J57" s="182">
        <f t="shared" si="18"/>
        <v>9.75</v>
      </c>
      <c r="K57" s="243">
        <f t="shared" si="19"/>
        <v>11.115</v>
      </c>
      <c r="Q57" s="184"/>
      <c r="S57" s="543"/>
      <c r="T57" s="543"/>
    </row>
    <row r="58">
      <c r="B58" s="67" t="s">
        <v>1701</v>
      </c>
      <c r="C58" s="67">
        <v>1.0</v>
      </c>
      <c r="D58" s="182">
        <f>2+2.27+5.43</f>
        <v>9.7</v>
      </c>
      <c r="E58" s="67">
        <v>0.14</v>
      </c>
      <c r="F58" s="67">
        <v>0.5</v>
      </c>
      <c r="G58" s="67">
        <v>0.55</v>
      </c>
      <c r="H58" s="182">
        <f t="shared" si="16"/>
        <v>2.8809</v>
      </c>
      <c r="I58" s="182">
        <f t="shared" si="17"/>
        <v>1.358</v>
      </c>
      <c r="J58" s="182">
        <f t="shared" si="18"/>
        <v>9.7</v>
      </c>
      <c r="K58" s="243">
        <f t="shared" si="19"/>
        <v>11.058</v>
      </c>
      <c r="Q58" s="184"/>
      <c r="S58" s="543"/>
      <c r="T58" s="543"/>
    </row>
    <row r="59">
      <c r="B59" s="67" t="s">
        <v>1702</v>
      </c>
      <c r="C59" s="67">
        <v>1.0</v>
      </c>
      <c r="D59" s="189">
        <v>2.32</v>
      </c>
      <c r="E59" s="67">
        <v>0.14</v>
      </c>
      <c r="F59" s="67">
        <v>0.5</v>
      </c>
      <c r="G59" s="67">
        <v>0.55</v>
      </c>
      <c r="H59" s="182">
        <f t="shared" si="16"/>
        <v>0.68904</v>
      </c>
      <c r="I59" s="182">
        <f t="shared" si="17"/>
        <v>0.3248</v>
      </c>
      <c r="J59" s="182">
        <f t="shared" si="18"/>
        <v>2.32</v>
      </c>
      <c r="K59" s="243">
        <f t="shared" si="19"/>
        <v>2.6448</v>
      </c>
      <c r="Q59" s="184"/>
      <c r="S59" s="543"/>
      <c r="T59" s="543"/>
    </row>
    <row r="60">
      <c r="B60" s="67" t="s">
        <v>1703</v>
      </c>
      <c r="C60" s="67">
        <v>1.0</v>
      </c>
      <c r="D60" s="189">
        <v>2.32</v>
      </c>
      <c r="E60" s="67">
        <v>0.14</v>
      </c>
      <c r="F60" s="67">
        <v>0.5</v>
      </c>
      <c r="G60" s="67">
        <v>0.55</v>
      </c>
      <c r="H60" s="182">
        <f t="shared" si="16"/>
        <v>0.68904</v>
      </c>
      <c r="I60" s="182">
        <f t="shared" si="17"/>
        <v>0.3248</v>
      </c>
      <c r="J60" s="182">
        <f t="shared" si="18"/>
        <v>2.32</v>
      </c>
      <c r="K60" s="243">
        <f t="shared" si="19"/>
        <v>2.6448</v>
      </c>
      <c r="Q60" s="184"/>
      <c r="S60" s="543"/>
      <c r="T60" s="543"/>
    </row>
    <row r="61">
      <c r="B61" s="67" t="s">
        <v>1704</v>
      </c>
      <c r="C61" s="67">
        <v>1.0</v>
      </c>
      <c r="D61" s="189">
        <v>5.43</v>
      </c>
      <c r="E61" s="67">
        <v>0.14</v>
      </c>
      <c r="F61" s="67">
        <v>0.5</v>
      </c>
      <c r="G61" s="67">
        <v>0.55</v>
      </c>
      <c r="H61" s="182">
        <f t="shared" si="16"/>
        <v>1.61271</v>
      </c>
      <c r="I61" s="182">
        <f t="shared" si="17"/>
        <v>0.7602</v>
      </c>
      <c r="J61" s="182">
        <f t="shared" si="18"/>
        <v>5.43</v>
      </c>
      <c r="K61" s="243">
        <f t="shared" si="19"/>
        <v>6.1902</v>
      </c>
      <c r="Q61" s="184"/>
      <c r="S61" s="543"/>
      <c r="T61" s="543"/>
    </row>
    <row r="62">
      <c r="B62" s="67" t="s">
        <v>1705</v>
      </c>
      <c r="C62" s="67">
        <v>1.0</v>
      </c>
      <c r="D62" s="182">
        <f>3.8*6</f>
        <v>22.8</v>
      </c>
      <c r="E62" s="67">
        <v>0.14</v>
      </c>
      <c r="F62" s="67">
        <v>0.5</v>
      </c>
      <c r="G62" s="67">
        <v>0.55</v>
      </c>
      <c r="H62" s="182">
        <f t="shared" si="16"/>
        <v>6.7716</v>
      </c>
      <c r="I62" s="182">
        <f t="shared" si="17"/>
        <v>3.192</v>
      </c>
      <c r="J62" s="182">
        <f t="shared" si="18"/>
        <v>22.8</v>
      </c>
      <c r="K62" s="243">
        <f t="shared" si="19"/>
        <v>25.992</v>
      </c>
      <c r="Q62" s="184"/>
      <c r="S62" s="543"/>
      <c r="T62" s="543"/>
    </row>
    <row r="63">
      <c r="B63" s="67" t="s">
        <v>1706</v>
      </c>
      <c r="C63" s="67">
        <v>1.0</v>
      </c>
      <c r="D63" s="189">
        <v>5.38</v>
      </c>
      <c r="E63" s="67">
        <v>0.14</v>
      </c>
      <c r="F63" s="67">
        <v>0.5</v>
      </c>
      <c r="G63" s="67">
        <v>0.55</v>
      </c>
      <c r="H63" s="182">
        <f t="shared" si="16"/>
        <v>1.59786</v>
      </c>
      <c r="I63" s="182">
        <f t="shared" si="17"/>
        <v>0.7532</v>
      </c>
      <c r="J63" s="182">
        <f t="shared" si="18"/>
        <v>5.38</v>
      </c>
      <c r="K63" s="243">
        <f t="shared" si="19"/>
        <v>6.1332</v>
      </c>
      <c r="Q63" s="184"/>
      <c r="S63" s="543"/>
      <c r="T63" s="543"/>
    </row>
    <row r="64">
      <c r="B64" s="67" t="s">
        <v>1707</v>
      </c>
      <c r="C64" s="67">
        <v>1.0</v>
      </c>
      <c r="D64" s="182">
        <f>2.32+2</f>
        <v>4.32</v>
      </c>
      <c r="E64" s="67">
        <v>0.14</v>
      </c>
      <c r="F64" s="67">
        <v>0.5</v>
      </c>
      <c r="G64" s="67">
        <v>0.55</v>
      </c>
      <c r="H64" s="182">
        <f t="shared" si="16"/>
        <v>1.28304</v>
      </c>
      <c r="I64" s="182">
        <f t="shared" si="17"/>
        <v>0.6048</v>
      </c>
      <c r="J64" s="182">
        <f t="shared" si="18"/>
        <v>4.32</v>
      </c>
      <c r="K64" s="243">
        <f t="shared" si="19"/>
        <v>4.9248</v>
      </c>
      <c r="Q64" s="184"/>
      <c r="S64" s="543"/>
      <c r="T64" s="543"/>
    </row>
    <row r="65">
      <c r="B65" s="67" t="s">
        <v>1708</v>
      </c>
      <c r="C65" s="67">
        <v>1.0</v>
      </c>
      <c r="D65" s="182">
        <f>3.8*6</f>
        <v>22.8</v>
      </c>
      <c r="E65" s="67">
        <v>0.14</v>
      </c>
      <c r="F65" s="67">
        <v>0.5</v>
      </c>
      <c r="G65" s="67">
        <v>0.55</v>
      </c>
      <c r="H65" s="182">
        <f t="shared" si="16"/>
        <v>6.7716</v>
      </c>
      <c r="I65" s="182">
        <f t="shared" si="17"/>
        <v>3.192</v>
      </c>
      <c r="J65" s="182">
        <f t="shared" si="18"/>
        <v>22.8</v>
      </c>
      <c r="K65" s="243">
        <f t="shared" si="19"/>
        <v>25.992</v>
      </c>
      <c r="Q65" s="184"/>
      <c r="S65" s="543"/>
      <c r="T65" s="543"/>
    </row>
    <row r="66">
      <c r="B66" s="67" t="s">
        <v>1709</v>
      </c>
      <c r="C66" s="67">
        <v>1.0</v>
      </c>
      <c r="D66" s="182">
        <f>2+2.32</f>
        <v>4.32</v>
      </c>
      <c r="E66" s="67">
        <v>0.14</v>
      </c>
      <c r="F66" s="67">
        <v>0.5</v>
      </c>
      <c r="G66" s="67">
        <v>0.55</v>
      </c>
      <c r="H66" s="182">
        <f t="shared" si="16"/>
        <v>1.28304</v>
      </c>
      <c r="I66" s="182">
        <f t="shared" si="17"/>
        <v>0.6048</v>
      </c>
      <c r="J66" s="182">
        <f t="shared" si="18"/>
        <v>4.32</v>
      </c>
      <c r="K66" s="243">
        <f t="shared" si="19"/>
        <v>4.9248</v>
      </c>
      <c r="Q66" s="184"/>
      <c r="S66" s="543"/>
      <c r="T66" s="543"/>
    </row>
    <row r="67">
      <c r="B67" s="67" t="s">
        <v>1710</v>
      </c>
      <c r="C67" s="67">
        <v>1.0</v>
      </c>
      <c r="D67" s="182">
        <f>5.48+2.27+2</f>
        <v>9.75</v>
      </c>
      <c r="E67" s="67">
        <v>0.14</v>
      </c>
      <c r="F67" s="67">
        <v>0.5</v>
      </c>
      <c r="G67" s="67">
        <v>0.55</v>
      </c>
      <c r="H67" s="182">
        <f t="shared" si="16"/>
        <v>2.89575</v>
      </c>
      <c r="I67" s="182">
        <f t="shared" si="17"/>
        <v>1.365</v>
      </c>
      <c r="J67" s="182">
        <f t="shared" si="18"/>
        <v>9.75</v>
      </c>
      <c r="K67" s="243">
        <f t="shared" si="19"/>
        <v>11.115</v>
      </c>
      <c r="Q67" s="184"/>
      <c r="S67" s="543"/>
      <c r="T67" s="543"/>
    </row>
    <row r="68">
      <c r="B68" s="67" t="s">
        <v>1711</v>
      </c>
      <c r="C68" s="67">
        <v>1.0</v>
      </c>
      <c r="D68" s="182">
        <f>2+2.27+5.43</f>
        <v>9.7</v>
      </c>
      <c r="E68" s="67">
        <v>0.14</v>
      </c>
      <c r="F68" s="67">
        <v>0.5</v>
      </c>
      <c r="G68" s="67">
        <v>0.55</v>
      </c>
      <c r="H68" s="182">
        <f t="shared" si="16"/>
        <v>2.8809</v>
      </c>
      <c r="I68" s="182">
        <f t="shared" si="17"/>
        <v>1.358</v>
      </c>
      <c r="J68" s="182">
        <f t="shared" si="18"/>
        <v>9.7</v>
      </c>
      <c r="K68" s="243">
        <f t="shared" si="19"/>
        <v>11.058</v>
      </c>
      <c r="Q68" s="184"/>
      <c r="S68" s="543"/>
      <c r="T68" s="543"/>
    </row>
    <row r="69">
      <c r="B69" s="67" t="s">
        <v>1712</v>
      </c>
      <c r="C69" s="67">
        <v>1.0</v>
      </c>
      <c r="D69" s="182">
        <f>3.845+3.88+3.87+3.875*4+3.88+3.73</f>
        <v>34.705</v>
      </c>
      <c r="E69" s="67">
        <v>0.14</v>
      </c>
      <c r="F69" s="67">
        <v>0.5</v>
      </c>
      <c r="G69" s="67">
        <v>0.55</v>
      </c>
      <c r="H69" s="182">
        <f t="shared" si="16"/>
        <v>10.307385</v>
      </c>
      <c r="I69" s="182">
        <f t="shared" si="17"/>
        <v>4.8587</v>
      </c>
      <c r="J69" s="182">
        <f t="shared" si="18"/>
        <v>34.705</v>
      </c>
      <c r="K69" s="243">
        <f t="shared" si="19"/>
        <v>39.5637</v>
      </c>
      <c r="Q69" s="184"/>
      <c r="S69" s="543"/>
      <c r="T69" s="543"/>
    </row>
    <row r="70">
      <c r="B70" s="67" t="s">
        <v>1713</v>
      </c>
      <c r="C70" s="67">
        <v>1.0</v>
      </c>
      <c r="D70" s="189">
        <f>3.875+3.825</f>
        <v>7.7</v>
      </c>
      <c r="E70" s="67">
        <v>0.14</v>
      </c>
      <c r="F70" s="67">
        <v>0.5</v>
      </c>
      <c r="G70" s="67">
        <v>0.55</v>
      </c>
      <c r="H70" s="182">
        <f t="shared" si="16"/>
        <v>2.2869</v>
      </c>
      <c r="I70" s="182">
        <f t="shared" si="17"/>
        <v>1.078</v>
      </c>
      <c r="J70" s="182">
        <f t="shared" si="18"/>
        <v>7.7</v>
      </c>
      <c r="K70" s="243">
        <f t="shared" si="19"/>
        <v>8.778</v>
      </c>
      <c r="Q70" s="184"/>
      <c r="S70" s="543"/>
      <c r="T70" s="543"/>
    </row>
    <row r="71">
      <c r="B71" s="67" t="s">
        <v>1714</v>
      </c>
      <c r="C71" s="67">
        <v>1.0</v>
      </c>
      <c r="D71" s="189">
        <v>3.925</v>
      </c>
      <c r="E71" s="67">
        <v>0.14</v>
      </c>
      <c r="F71" s="67">
        <v>0.5</v>
      </c>
      <c r="G71" s="67">
        <v>0.55</v>
      </c>
      <c r="H71" s="182">
        <f t="shared" si="16"/>
        <v>1.165725</v>
      </c>
      <c r="I71" s="182">
        <f t="shared" si="17"/>
        <v>0.5495</v>
      </c>
      <c r="J71" s="182">
        <f t="shared" si="18"/>
        <v>3.925</v>
      </c>
      <c r="K71" s="243">
        <f t="shared" si="19"/>
        <v>4.4745</v>
      </c>
      <c r="Q71" s="184"/>
      <c r="S71" s="543"/>
      <c r="T71" s="543"/>
    </row>
    <row r="72">
      <c r="B72" s="67" t="s">
        <v>1715</v>
      </c>
      <c r="C72" s="67">
        <v>1.0</v>
      </c>
      <c r="D72" s="189">
        <v>1.75</v>
      </c>
      <c r="E72" s="67">
        <v>0.14</v>
      </c>
      <c r="F72" s="67">
        <v>0.5</v>
      </c>
      <c r="G72" s="67">
        <v>0.55</v>
      </c>
      <c r="H72" s="182">
        <f t="shared" si="16"/>
        <v>0.51975</v>
      </c>
      <c r="I72" s="182">
        <f t="shared" si="17"/>
        <v>0.245</v>
      </c>
      <c r="J72" s="182">
        <f t="shared" si="18"/>
        <v>1.75</v>
      </c>
      <c r="K72" s="243">
        <f t="shared" si="19"/>
        <v>1.995</v>
      </c>
      <c r="Q72" s="184"/>
      <c r="S72" s="543"/>
      <c r="T72" s="543"/>
    </row>
    <row r="73">
      <c r="B73" s="67" t="s">
        <v>1716</v>
      </c>
      <c r="C73" s="67">
        <v>1.0</v>
      </c>
      <c r="D73" s="182">
        <f>1.75+3.9+3.875*5+3.65</f>
        <v>28.675</v>
      </c>
      <c r="E73" s="67">
        <v>0.14</v>
      </c>
      <c r="F73" s="67">
        <v>0.5</v>
      </c>
      <c r="G73" s="67">
        <v>0.55</v>
      </c>
      <c r="H73" s="182">
        <f t="shared" si="16"/>
        <v>8.516475</v>
      </c>
      <c r="I73" s="182">
        <f t="shared" si="17"/>
        <v>4.0145</v>
      </c>
      <c r="J73" s="182">
        <f t="shared" si="18"/>
        <v>28.675</v>
      </c>
      <c r="K73" s="243">
        <f t="shared" si="19"/>
        <v>32.6895</v>
      </c>
      <c r="Q73" s="184"/>
      <c r="S73" s="543"/>
      <c r="T73" s="543"/>
    </row>
    <row r="74">
      <c r="B74" s="67" t="s">
        <v>1717</v>
      </c>
      <c r="C74" s="67">
        <v>1.0</v>
      </c>
      <c r="D74" s="189">
        <f>1.67+1.9+3.775*2+3.825*2+1.895</f>
        <v>20.665</v>
      </c>
      <c r="E74" s="67">
        <v>0.14</v>
      </c>
      <c r="F74" s="67">
        <v>0.5</v>
      </c>
      <c r="G74" s="67">
        <v>0.55</v>
      </c>
      <c r="H74" s="182">
        <f t="shared" si="16"/>
        <v>6.137505</v>
      </c>
      <c r="I74" s="182">
        <f t="shared" si="17"/>
        <v>2.8931</v>
      </c>
      <c r="J74" s="182">
        <f t="shared" si="18"/>
        <v>20.665</v>
      </c>
      <c r="K74" s="243">
        <f t="shared" si="19"/>
        <v>23.5581</v>
      </c>
      <c r="Q74" s="184"/>
      <c r="S74" s="543"/>
      <c r="T74" s="543"/>
    </row>
    <row r="75">
      <c r="B75" s="67" t="s">
        <v>1718</v>
      </c>
      <c r="C75" s="67">
        <v>1.0</v>
      </c>
      <c r="D75" s="182">
        <f>6.605+6.83</f>
        <v>13.435</v>
      </c>
      <c r="E75" s="67">
        <v>0.14</v>
      </c>
      <c r="F75" s="67">
        <v>0.5</v>
      </c>
      <c r="G75" s="67">
        <v>0.55</v>
      </c>
      <c r="H75" s="182">
        <f t="shared" si="16"/>
        <v>3.990195</v>
      </c>
      <c r="I75" s="182">
        <f t="shared" si="17"/>
        <v>1.8809</v>
      </c>
      <c r="J75" s="182">
        <f t="shared" si="18"/>
        <v>13.435</v>
      </c>
      <c r="K75" s="243">
        <f t="shared" si="19"/>
        <v>15.3159</v>
      </c>
      <c r="Q75" s="184"/>
      <c r="S75" s="543"/>
      <c r="T75" s="543"/>
    </row>
    <row r="76">
      <c r="B76" s="67" t="s">
        <v>1719</v>
      </c>
      <c r="C76" s="67">
        <v>1.0</v>
      </c>
      <c r="D76" s="189">
        <f>1.67+1.9+3.775*2+3.825*2+1.895</f>
        <v>20.665</v>
      </c>
      <c r="E76" s="67">
        <v>0.14</v>
      </c>
      <c r="F76" s="67">
        <v>0.5</v>
      </c>
      <c r="G76" s="67">
        <v>0.55</v>
      </c>
      <c r="H76" s="182">
        <f t="shared" si="16"/>
        <v>6.137505</v>
      </c>
      <c r="I76" s="182">
        <f t="shared" si="17"/>
        <v>2.8931</v>
      </c>
      <c r="J76" s="182">
        <f t="shared" si="18"/>
        <v>20.665</v>
      </c>
      <c r="K76" s="243">
        <f t="shared" si="19"/>
        <v>23.5581</v>
      </c>
      <c r="Q76" s="184"/>
      <c r="S76" s="543"/>
      <c r="T76" s="543"/>
    </row>
    <row r="77">
      <c r="B77" s="67" t="s">
        <v>1720</v>
      </c>
      <c r="C77" s="67">
        <v>1.0</v>
      </c>
      <c r="D77" s="182">
        <f>6.605+6.83</f>
        <v>13.435</v>
      </c>
      <c r="E77" s="67">
        <v>0.14</v>
      </c>
      <c r="F77" s="67">
        <v>0.5</v>
      </c>
      <c r="G77" s="67">
        <v>0.55</v>
      </c>
      <c r="H77" s="182">
        <f t="shared" si="16"/>
        <v>3.990195</v>
      </c>
      <c r="I77" s="182">
        <f t="shared" si="17"/>
        <v>1.8809</v>
      </c>
      <c r="J77" s="182">
        <f t="shared" si="18"/>
        <v>13.435</v>
      </c>
      <c r="K77" s="243">
        <f t="shared" si="19"/>
        <v>15.3159</v>
      </c>
      <c r="Q77" s="184"/>
      <c r="S77" s="543"/>
      <c r="T77" s="543"/>
    </row>
    <row r="78">
      <c r="B78" s="67" t="s">
        <v>1721</v>
      </c>
      <c r="C78" s="67">
        <v>1.0</v>
      </c>
      <c r="D78" s="189">
        <v>1.75</v>
      </c>
      <c r="E78" s="67">
        <v>0.14</v>
      </c>
      <c r="F78" s="67">
        <v>0.5</v>
      </c>
      <c r="G78" s="67">
        <v>0.55</v>
      </c>
      <c r="H78" s="182">
        <f t="shared" si="16"/>
        <v>0.51975</v>
      </c>
      <c r="I78" s="182">
        <f t="shared" si="17"/>
        <v>0.245</v>
      </c>
      <c r="J78" s="182">
        <f t="shared" si="18"/>
        <v>1.75</v>
      </c>
      <c r="K78" s="243">
        <f t="shared" si="19"/>
        <v>1.995</v>
      </c>
      <c r="Q78" s="184"/>
      <c r="S78" s="543"/>
      <c r="T78" s="543"/>
    </row>
    <row r="79">
      <c r="B79" s="67" t="s">
        <v>1722</v>
      </c>
      <c r="C79" s="67">
        <v>1.0</v>
      </c>
      <c r="D79" s="182">
        <f>1.75+3.9+3.875*5+3.65</f>
        <v>28.675</v>
      </c>
      <c r="E79" s="67">
        <v>0.14</v>
      </c>
      <c r="F79" s="67">
        <v>0.5</v>
      </c>
      <c r="G79" s="67">
        <v>0.55</v>
      </c>
      <c r="H79" s="182">
        <f t="shared" si="16"/>
        <v>8.516475</v>
      </c>
      <c r="I79" s="182">
        <f t="shared" si="17"/>
        <v>4.0145</v>
      </c>
      <c r="J79" s="182">
        <f t="shared" si="18"/>
        <v>28.675</v>
      </c>
      <c r="K79" s="243">
        <f t="shared" si="19"/>
        <v>32.6895</v>
      </c>
      <c r="Q79" s="184"/>
      <c r="S79" s="543"/>
      <c r="T79" s="543"/>
    </row>
    <row r="80">
      <c r="B80" s="67" t="s">
        <v>1723</v>
      </c>
      <c r="C80" s="67">
        <v>1.0</v>
      </c>
      <c r="D80" s="189">
        <f>3.875+3.825</f>
        <v>7.7</v>
      </c>
      <c r="E80" s="67">
        <v>0.14</v>
      </c>
      <c r="F80" s="67">
        <v>0.5</v>
      </c>
      <c r="G80" s="67">
        <v>0.55</v>
      </c>
      <c r="H80" s="182">
        <f t="shared" si="16"/>
        <v>2.2869</v>
      </c>
      <c r="I80" s="182">
        <f t="shared" si="17"/>
        <v>1.078</v>
      </c>
      <c r="J80" s="182">
        <f t="shared" si="18"/>
        <v>7.7</v>
      </c>
      <c r="K80" s="243">
        <f t="shared" si="19"/>
        <v>8.778</v>
      </c>
      <c r="Q80" s="184"/>
      <c r="S80" s="543"/>
      <c r="T80" s="543"/>
    </row>
    <row r="81">
      <c r="B81" s="67" t="s">
        <v>1724</v>
      </c>
      <c r="C81" s="67">
        <v>1.0</v>
      </c>
      <c r="D81" s="189">
        <v>3.935</v>
      </c>
      <c r="E81" s="67">
        <v>0.14</v>
      </c>
      <c r="F81" s="67">
        <v>0.5</v>
      </c>
      <c r="G81" s="67">
        <v>0.55</v>
      </c>
      <c r="H81" s="182">
        <f t="shared" si="16"/>
        <v>1.168695</v>
      </c>
      <c r="I81" s="182">
        <f t="shared" si="17"/>
        <v>0.5509</v>
      </c>
      <c r="J81" s="182">
        <f t="shared" si="18"/>
        <v>3.935</v>
      </c>
      <c r="K81" s="243">
        <f t="shared" si="19"/>
        <v>4.4859</v>
      </c>
      <c r="Q81" s="184"/>
      <c r="S81" s="543"/>
      <c r="T81" s="543"/>
    </row>
    <row r="82">
      <c r="B82" s="67" t="s">
        <v>1725</v>
      </c>
      <c r="C82" s="67">
        <v>1.0</v>
      </c>
      <c r="D82" s="182">
        <f>3.855+3.875+3.85+3.85+3.875+3.845+3.845+3.855+3.705</f>
        <v>34.555</v>
      </c>
      <c r="E82" s="67">
        <v>0.14</v>
      </c>
      <c r="F82" s="67">
        <v>0.5</v>
      </c>
      <c r="G82" s="67">
        <v>0.55</v>
      </c>
      <c r="H82" s="182">
        <f t="shared" si="16"/>
        <v>10.262835</v>
      </c>
      <c r="I82" s="182">
        <f t="shared" si="17"/>
        <v>4.8377</v>
      </c>
      <c r="J82" s="182">
        <f t="shared" si="18"/>
        <v>34.555</v>
      </c>
      <c r="K82" s="243">
        <f t="shared" si="19"/>
        <v>39.3927</v>
      </c>
      <c r="Q82" s="184"/>
      <c r="S82" s="543"/>
      <c r="T82" s="543"/>
    </row>
    <row r="83">
      <c r="B83" s="67" t="s">
        <v>723</v>
      </c>
      <c r="C83" s="67">
        <v>1.0</v>
      </c>
      <c r="D83" s="182">
        <f>3.8+3.55+2</f>
        <v>9.35</v>
      </c>
      <c r="E83" s="67">
        <v>0.14</v>
      </c>
      <c r="F83" s="67">
        <v>0.5</v>
      </c>
      <c r="G83" s="67">
        <v>0.55</v>
      </c>
      <c r="H83" s="182">
        <f t="shared" si="16"/>
        <v>2.77695</v>
      </c>
      <c r="I83" s="182">
        <f t="shared" si="17"/>
        <v>1.309</v>
      </c>
      <c r="J83" s="182">
        <f t="shared" si="18"/>
        <v>9.35</v>
      </c>
      <c r="K83" s="243">
        <f t="shared" si="19"/>
        <v>10.659</v>
      </c>
      <c r="Q83" s="184"/>
      <c r="S83" s="543"/>
      <c r="T83" s="543"/>
    </row>
    <row r="84">
      <c r="B84" s="67" t="s">
        <v>724</v>
      </c>
      <c r="C84" s="67">
        <v>1.0</v>
      </c>
      <c r="D84" s="182">
        <f>1.89+3.8+3.75</f>
        <v>9.44</v>
      </c>
      <c r="E84" s="67">
        <v>0.14</v>
      </c>
      <c r="F84" s="67">
        <v>0.5</v>
      </c>
      <c r="G84" s="67">
        <v>0.55</v>
      </c>
      <c r="H84" s="182">
        <f t="shared" si="16"/>
        <v>2.80368</v>
      </c>
      <c r="I84" s="182">
        <f t="shared" si="17"/>
        <v>1.3216</v>
      </c>
      <c r="J84" s="182">
        <f t="shared" si="18"/>
        <v>9.44</v>
      </c>
      <c r="K84" s="243">
        <f t="shared" si="19"/>
        <v>10.7616</v>
      </c>
      <c r="Q84" s="184"/>
      <c r="S84" s="543"/>
      <c r="T84" s="543"/>
    </row>
    <row r="85">
      <c r="B85" s="67" t="s">
        <v>725</v>
      </c>
      <c r="C85" s="67">
        <v>1.0</v>
      </c>
      <c r="D85" s="182">
        <f>3.795*2+3.75*4</f>
        <v>22.59</v>
      </c>
      <c r="E85" s="67">
        <v>0.14</v>
      </c>
      <c r="F85" s="67">
        <v>0.5</v>
      </c>
      <c r="G85" s="67">
        <v>0.55</v>
      </c>
      <c r="H85" s="182">
        <f t="shared" si="16"/>
        <v>6.70923</v>
      </c>
      <c r="I85" s="182">
        <f t="shared" si="17"/>
        <v>3.1626</v>
      </c>
      <c r="J85" s="182">
        <f t="shared" si="18"/>
        <v>22.59</v>
      </c>
      <c r="K85" s="243">
        <f t="shared" si="19"/>
        <v>25.7526</v>
      </c>
      <c r="Q85" s="184"/>
      <c r="S85" s="543"/>
      <c r="T85" s="543"/>
    </row>
    <row r="86">
      <c r="B86" s="67" t="s">
        <v>726</v>
      </c>
      <c r="C86" s="67">
        <v>1.0</v>
      </c>
      <c r="D86" s="189">
        <f>3.9*2</f>
        <v>7.8</v>
      </c>
      <c r="E86" s="67">
        <v>0.14</v>
      </c>
      <c r="F86" s="67">
        <v>0.5</v>
      </c>
      <c r="G86" s="67">
        <v>0.55</v>
      </c>
      <c r="H86" s="182">
        <f t="shared" si="16"/>
        <v>2.3166</v>
      </c>
      <c r="I86" s="182">
        <f t="shared" si="17"/>
        <v>1.092</v>
      </c>
      <c r="J86" s="182">
        <f t="shared" si="18"/>
        <v>7.8</v>
      </c>
      <c r="K86" s="243">
        <f t="shared" si="19"/>
        <v>8.892</v>
      </c>
      <c r="Q86" s="184"/>
      <c r="S86" s="543"/>
      <c r="T86" s="543"/>
    </row>
    <row r="87">
      <c r="B87" s="67" t="s">
        <v>727</v>
      </c>
      <c r="C87" s="67">
        <v>1.0</v>
      </c>
      <c r="D87" s="182">
        <f>3.795*2+3.75*4</f>
        <v>22.59</v>
      </c>
      <c r="E87" s="67">
        <v>0.14</v>
      </c>
      <c r="F87" s="67">
        <v>0.5</v>
      </c>
      <c r="G87" s="67">
        <v>0.55</v>
      </c>
      <c r="H87" s="182">
        <f t="shared" si="16"/>
        <v>6.70923</v>
      </c>
      <c r="I87" s="182">
        <f t="shared" si="17"/>
        <v>3.1626</v>
      </c>
      <c r="J87" s="182">
        <f t="shared" si="18"/>
        <v>22.59</v>
      </c>
      <c r="K87" s="243">
        <f t="shared" si="19"/>
        <v>25.7526</v>
      </c>
      <c r="Q87" s="184"/>
      <c r="S87" s="543"/>
      <c r="T87" s="543"/>
    </row>
    <row r="88">
      <c r="B88" s="67" t="s">
        <v>728</v>
      </c>
      <c r="C88" s="67">
        <v>1.0</v>
      </c>
      <c r="D88" s="182">
        <f t="shared" ref="D88:D90" si="20">3.9*2</f>
        <v>7.8</v>
      </c>
      <c r="E88" s="67">
        <v>0.14</v>
      </c>
      <c r="F88" s="67">
        <v>0.5</v>
      </c>
      <c r="G88" s="67">
        <v>0.55</v>
      </c>
      <c r="H88" s="182">
        <f t="shared" si="16"/>
        <v>2.3166</v>
      </c>
      <c r="I88" s="182">
        <f t="shared" si="17"/>
        <v>1.092</v>
      </c>
      <c r="J88" s="182">
        <f t="shared" si="18"/>
        <v>7.8</v>
      </c>
      <c r="K88" s="243">
        <f t="shared" si="19"/>
        <v>8.892</v>
      </c>
      <c r="Q88" s="184"/>
      <c r="S88" s="543"/>
      <c r="T88" s="543"/>
    </row>
    <row r="89">
      <c r="B89" s="67" t="s">
        <v>729</v>
      </c>
      <c r="C89" s="67">
        <v>1.0</v>
      </c>
      <c r="D89" s="182">
        <f t="shared" si="20"/>
        <v>7.8</v>
      </c>
      <c r="E89" s="67">
        <v>0.14</v>
      </c>
      <c r="F89" s="67">
        <v>0.5</v>
      </c>
      <c r="G89" s="67">
        <v>0.55</v>
      </c>
      <c r="H89" s="182">
        <f t="shared" si="16"/>
        <v>2.3166</v>
      </c>
      <c r="I89" s="182">
        <f t="shared" si="17"/>
        <v>1.092</v>
      </c>
      <c r="J89" s="182">
        <f t="shared" si="18"/>
        <v>7.8</v>
      </c>
      <c r="K89" s="243">
        <f t="shared" si="19"/>
        <v>8.892</v>
      </c>
      <c r="Q89" s="184"/>
      <c r="S89" s="543"/>
      <c r="T89" s="543"/>
    </row>
    <row r="90">
      <c r="B90" s="67" t="s">
        <v>730</v>
      </c>
      <c r="C90" s="67">
        <v>1.0</v>
      </c>
      <c r="D90" s="182">
        <f t="shared" si="20"/>
        <v>7.8</v>
      </c>
      <c r="E90" s="67">
        <v>0.14</v>
      </c>
      <c r="F90" s="67">
        <v>0.5</v>
      </c>
      <c r="G90" s="67">
        <v>0.55</v>
      </c>
      <c r="H90" s="182">
        <f t="shared" si="16"/>
        <v>2.3166</v>
      </c>
      <c r="I90" s="182">
        <f t="shared" si="17"/>
        <v>1.092</v>
      </c>
      <c r="J90" s="182">
        <f t="shared" si="18"/>
        <v>7.8</v>
      </c>
      <c r="K90" s="243">
        <f t="shared" si="19"/>
        <v>8.892</v>
      </c>
      <c r="Q90" s="184"/>
      <c r="S90" s="543"/>
      <c r="T90" s="543"/>
    </row>
    <row r="91">
      <c r="B91" s="67" t="s">
        <v>731</v>
      </c>
      <c r="C91" s="67">
        <v>1.0</v>
      </c>
      <c r="D91" s="182">
        <f>3.795*2+3.75*4</f>
        <v>22.59</v>
      </c>
      <c r="E91" s="67">
        <v>0.14</v>
      </c>
      <c r="F91" s="67">
        <v>0.5</v>
      </c>
      <c r="G91" s="67">
        <v>0.55</v>
      </c>
      <c r="H91" s="182">
        <f t="shared" si="16"/>
        <v>6.70923</v>
      </c>
      <c r="I91" s="182">
        <f t="shared" si="17"/>
        <v>3.1626</v>
      </c>
      <c r="J91" s="182">
        <f t="shared" si="18"/>
        <v>22.59</v>
      </c>
      <c r="K91" s="243">
        <f t="shared" si="19"/>
        <v>25.7526</v>
      </c>
      <c r="Q91" s="184"/>
      <c r="S91" s="543"/>
      <c r="T91" s="543"/>
    </row>
    <row r="92">
      <c r="B92" s="67" t="s">
        <v>732</v>
      </c>
      <c r="C92" s="67">
        <v>1.0</v>
      </c>
      <c r="D92" s="182">
        <f t="shared" ref="D92:D93" si="21">3.9*2</f>
        <v>7.8</v>
      </c>
      <c r="E92" s="67">
        <v>0.14</v>
      </c>
      <c r="F92" s="67">
        <v>0.5</v>
      </c>
      <c r="G92" s="67">
        <v>0.55</v>
      </c>
      <c r="H92" s="182">
        <f t="shared" si="16"/>
        <v>2.3166</v>
      </c>
      <c r="I92" s="182">
        <f t="shared" si="17"/>
        <v>1.092</v>
      </c>
      <c r="J92" s="182">
        <f t="shared" si="18"/>
        <v>7.8</v>
      </c>
      <c r="K92" s="243">
        <f t="shared" si="19"/>
        <v>8.892</v>
      </c>
      <c r="Q92" s="184"/>
      <c r="S92" s="543"/>
      <c r="T92" s="543"/>
    </row>
    <row r="93">
      <c r="B93" s="67" t="s">
        <v>733</v>
      </c>
      <c r="C93" s="67">
        <v>1.0</v>
      </c>
      <c r="D93" s="182">
        <f t="shared" si="21"/>
        <v>7.8</v>
      </c>
      <c r="E93" s="67">
        <v>0.14</v>
      </c>
      <c r="F93" s="67">
        <v>0.5</v>
      </c>
      <c r="G93" s="67">
        <v>0.55</v>
      </c>
      <c r="H93" s="182">
        <f t="shared" si="16"/>
        <v>2.3166</v>
      </c>
      <c r="I93" s="182">
        <f t="shared" si="17"/>
        <v>1.092</v>
      </c>
      <c r="J93" s="182">
        <f t="shared" si="18"/>
        <v>7.8</v>
      </c>
      <c r="K93" s="243">
        <f t="shared" si="19"/>
        <v>8.892</v>
      </c>
      <c r="Q93" s="184"/>
      <c r="S93" s="543"/>
      <c r="T93" s="543"/>
    </row>
    <row r="94">
      <c r="B94" s="67" t="s">
        <v>734</v>
      </c>
      <c r="C94" s="67">
        <v>1.0</v>
      </c>
      <c r="D94" s="182">
        <f>3.94*2</f>
        <v>7.88</v>
      </c>
      <c r="E94" s="67">
        <v>0.14</v>
      </c>
      <c r="F94" s="67">
        <v>0.5</v>
      </c>
      <c r="G94" s="67">
        <v>0.55</v>
      </c>
      <c r="H94" s="182">
        <f t="shared" si="16"/>
        <v>2.34036</v>
      </c>
      <c r="I94" s="182">
        <f t="shared" si="17"/>
        <v>1.1032</v>
      </c>
      <c r="J94" s="182">
        <f t="shared" si="18"/>
        <v>7.88</v>
      </c>
      <c r="K94" s="243">
        <f t="shared" si="19"/>
        <v>8.9832</v>
      </c>
      <c r="Q94" s="184"/>
      <c r="S94" s="543"/>
      <c r="T94" s="543"/>
    </row>
    <row r="95">
      <c r="B95" s="67" t="s">
        <v>735</v>
      </c>
      <c r="C95" s="67">
        <v>1.0</v>
      </c>
      <c r="D95" s="182">
        <f>3.9*2</f>
        <v>7.8</v>
      </c>
      <c r="E95" s="67">
        <v>0.14</v>
      </c>
      <c r="F95" s="67">
        <v>0.5</v>
      </c>
      <c r="G95" s="67">
        <v>0.55</v>
      </c>
      <c r="H95" s="182">
        <f t="shared" si="16"/>
        <v>2.3166</v>
      </c>
      <c r="I95" s="182">
        <f t="shared" si="17"/>
        <v>1.092</v>
      </c>
      <c r="J95" s="182">
        <f t="shared" si="18"/>
        <v>7.8</v>
      </c>
      <c r="K95" s="243">
        <f t="shared" si="19"/>
        <v>8.892</v>
      </c>
      <c r="Q95" s="184"/>
      <c r="S95" s="543"/>
      <c r="T95" s="543"/>
    </row>
    <row r="96">
      <c r="B96" s="67" t="s">
        <v>736</v>
      </c>
      <c r="C96" s="67">
        <v>1.0</v>
      </c>
      <c r="D96" s="182">
        <f>3.795*2+3.75*4</f>
        <v>22.59</v>
      </c>
      <c r="E96" s="67">
        <v>0.14</v>
      </c>
      <c r="F96" s="67">
        <v>0.5</v>
      </c>
      <c r="G96" s="67">
        <v>0.55</v>
      </c>
      <c r="H96" s="182">
        <f t="shared" si="16"/>
        <v>6.70923</v>
      </c>
      <c r="I96" s="182">
        <f t="shared" si="17"/>
        <v>3.1626</v>
      </c>
      <c r="J96" s="182">
        <f t="shared" si="18"/>
        <v>22.59</v>
      </c>
      <c r="K96" s="243">
        <f t="shared" si="19"/>
        <v>25.7526</v>
      </c>
      <c r="Q96" s="184"/>
      <c r="S96" s="543"/>
      <c r="T96" s="543"/>
    </row>
    <row r="97">
      <c r="B97" s="67" t="s">
        <v>737</v>
      </c>
      <c r="C97" s="67">
        <v>1.0</v>
      </c>
      <c r="D97" s="182">
        <f>3.9*2</f>
        <v>7.8</v>
      </c>
      <c r="E97" s="67">
        <v>0.14</v>
      </c>
      <c r="F97" s="67">
        <v>0.5</v>
      </c>
      <c r="G97" s="67">
        <v>0.55</v>
      </c>
      <c r="H97" s="182">
        <f t="shared" si="16"/>
        <v>2.3166</v>
      </c>
      <c r="I97" s="182">
        <f t="shared" si="17"/>
        <v>1.092</v>
      </c>
      <c r="J97" s="182">
        <f t="shared" si="18"/>
        <v>7.8</v>
      </c>
      <c r="K97" s="243">
        <f t="shared" si="19"/>
        <v>8.892</v>
      </c>
      <c r="Q97" s="184"/>
      <c r="S97" s="543"/>
      <c r="T97" s="543"/>
    </row>
    <row r="98">
      <c r="B98" s="67" t="s">
        <v>738</v>
      </c>
      <c r="C98" s="67">
        <v>1.0</v>
      </c>
      <c r="D98" s="182">
        <f>3.795*2+3.75*4</f>
        <v>22.59</v>
      </c>
      <c r="E98" s="67">
        <v>0.14</v>
      </c>
      <c r="F98" s="67">
        <v>0.5</v>
      </c>
      <c r="G98" s="67">
        <v>0.55</v>
      </c>
      <c r="H98" s="182">
        <f t="shared" si="16"/>
        <v>6.70923</v>
      </c>
      <c r="I98" s="182">
        <f t="shared" si="17"/>
        <v>3.1626</v>
      </c>
      <c r="J98" s="182">
        <f t="shared" si="18"/>
        <v>22.59</v>
      </c>
      <c r="K98" s="243">
        <f t="shared" si="19"/>
        <v>25.7526</v>
      </c>
      <c r="Q98" s="184"/>
      <c r="S98" s="543"/>
      <c r="T98" s="543"/>
    </row>
    <row r="99">
      <c r="B99" s="67" t="s">
        <v>739</v>
      </c>
      <c r="C99" s="67">
        <v>1.0</v>
      </c>
      <c r="D99" s="182">
        <f t="shared" ref="D99:D102" si="22">3.9*2</f>
        <v>7.8</v>
      </c>
      <c r="E99" s="67">
        <v>0.14</v>
      </c>
      <c r="F99" s="67">
        <v>0.5</v>
      </c>
      <c r="G99" s="67">
        <v>0.55</v>
      </c>
      <c r="H99" s="182">
        <f t="shared" si="16"/>
        <v>2.3166</v>
      </c>
      <c r="I99" s="182">
        <f t="shared" si="17"/>
        <v>1.092</v>
      </c>
      <c r="J99" s="182">
        <f t="shared" si="18"/>
        <v>7.8</v>
      </c>
      <c r="K99" s="243">
        <f t="shared" si="19"/>
        <v>8.892</v>
      </c>
      <c r="Q99" s="184"/>
      <c r="S99" s="543"/>
      <c r="T99" s="543"/>
    </row>
    <row r="100">
      <c r="B100" s="67" t="s">
        <v>740</v>
      </c>
      <c r="C100" s="67">
        <v>1.0</v>
      </c>
      <c r="D100" s="182">
        <f t="shared" si="22"/>
        <v>7.8</v>
      </c>
      <c r="E100" s="67">
        <v>0.14</v>
      </c>
      <c r="F100" s="67">
        <v>0.5</v>
      </c>
      <c r="G100" s="67">
        <v>0.55</v>
      </c>
      <c r="H100" s="182">
        <f t="shared" si="16"/>
        <v>2.3166</v>
      </c>
      <c r="I100" s="182">
        <f t="shared" si="17"/>
        <v>1.092</v>
      </c>
      <c r="J100" s="182">
        <f t="shared" si="18"/>
        <v>7.8</v>
      </c>
      <c r="K100" s="243">
        <f t="shared" si="19"/>
        <v>8.892</v>
      </c>
      <c r="Q100" s="184"/>
      <c r="S100" s="543"/>
      <c r="T100" s="543"/>
    </row>
    <row r="101">
      <c r="B101" s="67" t="s">
        <v>741</v>
      </c>
      <c r="C101" s="67">
        <v>1.0</v>
      </c>
      <c r="D101" s="182">
        <f t="shared" si="22"/>
        <v>7.8</v>
      </c>
      <c r="E101" s="67">
        <v>0.14</v>
      </c>
      <c r="F101" s="67">
        <v>0.5</v>
      </c>
      <c r="G101" s="67">
        <v>0.55</v>
      </c>
      <c r="H101" s="182">
        <f t="shared" si="16"/>
        <v>2.3166</v>
      </c>
      <c r="I101" s="182">
        <f t="shared" si="17"/>
        <v>1.092</v>
      </c>
      <c r="J101" s="182">
        <f t="shared" si="18"/>
        <v>7.8</v>
      </c>
      <c r="K101" s="243">
        <f t="shared" si="19"/>
        <v>8.892</v>
      </c>
      <c r="Q101" s="184"/>
      <c r="S101" s="543"/>
      <c r="T101" s="543"/>
    </row>
    <row r="102">
      <c r="B102" s="67" t="s">
        <v>1701</v>
      </c>
      <c r="C102" s="67">
        <v>1.0</v>
      </c>
      <c r="D102" s="182">
        <f t="shared" si="22"/>
        <v>7.8</v>
      </c>
      <c r="E102" s="67">
        <v>0.14</v>
      </c>
      <c r="F102" s="67">
        <v>0.5</v>
      </c>
      <c r="G102" s="67">
        <v>0.55</v>
      </c>
      <c r="H102" s="182">
        <f t="shared" si="16"/>
        <v>2.3166</v>
      </c>
      <c r="I102" s="182">
        <f t="shared" si="17"/>
        <v>1.092</v>
      </c>
      <c r="J102" s="182">
        <f t="shared" si="18"/>
        <v>7.8</v>
      </c>
      <c r="K102" s="243">
        <f t="shared" si="19"/>
        <v>8.892</v>
      </c>
      <c r="Q102" s="184"/>
      <c r="S102" s="543"/>
      <c r="T102" s="543"/>
    </row>
    <row r="103">
      <c r="B103" s="67" t="s">
        <v>1702</v>
      </c>
      <c r="C103" s="67">
        <v>1.0</v>
      </c>
      <c r="D103" s="182">
        <f t="shared" ref="D103:D105" si="23">3.68+3.775+3.77+3.78+3.78+3.77+3.775+3.675+3.795</f>
        <v>33.8</v>
      </c>
      <c r="E103" s="67">
        <v>0.14</v>
      </c>
      <c r="F103" s="67">
        <v>0.5</v>
      </c>
      <c r="G103" s="67">
        <v>0.55</v>
      </c>
      <c r="H103" s="182">
        <f t="shared" si="16"/>
        <v>10.0386</v>
      </c>
      <c r="I103" s="182">
        <f t="shared" si="17"/>
        <v>4.732</v>
      </c>
      <c r="J103" s="182">
        <f t="shared" si="18"/>
        <v>33.8</v>
      </c>
      <c r="K103" s="243">
        <f t="shared" si="19"/>
        <v>38.532</v>
      </c>
      <c r="Q103" s="184"/>
      <c r="S103" s="543"/>
      <c r="T103" s="543"/>
    </row>
    <row r="104">
      <c r="B104" s="67" t="s">
        <v>1703</v>
      </c>
      <c r="C104" s="67">
        <v>1.0</v>
      </c>
      <c r="D104" s="182">
        <f t="shared" si="23"/>
        <v>33.8</v>
      </c>
      <c r="E104" s="67">
        <v>0.14</v>
      </c>
      <c r="F104" s="67">
        <v>0.5</v>
      </c>
      <c r="G104" s="67">
        <v>0.55</v>
      </c>
      <c r="H104" s="182">
        <f t="shared" si="16"/>
        <v>10.0386</v>
      </c>
      <c r="I104" s="182">
        <f t="shared" si="17"/>
        <v>4.732</v>
      </c>
      <c r="J104" s="182">
        <f t="shared" si="18"/>
        <v>33.8</v>
      </c>
      <c r="K104" s="243">
        <f t="shared" si="19"/>
        <v>38.532</v>
      </c>
      <c r="Q104" s="184"/>
      <c r="S104" s="543"/>
      <c r="T104" s="543"/>
    </row>
    <row r="105">
      <c r="B105" s="67" t="s">
        <v>1704</v>
      </c>
      <c r="C105" s="67">
        <v>1.0</v>
      </c>
      <c r="D105" s="182">
        <f t="shared" si="23"/>
        <v>33.8</v>
      </c>
      <c r="E105" s="67">
        <v>0.14</v>
      </c>
      <c r="F105" s="67">
        <v>0.5</v>
      </c>
      <c r="G105" s="67">
        <v>0.55</v>
      </c>
      <c r="H105" s="182">
        <f t="shared" si="16"/>
        <v>10.0386</v>
      </c>
      <c r="I105" s="182">
        <f t="shared" si="17"/>
        <v>4.732</v>
      </c>
      <c r="J105" s="182">
        <f t="shared" si="18"/>
        <v>33.8</v>
      </c>
      <c r="K105" s="243">
        <f t="shared" si="19"/>
        <v>38.532</v>
      </c>
      <c r="Q105" s="184"/>
      <c r="S105" s="543"/>
      <c r="T105" s="543"/>
    </row>
    <row r="106">
      <c r="B106" s="67" t="s">
        <v>1705</v>
      </c>
      <c r="C106" s="67">
        <v>1.0</v>
      </c>
      <c r="D106" s="182">
        <f>8+3.9+3.9</f>
        <v>15.8</v>
      </c>
      <c r="E106" s="67">
        <v>0.14</v>
      </c>
      <c r="F106" s="67">
        <v>0.5</v>
      </c>
      <c r="G106" s="67">
        <v>0.55</v>
      </c>
      <c r="H106" s="182">
        <f t="shared" si="16"/>
        <v>4.6926</v>
      </c>
      <c r="I106" s="182">
        <f t="shared" si="17"/>
        <v>2.212</v>
      </c>
      <c r="J106" s="182">
        <f t="shared" si="18"/>
        <v>15.8</v>
      </c>
      <c r="K106" s="243">
        <f t="shared" si="19"/>
        <v>18.012</v>
      </c>
      <c r="Q106" s="184"/>
      <c r="S106" s="543"/>
      <c r="T106" s="543"/>
    </row>
    <row r="107">
      <c r="B107" s="67" t="s">
        <v>1706</v>
      </c>
      <c r="C107" s="67">
        <v>1.0</v>
      </c>
      <c r="D107" s="189">
        <v>2.4</v>
      </c>
      <c r="E107" s="67">
        <v>0.14</v>
      </c>
      <c r="F107" s="67">
        <v>0.5</v>
      </c>
      <c r="G107" s="67">
        <v>0.55</v>
      </c>
      <c r="H107" s="182">
        <f t="shared" si="16"/>
        <v>0.7128</v>
      </c>
      <c r="I107" s="182">
        <f t="shared" si="17"/>
        <v>0.336</v>
      </c>
      <c r="J107" s="182">
        <f t="shared" si="18"/>
        <v>2.4</v>
      </c>
      <c r="K107" s="243">
        <f t="shared" si="19"/>
        <v>2.736</v>
      </c>
      <c r="Q107" s="184"/>
      <c r="S107" s="543"/>
      <c r="T107" s="543"/>
    </row>
    <row r="108">
      <c r="B108" s="67" t="s">
        <v>1707</v>
      </c>
      <c r="C108" s="67">
        <v>1.0</v>
      </c>
      <c r="D108" s="182">
        <f>5.48</f>
        <v>5.48</v>
      </c>
      <c r="E108" s="67">
        <v>0.14</v>
      </c>
      <c r="F108" s="67">
        <v>0.5</v>
      </c>
      <c r="G108" s="67">
        <v>0.55</v>
      </c>
      <c r="H108" s="182">
        <f t="shared" si="16"/>
        <v>1.62756</v>
      </c>
      <c r="I108" s="182">
        <f t="shared" si="17"/>
        <v>0.7672</v>
      </c>
      <c r="J108" s="182">
        <f t="shared" si="18"/>
        <v>5.48</v>
      </c>
      <c r="K108" s="243">
        <f t="shared" si="19"/>
        <v>6.2472</v>
      </c>
      <c r="Q108" s="184"/>
      <c r="S108" s="543"/>
      <c r="T108" s="543"/>
    </row>
    <row r="109">
      <c r="B109" s="67" t="s">
        <v>1708</v>
      </c>
      <c r="C109" s="67">
        <v>1.0</v>
      </c>
      <c r="D109" s="565">
        <v>2.4</v>
      </c>
      <c r="E109" s="67">
        <v>0.14</v>
      </c>
      <c r="F109" s="67">
        <v>0.5</v>
      </c>
      <c r="G109" s="67">
        <v>0.55</v>
      </c>
      <c r="H109" s="182">
        <f t="shared" si="16"/>
        <v>0.7128</v>
      </c>
      <c r="I109" s="182">
        <f t="shared" si="17"/>
        <v>0.336</v>
      </c>
      <c r="J109" s="182">
        <f t="shared" si="18"/>
        <v>2.4</v>
      </c>
      <c r="K109" s="243">
        <f t="shared" si="19"/>
        <v>2.736</v>
      </c>
      <c r="Q109" s="184"/>
      <c r="S109" s="543"/>
      <c r="T109" s="543"/>
    </row>
    <row r="110">
      <c r="B110" s="67" t="s">
        <v>1709</v>
      </c>
      <c r="C110" s="67">
        <v>1.0</v>
      </c>
      <c r="D110" s="182">
        <f>8+3.9+3.9</f>
        <v>15.8</v>
      </c>
      <c r="E110" s="67">
        <v>0.14</v>
      </c>
      <c r="F110" s="67">
        <v>0.5</v>
      </c>
      <c r="G110" s="67">
        <v>0.55</v>
      </c>
      <c r="H110" s="182">
        <f t="shared" si="16"/>
        <v>4.6926</v>
      </c>
      <c r="I110" s="182">
        <f t="shared" si="17"/>
        <v>2.212</v>
      </c>
      <c r="J110" s="182">
        <f t="shared" si="18"/>
        <v>15.8</v>
      </c>
      <c r="K110" s="243">
        <f t="shared" si="19"/>
        <v>18.012</v>
      </c>
      <c r="Q110" s="184"/>
      <c r="S110" s="543"/>
      <c r="T110" s="543"/>
    </row>
    <row r="111">
      <c r="B111" s="67" t="s">
        <v>1710</v>
      </c>
      <c r="C111" s="67">
        <v>1.0</v>
      </c>
      <c r="D111" s="182">
        <f t="shared" ref="D111:D112" si="24">3.68+3.775+3.77+3.78+3.78+3.77+3.775+3.675+3.795</f>
        <v>33.8</v>
      </c>
      <c r="E111" s="67">
        <v>0.14</v>
      </c>
      <c r="F111" s="67">
        <v>0.5</v>
      </c>
      <c r="G111" s="67">
        <v>0.55</v>
      </c>
      <c r="H111" s="182">
        <f t="shared" si="16"/>
        <v>10.0386</v>
      </c>
      <c r="I111" s="182">
        <f t="shared" si="17"/>
        <v>4.732</v>
      </c>
      <c r="J111" s="182">
        <f t="shared" si="18"/>
        <v>33.8</v>
      </c>
      <c r="K111" s="243">
        <f t="shared" si="19"/>
        <v>38.532</v>
      </c>
      <c r="Q111" s="184"/>
      <c r="S111" s="543"/>
      <c r="T111" s="543"/>
    </row>
    <row r="112">
      <c r="B112" s="67" t="s">
        <v>1711</v>
      </c>
      <c r="C112" s="67">
        <v>1.0</v>
      </c>
      <c r="D112" s="182">
        <f t="shared" si="24"/>
        <v>33.8</v>
      </c>
      <c r="E112" s="67">
        <v>0.14</v>
      </c>
      <c r="F112" s="67">
        <v>0.5</v>
      </c>
      <c r="G112" s="67">
        <v>0.55</v>
      </c>
      <c r="H112" s="182">
        <f t="shared" si="16"/>
        <v>10.0386</v>
      </c>
      <c r="I112" s="182">
        <f t="shared" si="17"/>
        <v>4.732</v>
      </c>
      <c r="J112" s="182">
        <f t="shared" si="18"/>
        <v>33.8</v>
      </c>
      <c r="K112" s="243">
        <f t="shared" si="19"/>
        <v>38.532</v>
      </c>
      <c r="Q112" s="184"/>
      <c r="S112" s="543"/>
      <c r="T112" s="543"/>
    </row>
    <row r="113">
      <c r="B113" s="67" t="s">
        <v>1712</v>
      </c>
      <c r="C113" s="67">
        <v>1.0</v>
      </c>
      <c r="D113" s="189">
        <v>3.94</v>
      </c>
      <c r="E113" s="67">
        <v>0.14</v>
      </c>
      <c r="F113" s="67">
        <v>0.5</v>
      </c>
      <c r="G113" s="67">
        <v>0.55</v>
      </c>
      <c r="H113" s="182">
        <f t="shared" si="16"/>
        <v>1.17018</v>
      </c>
      <c r="I113" s="182">
        <f t="shared" si="17"/>
        <v>0.5516</v>
      </c>
      <c r="J113" s="182">
        <f t="shared" si="18"/>
        <v>3.94</v>
      </c>
      <c r="K113" s="243">
        <f t="shared" si="19"/>
        <v>4.4916</v>
      </c>
      <c r="Q113" s="184"/>
      <c r="S113" s="543"/>
      <c r="T113" s="543"/>
    </row>
    <row r="114">
      <c r="B114" s="67" t="s">
        <v>1713</v>
      </c>
      <c r="C114" s="67">
        <v>1.0</v>
      </c>
      <c r="D114" s="182">
        <f>3.68+3.775+3.77+3.78+3.78+3.77+3.775+3.675+3.795</f>
        <v>33.8</v>
      </c>
      <c r="E114" s="67">
        <v>0.14</v>
      </c>
      <c r="F114" s="67">
        <v>0.5</v>
      </c>
      <c r="G114" s="67">
        <v>0.55</v>
      </c>
      <c r="H114" s="182">
        <f t="shared" si="16"/>
        <v>10.0386</v>
      </c>
      <c r="I114" s="182">
        <f t="shared" si="17"/>
        <v>4.732</v>
      </c>
      <c r="J114" s="182">
        <f t="shared" si="18"/>
        <v>33.8</v>
      </c>
      <c r="K114" s="243">
        <f t="shared" si="19"/>
        <v>38.532</v>
      </c>
      <c r="Q114" s="184"/>
      <c r="S114" s="543"/>
      <c r="T114" s="543"/>
    </row>
    <row r="115">
      <c r="B115" s="67"/>
      <c r="C115" s="67"/>
      <c r="D115" s="67"/>
      <c r="E115" s="67"/>
      <c r="F115" s="67"/>
      <c r="G115" s="67"/>
      <c r="H115" s="182"/>
      <c r="I115" s="182"/>
      <c r="J115" s="182"/>
      <c r="K115" s="243"/>
      <c r="Q115" s="184"/>
      <c r="S115" s="543"/>
      <c r="T115" s="543"/>
    </row>
    <row r="116">
      <c r="B116" s="67"/>
      <c r="C116" s="67"/>
      <c r="D116" s="67"/>
      <c r="E116" s="67"/>
      <c r="F116" s="67"/>
      <c r="G116" s="67"/>
      <c r="H116" s="182"/>
      <c r="I116" s="182"/>
      <c r="J116" s="182"/>
      <c r="K116" s="243"/>
      <c r="Q116" s="184"/>
      <c r="S116" s="543"/>
      <c r="T116" s="543"/>
    </row>
    <row r="117">
      <c r="B117" s="67" t="s">
        <v>1726</v>
      </c>
      <c r="C117" s="67">
        <v>2.0</v>
      </c>
      <c r="D117" s="67">
        <v>0.15</v>
      </c>
      <c r="E117" s="67">
        <v>0.8</v>
      </c>
      <c r="F117" s="67">
        <v>1.5</v>
      </c>
      <c r="G117" s="67"/>
      <c r="H117" s="182"/>
      <c r="I117" s="182"/>
      <c r="J117" s="182"/>
      <c r="K117" s="243">
        <f t="shared" ref="K117:K127" si="25">C117*((D117+E117)*2)*F117</f>
        <v>5.7</v>
      </c>
      <c r="Q117" s="184"/>
      <c r="S117" s="543"/>
      <c r="T117" s="543"/>
    </row>
    <row r="118">
      <c r="B118" s="67" t="s">
        <v>666</v>
      </c>
      <c r="C118" s="67">
        <f>48+7+14+5</f>
        <v>74</v>
      </c>
      <c r="D118" s="189">
        <v>0.2</v>
      </c>
      <c r="E118" s="67">
        <v>0.2</v>
      </c>
      <c r="F118" s="67">
        <v>1.5</v>
      </c>
      <c r="G118" s="243"/>
      <c r="H118" s="182"/>
      <c r="I118" s="182"/>
      <c r="J118" s="182"/>
      <c r="K118" s="243">
        <f t="shared" si="25"/>
        <v>88.8</v>
      </c>
      <c r="Q118" s="184"/>
      <c r="S118" s="543"/>
      <c r="T118" s="543"/>
    </row>
    <row r="119">
      <c r="B119" s="67" t="s">
        <v>1727</v>
      </c>
      <c r="C119" s="67">
        <f>4+41</f>
        <v>45</v>
      </c>
      <c r="D119" s="189">
        <v>0.18</v>
      </c>
      <c r="E119" s="67">
        <v>0.25</v>
      </c>
      <c r="F119" s="67">
        <v>1.5</v>
      </c>
      <c r="G119" s="243"/>
      <c r="H119" s="182"/>
      <c r="I119" s="182"/>
      <c r="J119" s="182"/>
      <c r="K119" s="243">
        <f t="shared" si="25"/>
        <v>58.05</v>
      </c>
      <c r="Q119" s="184"/>
      <c r="S119" s="543"/>
      <c r="T119" s="543"/>
    </row>
    <row r="120">
      <c r="B120" s="67" t="s">
        <v>671</v>
      </c>
      <c r="C120" s="67">
        <v>17.0</v>
      </c>
      <c r="D120" s="189">
        <v>0.25</v>
      </c>
      <c r="E120" s="67">
        <v>0.25</v>
      </c>
      <c r="F120" s="67">
        <v>1.5</v>
      </c>
      <c r="G120" s="243"/>
      <c r="H120" s="182"/>
      <c r="I120" s="182"/>
      <c r="J120" s="182"/>
      <c r="K120" s="243">
        <f t="shared" si="25"/>
        <v>25.5</v>
      </c>
      <c r="Q120" s="184"/>
      <c r="S120" s="543"/>
      <c r="T120" s="543"/>
    </row>
    <row r="121">
      <c r="B121" s="67" t="s">
        <v>1728</v>
      </c>
      <c r="C121" s="67">
        <v>9.0</v>
      </c>
      <c r="D121" s="189">
        <v>0.2</v>
      </c>
      <c r="E121" s="67">
        <v>0.8</v>
      </c>
      <c r="F121" s="67">
        <v>1.5</v>
      </c>
      <c r="G121" s="243"/>
      <c r="H121" s="182"/>
      <c r="I121" s="182"/>
      <c r="J121" s="182"/>
      <c r="K121" s="243">
        <f t="shared" si="25"/>
        <v>27</v>
      </c>
      <c r="Q121" s="184"/>
      <c r="S121" s="543"/>
      <c r="T121" s="543"/>
    </row>
    <row r="122">
      <c r="B122" s="67" t="s">
        <v>1729</v>
      </c>
      <c r="C122" s="67">
        <f>59+2</f>
        <v>61</v>
      </c>
      <c r="D122" s="189">
        <v>0.18</v>
      </c>
      <c r="E122" s="67">
        <v>0.4</v>
      </c>
      <c r="F122" s="67">
        <v>1.5</v>
      </c>
      <c r="G122" s="243"/>
      <c r="H122" s="182"/>
      <c r="I122" s="182"/>
      <c r="J122" s="182"/>
      <c r="K122" s="243">
        <f t="shared" si="25"/>
        <v>106.14</v>
      </c>
      <c r="Q122" s="184"/>
      <c r="S122" s="543"/>
      <c r="T122" s="543"/>
    </row>
    <row r="123">
      <c r="B123" s="67" t="s">
        <v>1730</v>
      </c>
      <c r="C123" s="67">
        <v>2.0</v>
      </c>
      <c r="D123" s="189">
        <v>0.15</v>
      </c>
      <c r="E123" s="67">
        <v>0.3</v>
      </c>
      <c r="F123" s="67">
        <v>1.5</v>
      </c>
      <c r="G123" s="243"/>
      <c r="H123" s="182"/>
      <c r="I123" s="182"/>
      <c r="J123" s="182"/>
      <c r="K123" s="243">
        <f t="shared" si="25"/>
        <v>2.7</v>
      </c>
      <c r="Q123" s="184"/>
      <c r="S123" s="543"/>
      <c r="T123" s="543"/>
    </row>
    <row r="124">
      <c r="B124" s="67" t="s">
        <v>1731</v>
      </c>
      <c r="C124" s="67">
        <v>10.0</v>
      </c>
      <c r="D124" s="189">
        <v>0.3</v>
      </c>
      <c r="E124" s="67">
        <v>0.8</v>
      </c>
      <c r="F124" s="67">
        <v>1.5</v>
      </c>
      <c r="G124" s="243"/>
      <c r="H124" s="182"/>
      <c r="I124" s="182"/>
      <c r="J124" s="182"/>
      <c r="K124" s="243">
        <f t="shared" si="25"/>
        <v>33</v>
      </c>
      <c r="Q124" s="184"/>
      <c r="S124" s="543"/>
      <c r="T124" s="543"/>
    </row>
    <row r="125">
      <c r="B125" s="67" t="s">
        <v>1732</v>
      </c>
      <c r="C125" s="67">
        <v>3.0</v>
      </c>
      <c r="D125" s="189">
        <v>0.2</v>
      </c>
      <c r="E125" s="67">
        <v>0.5</v>
      </c>
      <c r="F125" s="67">
        <v>1.5</v>
      </c>
      <c r="G125" s="243"/>
      <c r="H125" s="182"/>
      <c r="I125" s="182"/>
      <c r="J125" s="182"/>
      <c r="K125" s="243">
        <f t="shared" si="25"/>
        <v>6.3</v>
      </c>
      <c r="Q125" s="184"/>
      <c r="S125" s="543"/>
      <c r="T125" s="543"/>
    </row>
    <row r="126">
      <c r="B126" s="67" t="s">
        <v>1733</v>
      </c>
      <c r="C126" s="67">
        <v>2.0</v>
      </c>
      <c r="D126" s="189">
        <v>0.35</v>
      </c>
      <c r="E126" s="67">
        <v>0.35</v>
      </c>
      <c r="F126" s="67">
        <v>1.5</v>
      </c>
      <c r="G126" s="243"/>
      <c r="H126" s="182"/>
      <c r="I126" s="182"/>
      <c r="J126" s="182"/>
      <c r="K126" s="243">
        <f t="shared" si="25"/>
        <v>4.2</v>
      </c>
      <c r="Q126" s="184"/>
      <c r="S126" s="543"/>
      <c r="T126" s="543"/>
    </row>
    <row r="127">
      <c r="B127" s="67" t="s">
        <v>1734</v>
      </c>
      <c r="C127" s="67">
        <v>2.0</v>
      </c>
      <c r="D127" s="189">
        <v>0.2</v>
      </c>
      <c r="E127" s="67">
        <v>0.25</v>
      </c>
      <c r="F127" s="67">
        <v>1.5</v>
      </c>
      <c r="G127" s="243"/>
      <c r="H127" s="182"/>
      <c r="I127" s="182"/>
      <c r="J127" s="182"/>
      <c r="K127" s="243">
        <f t="shared" si="25"/>
        <v>2.7</v>
      </c>
      <c r="Q127" s="184"/>
      <c r="S127" s="543"/>
      <c r="T127" s="543"/>
    </row>
    <row r="128">
      <c r="B128" s="67"/>
      <c r="C128" s="243"/>
      <c r="D128" s="182"/>
      <c r="E128" s="243"/>
      <c r="F128" s="67"/>
      <c r="G128" s="243"/>
      <c r="H128" s="182"/>
      <c r="I128" s="182"/>
      <c r="J128" s="182"/>
      <c r="K128" s="243"/>
      <c r="Q128" s="184"/>
      <c r="S128" s="543"/>
      <c r="T128" s="543"/>
    </row>
    <row r="129">
      <c r="B129" s="67" t="s">
        <v>1275</v>
      </c>
      <c r="C129" s="243"/>
      <c r="D129" s="182"/>
      <c r="E129" s="243"/>
      <c r="F129" s="243"/>
      <c r="G129" s="243"/>
      <c r="H129" s="182"/>
      <c r="I129" s="182"/>
      <c r="J129" s="182">
        <f>SUM(K117:K127)</f>
        <v>360.09</v>
      </c>
      <c r="K129" s="243"/>
      <c r="Q129" s="184"/>
      <c r="S129" s="543"/>
      <c r="T129" s="543"/>
    </row>
    <row r="130">
      <c r="B130" s="67" t="s">
        <v>1018</v>
      </c>
      <c r="C130" s="243"/>
      <c r="D130" s="182"/>
      <c r="E130" s="243"/>
      <c r="F130" s="243"/>
      <c r="G130" s="243"/>
      <c r="H130" s="182"/>
      <c r="I130" s="182"/>
      <c r="J130" s="182">
        <f>SUM(K39:K114)</f>
        <v>1107.909</v>
      </c>
      <c r="K130" s="243"/>
      <c r="Q130" s="184"/>
      <c r="S130" s="543"/>
      <c r="T130" s="543"/>
    </row>
    <row r="131">
      <c r="B131" s="194" t="s">
        <v>1698</v>
      </c>
      <c r="C131" s="243"/>
      <c r="D131" s="182"/>
      <c r="E131" s="243"/>
      <c r="F131" s="243"/>
      <c r="G131" s="67"/>
      <c r="H131" s="189"/>
      <c r="I131" s="189"/>
      <c r="J131" s="189">
        <f>SUM(I39:I114)</f>
        <v>136.059</v>
      </c>
      <c r="K131" s="243"/>
      <c r="Q131" s="184"/>
      <c r="S131" s="543"/>
      <c r="T131" s="543"/>
    </row>
    <row r="132">
      <c r="B132" s="194" t="s">
        <v>674</v>
      </c>
      <c r="C132" s="243"/>
      <c r="D132" s="182"/>
      <c r="E132" s="243"/>
      <c r="F132" s="243"/>
      <c r="G132" s="67"/>
      <c r="H132" s="189"/>
      <c r="I132" s="189"/>
      <c r="J132" s="189">
        <f>SUM(H39:H114)</f>
        <v>288.63945</v>
      </c>
      <c r="K132" s="243"/>
      <c r="Q132" s="184"/>
      <c r="S132" s="543"/>
      <c r="T132" s="543"/>
    </row>
    <row r="133">
      <c r="B133" s="194" t="s">
        <v>385</v>
      </c>
      <c r="C133" s="243"/>
      <c r="D133" s="182"/>
      <c r="E133" s="243"/>
      <c r="F133" s="243"/>
      <c r="G133" s="243"/>
      <c r="H133" s="182">
        <f>J131</f>
        <v>136.059</v>
      </c>
      <c r="I133" s="189">
        <v>0.05</v>
      </c>
      <c r="J133" s="182">
        <f>H133*I133</f>
        <v>6.80295</v>
      </c>
      <c r="K133" s="243"/>
      <c r="Q133" s="184"/>
      <c r="S133" s="543"/>
      <c r="T133" s="543"/>
    </row>
    <row r="134">
      <c r="B134" s="67" t="s">
        <v>747</v>
      </c>
      <c r="C134" s="243"/>
      <c r="D134" s="182"/>
      <c r="E134" s="243"/>
      <c r="F134" s="243"/>
      <c r="G134" s="243"/>
      <c r="H134" s="182"/>
      <c r="I134" s="182"/>
      <c r="J134" s="182">
        <f>277.2+263.96+295.34+242.4</f>
        <v>1078.9</v>
      </c>
      <c r="K134" s="243"/>
      <c r="Q134" s="184"/>
      <c r="S134" s="543"/>
      <c r="T134" s="543"/>
    </row>
    <row r="135">
      <c r="B135" s="67" t="s">
        <v>748</v>
      </c>
      <c r="C135" s="243"/>
      <c r="D135" s="182"/>
      <c r="E135" s="243"/>
      <c r="F135" s="243"/>
      <c r="G135" s="67"/>
      <c r="H135" s="189"/>
      <c r="I135" s="189"/>
      <c r="J135" s="189">
        <f>16.92+16.2+18.1+14.88</f>
        <v>66.1</v>
      </c>
      <c r="K135" s="243"/>
      <c r="Q135" s="184"/>
      <c r="S135" s="543"/>
      <c r="T135" s="543"/>
    </row>
    <row r="136">
      <c r="B136" s="194"/>
      <c r="C136" s="67" t="s">
        <v>683</v>
      </c>
      <c r="D136" s="189" t="s">
        <v>108</v>
      </c>
      <c r="E136" s="67" t="s">
        <v>684</v>
      </c>
      <c r="F136" s="243"/>
      <c r="G136" s="243"/>
      <c r="H136" s="182"/>
      <c r="I136" s="182"/>
      <c r="J136" s="182"/>
      <c r="K136" s="243"/>
      <c r="Q136" s="184"/>
      <c r="S136" s="543"/>
      <c r="T136" s="543"/>
    </row>
    <row r="137">
      <c r="B137" s="194" t="s">
        <v>685</v>
      </c>
      <c r="C137" s="67" t="s">
        <v>686</v>
      </c>
      <c r="D137" s="189">
        <f>1174.8+1045.7+1166.5+978.1</f>
        <v>4365.1</v>
      </c>
      <c r="E137" s="67">
        <v>0.154</v>
      </c>
      <c r="F137" s="243"/>
      <c r="G137" s="243"/>
      <c r="H137" s="182"/>
      <c r="I137" s="182"/>
      <c r="J137" s="182">
        <f t="shared" ref="J137:J141" si="26">D137*E137</f>
        <v>672.2254</v>
      </c>
      <c r="K137" s="243"/>
      <c r="Q137" s="184"/>
      <c r="S137" s="543"/>
      <c r="T137" s="543"/>
    </row>
    <row r="138">
      <c r="B138" s="194"/>
      <c r="C138" s="208">
        <v>45357.0</v>
      </c>
      <c r="D138" s="189">
        <f>0.8+0.8</f>
        <v>1.6</v>
      </c>
      <c r="E138" s="67">
        <v>0.245</v>
      </c>
      <c r="F138" s="243"/>
      <c r="G138" s="243"/>
      <c r="H138" s="182"/>
      <c r="I138" s="182"/>
      <c r="J138" s="182">
        <f t="shared" si="26"/>
        <v>0.392</v>
      </c>
      <c r="K138" s="243"/>
      <c r="Q138" s="184"/>
      <c r="S138" s="543"/>
      <c r="T138" s="543"/>
    </row>
    <row r="139">
      <c r="B139" s="194"/>
      <c r="C139" s="209">
        <v>8.0</v>
      </c>
      <c r="D139" s="189">
        <f>1142.5+1012.2+1207.3+916.1</f>
        <v>4278.1</v>
      </c>
      <c r="E139" s="67">
        <v>0.395</v>
      </c>
      <c r="F139" s="243"/>
      <c r="G139" s="243"/>
      <c r="H139" s="182"/>
      <c r="I139" s="182"/>
      <c r="J139" s="182">
        <f t="shared" si="26"/>
        <v>1689.8495</v>
      </c>
      <c r="K139" s="243"/>
      <c r="Q139" s="184"/>
      <c r="S139" s="543"/>
      <c r="T139" s="543"/>
    </row>
    <row r="140">
      <c r="B140" s="194"/>
      <c r="C140" s="209">
        <v>10.0</v>
      </c>
      <c r="D140" s="189">
        <f>4.4+8.5</f>
        <v>12.9</v>
      </c>
      <c r="E140" s="67">
        <v>0.617</v>
      </c>
      <c r="F140" s="243"/>
      <c r="G140" s="243"/>
      <c r="H140" s="182"/>
      <c r="I140" s="182"/>
      <c r="J140" s="182">
        <f t="shared" si="26"/>
        <v>7.9593</v>
      </c>
      <c r="K140" s="243"/>
      <c r="Q140" s="184"/>
      <c r="S140" s="543"/>
      <c r="T140" s="543"/>
    </row>
    <row r="141">
      <c r="B141" s="194"/>
      <c r="C141" s="208">
        <v>45424.0</v>
      </c>
      <c r="D141" s="189">
        <v>0.0</v>
      </c>
      <c r="E141" s="67">
        <v>0.963</v>
      </c>
      <c r="F141" s="243"/>
      <c r="G141" s="243"/>
      <c r="H141" s="182"/>
      <c r="I141" s="182"/>
      <c r="J141" s="182">
        <f t="shared" si="26"/>
        <v>0</v>
      </c>
      <c r="K141" s="243"/>
      <c r="Q141" s="184"/>
      <c r="S141" s="543"/>
      <c r="T141" s="543"/>
    </row>
    <row r="142">
      <c r="B142" s="67"/>
      <c r="C142" s="67" t="s">
        <v>751</v>
      </c>
      <c r="D142" s="189" t="s">
        <v>752</v>
      </c>
      <c r="E142" s="67" t="s">
        <v>212</v>
      </c>
      <c r="F142" s="243"/>
      <c r="G142" s="243"/>
      <c r="H142" s="182"/>
      <c r="I142" s="182"/>
      <c r="J142" s="182"/>
      <c r="K142" s="243"/>
      <c r="Q142" s="184"/>
      <c r="S142" s="543"/>
      <c r="T142" s="543"/>
    </row>
    <row r="143">
      <c r="B143" s="67" t="s">
        <v>339</v>
      </c>
      <c r="C143" s="182">
        <f>J132+D11</f>
        <v>547.41945</v>
      </c>
      <c r="D143" s="182">
        <f>C147+C149</f>
        <v>195.48295</v>
      </c>
      <c r="E143" s="182">
        <f>C143-D143</f>
        <v>351.9365</v>
      </c>
      <c r="F143" s="243"/>
      <c r="G143" s="243"/>
      <c r="H143" s="182"/>
      <c r="I143" s="182"/>
      <c r="J143" s="182"/>
      <c r="K143" s="243"/>
      <c r="Q143" s="184"/>
      <c r="S143" s="543"/>
      <c r="T143" s="543"/>
    </row>
    <row r="144">
      <c r="D144" s="184"/>
      <c r="H144" s="184"/>
      <c r="I144" s="184"/>
      <c r="J144" s="184"/>
      <c r="Q144" s="184"/>
      <c r="S144" s="543"/>
      <c r="T144" s="543"/>
    </row>
    <row r="145">
      <c r="D145" s="184"/>
      <c r="H145" s="184"/>
      <c r="I145" s="184"/>
      <c r="J145" s="184"/>
      <c r="Q145" s="184"/>
      <c r="S145" s="543"/>
      <c r="T145" s="543"/>
    </row>
    <row r="146">
      <c r="B146" s="544" t="s">
        <v>1735</v>
      </c>
      <c r="C146" s="29"/>
      <c r="D146" s="184"/>
      <c r="H146" s="184"/>
      <c r="I146" s="184"/>
      <c r="J146" s="184"/>
      <c r="Q146" s="184"/>
      <c r="S146" s="543"/>
      <c r="T146" s="543"/>
    </row>
    <row r="147">
      <c r="B147" s="67" t="s">
        <v>763</v>
      </c>
      <c r="C147" s="182">
        <f>D14+J135</f>
        <v>178.465</v>
      </c>
      <c r="D147" s="184"/>
      <c r="H147" s="184"/>
      <c r="I147" s="184"/>
      <c r="J147" s="184"/>
      <c r="Q147" s="184"/>
      <c r="S147" s="543"/>
      <c r="T147" s="543"/>
    </row>
    <row r="148">
      <c r="B148" s="67" t="s">
        <v>1736</v>
      </c>
      <c r="C148" s="182">
        <f>J129+J130</f>
        <v>1467.999</v>
      </c>
      <c r="D148" s="184"/>
      <c r="H148" s="184"/>
      <c r="I148" s="184"/>
      <c r="J148" s="184"/>
      <c r="Q148" s="184"/>
      <c r="S148" s="543"/>
      <c r="T148" s="543"/>
    </row>
    <row r="149">
      <c r="B149" s="67" t="s">
        <v>385</v>
      </c>
      <c r="C149" s="182">
        <f>D12+J133</f>
        <v>17.01795</v>
      </c>
      <c r="D149" s="184"/>
      <c r="H149" s="184"/>
      <c r="I149" s="184"/>
      <c r="J149" s="184"/>
      <c r="Q149" s="184"/>
      <c r="S149" s="543"/>
      <c r="T149" s="543"/>
    </row>
    <row r="150">
      <c r="B150" s="194" t="s">
        <v>1698</v>
      </c>
      <c r="C150" s="182">
        <f>D10+J131</f>
        <v>340.359</v>
      </c>
      <c r="D150" s="184"/>
      <c r="H150" s="184"/>
      <c r="I150" s="184"/>
      <c r="J150" s="184"/>
      <c r="Q150" s="184"/>
      <c r="S150" s="543"/>
      <c r="T150" s="543"/>
    </row>
    <row r="151">
      <c r="D151" s="184"/>
      <c r="H151" s="184"/>
      <c r="I151" s="184"/>
      <c r="J151" s="184"/>
      <c r="Q151" s="184"/>
      <c r="S151" s="543"/>
      <c r="T151" s="543"/>
    </row>
    <row r="152">
      <c r="B152" s="544" t="s">
        <v>1737</v>
      </c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9"/>
      <c r="S152" s="543"/>
      <c r="T152" s="543"/>
    </row>
    <row r="153">
      <c r="D153" s="184"/>
      <c r="H153" s="184"/>
      <c r="I153" s="184"/>
      <c r="J153" s="184"/>
      <c r="Q153" s="184"/>
      <c r="S153" s="543"/>
      <c r="T153" s="543"/>
    </row>
    <row r="154">
      <c r="B154" s="544" t="s">
        <v>1619</v>
      </c>
      <c r="C154" s="28"/>
      <c r="D154" s="28"/>
      <c r="E154" s="28"/>
      <c r="F154" s="28"/>
      <c r="G154" s="28"/>
      <c r="H154" s="28"/>
      <c r="I154" s="28"/>
      <c r="J154" s="28"/>
      <c r="K154" s="29"/>
      <c r="M154" s="544" t="s">
        <v>1620</v>
      </c>
      <c r="N154" s="28"/>
      <c r="O154" s="28"/>
      <c r="P154" s="28"/>
      <c r="Q154" s="28"/>
      <c r="R154" s="29"/>
      <c r="S154" s="543"/>
      <c r="T154" s="543"/>
    </row>
    <row r="155">
      <c r="B155" s="546" t="s">
        <v>1623</v>
      </c>
      <c r="C155" s="28"/>
      <c r="D155" s="28"/>
      <c r="E155" s="28"/>
      <c r="F155" s="28"/>
      <c r="G155" s="28"/>
      <c r="H155" s="28"/>
      <c r="I155" s="28"/>
      <c r="J155" s="28"/>
      <c r="K155" s="29"/>
      <c r="M155" s="546" t="s">
        <v>1624</v>
      </c>
      <c r="N155" s="28"/>
      <c r="O155" s="28"/>
      <c r="P155" s="28"/>
      <c r="Q155" s="28"/>
      <c r="R155" s="29"/>
      <c r="S155" s="543"/>
      <c r="T155" s="543"/>
    </row>
    <row r="156">
      <c r="B156" s="194" t="s">
        <v>1631</v>
      </c>
      <c r="C156" s="67" t="s">
        <v>695</v>
      </c>
      <c r="D156" s="189" t="s">
        <v>696</v>
      </c>
      <c r="E156" s="67" t="s">
        <v>1632</v>
      </c>
      <c r="F156" s="67" t="s">
        <v>1633</v>
      </c>
      <c r="G156" s="67" t="s">
        <v>1634</v>
      </c>
      <c r="H156" s="189" t="s">
        <v>1635</v>
      </c>
      <c r="I156" s="189" t="s">
        <v>1636</v>
      </c>
      <c r="J156" s="189" t="s">
        <v>1637</v>
      </c>
      <c r="K156" s="67" t="s">
        <v>1638</v>
      </c>
      <c r="M156" s="67" t="s">
        <v>758</v>
      </c>
      <c r="N156" s="243"/>
      <c r="O156" s="243"/>
      <c r="P156" s="243"/>
      <c r="Q156" s="189">
        <v>158.72</v>
      </c>
      <c r="R156" s="243"/>
      <c r="S156" s="543"/>
      <c r="T156" s="543"/>
    </row>
    <row r="157">
      <c r="B157" s="194" t="s">
        <v>1738</v>
      </c>
      <c r="C157" s="67">
        <v>2.0</v>
      </c>
      <c r="D157" s="189">
        <v>1.0</v>
      </c>
      <c r="E157" s="67">
        <v>1.0</v>
      </c>
      <c r="F157" s="67">
        <v>0.5</v>
      </c>
      <c r="G157" s="67">
        <v>1.5</v>
      </c>
      <c r="H157" s="182">
        <f t="shared" ref="H157:H162" si="27">C157*(D157+0.4)*(E157+0.4)*G157</f>
        <v>5.88</v>
      </c>
      <c r="I157" s="182">
        <f t="shared" ref="I157:I162" si="28">C157*D157*E157</f>
        <v>2</v>
      </c>
      <c r="J157" s="182">
        <f t="shared" ref="J157:J162" si="29">C157*((D157+E157)*2)*F157</f>
        <v>4</v>
      </c>
      <c r="K157" s="243"/>
      <c r="M157" s="67" t="s">
        <v>759</v>
      </c>
      <c r="N157" s="243"/>
      <c r="O157" s="243"/>
      <c r="P157" s="67"/>
      <c r="Q157" s="189">
        <v>11.39</v>
      </c>
      <c r="R157" s="243"/>
      <c r="S157" s="543"/>
      <c r="T157" s="543"/>
    </row>
    <row r="158">
      <c r="B158" s="194" t="s">
        <v>1739</v>
      </c>
      <c r="C158" s="67">
        <v>30.0</v>
      </c>
      <c r="D158" s="189">
        <v>1.0</v>
      </c>
      <c r="E158" s="67">
        <v>1.0</v>
      </c>
      <c r="F158" s="67">
        <v>0.25</v>
      </c>
      <c r="G158" s="67">
        <v>1.5</v>
      </c>
      <c r="H158" s="182">
        <f t="shared" si="27"/>
        <v>88.2</v>
      </c>
      <c r="I158" s="182">
        <f t="shared" si="28"/>
        <v>30</v>
      </c>
      <c r="J158" s="182">
        <f t="shared" si="29"/>
        <v>30</v>
      </c>
      <c r="K158" s="243"/>
      <c r="M158" s="67" t="s">
        <v>761</v>
      </c>
      <c r="N158" s="67" t="s">
        <v>686</v>
      </c>
      <c r="O158" s="67">
        <v>992.2</v>
      </c>
      <c r="P158" s="67">
        <v>0.154</v>
      </c>
      <c r="Q158" s="182">
        <f t="shared" ref="Q158:Q162" si="30">O158*P158</f>
        <v>152.7988</v>
      </c>
      <c r="R158" s="243"/>
      <c r="S158" s="543"/>
      <c r="T158" s="543"/>
    </row>
    <row r="159">
      <c r="B159" s="194" t="s">
        <v>1740</v>
      </c>
      <c r="C159" s="67">
        <v>2.0</v>
      </c>
      <c r="D159" s="189">
        <v>1.05</v>
      </c>
      <c r="E159" s="67">
        <v>1.05</v>
      </c>
      <c r="F159" s="67">
        <v>0.25</v>
      </c>
      <c r="G159" s="67">
        <v>1.5</v>
      </c>
      <c r="H159" s="182">
        <f t="shared" si="27"/>
        <v>6.3075</v>
      </c>
      <c r="I159" s="182">
        <f t="shared" si="28"/>
        <v>2.205</v>
      </c>
      <c r="J159" s="182">
        <f t="shared" si="29"/>
        <v>2.1</v>
      </c>
      <c r="K159" s="243"/>
      <c r="M159" s="243"/>
      <c r="N159" s="208">
        <v>45357.0</v>
      </c>
      <c r="O159" s="67">
        <v>0.0</v>
      </c>
      <c r="P159" s="67">
        <v>0.245</v>
      </c>
      <c r="Q159" s="182">
        <f t="shared" si="30"/>
        <v>0</v>
      </c>
      <c r="R159" s="243"/>
      <c r="S159" s="543"/>
      <c r="T159" s="543"/>
    </row>
    <row r="160">
      <c r="B160" s="194" t="s">
        <v>1741</v>
      </c>
      <c r="C160" s="67">
        <v>8.0</v>
      </c>
      <c r="D160" s="189">
        <v>0.9</v>
      </c>
      <c r="E160" s="67">
        <v>0.9</v>
      </c>
      <c r="F160" s="67">
        <v>0.25</v>
      </c>
      <c r="G160" s="67">
        <v>1.5</v>
      </c>
      <c r="H160" s="182">
        <f t="shared" si="27"/>
        <v>20.28</v>
      </c>
      <c r="I160" s="182">
        <f t="shared" si="28"/>
        <v>6.48</v>
      </c>
      <c r="J160" s="182">
        <f t="shared" si="29"/>
        <v>7.2</v>
      </c>
      <c r="K160" s="243"/>
      <c r="M160" s="243"/>
      <c r="N160" s="209" t="s">
        <v>720</v>
      </c>
      <c r="O160" s="67">
        <v>0.0</v>
      </c>
      <c r="P160" s="67">
        <v>0.395</v>
      </c>
      <c r="Q160" s="182">
        <f t="shared" si="30"/>
        <v>0</v>
      </c>
      <c r="R160" s="243"/>
      <c r="S160" s="543"/>
      <c r="T160" s="543"/>
    </row>
    <row r="161">
      <c r="B161" s="194" t="s">
        <v>1742</v>
      </c>
      <c r="C161" s="67">
        <v>2.0</v>
      </c>
      <c r="D161" s="189">
        <v>1.0</v>
      </c>
      <c r="E161" s="67">
        <v>1.0</v>
      </c>
      <c r="F161" s="67">
        <v>0.5</v>
      </c>
      <c r="G161" s="67">
        <v>1.5</v>
      </c>
      <c r="H161" s="182">
        <f t="shared" si="27"/>
        <v>5.88</v>
      </c>
      <c r="I161" s="182">
        <f t="shared" si="28"/>
        <v>2</v>
      </c>
      <c r="J161" s="182">
        <f t="shared" si="29"/>
        <v>4</v>
      </c>
      <c r="K161" s="243"/>
      <c r="M161" s="243"/>
      <c r="N161" s="209">
        <v>10.0</v>
      </c>
      <c r="O161" s="67">
        <v>101.4</v>
      </c>
      <c r="P161" s="67">
        <v>0.617</v>
      </c>
      <c r="Q161" s="182">
        <f t="shared" si="30"/>
        <v>62.5638</v>
      </c>
      <c r="R161" s="243"/>
      <c r="S161" s="543"/>
      <c r="T161" s="543"/>
    </row>
    <row r="162">
      <c r="B162" s="194"/>
      <c r="C162" s="67"/>
      <c r="D162" s="189"/>
      <c r="E162" s="67"/>
      <c r="F162" s="67"/>
      <c r="G162" s="67"/>
      <c r="H162" s="182">
        <f t="shared" si="27"/>
        <v>0</v>
      </c>
      <c r="I162" s="182">
        <f t="shared" si="28"/>
        <v>0</v>
      </c>
      <c r="J162" s="182">
        <f t="shared" si="29"/>
        <v>0</v>
      </c>
      <c r="K162" s="243"/>
      <c r="M162" s="243"/>
      <c r="N162" s="208">
        <v>45424.0</v>
      </c>
      <c r="O162" s="67">
        <v>456.5</v>
      </c>
      <c r="P162" s="67">
        <v>0.963</v>
      </c>
      <c r="Q162" s="182">
        <f t="shared" si="30"/>
        <v>439.6095</v>
      </c>
      <c r="R162" s="243"/>
      <c r="S162" s="543"/>
      <c r="T162" s="543"/>
    </row>
    <row r="163">
      <c r="B163" s="194"/>
      <c r="C163" s="243"/>
      <c r="D163" s="182"/>
      <c r="E163" s="243"/>
      <c r="F163" s="243"/>
      <c r="G163" s="67"/>
      <c r="H163" s="189"/>
      <c r="I163" s="189"/>
      <c r="J163" s="189"/>
      <c r="K163" s="243"/>
      <c r="Q163" s="184"/>
      <c r="S163" s="543"/>
      <c r="T163" s="543"/>
    </row>
    <row r="164">
      <c r="B164" s="194" t="s">
        <v>1698</v>
      </c>
      <c r="C164" s="243"/>
      <c r="D164" s="182"/>
      <c r="E164" s="243"/>
      <c r="F164" s="243"/>
      <c r="G164" s="67"/>
      <c r="H164" s="189"/>
      <c r="I164" s="189"/>
      <c r="J164" s="189">
        <f>SUM(I157:I162)</f>
        <v>42.685</v>
      </c>
      <c r="K164" s="243"/>
      <c r="M164" s="2"/>
      <c r="Q164" s="184"/>
      <c r="S164" s="543"/>
      <c r="T164" s="543"/>
    </row>
    <row r="165">
      <c r="B165" s="194" t="s">
        <v>713</v>
      </c>
      <c r="C165" s="243"/>
      <c r="D165" s="182"/>
      <c r="E165" s="243"/>
      <c r="F165" s="243"/>
      <c r="G165" s="67"/>
      <c r="H165" s="189"/>
      <c r="I165" s="189"/>
      <c r="J165" s="189">
        <f>SUM(H157:H162)</f>
        <v>126.5475</v>
      </c>
      <c r="K165" s="243"/>
      <c r="M165" s="2"/>
      <c r="Q165" s="184"/>
      <c r="S165" s="543"/>
      <c r="T165" s="543"/>
    </row>
    <row r="166">
      <c r="B166" s="194" t="s">
        <v>385</v>
      </c>
      <c r="C166" s="243"/>
      <c r="D166" s="182"/>
      <c r="E166" s="243"/>
      <c r="F166" s="243"/>
      <c r="G166" s="243"/>
      <c r="H166" s="182">
        <f>J164</f>
        <v>42.685</v>
      </c>
      <c r="I166" s="189">
        <v>0.05</v>
      </c>
      <c r="J166" s="182">
        <f>H166*I166</f>
        <v>2.13425</v>
      </c>
      <c r="K166" s="243"/>
      <c r="M166" s="2"/>
      <c r="Q166" s="184"/>
      <c r="S166" s="543"/>
      <c r="T166" s="543"/>
    </row>
    <row r="167">
      <c r="B167" s="194" t="s">
        <v>716</v>
      </c>
      <c r="C167" s="243"/>
      <c r="D167" s="182"/>
      <c r="E167" s="243"/>
      <c r="F167" s="243"/>
      <c r="G167" s="243"/>
      <c r="H167" s="182"/>
      <c r="I167" s="182"/>
      <c r="J167" s="182">
        <f>SUM(J157:J162)</f>
        <v>47.3</v>
      </c>
      <c r="K167" s="243"/>
      <c r="M167" s="2"/>
      <c r="Q167" s="184"/>
      <c r="S167" s="543"/>
      <c r="T167" s="543"/>
    </row>
    <row r="168">
      <c r="B168" s="194" t="s">
        <v>679</v>
      </c>
      <c r="C168" s="67"/>
      <c r="D168" s="189"/>
      <c r="E168" s="243"/>
      <c r="F168" s="243"/>
      <c r="G168" s="243"/>
      <c r="H168" s="182">
        <f>137.7+8.8</f>
        <v>146.5</v>
      </c>
      <c r="I168" s="182">
        <f>-J167</f>
        <v>-47.3</v>
      </c>
      <c r="J168" s="182">
        <f>H168+I168</f>
        <v>99.2</v>
      </c>
      <c r="K168" s="243"/>
      <c r="M168" s="2"/>
      <c r="Q168" s="184"/>
      <c r="S168" s="543"/>
      <c r="T168" s="543"/>
    </row>
    <row r="169">
      <c r="B169" s="194"/>
      <c r="C169" s="67" t="s">
        <v>683</v>
      </c>
      <c r="D169" s="189" t="s">
        <v>108</v>
      </c>
      <c r="E169" s="67" t="s">
        <v>684</v>
      </c>
      <c r="F169" s="243"/>
      <c r="G169" s="67"/>
      <c r="H169" s="189"/>
      <c r="I169" s="189"/>
      <c r="J169" s="189" t="s">
        <v>718</v>
      </c>
      <c r="K169" s="243"/>
      <c r="Q169" s="184"/>
      <c r="S169" s="543"/>
      <c r="T169" s="543"/>
    </row>
    <row r="170">
      <c r="B170" s="194" t="s">
        <v>719</v>
      </c>
      <c r="C170" s="67" t="s">
        <v>686</v>
      </c>
      <c r="D170" s="189">
        <v>45.0</v>
      </c>
      <c r="E170" s="67">
        <v>0.154</v>
      </c>
      <c r="F170" s="243"/>
      <c r="G170" s="243"/>
      <c r="H170" s="182"/>
      <c r="I170" s="182"/>
      <c r="J170" s="182">
        <f t="shared" ref="J170:J173" si="31">D170*E170</f>
        <v>6.93</v>
      </c>
      <c r="K170" s="243"/>
      <c r="M170" s="2"/>
      <c r="Q170" s="184"/>
      <c r="S170" s="543"/>
      <c r="T170" s="543"/>
    </row>
    <row r="171">
      <c r="B171" s="194"/>
      <c r="C171" s="67" t="s">
        <v>720</v>
      </c>
      <c r="D171" s="189">
        <v>661.56</v>
      </c>
      <c r="E171" s="243">
        <f>0.395</f>
        <v>0.395</v>
      </c>
      <c r="F171" s="243"/>
      <c r="G171" s="243"/>
      <c r="H171" s="182"/>
      <c r="I171" s="182"/>
      <c r="J171" s="182">
        <f t="shared" si="31"/>
        <v>261.3162</v>
      </c>
      <c r="K171" s="243"/>
      <c r="M171" s="2"/>
      <c r="Q171" s="184"/>
      <c r="S171" s="543"/>
      <c r="T171" s="543"/>
    </row>
    <row r="172">
      <c r="B172" s="194"/>
      <c r="C172" s="209">
        <v>10.0</v>
      </c>
      <c r="D172" s="189">
        <v>198.72</v>
      </c>
      <c r="E172" s="67">
        <v>0.617</v>
      </c>
      <c r="F172" s="243"/>
      <c r="G172" s="243"/>
      <c r="H172" s="182"/>
      <c r="I172" s="182"/>
      <c r="J172" s="182">
        <f t="shared" si="31"/>
        <v>122.61024</v>
      </c>
      <c r="K172" s="243"/>
      <c r="M172" s="2"/>
      <c r="Q172" s="184"/>
      <c r="S172" s="543"/>
      <c r="T172" s="543"/>
    </row>
    <row r="173">
      <c r="B173" s="194"/>
      <c r="C173" s="208">
        <v>45424.0</v>
      </c>
      <c r="D173" s="189">
        <v>0.0</v>
      </c>
      <c r="E173" s="67">
        <v>0.963</v>
      </c>
      <c r="F173" s="243"/>
      <c r="G173" s="243"/>
      <c r="H173" s="182"/>
      <c r="I173" s="182"/>
      <c r="J173" s="182">
        <f t="shared" si="31"/>
        <v>0</v>
      </c>
      <c r="K173" s="243"/>
      <c r="Q173" s="184"/>
      <c r="S173" s="543"/>
      <c r="T173" s="543"/>
    </row>
    <row r="174">
      <c r="B174" s="194"/>
      <c r="C174" s="67"/>
      <c r="D174" s="182"/>
      <c r="E174" s="67"/>
      <c r="F174" s="243"/>
      <c r="G174" s="243"/>
      <c r="H174" s="182"/>
      <c r="I174" s="182"/>
      <c r="J174" s="182"/>
      <c r="K174" s="243"/>
      <c r="Q174" s="184"/>
      <c r="S174" s="543"/>
      <c r="T174" s="543"/>
    </row>
    <row r="175">
      <c r="B175" s="194" t="s">
        <v>722</v>
      </c>
      <c r="C175" s="67" t="s">
        <v>686</v>
      </c>
      <c r="D175" s="189">
        <v>759.56</v>
      </c>
      <c r="E175" s="67">
        <v>0.154</v>
      </c>
      <c r="F175" s="243"/>
      <c r="G175" s="243"/>
      <c r="H175" s="182"/>
      <c r="I175" s="182"/>
      <c r="J175" s="182">
        <f t="shared" ref="J175:J178" si="32">D175*E175</f>
        <v>116.97224</v>
      </c>
      <c r="K175" s="243"/>
      <c r="M175" s="2"/>
      <c r="Q175" s="184"/>
      <c r="S175" s="543"/>
      <c r="T175" s="543"/>
    </row>
    <row r="176">
      <c r="B176" s="194"/>
      <c r="C176" s="208">
        <v>45357.0</v>
      </c>
      <c r="D176" s="189">
        <v>0.0</v>
      </c>
      <c r="E176" s="67">
        <v>0.245</v>
      </c>
      <c r="F176" s="243"/>
      <c r="G176" s="243"/>
      <c r="H176" s="182"/>
      <c r="I176" s="182"/>
      <c r="J176" s="182">
        <f t="shared" si="32"/>
        <v>0</v>
      </c>
      <c r="K176" s="243"/>
      <c r="M176" s="2"/>
      <c r="Q176" s="184"/>
      <c r="S176" s="543"/>
      <c r="T176" s="543"/>
    </row>
    <row r="177">
      <c r="B177" s="194"/>
      <c r="C177" s="209">
        <v>10.0</v>
      </c>
      <c r="D177" s="189">
        <v>80.64</v>
      </c>
      <c r="E177" s="67">
        <v>0.617</v>
      </c>
      <c r="F177" s="243"/>
      <c r="G177" s="243"/>
      <c r="H177" s="182"/>
      <c r="I177" s="182"/>
      <c r="J177" s="182">
        <f t="shared" si="32"/>
        <v>49.75488</v>
      </c>
      <c r="K177" s="243"/>
      <c r="M177" s="2"/>
      <c r="Q177" s="184"/>
      <c r="S177" s="543"/>
      <c r="T177" s="543"/>
    </row>
    <row r="178">
      <c r="B178" s="194"/>
      <c r="C178" s="208">
        <v>45424.0</v>
      </c>
      <c r="D178" s="189">
        <v>382.24</v>
      </c>
      <c r="E178" s="67">
        <v>0.963</v>
      </c>
      <c r="F178" s="243"/>
      <c r="G178" s="243"/>
      <c r="H178" s="182"/>
      <c r="I178" s="182"/>
      <c r="J178" s="182">
        <f t="shared" si="32"/>
        <v>368.09712</v>
      </c>
      <c r="K178" s="243"/>
      <c r="M178" s="2"/>
      <c r="Q178" s="184"/>
      <c r="S178" s="543"/>
      <c r="T178" s="543"/>
    </row>
    <row r="179">
      <c r="B179" s="194"/>
      <c r="C179" s="243"/>
      <c r="D179" s="182"/>
      <c r="E179" s="243"/>
      <c r="F179" s="243"/>
      <c r="G179" s="67"/>
      <c r="H179" s="189"/>
      <c r="I179" s="189"/>
      <c r="J179" s="189" t="s">
        <v>1676</v>
      </c>
      <c r="K179" s="243"/>
      <c r="Q179" s="184"/>
      <c r="S179" s="543"/>
      <c r="T179" s="543"/>
    </row>
    <row r="180">
      <c r="B180" s="194" t="s">
        <v>1699</v>
      </c>
      <c r="C180" s="243"/>
      <c r="D180" s="182"/>
      <c r="E180" s="243"/>
      <c r="F180" s="243"/>
      <c r="G180" s="243"/>
      <c r="H180" s="182"/>
      <c r="I180" s="182"/>
      <c r="J180" s="182">
        <f>16.54+1.27</f>
        <v>17.81</v>
      </c>
      <c r="K180" s="243"/>
      <c r="Q180" s="184"/>
      <c r="S180" s="543"/>
      <c r="T180" s="543"/>
    </row>
    <row r="181">
      <c r="B181" s="546" t="s">
        <v>1700</v>
      </c>
      <c r="C181" s="28"/>
      <c r="D181" s="28"/>
      <c r="E181" s="28"/>
      <c r="F181" s="28"/>
      <c r="G181" s="28"/>
      <c r="H181" s="28"/>
      <c r="I181" s="28"/>
      <c r="J181" s="28"/>
      <c r="K181" s="29"/>
      <c r="Q181" s="184"/>
      <c r="S181" s="543"/>
      <c r="T181" s="543"/>
    </row>
    <row r="182">
      <c r="B182" s="194" t="s">
        <v>1631</v>
      </c>
      <c r="C182" s="67" t="s">
        <v>695</v>
      </c>
      <c r="D182" s="189" t="s">
        <v>696</v>
      </c>
      <c r="E182" s="67" t="s">
        <v>1632</v>
      </c>
      <c r="F182" s="67" t="s">
        <v>1633</v>
      </c>
      <c r="G182" s="67" t="s">
        <v>1634</v>
      </c>
      <c r="H182" s="189" t="s">
        <v>1635</v>
      </c>
      <c r="I182" s="189" t="s">
        <v>1636</v>
      </c>
      <c r="J182" s="189" t="s">
        <v>1637</v>
      </c>
      <c r="K182" s="67" t="s">
        <v>1638</v>
      </c>
      <c r="Q182" s="184"/>
      <c r="S182" s="543"/>
      <c r="T182" s="543"/>
    </row>
    <row r="183">
      <c r="B183" s="67" t="s">
        <v>723</v>
      </c>
      <c r="C183" s="67">
        <v>1.0</v>
      </c>
      <c r="D183" s="67">
        <f t="shared" ref="D183:D184" si="33">28.67/2</f>
        <v>14.335</v>
      </c>
      <c r="E183" s="67">
        <v>0.2</v>
      </c>
      <c r="F183" s="67">
        <v>0.5</v>
      </c>
      <c r="G183" s="67">
        <v>0.55</v>
      </c>
      <c r="H183" s="182">
        <f t="shared" ref="H183:H191" si="34">D183*(E183+0.4)*G183</f>
        <v>4.73055</v>
      </c>
      <c r="I183" s="182">
        <f t="shared" ref="I183:I191" si="35">C183*D183*E183</f>
        <v>2.867</v>
      </c>
      <c r="J183" s="182">
        <f t="shared" ref="J183:J191" si="36">2*(C183*D183*F183)</f>
        <v>14.335</v>
      </c>
      <c r="K183" s="243">
        <f t="shared" ref="K183:K191" si="37">D183*(E183+F183*2)</f>
        <v>17.202</v>
      </c>
      <c r="Q183" s="184"/>
      <c r="S183" s="543"/>
      <c r="T183" s="543"/>
    </row>
    <row r="184">
      <c r="B184" s="67" t="s">
        <v>724</v>
      </c>
      <c r="C184" s="67">
        <v>1.0</v>
      </c>
      <c r="D184" s="67">
        <f t="shared" si="33"/>
        <v>14.335</v>
      </c>
      <c r="E184" s="67">
        <v>0.2</v>
      </c>
      <c r="F184" s="67">
        <v>0.5</v>
      </c>
      <c r="G184" s="67">
        <v>0.55</v>
      </c>
      <c r="H184" s="182">
        <f t="shared" si="34"/>
        <v>4.73055</v>
      </c>
      <c r="I184" s="182">
        <f t="shared" si="35"/>
        <v>2.867</v>
      </c>
      <c r="J184" s="182">
        <f t="shared" si="36"/>
        <v>14.335</v>
      </c>
      <c r="K184" s="243">
        <f t="shared" si="37"/>
        <v>17.202</v>
      </c>
      <c r="Q184" s="184"/>
      <c r="S184" s="543"/>
      <c r="T184" s="543"/>
    </row>
    <row r="185">
      <c r="B185" s="67" t="s">
        <v>725</v>
      </c>
      <c r="C185" s="67">
        <v>1.0</v>
      </c>
      <c r="D185" s="67">
        <f t="shared" ref="D185:D186" si="38">54/2</f>
        <v>27</v>
      </c>
      <c r="E185" s="67">
        <v>0.2</v>
      </c>
      <c r="F185" s="67">
        <v>0.5</v>
      </c>
      <c r="G185" s="67">
        <v>0.55</v>
      </c>
      <c r="H185" s="182">
        <f t="shared" si="34"/>
        <v>8.91</v>
      </c>
      <c r="I185" s="182">
        <f t="shared" si="35"/>
        <v>5.4</v>
      </c>
      <c r="J185" s="182">
        <f t="shared" si="36"/>
        <v>27</v>
      </c>
      <c r="K185" s="243">
        <f t="shared" si="37"/>
        <v>32.4</v>
      </c>
      <c r="Q185" s="184"/>
      <c r="S185" s="543"/>
      <c r="T185" s="543"/>
    </row>
    <row r="186">
      <c r="B186" s="67" t="s">
        <v>726</v>
      </c>
      <c r="C186" s="67">
        <v>1.0</v>
      </c>
      <c r="D186" s="67">
        <f t="shared" si="38"/>
        <v>27</v>
      </c>
      <c r="E186" s="67">
        <v>0.2</v>
      </c>
      <c r="F186" s="67">
        <v>0.5</v>
      </c>
      <c r="G186" s="67">
        <v>0.55</v>
      </c>
      <c r="H186" s="182">
        <f t="shared" si="34"/>
        <v>8.91</v>
      </c>
      <c r="I186" s="182">
        <f t="shared" si="35"/>
        <v>5.4</v>
      </c>
      <c r="J186" s="182">
        <f t="shared" si="36"/>
        <v>27</v>
      </c>
      <c r="K186" s="243">
        <f t="shared" si="37"/>
        <v>32.4</v>
      </c>
      <c r="Q186" s="184"/>
      <c r="S186" s="543"/>
      <c r="T186" s="543"/>
    </row>
    <row r="187">
      <c r="B187" s="67" t="s">
        <v>727</v>
      </c>
      <c r="C187" s="67">
        <v>1.0</v>
      </c>
      <c r="D187" s="189">
        <f>35/2</f>
        <v>17.5</v>
      </c>
      <c r="E187" s="67">
        <v>0.2</v>
      </c>
      <c r="F187" s="67">
        <v>0.5</v>
      </c>
      <c r="G187" s="67">
        <v>0.55</v>
      </c>
      <c r="H187" s="182">
        <f t="shared" si="34"/>
        <v>5.775</v>
      </c>
      <c r="I187" s="182">
        <f t="shared" si="35"/>
        <v>3.5</v>
      </c>
      <c r="J187" s="182">
        <f t="shared" si="36"/>
        <v>17.5</v>
      </c>
      <c r="K187" s="243">
        <f t="shared" si="37"/>
        <v>21</v>
      </c>
      <c r="Q187" s="184"/>
      <c r="S187" s="543"/>
      <c r="T187" s="543"/>
    </row>
    <row r="188">
      <c r="B188" s="67" t="s">
        <v>728</v>
      </c>
      <c r="C188" s="67">
        <v>1.0</v>
      </c>
      <c r="D188" s="182">
        <f t="shared" ref="D188:D189" si="39">25.4/2</f>
        <v>12.7</v>
      </c>
      <c r="E188" s="67">
        <v>0.2</v>
      </c>
      <c r="F188" s="67">
        <v>0.5</v>
      </c>
      <c r="G188" s="67">
        <v>0.55</v>
      </c>
      <c r="H188" s="182">
        <f t="shared" si="34"/>
        <v>4.191</v>
      </c>
      <c r="I188" s="182">
        <f t="shared" si="35"/>
        <v>2.54</v>
      </c>
      <c r="J188" s="182">
        <f t="shared" si="36"/>
        <v>12.7</v>
      </c>
      <c r="K188" s="243">
        <f t="shared" si="37"/>
        <v>15.24</v>
      </c>
      <c r="Q188" s="184"/>
      <c r="S188" s="543"/>
      <c r="T188" s="543"/>
    </row>
    <row r="189">
      <c r="B189" s="67" t="s">
        <v>729</v>
      </c>
      <c r="C189" s="67">
        <v>1.0</v>
      </c>
      <c r="D189" s="182">
        <f t="shared" si="39"/>
        <v>12.7</v>
      </c>
      <c r="E189" s="67">
        <v>0.2</v>
      </c>
      <c r="F189" s="67">
        <v>0.5</v>
      </c>
      <c r="G189" s="67">
        <v>0.55</v>
      </c>
      <c r="H189" s="182">
        <f t="shared" si="34"/>
        <v>4.191</v>
      </c>
      <c r="I189" s="182">
        <f t="shared" si="35"/>
        <v>2.54</v>
      </c>
      <c r="J189" s="182">
        <f t="shared" si="36"/>
        <v>12.7</v>
      </c>
      <c r="K189" s="243">
        <f t="shared" si="37"/>
        <v>15.24</v>
      </c>
      <c r="Q189" s="184"/>
      <c r="S189" s="543"/>
      <c r="T189" s="543"/>
    </row>
    <row r="190">
      <c r="B190" s="67" t="s">
        <v>730</v>
      </c>
      <c r="C190" s="67">
        <v>1.0</v>
      </c>
      <c r="D190" s="189">
        <f>59.4/2</f>
        <v>29.7</v>
      </c>
      <c r="E190" s="67">
        <v>0.2</v>
      </c>
      <c r="F190" s="67">
        <v>0.5</v>
      </c>
      <c r="G190" s="67">
        <v>0.55</v>
      </c>
      <c r="H190" s="182">
        <f t="shared" si="34"/>
        <v>9.801</v>
      </c>
      <c r="I190" s="182">
        <f t="shared" si="35"/>
        <v>5.94</v>
      </c>
      <c r="J190" s="182">
        <f t="shared" si="36"/>
        <v>29.7</v>
      </c>
      <c r="K190" s="243">
        <f t="shared" si="37"/>
        <v>35.64</v>
      </c>
      <c r="Q190" s="184"/>
      <c r="S190" s="543"/>
      <c r="T190" s="543"/>
    </row>
    <row r="191">
      <c r="B191" s="67" t="s">
        <v>731</v>
      </c>
      <c r="C191" s="67">
        <v>1.0</v>
      </c>
      <c r="D191" s="182">
        <f>19.65/2</f>
        <v>9.825</v>
      </c>
      <c r="E191" s="67">
        <v>0.2</v>
      </c>
      <c r="F191" s="67">
        <v>0.5</v>
      </c>
      <c r="G191" s="67">
        <v>0.55</v>
      </c>
      <c r="H191" s="182">
        <f t="shared" si="34"/>
        <v>3.24225</v>
      </c>
      <c r="I191" s="182">
        <f t="shared" si="35"/>
        <v>1.965</v>
      </c>
      <c r="J191" s="182">
        <f t="shared" si="36"/>
        <v>9.825</v>
      </c>
      <c r="K191" s="243">
        <f t="shared" si="37"/>
        <v>11.79</v>
      </c>
      <c r="Q191" s="184"/>
      <c r="S191" s="543"/>
      <c r="T191" s="543"/>
    </row>
    <row r="192">
      <c r="B192" s="67"/>
      <c r="C192" s="67"/>
      <c r="D192" s="67"/>
      <c r="E192" s="67"/>
      <c r="F192" s="67"/>
      <c r="G192" s="67"/>
      <c r="H192" s="182"/>
      <c r="I192" s="182"/>
      <c r="J192" s="182"/>
      <c r="K192" s="243"/>
      <c r="Q192" s="184"/>
      <c r="S192" s="543"/>
      <c r="T192" s="543"/>
    </row>
    <row r="193">
      <c r="B193" s="67" t="s">
        <v>666</v>
      </c>
      <c r="C193" s="67">
        <v>8.0</v>
      </c>
      <c r="D193" s="189">
        <v>0.2</v>
      </c>
      <c r="E193" s="67">
        <v>0.2</v>
      </c>
      <c r="F193" s="67">
        <v>3.2</v>
      </c>
      <c r="G193" s="243"/>
      <c r="H193" s="182"/>
      <c r="I193" s="182"/>
      <c r="J193" s="182"/>
      <c r="K193" s="243">
        <f t="shared" ref="K193:K194" si="40">C193*((D193+E193)*2)*F193</f>
        <v>20.48</v>
      </c>
      <c r="Q193" s="184"/>
      <c r="S193" s="543"/>
      <c r="T193" s="543"/>
    </row>
    <row r="194">
      <c r="B194" s="67" t="s">
        <v>1743</v>
      </c>
      <c r="C194" s="67">
        <f>44-C193</f>
        <v>36</v>
      </c>
      <c r="D194" s="189">
        <v>0.3</v>
      </c>
      <c r="E194" s="67">
        <v>0.3</v>
      </c>
      <c r="F194" s="67">
        <v>3.2</v>
      </c>
      <c r="G194" s="243"/>
      <c r="H194" s="182"/>
      <c r="I194" s="182"/>
      <c r="J194" s="182"/>
      <c r="K194" s="243">
        <f t="shared" si="40"/>
        <v>138.24</v>
      </c>
      <c r="M194" s="2"/>
      <c r="N194" s="2"/>
      <c r="O194" s="2"/>
      <c r="P194" s="2"/>
      <c r="Q194" s="184"/>
      <c r="S194" s="543"/>
      <c r="T194" s="543"/>
    </row>
    <row r="195">
      <c r="B195" s="67"/>
      <c r="C195" s="243"/>
      <c r="D195" s="182"/>
      <c r="E195" s="243"/>
      <c r="F195" s="67"/>
      <c r="G195" s="243"/>
      <c r="H195" s="182"/>
      <c r="I195" s="182"/>
      <c r="J195" s="182"/>
      <c r="K195" s="243"/>
      <c r="Q195" s="184"/>
      <c r="S195" s="543"/>
      <c r="T195" s="543"/>
    </row>
    <row r="196">
      <c r="B196" s="67" t="s">
        <v>1275</v>
      </c>
      <c r="C196" s="243"/>
      <c r="D196" s="182"/>
      <c r="E196" s="243"/>
      <c r="F196" s="243"/>
      <c r="G196" s="243"/>
      <c r="H196" s="182"/>
      <c r="I196" s="182"/>
      <c r="J196" s="182">
        <f>SUM(K193:K194)</f>
        <v>158.72</v>
      </c>
      <c r="K196" s="243"/>
      <c r="Q196" s="184"/>
      <c r="S196" s="543"/>
      <c r="T196" s="543"/>
    </row>
    <row r="197">
      <c r="B197" s="67" t="s">
        <v>1018</v>
      </c>
      <c r="C197" s="243"/>
      <c r="D197" s="182"/>
      <c r="E197" s="243"/>
      <c r="F197" s="243"/>
      <c r="G197" s="243"/>
      <c r="H197" s="182"/>
      <c r="I197" s="182"/>
      <c r="J197" s="182">
        <f>SUM(K183:K191)</f>
        <v>198.114</v>
      </c>
      <c r="K197" s="243"/>
      <c r="Q197" s="184"/>
      <c r="S197" s="543"/>
      <c r="T197" s="543"/>
    </row>
    <row r="198">
      <c r="B198" s="194" t="s">
        <v>1698</v>
      </c>
      <c r="C198" s="243"/>
      <c r="D198" s="182"/>
      <c r="E198" s="243"/>
      <c r="F198" s="243"/>
      <c r="G198" s="67"/>
      <c r="H198" s="189"/>
      <c r="I198" s="189"/>
      <c r="J198" s="189">
        <f>SUM(I183:I191)</f>
        <v>33.019</v>
      </c>
      <c r="K198" s="243"/>
      <c r="M198" s="2"/>
      <c r="Q198" s="184"/>
      <c r="S198" s="543"/>
      <c r="T198" s="543"/>
    </row>
    <row r="199">
      <c r="B199" s="194" t="s">
        <v>674</v>
      </c>
      <c r="C199" s="243"/>
      <c r="D199" s="182"/>
      <c r="E199" s="243"/>
      <c r="F199" s="243"/>
      <c r="G199" s="67"/>
      <c r="H199" s="189"/>
      <c r="I199" s="189"/>
      <c r="J199" s="189">
        <f>SUM(H183:H191)</f>
        <v>54.48135</v>
      </c>
      <c r="K199" s="243"/>
      <c r="M199" s="2"/>
      <c r="Q199" s="184"/>
      <c r="S199" s="543"/>
      <c r="T199" s="543"/>
    </row>
    <row r="200">
      <c r="B200" s="194" t="s">
        <v>385</v>
      </c>
      <c r="C200" s="243"/>
      <c r="D200" s="182"/>
      <c r="E200" s="243"/>
      <c r="F200" s="243"/>
      <c r="G200" s="243"/>
      <c r="H200" s="182">
        <f>J198</f>
        <v>33.019</v>
      </c>
      <c r="I200" s="189">
        <v>0.05</v>
      </c>
      <c r="J200" s="182">
        <f>H200*I200</f>
        <v>1.65095</v>
      </c>
      <c r="K200" s="243"/>
      <c r="M200" s="2"/>
      <c r="Q200" s="184"/>
      <c r="S200" s="543"/>
      <c r="T200" s="543"/>
    </row>
    <row r="201">
      <c r="B201" s="67" t="s">
        <v>747</v>
      </c>
      <c r="C201" s="243"/>
      <c r="D201" s="182"/>
      <c r="E201" s="243"/>
      <c r="F201" s="243"/>
      <c r="G201" s="243"/>
      <c r="H201" s="182"/>
      <c r="I201" s="182"/>
      <c r="J201" s="182">
        <f>150.73+47.43</f>
        <v>198.16</v>
      </c>
      <c r="K201" s="243"/>
      <c r="M201" s="2"/>
      <c r="Q201" s="184"/>
      <c r="S201" s="543"/>
      <c r="T201" s="543"/>
    </row>
    <row r="202">
      <c r="B202" s="67" t="s">
        <v>748</v>
      </c>
      <c r="C202" s="243"/>
      <c r="D202" s="182"/>
      <c r="E202" s="243"/>
      <c r="F202" s="243"/>
      <c r="G202" s="67"/>
      <c r="H202" s="189"/>
      <c r="I202" s="189"/>
      <c r="J202" s="189">
        <f>11.55+3.62</f>
        <v>15.17</v>
      </c>
      <c r="K202" s="243"/>
      <c r="Q202" s="184"/>
      <c r="S202" s="543"/>
      <c r="T202" s="543"/>
    </row>
    <row r="203">
      <c r="B203" s="194"/>
      <c r="C203" s="67" t="s">
        <v>683</v>
      </c>
      <c r="D203" s="189" t="s">
        <v>108</v>
      </c>
      <c r="E203" s="67" t="s">
        <v>684</v>
      </c>
      <c r="F203" s="243"/>
      <c r="G203" s="243"/>
      <c r="H203" s="182"/>
      <c r="I203" s="182"/>
      <c r="J203" s="182"/>
      <c r="K203" s="243"/>
      <c r="Q203" s="184"/>
      <c r="S203" s="543"/>
      <c r="T203" s="543"/>
    </row>
    <row r="204">
      <c r="B204" s="194" t="s">
        <v>685</v>
      </c>
      <c r="C204" s="67" t="s">
        <v>686</v>
      </c>
      <c r="D204" s="189">
        <f>756.9+240</f>
        <v>996.9</v>
      </c>
      <c r="E204" s="67">
        <v>0.154</v>
      </c>
      <c r="F204" s="243"/>
      <c r="G204" s="243"/>
      <c r="H204" s="182"/>
      <c r="I204" s="182"/>
      <c r="J204" s="182">
        <f t="shared" ref="J204:J208" si="41">D204*E204</f>
        <v>153.5226</v>
      </c>
      <c r="K204" s="243"/>
      <c r="Q204" s="184"/>
      <c r="S204" s="543"/>
      <c r="T204" s="543"/>
    </row>
    <row r="205">
      <c r="B205" s="194"/>
      <c r="C205" s="208">
        <v>45357.0</v>
      </c>
      <c r="D205" s="189"/>
      <c r="E205" s="67">
        <v>0.245</v>
      </c>
      <c r="F205" s="243"/>
      <c r="G205" s="243"/>
      <c r="H205" s="182"/>
      <c r="I205" s="182"/>
      <c r="J205" s="182">
        <f t="shared" si="41"/>
        <v>0</v>
      </c>
      <c r="K205" s="243"/>
      <c r="Q205" s="184"/>
      <c r="S205" s="543"/>
      <c r="T205" s="543"/>
    </row>
    <row r="206">
      <c r="B206" s="194"/>
      <c r="C206" s="209">
        <v>8.0</v>
      </c>
      <c r="D206" s="189"/>
      <c r="E206" s="67">
        <v>0.395</v>
      </c>
      <c r="F206" s="243"/>
      <c r="G206" s="243"/>
      <c r="H206" s="182"/>
      <c r="I206" s="182"/>
      <c r="J206" s="182">
        <f t="shared" si="41"/>
        <v>0</v>
      </c>
      <c r="K206" s="243"/>
      <c r="Q206" s="184"/>
      <c r="S206" s="543"/>
      <c r="T206" s="543"/>
    </row>
    <row r="207">
      <c r="B207" s="194"/>
      <c r="C207" s="209">
        <v>10.0</v>
      </c>
      <c r="D207" s="189">
        <f>524.1+162.7</f>
        <v>686.8</v>
      </c>
      <c r="E207" s="67">
        <v>0.617</v>
      </c>
      <c r="F207" s="243"/>
      <c r="G207" s="243"/>
      <c r="H207" s="182"/>
      <c r="I207" s="182"/>
      <c r="J207" s="182">
        <f t="shared" si="41"/>
        <v>423.7556</v>
      </c>
      <c r="K207" s="243"/>
      <c r="Q207" s="184"/>
      <c r="S207" s="543"/>
      <c r="T207" s="543"/>
    </row>
    <row r="208">
      <c r="B208" s="194"/>
      <c r="C208" s="208">
        <v>45424.0</v>
      </c>
      <c r="D208" s="189"/>
      <c r="E208" s="67">
        <v>0.963</v>
      </c>
      <c r="F208" s="243"/>
      <c r="G208" s="243"/>
      <c r="H208" s="182"/>
      <c r="I208" s="182"/>
      <c r="J208" s="182">
        <f t="shared" si="41"/>
        <v>0</v>
      </c>
      <c r="K208" s="243"/>
      <c r="Q208" s="184"/>
      <c r="S208" s="543"/>
      <c r="T208" s="543"/>
    </row>
    <row r="209">
      <c r="B209" s="67"/>
      <c r="C209" s="67" t="s">
        <v>751</v>
      </c>
      <c r="D209" s="189" t="s">
        <v>752</v>
      </c>
      <c r="E209" s="67" t="s">
        <v>212</v>
      </c>
      <c r="F209" s="243"/>
      <c r="G209" s="243"/>
      <c r="H209" s="182"/>
      <c r="I209" s="182"/>
      <c r="J209" s="182"/>
      <c r="K209" s="243"/>
      <c r="Q209" s="184"/>
      <c r="S209" s="543"/>
      <c r="T209" s="543"/>
    </row>
    <row r="210">
      <c r="B210" s="67" t="s">
        <v>339</v>
      </c>
      <c r="C210" s="182">
        <f>J165+J199</f>
        <v>181.02885</v>
      </c>
      <c r="D210" s="182">
        <f>J180+J202+J166+J200</f>
        <v>36.7652</v>
      </c>
      <c r="E210" s="182">
        <f>C210-D210</f>
        <v>144.26365</v>
      </c>
      <c r="F210" s="243"/>
      <c r="G210" s="243"/>
      <c r="H210" s="182"/>
      <c r="I210" s="182"/>
      <c r="J210" s="182"/>
      <c r="K210" s="243"/>
      <c r="M210" s="2"/>
      <c r="Q210" s="184"/>
      <c r="S210" s="543"/>
      <c r="T210" s="543"/>
    </row>
    <row r="211">
      <c r="D211" s="184"/>
      <c r="H211" s="184"/>
      <c r="I211" s="184"/>
      <c r="J211" s="184"/>
      <c r="Q211" s="184"/>
      <c r="S211" s="543"/>
      <c r="T211" s="543"/>
    </row>
    <row r="212">
      <c r="D212" s="184"/>
      <c r="H212" s="184"/>
      <c r="I212" s="184"/>
      <c r="J212" s="184"/>
      <c r="Q212" s="184"/>
      <c r="S212" s="543"/>
      <c r="T212" s="543"/>
    </row>
    <row r="213">
      <c r="B213" s="544" t="s">
        <v>1735</v>
      </c>
      <c r="C213" s="29"/>
      <c r="D213" s="184"/>
      <c r="H213" s="184"/>
      <c r="I213" s="184"/>
      <c r="J213" s="184"/>
      <c r="Q213" s="184"/>
      <c r="S213" s="543"/>
      <c r="T213" s="543"/>
    </row>
    <row r="214">
      <c r="B214" s="67" t="s">
        <v>763</v>
      </c>
      <c r="C214" s="182">
        <f>J202+J180</f>
        <v>32.98</v>
      </c>
      <c r="D214" s="184"/>
      <c r="H214" s="184"/>
      <c r="I214" s="184"/>
      <c r="J214" s="184"/>
      <c r="Q214" s="184"/>
      <c r="S214" s="543"/>
      <c r="T214" s="543"/>
    </row>
    <row r="215">
      <c r="B215" s="67" t="s">
        <v>1736</v>
      </c>
      <c r="C215" s="182">
        <f>J196+J197</f>
        <v>356.834</v>
      </c>
      <c r="D215" s="184"/>
      <c r="H215" s="184"/>
      <c r="I215" s="184"/>
      <c r="J215" s="184"/>
      <c r="Q215" s="184"/>
      <c r="S215" s="543"/>
      <c r="T215" s="543"/>
    </row>
    <row r="216">
      <c r="B216" s="67" t="s">
        <v>385</v>
      </c>
      <c r="C216" s="182">
        <f>J166+J200</f>
        <v>3.7852</v>
      </c>
      <c r="D216" s="184"/>
      <c r="H216" s="184"/>
      <c r="I216" s="184"/>
      <c r="J216" s="184"/>
      <c r="Q216" s="184"/>
      <c r="S216" s="543"/>
      <c r="T216" s="543"/>
    </row>
    <row r="217">
      <c r="B217" s="194" t="s">
        <v>1698</v>
      </c>
      <c r="C217" s="182">
        <f>J198+J164</f>
        <v>75.704</v>
      </c>
      <c r="D217" s="184"/>
      <c r="H217" s="184"/>
      <c r="I217" s="184"/>
      <c r="J217" s="184"/>
      <c r="Q217" s="184"/>
      <c r="S217" s="543"/>
      <c r="T217" s="543"/>
    </row>
    <row r="218">
      <c r="D218" s="184"/>
      <c r="H218" s="184"/>
      <c r="I218" s="184"/>
      <c r="J218" s="184"/>
      <c r="Q218" s="184"/>
      <c r="S218" s="543"/>
      <c r="T218" s="543"/>
    </row>
    <row r="219">
      <c r="D219" s="184"/>
      <c r="H219" s="184"/>
      <c r="I219" s="184"/>
      <c r="J219" s="184"/>
      <c r="Q219" s="184"/>
      <c r="S219" s="543"/>
      <c r="T219" s="543"/>
    </row>
    <row r="220">
      <c r="D220" s="184"/>
      <c r="H220" s="184"/>
      <c r="I220" s="184"/>
      <c r="J220" s="184"/>
      <c r="Q220" s="184"/>
      <c r="S220" s="543"/>
      <c r="T220" s="543"/>
    </row>
    <row r="221">
      <c r="D221" s="184"/>
      <c r="H221" s="184"/>
      <c r="I221" s="184"/>
      <c r="J221" s="184"/>
      <c r="Q221" s="184"/>
      <c r="S221" s="543"/>
      <c r="T221" s="543"/>
    </row>
    <row r="222">
      <c r="D222" s="184"/>
      <c r="H222" s="184"/>
      <c r="I222" s="184"/>
      <c r="J222" s="184"/>
      <c r="Q222" s="184"/>
      <c r="S222" s="543"/>
      <c r="T222" s="543"/>
    </row>
    <row r="223">
      <c r="D223" s="184"/>
      <c r="H223" s="184"/>
      <c r="I223" s="184"/>
      <c r="J223" s="184"/>
      <c r="Q223" s="184"/>
      <c r="S223" s="543"/>
      <c r="T223" s="543"/>
    </row>
    <row r="224">
      <c r="D224" s="184"/>
      <c r="H224" s="184"/>
      <c r="I224" s="565"/>
      <c r="J224" s="184"/>
      <c r="Q224" s="184"/>
      <c r="S224" s="543"/>
      <c r="T224" s="543"/>
    </row>
    <row r="225">
      <c r="D225" s="184"/>
      <c r="H225" s="184"/>
      <c r="I225" s="565"/>
      <c r="J225" s="184"/>
      <c r="Q225" s="184"/>
      <c r="S225" s="543"/>
      <c r="T225" s="543"/>
    </row>
    <row r="226">
      <c r="D226" s="184"/>
      <c r="H226" s="184"/>
      <c r="I226" s="565"/>
      <c r="J226" s="184"/>
      <c r="Q226" s="184"/>
      <c r="S226" s="543"/>
      <c r="T226" s="543"/>
    </row>
    <row r="227">
      <c r="D227" s="184"/>
      <c r="H227" s="184"/>
      <c r="I227" s="565"/>
      <c r="J227" s="184"/>
      <c r="Q227" s="184"/>
      <c r="S227" s="543"/>
      <c r="T227" s="543"/>
    </row>
    <row r="228">
      <c r="D228" s="184"/>
      <c r="H228" s="184"/>
      <c r="I228" s="565"/>
      <c r="J228" s="184"/>
      <c r="Q228" s="184"/>
      <c r="S228" s="543"/>
      <c r="T228" s="543"/>
    </row>
    <row r="229">
      <c r="D229" s="184"/>
      <c r="H229" s="184"/>
      <c r="I229" s="565"/>
      <c r="J229" s="184"/>
      <c r="Q229" s="184"/>
      <c r="S229" s="543"/>
      <c r="T229" s="543"/>
    </row>
    <row r="230">
      <c r="D230" s="184"/>
      <c r="H230" s="184"/>
      <c r="I230" s="184"/>
      <c r="J230" s="184"/>
      <c r="Q230" s="184"/>
      <c r="S230" s="543"/>
      <c r="T230" s="543"/>
    </row>
    <row r="231">
      <c r="D231" s="184"/>
      <c r="H231" s="184"/>
      <c r="I231" s="565"/>
      <c r="J231" s="184"/>
      <c r="Q231" s="184"/>
      <c r="S231" s="543"/>
      <c r="T231" s="543"/>
    </row>
    <row r="232">
      <c r="D232" s="184"/>
      <c r="H232" s="184"/>
      <c r="I232" s="565"/>
      <c r="J232" s="184"/>
      <c r="Q232" s="184"/>
      <c r="S232" s="543"/>
      <c r="T232" s="543"/>
    </row>
    <row r="233">
      <c r="D233" s="184"/>
      <c r="H233" s="184"/>
      <c r="I233" s="565"/>
      <c r="J233" s="184"/>
      <c r="Q233" s="184"/>
      <c r="S233" s="543"/>
      <c r="T233" s="543"/>
    </row>
    <row r="234">
      <c r="D234" s="184"/>
      <c r="H234" s="184"/>
      <c r="I234" s="565"/>
      <c r="J234" s="184"/>
      <c r="Q234" s="184"/>
      <c r="S234" s="543"/>
      <c r="T234" s="543"/>
    </row>
    <row r="235">
      <c r="D235" s="184"/>
      <c r="H235" s="184"/>
      <c r="I235" s="565"/>
      <c r="J235" s="184"/>
      <c r="Q235" s="184"/>
      <c r="S235" s="543"/>
      <c r="T235" s="543"/>
    </row>
    <row r="236">
      <c r="D236" s="184"/>
      <c r="H236" s="184"/>
      <c r="I236" s="565"/>
      <c r="J236" s="184"/>
      <c r="Q236" s="184"/>
      <c r="S236" s="543"/>
      <c r="T236" s="543"/>
    </row>
    <row r="237">
      <c r="D237" s="184"/>
      <c r="H237" s="184"/>
      <c r="I237" s="565"/>
      <c r="J237" s="184"/>
      <c r="Q237" s="184"/>
      <c r="S237" s="543"/>
      <c r="T237" s="543"/>
    </row>
    <row r="238">
      <c r="D238" s="184"/>
      <c r="H238" s="184"/>
      <c r="J238" s="184"/>
      <c r="Q238" s="184"/>
      <c r="S238" s="543"/>
      <c r="T238" s="543"/>
    </row>
    <row r="239">
      <c r="D239" s="184"/>
      <c r="H239" s="184"/>
      <c r="J239" s="184"/>
      <c r="Q239" s="184"/>
      <c r="S239" s="543"/>
      <c r="T239" s="543"/>
    </row>
    <row r="240">
      <c r="D240" s="184"/>
      <c r="H240" s="184"/>
      <c r="J240" s="184"/>
      <c r="Q240" s="184"/>
      <c r="S240" s="543"/>
      <c r="T240" s="543"/>
    </row>
    <row r="241">
      <c r="D241" s="184"/>
      <c r="H241" s="184"/>
      <c r="I241" s="184"/>
      <c r="J241" s="184"/>
      <c r="Q241" s="184"/>
      <c r="S241" s="543"/>
      <c r="T241" s="543"/>
    </row>
    <row r="242">
      <c r="D242" s="184"/>
      <c r="H242" s="184"/>
      <c r="I242" s="184"/>
      <c r="J242" s="184"/>
      <c r="Q242" s="184"/>
      <c r="S242" s="543"/>
      <c r="T242" s="543"/>
    </row>
    <row r="243">
      <c r="D243" s="184"/>
      <c r="H243" s="184"/>
      <c r="I243" s="184"/>
      <c r="J243" s="184"/>
      <c r="Q243" s="184"/>
      <c r="S243" s="543"/>
      <c r="T243" s="543"/>
    </row>
    <row r="244">
      <c r="D244" s="184"/>
      <c r="H244" s="184"/>
      <c r="I244" s="184"/>
      <c r="J244" s="184"/>
      <c r="Q244" s="184"/>
      <c r="S244" s="543"/>
      <c r="T244" s="543"/>
    </row>
    <row r="245">
      <c r="D245" s="184"/>
      <c r="H245" s="184"/>
      <c r="I245" s="184"/>
      <c r="J245" s="184"/>
      <c r="Q245" s="184"/>
      <c r="S245" s="543"/>
      <c r="T245" s="543"/>
    </row>
    <row r="246">
      <c r="D246" s="184"/>
      <c r="H246" s="184"/>
      <c r="I246" s="184"/>
      <c r="J246" s="184"/>
      <c r="Q246" s="184"/>
      <c r="S246" s="543"/>
      <c r="T246" s="543"/>
    </row>
    <row r="247">
      <c r="D247" s="184"/>
      <c r="H247" s="184"/>
      <c r="I247" s="184"/>
      <c r="J247" s="184"/>
      <c r="Q247" s="184"/>
      <c r="S247" s="543"/>
      <c r="T247" s="543"/>
    </row>
    <row r="248">
      <c r="D248" s="184"/>
      <c r="H248" s="184"/>
      <c r="I248" s="184"/>
      <c r="J248" s="184"/>
      <c r="Q248" s="184"/>
      <c r="S248" s="543"/>
      <c r="T248" s="543"/>
    </row>
    <row r="249">
      <c r="D249" s="184"/>
      <c r="H249" s="184"/>
      <c r="I249" s="184"/>
      <c r="J249" s="184"/>
      <c r="Q249" s="184"/>
      <c r="S249" s="543"/>
      <c r="T249" s="543"/>
    </row>
    <row r="250">
      <c r="D250" s="184"/>
      <c r="H250" s="184"/>
      <c r="I250" s="184"/>
      <c r="J250" s="184"/>
      <c r="Q250" s="184"/>
      <c r="S250" s="543"/>
      <c r="T250" s="543"/>
    </row>
    <row r="251">
      <c r="D251" s="184"/>
      <c r="H251" s="184"/>
      <c r="I251" s="184"/>
      <c r="J251" s="184"/>
      <c r="Q251" s="184"/>
      <c r="S251" s="543"/>
      <c r="T251" s="543"/>
    </row>
    <row r="252">
      <c r="D252" s="184"/>
      <c r="H252" s="184"/>
      <c r="I252" s="184"/>
      <c r="J252" s="184"/>
      <c r="Q252" s="184"/>
      <c r="S252" s="543"/>
      <c r="T252" s="543"/>
    </row>
    <row r="253">
      <c r="D253" s="184"/>
      <c r="H253" s="184"/>
      <c r="I253" s="184"/>
      <c r="J253" s="184"/>
      <c r="Q253" s="184"/>
      <c r="S253" s="543"/>
      <c r="T253" s="543"/>
    </row>
    <row r="254">
      <c r="D254" s="184"/>
      <c r="H254" s="184"/>
      <c r="I254" s="184"/>
      <c r="J254" s="184"/>
      <c r="Q254" s="184"/>
      <c r="S254" s="543"/>
      <c r="T254" s="543"/>
    </row>
    <row r="255">
      <c r="D255" s="184"/>
      <c r="H255" s="184"/>
      <c r="I255" s="184"/>
      <c r="J255" s="184"/>
      <c r="Q255" s="184"/>
      <c r="S255" s="543"/>
      <c r="T255" s="543"/>
    </row>
    <row r="256">
      <c r="D256" s="184"/>
      <c r="H256" s="184"/>
      <c r="I256" s="184"/>
      <c r="J256" s="184"/>
      <c r="Q256" s="184"/>
      <c r="S256" s="543"/>
      <c r="T256" s="543"/>
    </row>
    <row r="257">
      <c r="D257" s="184"/>
      <c r="H257" s="184"/>
      <c r="I257" s="184"/>
      <c r="J257" s="184"/>
      <c r="Q257" s="184"/>
      <c r="S257" s="543"/>
      <c r="T257" s="543"/>
    </row>
    <row r="258">
      <c r="D258" s="184"/>
      <c r="H258" s="184"/>
      <c r="I258" s="184"/>
      <c r="J258" s="184"/>
      <c r="Q258" s="184"/>
      <c r="S258" s="543"/>
      <c r="T258" s="543"/>
    </row>
    <row r="259">
      <c r="D259" s="184"/>
      <c r="H259" s="184"/>
      <c r="I259" s="184"/>
      <c r="J259" s="184"/>
      <c r="Q259" s="184"/>
      <c r="S259" s="543"/>
      <c r="T259" s="543"/>
    </row>
    <row r="260">
      <c r="D260" s="184"/>
      <c r="H260" s="184"/>
      <c r="I260" s="184"/>
      <c r="J260" s="184"/>
      <c r="Q260" s="184"/>
      <c r="S260" s="543"/>
      <c r="T260" s="543"/>
    </row>
    <row r="261">
      <c r="D261" s="184"/>
      <c r="H261" s="184"/>
      <c r="I261" s="184"/>
      <c r="J261" s="184"/>
      <c r="Q261" s="184"/>
      <c r="S261" s="543"/>
      <c r="T261" s="543"/>
    </row>
    <row r="262">
      <c r="D262" s="184"/>
      <c r="H262" s="184"/>
      <c r="I262" s="184"/>
      <c r="J262" s="184"/>
      <c r="Q262" s="184"/>
      <c r="S262" s="543"/>
      <c r="T262" s="543"/>
    </row>
    <row r="263">
      <c r="D263" s="184"/>
      <c r="H263" s="184"/>
      <c r="I263" s="184"/>
      <c r="J263" s="184"/>
      <c r="Q263" s="184"/>
      <c r="S263" s="543"/>
      <c r="T263" s="543"/>
    </row>
    <row r="264">
      <c r="D264" s="184"/>
      <c r="H264" s="184"/>
      <c r="I264" s="184"/>
      <c r="J264" s="184"/>
      <c r="Q264" s="184"/>
      <c r="S264" s="543"/>
      <c r="T264" s="543"/>
    </row>
    <row r="265">
      <c r="D265" s="184"/>
      <c r="H265" s="184"/>
      <c r="I265" s="184"/>
      <c r="J265" s="184"/>
      <c r="Q265" s="184"/>
      <c r="S265" s="543"/>
      <c r="T265" s="543"/>
    </row>
    <row r="266">
      <c r="D266" s="184"/>
      <c r="H266" s="184"/>
      <c r="I266" s="184"/>
      <c r="J266" s="184"/>
      <c r="Q266" s="184"/>
      <c r="S266" s="543"/>
      <c r="T266" s="543"/>
    </row>
    <row r="267">
      <c r="D267" s="184"/>
      <c r="H267" s="184"/>
      <c r="I267" s="184"/>
      <c r="J267" s="184"/>
      <c r="Q267" s="184"/>
      <c r="S267" s="543"/>
      <c r="T267" s="543"/>
    </row>
    <row r="268">
      <c r="D268" s="184"/>
      <c r="H268" s="184"/>
      <c r="I268" s="184"/>
      <c r="J268" s="184"/>
      <c r="Q268" s="184"/>
      <c r="S268" s="543"/>
      <c r="T268" s="543"/>
    </row>
    <row r="269">
      <c r="D269" s="184"/>
      <c r="H269" s="184"/>
      <c r="I269" s="184"/>
      <c r="J269" s="184"/>
      <c r="Q269" s="184"/>
      <c r="S269" s="543"/>
      <c r="T269" s="543"/>
    </row>
    <row r="270">
      <c r="D270" s="184"/>
      <c r="H270" s="184"/>
      <c r="I270" s="184"/>
      <c r="J270" s="184"/>
      <c r="Q270" s="184"/>
      <c r="S270" s="543"/>
      <c r="T270" s="543"/>
    </row>
    <row r="271">
      <c r="D271" s="184"/>
      <c r="H271" s="184"/>
      <c r="I271" s="184"/>
      <c r="J271" s="184"/>
      <c r="Q271" s="184"/>
      <c r="S271" s="543"/>
      <c r="T271" s="543"/>
    </row>
    <row r="272">
      <c r="D272" s="184"/>
      <c r="H272" s="184"/>
      <c r="I272" s="184"/>
      <c r="J272" s="184"/>
      <c r="Q272" s="184"/>
      <c r="S272" s="543"/>
      <c r="T272" s="543"/>
    </row>
    <row r="273">
      <c r="D273" s="184"/>
      <c r="H273" s="184"/>
      <c r="I273" s="184"/>
      <c r="J273" s="184"/>
      <c r="Q273" s="184"/>
      <c r="S273" s="543"/>
      <c r="T273" s="543"/>
    </row>
    <row r="274">
      <c r="D274" s="184"/>
      <c r="H274" s="184"/>
      <c r="I274" s="184"/>
      <c r="J274" s="184"/>
      <c r="Q274" s="184"/>
      <c r="S274" s="543"/>
      <c r="T274" s="543"/>
    </row>
    <row r="275">
      <c r="D275" s="184"/>
      <c r="H275" s="184"/>
      <c r="I275" s="184"/>
      <c r="J275" s="184"/>
      <c r="Q275" s="184"/>
      <c r="S275" s="543"/>
      <c r="T275" s="543"/>
    </row>
    <row r="276">
      <c r="D276" s="184"/>
      <c r="H276" s="184"/>
      <c r="I276" s="184"/>
      <c r="J276" s="184"/>
      <c r="Q276" s="184"/>
      <c r="S276" s="543"/>
      <c r="T276" s="543"/>
    </row>
    <row r="277">
      <c r="D277" s="184"/>
      <c r="H277" s="184"/>
      <c r="I277" s="184"/>
      <c r="J277" s="184"/>
      <c r="Q277" s="184"/>
      <c r="S277" s="543"/>
      <c r="T277" s="543"/>
    </row>
    <row r="278">
      <c r="D278" s="184"/>
      <c r="H278" s="184"/>
      <c r="I278" s="184"/>
      <c r="J278" s="184"/>
      <c r="Q278" s="184"/>
      <c r="S278" s="543"/>
      <c r="T278" s="543"/>
    </row>
    <row r="279">
      <c r="D279" s="184"/>
      <c r="H279" s="184"/>
      <c r="I279" s="184"/>
      <c r="J279" s="184"/>
      <c r="Q279" s="184"/>
      <c r="S279" s="543"/>
      <c r="T279" s="543"/>
    </row>
    <row r="280">
      <c r="D280" s="184"/>
      <c r="H280" s="184"/>
      <c r="I280" s="184"/>
      <c r="J280" s="184"/>
      <c r="Q280" s="184"/>
      <c r="S280" s="543"/>
      <c r="T280" s="543"/>
    </row>
    <row r="281">
      <c r="D281" s="184"/>
      <c r="H281" s="184"/>
      <c r="I281" s="184"/>
      <c r="J281" s="184"/>
      <c r="Q281" s="184"/>
      <c r="S281" s="543"/>
      <c r="T281" s="543"/>
    </row>
    <row r="282">
      <c r="D282" s="184"/>
      <c r="H282" s="184"/>
      <c r="I282" s="184"/>
      <c r="J282" s="184"/>
      <c r="Q282" s="184"/>
      <c r="S282" s="543"/>
      <c r="T282" s="543"/>
    </row>
    <row r="283">
      <c r="D283" s="184"/>
      <c r="H283" s="184"/>
      <c r="I283" s="184"/>
      <c r="J283" s="184"/>
      <c r="Q283" s="184"/>
      <c r="S283" s="543"/>
      <c r="T283" s="543"/>
    </row>
    <row r="284">
      <c r="D284" s="184"/>
      <c r="H284" s="184"/>
      <c r="I284" s="184"/>
      <c r="J284" s="184"/>
      <c r="Q284" s="184"/>
      <c r="S284" s="543"/>
      <c r="T284" s="543"/>
    </row>
    <row r="285">
      <c r="D285" s="184"/>
      <c r="H285" s="184"/>
      <c r="I285" s="184"/>
      <c r="J285" s="184"/>
      <c r="Q285" s="184"/>
      <c r="S285" s="543"/>
      <c r="T285" s="543"/>
    </row>
    <row r="286">
      <c r="D286" s="184"/>
      <c r="H286" s="184"/>
      <c r="I286" s="184"/>
      <c r="J286" s="184"/>
      <c r="Q286" s="184"/>
      <c r="S286" s="543"/>
      <c r="T286" s="543"/>
    </row>
    <row r="287">
      <c r="D287" s="184"/>
      <c r="H287" s="184"/>
      <c r="I287" s="184"/>
      <c r="J287" s="184"/>
      <c r="Q287" s="184"/>
      <c r="S287" s="543"/>
      <c r="T287" s="543"/>
    </row>
    <row r="288">
      <c r="D288" s="184"/>
      <c r="H288" s="184"/>
      <c r="I288" s="184"/>
      <c r="J288" s="184"/>
      <c r="Q288" s="184"/>
      <c r="S288" s="543"/>
      <c r="T288" s="543"/>
    </row>
    <row r="289">
      <c r="D289" s="184"/>
      <c r="H289" s="184"/>
      <c r="I289" s="184"/>
      <c r="J289" s="184"/>
      <c r="Q289" s="184"/>
      <c r="S289" s="543"/>
      <c r="T289" s="543"/>
    </row>
    <row r="290">
      <c r="D290" s="184"/>
      <c r="H290" s="184"/>
      <c r="I290" s="184"/>
      <c r="J290" s="184"/>
      <c r="Q290" s="184"/>
      <c r="S290" s="543"/>
      <c r="T290" s="543"/>
    </row>
    <row r="291">
      <c r="D291" s="184"/>
      <c r="H291" s="184"/>
      <c r="I291" s="184"/>
      <c r="J291" s="184"/>
      <c r="Q291" s="184"/>
      <c r="S291" s="543"/>
      <c r="T291" s="543"/>
    </row>
    <row r="292">
      <c r="D292" s="184"/>
      <c r="H292" s="184"/>
      <c r="I292" s="184"/>
      <c r="J292" s="184"/>
      <c r="Q292" s="184"/>
      <c r="S292" s="543"/>
      <c r="T292" s="543"/>
    </row>
    <row r="293">
      <c r="D293" s="184"/>
      <c r="H293" s="184"/>
      <c r="I293" s="184"/>
      <c r="J293" s="184"/>
      <c r="Q293" s="184"/>
      <c r="S293" s="543"/>
      <c r="T293" s="543"/>
    </row>
    <row r="294">
      <c r="D294" s="184"/>
      <c r="H294" s="184"/>
      <c r="I294" s="184"/>
      <c r="J294" s="184"/>
      <c r="Q294" s="184"/>
      <c r="S294" s="543"/>
      <c r="T294" s="543"/>
    </row>
    <row r="295">
      <c r="D295" s="184"/>
      <c r="H295" s="184"/>
      <c r="I295" s="184"/>
      <c r="J295" s="184"/>
      <c r="Q295" s="184"/>
      <c r="S295" s="543"/>
      <c r="T295" s="543"/>
    </row>
    <row r="296">
      <c r="D296" s="184"/>
      <c r="H296" s="184"/>
      <c r="I296" s="184"/>
      <c r="J296" s="184"/>
      <c r="Q296" s="184"/>
      <c r="S296" s="543"/>
      <c r="T296" s="543"/>
    </row>
    <row r="297">
      <c r="D297" s="184"/>
      <c r="H297" s="184"/>
      <c r="I297" s="184"/>
      <c r="J297" s="184"/>
      <c r="Q297" s="184"/>
      <c r="S297" s="543"/>
      <c r="T297" s="543"/>
    </row>
    <row r="298">
      <c r="D298" s="184"/>
      <c r="H298" s="184"/>
      <c r="I298" s="184"/>
      <c r="J298" s="184"/>
      <c r="Q298" s="184"/>
      <c r="S298" s="543"/>
      <c r="T298" s="543"/>
    </row>
    <row r="299">
      <c r="D299" s="184"/>
      <c r="H299" s="184"/>
      <c r="I299" s="184"/>
      <c r="J299" s="184"/>
      <c r="Q299" s="184"/>
      <c r="S299" s="543"/>
      <c r="T299" s="543"/>
    </row>
    <row r="300">
      <c r="D300" s="184"/>
      <c r="H300" s="184"/>
      <c r="I300" s="184"/>
      <c r="J300" s="184"/>
      <c r="Q300" s="184"/>
      <c r="S300" s="543"/>
      <c r="T300" s="543"/>
    </row>
    <row r="301">
      <c r="D301" s="184"/>
      <c r="H301" s="184"/>
      <c r="I301" s="184"/>
      <c r="J301" s="184"/>
      <c r="Q301" s="184"/>
      <c r="S301" s="543"/>
      <c r="T301" s="543"/>
    </row>
    <row r="302">
      <c r="D302" s="184"/>
      <c r="H302" s="184"/>
      <c r="I302" s="184"/>
      <c r="J302" s="184"/>
      <c r="Q302" s="184"/>
      <c r="S302" s="543"/>
      <c r="T302" s="543"/>
    </row>
    <row r="303">
      <c r="D303" s="184"/>
      <c r="H303" s="184"/>
      <c r="I303" s="184"/>
      <c r="J303" s="184"/>
      <c r="Q303" s="184"/>
      <c r="S303" s="543"/>
      <c r="T303" s="543"/>
    </row>
    <row r="304">
      <c r="D304" s="184"/>
      <c r="H304" s="184"/>
      <c r="I304" s="184"/>
      <c r="J304" s="184"/>
      <c r="Q304" s="184"/>
      <c r="S304" s="543"/>
      <c r="T304" s="543"/>
    </row>
    <row r="305">
      <c r="D305" s="184"/>
      <c r="H305" s="184"/>
      <c r="I305" s="184"/>
      <c r="J305" s="184"/>
      <c r="Q305" s="184"/>
      <c r="S305" s="543"/>
      <c r="T305" s="543"/>
    </row>
    <row r="306">
      <c r="D306" s="184"/>
      <c r="H306" s="184"/>
      <c r="I306" s="184"/>
      <c r="J306" s="184"/>
      <c r="Q306" s="184"/>
      <c r="S306" s="543"/>
      <c r="T306" s="543"/>
    </row>
    <row r="307">
      <c r="D307" s="184"/>
      <c r="H307" s="184"/>
      <c r="I307" s="184"/>
      <c r="J307" s="184"/>
      <c r="Q307" s="184"/>
      <c r="S307" s="543"/>
      <c r="T307" s="543"/>
    </row>
    <row r="308">
      <c r="D308" s="184"/>
      <c r="H308" s="184"/>
      <c r="I308" s="184"/>
      <c r="J308" s="184"/>
      <c r="Q308" s="184"/>
      <c r="S308" s="543"/>
      <c r="T308" s="543"/>
    </row>
    <row r="309">
      <c r="D309" s="184"/>
      <c r="H309" s="184"/>
      <c r="I309" s="184"/>
      <c r="J309" s="184"/>
      <c r="Q309" s="184"/>
      <c r="S309" s="543"/>
      <c r="T309" s="543"/>
    </row>
    <row r="310">
      <c r="D310" s="184"/>
      <c r="H310" s="184"/>
      <c r="I310" s="184"/>
      <c r="J310" s="184"/>
      <c r="Q310" s="184"/>
      <c r="S310" s="543"/>
      <c r="T310" s="543"/>
    </row>
    <row r="311">
      <c r="D311" s="184"/>
      <c r="H311" s="184"/>
      <c r="I311" s="184"/>
      <c r="J311" s="184"/>
      <c r="Q311" s="184"/>
      <c r="S311" s="543"/>
      <c r="T311" s="543"/>
    </row>
    <row r="312">
      <c r="D312" s="184"/>
      <c r="H312" s="184"/>
      <c r="I312" s="184"/>
      <c r="J312" s="184"/>
      <c r="Q312" s="184"/>
      <c r="S312" s="543"/>
      <c r="T312" s="543"/>
    </row>
    <row r="313">
      <c r="D313" s="184"/>
      <c r="H313" s="184"/>
      <c r="I313" s="184"/>
      <c r="J313" s="184"/>
      <c r="Q313" s="184"/>
      <c r="S313" s="543"/>
      <c r="T313" s="543"/>
    </row>
    <row r="314">
      <c r="D314" s="184"/>
      <c r="H314" s="184"/>
      <c r="I314" s="184"/>
      <c r="J314" s="184"/>
      <c r="Q314" s="184"/>
      <c r="S314" s="543"/>
      <c r="T314" s="543"/>
    </row>
    <row r="315">
      <c r="D315" s="184"/>
      <c r="H315" s="184"/>
      <c r="I315" s="184"/>
      <c r="J315" s="184"/>
      <c r="Q315" s="184"/>
      <c r="S315" s="543"/>
      <c r="T315" s="543"/>
    </row>
    <row r="316">
      <c r="D316" s="184"/>
      <c r="H316" s="184"/>
      <c r="I316" s="184"/>
      <c r="J316" s="184"/>
      <c r="Q316" s="184"/>
      <c r="S316" s="543"/>
      <c r="T316" s="543"/>
    </row>
    <row r="317">
      <c r="D317" s="184"/>
      <c r="H317" s="184"/>
      <c r="I317" s="184"/>
      <c r="J317" s="184"/>
      <c r="Q317" s="184"/>
      <c r="S317" s="543"/>
      <c r="T317" s="543"/>
    </row>
    <row r="318">
      <c r="D318" s="184"/>
      <c r="H318" s="184"/>
      <c r="I318" s="184"/>
      <c r="J318" s="184"/>
      <c r="Q318" s="184"/>
      <c r="S318" s="543"/>
      <c r="T318" s="543"/>
    </row>
    <row r="319">
      <c r="D319" s="184"/>
      <c r="H319" s="184"/>
      <c r="I319" s="184"/>
      <c r="J319" s="184"/>
      <c r="Q319" s="184"/>
      <c r="S319" s="543"/>
      <c r="T319" s="543"/>
    </row>
    <row r="320">
      <c r="D320" s="184"/>
      <c r="H320" s="184"/>
      <c r="I320" s="184"/>
      <c r="J320" s="184"/>
      <c r="Q320" s="184"/>
      <c r="S320" s="543"/>
      <c r="T320" s="543"/>
    </row>
    <row r="321">
      <c r="D321" s="184"/>
      <c r="H321" s="184"/>
      <c r="I321" s="184"/>
      <c r="J321" s="184"/>
      <c r="Q321" s="184"/>
      <c r="S321" s="543"/>
      <c r="T321" s="543"/>
    </row>
    <row r="322">
      <c r="D322" s="184"/>
      <c r="H322" s="184"/>
      <c r="I322" s="184"/>
      <c r="J322" s="184"/>
      <c r="Q322" s="184"/>
      <c r="S322" s="543"/>
      <c r="T322" s="543"/>
    </row>
    <row r="323">
      <c r="D323" s="184"/>
      <c r="H323" s="184"/>
      <c r="I323" s="184"/>
      <c r="J323" s="184"/>
      <c r="Q323" s="184"/>
      <c r="S323" s="543"/>
      <c r="T323" s="543"/>
    </row>
    <row r="324">
      <c r="D324" s="184"/>
      <c r="H324" s="184"/>
      <c r="I324" s="184"/>
      <c r="J324" s="184"/>
      <c r="Q324" s="184"/>
      <c r="S324" s="543"/>
      <c r="T324" s="543"/>
    </row>
    <row r="325">
      <c r="D325" s="184"/>
      <c r="H325" s="184"/>
      <c r="I325" s="184"/>
      <c r="J325" s="184"/>
      <c r="Q325" s="184"/>
      <c r="S325" s="543"/>
      <c r="T325" s="543"/>
    </row>
    <row r="326">
      <c r="D326" s="184"/>
      <c r="H326" s="184"/>
      <c r="I326" s="184"/>
      <c r="J326" s="184"/>
      <c r="Q326" s="184"/>
      <c r="S326" s="543"/>
      <c r="T326" s="543"/>
    </row>
    <row r="327">
      <c r="D327" s="184"/>
      <c r="H327" s="184"/>
      <c r="I327" s="184"/>
      <c r="J327" s="184"/>
      <c r="Q327" s="184"/>
      <c r="S327" s="543"/>
      <c r="T327" s="543"/>
    </row>
    <row r="328">
      <c r="D328" s="184"/>
      <c r="H328" s="184"/>
      <c r="I328" s="184"/>
      <c r="J328" s="184"/>
      <c r="Q328" s="184"/>
      <c r="S328" s="543"/>
      <c r="T328" s="543"/>
    </row>
    <row r="329">
      <c r="D329" s="184"/>
      <c r="H329" s="184"/>
      <c r="I329" s="184"/>
      <c r="J329" s="184"/>
      <c r="Q329" s="184"/>
      <c r="S329" s="543"/>
      <c r="T329" s="543"/>
    </row>
    <row r="330">
      <c r="D330" s="184"/>
      <c r="H330" s="184"/>
      <c r="I330" s="184"/>
      <c r="J330" s="184"/>
      <c r="Q330" s="184"/>
      <c r="S330" s="543"/>
      <c r="T330" s="543"/>
    </row>
    <row r="331">
      <c r="D331" s="184"/>
      <c r="H331" s="184"/>
      <c r="I331" s="184"/>
      <c r="J331" s="184"/>
      <c r="Q331" s="184"/>
      <c r="S331" s="543"/>
      <c r="T331" s="543"/>
    </row>
    <row r="332">
      <c r="D332" s="184"/>
      <c r="H332" s="184"/>
      <c r="I332" s="184"/>
      <c r="J332" s="184"/>
      <c r="Q332" s="184"/>
      <c r="S332" s="543"/>
      <c r="T332" s="543"/>
    </row>
    <row r="333">
      <c r="D333" s="184"/>
      <c r="H333" s="184"/>
      <c r="I333" s="184"/>
      <c r="J333" s="184"/>
      <c r="Q333" s="184"/>
      <c r="S333" s="543"/>
      <c r="T333" s="543"/>
    </row>
    <row r="334">
      <c r="D334" s="184"/>
      <c r="H334" s="184"/>
      <c r="I334" s="184"/>
      <c r="J334" s="184"/>
      <c r="Q334" s="184"/>
      <c r="S334" s="543"/>
      <c r="T334" s="543"/>
    </row>
    <row r="335">
      <c r="D335" s="184"/>
      <c r="H335" s="184"/>
      <c r="I335" s="184"/>
      <c r="J335" s="184"/>
      <c r="Q335" s="184"/>
      <c r="S335" s="543"/>
      <c r="T335" s="543"/>
    </row>
    <row r="336">
      <c r="D336" s="184"/>
      <c r="H336" s="184"/>
      <c r="I336" s="184"/>
      <c r="J336" s="184"/>
      <c r="Q336" s="184"/>
      <c r="S336" s="543"/>
      <c r="T336" s="543"/>
    </row>
    <row r="337">
      <c r="D337" s="184"/>
      <c r="H337" s="184"/>
      <c r="I337" s="184"/>
      <c r="J337" s="184"/>
      <c r="Q337" s="184"/>
      <c r="S337" s="543"/>
      <c r="T337" s="543"/>
    </row>
    <row r="338">
      <c r="D338" s="184"/>
      <c r="H338" s="184"/>
      <c r="I338" s="184"/>
      <c r="J338" s="184"/>
      <c r="Q338" s="184"/>
      <c r="S338" s="543"/>
      <c r="T338" s="543"/>
    </row>
    <row r="339">
      <c r="D339" s="184"/>
      <c r="H339" s="184"/>
      <c r="I339" s="184"/>
      <c r="J339" s="184"/>
      <c r="Q339" s="184"/>
      <c r="S339" s="543"/>
      <c r="T339" s="543"/>
    </row>
    <row r="340">
      <c r="D340" s="184"/>
      <c r="H340" s="184"/>
      <c r="I340" s="184"/>
      <c r="J340" s="184"/>
      <c r="Q340" s="184"/>
      <c r="S340" s="543"/>
      <c r="T340" s="543"/>
    </row>
    <row r="341">
      <c r="D341" s="184"/>
      <c r="H341" s="184"/>
      <c r="I341" s="184"/>
      <c r="J341" s="184"/>
      <c r="Q341" s="184"/>
      <c r="S341" s="543"/>
      <c r="T341" s="543"/>
    </row>
    <row r="342">
      <c r="D342" s="184"/>
      <c r="H342" s="184"/>
      <c r="I342" s="184"/>
      <c r="J342" s="184"/>
      <c r="Q342" s="184"/>
      <c r="S342" s="543"/>
      <c r="T342" s="543"/>
    </row>
    <row r="343">
      <c r="D343" s="184"/>
      <c r="H343" s="184"/>
      <c r="I343" s="184"/>
      <c r="J343" s="184"/>
      <c r="Q343" s="184"/>
      <c r="S343" s="543"/>
      <c r="T343" s="543"/>
    </row>
    <row r="344">
      <c r="D344" s="184"/>
      <c r="H344" s="184"/>
      <c r="I344" s="184"/>
      <c r="J344" s="184"/>
      <c r="Q344" s="184"/>
      <c r="S344" s="543"/>
      <c r="T344" s="543"/>
    </row>
    <row r="345">
      <c r="D345" s="184"/>
      <c r="H345" s="184"/>
      <c r="I345" s="184"/>
      <c r="J345" s="184"/>
      <c r="Q345" s="184"/>
      <c r="S345" s="543"/>
      <c r="T345" s="543"/>
    </row>
    <row r="346">
      <c r="D346" s="184"/>
      <c r="H346" s="184"/>
      <c r="I346" s="184"/>
      <c r="J346" s="184"/>
      <c r="Q346" s="184"/>
      <c r="S346" s="543"/>
      <c r="T346" s="543"/>
    </row>
    <row r="347">
      <c r="D347" s="184"/>
      <c r="H347" s="184"/>
      <c r="I347" s="184"/>
      <c r="J347" s="184"/>
      <c r="Q347" s="184"/>
      <c r="S347" s="543"/>
      <c r="T347" s="543"/>
    </row>
    <row r="348">
      <c r="D348" s="184"/>
      <c r="H348" s="184"/>
      <c r="I348" s="184"/>
      <c r="J348" s="184"/>
      <c r="Q348" s="184"/>
      <c r="S348" s="543"/>
      <c r="T348" s="543"/>
    </row>
    <row r="349">
      <c r="D349" s="184"/>
      <c r="H349" s="184"/>
      <c r="I349" s="184"/>
      <c r="J349" s="184"/>
      <c r="Q349" s="184"/>
      <c r="S349" s="543"/>
      <c r="T349" s="543"/>
    </row>
    <row r="350">
      <c r="D350" s="184"/>
      <c r="H350" s="184"/>
      <c r="I350" s="184"/>
      <c r="J350" s="184"/>
      <c r="Q350" s="184"/>
      <c r="S350" s="543"/>
      <c r="T350" s="543"/>
    </row>
    <row r="351">
      <c r="D351" s="184"/>
      <c r="H351" s="184"/>
      <c r="I351" s="184"/>
      <c r="J351" s="184"/>
      <c r="Q351" s="184"/>
      <c r="S351" s="543"/>
      <c r="T351" s="543"/>
    </row>
    <row r="352">
      <c r="D352" s="184"/>
      <c r="H352" s="184"/>
      <c r="I352" s="184"/>
      <c r="J352" s="184"/>
      <c r="Q352" s="184"/>
      <c r="S352" s="543"/>
      <c r="T352" s="543"/>
    </row>
    <row r="353">
      <c r="D353" s="184"/>
      <c r="H353" s="184"/>
      <c r="I353" s="184"/>
      <c r="J353" s="184"/>
      <c r="Q353" s="184"/>
      <c r="S353" s="543"/>
      <c r="T353" s="543"/>
    </row>
    <row r="354">
      <c r="D354" s="184"/>
      <c r="H354" s="184"/>
      <c r="I354" s="184"/>
      <c r="J354" s="184"/>
      <c r="Q354" s="184"/>
      <c r="S354" s="543"/>
      <c r="T354" s="543"/>
    </row>
    <row r="355">
      <c r="D355" s="184"/>
      <c r="H355" s="184"/>
      <c r="I355" s="184"/>
      <c r="J355" s="184"/>
      <c r="Q355" s="184"/>
      <c r="S355" s="543"/>
      <c r="T355" s="543"/>
    </row>
    <row r="356">
      <c r="D356" s="184"/>
      <c r="H356" s="184"/>
      <c r="I356" s="184"/>
      <c r="J356" s="184"/>
      <c r="Q356" s="184"/>
      <c r="S356" s="543"/>
      <c r="T356" s="543"/>
    </row>
    <row r="357">
      <c r="D357" s="184"/>
      <c r="H357" s="184"/>
      <c r="I357" s="184"/>
      <c r="J357" s="184"/>
      <c r="Q357" s="184"/>
      <c r="S357" s="543"/>
      <c r="T357" s="543"/>
    </row>
    <row r="358">
      <c r="D358" s="184"/>
      <c r="H358" s="184"/>
      <c r="I358" s="184"/>
      <c r="J358" s="184"/>
      <c r="Q358" s="184"/>
      <c r="S358" s="543"/>
      <c r="T358" s="543"/>
    </row>
    <row r="359">
      <c r="D359" s="184"/>
      <c r="H359" s="184"/>
      <c r="I359" s="184"/>
      <c r="J359" s="184"/>
      <c r="Q359" s="184"/>
      <c r="S359" s="543"/>
      <c r="T359" s="543"/>
    </row>
    <row r="360">
      <c r="D360" s="184"/>
      <c r="H360" s="184"/>
      <c r="I360" s="184"/>
      <c r="J360" s="184"/>
      <c r="Q360" s="184"/>
      <c r="S360" s="543"/>
      <c r="T360" s="543"/>
    </row>
    <row r="361">
      <c r="D361" s="184"/>
      <c r="H361" s="184"/>
      <c r="I361" s="184"/>
      <c r="J361" s="184"/>
      <c r="Q361" s="184"/>
      <c r="S361" s="543"/>
      <c r="T361" s="543"/>
    </row>
    <row r="362">
      <c r="D362" s="184"/>
      <c r="H362" s="184"/>
      <c r="I362" s="184"/>
      <c r="J362" s="184"/>
      <c r="Q362" s="184"/>
      <c r="S362" s="543"/>
      <c r="T362" s="543"/>
    </row>
    <row r="363">
      <c r="D363" s="184"/>
      <c r="H363" s="184"/>
      <c r="I363" s="184"/>
      <c r="J363" s="184"/>
      <c r="Q363" s="184"/>
      <c r="S363" s="543"/>
      <c r="T363" s="543"/>
    </row>
    <row r="364">
      <c r="D364" s="184"/>
      <c r="H364" s="184"/>
      <c r="I364" s="184"/>
      <c r="J364" s="184"/>
      <c r="Q364" s="184"/>
      <c r="S364" s="543"/>
      <c r="T364" s="543"/>
    </row>
    <row r="365">
      <c r="D365" s="184"/>
      <c r="H365" s="184"/>
      <c r="I365" s="184"/>
      <c r="J365" s="184"/>
      <c r="Q365" s="184"/>
      <c r="S365" s="543"/>
      <c r="T365" s="543"/>
    </row>
    <row r="366">
      <c r="D366" s="184"/>
      <c r="H366" s="184"/>
      <c r="I366" s="184"/>
      <c r="J366" s="184"/>
      <c r="Q366" s="184"/>
      <c r="S366" s="543"/>
      <c r="T366" s="543"/>
    </row>
    <row r="367">
      <c r="D367" s="184"/>
      <c r="H367" s="184"/>
      <c r="I367" s="184"/>
      <c r="J367" s="184"/>
      <c r="Q367" s="184"/>
      <c r="S367" s="543"/>
      <c r="T367" s="543"/>
    </row>
    <row r="368">
      <c r="D368" s="184"/>
      <c r="H368" s="184"/>
      <c r="I368" s="184"/>
      <c r="J368" s="184"/>
      <c r="Q368" s="184"/>
      <c r="S368" s="543"/>
      <c r="T368" s="543"/>
    </row>
    <row r="369">
      <c r="D369" s="184"/>
      <c r="H369" s="184"/>
      <c r="I369" s="184"/>
      <c r="J369" s="184"/>
      <c r="Q369" s="184"/>
      <c r="S369" s="543"/>
      <c r="T369" s="543"/>
    </row>
    <row r="370">
      <c r="D370" s="184"/>
      <c r="H370" s="184"/>
      <c r="I370" s="184"/>
      <c r="J370" s="184"/>
      <c r="Q370" s="184"/>
      <c r="S370" s="543"/>
      <c r="T370" s="543"/>
    </row>
    <row r="371">
      <c r="D371" s="184"/>
      <c r="H371" s="184"/>
      <c r="I371" s="184"/>
      <c r="J371" s="184"/>
      <c r="Q371" s="184"/>
      <c r="S371" s="543"/>
      <c r="T371" s="543"/>
    </row>
    <row r="372">
      <c r="D372" s="184"/>
      <c r="H372" s="184"/>
      <c r="I372" s="184"/>
      <c r="J372" s="184"/>
      <c r="Q372" s="184"/>
      <c r="S372" s="543"/>
      <c r="T372" s="543"/>
    </row>
    <row r="373">
      <c r="D373" s="184"/>
      <c r="H373" s="184"/>
      <c r="I373" s="184"/>
      <c r="J373" s="184"/>
      <c r="Q373" s="184"/>
      <c r="S373" s="543"/>
      <c r="T373" s="543"/>
    </row>
    <row r="374">
      <c r="D374" s="184"/>
      <c r="H374" s="184"/>
      <c r="I374" s="184"/>
      <c r="J374" s="184"/>
      <c r="Q374" s="184"/>
      <c r="S374" s="543"/>
      <c r="T374" s="543"/>
    </row>
    <row r="375">
      <c r="D375" s="184"/>
      <c r="H375" s="184"/>
      <c r="I375" s="184"/>
      <c r="J375" s="184"/>
      <c r="Q375" s="184"/>
      <c r="S375" s="543"/>
      <c r="T375" s="543"/>
    </row>
    <row r="376">
      <c r="D376" s="184"/>
      <c r="H376" s="184"/>
      <c r="I376" s="184"/>
      <c r="J376" s="184"/>
      <c r="Q376" s="184"/>
      <c r="S376" s="543"/>
      <c r="T376" s="543"/>
    </row>
    <row r="377">
      <c r="D377" s="184"/>
      <c r="H377" s="184"/>
      <c r="I377" s="184"/>
      <c r="J377" s="184"/>
      <c r="Q377" s="184"/>
      <c r="S377" s="543"/>
      <c r="T377" s="543"/>
    </row>
    <row r="378">
      <c r="D378" s="184"/>
      <c r="H378" s="184"/>
      <c r="I378" s="184"/>
      <c r="J378" s="184"/>
      <c r="Q378" s="184"/>
      <c r="S378" s="543"/>
      <c r="T378" s="543"/>
    </row>
    <row r="379">
      <c r="D379" s="184"/>
      <c r="H379" s="184"/>
      <c r="I379" s="184"/>
      <c r="J379" s="184"/>
      <c r="Q379" s="184"/>
      <c r="S379" s="543"/>
      <c r="T379" s="543"/>
    </row>
    <row r="380">
      <c r="D380" s="184"/>
      <c r="H380" s="184"/>
      <c r="I380" s="184"/>
      <c r="J380" s="184"/>
      <c r="Q380" s="184"/>
      <c r="S380" s="543"/>
      <c r="T380" s="543"/>
    </row>
    <row r="381">
      <c r="D381" s="184"/>
      <c r="H381" s="184"/>
      <c r="I381" s="184"/>
      <c r="J381" s="184"/>
      <c r="Q381" s="184"/>
      <c r="S381" s="543"/>
      <c r="T381" s="543"/>
    </row>
    <row r="382">
      <c r="D382" s="184"/>
      <c r="H382" s="184"/>
      <c r="I382" s="184"/>
      <c r="J382" s="184"/>
      <c r="Q382" s="184"/>
      <c r="S382" s="543"/>
      <c r="T382" s="543"/>
    </row>
    <row r="383">
      <c r="D383" s="184"/>
      <c r="H383" s="184"/>
      <c r="I383" s="184"/>
      <c r="J383" s="184"/>
      <c r="Q383" s="184"/>
      <c r="S383" s="543"/>
      <c r="T383" s="543"/>
    </row>
    <row r="384">
      <c r="D384" s="184"/>
      <c r="H384" s="184"/>
      <c r="I384" s="184"/>
      <c r="J384" s="184"/>
      <c r="Q384" s="184"/>
      <c r="S384" s="543"/>
      <c r="T384" s="543"/>
    </row>
    <row r="385">
      <c r="D385" s="184"/>
      <c r="H385" s="184"/>
      <c r="I385" s="184"/>
      <c r="J385" s="184"/>
      <c r="Q385" s="184"/>
      <c r="S385" s="543"/>
      <c r="T385" s="543"/>
    </row>
    <row r="386">
      <c r="D386" s="184"/>
      <c r="H386" s="184"/>
      <c r="I386" s="184"/>
      <c r="J386" s="184"/>
      <c r="Q386" s="184"/>
      <c r="S386" s="543"/>
      <c r="T386" s="543"/>
    </row>
    <row r="387">
      <c r="D387" s="184"/>
      <c r="H387" s="184"/>
      <c r="I387" s="184"/>
      <c r="J387" s="184"/>
      <c r="Q387" s="184"/>
      <c r="S387" s="543"/>
      <c r="T387" s="543"/>
    </row>
    <row r="388">
      <c r="D388" s="184"/>
      <c r="H388" s="184"/>
      <c r="I388" s="184"/>
      <c r="J388" s="184"/>
      <c r="Q388" s="184"/>
      <c r="S388" s="543"/>
      <c r="T388" s="543"/>
    </row>
    <row r="389">
      <c r="D389" s="184"/>
      <c r="H389" s="184"/>
      <c r="I389" s="184"/>
      <c r="J389" s="184"/>
      <c r="Q389" s="184"/>
      <c r="S389" s="543"/>
      <c r="T389" s="543"/>
    </row>
    <row r="390">
      <c r="D390" s="184"/>
      <c r="H390" s="184"/>
      <c r="I390" s="184"/>
      <c r="J390" s="184"/>
      <c r="Q390" s="184"/>
      <c r="S390" s="543"/>
      <c r="T390" s="543"/>
    </row>
    <row r="391">
      <c r="D391" s="184"/>
      <c r="H391" s="184"/>
      <c r="I391" s="184"/>
      <c r="J391" s="184"/>
      <c r="Q391" s="184"/>
      <c r="S391" s="543"/>
      <c r="T391" s="543"/>
    </row>
    <row r="392">
      <c r="D392" s="184"/>
      <c r="H392" s="184"/>
      <c r="I392" s="184"/>
      <c r="J392" s="184"/>
      <c r="Q392" s="184"/>
      <c r="S392" s="543"/>
      <c r="T392" s="543"/>
    </row>
    <row r="393">
      <c r="D393" s="184"/>
      <c r="H393" s="184"/>
      <c r="I393" s="184"/>
      <c r="J393" s="184"/>
      <c r="Q393" s="184"/>
      <c r="S393" s="543"/>
      <c r="T393" s="543"/>
    </row>
    <row r="394">
      <c r="D394" s="184"/>
      <c r="H394" s="184"/>
      <c r="I394" s="184"/>
      <c r="J394" s="184"/>
      <c r="Q394" s="184"/>
      <c r="S394" s="543"/>
      <c r="T394" s="543"/>
    </row>
    <row r="395">
      <c r="D395" s="184"/>
      <c r="H395" s="184"/>
      <c r="I395" s="184"/>
      <c r="J395" s="184"/>
      <c r="Q395" s="184"/>
      <c r="S395" s="543"/>
      <c r="T395" s="543"/>
    </row>
    <row r="396">
      <c r="D396" s="184"/>
      <c r="H396" s="184"/>
      <c r="I396" s="184"/>
      <c r="J396" s="184"/>
      <c r="Q396" s="184"/>
      <c r="S396" s="543"/>
      <c r="T396" s="543"/>
    </row>
    <row r="397">
      <c r="D397" s="184"/>
      <c r="H397" s="184"/>
      <c r="I397" s="184"/>
      <c r="J397" s="184"/>
      <c r="Q397" s="184"/>
      <c r="S397" s="543"/>
      <c r="T397" s="543"/>
    </row>
    <row r="398">
      <c r="D398" s="184"/>
      <c r="H398" s="184"/>
      <c r="I398" s="184"/>
      <c r="J398" s="184"/>
      <c r="Q398" s="184"/>
      <c r="S398" s="543"/>
      <c r="T398" s="543"/>
    </row>
    <row r="399">
      <c r="D399" s="184"/>
      <c r="H399" s="184"/>
      <c r="I399" s="184"/>
      <c r="J399" s="184"/>
      <c r="Q399" s="184"/>
      <c r="S399" s="543"/>
      <c r="T399" s="543"/>
    </row>
    <row r="400">
      <c r="D400" s="184"/>
      <c r="H400" s="184"/>
      <c r="I400" s="184"/>
      <c r="J400" s="184"/>
      <c r="Q400" s="184"/>
      <c r="S400" s="543"/>
      <c r="T400" s="543"/>
    </row>
    <row r="401">
      <c r="D401" s="184"/>
      <c r="H401" s="184"/>
      <c r="I401" s="184"/>
      <c r="J401" s="184"/>
      <c r="Q401" s="184"/>
      <c r="S401" s="543"/>
      <c r="T401" s="543"/>
    </row>
    <row r="402">
      <c r="D402" s="184"/>
      <c r="H402" s="184"/>
      <c r="I402" s="184"/>
      <c r="J402" s="184"/>
      <c r="Q402" s="184"/>
      <c r="S402" s="543"/>
      <c r="T402" s="543"/>
    </row>
    <row r="403">
      <c r="D403" s="184"/>
      <c r="H403" s="184"/>
      <c r="I403" s="184"/>
      <c r="J403" s="184"/>
      <c r="Q403" s="184"/>
      <c r="S403" s="543"/>
      <c r="T403" s="543"/>
    </row>
    <row r="404">
      <c r="D404" s="184"/>
      <c r="H404" s="184"/>
      <c r="I404" s="184"/>
      <c r="J404" s="184"/>
      <c r="Q404" s="184"/>
      <c r="S404" s="543"/>
      <c r="T404" s="543"/>
    </row>
    <row r="405">
      <c r="D405" s="184"/>
      <c r="H405" s="184"/>
      <c r="I405" s="184"/>
      <c r="J405" s="184"/>
      <c r="Q405" s="184"/>
      <c r="S405" s="543"/>
      <c r="T405" s="543"/>
    </row>
    <row r="406">
      <c r="D406" s="184"/>
      <c r="H406" s="184"/>
      <c r="I406" s="184"/>
      <c r="J406" s="184"/>
      <c r="Q406" s="184"/>
      <c r="S406" s="543"/>
      <c r="T406" s="543"/>
    </row>
    <row r="407">
      <c r="D407" s="184"/>
      <c r="H407" s="184"/>
      <c r="I407" s="184"/>
      <c r="J407" s="184"/>
      <c r="Q407" s="184"/>
      <c r="S407" s="543"/>
      <c r="T407" s="543"/>
    </row>
    <row r="408">
      <c r="D408" s="184"/>
      <c r="H408" s="184"/>
      <c r="I408" s="184"/>
      <c r="J408" s="184"/>
      <c r="Q408" s="184"/>
      <c r="S408" s="543"/>
      <c r="T408" s="543"/>
    </row>
    <row r="409">
      <c r="D409" s="184"/>
      <c r="H409" s="184"/>
      <c r="I409" s="184"/>
      <c r="J409" s="184"/>
      <c r="Q409" s="184"/>
      <c r="S409" s="543"/>
      <c r="T409" s="543"/>
    </row>
    <row r="410">
      <c r="D410" s="184"/>
      <c r="H410" s="184"/>
      <c r="I410" s="184"/>
      <c r="J410" s="184"/>
      <c r="Q410" s="184"/>
      <c r="S410" s="543"/>
      <c r="T410" s="543"/>
    </row>
    <row r="411">
      <c r="D411" s="184"/>
      <c r="H411" s="184"/>
      <c r="I411" s="184"/>
      <c r="J411" s="184"/>
      <c r="Q411" s="184"/>
      <c r="S411" s="543"/>
      <c r="T411" s="543"/>
    </row>
    <row r="412">
      <c r="D412" s="184"/>
      <c r="H412" s="184"/>
      <c r="I412" s="184"/>
      <c r="J412" s="184"/>
      <c r="Q412" s="184"/>
      <c r="S412" s="543"/>
      <c r="T412" s="543"/>
    </row>
    <row r="413">
      <c r="D413" s="184"/>
      <c r="H413" s="184"/>
      <c r="I413" s="184"/>
      <c r="J413" s="184"/>
      <c r="Q413" s="184"/>
      <c r="S413" s="543"/>
      <c r="T413" s="543"/>
    </row>
    <row r="414">
      <c r="D414" s="184"/>
      <c r="H414" s="184"/>
      <c r="I414" s="184"/>
      <c r="J414" s="184"/>
      <c r="Q414" s="184"/>
      <c r="S414" s="543"/>
      <c r="T414" s="543"/>
    </row>
    <row r="415">
      <c r="D415" s="184"/>
      <c r="H415" s="184"/>
      <c r="I415" s="184"/>
      <c r="J415" s="184"/>
      <c r="Q415" s="184"/>
      <c r="S415" s="543"/>
      <c r="T415" s="543"/>
    </row>
    <row r="416">
      <c r="D416" s="184"/>
      <c r="H416" s="184"/>
      <c r="I416" s="184"/>
      <c r="J416" s="184"/>
      <c r="Q416" s="184"/>
      <c r="S416" s="543"/>
      <c r="T416" s="543"/>
    </row>
    <row r="417">
      <c r="D417" s="184"/>
      <c r="H417" s="184"/>
      <c r="I417" s="184"/>
      <c r="J417" s="184"/>
      <c r="Q417" s="184"/>
      <c r="S417" s="543"/>
      <c r="T417" s="543"/>
    </row>
    <row r="418">
      <c r="D418" s="184"/>
      <c r="H418" s="184"/>
      <c r="I418" s="184"/>
      <c r="J418" s="184"/>
      <c r="Q418" s="184"/>
      <c r="S418" s="543"/>
      <c r="T418" s="543"/>
    </row>
    <row r="419">
      <c r="D419" s="184"/>
      <c r="H419" s="184"/>
      <c r="I419" s="184"/>
      <c r="J419" s="184"/>
      <c r="Q419" s="184"/>
      <c r="S419" s="543"/>
      <c r="T419" s="543"/>
    </row>
    <row r="420">
      <c r="D420" s="184"/>
      <c r="H420" s="184"/>
      <c r="I420" s="184"/>
      <c r="J420" s="184"/>
      <c r="Q420" s="184"/>
      <c r="S420" s="543"/>
      <c r="T420" s="543"/>
    </row>
    <row r="421">
      <c r="D421" s="184"/>
      <c r="H421" s="184"/>
      <c r="I421" s="184"/>
      <c r="J421" s="184"/>
      <c r="Q421" s="184"/>
      <c r="S421" s="543"/>
      <c r="T421" s="543"/>
    </row>
    <row r="422">
      <c r="D422" s="184"/>
      <c r="H422" s="184"/>
      <c r="I422" s="184"/>
      <c r="J422" s="184"/>
      <c r="Q422" s="184"/>
      <c r="S422" s="543"/>
      <c r="T422" s="543"/>
    </row>
    <row r="423">
      <c r="D423" s="184"/>
      <c r="H423" s="184"/>
      <c r="I423" s="184"/>
      <c r="J423" s="184"/>
      <c r="Q423" s="184"/>
      <c r="S423" s="543"/>
      <c r="T423" s="543"/>
    </row>
    <row r="424">
      <c r="D424" s="184"/>
      <c r="H424" s="184"/>
      <c r="I424" s="184"/>
      <c r="J424" s="184"/>
      <c r="Q424" s="184"/>
      <c r="S424" s="543"/>
      <c r="T424" s="543"/>
    </row>
    <row r="425">
      <c r="D425" s="184"/>
      <c r="H425" s="184"/>
      <c r="I425" s="184"/>
      <c r="J425" s="184"/>
      <c r="Q425" s="184"/>
      <c r="S425" s="543"/>
      <c r="T425" s="543"/>
    </row>
    <row r="426">
      <c r="D426" s="184"/>
      <c r="H426" s="184"/>
      <c r="I426" s="184"/>
      <c r="J426" s="184"/>
      <c r="Q426" s="184"/>
      <c r="S426" s="543"/>
      <c r="T426" s="543"/>
    </row>
    <row r="427">
      <c r="D427" s="184"/>
      <c r="H427" s="184"/>
      <c r="I427" s="184"/>
      <c r="J427" s="184"/>
      <c r="Q427" s="184"/>
      <c r="S427" s="543"/>
      <c r="T427" s="543"/>
    </row>
    <row r="428">
      <c r="D428" s="184"/>
      <c r="H428" s="184"/>
      <c r="I428" s="184"/>
      <c r="J428" s="184"/>
      <c r="Q428" s="184"/>
      <c r="S428" s="543"/>
      <c r="T428" s="543"/>
    </row>
    <row r="429">
      <c r="D429" s="184"/>
      <c r="H429" s="184"/>
      <c r="I429" s="184"/>
      <c r="J429" s="184"/>
      <c r="Q429" s="184"/>
      <c r="S429" s="543"/>
      <c r="T429" s="543"/>
    </row>
    <row r="430">
      <c r="D430" s="184"/>
      <c r="H430" s="184"/>
      <c r="I430" s="184"/>
      <c r="J430" s="184"/>
      <c r="Q430" s="184"/>
      <c r="S430" s="543"/>
      <c r="T430" s="543"/>
    </row>
    <row r="431">
      <c r="D431" s="184"/>
      <c r="H431" s="184"/>
      <c r="I431" s="184"/>
      <c r="J431" s="184"/>
      <c r="Q431" s="184"/>
      <c r="S431" s="543"/>
      <c r="T431" s="543"/>
    </row>
    <row r="432">
      <c r="D432" s="184"/>
      <c r="H432" s="184"/>
      <c r="I432" s="184"/>
      <c r="J432" s="184"/>
      <c r="Q432" s="184"/>
      <c r="S432" s="543"/>
      <c r="T432" s="543"/>
    </row>
    <row r="433">
      <c r="D433" s="184"/>
      <c r="H433" s="184"/>
      <c r="I433" s="184"/>
      <c r="J433" s="184"/>
      <c r="Q433" s="184"/>
      <c r="S433" s="543"/>
      <c r="T433" s="543"/>
    </row>
    <row r="434">
      <c r="D434" s="184"/>
      <c r="H434" s="184"/>
      <c r="I434" s="184"/>
      <c r="J434" s="184"/>
      <c r="Q434" s="184"/>
      <c r="S434" s="543"/>
      <c r="T434" s="543"/>
    </row>
    <row r="435">
      <c r="D435" s="184"/>
      <c r="H435" s="184"/>
      <c r="I435" s="184"/>
      <c r="J435" s="184"/>
      <c r="Q435" s="184"/>
      <c r="S435" s="543"/>
      <c r="T435" s="543"/>
    </row>
    <row r="436">
      <c r="D436" s="184"/>
      <c r="H436" s="184"/>
      <c r="I436" s="184"/>
      <c r="J436" s="184"/>
      <c r="Q436" s="184"/>
      <c r="S436" s="543"/>
      <c r="T436" s="543"/>
    </row>
    <row r="437">
      <c r="D437" s="184"/>
      <c r="H437" s="184"/>
      <c r="I437" s="184"/>
      <c r="J437" s="184"/>
      <c r="Q437" s="184"/>
      <c r="S437" s="543"/>
      <c r="T437" s="543"/>
    </row>
    <row r="438">
      <c r="D438" s="184"/>
      <c r="H438" s="184"/>
      <c r="I438" s="184"/>
      <c r="J438" s="184"/>
      <c r="Q438" s="184"/>
      <c r="S438" s="543"/>
      <c r="T438" s="543"/>
    </row>
    <row r="439">
      <c r="D439" s="184"/>
      <c r="H439" s="184"/>
      <c r="I439" s="184"/>
      <c r="J439" s="184"/>
      <c r="Q439" s="184"/>
      <c r="S439" s="543"/>
      <c r="T439" s="543"/>
    </row>
    <row r="440">
      <c r="D440" s="184"/>
      <c r="H440" s="184"/>
      <c r="I440" s="184"/>
      <c r="J440" s="184"/>
      <c r="Q440" s="184"/>
      <c r="S440" s="543"/>
      <c r="T440" s="543"/>
    </row>
    <row r="441">
      <c r="D441" s="184"/>
      <c r="H441" s="184"/>
      <c r="I441" s="184"/>
      <c r="J441" s="184"/>
      <c r="Q441" s="184"/>
      <c r="S441" s="543"/>
      <c r="T441" s="543"/>
    </row>
    <row r="442">
      <c r="D442" s="184"/>
      <c r="H442" s="184"/>
      <c r="I442" s="184"/>
      <c r="J442" s="184"/>
      <c r="Q442" s="184"/>
      <c r="S442" s="543"/>
      <c r="T442" s="543"/>
    </row>
    <row r="443">
      <c r="D443" s="184"/>
      <c r="H443" s="184"/>
      <c r="I443" s="184"/>
      <c r="J443" s="184"/>
      <c r="Q443" s="184"/>
      <c r="S443" s="543"/>
      <c r="T443" s="543"/>
    </row>
    <row r="444">
      <c r="D444" s="184"/>
      <c r="H444" s="184"/>
      <c r="I444" s="184"/>
      <c r="J444" s="184"/>
      <c r="Q444" s="184"/>
      <c r="S444" s="543"/>
      <c r="T444" s="543"/>
    </row>
    <row r="445">
      <c r="D445" s="184"/>
      <c r="H445" s="184"/>
      <c r="I445" s="184"/>
      <c r="J445" s="184"/>
      <c r="Q445" s="184"/>
      <c r="S445" s="543"/>
      <c r="T445" s="543"/>
    </row>
    <row r="446">
      <c r="D446" s="184"/>
      <c r="H446" s="184"/>
      <c r="I446" s="184"/>
      <c r="J446" s="184"/>
      <c r="Q446" s="184"/>
      <c r="S446" s="543"/>
      <c r="T446" s="543"/>
    </row>
    <row r="447">
      <c r="D447" s="184"/>
      <c r="H447" s="184"/>
      <c r="I447" s="184"/>
      <c r="J447" s="184"/>
      <c r="Q447" s="184"/>
      <c r="S447" s="543"/>
      <c r="T447" s="543"/>
    </row>
    <row r="448">
      <c r="D448" s="184"/>
      <c r="H448" s="184"/>
      <c r="I448" s="184"/>
      <c r="J448" s="184"/>
      <c r="Q448" s="184"/>
      <c r="S448" s="543"/>
      <c r="T448" s="543"/>
    </row>
    <row r="449">
      <c r="D449" s="184"/>
      <c r="H449" s="184"/>
      <c r="I449" s="184"/>
      <c r="J449" s="184"/>
      <c r="Q449" s="184"/>
      <c r="S449" s="543"/>
      <c r="T449" s="543"/>
    </row>
    <row r="450">
      <c r="D450" s="184"/>
      <c r="H450" s="184"/>
      <c r="I450" s="184"/>
      <c r="J450" s="184"/>
      <c r="Q450" s="184"/>
      <c r="S450" s="543"/>
      <c r="T450" s="543"/>
    </row>
    <row r="451">
      <c r="D451" s="184"/>
      <c r="H451" s="184"/>
      <c r="I451" s="184"/>
      <c r="J451" s="184"/>
      <c r="Q451" s="184"/>
      <c r="S451" s="543"/>
      <c r="T451" s="543"/>
    </row>
    <row r="452">
      <c r="D452" s="184"/>
      <c r="H452" s="184"/>
      <c r="I452" s="184"/>
      <c r="J452" s="184"/>
      <c r="Q452" s="184"/>
      <c r="S452" s="543"/>
      <c r="T452" s="543"/>
    </row>
    <row r="453">
      <c r="D453" s="184"/>
      <c r="H453" s="184"/>
      <c r="I453" s="184"/>
      <c r="J453" s="184"/>
      <c r="Q453" s="184"/>
      <c r="S453" s="543"/>
      <c r="T453" s="543"/>
    </row>
    <row r="454">
      <c r="D454" s="184"/>
      <c r="H454" s="184"/>
      <c r="I454" s="184"/>
      <c r="J454" s="184"/>
      <c r="Q454" s="184"/>
      <c r="S454" s="543"/>
      <c r="T454" s="543"/>
    </row>
    <row r="455">
      <c r="D455" s="184"/>
      <c r="H455" s="184"/>
      <c r="I455" s="184"/>
      <c r="J455" s="184"/>
      <c r="Q455" s="184"/>
      <c r="S455" s="543"/>
      <c r="T455" s="543"/>
    </row>
    <row r="456">
      <c r="D456" s="184"/>
      <c r="H456" s="184"/>
      <c r="I456" s="184"/>
      <c r="J456" s="184"/>
      <c r="Q456" s="184"/>
      <c r="S456" s="543"/>
      <c r="T456" s="543"/>
    </row>
    <row r="457">
      <c r="D457" s="184"/>
      <c r="H457" s="184"/>
      <c r="I457" s="184"/>
      <c r="J457" s="184"/>
      <c r="Q457" s="184"/>
      <c r="S457" s="543"/>
      <c r="T457" s="543"/>
    </row>
    <row r="458">
      <c r="D458" s="184"/>
      <c r="H458" s="184"/>
      <c r="I458" s="184"/>
      <c r="J458" s="184"/>
      <c r="Q458" s="184"/>
      <c r="S458" s="543"/>
      <c r="T458" s="543"/>
    </row>
    <row r="459">
      <c r="D459" s="184"/>
      <c r="H459" s="184"/>
      <c r="I459" s="184"/>
      <c r="J459" s="184"/>
      <c r="Q459" s="184"/>
      <c r="S459" s="543"/>
      <c r="T459" s="543"/>
    </row>
    <row r="460">
      <c r="D460" s="184"/>
      <c r="H460" s="184"/>
      <c r="I460" s="184"/>
      <c r="J460" s="184"/>
      <c r="Q460" s="184"/>
      <c r="S460" s="543"/>
      <c r="T460" s="543"/>
    </row>
    <row r="461">
      <c r="D461" s="184"/>
      <c r="H461" s="184"/>
      <c r="I461" s="184"/>
      <c r="J461" s="184"/>
      <c r="Q461" s="184"/>
      <c r="S461" s="543"/>
      <c r="T461" s="543"/>
    </row>
    <row r="462">
      <c r="D462" s="184"/>
      <c r="H462" s="184"/>
      <c r="I462" s="184"/>
      <c r="J462" s="184"/>
      <c r="Q462" s="184"/>
      <c r="S462" s="543"/>
      <c r="T462" s="543"/>
    </row>
    <row r="463">
      <c r="D463" s="184"/>
      <c r="H463" s="184"/>
      <c r="I463" s="184"/>
      <c r="J463" s="184"/>
      <c r="Q463" s="184"/>
      <c r="S463" s="543"/>
      <c r="T463" s="543"/>
    </row>
    <row r="464">
      <c r="D464" s="184"/>
      <c r="H464" s="184"/>
      <c r="I464" s="184"/>
      <c r="J464" s="184"/>
      <c r="Q464" s="184"/>
      <c r="S464" s="543"/>
      <c r="T464" s="543"/>
    </row>
    <row r="465">
      <c r="D465" s="184"/>
      <c r="H465" s="184"/>
      <c r="I465" s="184"/>
      <c r="J465" s="184"/>
      <c r="Q465" s="184"/>
      <c r="S465" s="543"/>
      <c r="T465" s="543"/>
    </row>
    <row r="466">
      <c r="D466" s="184"/>
      <c r="H466" s="184"/>
      <c r="I466" s="184"/>
      <c r="J466" s="184"/>
      <c r="Q466" s="184"/>
      <c r="S466" s="543"/>
      <c r="T466" s="543"/>
    </row>
    <row r="467">
      <c r="D467" s="184"/>
      <c r="H467" s="184"/>
      <c r="I467" s="184"/>
      <c r="J467" s="184"/>
      <c r="Q467" s="184"/>
      <c r="S467" s="543"/>
      <c r="T467" s="543"/>
    </row>
    <row r="468">
      <c r="D468" s="184"/>
      <c r="H468" s="184"/>
      <c r="I468" s="184"/>
      <c r="J468" s="184"/>
      <c r="Q468" s="184"/>
      <c r="S468" s="543"/>
      <c r="T468" s="543"/>
    </row>
    <row r="469">
      <c r="D469" s="184"/>
      <c r="H469" s="184"/>
      <c r="I469" s="184"/>
      <c r="J469" s="184"/>
      <c r="Q469" s="184"/>
      <c r="S469" s="543"/>
      <c r="T469" s="543"/>
    </row>
    <row r="470">
      <c r="D470" s="184"/>
      <c r="H470" s="184"/>
      <c r="I470" s="184"/>
      <c r="J470" s="184"/>
      <c r="Q470" s="184"/>
      <c r="S470" s="543"/>
      <c r="T470" s="543"/>
    </row>
    <row r="471">
      <c r="D471" s="184"/>
      <c r="H471" s="184"/>
      <c r="I471" s="184"/>
      <c r="J471" s="184"/>
      <c r="Q471" s="184"/>
      <c r="S471" s="543"/>
      <c r="T471" s="543"/>
    </row>
    <row r="472">
      <c r="D472" s="184"/>
      <c r="H472" s="184"/>
      <c r="I472" s="184"/>
      <c r="J472" s="184"/>
      <c r="Q472" s="184"/>
      <c r="S472" s="543"/>
      <c r="T472" s="543"/>
    </row>
    <row r="473">
      <c r="D473" s="184"/>
      <c r="H473" s="184"/>
      <c r="I473" s="184"/>
      <c r="J473" s="184"/>
      <c r="Q473" s="184"/>
      <c r="S473" s="543"/>
      <c r="T473" s="543"/>
    </row>
    <row r="474">
      <c r="D474" s="184"/>
      <c r="H474" s="184"/>
      <c r="I474" s="184"/>
      <c r="J474" s="184"/>
      <c r="Q474" s="184"/>
      <c r="S474" s="543"/>
      <c r="T474" s="543"/>
    </row>
    <row r="475">
      <c r="D475" s="184"/>
      <c r="H475" s="184"/>
      <c r="I475" s="184"/>
      <c r="J475" s="184"/>
      <c r="Q475" s="184"/>
      <c r="S475" s="543"/>
      <c r="T475" s="543"/>
    </row>
    <row r="476">
      <c r="D476" s="184"/>
      <c r="H476" s="184"/>
      <c r="I476" s="184"/>
      <c r="J476" s="184"/>
      <c r="Q476" s="184"/>
      <c r="S476" s="543"/>
      <c r="T476" s="543"/>
    </row>
    <row r="477">
      <c r="D477" s="184"/>
      <c r="H477" s="184"/>
      <c r="I477" s="184"/>
      <c r="J477" s="184"/>
      <c r="Q477" s="184"/>
      <c r="S477" s="543"/>
      <c r="T477" s="543"/>
    </row>
    <row r="478">
      <c r="D478" s="184"/>
      <c r="H478" s="184"/>
      <c r="I478" s="184"/>
      <c r="J478" s="184"/>
      <c r="Q478" s="184"/>
      <c r="S478" s="543"/>
      <c r="T478" s="543"/>
    </row>
    <row r="479">
      <c r="D479" s="184"/>
      <c r="H479" s="184"/>
      <c r="I479" s="184"/>
      <c r="J479" s="184"/>
      <c r="Q479" s="184"/>
      <c r="S479" s="543"/>
      <c r="T479" s="543"/>
    </row>
    <row r="480">
      <c r="D480" s="184"/>
      <c r="H480" s="184"/>
      <c r="I480" s="184"/>
      <c r="J480" s="184"/>
      <c r="Q480" s="184"/>
      <c r="S480" s="543"/>
      <c r="T480" s="543"/>
    </row>
    <row r="481">
      <c r="D481" s="184"/>
      <c r="H481" s="184"/>
      <c r="I481" s="184"/>
      <c r="J481" s="184"/>
      <c r="Q481" s="184"/>
      <c r="S481" s="543"/>
      <c r="T481" s="543"/>
    </row>
    <row r="482">
      <c r="D482" s="184"/>
      <c r="H482" s="184"/>
      <c r="I482" s="184"/>
      <c r="J482" s="184"/>
      <c r="Q482" s="184"/>
      <c r="S482" s="543"/>
      <c r="T482" s="543"/>
    </row>
    <row r="483">
      <c r="D483" s="184"/>
      <c r="H483" s="184"/>
      <c r="I483" s="184"/>
      <c r="J483" s="184"/>
      <c r="Q483" s="184"/>
      <c r="S483" s="543"/>
      <c r="T483" s="543"/>
    </row>
    <row r="484">
      <c r="D484" s="184"/>
      <c r="H484" s="184"/>
      <c r="I484" s="184"/>
      <c r="J484" s="184"/>
      <c r="Q484" s="184"/>
      <c r="S484" s="543"/>
      <c r="T484" s="543"/>
    </row>
    <row r="485">
      <c r="D485" s="184"/>
      <c r="H485" s="184"/>
      <c r="I485" s="184"/>
      <c r="J485" s="184"/>
      <c r="Q485" s="184"/>
      <c r="S485" s="543"/>
      <c r="T485" s="543"/>
    </row>
    <row r="486">
      <c r="D486" s="184"/>
      <c r="H486" s="184"/>
      <c r="I486" s="184"/>
      <c r="J486" s="184"/>
      <c r="Q486" s="184"/>
      <c r="S486" s="543"/>
      <c r="T486" s="543"/>
    </row>
    <row r="487">
      <c r="D487" s="184"/>
      <c r="H487" s="184"/>
      <c r="I487" s="184"/>
      <c r="J487" s="184"/>
      <c r="Q487" s="184"/>
      <c r="S487" s="543"/>
      <c r="T487" s="543"/>
    </row>
    <row r="488">
      <c r="D488" s="184"/>
      <c r="H488" s="184"/>
      <c r="I488" s="184"/>
      <c r="J488" s="184"/>
      <c r="Q488" s="184"/>
      <c r="S488" s="543"/>
      <c r="T488" s="543"/>
    </row>
    <row r="489">
      <c r="D489" s="184"/>
      <c r="H489" s="184"/>
      <c r="I489" s="184"/>
      <c r="J489" s="184"/>
      <c r="Q489" s="184"/>
      <c r="S489" s="543"/>
      <c r="T489" s="543"/>
    </row>
    <row r="490">
      <c r="D490" s="184"/>
      <c r="H490" s="184"/>
      <c r="I490" s="184"/>
      <c r="J490" s="184"/>
      <c r="Q490" s="184"/>
      <c r="S490" s="543"/>
      <c r="T490" s="543"/>
    </row>
    <row r="491">
      <c r="D491" s="184"/>
      <c r="H491" s="184"/>
      <c r="I491" s="184"/>
      <c r="J491" s="184"/>
      <c r="Q491" s="184"/>
      <c r="S491" s="543"/>
      <c r="T491" s="543"/>
    </row>
    <row r="492">
      <c r="D492" s="184"/>
      <c r="H492" s="184"/>
      <c r="I492" s="184"/>
      <c r="J492" s="184"/>
      <c r="Q492" s="184"/>
      <c r="S492" s="543"/>
      <c r="T492" s="543"/>
    </row>
    <row r="493">
      <c r="D493" s="184"/>
      <c r="H493" s="184"/>
      <c r="I493" s="184"/>
      <c r="J493" s="184"/>
      <c r="Q493" s="184"/>
      <c r="S493" s="543"/>
      <c r="T493" s="543"/>
    </row>
    <row r="494">
      <c r="D494" s="184"/>
      <c r="H494" s="184"/>
      <c r="I494" s="184"/>
      <c r="J494" s="184"/>
      <c r="Q494" s="184"/>
      <c r="S494" s="543"/>
      <c r="T494" s="543"/>
    </row>
    <row r="495">
      <c r="D495" s="184"/>
      <c r="H495" s="184"/>
      <c r="I495" s="184"/>
      <c r="J495" s="184"/>
      <c r="Q495" s="184"/>
      <c r="S495" s="543"/>
      <c r="T495" s="543"/>
    </row>
    <row r="496">
      <c r="D496" s="184"/>
      <c r="H496" s="184"/>
      <c r="I496" s="184"/>
      <c r="J496" s="184"/>
      <c r="Q496" s="184"/>
      <c r="S496" s="543"/>
      <c r="T496" s="543"/>
    </row>
    <row r="497">
      <c r="D497" s="184"/>
      <c r="H497" s="184"/>
      <c r="I497" s="184"/>
      <c r="J497" s="184"/>
      <c r="Q497" s="184"/>
      <c r="S497" s="543"/>
      <c r="T497" s="543"/>
    </row>
    <row r="498">
      <c r="D498" s="184"/>
      <c r="H498" s="184"/>
      <c r="I498" s="184"/>
      <c r="J498" s="184"/>
      <c r="Q498" s="184"/>
      <c r="S498" s="543"/>
      <c r="T498" s="543"/>
    </row>
    <row r="499">
      <c r="D499" s="184"/>
      <c r="H499" s="184"/>
      <c r="I499" s="184"/>
      <c r="J499" s="184"/>
      <c r="Q499" s="184"/>
      <c r="S499" s="543"/>
      <c r="T499" s="543"/>
    </row>
    <row r="500">
      <c r="D500" s="184"/>
      <c r="H500" s="184"/>
      <c r="I500" s="184"/>
      <c r="J500" s="184"/>
      <c r="Q500" s="184"/>
      <c r="S500" s="543"/>
      <c r="T500" s="543"/>
    </row>
    <row r="501">
      <c r="D501" s="184"/>
      <c r="H501" s="184"/>
      <c r="I501" s="184"/>
      <c r="J501" s="184"/>
      <c r="Q501" s="184"/>
      <c r="S501" s="543"/>
      <c r="T501" s="543"/>
    </row>
    <row r="502">
      <c r="D502" s="184"/>
      <c r="H502" s="184"/>
      <c r="I502" s="184"/>
      <c r="J502" s="184"/>
      <c r="Q502" s="184"/>
      <c r="S502" s="543"/>
      <c r="T502" s="543"/>
    </row>
    <row r="503">
      <c r="D503" s="184"/>
      <c r="H503" s="184"/>
      <c r="I503" s="184"/>
      <c r="J503" s="184"/>
      <c r="Q503" s="184"/>
      <c r="S503" s="543"/>
      <c r="T503" s="543"/>
    </row>
    <row r="504">
      <c r="D504" s="184"/>
      <c r="H504" s="184"/>
      <c r="I504" s="184"/>
      <c r="J504" s="184"/>
      <c r="Q504" s="184"/>
      <c r="S504" s="543"/>
      <c r="T504" s="543"/>
    </row>
    <row r="505">
      <c r="D505" s="184"/>
      <c r="H505" s="184"/>
      <c r="I505" s="184"/>
      <c r="J505" s="184"/>
      <c r="Q505" s="184"/>
      <c r="S505" s="543"/>
      <c r="T505" s="543"/>
    </row>
    <row r="506">
      <c r="D506" s="184"/>
      <c r="H506" s="184"/>
      <c r="I506" s="184"/>
      <c r="J506" s="184"/>
      <c r="Q506" s="184"/>
      <c r="S506" s="543"/>
      <c r="T506" s="543"/>
    </row>
    <row r="507">
      <c r="D507" s="184"/>
      <c r="H507" s="184"/>
      <c r="I507" s="184"/>
      <c r="J507" s="184"/>
      <c r="Q507" s="184"/>
      <c r="S507" s="543"/>
      <c r="T507" s="543"/>
    </row>
    <row r="508">
      <c r="D508" s="184"/>
      <c r="H508" s="184"/>
      <c r="I508" s="184"/>
      <c r="J508" s="184"/>
      <c r="Q508" s="184"/>
      <c r="S508" s="543"/>
      <c r="T508" s="543"/>
    </row>
    <row r="509">
      <c r="D509" s="184"/>
      <c r="H509" s="184"/>
      <c r="I509" s="184"/>
      <c r="J509" s="184"/>
      <c r="Q509" s="184"/>
      <c r="S509" s="543"/>
      <c r="T509" s="543"/>
    </row>
    <row r="510">
      <c r="D510" s="184"/>
      <c r="H510" s="184"/>
      <c r="I510" s="184"/>
      <c r="J510" s="184"/>
      <c r="Q510" s="184"/>
      <c r="S510" s="543"/>
      <c r="T510" s="543"/>
    </row>
    <row r="511">
      <c r="D511" s="184"/>
      <c r="H511" s="184"/>
      <c r="I511" s="184"/>
      <c r="J511" s="184"/>
      <c r="Q511" s="184"/>
      <c r="S511" s="543"/>
      <c r="T511" s="543"/>
    </row>
    <row r="512">
      <c r="D512" s="184"/>
      <c r="H512" s="184"/>
      <c r="I512" s="184"/>
      <c r="J512" s="184"/>
      <c r="Q512" s="184"/>
      <c r="S512" s="543"/>
      <c r="T512" s="543"/>
    </row>
    <row r="513">
      <c r="D513" s="184"/>
      <c r="H513" s="184"/>
      <c r="I513" s="184"/>
      <c r="J513" s="184"/>
      <c r="Q513" s="184"/>
      <c r="S513" s="543"/>
      <c r="T513" s="543"/>
    </row>
    <row r="514">
      <c r="D514" s="184"/>
      <c r="H514" s="184"/>
      <c r="I514" s="184"/>
      <c r="J514" s="184"/>
      <c r="Q514" s="184"/>
      <c r="S514" s="543"/>
      <c r="T514" s="543"/>
    </row>
    <row r="515">
      <c r="D515" s="184"/>
      <c r="H515" s="184"/>
      <c r="I515" s="184"/>
      <c r="J515" s="184"/>
      <c r="Q515" s="184"/>
      <c r="S515" s="543"/>
      <c r="T515" s="543"/>
    </row>
    <row r="516">
      <c r="D516" s="184"/>
      <c r="H516" s="184"/>
      <c r="I516" s="184"/>
      <c r="J516" s="184"/>
      <c r="Q516" s="184"/>
      <c r="S516" s="543"/>
      <c r="T516" s="543"/>
    </row>
    <row r="517">
      <c r="D517" s="184"/>
      <c r="H517" s="184"/>
      <c r="I517" s="184"/>
      <c r="J517" s="184"/>
      <c r="Q517" s="184"/>
      <c r="S517" s="543"/>
      <c r="T517" s="543"/>
    </row>
    <row r="518">
      <c r="D518" s="184"/>
      <c r="H518" s="184"/>
      <c r="I518" s="184"/>
      <c r="J518" s="184"/>
      <c r="Q518" s="184"/>
      <c r="S518" s="543"/>
      <c r="T518" s="543"/>
    </row>
    <row r="519">
      <c r="D519" s="184"/>
      <c r="H519" s="184"/>
      <c r="I519" s="184"/>
      <c r="J519" s="184"/>
      <c r="Q519" s="184"/>
      <c r="S519" s="543"/>
      <c r="T519" s="543"/>
    </row>
    <row r="520">
      <c r="D520" s="184"/>
      <c r="H520" s="184"/>
      <c r="I520" s="184"/>
      <c r="J520" s="184"/>
      <c r="Q520" s="184"/>
      <c r="S520" s="543"/>
      <c r="T520" s="543"/>
    </row>
    <row r="521">
      <c r="D521" s="184"/>
      <c r="H521" s="184"/>
      <c r="I521" s="184"/>
      <c r="J521" s="184"/>
      <c r="Q521" s="184"/>
      <c r="S521" s="543"/>
      <c r="T521" s="543"/>
    </row>
    <row r="522">
      <c r="D522" s="184"/>
      <c r="H522" s="184"/>
      <c r="I522" s="184"/>
      <c r="J522" s="184"/>
      <c r="Q522" s="184"/>
      <c r="S522" s="543"/>
      <c r="T522" s="543"/>
    </row>
    <row r="523">
      <c r="D523" s="184"/>
      <c r="H523" s="184"/>
      <c r="I523" s="184"/>
      <c r="J523" s="184"/>
      <c r="Q523" s="184"/>
      <c r="S523" s="543"/>
      <c r="T523" s="543"/>
    </row>
    <row r="524">
      <c r="D524" s="184"/>
      <c r="H524" s="184"/>
      <c r="I524" s="184"/>
      <c r="J524" s="184"/>
      <c r="Q524" s="184"/>
      <c r="S524" s="543"/>
      <c r="T524" s="543"/>
    </row>
    <row r="525">
      <c r="D525" s="184"/>
      <c r="H525" s="184"/>
      <c r="I525" s="184"/>
      <c r="J525" s="184"/>
      <c r="Q525" s="184"/>
      <c r="S525" s="543"/>
      <c r="T525" s="543"/>
    </row>
    <row r="526">
      <c r="D526" s="184"/>
      <c r="H526" s="184"/>
      <c r="I526" s="184"/>
      <c r="J526" s="184"/>
      <c r="Q526" s="184"/>
      <c r="S526" s="543"/>
      <c r="T526" s="543"/>
    </row>
    <row r="527">
      <c r="D527" s="184"/>
      <c r="H527" s="184"/>
      <c r="I527" s="184"/>
      <c r="J527" s="184"/>
      <c r="Q527" s="184"/>
      <c r="S527" s="543"/>
      <c r="T527" s="543"/>
    </row>
    <row r="528">
      <c r="D528" s="184"/>
      <c r="H528" s="184"/>
      <c r="I528" s="184"/>
      <c r="J528" s="184"/>
      <c r="Q528" s="184"/>
      <c r="S528" s="543"/>
      <c r="T528" s="543"/>
    </row>
    <row r="529">
      <c r="D529" s="184"/>
      <c r="H529" s="184"/>
      <c r="I529" s="184"/>
      <c r="J529" s="184"/>
      <c r="Q529" s="184"/>
      <c r="S529" s="543"/>
      <c r="T529" s="543"/>
    </row>
    <row r="530">
      <c r="D530" s="184"/>
      <c r="H530" s="184"/>
      <c r="I530" s="184"/>
      <c r="J530" s="184"/>
      <c r="Q530" s="184"/>
      <c r="S530" s="543"/>
      <c r="T530" s="543"/>
    </row>
    <row r="531">
      <c r="D531" s="184"/>
      <c r="H531" s="184"/>
      <c r="I531" s="184"/>
      <c r="J531" s="184"/>
      <c r="Q531" s="184"/>
      <c r="S531" s="543"/>
      <c r="T531" s="543"/>
    </row>
    <row r="532">
      <c r="D532" s="184"/>
      <c r="H532" s="184"/>
      <c r="I532" s="184"/>
      <c r="J532" s="184"/>
      <c r="Q532" s="184"/>
      <c r="S532" s="543"/>
      <c r="T532" s="543"/>
    </row>
    <row r="533">
      <c r="D533" s="184"/>
      <c r="H533" s="184"/>
      <c r="I533" s="184"/>
      <c r="J533" s="184"/>
      <c r="Q533" s="184"/>
      <c r="S533" s="543"/>
      <c r="T533" s="543"/>
    </row>
    <row r="534">
      <c r="D534" s="184"/>
      <c r="H534" s="184"/>
      <c r="I534" s="184"/>
      <c r="J534" s="184"/>
      <c r="Q534" s="184"/>
      <c r="S534" s="543"/>
      <c r="T534" s="543"/>
    </row>
    <row r="535">
      <c r="D535" s="184"/>
      <c r="H535" s="184"/>
      <c r="I535" s="184"/>
      <c r="J535" s="184"/>
      <c r="Q535" s="184"/>
      <c r="S535" s="543"/>
      <c r="T535" s="543"/>
    </row>
    <row r="536">
      <c r="D536" s="184"/>
      <c r="H536" s="184"/>
      <c r="I536" s="184"/>
      <c r="J536" s="184"/>
      <c r="Q536" s="184"/>
      <c r="S536" s="543"/>
      <c r="T536" s="543"/>
    </row>
    <row r="537">
      <c r="D537" s="184"/>
      <c r="H537" s="184"/>
      <c r="I537" s="184"/>
      <c r="J537" s="184"/>
      <c r="Q537" s="184"/>
      <c r="S537" s="543"/>
      <c r="T537" s="543"/>
    </row>
    <row r="538">
      <c r="D538" s="184"/>
      <c r="H538" s="184"/>
      <c r="I538" s="184"/>
      <c r="J538" s="184"/>
      <c r="Q538" s="184"/>
      <c r="S538" s="543"/>
      <c r="T538" s="543"/>
    </row>
    <row r="539">
      <c r="D539" s="184"/>
      <c r="H539" s="184"/>
      <c r="I539" s="184"/>
      <c r="J539" s="184"/>
      <c r="Q539" s="184"/>
      <c r="S539" s="543"/>
      <c r="T539" s="543"/>
    </row>
    <row r="540">
      <c r="D540" s="184"/>
      <c r="H540" s="184"/>
      <c r="I540" s="184"/>
      <c r="J540" s="184"/>
      <c r="Q540" s="184"/>
      <c r="S540" s="543"/>
      <c r="T540" s="543"/>
    </row>
    <row r="541">
      <c r="D541" s="184"/>
      <c r="H541" s="184"/>
      <c r="I541" s="184"/>
      <c r="J541" s="184"/>
      <c r="Q541" s="184"/>
      <c r="S541" s="543"/>
      <c r="T541" s="543"/>
    </row>
    <row r="542">
      <c r="D542" s="184"/>
      <c r="H542" s="184"/>
      <c r="I542" s="184"/>
      <c r="J542" s="184"/>
      <c r="Q542" s="184"/>
      <c r="S542" s="543"/>
      <c r="T542" s="543"/>
    </row>
    <row r="543">
      <c r="D543" s="184"/>
      <c r="H543" s="184"/>
      <c r="I543" s="184"/>
      <c r="J543" s="184"/>
      <c r="Q543" s="184"/>
      <c r="S543" s="543"/>
      <c r="T543" s="543"/>
    </row>
    <row r="544">
      <c r="D544" s="184"/>
      <c r="H544" s="184"/>
      <c r="I544" s="184"/>
      <c r="J544" s="184"/>
      <c r="Q544" s="184"/>
      <c r="S544" s="543"/>
      <c r="T544" s="543"/>
    </row>
    <row r="545">
      <c r="D545" s="184"/>
      <c r="H545" s="184"/>
      <c r="I545" s="184"/>
      <c r="J545" s="184"/>
      <c r="Q545" s="184"/>
      <c r="S545" s="543"/>
      <c r="T545" s="543"/>
    </row>
    <row r="546">
      <c r="D546" s="184"/>
      <c r="H546" s="184"/>
      <c r="I546" s="184"/>
      <c r="J546" s="184"/>
      <c r="Q546" s="184"/>
      <c r="S546" s="543"/>
      <c r="T546" s="543"/>
    </row>
    <row r="547">
      <c r="D547" s="184"/>
      <c r="H547" s="184"/>
      <c r="I547" s="184"/>
      <c r="J547" s="184"/>
      <c r="Q547" s="184"/>
      <c r="S547" s="543"/>
      <c r="T547" s="543"/>
    </row>
    <row r="548">
      <c r="D548" s="184"/>
      <c r="H548" s="184"/>
      <c r="I548" s="184"/>
      <c r="J548" s="184"/>
      <c r="Q548" s="184"/>
      <c r="S548" s="543"/>
      <c r="T548" s="543"/>
    </row>
    <row r="549">
      <c r="D549" s="184"/>
      <c r="H549" s="184"/>
      <c r="I549" s="184"/>
      <c r="J549" s="184"/>
      <c r="Q549" s="184"/>
      <c r="S549" s="543"/>
      <c r="T549" s="543"/>
    </row>
    <row r="550">
      <c r="D550" s="184"/>
      <c r="H550" s="184"/>
      <c r="I550" s="184"/>
      <c r="J550" s="184"/>
      <c r="Q550" s="184"/>
      <c r="S550" s="543"/>
      <c r="T550" s="543"/>
    </row>
    <row r="551">
      <c r="D551" s="184"/>
      <c r="H551" s="184"/>
      <c r="I551" s="184"/>
      <c r="J551" s="184"/>
      <c r="Q551" s="184"/>
      <c r="S551" s="543"/>
      <c r="T551" s="543"/>
    </row>
    <row r="552">
      <c r="D552" s="184"/>
      <c r="H552" s="184"/>
      <c r="I552" s="184"/>
      <c r="J552" s="184"/>
      <c r="Q552" s="184"/>
      <c r="S552" s="543"/>
      <c r="T552" s="543"/>
    </row>
    <row r="553">
      <c r="D553" s="184"/>
      <c r="H553" s="184"/>
      <c r="I553" s="184"/>
      <c r="J553" s="184"/>
      <c r="Q553" s="184"/>
      <c r="S553" s="543"/>
      <c r="T553" s="543"/>
    </row>
    <row r="554">
      <c r="D554" s="184"/>
      <c r="H554" s="184"/>
      <c r="I554" s="184"/>
      <c r="J554" s="184"/>
      <c r="Q554" s="184"/>
      <c r="S554" s="543"/>
      <c r="T554" s="543"/>
    </row>
    <row r="555">
      <c r="D555" s="184"/>
      <c r="H555" s="184"/>
      <c r="I555" s="184"/>
      <c r="J555" s="184"/>
      <c r="Q555" s="184"/>
      <c r="S555" s="543"/>
      <c r="T555" s="543"/>
    </row>
    <row r="556">
      <c r="D556" s="184"/>
      <c r="H556" s="184"/>
      <c r="I556" s="184"/>
      <c r="J556" s="184"/>
      <c r="Q556" s="184"/>
      <c r="S556" s="543"/>
      <c r="T556" s="543"/>
    </row>
    <row r="557">
      <c r="D557" s="184"/>
      <c r="H557" s="184"/>
      <c r="I557" s="184"/>
      <c r="J557" s="184"/>
      <c r="Q557" s="184"/>
      <c r="S557" s="543"/>
      <c r="T557" s="543"/>
    </row>
    <row r="558">
      <c r="D558" s="184"/>
      <c r="H558" s="184"/>
      <c r="I558" s="184"/>
      <c r="J558" s="184"/>
      <c r="Q558" s="184"/>
      <c r="S558" s="543"/>
      <c r="T558" s="543"/>
    </row>
    <row r="559">
      <c r="D559" s="184"/>
      <c r="H559" s="184"/>
      <c r="I559" s="184"/>
      <c r="J559" s="184"/>
      <c r="Q559" s="184"/>
      <c r="S559" s="543"/>
      <c r="T559" s="543"/>
    </row>
    <row r="560">
      <c r="D560" s="184"/>
      <c r="H560" s="184"/>
      <c r="I560" s="184"/>
      <c r="J560" s="184"/>
      <c r="Q560" s="184"/>
      <c r="S560" s="543"/>
      <c r="T560" s="543"/>
    </row>
    <row r="561">
      <c r="D561" s="184"/>
      <c r="H561" s="184"/>
      <c r="I561" s="184"/>
      <c r="J561" s="184"/>
      <c r="Q561" s="184"/>
      <c r="S561" s="543"/>
      <c r="T561" s="543"/>
    </row>
    <row r="562">
      <c r="D562" s="184"/>
      <c r="H562" s="184"/>
      <c r="I562" s="184"/>
      <c r="J562" s="184"/>
      <c r="Q562" s="184"/>
      <c r="S562" s="543"/>
      <c r="T562" s="543"/>
    </row>
    <row r="563">
      <c r="D563" s="184"/>
      <c r="H563" s="184"/>
      <c r="I563" s="184"/>
      <c r="J563" s="184"/>
      <c r="Q563" s="184"/>
      <c r="S563" s="543"/>
      <c r="T563" s="543"/>
    </row>
    <row r="564">
      <c r="D564" s="184"/>
      <c r="H564" s="184"/>
      <c r="I564" s="184"/>
      <c r="J564" s="184"/>
      <c r="Q564" s="184"/>
      <c r="S564" s="543"/>
      <c r="T564" s="543"/>
    </row>
    <row r="565">
      <c r="D565" s="184"/>
      <c r="H565" s="184"/>
      <c r="I565" s="184"/>
      <c r="J565" s="184"/>
      <c r="Q565" s="184"/>
      <c r="S565" s="543"/>
      <c r="T565" s="543"/>
    </row>
    <row r="566">
      <c r="D566" s="184"/>
      <c r="H566" s="184"/>
      <c r="I566" s="184"/>
      <c r="J566" s="184"/>
      <c r="Q566" s="184"/>
      <c r="S566" s="543"/>
      <c r="T566" s="543"/>
    </row>
    <row r="567">
      <c r="D567" s="184"/>
      <c r="H567" s="184"/>
      <c r="I567" s="184"/>
      <c r="J567" s="184"/>
      <c r="Q567" s="184"/>
      <c r="S567" s="543"/>
      <c r="T567" s="543"/>
    </row>
    <row r="568">
      <c r="D568" s="184"/>
      <c r="H568" s="184"/>
      <c r="I568" s="184"/>
      <c r="J568" s="184"/>
      <c r="Q568" s="184"/>
      <c r="S568" s="543"/>
      <c r="T568" s="543"/>
    </row>
    <row r="569">
      <c r="D569" s="184"/>
      <c r="H569" s="184"/>
      <c r="I569" s="184"/>
      <c r="J569" s="184"/>
      <c r="Q569" s="184"/>
      <c r="S569" s="543"/>
      <c r="T569" s="543"/>
    </row>
    <row r="570">
      <c r="D570" s="184"/>
      <c r="H570" s="184"/>
      <c r="I570" s="184"/>
      <c r="J570" s="184"/>
      <c r="Q570" s="184"/>
      <c r="S570" s="543"/>
      <c r="T570" s="543"/>
    </row>
    <row r="571">
      <c r="D571" s="184"/>
      <c r="H571" s="184"/>
      <c r="I571" s="184"/>
      <c r="J571" s="184"/>
      <c r="Q571" s="184"/>
      <c r="S571" s="543"/>
      <c r="T571" s="543"/>
    </row>
    <row r="572">
      <c r="D572" s="184"/>
      <c r="H572" s="184"/>
      <c r="I572" s="184"/>
      <c r="J572" s="184"/>
      <c r="Q572" s="184"/>
      <c r="S572" s="543"/>
      <c r="T572" s="543"/>
    </row>
    <row r="573">
      <c r="D573" s="184"/>
      <c r="H573" s="184"/>
      <c r="I573" s="184"/>
      <c r="J573" s="184"/>
      <c r="Q573" s="184"/>
      <c r="S573" s="543"/>
      <c r="T573" s="543"/>
    </row>
    <row r="574">
      <c r="D574" s="184"/>
      <c r="H574" s="184"/>
      <c r="I574" s="184"/>
      <c r="J574" s="184"/>
      <c r="Q574" s="184"/>
      <c r="S574" s="543"/>
      <c r="T574" s="543"/>
    </row>
    <row r="575">
      <c r="D575" s="184"/>
      <c r="H575" s="184"/>
      <c r="I575" s="184"/>
      <c r="J575" s="184"/>
      <c r="Q575" s="184"/>
      <c r="S575" s="543"/>
      <c r="T575" s="543"/>
    </row>
    <row r="576">
      <c r="D576" s="184"/>
      <c r="H576" s="184"/>
      <c r="I576" s="184"/>
      <c r="J576" s="184"/>
      <c r="Q576" s="184"/>
      <c r="S576" s="543"/>
      <c r="T576" s="543"/>
    </row>
    <row r="577">
      <c r="D577" s="184"/>
      <c r="H577" s="184"/>
      <c r="I577" s="184"/>
      <c r="J577" s="184"/>
      <c r="Q577" s="184"/>
      <c r="S577" s="543"/>
      <c r="T577" s="543"/>
    </row>
    <row r="578">
      <c r="D578" s="184"/>
      <c r="H578" s="184"/>
      <c r="I578" s="184"/>
      <c r="J578" s="184"/>
      <c r="Q578" s="184"/>
      <c r="S578" s="543"/>
      <c r="T578" s="543"/>
    </row>
    <row r="579">
      <c r="D579" s="184"/>
      <c r="H579" s="184"/>
      <c r="I579" s="184"/>
      <c r="J579" s="184"/>
      <c r="Q579" s="184"/>
      <c r="S579" s="543"/>
      <c r="T579" s="543"/>
    </row>
    <row r="580">
      <c r="D580" s="184"/>
      <c r="H580" s="184"/>
      <c r="I580" s="184"/>
      <c r="J580" s="184"/>
      <c r="Q580" s="184"/>
      <c r="S580" s="543"/>
      <c r="T580" s="543"/>
    </row>
    <row r="581">
      <c r="D581" s="184"/>
      <c r="H581" s="184"/>
      <c r="I581" s="184"/>
      <c r="J581" s="184"/>
      <c r="Q581" s="184"/>
      <c r="S581" s="543"/>
      <c r="T581" s="543"/>
    </row>
    <row r="582">
      <c r="D582" s="184"/>
      <c r="H582" s="184"/>
      <c r="I582" s="184"/>
      <c r="J582" s="184"/>
      <c r="Q582" s="184"/>
      <c r="S582" s="543"/>
      <c r="T582" s="543"/>
    </row>
    <row r="583">
      <c r="D583" s="184"/>
      <c r="H583" s="184"/>
      <c r="I583" s="184"/>
      <c r="J583" s="184"/>
      <c r="Q583" s="184"/>
      <c r="S583" s="543"/>
      <c r="T583" s="543"/>
    </row>
    <row r="584">
      <c r="D584" s="184"/>
      <c r="H584" s="184"/>
      <c r="I584" s="184"/>
      <c r="J584" s="184"/>
      <c r="Q584" s="184"/>
      <c r="S584" s="543"/>
      <c r="T584" s="543"/>
    </row>
    <row r="585">
      <c r="D585" s="184"/>
      <c r="H585" s="184"/>
      <c r="I585" s="184"/>
      <c r="J585" s="184"/>
      <c r="Q585" s="184"/>
      <c r="S585" s="543"/>
      <c r="T585" s="543"/>
    </row>
    <row r="586">
      <c r="D586" s="184"/>
      <c r="H586" s="184"/>
      <c r="I586" s="184"/>
      <c r="J586" s="184"/>
      <c r="Q586" s="184"/>
      <c r="S586" s="543"/>
      <c r="T586" s="543"/>
    </row>
    <row r="587">
      <c r="D587" s="184"/>
      <c r="H587" s="184"/>
      <c r="I587" s="184"/>
      <c r="J587" s="184"/>
      <c r="Q587" s="184"/>
      <c r="S587" s="543"/>
      <c r="T587" s="543"/>
    </row>
    <row r="588">
      <c r="D588" s="184"/>
      <c r="H588" s="184"/>
      <c r="I588" s="184"/>
      <c r="J588" s="184"/>
      <c r="Q588" s="184"/>
      <c r="S588" s="543"/>
      <c r="T588" s="543"/>
    </row>
    <row r="589">
      <c r="D589" s="184"/>
      <c r="H589" s="184"/>
      <c r="I589" s="184"/>
      <c r="J589" s="184"/>
      <c r="Q589" s="184"/>
      <c r="S589" s="543"/>
      <c r="T589" s="543"/>
    </row>
    <row r="590">
      <c r="D590" s="184"/>
      <c r="H590" s="184"/>
      <c r="I590" s="184"/>
      <c r="J590" s="184"/>
      <c r="Q590" s="184"/>
      <c r="S590" s="543"/>
      <c r="T590" s="543"/>
    </row>
    <row r="591">
      <c r="D591" s="184"/>
      <c r="H591" s="184"/>
      <c r="I591" s="184"/>
      <c r="J591" s="184"/>
      <c r="Q591" s="184"/>
      <c r="S591" s="543"/>
      <c r="T591" s="543"/>
    </row>
    <row r="592">
      <c r="D592" s="184"/>
      <c r="H592" s="184"/>
      <c r="I592" s="184"/>
      <c r="J592" s="184"/>
      <c r="Q592" s="184"/>
      <c r="S592" s="543"/>
      <c r="T592" s="543"/>
    </row>
    <row r="593">
      <c r="D593" s="184"/>
      <c r="H593" s="184"/>
      <c r="I593" s="184"/>
      <c r="J593" s="184"/>
      <c r="Q593" s="184"/>
      <c r="S593" s="543"/>
      <c r="T593" s="543"/>
    </row>
    <row r="594">
      <c r="D594" s="184"/>
      <c r="H594" s="184"/>
      <c r="I594" s="184"/>
      <c r="J594" s="184"/>
      <c r="Q594" s="184"/>
      <c r="S594" s="543"/>
      <c r="T594" s="543"/>
    </row>
    <row r="595">
      <c r="D595" s="184"/>
      <c r="H595" s="184"/>
      <c r="I595" s="184"/>
      <c r="J595" s="184"/>
      <c r="Q595" s="184"/>
      <c r="S595" s="543"/>
      <c r="T595" s="543"/>
    </row>
    <row r="596">
      <c r="D596" s="184"/>
      <c r="H596" s="184"/>
      <c r="I596" s="184"/>
      <c r="J596" s="184"/>
      <c r="Q596" s="184"/>
      <c r="S596" s="543"/>
      <c r="T596" s="543"/>
    </row>
    <row r="597">
      <c r="D597" s="184"/>
      <c r="H597" s="184"/>
      <c r="I597" s="184"/>
      <c r="J597" s="184"/>
      <c r="Q597" s="184"/>
      <c r="S597" s="543"/>
      <c r="T597" s="543"/>
    </row>
    <row r="598">
      <c r="D598" s="184"/>
      <c r="H598" s="184"/>
      <c r="I598" s="184"/>
      <c r="J598" s="184"/>
      <c r="Q598" s="184"/>
      <c r="S598" s="543"/>
      <c r="T598" s="543"/>
    </row>
    <row r="599">
      <c r="D599" s="184"/>
      <c r="H599" s="184"/>
      <c r="I599" s="184"/>
      <c r="J599" s="184"/>
      <c r="Q599" s="184"/>
      <c r="S599" s="543"/>
      <c r="T599" s="543"/>
    </row>
    <row r="600">
      <c r="D600" s="184"/>
      <c r="H600" s="184"/>
      <c r="I600" s="184"/>
      <c r="J600" s="184"/>
      <c r="Q600" s="184"/>
      <c r="S600" s="543"/>
      <c r="T600" s="543"/>
    </row>
    <row r="601">
      <c r="D601" s="184"/>
      <c r="H601" s="184"/>
      <c r="I601" s="184"/>
      <c r="J601" s="184"/>
      <c r="Q601" s="184"/>
      <c r="S601" s="543"/>
      <c r="T601" s="543"/>
    </row>
    <row r="602">
      <c r="D602" s="184"/>
      <c r="H602" s="184"/>
      <c r="I602" s="184"/>
      <c r="J602" s="184"/>
      <c r="Q602" s="184"/>
      <c r="S602" s="543"/>
      <c r="T602" s="543"/>
    </row>
    <row r="603">
      <c r="D603" s="184"/>
      <c r="H603" s="184"/>
      <c r="I603" s="184"/>
      <c r="J603" s="184"/>
      <c r="Q603" s="184"/>
      <c r="S603" s="543"/>
      <c r="T603" s="543"/>
    </row>
    <row r="604">
      <c r="D604" s="184"/>
      <c r="H604" s="184"/>
      <c r="I604" s="184"/>
      <c r="J604" s="184"/>
      <c r="Q604" s="184"/>
      <c r="S604" s="543"/>
      <c r="T604" s="543"/>
    </row>
    <row r="605">
      <c r="D605" s="184"/>
      <c r="H605" s="184"/>
      <c r="I605" s="184"/>
      <c r="J605" s="184"/>
      <c r="Q605" s="184"/>
      <c r="S605" s="543"/>
      <c r="T605" s="543"/>
    </row>
    <row r="606">
      <c r="D606" s="184"/>
      <c r="H606" s="184"/>
      <c r="I606" s="184"/>
      <c r="J606" s="184"/>
      <c r="Q606" s="184"/>
      <c r="S606" s="543"/>
      <c r="T606" s="543"/>
    </row>
    <row r="607">
      <c r="D607" s="184"/>
      <c r="H607" s="184"/>
      <c r="I607" s="184"/>
      <c r="J607" s="184"/>
      <c r="Q607" s="184"/>
      <c r="S607" s="543"/>
      <c r="T607" s="543"/>
    </row>
    <row r="608">
      <c r="D608" s="184"/>
      <c r="H608" s="184"/>
      <c r="I608" s="184"/>
      <c r="J608" s="184"/>
      <c r="Q608" s="184"/>
      <c r="S608" s="543"/>
      <c r="T608" s="543"/>
    </row>
    <row r="609">
      <c r="D609" s="184"/>
      <c r="H609" s="184"/>
      <c r="I609" s="184"/>
      <c r="J609" s="184"/>
      <c r="Q609" s="184"/>
      <c r="S609" s="543"/>
      <c r="T609" s="543"/>
    </row>
    <row r="610">
      <c r="D610" s="184"/>
      <c r="H610" s="184"/>
      <c r="I610" s="184"/>
      <c r="J610" s="184"/>
      <c r="Q610" s="184"/>
      <c r="S610" s="543"/>
      <c r="T610" s="543"/>
    </row>
    <row r="611">
      <c r="D611" s="184"/>
      <c r="H611" s="184"/>
      <c r="I611" s="184"/>
      <c r="J611" s="184"/>
      <c r="Q611" s="184"/>
      <c r="S611" s="543"/>
      <c r="T611" s="543"/>
    </row>
    <row r="612">
      <c r="D612" s="184"/>
      <c r="H612" s="184"/>
      <c r="I612" s="184"/>
      <c r="J612" s="184"/>
      <c r="Q612" s="184"/>
      <c r="S612" s="543"/>
      <c r="T612" s="543"/>
    </row>
    <row r="613">
      <c r="D613" s="184"/>
      <c r="H613" s="184"/>
      <c r="I613" s="184"/>
      <c r="J613" s="184"/>
      <c r="Q613" s="184"/>
      <c r="S613" s="543"/>
      <c r="T613" s="543"/>
    </row>
    <row r="614">
      <c r="D614" s="184"/>
      <c r="H614" s="184"/>
      <c r="I614" s="184"/>
      <c r="J614" s="184"/>
      <c r="Q614" s="184"/>
      <c r="S614" s="543"/>
      <c r="T614" s="543"/>
    </row>
    <row r="615">
      <c r="D615" s="184"/>
      <c r="H615" s="184"/>
      <c r="I615" s="184"/>
      <c r="J615" s="184"/>
      <c r="Q615" s="184"/>
      <c r="S615" s="543"/>
      <c r="T615" s="543"/>
    </row>
    <row r="616">
      <c r="D616" s="184"/>
      <c r="H616" s="184"/>
      <c r="I616" s="184"/>
      <c r="J616" s="184"/>
      <c r="Q616" s="184"/>
      <c r="S616" s="543"/>
      <c r="T616" s="543"/>
    </row>
    <row r="617">
      <c r="D617" s="184"/>
      <c r="H617" s="184"/>
      <c r="I617" s="184"/>
      <c r="J617" s="184"/>
      <c r="Q617" s="184"/>
      <c r="S617" s="543"/>
      <c r="T617" s="543"/>
    </row>
    <row r="618">
      <c r="D618" s="184"/>
      <c r="H618" s="184"/>
      <c r="I618" s="184"/>
      <c r="J618" s="184"/>
      <c r="Q618" s="184"/>
      <c r="S618" s="543"/>
      <c r="T618" s="543"/>
    </row>
    <row r="619">
      <c r="D619" s="184"/>
      <c r="H619" s="184"/>
      <c r="I619" s="184"/>
      <c r="J619" s="184"/>
      <c r="Q619" s="184"/>
      <c r="S619" s="543"/>
      <c r="T619" s="543"/>
    </row>
    <row r="620">
      <c r="D620" s="184"/>
      <c r="H620" s="184"/>
      <c r="I620" s="184"/>
      <c r="J620" s="184"/>
      <c r="Q620" s="184"/>
      <c r="S620" s="543"/>
      <c r="T620" s="543"/>
    </row>
    <row r="621">
      <c r="D621" s="184"/>
      <c r="H621" s="184"/>
      <c r="I621" s="184"/>
      <c r="J621" s="184"/>
      <c r="Q621" s="184"/>
      <c r="S621" s="543"/>
      <c r="T621" s="543"/>
    </row>
    <row r="622">
      <c r="D622" s="184"/>
      <c r="H622" s="184"/>
      <c r="I622" s="184"/>
      <c r="J622" s="184"/>
      <c r="Q622" s="184"/>
      <c r="S622" s="543"/>
      <c r="T622" s="543"/>
    </row>
    <row r="623">
      <c r="D623" s="184"/>
      <c r="H623" s="184"/>
      <c r="I623" s="184"/>
      <c r="J623" s="184"/>
      <c r="Q623" s="184"/>
      <c r="S623" s="543"/>
      <c r="T623" s="543"/>
    </row>
    <row r="624">
      <c r="D624" s="184"/>
      <c r="H624" s="184"/>
      <c r="I624" s="184"/>
      <c r="J624" s="184"/>
      <c r="Q624" s="184"/>
      <c r="S624" s="543"/>
      <c r="T624" s="543"/>
    </row>
    <row r="625">
      <c r="D625" s="184"/>
      <c r="H625" s="184"/>
      <c r="I625" s="184"/>
      <c r="J625" s="184"/>
      <c r="Q625" s="184"/>
      <c r="S625" s="543"/>
      <c r="T625" s="543"/>
    </row>
    <row r="626">
      <c r="D626" s="184"/>
      <c r="H626" s="184"/>
      <c r="I626" s="184"/>
      <c r="J626" s="184"/>
      <c r="Q626" s="184"/>
      <c r="S626" s="543"/>
      <c r="T626" s="543"/>
    </row>
    <row r="627">
      <c r="D627" s="184"/>
      <c r="H627" s="184"/>
      <c r="I627" s="184"/>
      <c r="J627" s="184"/>
      <c r="Q627" s="184"/>
      <c r="S627" s="543"/>
      <c r="T627" s="543"/>
    </row>
    <row r="628">
      <c r="D628" s="184"/>
      <c r="H628" s="184"/>
      <c r="I628" s="184"/>
      <c r="J628" s="184"/>
      <c r="Q628" s="184"/>
      <c r="S628" s="543"/>
      <c r="T628" s="543"/>
    </row>
    <row r="629">
      <c r="D629" s="184"/>
      <c r="H629" s="184"/>
      <c r="I629" s="184"/>
      <c r="J629" s="184"/>
      <c r="Q629" s="184"/>
      <c r="S629" s="543"/>
      <c r="T629" s="543"/>
    </row>
    <row r="630">
      <c r="D630" s="184"/>
      <c r="H630" s="184"/>
      <c r="I630" s="184"/>
      <c r="J630" s="184"/>
      <c r="Q630" s="184"/>
      <c r="S630" s="543"/>
      <c r="T630" s="543"/>
    </row>
    <row r="631">
      <c r="D631" s="184"/>
      <c r="H631" s="184"/>
      <c r="I631" s="184"/>
      <c r="J631" s="184"/>
      <c r="Q631" s="184"/>
      <c r="S631" s="543"/>
      <c r="T631" s="543"/>
    </row>
    <row r="632">
      <c r="D632" s="184"/>
      <c r="H632" s="184"/>
      <c r="I632" s="184"/>
      <c r="J632" s="184"/>
      <c r="Q632" s="184"/>
      <c r="S632" s="543"/>
      <c r="T632" s="543"/>
    </row>
    <row r="633">
      <c r="D633" s="184"/>
      <c r="H633" s="184"/>
      <c r="I633" s="184"/>
      <c r="J633" s="184"/>
      <c r="Q633" s="184"/>
      <c r="S633" s="543"/>
      <c r="T633" s="543"/>
    </row>
    <row r="634">
      <c r="D634" s="184"/>
      <c r="H634" s="184"/>
      <c r="I634" s="184"/>
      <c r="J634" s="184"/>
      <c r="Q634" s="184"/>
      <c r="S634" s="543"/>
      <c r="T634" s="543"/>
    </row>
    <row r="635">
      <c r="D635" s="184"/>
      <c r="H635" s="184"/>
      <c r="I635" s="184"/>
      <c r="J635" s="184"/>
      <c r="Q635" s="184"/>
      <c r="S635" s="543"/>
      <c r="T635" s="543"/>
    </row>
    <row r="636">
      <c r="D636" s="184"/>
      <c r="H636" s="184"/>
      <c r="I636" s="184"/>
      <c r="J636" s="184"/>
      <c r="Q636" s="184"/>
      <c r="S636" s="543"/>
      <c r="T636" s="543"/>
    </row>
    <row r="637">
      <c r="D637" s="184"/>
      <c r="H637" s="184"/>
      <c r="I637" s="184"/>
      <c r="J637" s="184"/>
      <c r="Q637" s="184"/>
      <c r="S637" s="543"/>
      <c r="T637" s="543"/>
    </row>
    <row r="638">
      <c r="D638" s="184"/>
      <c r="H638" s="184"/>
      <c r="I638" s="184"/>
      <c r="J638" s="184"/>
      <c r="Q638" s="184"/>
      <c r="S638" s="543"/>
      <c r="T638" s="543"/>
    </row>
    <row r="639">
      <c r="D639" s="184"/>
      <c r="H639" s="184"/>
      <c r="I639" s="184"/>
      <c r="J639" s="184"/>
      <c r="Q639" s="184"/>
      <c r="S639" s="543"/>
      <c r="T639" s="543"/>
    </row>
    <row r="640">
      <c r="D640" s="184"/>
      <c r="H640" s="184"/>
      <c r="I640" s="184"/>
      <c r="J640" s="184"/>
      <c r="Q640" s="184"/>
      <c r="S640" s="543"/>
      <c r="T640" s="543"/>
    </row>
    <row r="641">
      <c r="D641" s="184"/>
      <c r="H641" s="184"/>
      <c r="I641" s="184"/>
      <c r="J641" s="184"/>
      <c r="Q641" s="184"/>
      <c r="S641" s="543"/>
      <c r="T641" s="543"/>
    </row>
    <row r="642">
      <c r="D642" s="184"/>
      <c r="H642" s="184"/>
      <c r="I642" s="184"/>
      <c r="J642" s="184"/>
      <c r="Q642" s="184"/>
      <c r="S642" s="543"/>
      <c r="T642" s="543"/>
    </row>
    <row r="643">
      <c r="D643" s="184"/>
      <c r="H643" s="184"/>
      <c r="I643" s="184"/>
      <c r="J643" s="184"/>
      <c r="Q643" s="184"/>
      <c r="S643" s="543"/>
      <c r="T643" s="543"/>
    </row>
    <row r="644">
      <c r="D644" s="184"/>
      <c r="H644" s="184"/>
      <c r="I644" s="184"/>
      <c r="J644" s="184"/>
      <c r="Q644" s="184"/>
      <c r="S644" s="543"/>
      <c r="T644" s="543"/>
    </row>
    <row r="645">
      <c r="D645" s="184"/>
      <c r="H645" s="184"/>
      <c r="I645" s="184"/>
      <c r="J645" s="184"/>
      <c r="Q645" s="184"/>
      <c r="S645" s="543"/>
      <c r="T645" s="543"/>
    </row>
    <row r="646">
      <c r="D646" s="184"/>
      <c r="H646" s="184"/>
      <c r="I646" s="184"/>
      <c r="J646" s="184"/>
      <c r="Q646" s="184"/>
      <c r="S646" s="543"/>
      <c r="T646" s="543"/>
    </row>
    <row r="647">
      <c r="D647" s="184"/>
      <c r="H647" s="184"/>
      <c r="I647" s="184"/>
      <c r="J647" s="184"/>
      <c r="Q647" s="184"/>
      <c r="S647" s="543"/>
      <c r="T647" s="543"/>
    </row>
    <row r="648">
      <c r="D648" s="184"/>
      <c r="H648" s="184"/>
      <c r="I648" s="184"/>
      <c r="J648" s="184"/>
      <c r="Q648" s="184"/>
      <c r="S648" s="543"/>
      <c r="T648" s="543"/>
    </row>
    <row r="649">
      <c r="D649" s="184"/>
      <c r="H649" s="184"/>
      <c r="I649" s="184"/>
      <c r="J649" s="184"/>
      <c r="Q649" s="184"/>
      <c r="S649" s="543"/>
      <c r="T649" s="543"/>
    </row>
    <row r="650">
      <c r="D650" s="184"/>
      <c r="H650" s="184"/>
      <c r="I650" s="184"/>
      <c r="J650" s="184"/>
      <c r="Q650" s="184"/>
      <c r="S650" s="543"/>
      <c r="T650" s="543"/>
    </row>
    <row r="651">
      <c r="D651" s="184"/>
      <c r="H651" s="184"/>
      <c r="I651" s="184"/>
      <c r="J651" s="184"/>
      <c r="Q651" s="184"/>
      <c r="S651" s="543"/>
      <c r="T651" s="543"/>
    </row>
    <row r="652">
      <c r="D652" s="184"/>
      <c r="H652" s="184"/>
      <c r="I652" s="184"/>
      <c r="J652" s="184"/>
      <c r="Q652" s="184"/>
      <c r="S652" s="543"/>
      <c r="T652" s="543"/>
    </row>
    <row r="653">
      <c r="D653" s="184"/>
      <c r="H653" s="184"/>
      <c r="I653" s="184"/>
      <c r="J653" s="184"/>
      <c r="Q653" s="184"/>
      <c r="S653" s="543"/>
      <c r="T653" s="543"/>
    </row>
    <row r="654">
      <c r="D654" s="184"/>
      <c r="H654" s="184"/>
      <c r="I654" s="184"/>
      <c r="J654" s="184"/>
      <c r="Q654" s="184"/>
      <c r="S654" s="543"/>
      <c r="T654" s="543"/>
    </row>
    <row r="655">
      <c r="D655" s="184"/>
      <c r="H655" s="184"/>
      <c r="I655" s="184"/>
      <c r="J655" s="184"/>
      <c r="Q655" s="184"/>
      <c r="S655" s="543"/>
      <c r="T655" s="543"/>
    </row>
    <row r="656">
      <c r="D656" s="184"/>
      <c r="H656" s="184"/>
      <c r="I656" s="184"/>
      <c r="J656" s="184"/>
      <c r="Q656" s="184"/>
      <c r="S656" s="543"/>
      <c r="T656" s="543"/>
    </row>
    <row r="657">
      <c r="D657" s="184"/>
      <c r="H657" s="184"/>
      <c r="I657" s="184"/>
      <c r="J657" s="184"/>
      <c r="Q657" s="184"/>
      <c r="S657" s="543"/>
      <c r="T657" s="543"/>
    </row>
    <row r="658">
      <c r="D658" s="184"/>
      <c r="H658" s="184"/>
      <c r="I658" s="184"/>
      <c r="J658" s="184"/>
      <c r="Q658" s="184"/>
      <c r="S658" s="543"/>
      <c r="T658" s="543"/>
    </row>
    <row r="659">
      <c r="D659" s="184"/>
      <c r="H659" s="184"/>
      <c r="I659" s="184"/>
      <c r="J659" s="184"/>
      <c r="Q659" s="184"/>
      <c r="S659" s="543"/>
      <c r="T659" s="543"/>
    </row>
    <row r="660">
      <c r="D660" s="184"/>
      <c r="H660" s="184"/>
      <c r="I660" s="184"/>
      <c r="J660" s="184"/>
      <c r="Q660" s="184"/>
      <c r="S660" s="543"/>
      <c r="T660" s="543"/>
    </row>
    <row r="661">
      <c r="D661" s="184"/>
      <c r="H661" s="184"/>
      <c r="I661" s="184"/>
      <c r="J661" s="184"/>
      <c r="Q661" s="184"/>
      <c r="S661" s="543"/>
      <c r="T661" s="543"/>
    </row>
    <row r="662">
      <c r="D662" s="184"/>
      <c r="H662" s="184"/>
      <c r="I662" s="184"/>
      <c r="J662" s="184"/>
      <c r="Q662" s="184"/>
      <c r="S662" s="543"/>
      <c r="T662" s="543"/>
    </row>
    <row r="663">
      <c r="D663" s="184"/>
      <c r="H663" s="184"/>
      <c r="I663" s="184"/>
      <c r="J663" s="184"/>
      <c r="Q663" s="184"/>
      <c r="S663" s="543"/>
      <c r="T663" s="543"/>
    </row>
    <row r="664">
      <c r="D664" s="184"/>
      <c r="H664" s="184"/>
      <c r="I664" s="184"/>
      <c r="J664" s="184"/>
      <c r="Q664" s="184"/>
      <c r="S664" s="543"/>
      <c r="T664" s="543"/>
    </row>
    <row r="665">
      <c r="D665" s="184"/>
      <c r="H665" s="184"/>
      <c r="I665" s="184"/>
      <c r="J665" s="184"/>
      <c r="Q665" s="184"/>
      <c r="S665" s="543"/>
      <c r="T665" s="543"/>
    </row>
    <row r="666">
      <c r="D666" s="184"/>
      <c r="H666" s="184"/>
      <c r="I666" s="184"/>
      <c r="J666" s="184"/>
      <c r="Q666" s="184"/>
      <c r="S666" s="543"/>
      <c r="T666" s="543"/>
    </row>
    <row r="667">
      <c r="D667" s="184"/>
      <c r="H667" s="184"/>
      <c r="I667" s="184"/>
      <c r="J667" s="184"/>
      <c r="Q667" s="184"/>
      <c r="S667" s="543"/>
      <c r="T667" s="543"/>
    </row>
    <row r="668">
      <c r="D668" s="184"/>
      <c r="H668" s="184"/>
      <c r="I668" s="184"/>
      <c r="J668" s="184"/>
      <c r="Q668" s="184"/>
      <c r="S668" s="543"/>
      <c r="T668" s="543"/>
    </row>
    <row r="669">
      <c r="D669" s="184"/>
      <c r="H669" s="184"/>
      <c r="I669" s="184"/>
      <c r="J669" s="184"/>
      <c r="Q669" s="184"/>
      <c r="S669" s="543"/>
      <c r="T669" s="543"/>
    </row>
    <row r="670">
      <c r="D670" s="184"/>
      <c r="H670" s="184"/>
      <c r="I670" s="184"/>
      <c r="J670" s="184"/>
      <c r="Q670" s="184"/>
      <c r="S670" s="543"/>
      <c r="T670" s="543"/>
    </row>
    <row r="671">
      <c r="D671" s="184"/>
      <c r="H671" s="184"/>
      <c r="I671" s="184"/>
      <c r="J671" s="184"/>
      <c r="Q671" s="184"/>
      <c r="S671" s="543"/>
      <c r="T671" s="543"/>
    </row>
    <row r="672">
      <c r="D672" s="184"/>
      <c r="H672" s="184"/>
      <c r="I672" s="184"/>
      <c r="J672" s="184"/>
      <c r="Q672" s="184"/>
      <c r="S672" s="543"/>
      <c r="T672" s="543"/>
    </row>
    <row r="673">
      <c r="D673" s="184"/>
      <c r="H673" s="184"/>
      <c r="I673" s="184"/>
      <c r="J673" s="184"/>
      <c r="Q673" s="184"/>
      <c r="S673" s="543"/>
      <c r="T673" s="543"/>
    </row>
    <row r="674">
      <c r="D674" s="184"/>
      <c r="H674" s="184"/>
      <c r="I674" s="184"/>
      <c r="J674" s="184"/>
      <c r="Q674" s="184"/>
      <c r="S674" s="543"/>
      <c r="T674" s="543"/>
    </row>
    <row r="675">
      <c r="D675" s="184"/>
      <c r="H675" s="184"/>
      <c r="I675" s="184"/>
      <c r="J675" s="184"/>
      <c r="Q675" s="184"/>
      <c r="S675" s="543"/>
      <c r="T675" s="543"/>
    </row>
    <row r="676">
      <c r="D676" s="184"/>
      <c r="H676" s="184"/>
      <c r="I676" s="184"/>
      <c r="J676" s="184"/>
      <c r="Q676" s="184"/>
      <c r="S676" s="543"/>
      <c r="T676" s="543"/>
    </row>
    <row r="677">
      <c r="D677" s="184"/>
      <c r="H677" s="184"/>
      <c r="I677" s="184"/>
      <c r="J677" s="184"/>
      <c r="Q677" s="184"/>
      <c r="S677" s="543"/>
      <c r="T677" s="543"/>
    </row>
    <row r="678">
      <c r="D678" s="184"/>
      <c r="H678" s="184"/>
      <c r="I678" s="184"/>
      <c r="J678" s="184"/>
      <c r="Q678" s="184"/>
      <c r="S678" s="543"/>
      <c r="T678" s="543"/>
    </row>
    <row r="679">
      <c r="D679" s="184"/>
      <c r="H679" s="184"/>
      <c r="I679" s="184"/>
      <c r="J679" s="184"/>
      <c r="Q679" s="184"/>
      <c r="S679" s="543"/>
      <c r="T679" s="543"/>
    </row>
    <row r="680">
      <c r="D680" s="184"/>
      <c r="H680" s="184"/>
      <c r="I680" s="184"/>
      <c r="J680" s="184"/>
      <c r="Q680" s="184"/>
      <c r="S680" s="543"/>
      <c r="T680" s="543"/>
    </row>
    <row r="681">
      <c r="D681" s="184"/>
      <c r="H681" s="184"/>
      <c r="I681" s="184"/>
      <c r="J681" s="184"/>
      <c r="Q681" s="184"/>
      <c r="S681" s="543"/>
      <c r="T681" s="543"/>
    </row>
    <row r="682">
      <c r="D682" s="184"/>
      <c r="H682" s="184"/>
      <c r="I682" s="184"/>
      <c r="J682" s="184"/>
      <c r="Q682" s="184"/>
      <c r="S682" s="543"/>
      <c r="T682" s="543"/>
    </row>
    <row r="683">
      <c r="D683" s="184"/>
      <c r="H683" s="184"/>
      <c r="I683" s="184"/>
      <c r="J683" s="184"/>
      <c r="Q683" s="184"/>
      <c r="S683" s="543"/>
      <c r="T683" s="543"/>
    </row>
    <row r="684">
      <c r="D684" s="184"/>
      <c r="H684" s="184"/>
      <c r="I684" s="184"/>
      <c r="J684" s="184"/>
      <c r="Q684" s="184"/>
      <c r="S684" s="543"/>
      <c r="T684" s="543"/>
    </row>
    <row r="685">
      <c r="D685" s="184"/>
      <c r="H685" s="184"/>
      <c r="I685" s="184"/>
      <c r="J685" s="184"/>
      <c r="Q685" s="184"/>
      <c r="S685" s="543"/>
      <c r="T685" s="543"/>
    </row>
    <row r="686">
      <c r="D686" s="184"/>
      <c r="H686" s="184"/>
      <c r="I686" s="184"/>
      <c r="J686" s="184"/>
      <c r="Q686" s="184"/>
      <c r="S686" s="543"/>
      <c r="T686" s="543"/>
    </row>
    <row r="687">
      <c r="D687" s="184"/>
      <c r="H687" s="184"/>
      <c r="I687" s="184"/>
      <c r="J687" s="184"/>
      <c r="Q687" s="184"/>
      <c r="S687" s="543"/>
      <c r="T687" s="543"/>
    </row>
    <row r="688">
      <c r="D688" s="184"/>
      <c r="H688" s="184"/>
      <c r="I688" s="184"/>
      <c r="J688" s="184"/>
      <c r="Q688" s="184"/>
      <c r="S688" s="543"/>
      <c r="T688" s="543"/>
    </row>
    <row r="689">
      <c r="D689" s="184"/>
      <c r="H689" s="184"/>
      <c r="I689" s="184"/>
      <c r="J689" s="184"/>
      <c r="Q689" s="184"/>
      <c r="S689" s="543"/>
      <c r="T689" s="543"/>
    </row>
    <row r="690">
      <c r="D690" s="184"/>
      <c r="H690" s="184"/>
      <c r="I690" s="184"/>
      <c r="J690" s="184"/>
      <c r="Q690" s="184"/>
      <c r="S690" s="543"/>
      <c r="T690" s="543"/>
    </row>
    <row r="691">
      <c r="D691" s="184"/>
      <c r="H691" s="184"/>
      <c r="I691" s="184"/>
      <c r="J691" s="184"/>
      <c r="Q691" s="184"/>
      <c r="S691" s="543"/>
      <c r="T691" s="543"/>
    </row>
    <row r="692">
      <c r="D692" s="184"/>
      <c r="H692" s="184"/>
      <c r="I692" s="184"/>
      <c r="J692" s="184"/>
      <c r="Q692" s="184"/>
      <c r="S692" s="543"/>
      <c r="T692" s="543"/>
    </row>
    <row r="693">
      <c r="D693" s="184"/>
      <c r="H693" s="184"/>
      <c r="I693" s="184"/>
      <c r="J693" s="184"/>
      <c r="Q693" s="184"/>
      <c r="S693" s="543"/>
      <c r="T693" s="543"/>
    </row>
    <row r="694">
      <c r="D694" s="184"/>
      <c r="H694" s="184"/>
      <c r="I694" s="184"/>
      <c r="J694" s="184"/>
      <c r="Q694" s="184"/>
      <c r="S694" s="543"/>
      <c r="T694" s="543"/>
    </row>
    <row r="695">
      <c r="D695" s="184"/>
      <c r="H695" s="184"/>
      <c r="I695" s="184"/>
      <c r="J695" s="184"/>
      <c r="Q695" s="184"/>
      <c r="S695" s="543"/>
      <c r="T695" s="543"/>
    </row>
    <row r="696">
      <c r="D696" s="184"/>
      <c r="H696" s="184"/>
      <c r="I696" s="184"/>
      <c r="J696" s="184"/>
      <c r="Q696" s="184"/>
      <c r="S696" s="543"/>
      <c r="T696" s="543"/>
    </row>
    <row r="697">
      <c r="D697" s="184"/>
      <c r="H697" s="184"/>
      <c r="I697" s="184"/>
      <c r="J697" s="184"/>
      <c r="Q697" s="184"/>
      <c r="S697" s="543"/>
      <c r="T697" s="543"/>
    </row>
    <row r="698">
      <c r="D698" s="184"/>
      <c r="H698" s="184"/>
      <c r="I698" s="184"/>
      <c r="J698" s="184"/>
      <c r="Q698" s="184"/>
      <c r="S698" s="543"/>
      <c r="T698" s="543"/>
    </row>
    <row r="699">
      <c r="D699" s="184"/>
      <c r="H699" s="184"/>
      <c r="I699" s="184"/>
      <c r="J699" s="184"/>
      <c r="Q699" s="184"/>
      <c r="S699" s="543"/>
      <c r="T699" s="543"/>
    </row>
    <row r="700">
      <c r="D700" s="184"/>
      <c r="H700" s="184"/>
      <c r="I700" s="184"/>
      <c r="J700" s="184"/>
      <c r="Q700" s="184"/>
      <c r="S700" s="543"/>
      <c r="T700" s="543"/>
    </row>
    <row r="701">
      <c r="D701" s="184"/>
      <c r="H701" s="184"/>
      <c r="I701" s="184"/>
      <c r="J701" s="184"/>
      <c r="Q701" s="184"/>
      <c r="S701" s="543"/>
      <c r="T701" s="543"/>
    </row>
    <row r="702">
      <c r="D702" s="184"/>
      <c r="H702" s="184"/>
      <c r="I702" s="184"/>
      <c r="J702" s="184"/>
      <c r="Q702" s="184"/>
      <c r="S702" s="543"/>
      <c r="T702" s="543"/>
    </row>
    <row r="703">
      <c r="D703" s="184"/>
      <c r="H703" s="184"/>
      <c r="I703" s="184"/>
      <c r="J703" s="184"/>
      <c r="Q703" s="184"/>
      <c r="S703" s="543"/>
      <c r="T703" s="543"/>
    </row>
    <row r="704">
      <c r="D704" s="184"/>
      <c r="H704" s="184"/>
      <c r="I704" s="184"/>
      <c r="J704" s="184"/>
      <c r="Q704" s="184"/>
      <c r="S704" s="543"/>
      <c r="T704" s="543"/>
    </row>
    <row r="705">
      <c r="D705" s="184"/>
      <c r="H705" s="184"/>
      <c r="I705" s="184"/>
      <c r="J705" s="184"/>
      <c r="Q705" s="184"/>
      <c r="S705" s="543"/>
      <c r="T705" s="543"/>
    </row>
    <row r="706">
      <c r="D706" s="184"/>
      <c r="H706" s="184"/>
      <c r="I706" s="184"/>
      <c r="J706" s="184"/>
      <c r="Q706" s="184"/>
      <c r="S706" s="543"/>
      <c r="T706" s="543"/>
    </row>
    <row r="707">
      <c r="D707" s="184"/>
      <c r="H707" s="184"/>
      <c r="I707" s="184"/>
      <c r="J707" s="184"/>
      <c r="Q707" s="184"/>
      <c r="S707" s="543"/>
      <c r="T707" s="543"/>
    </row>
    <row r="708">
      <c r="D708" s="184"/>
      <c r="H708" s="184"/>
      <c r="I708" s="184"/>
      <c r="J708" s="184"/>
      <c r="Q708" s="184"/>
      <c r="S708" s="543"/>
      <c r="T708" s="543"/>
    </row>
    <row r="709">
      <c r="D709" s="184"/>
      <c r="H709" s="184"/>
      <c r="I709" s="184"/>
      <c r="J709" s="184"/>
      <c r="Q709" s="184"/>
      <c r="S709" s="543"/>
      <c r="T709" s="543"/>
    </row>
    <row r="710">
      <c r="D710" s="184"/>
      <c r="H710" s="184"/>
      <c r="I710" s="184"/>
      <c r="J710" s="184"/>
      <c r="Q710" s="184"/>
      <c r="S710" s="543"/>
      <c r="T710" s="543"/>
    </row>
    <row r="711">
      <c r="D711" s="184"/>
      <c r="H711" s="184"/>
      <c r="I711" s="184"/>
      <c r="J711" s="184"/>
      <c r="Q711" s="184"/>
      <c r="S711" s="543"/>
      <c r="T711" s="543"/>
    </row>
    <row r="712">
      <c r="D712" s="184"/>
      <c r="H712" s="184"/>
      <c r="I712" s="184"/>
      <c r="J712" s="184"/>
      <c r="Q712" s="184"/>
      <c r="S712" s="543"/>
      <c r="T712" s="543"/>
    </row>
    <row r="713">
      <c r="D713" s="184"/>
      <c r="H713" s="184"/>
      <c r="I713" s="184"/>
      <c r="J713" s="184"/>
      <c r="Q713" s="184"/>
      <c r="S713" s="543"/>
      <c r="T713" s="543"/>
    </row>
    <row r="714">
      <c r="D714" s="184"/>
      <c r="H714" s="184"/>
      <c r="I714" s="184"/>
      <c r="J714" s="184"/>
      <c r="Q714" s="184"/>
      <c r="S714" s="543"/>
      <c r="T714" s="543"/>
    </row>
    <row r="715">
      <c r="D715" s="184"/>
      <c r="H715" s="184"/>
      <c r="I715" s="184"/>
      <c r="J715" s="184"/>
      <c r="Q715" s="184"/>
      <c r="S715" s="543"/>
      <c r="T715" s="543"/>
    </row>
    <row r="716">
      <c r="D716" s="184"/>
      <c r="H716" s="184"/>
      <c r="I716" s="184"/>
      <c r="J716" s="184"/>
      <c r="Q716" s="184"/>
      <c r="S716" s="543"/>
      <c r="T716" s="543"/>
    </row>
    <row r="717">
      <c r="D717" s="184"/>
      <c r="H717" s="184"/>
      <c r="I717" s="184"/>
      <c r="J717" s="184"/>
      <c r="Q717" s="184"/>
      <c r="S717" s="543"/>
      <c r="T717" s="543"/>
    </row>
    <row r="718">
      <c r="D718" s="184"/>
      <c r="H718" s="184"/>
      <c r="I718" s="184"/>
      <c r="J718" s="184"/>
      <c r="Q718" s="184"/>
      <c r="S718" s="543"/>
      <c r="T718" s="543"/>
    </row>
    <row r="719">
      <c r="D719" s="184"/>
      <c r="H719" s="184"/>
      <c r="I719" s="184"/>
      <c r="J719" s="184"/>
      <c r="Q719" s="184"/>
      <c r="S719" s="543"/>
      <c r="T719" s="543"/>
    </row>
    <row r="720">
      <c r="D720" s="184"/>
      <c r="H720" s="184"/>
      <c r="I720" s="184"/>
      <c r="J720" s="184"/>
      <c r="Q720" s="184"/>
      <c r="S720" s="543"/>
      <c r="T720" s="543"/>
    </row>
    <row r="721">
      <c r="D721" s="184"/>
      <c r="H721" s="184"/>
      <c r="I721" s="184"/>
      <c r="J721" s="184"/>
      <c r="Q721" s="184"/>
      <c r="S721" s="543"/>
      <c r="T721" s="543"/>
    </row>
    <row r="722">
      <c r="D722" s="184"/>
      <c r="H722" s="184"/>
      <c r="I722" s="184"/>
      <c r="J722" s="184"/>
      <c r="Q722" s="184"/>
      <c r="S722" s="543"/>
      <c r="T722" s="543"/>
    </row>
    <row r="723">
      <c r="D723" s="184"/>
      <c r="H723" s="184"/>
      <c r="I723" s="184"/>
      <c r="J723" s="184"/>
      <c r="Q723" s="184"/>
      <c r="S723" s="543"/>
      <c r="T723" s="543"/>
    </row>
    <row r="724">
      <c r="D724" s="184"/>
      <c r="H724" s="184"/>
      <c r="I724" s="184"/>
      <c r="J724" s="184"/>
      <c r="Q724" s="184"/>
      <c r="S724" s="543"/>
      <c r="T724" s="543"/>
    </row>
    <row r="725">
      <c r="D725" s="184"/>
      <c r="H725" s="184"/>
      <c r="I725" s="184"/>
      <c r="J725" s="184"/>
      <c r="Q725" s="184"/>
      <c r="S725" s="543"/>
      <c r="T725" s="543"/>
    </row>
    <row r="726">
      <c r="D726" s="184"/>
      <c r="H726" s="184"/>
      <c r="I726" s="184"/>
      <c r="J726" s="184"/>
      <c r="Q726" s="184"/>
      <c r="S726" s="543"/>
      <c r="T726" s="543"/>
    </row>
    <row r="727">
      <c r="D727" s="184"/>
      <c r="H727" s="184"/>
      <c r="I727" s="184"/>
      <c r="J727" s="184"/>
      <c r="Q727" s="184"/>
      <c r="S727" s="543"/>
      <c r="T727" s="543"/>
    </row>
    <row r="728">
      <c r="D728" s="184"/>
      <c r="H728" s="184"/>
      <c r="I728" s="184"/>
      <c r="J728" s="184"/>
      <c r="Q728" s="184"/>
      <c r="S728" s="543"/>
      <c r="T728" s="543"/>
    </row>
    <row r="729">
      <c r="D729" s="184"/>
      <c r="H729" s="184"/>
      <c r="I729" s="184"/>
      <c r="J729" s="184"/>
      <c r="Q729" s="184"/>
      <c r="S729" s="543"/>
      <c r="T729" s="543"/>
    </row>
    <row r="730">
      <c r="D730" s="184"/>
      <c r="H730" s="184"/>
      <c r="I730" s="184"/>
      <c r="J730" s="184"/>
      <c r="Q730" s="184"/>
      <c r="S730" s="543"/>
      <c r="T730" s="543"/>
    </row>
    <row r="731">
      <c r="D731" s="184"/>
      <c r="H731" s="184"/>
      <c r="I731" s="184"/>
      <c r="J731" s="184"/>
      <c r="Q731" s="184"/>
      <c r="S731" s="543"/>
      <c r="T731" s="543"/>
    </row>
    <row r="732">
      <c r="D732" s="184"/>
      <c r="H732" s="184"/>
      <c r="I732" s="184"/>
      <c r="J732" s="184"/>
      <c r="Q732" s="184"/>
      <c r="S732" s="543"/>
      <c r="T732" s="543"/>
    </row>
    <row r="733">
      <c r="D733" s="184"/>
      <c r="H733" s="184"/>
      <c r="I733" s="184"/>
      <c r="J733" s="184"/>
      <c r="Q733" s="184"/>
      <c r="S733" s="543"/>
      <c r="T733" s="543"/>
    </row>
    <row r="734">
      <c r="D734" s="184"/>
      <c r="H734" s="184"/>
      <c r="I734" s="184"/>
      <c r="J734" s="184"/>
      <c r="Q734" s="184"/>
      <c r="S734" s="543"/>
      <c r="T734" s="543"/>
    </row>
    <row r="735">
      <c r="D735" s="184"/>
      <c r="H735" s="184"/>
      <c r="I735" s="184"/>
      <c r="J735" s="184"/>
      <c r="Q735" s="184"/>
      <c r="S735" s="543"/>
      <c r="T735" s="543"/>
    </row>
    <row r="736">
      <c r="D736" s="184"/>
      <c r="H736" s="184"/>
      <c r="I736" s="184"/>
      <c r="J736" s="184"/>
      <c r="Q736" s="184"/>
      <c r="S736" s="543"/>
      <c r="T736" s="543"/>
    </row>
    <row r="737">
      <c r="D737" s="184"/>
      <c r="H737" s="184"/>
      <c r="I737" s="184"/>
      <c r="J737" s="184"/>
      <c r="Q737" s="184"/>
      <c r="S737" s="543"/>
      <c r="T737" s="543"/>
    </row>
    <row r="738">
      <c r="D738" s="184"/>
      <c r="H738" s="184"/>
      <c r="I738" s="184"/>
      <c r="J738" s="184"/>
      <c r="Q738" s="184"/>
      <c r="S738" s="543"/>
      <c r="T738" s="543"/>
    </row>
    <row r="739">
      <c r="D739" s="184"/>
      <c r="H739" s="184"/>
      <c r="I739" s="184"/>
      <c r="J739" s="184"/>
      <c r="Q739" s="184"/>
      <c r="S739" s="543"/>
      <c r="T739" s="543"/>
    </row>
    <row r="740">
      <c r="D740" s="184"/>
      <c r="H740" s="184"/>
      <c r="I740" s="184"/>
      <c r="J740" s="184"/>
      <c r="Q740" s="184"/>
      <c r="S740" s="543"/>
      <c r="T740" s="543"/>
    </row>
    <row r="741">
      <c r="D741" s="184"/>
      <c r="H741" s="184"/>
      <c r="I741" s="184"/>
      <c r="J741" s="184"/>
      <c r="Q741" s="184"/>
      <c r="S741" s="543"/>
      <c r="T741" s="543"/>
    </row>
    <row r="742">
      <c r="D742" s="184"/>
      <c r="H742" s="184"/>
      <c r="I742" s="184"/>
      <c r="J742" s="184"/>
      <c r="Q742" s="184"/>
      <c r="S742" s="543"/>
      <c r="T742" s="543"/>
    </row>
    <row r="743">
      <c r="D743" s="184"/>
      <c r="H743" s="184"/>
      <c r="I743" s="184"/>
      <c r="J743" s="184"/>
      <c r="Q743" s="184"/>
      <c r="S743" s="543"/>
      <c r="T743" s="543"/>
    </row>
    <row r="744">
      <c r="D744" s="184"/>
      <c r="H744" s="184"/>
      <c r="I744" s="184"/>
      <c r="J744" s="184"/>
      <c r="Q744" s="184"/>
      <c r="S744" s="543"/>
      <c r="T744" s="543"/>
    </row>
    <row r="745">
      <c r="D745" s="184"/>
      <c r="H745" s="184"/>
      <c r="I745" s="184"/>
      <c r="J745" s="184"/>
      <c r="Q745" s="184"/>
      <c r="S745" s="543"/>
      <c r="T745" s="543"/>
    </row>
    <row r="746">
      <c r="D746" s="184"/>
      <c r="H746" s="184"/>
      <c r="I746" s="184"/>
      <c r="J746" s="184"/>
      <c r="Q746" s="184"/>
      <c r="S746" s="543"/>
      <c r="T746" s="543"/>
    </row>
    <row r="747">
      <c r="D747" s="184"/>
      <c r="H747" s="184"/>
      <c r="I747" s="184"/>
      <c r="J747" s="184"/>
      <c r="Q747" s="184"/>
      <c r="S747" s="543"/>
      <c r="T747" s="543"/>
    </row>
    <row r="748">
      <c r="D748" s="184"/>
      <c r="H748" s="184"/>
      <c r="I748" s="184"/>
      <c r="J748" s="184"/>
      <c r="Q748" s="184"/>
      <c r="S748" s="543"/>
      <c r="T748" s="543"/>
    </row>
    <row r="749">
      <c r="D749" s="184"/>
      <c r="H749" s="184"/>
      <c r="I749" s="184"/>
      <c r="J749" s="184"/>
      <c r="Q749" s="184"/>
      <c r="S749" s="543"/>
      <c r="T749" s="543"/>
    </row>
    <row r="750">
      <c r="D750" s="184"/>
      <c r="H750" s="184"/>
      <c r="I750" s="184"/>
      <c r="J750" s="184"/>
      <c r="Q750" s="184"/>
      <c r="S750" s="543"/>
      <c r="T750" s="543"/>
    </row>
    <row r="751">
      <c r="D751" s="184"/>
      <c r="H751" s="184"/>
      <c r="I751" s="184"/>
      <c r="J751" s="184"/>
      <c r="Q751" s="184"/>
      <c r="S751" s="543"/>
      <c r="T751" s="543"/>
    </row>
    <row r="752">
      <c r="D752" s="184"/>
      <c r="H752" s="184"/>
      <c r="I752" s="184"/>
      <c r="J752" s="184"/>
      <c r="Q752" s="184"/>
      <c r="S752" s="543"/>
      <c r="T752" s="543"/>
    </row>
    <row r="753">
      <c r="D753" s="184"/>
      <c r="H753" s="184"/>
      <c r="I753" s="184"/>
      <c r="J753" s="184"/>
      <c r="Q753" s="184"/>
      <c r="S753" s="543"/>
      <c r="T753" s="543"/>
    </row>
    <row r="754">
      <c r="D754" s="184"/>
      <c r="H754" s="184"/>
      <c r="I754" s="184"/>
      <c r="J754" s="184"/>
      <c r="Q754" s="184"/>
      <c r="S754" s="543"/>
      <c r="T754" s="543"/>
    </row>
    <row r="755">
      <c r="D755" s="184"/>
      <c r="H755" s="184"/>
      <c r="I755" s="184"/>
      <c r="J755" s="184"/>
      <c r="Q755" s="184"/>
      <c r="S755" s="543"/>
      <c r="T755" s="543"/>
    </row>
    <row r="756">
      <c r="D756" s="184"/>
      <c r="H756" s="184"/>
      <c r="I756" s="184"/>
      <c r="J756" s="184"/>
      <c r="Q756" s="184"/>
      <c r="S756" s="543"/>
      <c r="T756" s="543"/>
    </row>
    <row r="757">
      <c r="D757" s="184"/>
      <c r="H757" s="184"/>
      <c r="I757" s="184"/>
      <c r="J757" s="184"/>
      <c r="Q757" s="184"/>
      <c r="S757" s="543"/>
      <c r="T757" s="543"/>
    </row>
    <row r="758">
      <c r="D758" s="184"/>
      <c r="H758" s="184"/>
      <c r="I758" s="184"/>
      <c r="J758" s="184"/>
      <c r="Q758" s="184"/>
      <c r="S758" s="543"/>
      <c r="T758" s="543"/>
    </row>
    <row r="759">
      <c r="D759" s="184"/>
      <c r="H759" s="184"/>
      <c r="I759" s="184"/>
      <c r="J759" s="184"/>
      <c r="Q759" s="184"/>
      <c r="S759" s="543"/>
      <c r="T759" s="543"/>
    </row>
    <row r="760">
      <c r="D760" s="184"/>
      <c r="H760" s="184"/>
      <c r="I760" s="184"/>
      <c r="J760" s="184"/>
      <c r="Q760" s="184"/>
      <c r="S760" s="543"/>
      <c r="T760" s="543"/>
    </row>
    <row r="761">
      <c r="D761" s="184"/>
      <c r="H761" s="184"/>
      <c r="I761" s="184"/>
      <c r="J761" s="184"/>
      <c r="Q761" s="184"/>
      <c r="S761" s="543"/>
      <c r="T761" s="543"/>
    </row>
    <row r="762">
      <c r="D762" s="184"/>
      <c r="H762" s="184"/>
      <c r="I762" s="184"/>
      <c r="J762" s="184"/>
      <c r="Q762" s="184"/>
      <c r="S762" s="543"/>
      <c r="T762" s="543"/>
    </row>
    <row r="763">
      <c r="D763" s="184"/>
      <c r="H763" s="184"/>
      <c r="I763" s="184"/>
      <c r="J763" s="184"/>
      <c r="Q763" s="184"/>
      <c r="S763" s="543"/>
      <c r="T763" s="543"/>
    </row>
    <row r="764">
      <c r="D764" s="184"/>
      <c r="H764" s="184"/>
      <c r="I764" s="184"/>
      <c r="J764" s="184"/>
      <c r="Q764" s="184"/>
      <c r="S764" s="543"/>
      <c r="T764" s="543"/>
    </row>
    <row r="765">
      <c r="D765" s="184"/>
      <c r="H765" s="184"/>
      <c r="I765" s="184"/>
      <c r="J765" s="184"/>
      <c r="Q765" s="184"/>
      <c r="S765" s="543"/>
      <c r="T765" s="543"/>
    </row>
    <row r="766">
      <c r="D766" s="184"/>
      <c r="H766" s="184"/>
      <c r="I766" s="184"/>
      <c r="J766" s="184"/>
      <c r="Q766" s="184"/>
      <c r="S766" s="543"/>
      <c r="T766" s="543"/>
    </row>
    <row r="767">
      <c r="D767" s="184"/>
      <c r="H767" s="184"/>
      <c r="I767" s="184"/>
      <c r="J767" s="184"/>
      <c r="Q767" s="184"/>
      <c r="S767" s="543"/>
      <c r="T767" s="543"/>
    </row>
    <row r="768">
      <c r="D768" s="184"/>
      <c r="H768" s="184"/>
      <c r="I768" s="184"/>
      <c r="J768" s="184"/>
      <c r="Q768" s="184"/>
      <c r="S768" s="543"/>
      <c r="T768" s="543"/>
    </row>
    <row r="769">
      <c r="D769" s="184"/>
      <c r="H769" s="184"/>
      <c r="I769" s="184"/>
      <c r="J769" s="184"/>
      <c r="Q769" s="184"/>
      <c r="S769" s="543"/>
      <c r="T769" s="543"/>
    </row>
    <row r="770">
      <c r="D770" s="184"/>
      <c r="H770" s="184"/>
      <c r="I770" s="184"/>
      <c r="J770" s="184"/>
      <c r="Q770" s="184"/>
      <c r="S770" s="543"/>
      <c r="T770" s="543"/>
    </row>
    <row r="771">
      <c r="D771" s="184"/>
      <c r="H771" s="184"/>
      <c r="I771" s="184"/>
      <c r="J771" s="184"/>
      <c r="Q771" s="184"/>
      <c r="S771" s="543"/>
      <c r="T771" s="543"/>
    </row>
    <row r="772">
      <c r="D772" s="184"/>
      <c r="H772" s="184"/>
      <c r="I772" s="184"/>
      <c r="J772" s="184"/>
      <c r="Q772" s="184"/>
      <c r="S772" s="543"/>
      <c r="T772" s="543"/>
    </row>
    <row r="773">
      <c r="D773" s="184"/>
      <c r="H773" s="184"/>
      <c r="I773" s="184"/>
      <c r="J773" s="184"/>
      <c r="Q773" s="184"/>
      <c r="S773" s="543"/>
      <c r="T773" s="543"/>
    </row>
    <row r="774">
      <c r="D774" s="184"/>
      <c r="H774" s="184"/>
      <c r="I774" s="184"/>
      <c r="J774" s="184"/>
      <c r="Q774" s="184"/>
      <c r="S774" s="543"/>
      <c r="T774" s="543"/>
    </row>
    <row r="775">
      <c r="D775" s="184"/>
      <c r="H775" s="184"/>
      <c r="I775" s="184"/>
      <c r="J775" s="184"/>
      <c r="Q775" s="184"/>
      <c r="S775" s="543"/>
      <c r="T775" s="543"/>
    </row>
    <row r="776">
      <c r="D776" s="184"/>
      <c r="H776" s="184"/>
      <c r="I776" s="184"/>
      <c r="J776" s="184"/>
      <c r="Q776" s="184"/>
      <c r="S776" s="543"/>
      <c r="T776" s="543"/>
    </row>
    <row r="777">
      <c r="D777" s="184"/>
      <c r="H777" s="184"/>
      <c r="I777" s="184"/>
      <c r="J777" s="184"/>
      <c r="Q777" s="184"/>
      <c r="S777" s="543"/>
      <c r="T777" s="543"/>
    </row>
    <row r="778">
      <c r="D778" s="184"/>
      <c r="H778" s="184"/>
      <c r="I778" s="184"/>
      <c r="J778" s="184"/>
      <c r="Q778" s="184"/>
      <c r="S778" s="543"/>
      <c r="T778" s="543"/>
    </row>
    <row r="779">
      <c r="D779" s="184"/>
      <c r="H779" s="184"/>
      <c r="I779" s="184"/>
      <c r="J779" s="184"/>
      <c r="Q779" s="184"/>
      <c r="S779" s="543"/>
      <c r="T779" s="543"/>
    </row>
    <row r="780">
      <c r="D780" s="184"/>
      <c r="H780" s="184"/>
      <c r="I780" s="184"/>
      <c r="J780" s="184"/>
      <c r="Q780" s="184"/>
      <c r="S780" s="543"/>
      <c r="T780" s="543"/>
    </row>
    <row r="781">
      <c r="D781" s="184"/>
      <c r="H781" s="184"/>
      <c r="I781" s="184"/>
      <c r="J781" s="184"/>
      <c r="Q781" s="184"/>
      <c r="S781" s="543"/>
      <c r="T781" s="543"/>
    </row>
    <row r="782">
      <c r="D782" s="184"/>
      <c r="H782" s="184"/>
      <c r="I782" s="184"/>
      <c r="J782" s="184"/>
      <c r="Q782" s="184"/>
      <c r="S782" s="543"/>
      <c r="T782" s="543"/>
    </row>
    <row r="783">
      <c r="D783" s="184"/>
      <c r="H783" s="184"/>
      <c r="I783" s="184"/>
      <c r="J783" s="184"/>
      <c r="Q783" s="184"/>
      <c r="S783" s="543"/>
      <c r="T783" s="543"/>
    </row>
    <row r="784">
      <c r="D784" s="184"/>
      <c r="H784" s="184"/>
      <c r="I784" s="184"/>
      <c r="J784" s="184"/>
      <c r="Q784" s="184"/>
      <c r="S784" s="543"/>
      <c r="T784" s="543"/>
    </row>
    <row r="785">
      <c r="D785" s="184"/>
      <c r="H785" s="184"/>
      <c r="I785" s="184"/>
      <c r="J785" s="184"/>
      <c r="Q785" s="184"/>
      <c r="S785" s="543"/>
      <c r="T785" s="543"/>
    </row>
    <row r="786">
      <c r="D786" s="184"/>
      <c r="H786" s="184"/>
      <c r="I786" s="184"/>
      <c r="J786" s="184"/>
      <c r="Q786" s="184"/>
      <c r="S786" s="543"/>
      <c r="T786" s="543"/>
    </row>
    <row r="787">
      <c r="D787" s="184"/>
      <c r="H787" s="184"/>
      <c r="I787" s="184"/>
      <c r="J787" s="184"/>
      <c r="Q787" s="184"/>
      <c r="S787" s="543"/>
      <c r="T787" s="543"/>
    </row>
    <row r="788">
      <c r="D788" s="184"/>
      <c r="H788" s="184"/>
      <c r="I788" s="184"/>
      <c r="J788" s="184"/>
      <c r="Q788" s="184"/>
      <c r="S788" s="543"/>
      <c r="T788" s="543"/>
    </row>
    <row r="789">
      <c r="D789" s="184"/>
      <c r="H789" s="184"/>
      <c r="I789" s="184"/>
      <c r="J789" s="184"/>
      <c r="Q789" s="184"/>
      <c r="S789" s="543"/>
      <c r="T789" s="543"/>
    </row>
    <row r="790">
      <c r="D790" s="184"/>
      <c r="H790" s="184"/>
      <c r="I790" s="184"/>
      <c r="J790" s="184"/>
      <c r="Q790" s="184"/>
      <c r="S790" s="543"/>
      <c r="T790" s="543"/>
    </row>
    <row r="791">
      <c r="D791" s="184"/>
      <c r="H791" s="184"/>
      <c r="I791" s="184"/>
      <c r="J791" s="184"/>
      <c r="Q791" s="184"/>
      <c r="S791" s="543"/>
      <c r="T791" s="543"/>
    </row>
    <row r="792">
      <c r="D792" s="184"/>
      <c r="H792" s="184"/>
      <c r="I792" s="184"/>
      <c r="J792" s="184"/>
      <c r="Q792" s="184"/>
      <c r="S792" s="543"/>
      <c r="T792" s="543"/>
    </row>
    <row r="793">
      <c r="D793" s="184"/>
      <c r="H793" s="184"/>
      <c r="I793" s="184"/>
      <c r="J793" s="184"/>
      <c r="Q793" s="184"/>
      <c r="S793" s="543"/>
      <c r="T793" s="543"/>
    </row>
    <row r="794">
      <c r="D794" s="184"/>
      <c r="H794" s="184"/>
      <c r="I794" s="184"/>
      <c r="J794" s="184"/>
      <c r="Q794" s="184"/>
      <c r="S794" s="543"/>
      <c r="T794" s="543"/>
    </row>
    <row r="795">
      <c r="D795" s="184"/>
      <c r="H795" s="184"/>
      <c r="I795" s="184"/>
      <c r="J795" s="184"/>
      <c r="Q795" s="184"/>
      <c r="S795" s="543"/>
      <c r="T795" s="543"/>
    </row>
    <row r="796">
      <c r="D796" s="184"/>
      <c r="H796" s="184"/>
      <c r="I796" s="184"/>
      <c r="J796" s="184"/>
      <c r="Q796" s="184"/>
      <c r="S796" s="543"/>
      <c r="T796" s="543"/>
    </row>
    <row r="797">
      <c r="D797" s="184"/>
      <c r="H797" s="184"/>
      <c r="I797" s="184"/>
      <c r="J797" s="184"/>
      <c r="Q797" s="184"/>
      <c r="S797" s="543"/>
      <c r="T797" s="543"/>
    </row>
    <row r="798">
      <c r="D798" s="184"/>
      <c r="H798" s="184"/>
      <c r="I798" s="184"/>
      <c r="J798" s="184"/>
      <c r="Q798" s="184"/>
      <c r="S798" s="543"/>
      <c r="T798" s="543"/>
    </row>
    <row r="799">
      <c r="D799" s="184"/>
      <c r="H799" s="184"/>
      <c r="I799" s="184"/>
      <c r="J799" s="184"/>
      <c r="Q799" s="184"/>
      <c r="S799" s="543"/>
      <c r="T799" s="543"/>
    </row>
    <row r="800">
      <c r="D800" s="184"/>
      <c r="H800" s="184"/>
      <c r="I800" s="184"/>
      <c r="J800" s="184"/>
      <c r="Q800" s="184"/>
      <c r="S800" s="543"/>
      <c r="T800" s="543"/>
    </row>
    <row r="801">
      <c r="D801" s="184"/>
      <c r="H801" s="184"/>
      <c r="I801" s="184"/>
      <c r="J801" s="184"/>
      <c r="Q801" s="184"/>
      <c r="S801" s="543"/>
      <c r="T801" s="543"/>
    </row>
    <row r="802">
      <c r="D802" s="184"/>
      <c r="H802" s="184"/>
      <c r="I802" s="184"/>
      <c r="J802" s="184"/>
      <c r="Q802" s="184"/>
      <c r="S802" s="543"/>
      <c r="T802" s="543"/>
    </row>
    <row r="803">
      <c r="D803" s="184"/>
      <c r="H803" s="184"/>
      <c r="I803" s="184"/>
      <c r="J803" s="184"/>
      <c r="Q803" s="184"/>
      <c r="S803" s="543"/>
      <c r="T803" s="543"/>
    </row>
    <row r="804">
      <c r="D804" s="184"/>
      <c r="H804" s="184"/>
      <c r="I804" s="184"/>
      <c r="J804" s="184"/>
      <c r="Q804" s="184"/>
      <c r="S804" s="543"/>
      <c r="T804" s="543"/>
    </row>
    <row r="805">
      <c r="D805" s="184"/>
      <c r="H805" s="184"/>
      <c r="I805" s="184"/>
      <c r="J805" s="184"/>
      <c r="Q805" s="184"/>
      <c r="S805" s="543"/>
      <c r="T805" s="543"/>
    </row>
    <row r="806">
      <c r="D806" s="184"/>
      <c r="H806" s="184"/>
      <c r="I806" s="184"/>
      <c r="J806" s="184"/>
      <c r="Q806" s="184"/>
      <c r="S806" s="543"/>
      <c r="T806" s="543"/>
    </row>
    <row r="807">
      <c r="D807" s="184"/>
      <c r="H807" s="184"/>
      <c r="I807" s="184"/>
      <c r="J807" s="184"/>
      <c r="Q807" s="184"/>
      <c r="S807" s="543"/>
      <c r="T807" s="543"/>
    </row>
    <row r="808">
      <c r="D808" s="184"/>
      <c r="H808" s="184"/>
      <c r="I808" s="184"/>
      <c r="J808" s="184"/>
      <c r="Q808" s="184"/>
      <c r="S808" s="543"/>
      <c r="T808" s="543"/>
    </row>
    <row r="809">
      <c r="D809" s="184"/>
      <c r="H809" s="184"/>
      <c r="I809" s="184"/>
      <c r="J809" s="184"/>
      <c r="Q809" s="184"/>
      <c r="S809" s="543"/>
      <c r="T809" s="543"/>
    </row>
    <row r="810">
      <c r="D810" s="184"/>
      <c r="H810" s="184"/>
      <c r="I810" s="184"/>
      <c r="J810" s="184"/>
      <c r="Q810" s="184"/>
      <c r="S810" s="543"/>
      <c r="T810" s="543"/>
    </row>
    <row r="811">
      <c r="D811" s="184"/>
      <c r="H811" s="184"/>
      <c r="I811" s="184"/>
      <c r="J811" s="184"/>
      <c r="Q811" s="184"/>
      <c r="S811" s="543"/>
      <c r="T811" s="543"/>
    </row>
    <row r="812">
      <c r="D812" s="184"/>
      <c r="H812" s="184"/>
      <c r="I812" s="184"/>
      <c r="J812" s="184"/>
      <c r="Q812" s="184"/>
      <c r="S812" s="543"/>
      <c r="T812" s="543"/>
    </row>
    <row r="813">
      <c r="D813" s="184"/>
      <c r="H813" s="184"/>
      <c r="I813" s="184"/>
      <c r="J813" s="184"/>
      <c r="Q813" s="184"/>
      <c r="S813" s="543"/>
      <c r="T813" s="543"/>
    </row>
    <row r="814">
      <c r="D814" s="184"/>
      <c r="H814" s="184"/>
      <c r="I814" s="184"/>
      <c r="J814" s="184"/>
      <c r="Q814" s="184"/>
      <c r="S814" s="543"/>
      <c r="T814" s="543"/>
    </row>
    <row r="815">
      <c r="D815" s="184"/>
      <c r="H815" s="184"/>
      <c r="I815" s="184"/>
      <c r="J815" s="184"/>
      <c r="Q815" s="184"/>
      <c r="S815" s="543"/>
      <c r="T815" s="543"/>
    </row>
    <row r="816">
      <c r="D816" s="184"/>
      <c r="H816" s="184"/>
      <c r="I816" s="184"/>
      <c r="J816" s="184"/>
      <c r="Q816" s="184"/>
      <c r="S816" s="543"/>
      <c r="T816" s="543"/>
    </row>
    <row r="817">
      <c r="D817" s="184"/>
      <c r="H817" s="184"/>
      <c r="I817" s="184"/>
      <c r="J817" s="184"/>
      <c r="Q817" s="184"/>
      <c r="S817" s="543"/>
      <c r="T817" s="543"/>
    </row>
    <row r="818">
      <c r="D818" s="184"/>
      <c r="H818" s="184"/>
      <c r="I818" s="184"/>
      <c r="J818" s="184"/>
      <c r="Q818" s="184"/>
      <c r="S818" s="543"/>
      <c r="T818" s="543"/>
    </row>
    <row r="819">
      <c r="D819" s="184"/>
      <c r="H819" s="184"/>
      <c r="I819" s="184"/>
      <c r="J819" s="184"/>
      <c r="Q819" s="184"/>
      <c r="S819" s="543"/>
      <c r="T819" s="543"/>
    </row>
    <row r="820">
      <c r="D820" s="184"/>
      <c r="H820" s="184"/>
      <c r="I820" s="184"/>
      <c r="J820" s="184"/>
      <c r="Q820" s="184"/>
      <c r="S820" s="543"/>
      <c r="T820" s="543"/>
    </row>
    <row r="821">
      <c r="D821" s="184"/>
      <c r="H821" s="184"/>
      <c r="I821" s="184"/>
      <c r="J821" s="184"/>
      <c r="Q821" s="184"/>
      <c r="S821" s="543"/>
      <c r="T821" s="543"/>
    </row>
    <row r="822">
      <c r="D822" s="184"/>
      <c r="H822" s="184"/>
      <c r="I822" s="184"/>
      <c r="J822" s="184"/>
      <c r="Q822" s="184"/>
      <c r="S822" s="543"/>
      <c r="T822" s="543"/>
    </row>
    <row r="823">
      <c r="D823" s="184"/>
      <c r="H823" s="184"/>
      <c r="I823" s="184"/>
      <c r="J823" s="184"/>
      <c r="Q823" s="184"/>
      <c r="S823" s="543"/>
      <c r="T823" s="543"/>
    </row>
    <row r="824">
      <c r="D824" s="184"/>
      <c r="H824" s="184"/>
      <c r="I824" s="184"/>
      <c r="J824" s="184"/>
      <c r="Q824" s="184"/>
      <c r="S824" s="543"/>
      <c r="T824" s="543"/>
    </row>
    <row r="825">
      <c r="D825" s="184"/>
      <c r="H825" s="184"/>
      <c r="I825" s="184"/>
      <c r="J825" s="184"/>
      <c r="Q825" s="184"/>
      <c r="S825" s="543"/>
      <c r="T825" s="543"/>
    </row>
    <row r="826">
      <c r="D826" s="184"/>
      <c r="H826" s="184"/>
      <c r="I826" s="184"/>
      <c r="J826" s="184"/>
      <c r="Q826" s="184"/>
      <c r="S826" s="543"/>
      <c r="T826" s="543"/>
    </row>
    <row r="827">
      <c r="D827" s="184"/>
      <c r="H827" s="184"/>
      <c r="I827" s="184"/>
      <c r="J827" s="184"/>
      <c r="Q827" s="184"/>
      <c r="S827" s="543"/>
      <c r="T827" s="543"/>
    </row>
    <row r="828">
      <c r="D828" s="184"/>
      <c r="H828" s="184"/>
      <c r="I828" s="184"/>
      <c r="J828" s="184"/>
      <c r="Q828" s="184"/>
      <c r="S828" s="543"/>
      <c r="T828" s="543"/>
    </row>
    <row r="829">
      <c r="D829" s="184"/>
      <c r="H829" s="184"/>
      <c r="I829" s="184"/>
      <c r="J829" s="184"/>
      <c r="Q829" s="184"/>
      <c r="S829" s="543"/>
      <c r="T829" s="543"/>
    </row>
    <row r="830">
      <c r="D830" s="184"/>
      <c r="H830" s="184"/>
      <c r="I830" s="184"/>
      <c r="J830" s="184"/>
      <c r="Q830" s="184"/>
      <c r="S830" s="543"/>
      <c r="T830" s="543"/>
    </row>
    <row r="831">
      <c r="D831" s="184"/>
      <c r="H831" s="184"/>
      <c r="I831" s="184"/>
      <c r="J831" s="184"/>
      <c r="Q831" s="184"/>
      <c r="S831" s="543"/>
      <c r="T831" s="543"/>
    </row>
    <row r="832">
      <c r="D832" s="184"/>
      <c r="H832" s="184"/>
      <c r="I832" s="184"/>
      <c r="J832" s="184"/>
      <c r="Q832" s="184"/>
      <c r="S832" s="543"/>
      <c r="T832" s="543"/>
    </row>
    <row r="833">
      <c r="D833" s="184"/>
      <c r="H833" s="184"/>
      <c r="I833" s="184"/>
      <c r="J833" s="184"/>
      <c r="Q833" s="184"/>
      <c r="S833" s="543"/>
      <c r="T833" s="543"/>
    </row>
    <row r="834">
      <c r="D834" s="184"/>
      <c r="H834" s="184"/>
      <c r="I834" s="184"/>
      <c r="J834" s="184"/>
      <c r="Q834" s="184"/>
      <c r="S834" s="543"/>
      <c r="T834" s="543"/>
    </row>
    <row r="835">
      <c r="D835" s="184"/>
      <c r="H835" s="184"/>
      <c r="I835" s="184"/>
      <c r="J835" s="184"/>
      <c r="Q835" s="184"/>
      <c r="S835" s="543"/>
      <c r="T835" s="543"/>
    </row>
    <row r="836">
      <c r="D836" s="184"/>
      <c r="H836" s="184"/>
      <c r="I836" s="184"/>
      <c r="J836" s="184"/>
      <c r="Q836" s="184"/>
      <c r="S836" s="543"/>
      <c r="T836" s="543"/>
    </row>
    <row r="837">
      <c r="D837" s="184"/>
      <c r="H837" s="184"/>
      <c r="I837" s="184"/>
      <c r="J837" s="184"/>
      <c r="Q837" s="184"/>
      <c r="S837" s="543"/>
      <c r="T837" s="543"/>
    </row>
    <row r="838">
      <c r="D838" s="184"/>
      <c r="H838" s="184"/>
      <c r="I838" s="184"/>
      <c r="J838" s="184"/>
      <c r="Q838" s="184"/>
      <c r="S838" s="543"/>
      <c r="T838" s="543"/>
    </row>
    <row r="839">
      <c r="D839" s="184"/>
      <c r="H839" s="184"/>
      <c r="I839" s="184"/>
      <c r="J839" s="184"/>
      <c r="Q839" s="184"/>
      <c r="S839" s="543"/>
      <c r="T839" s="543"/>
    </row>
    <row r="840">
      <c r="D840" s="184"/>
      <c r="H840" s="184"/>
      <c r="I840" s="184"/>
      <c r="J840" s="184"/>
      <c r="Q840" s="184"/>
      <c r="S840" s="543"/>
      <c r="T840" s="543"/>
    </row>
    <row r="841">
      <c r="D841" s="184"/>
      <c r="H841" s="184"/>
      <c r="I841" s="184"/>
      <c r="J841" s="184"/>
      <c r="Q841" s="184"/>
      <c r="S841" s="543"/>
      <c r="T841" s="543"/>
    </row>
    <row r="842">
      <c r="D842" s="184"/>
      <c r="H842" s="184"/>
      <c r="I842" s="184"/>
      <c r="J842" s="184"/>
      <c r="Q842" s="184"/>
      <c r="S842" s="543"/>
      <c r="T842" s="543"/>
    </row>
    <row r="843">
      <c r="D843" s="184"/>
      <c r="H843" s="184"/>
      <c r="I843" s="184"/>
      <c r="J843" s="184"/>
      <c r="Q843" s="184"/>
      <c r="S843" s="543"/>
      <c r="T843" s="543"/>
    </row>
    <row r="844">
      <c r="D844" s="184"/>
      <c r="H844" s="184"/>
      <c r="I844" s="184"/>
      <c r="J844" s="184"/>
      <c r="Q844" s="184"/>
      <c r="S844" s="543"/>
      <c r="T844" s="543"/>
    </row>
    <row r="845">
      <c r="D845" s="184"/>
      <c r="H845" s="184"/>
      <c r="I845" s="184"/>
      <c r="J845" s="184"/>
      <c r="Q845" s="184"/>
      <c r="S845" s="543"/>
      <c r="T845" s="543"/>
    </row>
    <row r="846">
      <c r="D846" s="184"/>
      <c r="H846" s="184"/>
      <c r="I846" s="184"/>
      <c r="J846" s="184"/>
      <c r="Q846" s="184"/>
      <c r="S846" s="543"/>
      <c r="T846" s="543"/>
    </row>
    <row r="847">
      <c r="D847" s="184"/>
      <c r="H847" s="184"/>
      <c r="I847" s="184"/>
      <c r="J847" s="184"/>
      <c r="Q847" s="184"/>
      <c r="S847" s="543"/>
      <c r="T847" s="543"/>
    </row>
    <row r="848">
      <c r="D848" s="184"/>
      <c r="H848" s="184"/>
      <c r="I848" s="184"/>
      <c r="J848" s="184"/>
      <c r="Q848" s="184"/>
      <c r="S848" s="543"/>
      <c r="T848" s="543"/>
    </row>
    <row r="849">
      <c r="D849" s="184"/>
      <c r="H849" s="184"/>
      <c r="I849" s="184"/>
      <c r="J849" s="184"/>
      <c r="Q849" s="184"/>
      <c r="S849" s="543"/>
      <c r="T849" s="543"/>
    </row>
    <row r="850">
      <c r="D850" s="184"/>
      <c r="H850" s="184"/>
      <c r="I850" s="184"/>
      <c r="J850" s="184"/>
      <c r="Q850" s="184"/>
      <c r="S850" s="543"/>
      <c r="T850" s="543"/>
    </row>
    <row r="851">
      <c r="D851" s="184"/>
      <c r="H851" s="184"/>
      <c r="I851" s="184"/>
      <c r="J851" s="184"/>
      <c r="Q851" s="184"/>
      <c r="S851" s="543"/>
      <c r="T851" s="543"/>
    </row>
    <row r="852">
      <c r="D852" s="184"/>
      <c r="H852" s="184"/>
      <c r="I852" s="184"/>
      <c r="J852" s="184"/>
      <c r="Q852" s="184"/>
      <c r="S852" s="543"/>
      <c r="T852" s="543"/>
    </row>
    <row r="853">
      <c r="D853" s="184"/>
      <c r="H853" s="184"/>
      <c r="I853" s="184"/>
      <c r="J853" s="184"/>
      <c r="Q853" s="184"/>
      <c r="S853" s="543"/>
      <c r="T853" s="543"/>
    </row>
    <row r="854">
      <c r="D854" s="184"/>
      <c r="H854" s="184"/>
      <c r="I854" s="184"/>
      <c r="J854" s="184"/>
      <c r="Q854" s="184"/>
      <c r="S854" s="543"/>
      <c r="T854" s="543"/>
    </row>
    <row r="855">
      <c r="D855" s="184"/>
      <c r="H855" s="184"/>
      <c r="I855" s="184"/>
      <c r="J855" s="184"/>
      <c r="Q855" s="184"/>
      <c r="S855" s="543"/>
      <c r="T855" s="543"/>
    </row>
    <row r="856">
      <c r="D856" s="184"/>
      <c r="H856" s="184"/>
      <c r="I856" s="184"/>
      <c r="J856" s="184"/>
      <c r="Q856" s="184"/>
      <c r="S856" s="543"/>
      <c r="T856" s="543"/>
    </row>
    <row r="857">
      <c r="D857" s="184"/>
      <c r="H857" s="184"/>
      <c r="I857" s="184"/>
      <c r="J857" s="184"/>
      <c r="Q857" s="184"/>
      <c r="S857" s="543"/>
      <c r="T857" s="543"/>
    </row>
    <row r="858">
      <c r="D858" s="184"/>
      <c r="H858" s="184"/>
      <c r="I858" s="184"/>
      <c r="J858" s="184"/>
      <c r="Q858" s="184"/>
      <c r="S858" s="543"/>
      <c r="T858" s="543"/>
    </row>
    <row r="859">
      <c r="D859" s="184"/>
      <c r="H859" s="184"/>
      <c r="I859" s="184"/>
      <c r="J859" s="184"/>
      <c r="Q859" s="184"/>
      <c r="S859" s="543"/>
      <c r="T859" s="543"/>
    </row>
    <row r="860">
      <c r="D860" s="184"/>
      <c r="H860" s="184"/>
      <c r="I860" s="184"/>
      <c r="J860" s="184"/>
      <c r="Q860" s="184"/>
      <c r="S860" s="543"/>
      <c r="T860" s="543"/>
    </row>
    <row r="861">
      <c r="D861" s="184"/>
      <c r="H861" s="184"/>
      <c r="I861" s="184"/>
      <c r="J861" s="184"/>
      <c r="Q861" s="184"/>
      <c r="S861" s="543"/>
      <c r="T861" s="543"/>
    </row>
    <row r="862">
      <c r="D862" s="184"/>
      <c r="H862" s="184"/>
      <c r="I862" s="184"/>
      <c r="J862" s="184"/>
      <c r="Q862" s="184"/>
      <c r="S862" s="543"/>
      <c r="T862" s="543"/>
    </row>
    <row r="863">
      <c r="D863" s="184"/>
      <c r="H863" s="184"/>
      <c r="I863" s="184"/>
      <c r="J863" s="184"/>
      <c r="Q863" s="184"/>
      <c r="S863" s="543"/>
      <c r="T863" s="543"/>
    </row>
    <row r="864">
      <c r="D864" s="184"/>
      <c r="H864" s="184"/>
      <c r="I864" s="184"/>
      <c r="J864" s="184"/>
      <c r="Q864" s="184"/>
      <c r="S864" s="543"/>
      <c r="T864" s="543"/>
    </row>
    <row r="865">
      <c r="D865" s="184"/>
      <c r="H865" s="184"/>
      <c r="I865" s="184"/>
      <c r="J865" s="184"/>
      <c r="Q865" s="184"/>
      <c r="S865" s="543"/>
      <c r="T865" s="543"/>
    </row>
    <row r="866">
      <c r="D866" s="184"/>
      <c r="H866" s="184"/>
      <c r="I866" s="184"/>
      <c r="J866" s="184"/>
      <c r="Q866" s="184"/>
      <c r="S866" s="543"/>
      <c r="T866" s="543"/>
    </row>
    <row r="867">
      <c r="D867" s="184"/>
      <c r="H867" s="184"/>
      <c r="I867" s="184"/>
      <c r="J867" s="184"/>
      <c r="Q867" s="184"/>
      <c r="S867" s="543"/>
      <c r="T867" s="543"/>
    </row>
    <row r="868">
      <c r="D868" s="184"/>
      <c r="H868" s="184"/>
      <c r="I868" s="184"/>
      <c r="J868" s="184"/>
      <c r="Q868" s="184"/>
      <c r="S868" s="543"/>
      <c r="T868" s="543"/>
    </row>
    <row r="869">
      <c r="D869" s="184"/>
      <c r="H869" s="184"/>
      <c r="I869" s="184"/>
      <c r="J869" s="184"/>
      <c r="Q869" s="184"/>
      <c r="S869" s="543"/>
      <c r="T869" s="543"/>
    </row>
    <row r="870">
      <c r="D870" s="184"/>
      <c r="H870" s="184"/>
      <c r="I870" s="184"/>
      <c r="J870" s="184"/>
      <c r="Q870" s="184"/>
      <c r="S870" s="543"/>
      <c r="T870" s="543"/>
    </row>
    <row r="871">
      <c r="D871" s="184"/>
      <c r="H871" s="184"/>
      <c r="I871" s="184"/>
      <c r="J871" s="184"/>
      <c r="Q871" s="184"/>
      <c r="S871" s="543"/>
      <c r="T871" s="543"/>
    </row>
    <row r="872">
      <c r="D872" s="184"/>
      <c r="H872" s="184"/>
      <c r="I872" s="184"/>
      <c r="J872" s="184"/>
      <c r="Q872" s="184"/>
      <c r="S872" s="543"/>
      <c r="T872" s="543"/>
    </row>
    <row r="873">
      <c r="D873" s="184"/>
      <c r="H873" s="184"/>
      <c r="I873" s="184"/>
      <c r="J873" s="184"/>
      <c r="Q873" s="184"/>
      <c r="S873" s="543"/>
      <c r="T873" s="543"/>
    </row>
    <row r="874">
      <c r="D874" s="184"/>
      <c r="H874" s="184"/>
      <c r="I874" s="184"/>
      <c r="J874" s="184"/>
      <c r="Q874" s="184"/>
      <c r="S874" s="543"/>
      <c r="T874" s="543"/>
    </row>
    <row r="875">
      <c r="D875" s="184"/>
      <c r="H875" s="184"/>
      <c r="I875" s="184"/>
      <c r="J875" s="184"/>
      <c r="Q875" s="184"/>
      <c r="S875" s="543"/>
      <c r="T875" s="543"/>
    </row>
    <row r="876">
      <c r="D876" s="184"/>
      <c r="H876" s="184"/>
      <c r="I876" s="184"/>
      <c r="J876" s="184"/>
      <c r="Q876" s="184"/>
      <c r="S876" s="543"/>
      <c r="T876" s="543"/>
    </row>
    <row r="877">
      <c r="D877" s="184"/>
      <c r="H877" s="184"/>
      <c r="I877" s="184"/>
      <c r="J877" s="184"/>
      <c r="Q877" s="184"/>
      <c r="S877" s="543"/>
      <c r="T877" s="543"/>
    </row>
    <row r="878">
      <c r="D878" s="184"/>
      <c r="H878" s="184"/>
      <c r="I878" s="184"/>
      <c r="J878" s="184"/>
      <c r="Q878" s="184"/>
      <c r="S878" s="543"/>
      <c r="T878" s="543"/>
    </row>
    <row r="879">
      <c r="D879" s="184"/>
      <c r="H879" s="184"/>
      <c r="I879" s="184"/>
      <c r="J879" s="184"/>
      <c r="Q879" s="184"/>
      <c r="S879" s="543"/>
      <c r="T879" s="543"/>
    </row>
    <row r="880">
      <c r="D880" s="184"/>
      <c r="H880" s="184"/>
      <c r="I880" s="184"/>
      <c r="J880" s="184"/>
      <c r="Q880" s="184"/>
      <c r="S880" s="543"/>
      <c r="T880" s="543"/>
    </row>
    <row r="881">
      <c r="D881" s="184"/>
      <c r="H881" s="184"/>
      <c r="I881" s="184"/>
      <c r="J881" s="184"/>
      <c r="Q881" s="184"/>
      <c r="S881" s="543"/>
      <c r="T881" s="543"/>
    </row>
    <row r="882">
      <c r="D882" s="184"/>
      <c r="H882" s="184"/>
      <c r="I882" s="184"/>
      <c r="J882" s="184"/>
      <c r="Q882" s="184"/>
      <c r="S882" s="543"/>
      <c r="T882" s="543"/>
    </row>
    <row r="883">
      <c r="D883" s="184"/>
      <c r="H883" s="184"/>
      <c r="I883" s="184"/>
      <c r="J883" s="184"/>
      <c r="Q883" s="184"/>
      <c r="S883" s="543"/>
      <c r="T883" s="543"/>
    </row>
    <row r="884">
      <c r="D884" s="184"/>
      <c r="H884" s="184"/>
      <c r="I884" s="184"/>
      <c r="J884" s="184"/>
      <c r="Q884" s="184"/>
      <c r="S884" s="543"/>
      <c r="T884" s="543"/>
    </row>
    <row r="885">
      <c r="D885" s="184"/>
      <c r="H885" s="184"/>
      <c r="I885" s="184"/>
      <c r="J885" s="184"/>
      <c r="Q885" s="184"/>
      <c r="S885" s="543"/>
      <c r="T885" s="543"/>
    </row>
    <row r="886">
      <c r="D886" s="184"/>
      <c r="H886" s="184"/>
      <c r="I886" s="184"/>
      <c r="J886" s="184"/>
      <c r="Q886" s="184"/>
      <c r="S886" s="543"/>
      <c r="T886" s="543"/>
    </row>
    <row r="887">
      <c r="D887" s="184"/>
      <c r="H887" s="184"/>
      <c r="I887" s="184"/>
      <c r="J887" s="184"/>
      <c r="Q887" s="184"/>
      <c r="S887" s="543"/>
      <c r="T887" s="543"/>
    </row>
    <row r="888">
      <c r="D888" s="184"/>
      <c r="H888" s="184"/>
      <c r="I888" s="184"/>
      <c r="J888" s="184"/>
      <c r="Q888" s="184"/>
      <c r="S888" s="543"/>
      <c r="T888" s="543"/>
    </row>
    <row r="889">
      <c r="D889" s="184"/>
      <c r="H889" s="184"/>
      <c r="I889" s="184"/>
      <c r="J889" s="184"/>
      <c r="Q889" s="184"/>
      <c r="S889" s="543"/>
      <c r="T889" s="543"/>
    </row>
    <row r="890">
      <c r="D890" s="184"/>
      <c r="H890" s="184"/>
      <c r="I890" s="184"/>
      <c r="J890" s="184"/>
      <c r="Q890" s="184"/>
      <c r="S890" s="543"/>
      <c r="T890" s="543"/>
    </row>
    <row r="891">
      <c r="D891" s="184"/>
      <c r="H891" s="184"/>
      <c r="I891" s="184"/>
      <c r="J891" s="184"/>
      <c r="Q891" s="184"/>
      <c r="S891" s="543"/>
      <c r="T891" s="543"/>
    </row>
    <row r="892">
      <c r="D892" s="184"/>
      <c r="H892" s="184"/>
      <c r="I892" s="184"/>
      <c r="J892" s="184"/>
      <c r="Q892" s="184"/>
      <c r="S892" s="543"/>
      <c r="T892" s="543"/>
    </row>
    <row r="893">
      <c r="D893" s="184"/>
      <c r="H893" s="184"/>
      <c r="I893" s="184"/>
      <c r="J893" s="184"/>
      <c r="Q893" s="184"/>
      <c r="S893" s="543"/>
      <c r="T893" s="543"/>
    </row>
    <row r="894">
      <c r="D894" s="184"/>
      <c r="H894" s="184"/>
      <c r="I894" s="184"/>
      <c r="J894" s="184"/>
      <c r="Q894" s="184"/>
      <c r="S894" s="543"/>
      <c r="T894" s="543"/>
    </row>
    <row r="895">
      <c r="D895" s="184"/>
      <c r="H895" s="184"/>
      <c r="I895" s="184"/>
      <c r="J895" s="184"/>
      <c r="Q895" s="184"/>
      <c r="S895" s="543"/>
      <c r="T895" s="543"/>
    </row>
    <row r="896">
      <c r="D896" s="184"/>
      <c r="H896" s="184"/>
      <c r="I896" s="184"/>
      <c r="J896" s="184"/>
      <c r="Q896" s="184"/>
      <c r="S896" s="543"/>
      <c r="T896" s="543"/>
    </row>
    <row r="897">
      <c r="D897" s="184"/>
      <c r="H897" s="184"/>
      <c r="I897" s="184"/>
      <c r="J897" s="184"/>
      <c r="Q897" s="184"/>
      <c r="S897" s="543"/>
      <c r="T897" s="543"/>
    </row>
    <row r="898">
      <c r="D898" s="184"/>
      <c r="H898" s="184"/>
      <c r="I898" s="184"/>
      <c r="J898" s="184"/>
      <c r="Q898" s="184"/>
      <c r="S898" s="543"/>
      <c r="T898" s="543"/>
    </row>
    <row r="899">
      <c r="D899" s="184"/>
      <c r="H899" s="184"/>
      <c r="I899" s="184"/>
      <c r="J899" s="184"/>
      <c r="Q899" s="184"/>
      <c r="S899" s="543"/>
      <c r="T899" s="543"/>
    </row>
    <row r="900">
      <c r="D900" s="184"/>
      <c r="H900" s="184"/>
      <c r="I900" s="184"/>
      <c r="J900" s="184"/>
      <c r="Q900" s="184"/>
      <c r="S900" s="543"/>
      <c r="T900" s="543"/>
    </row>
    <row r="901">
      <c r="D901" s="184"/>
      <c r="H901" s="184"/>
      <c r="I901" s="184"/>
      <c r="J901" s="184"/>
      <c r="Q901" s="184"/>
      <c r="S901" s="543"/>
      <c r="T901" s="543"/>
    </row>
    <row r="902">
      <c r="D902" s="184"/>
      <c r="H902" s="184"/>
      <c r="I902" s="184"/>
      <c r="J902" s="184"/>
      <c r="Q902" s="184"/>
      <c r="S902" s="543"/>
      <c r="T902" s="543"/>
    </row>
    <row r="903">
      <c r="D903" s="184"/>
      <c r="H903" s="184"/>
      <c r="I903" s="184"/>
      <c r="J903" s="184"/>
      <c r="Q903" s="184"/>
      <c r="S903" s="543"/>
      <c r="T903" s="543"/>
    </row>
    <row r="904">
      <c r="D904" s="184"/>
      <c r="H904" s="184"/>
      <c r="I904" s="184"/>
      <c r="J904" s="184"/>
      <c r="Q904" s="184"/>
      <c r="S904" s="543"/>
      <c r="T904" s="543"/>
    </row>
    <row r="905">
      <c r="D905" s="184"/>
      <c r="H905" s="184"/>
      <c r="I905" s="184"/>
      <c r="J905" s="184"/>
      <c r="Q905" s="184"/>
      <c r="S905" s="543"/>
      <c r="T905" s="543"/>
    </row>
    <row r="906">
      <c r="D906" s="184"/>
      <c r="H906" s="184"/>
      <c r="I906" s="184"/>
      <c r="J906" s="184"/>
      <c r="Q906" s="184"/>
      <c r="S906" s="543"/>
      <c r="T906" s="543"/>
    </row>
    <row r="907">
      <c r="D907" s="184"/>
      <c r="H907" s="184"/>
      <c r="I907" s="184"/>
      <c r="J907" s="184"/>
      <c r="Q907" s="184"/>
      <c r="S907" s="543"/>
      <c r="T907" s="543"/>
    </row>
    <row r="908">
      <c r="D908" s="184"/>
      <c r="H908" s="184"/>
      <c r="I908" s="184"/>
      <c r="J908" s="184"/>
      <c r="Q908" s="184"/>
      <c r="S908" s="543"/>
      <c r="T908" s="543"/>
    </row>
    <row r="909">
      <c r="D909" s="184"/>
      <c r="H909" s="184"/>
      <c r="I909" s="184"/>
      <c r="J909" s="184"/>
      <c r="Q909" s="184"/>
      <c r="S909" s="543"/>
      <c r="T909" s="543"/>
    </row>
    <row r="910">
      <c r="D910" s="184"/>
      <c r="H910" s="184"/>
      <c r="I910" s="184"/>
      <c r="J910" s="184"/>
      <c r="Q910" s="184"/>
      <c r="S910" s="543"/>
      <c r="T910" s="543"/>
    </row>
    <row r="911">
      <c r="D911" s="184"/>
      <c r="H911" s="184"/>
      <c r="I911" s="184"/>
      <c r="J911" s="184"/>
      <c r="Q911" s="184"/>
      <c r="S911" s="543"/>
      <c r="T911" s="543"/>
    </row>
    <row r="912">
      <c r="D912" s="184"/>
      <c r="H912" s="184"/>
      <c r="I912" s="184"/>
      <c r="J912" s="184"/>
      <c r="Q912" s="184"/>
      <c r="S912" s="543"/>
      <c r="T912" s="543"/>
    </row>
    <row r="913">
      <c r="D913" s="184"/>
      <c r="H913" s="184"/>
      <c r="I913" s="184"/>
      <c r="J913" s="184"/>
      <c r="Q913" s="184"/>
      <c r="S913" s="543"/>
      <c r="T913" s="543"/>
    </row>
    <row r="914">
      <c r="D914" s="184"/>
      <c r="H914" s="184"/>
      <c r="I914" s="184"/>
      <c r="J914" s="184"/>
      <c r="Q914" s="184"/>
      <c r="S914" s="543"/>
      <c r="T914" s="543"/>
    </row>
    <row r="915">
      <c r="D915" s="184"/>
      <c r="H915" s="184"/>
      <c r="I915" s="184"/>
      <c r="J915" s="184"/>
      <c r="Q915" s="184"/>
      <c r="S915" s="543"/>
      <c r="T915" s="543"/>
    </row>
    <row r="916">
      <c r="D916" s="184"/>
      <c r="H916" s="184"/>
      <c r="I916" s="184"/>
      <c r="J916" s="184"/>
      <c r="Q916" s="184"/>
      <c r="S916" s="543"/>
      <c r="T916" s="543"/>
    </row>
    <row r="917">
      <c r="D917" s="184"/>
      <c r="H917" s="184"/>
      <c r="I917" s="184"/>
      <c r="J917" s="184"/>
      <c r="Q917" s="184"/>
      <c r="S917" s="543"/>
      <c r="T917" s="543"/>
    </row>
    <row r="918">
      <c r="D918" s="184"/>
      <c r="H918" s="184"/>
      <c r="I918" s="184"/>
      <c r="J918" s="184"/>
      <c r="Q918" s="184"/>
      <c r="S918" s="543"/>
      <c r="T918" s="543"/>
    </row>
    <row r="919">
      <c r="D919" s="184"/>
      <c r="H919" s="184"/>
      <c r="I919" s="184"/>
      <c r="J919" s="184"/>
      <c r="Q919" s="184"/>
      <c r="S919" s="543"/>
      <c r="T919" s="543"/>
    </row>
    <row r="920">
      <c r="D920" s="184"/>
      <c r="H920" s="184"/>
      <c r="I920" s="184"/>
      <c r="J920" s="184"/>
      <c r="Q920" s="184"/>
      <c r="S920" s="543"/>
      <c r="T920" s="543"/>
    </row>
    <row r="921">
      <c r="D921" s="184"/>
      <c r="H921" s="184"/>
      <c r="I921" s="184"/>
      <c r="J921" s="184"/>
      <c r="Q921" s="184"/>
      <c r="S921" s="543"/>
      <c r="T921" s="543"/>
    </row>
    <row r="922">
      <c r="D922" s="184"/>
      <c r="H922" s="184"/>
      <c r="I922" s="184"/>
      <c r="J922" s="184"/>
      <c r="Q922" s="184"/>
      <c r="S922" s="543"/>
      <c r="T922" s="543"/>
    </row>
    <row r="923">
      <c r="D923" s="184"/>
      <c r="H923" s="184"/>
      <c r="I923" s="184"/>
      <c r="J923" s="184"/>
      <c r="Q923" s="184"/>
      <c r="S923" s="543"/>
      <c r="T923" s="543"/>
    </row>
    <row r="924">
      <c r="D924" s="184"/>
      <c r="H924" s="184"/>
      <c r="I924" s="184"/>
      <c r="J924" s="184"/>
      <c r="Q924" s="184"/>
      <c r="S924" s="543"/>
      <c r="T924" s="543"/>
    </row>
    <row r="925">
      <c r="D925" s="184"/>
      <c r="H925" s="184"/>
      <c r="I925" s="184"/>
      <c r="J925" s="184"/>
      <c r="Q925" s="184"/>
      <c r="S925" s="543"/>
      <c r="T925" s="543"/>
    </row>
    <row r="926">
      <c r="D926" s="184"/>
      <c r="H926" s="184"/>
      <c r="I926" s="184"/>
      <c r="J926" s="184"/>
      <c r="Q926" s="184"/>
      <c r="S926" s="543"/>
      <c r="T926" s="543"/>
    </row>
    <row r="927">
      <c r="D927" s="184"/>
      <c r="H927" s="184"/>
      <c r="I927" s="184"/>
      <c r="J927" s="184"/>
      <c r="Q927" s="184"/>
      <c r="S927" s="543"/>
      <c r="T927" s="543"/>
    </row>
    <row r="928">
      <c r="D928" s="184"/>
      <c r="H928" s="184"/>
      <c r="I928" s="184"/>
      <c r="J928" s="184"/>
      <c r="Q928" s="184"/>
      <c r="S928" s="543"/>
      <c r="T928" s="543"/>
    </row>
    <row r="929">
      <c r="D929" s="184"/>
      <c r="H929" s="184"/>
      <c r="I929" s="184"/>
      <c r="J929" s="184"/>
      <c r="Q929" s="184"/>
      <c r="S929" s="543"/>
      <c r="T929" s="543"/>
    </row>
    <row r="930">
      <c r="D930" s="184"/>
      <c r="H930" s="184"/>
      <c r="I930" s="184"/>
      <c r="J930" s="184"/>
      <c r="Q930" s="184"/>
      <c r="S930" s="543"/>
      <c r="T930" s="543"/>
    </row>
    <row r="931">
      <c r="D931" s="184"/>
      <c r="H931" s="184"/>
      <c r="I931" s="184"/>
      <c r="J931" s="184"/>
      <c r="Q931" s="184"/>
      <c r="S931" s="543"/>
      <c r="T931" s="543"/>
    </row>
    <row r="932">
      <c r="D932" s="184"/>
      <c r="H932" s="184"/>
      <c r="I932" s="184"/>
      <c r="J932" s="184"/>
      <c r="Q932" s="184"/>
      <c r="S932" s="543"/>
      <c r="T932" s="543"/>
    </row>
    <row r="933">
      <c r="D933" s="184"/>
      <c r="H933" s="184"/>
      <c r="I933" s="184"/>
      <c r="J933" s="184"/>
      <c r="Q933" s="184"/>
      <c r="S933" s="543"/>
      <c r="T933" s="543"/>
    </row>
    <row r="934">
      <c r="D934" s="184"/>
      <c r="H934" s="184"/>
      <c r="I934" s="184"/>
      <c r="J934" s="184"/>
      <c r="Q934" s="184"/>
      <c r="S934" s="543"/>
      <c r="T934" s="543"/>
    </row>
    <row r="935">
      <c r="D935" s="184"/>
      <c r="H935" s="184"/>
      <c r="I935" s="184"/>
      <c r="J935" s="184"/>
      <c r="Q935" s="184"/>
      <c r="S935" s="543"/>
      <c r="T935" s="543"/>
    </row>
    <row r="936">
      <c r="D936" s="184"/>
      <c r="H936" s="184"/>
      <c r="I936" s="184"/>
      <c r="J936" s="184"/>
      <c r="Q936" s="184"/>
      <c r="S936" s="543"/>
      <c r="T936" s="543"/>
    </row>
    <row r="937">
      <c r="D937" s="184"/>
      <c r="H937" s="184"/>
      <c r="I937" s="184"/>
      <c r="J937" s="184"/>
      <c r="Q937" s="184"/>
      <c r="S937" s="543"/>
      <c r="T937" s="543"/>
    </row>
    <row r="938">
      <c r="D938" s="184"/>
      <c r="H938" s="184"/>
      <c r="I938" s="184"/>
      <c r="J938" s="184"/>
      <c r="Q938" s="184"/>
      <c r="S938" s="543"/>
      <c r="T938" s="543"/>
    </row>
    <row r="939">
      <c r="D939" s="184"/>
      <c r="H939" s="184"/>
      <c r="I939" s="184"/>
      <c r="J939" s="184"/>
      <c r="Q939" s="184"/>
      <c r="S939" s="543"/>
      <c r="T939" s="543"/>
    </row>
    <row r="940">
      <c r="D940" s="184"/>
      <c r="H940" s="184"/>
      <c r="I940" s="184"/>
      <c r="J940" s="184"/>
      <c r="Q940" s="184"/>
      <c r="S940" s="543"/>
      <c r="T940" s="543"/>
    </row>
    <row r="941">
      <c r="D941" s="184"/>
      <c r="H941" s="184"/>
      <c r="I941" s="184"/>
      <c r="J941" s="184"/>
      <c r="Q941" s="184"/>
      <c r="S941" s="543"/>
      <c r="T941" s="543"/>
    </row>
    <row r="942">
      <c r="D942" s="184"/>
      <c r="H942" s="184"/>
      <c r="I942" s="184"/>
      <c r="J942" s="184"/>
      <c r="Q942" s="184"/>
      <c r="S942" s="543"/>
      <c r="T942" s="543"/>
    </row>
    <row r="943">
      <c r="D943" s="184"/>
      <c r="H943" s="184"/>
      <c r="I943" s="184"/>
      <c r="J943" s="184"/>
      <c r="Q943" s="184"/>
      <c r="S943" s="543"/>
      <c r="T943" s="543"/>
    </row>
    <row r="944">
      <c r="D944" s="184"/>
      <c r="H944" s="184"/>
      <c r="I944" s="184"/>
      <c r="J944" s="184"/>
      <c r="Q944" s="184"/>
      <c r="S944" s="543"/>
      <c r="T944" s="543"/>
    </row>
    <row r="945">
      <c r="D945" s="184"/>
      <c r="H945" s="184"/>
      <c r="I945" s="184"/>
      <c r="J945" s="184"/>
      <c r="Q945" s="184"/>
      <c r="S945" s="543"/>
      <c r="T945" s="543"/>
    </row>
    <row r="946">
      <c r="D946" s="184"/>
      <c r="H946" s="184"/>
      <c r="I946" s="184"/>
      <c r="J946" s="184"/>
      <c r="Q946" s="184"/>
      <c r="S946" s="543"/>
      <c r="T946" s="543"/>
    </row>
    <row r="947">
      <c r="D947" s="184"/>
      <c r="H947" s="184"/>
      <c r="I947" s="184"/>
      <c r="J947" s="184"/>
      <c r="Q947" s="184"/>
      <c r="S947" s="543"/>
      <c r="T947" s="543"/>
    </row>
    <row r="948">
      <c r="D948" s="184"/>
      <c r="H948" s="184"/>
      <c r="I948" s="184"/>
      <c r="J948" s="184"/>
      <c r="Q948" s="184"/>
      <c r="S948" s="543"/>
      <c r="T948" s="543"/>
    </row>
    <row r="949">
      <c r="D949" s="184"/>
      <c r="H949" s="184"/>
      <c r="I949" s="184"/>
      <c r="J949" s="184"/>
      <c r="Q949" s="184"/>
      <c r="S949" s="543"/>
      <c r="T949" s="543"/>
    </row>
    <row r="950">
      <c r="D950" s="184"/>
      <c r="H950" s="184"/>
      <c r="I950" s="184"/>
      <c r="J950" s="184"/>
      <c r="Q950" s="184"/>
      <c r="S950" s="543"/>
      <c r="T950" s="543"/>
    </row>
    <row r="951">
      <c r="D951" s="184"/>
      <c r="H951" s="184"/>
      <c r="I951" s="184"/>
      <c r="J951" s="184"/>
      <c r="Q951" s="184"/>
      <c r="S951" s="543"/>
      <c r="T951" s="543"/>
    </row>
    <row r="952">
      <c r="D952" s="184"/>
      <c r="H952" s="184"/>
      <c r="I952" s="184"/>
      <c r="J952" s="184"/>
      <c r="Q952" s="184"/>
      <c r="S952" s="543"/>
      <c r="T952" s="543"/>
    </row>
    <row r="953">
      <c r="D953" s="184"/>
      <c r="H953" s="184"/>
      <c r="I953" s="184"/>
      <c r="J953" s="184"/>
      <c r="Q953" s="184"/>
      <c r="S953" s="543"/>
      <c r="T953" s="543"/>
    </row>
    <row r="954">
      <c r="D954" s="184"/>
      <c r="H954" s="184"/>
      <c r="I954" s="184"/>
      <c r="J954" s="184"/>
      <c r="Q954" s="184"/>
      <c r="S954" s="543"/>
      <c r="T954" s="543"/>
    </row>
    <row r="955">
      <c r="D955" s="184"/>
      <c r="H955" s="184"/>
      <c r="I955" s="184"/>
      <c r="J955" s="184"/>
      <c r="Q955" s="184"/>
      <c r="S955" s="543"/>
      <c r="T955" s="543"/>
    </row>
    <row r="956">
      <c r="D956" s="184"/>
      <c r="H956" s="184"/>
      <c r="I956" s="184"/>
      <c r="J956" s="184"/>
      <c r="Q956" s="184"/>
      <c r="S956" s="543"/>
      <c r="T956" s="543"/>
    </row>
    <row r="957">
      <c r="D957" s="184"/>
      <c r="H957" s="184"/>
      <c r="I957" s="184"/>
      <c r="J957" s="184"/>
      <c r="Q957" s="184"/>
      <c r="S957" s="543"/>
      <c r="T957" s="543"/>
    </row>
    <row r="958">
      <c r="D958" s="184"/>
      <c r="H958" s="184"/>
      <c r="I958" s="184"/>
      <c r="J958" s="184"/>
      <c r="Q958" s="184"/>
      <c r="S958" s="543"/>
      <c r="T958" s="543"/>
    </row>
    <row r="959">
      <c r="D959" s="184"/>
      <c r="H959" s="184"/>
      <c r="I959" s="184"/>
      <c r="J959" s="184"/>
      <c r="Q959" s="184"/>
      <c r="S959" s="543"/>
      <c r="T959" s="543"/>
    </row>
    <row r="960">
      <c r="D960" s="184"/>
      <c r="H960" s="184"/>
      <c r="I960" s="184"/>
      <c r="J960" s="184"/>
      <c r="Q960" s="184"/>
      <c r="S960" s="543"/>
      <c r="T960" s="543"/>
    </row>
    <row r="961">
      <c r="D961" s="184"/>
      <c r="H961" s="184"/>
      <c r="I961" s="184"/>
      <c r="J961" s="184"/>
      <c r="Q961" s="184"/>
      <c r="S961" s="543"/>
      <c r="T961" s="543"/>
    </row>
    <row r="962">
      <c r="D962" s="184"/>
      <c r="H962" s="184"/>
      <c r="I962" s="184"/>
      <c r="J962" s="184"/>
      <c r="Q962" s="184"/>
      <c r="S962" s="543"/>
      <c r="T962" s="543"/>
    </row>
    <row r="963">
      <c r="D963" s="184"/>
      <c r="H963" s="184"/>
      <c r="I963" s="184"/>
      <c r="J963" s="184"/>
      <c r="Q963" s="184"/>
      <c r="S963" s="543"/>
      <c r="T963" s="543"/>
    </row>
    <row r="964">
      <c r="D964" s="184"/>
      <c r="H964" s="184"/>
      <c r="I964" s="184"/>
      <c r="J964" s="184"/>
      <c r="Q964" s="184"/>
      <c r="S964" s="543"/>
      <c r="T964" s="543"/>
    </row>
    <row r="965">
      <c r="D965" s="184"/>
      <c r="H965" s="184"/>
      <c r="I965" s="184"/>
      <c r="J965" s="184"/>
      <c r="Q965" s="184"/>
      <c r="S965" s="543"/>
      <c r="T965" s="543"/>
    </row>
    <row r="966">
      <c r="D966" s="184"/>
      <c r="H966" s="184"/>
      <c r="I966" s="184"/>
      <c r="J966" s="184"/>
      <c r="Q966" s="184"/>
      <c r="S966" s="543"/>
      <c r="T966" s="543"/>
    </row>
    <row r="967">
      <c r="D967" s="184"/>
      <c r="H967" s="184"/>
      <c r="I967" s="184"/>
      <c r="J967" s="184"/>
      <c r="Q967" s="184"/>
      <c r="S967" s="543"/>
      <c r="T967" s="543"/>
    </row>
    <row r="968">
      <c r="D968" s="184"/>
      <c r="H968" s="184"/>
      <c r="I968" s="184"/>
      <c r="J968" s="184"/>
      <c r="Q968" s="184"/>
      <c r="S968" s="543"/>
      <c r="T968" s="543"/>
    </row>
    <row r="969">
      <c r="D969" s="184"/>
      <c r="H969" s="184"/>
      <c r="I969" s="184"/>
      <c r="J969" s="184"/>
      <c r="Q969" s="184"/>
      <c r="S969" s="543"/>
      <c r="T969" s="543"/>
    </row>
    <row r="970">
      <c r="D970" s="184"/>
      <c r="H970" s="184"/>
      <c r="I970" s="184"/>
      <c r="J970" s="184"/>
      <c r="Q970" s="184"/>
      <c r="S970" s="543"/>
      <c r="T970" s="543"/>
    </row>
    <row r="971">
      <c r="D971" s="184"/>
      <c r="H971" s="184"/>
      <c r="I971" s="184"/>
      <c r="J971" s="184"/>
      <c r="Q971" s="184"/>
      <c r="S971" s="543"/>
      <c r="T971" s="543"/>
    </row>
    <row r="972">
      <c r="D972" s="184"/>
      <c r="H972" s="184"/>
      <c r="I972" s="184"/>
      <c r="J972" s="184"/>
      <c r="Q972" s="184"/>
      <c r="S972" s="543"/>
      <c r="T972" s="543"/>
    </row>
    <row r="973">
      <c r="D973" s="184"/>
      <c r="H973" s="184"/>
      <c r="I973" s="184"/>
      <c r="J973" s="184"/>
      <c r="Q973" s="184"/>
      <c r="S973" s="543"/>
      <c r="T973" s="543"/>
    </row>
    <row r="974">
      <c r="D974" s="184"/>
      <c r="H974" s="184"/>
      <c r="I974" s="184"/>
      <c r="J974" s="184"/>
      <c r="Q974" s="184"/>
      <c r="S974" s="543"/>
      <c r="T974" s="543"/>
    </row>
    <row r="975">
      <c r="D975" s="184"/>
      <c r="H975" s="184"/>
      <c r="I975" s="184"/>
      <c r="J975" s="184"/>
      <c r="Q975" s="184"/>
      <c r="S975" s="543"/>
      <c r="T975" s="543"/>
    </row>
    <row r="976">
      <c r="D976" s="184"/>
      <c r="H976" s="184"/>
      <c r="I976" s="184"/>
      <c r="J976" s="184"/>
      <c r="Q976" s="184"/>
      <c r="S976" s="543"/>
      <c r="T976" s="543"/>
    </row>
    <row r="977">
      <c r="D977" s="184"/>
      <c r="H977" s="184"/>
      <c r="I977" s="184"/>
      <c r="J977" s="184"/>
      <c r="Q977" s="184"/>
      <c r="S977" s="543"/>
      <c r="T977" s="543"/>
    </row>
    <row r="978">
      <c r="D978" s="184"/>
      <c r="H978" s="184"/>
      <c r="I978" s="184"/>
      <c r="J978" s="184"/>
      <c r="Q978" s="184"/>
      <c r="S978" s="543"/>
      <c r="T978" s="543"/>
    </row>
    <row r="979">
      <c r="D979" s="184"/>
      <c r="H979" s="184"/>
      <c r="I979" s="184"/>
      <c r="J979" s="184"/>
      <c r="Q979" s="184"/>
      <c r="S979" s="543"/>
      <c r="T979" s="543"/>
    </row>
    <row r="980">
      <c r="D980" s="184"/>
      <c r="H980" s="184"/>
      <c r="I980" s="184"/>
      <c r="J980" s="184"/>
      <c r="Q980" s="184"/>
      <c r="S980" s="543"/>
      <c r="T980" s="543"/>
    </row>
    <row r="981">
      <c r="D981" s="184"/>
      <c r="H981" s="184"/>
      <c r="I981" s="184"/>
      <c r="J981" s="184"/>
      <c r="Q981" s="184"/>
      <c r="S981" s="543"/>
      <c r="T981" s="543"/>
    </row>
    <row r="982">
      <c r="D982" s="184"/>
      <c r="H982" s="184"/>
      <c r="I982" s="184"/>
      <c r="J982" s="184"/>
      <c r="Q982" s="184"/>
      <c r="S982" s="543"/>
      <c r="T982" s="543"/>
    </row>
    <row r="983">
      <c r="D983" s="184"/>
      <c r="H983" s="184"/>
      <c r="I983" s="184"/>
      <c r="J983" s="184"/>
      <c r="Q983" s="184"/>
      <c r="S983" s="543"/>
      <c r="T983" s="543"/>
    </row>
    <row r="984">
      <c r="D984" s="184"/>
      <c r="H984" s="184"/>
      <c r="I984" s="184"/>
      <c r="J984" s="184"/>
      <c r="Q984" s="184"/>
      <c r="S984" s="543"/>
      <c r="T984" s="543"/>
    </row>
    <row r="985">
      <c r="D985" s="184"/>
      <c r="H985" s="184"/>
      <c r="I985" s="184"/>
      <c r="J985" s="184"/>
      <c r="Q985" s="184"/>
      <c r="S985" s="543"/>
      <c r="T985" s="543"/>
    </row>
    <row r="986">
      <c r="D986" s="184"/>
      <c r="H986" s="184"/>
      <c r="I986" s="184"/>
      <c r="J986" s="184"/>
      <c r="Q986" s="184"/>
      <c r="S986" s="543"/>
      <c r="T986" s="543"/>
    </row>
    <row r="987">
      <c r="D987" s="184"/>
      <c r="H987" s="184"/>
      <c r="I987" s="184"/>
      <c r="J987" s="184"/>
      <c r="Q987" s="184"/>
      <c r="S987" s="543"/>
      <c r="T987" s="543"/>
    </row>
    <row r="988">
      <c r="D988" s="184"/>
      <c r="H988" s="184"/>
      <c r="I988" s="184"/>
      <c r="J988" s="184"/>
      <c r="Q988" s="184"/>
      <c r="S988" s="543"/>
      <c r="T988" s="543"/>
    </row>
    <row r="989">
      <c r="D989" s="184"/>
      <c r="H989" s="184"/>
      <c r="I989" s="184"/>
      <c r="J989" s="184"/>
      <c r="Q989" s="184"/>
      <c r="S989" s="543"/>
      <c r="T989" s="543"/>
    </row>
    <row r="990">
      <c r="D990" s="184"/>
      <c r="H990" s="184"/>
      <c r="I990" s="184"/>
      <c r="J990" s="184"/>
      <c r="Q990" s="184"/>
      <c r="S990" s="543"/>
      <c r="T990" s="543"/>
    </row>
    <row r="991">
      <c r="D991" s="184"/>
      <c r="H991" s="184"/>
      <c r="I991" s="184"/>
      <c r="J991" s="184"/>
      <c r="Q991" s="184"/>
      <c r="S991" s="543"/>
      <c r="T991" s="543"/>
    </row>
    <row r="992">
      <c r="D992" s="184"/>
      <c r="H992" s="184"/>
      <c r="I992" s="184"/>
      <c r="J992" s="184"/>
      <c r="Q992" s="184"/>
      <c r="S992" s="543"/>
      <c r="T992" s="543"/>
    </row>
    <row r="993">
      <c r="D993" s="184"/>
      <c r="H993" s="184"/>
      <c r="I993" s="184"/>
      <c r="J993" s="184"/>
      <c r="Q993" s="184"/>
      <c r="S993" s="543"/>
      <c r="T993" s="543"/>
    </row>
    <row r="994">
      <c r="D994" s="184"/>
      <c r="H994" s="184"/>
      <c r="I994" s="184"/>
      <c r="J994" s="184"/>
      <c r="Q994" s="184"/>
      <c r="S994" s="543"/>
      <c r="T994" s="543"/>
    </row>
    <row r="995">
      <c r="D995" s="184"/>
      <c r="H995" s="184"/>
      <c r="I995" s="184"/>
      <c r="J995" s="184"/>
      <c r="Q995" s="184"/>
      <c r="S995" s="543"/>
      <c r="T995" s="543"/>
    </row>
    <row r="996">
      <c r="D996" s="184"/>
      <c r="H996" s="184"/>
      <c r="I996" s="184"/>
      <c r="J996" s="184"/>
      <c r="Q996" s="184"/>
      <c r="S996" s="543"/>
      <c r="T996" s="543"/>
    </row>
    <row r="997">
      <c r="D997" s="184"/>
      <c r="H997" s="184"/>
      <c r="I997" s="184"/>
      <c r="J997" s="184"/>
      <c r="Q997" s="184"/>
      <c r="S997" s="543"/>
      <c r="T997" s="543"/>
    </row>
    <row r="998">
      <c r="D998" s="184"/>
      <c r="H998" s="184"/>
      <c r="I998" s="184"/>
      <c r="J998" s="184"/>
      <c r="Q998" s="184"/>
      <c r="S998" s="543"/>
      <c r="T998" s="543"/>
    </row>
    <row r="999">
      <c r="D999" s="184"/>
      <c r="H999" s="184"/>
      <c r="I999" s="184"/>
      <c r="J999" s="184"/>
      <c r="Q999" s="184"/>
      <c r="S999" s="543"/>
      <c r="T999" s="543"/>
    </row>
    <row r="1000">
      <c r="D1000" s="184"/>
      <c r="H1000" s="184"/>
      <c r="I1000" s="184"/>
      <c r="J1000" s="184"/>
      <c r="Q1000" s="184"/>
      <c r="S1000" s="543"/>
      <c r="T1000" s="543"/>
    </row>
    <row r="1001">
      <c r="D1001" s="184"/>
      <c r="H1001" s="184"/>
      <c r="I1001" s="184"/>
      <c r="J1001" s="184"/>
      <c r="Q1001" s="184"/>
      <c r="S1001" s="543"/>
      <c r="T1001" s="543"/>
    </row>
    <row r="1002">
      <c r="D1002" s="184"/>
      <c r="H1002" s="184"/>
      <c r="I1002" s="184"/>
      <c r="J1002" s="184"/>
      <c r="Q1002" s="184"/>
      <c r="S1002" s="543"/>
      <c r="T1002" s="543"/>
    </row>
    <row r="1003">
      <c r="D1003" s="184"/>
      <c r="H1003" s="184"/>
      <c r="I1003" s="184"/>
      <c r="J1003" s="184"/>
      <c r="Q1003" s="184"/>
      <c r="S1003" s="543"/>
      <c r="T1003" s="543"/>
    </row>
    <row r="1004">
      <c r="D1004" s="184"/>
      <c r="H1004" s="184"/>
      <c r="I1004" s="184"/>
      <c r="J1004" s="184"/>
      <c r="Q1004" s="184"/>
      <c r="S1004" s="543"/>
      <c r="T1004" s="543"/>
    </row>
    <row r="1005">
      <c r="D1005" s="184"/>
      <c r="H1005" s="184"/>
      <c r="I1005" s="184"/>
      <c r="J1005" s="184"/>
      <c r="Q1005" s="184"/>
      <c r="S1005" s="543"/>
      <c r="T1005" s="543"/>
    </row>
  </sheetData>
  <mergeCells count="19">
    <mergeCell ref="B4:K4"/>
    <mergeCell ref="M4:R4"/>
    <mergeCell ref="T4:Y4"/>
    <mergeCell ref="Z4:AA4"/>
    <mergeCell ref="B5:K5"/>
    <mergeCell ref="M5:R5"/>
    <mergeCell ref="M13:R13"/>
    <mergeCell ref="B154:K154"/>
    <mergeCell ref="B155:K155"/>
    <mergeCell ref="M155:R155"/>
    <mergeCell ref="B181:K181"/>
    <mergeCell ref="B213:C213"/>
    <mergeCell ref="M22:R22"/>
    <mergeCell ref="M32:R32"/>
    <mergeCell ref="M36:Q36"/>
    <mergeCell ref="B37:K37"/>
    <mergeCell ref="B146:C146"/>
    <mergeCell ref="B152:R152"/>
    <mergeCell ref="M154:R154"/>
  </mergeCells>
  <drawing r:id="rId2"/>
  <legacyDrawing r:id="rId3"/>
</worksheet>
</file>

<file path=xl/worksheets/sheet3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42.13"/>
    <col customWidth="1" min="3" max="3" width="9.13"/>
    <col customWidth="1" min="4" max="4" width="16.25"/>
    <col customWidth="1" min="5" max="5" width="19.13"/>
    <col customWidth="1" min="6" max="6" width="17.75"/>
    <col customWidth="1" min="7" max="7" width="21.88"/>
    <col customWidth="1" min="8" max="8" width="20.13"/>
    <col customWidth="1" min="9" max="9" width="16.13"/>
    <col customWidth="1" min="10" max="10" width="18.25"/>
    <col customWidth="1" min="11" max="11" width="32.38"/>
    <col customWidth="1" min="12" max="26" width="8.63"/>
  </cols>
  <sheetData>
    <row r="1" ht="19.5" customHeight="1">
      <c r="A1" s="4"/>
      <c r="B1" s="5"/>
      <c r="C1" s="6"/>
      <c r="D1" s="86"/>
      <c r="E1" s="5"/>
      <c r="F1" s="8"/>
      <c r="G1" s="8"/>
      <c r="H1" s="8"/>
      <c r="I1" s="8"/>
      <c r="J1" s="8"/>
      <c r="K1" s="9"/>
    </row>
    <row r="2" ht="19.5" customHeight="1">
      <c r="A2" s="10" t="s">
        <v>83</v>
      </c>
      <c r="B2" s="11" t="s">
        <v>84</v>
      </c>
      <c r="C2" s="12"/>
      <c r="D2" s="87"/>
      <c r="F2" s="14"/>
      <c r="G2" s="14"/>
      <c r="H2" s="14"/>
      <c r="I2" s="14"/>
      <c r="J2" s="17" t="s">
        <v>144</v>
      </c>
      <c r="K2" s="18"/>
    </row>
    <row r="3" ht="19.5" customHeight="1">
      <c r="A3" s="10" t="s">
        <v>86</v>
      </c>
      <c r="B3" s="11" t="s">
        <v>87</v>
      </c>
      <c r="C3" s="12"/>
      <c r="D3" s="87"/>
      <c r="F3" s="14"/>
      <c r="G3" s="14"/>
      <c r="H3" s="14"/>
      <c r="I3" s="14"/>
      <c r="J3" s="14"/>
      <c r="K3" s="18"/>
    </row>
    <row r="4" ht="19.5" customHeight="1">
      <c r="A4" s="19"/>
      <c r="C4" s="12"/>
      <c r="D4" s="87"/>
      <c r="F4" s="14"/>
      <c r="G4" s="14"/>
      <c r="H4" s="14"/>
      <c r="I4" s="14"/>
      <c r="J4" s="14"/>
      <c r="K4" s="18"/>
    </row>
    <row r="5" ht="19.5" customHeight="1">
      <c r="A5" s="19"/>
      <c r="C5" s="12"/>
      <c r="D5" s="87"/>
      <c r="F5" s="14"/>
      <c r="G5" s="14"/>
      <c r="H5" s="14"/>
      <c r="I5" s="14"/>
      <c r="J5" s="14"/>
      <c r="K5" s="18"/>
    </row>
    <row r="6" ht="200.25" customHeight="1">
      <c r="A6" s="20" t="s">
        <v>1759</v>
      </c>
      <c r="K6" s="21"/>
    </row>
    <row r="7" ht="64.5" customHeight="1">
      <c r="A7" s="22" t="s">
        <v>1760</v>
      </c>
      <c r="K7" s="21"/>
    </row>
    <row r="8" ht="37.5" customHeight="1">
      <c r="A8" s="88" t="s">
        <v>90</v>
      </c>
      <c r="B8" s="24"/>
      <c r="C8" s="24"/>
      <c r="D8" s="24"/>
      <c r="E8" s="24"/>
      <c r="F8" s="24"/>
      <c r="G8" s="24"/>
      <c r="H8" s="24"/>
      <c r="I8" s="24"/>
      <c r="J8" s="24"/>
      <c r="K8" s="25"/>
    </row>
    <row r="9" ht="19.5" customHeight="1">
      <c r="A9" s="26" t="s">
        <v>1</v>
      </c>
      <c r="B9" s="26" t="s">
        <v>91</v>
      </c>
      <c r="C9" s="26" t="s">
        <v>92</v>
      </c>
      <c r="D9" s="31" t="s">
        <v>93</v>
      </c>
      <c r="E9" s="27" t="s">
        <v>94</v>
      </c>
      <c r="F9" s="28"/>
      <c r="G9" s="29"/>
      <c r="H9" s="30"/>
      <c r="I9" s="30"/>
      <c r="J9" s="31" t="s">
        <v>95</v>
      </c>
      <c r="K9" s="26" t="s">
        <v>96</v>
      </c>
    </row>
    <row r="10" ht="19.5" customHeight="1">
      <c r="A10" s="32"/>
      <c r="B10" s="32"/>
      <c r="C10" s="32"/>
      <c r="D10" s="32"/>
      <c r="E10" s="33" t="s">
        <v>97</v>
      </c>
      <c r="F10" s="34" t="s">
        <v>121</v>
      </c>
      <c r="G10" s="34" t="s">
        <v>99</v>
      </c>
      <c r="H10" s="35" t="s">
        <v>100</v>
      </c>
      <c r="I10" s="35" t="s">
        <v>101</v>
      </c>
      <c r="J10" s="32"/>
      <c r="K10" s="32"/>
    </row>
    <row r="11" ht="19.5" customHeight="1">
      <c r="A11" s="443">
        <v>36906.0</v>
      </c>
      <c r="B11" s="37" t="s">
        <v>147</v>
      </c>
      <c r="C11" s="46" t="s">
        <v>148</v>
      </c>
      <c r="D11" s="78">
        <v>14.0</v>
      </c>
      <c r="E11" s="37">
        <v>0.7</v>
      </c>
      <c r="F11" s="40">
        <v>0.6</v>
      </c>
      <c r="G11" s="40">
        <v>0.6</v>
      </c>
      <c r="H11" s="40">
        <f>G11*F11*E11*D11</f>
        <v>3.528</v>
      </c>
      <c r="I11" s="42"/>
      <c r="J11" s="43">
        <f>H11-I11</f>
        <v>3.528</v>
      </c>
      <c r="K11" s="46"/>
    </row>
    <row r="12" ht="19.5" customHeight="1">
      <c r="A12" s="74" t="s">
        <v>1</v>
      </c>
      <c r="B12" s="74" t="s">
        <v>91</v>
      </c>
      <c r="C12" s="74" t="s">
        <v>92</v>
      </c>
      <c r="D12" s="76" t="s">
        <v>93</v>
      </c>
      <c r="E12" s="50" t="s">
        <v>97</v>
      </c>
      <c r="F12" s="53" t="s">
        <v>121</v>
      </c>
      <c r="G12" s="53" t="s">
        <v>99</v>
      </c>
      <c r="H12" s="75" t="s">
        <v>100</v>
      </c>
      <c r="I12" s="75" t="s">
        <v>101</v>
      </c>
      <c r="J12" s="76" t="s">
        <v>95</v>
      </c>
      <c r="K12" s="74" t="s">
        <v>96</v>
      </c>
    </row>
    <row r="13" ht="19.5" customHeight="1">
      <c r="A13" s="36">
        <v>37271.0</v>
      </c>
      <c r="B13" s="37" t="s">
        <v>150</v>
      </c>
      <c r="C13" s="46" t="s">
        <v>148</v>
      </c>
      <c r="D13" s="78">
        <v>2.0</v>
      </c>
      <c r="E13" s="37"/>
      <c r="F13" s="40">
        <v>26.3</v>
      </c>
      <c r="G13" s="40">
        <v>13.6</v>
      </c>
      <c r="H13" s="40">
        <f>(G13+F13)*D13</f>
        <v>79.8</v>
      </c>
      <c r="I13" s="42"/>
      <c r="J13" s="64">
        <f>H13</f>
        <v>79.8</v>
      </c>
      <c r="K13" s="46"/>
    </row>
    <row r="14" ht="19.5" customHeight="1">
      <c r="A14" s="74" t="s">
        <v>1</v>
      </c>
      <c r="B14" s="74" t="s">
        <v>91</v>
      </c>
      <c r="C14" s="74" t="s">
        <v>92</v>
      </c>
      <c r="D14" s="76" t="s">
        <v>93</v>
      </c>
      <c r="E14" s="50" t="s">
        <v>97</v>
      </c>
      <c r="F14" s="53" t="s">
        <v>121</v>
      </c>
      <c r="G14" s="53" t="s">
        <v>99</v>
      </c>
      <c r="H14" s="75" t="s">
        <v>100</v>
      </c>
      <c r="I14" s="75" t="s">
        <v>101</v>
      </c>
      <c r="J14" s="76" t="s">
        <v>95</v>
      </c>
      <c r="K14" s="74" t="s">
        <v>96</v>
      </c>
    </row>
    <row r="15" ht="19.5" customHeight="1">
      <c r="A15" s="443">
        <v>37636.0</v>
      </c>
      <c r="B15" s="49" t="s">
        <v>149</v>
      </c>
      <c r="C15" s="46" t="s">
        <v>148</v>
      </c>
      <c r="D15" s="78">
        <f>D11</f>
        <v>14</v>
      </c>
      <c r="E15" s="37"/>
      <c r="F15" s="40">
        <f t="shared" ref="F15:G15" si="1">F11</f>
        <v>0.6</v>
      </c>
      <c r="G15" s="40">
        <f t="shared" si="1"/>
        <v>0.6</v>
      </c>
      <c r="H15" s="40">
        <f>G15*F15*D15</f>
        <v>5.04</v>
      </c>
      <c r="I15" s="42"/>
      <c r="J15" s="64">
        <f>H15</f>
        <v>5.04</v>
      </c>
      <c r="K15" s="46"/>
    </row>
    <row r="16" ht="19.5" customHeight="1">
      <c r="A16" s="74" t="s">
        <v>1</v>
      </c>
      <c r="B16" s="74" t="s">
        <v>91</v>
      </c>
      <c r="C16" s="74" t="s">
        <v>92</v>
      </c>
      <c r="D16" s="76" t="s">
        <v>93</v>
      </c>
      <c r="E16" s="50" t="s">
        <v>97</v>
      </c>
      <c r="F16" s="53" t="s">
        <v>121</v>
      </c>
      <c r="G16" s="53" t="s">
        <v>99</v>
      </c>
      <c r="H16" s="75">
        <v>8.0</v>
      </c>
      <c r="I16" s="75" t="s">
        <v>101</v>
      </c>
      <c r="J16" s="76" t="s">
        <v>95</v>
      </c>
      <c r="K16" s="74" t="s">
        <v>96</v>
      </c>
    </row>
    <row r="17" ht="19.5" customHeight="1">
      <c r="A17" s="443">
        <v>38001.0</v>
      </c>
      <c r="B17" s="37" t="s">
        <v>333</v>
      </c>
      <c r="C17" s="46" t="s">
        <v>148</v>
      </c>
      <c r="D17" s="78">
        <f>D15</f>
        <v>14</v>
      </c>
      <c r="E17" s="37">
        <v>0.05</v>
      </c>
      <c r="F17" s="40">
        <f t="shared" ref="F17:G17" si="2">F15</f>
        <v>0.6</v>
      </c>
      <c r="G17" s="40">
        <f t="shared" si="2"/>
        <v>0.6</v>
      </c>
      <c r="H17" s="40">
        <f>G17*F17*E17*D17</f>
        <v>0.252</v>
      </c>
      <c r="I17" s="42"/>
      <c r="J17" s="64">
        <f>H17</f>
        <v>0.252</v>
      </c>
      <c r="K17" s="46"/>
    </row>
    <row r="18" ht="19.5" customHeight="1">
      <c r="A18" s="74" t="s">
        <v>1</v>
      </c>
      <c r="B18" s="74" t="s">
        <v>91</v>
      </c>
      <c r="C18" s="74" t="s">
        <v>92</v>
      </c>
      <c r="D18" s="76" t="s">
        <v>93</v>
      </c>
      <c r="E18" s="50" t="s">
        <v>97</v>
      </c>
      <c r="F18" s="53" t="s">
        <v>121</v>
      </c>
      <c r="G18" s="53" t="s">
        <v>99</v>
      </c>
      <c r="H18" s="75" t="s">
        <v>100</v>
      </c>
      <c r="I18" s="75" t="s">
        <v>101</v>
      </c>
      <c r="J18" s="76" t="s">
        <v>95</v>
      </c>
      <c r="K18" s="74" t="s">
        <v>96</v>
      </c>
    </row>
    <row r="19" ht="19.5" customHeight="1">
      <c r="A19" s="46">
        <v>1.0</v>
      </c>
      <c r="B19" s="37" t="s">
        <v>334</v>
      </c>
      <c r="C19" s="46" t="s">
        <v>148</v>
      </c>
      <c r="D19" s="78"/>
      <c r="E19" s="37"/>
      <c r="F19" s="40"/>
      <c r="G19" s="40"/>
      <c r="H19" s="40"/>
      <c r="I19" s="42"/>
      <c r="J19" s="43">
        <f>H19-I19</f>
        <v>0</v>
      </c>
      <c r="K19" s="46"/>
    </row>
    <row r="20" ht="19.5" customHeight="1">
      <c r="A20" s="74" t="s">
        <v>1</v>
      </c>
      <c r="B20" s="74" t="s">
        <v>91</v>
      </c>
      <c r="C20" s="74" t="s">
        <v>92</v>
      </c>
      <c r="D20" s="76" t="s">
        <v>93</v>
      </c>
      <c r="E20" s="50" t="s">
        <v>97</v>
      </c>
      <c r="F20" s="53" t="s">
        <v>121</v>
      </c>
      <c r="G20" s="53" t="s">
        <v>99</v>
      </c>
      <c r="H20" s="75" t="s">
        <v>100</v>
      </c>
      <c r="I20" s="75" t="s">
        <v>101</v>
      </c>
      <c r="J20" s="76" t="s">
        <v>95</v>
      </c>
      <c r="K20" s="74" t="s">
        <v>96</v>
      </c>
    </row>
    <row r="21" ht="19.5" customHeight="1">
      <c r="A21" s="443">
        <v>36937.0</v>
      </c>
      <c r="B21" s="37" t="s">
        <v>1761</v>
      </c>
      <c r="C21" s="46" t="s">
        <v>148</v>
      </c>
      <c r="D21" s="78">
        <f>D17</f>
        <v>14</v>
      </c>
      <c r="E21" s="37">
        <v>3.0</v>
      </c>
      <c r="F21" s="40">
        <v>0.2</v>
      </c>
      <c r="G21" s="40">
        <v>0.2</v>
      </c>
      <c r="H21" s="40">
        <f>G21*F21*E21*D21</f>
        <v>1.68</v>
      </c>
      <c r="I21" s="42"/>
      <c r="J21" s="43"/>
      <c r="K21" s="46"/>
    </row>
    <row r="22" ht="19.5" customHeight="1">
      <c r="A22" s="46"/>
      <c r="B22" s="37"/>
      <c r="C22" s="46"/>
      <c r="D22" s="78"/>
      <c r="E22" s="37"/>
      <c r="F22" s="40"/>
      <c r="G22" s="40"/>
      <c r="H22" s="40"/>
      <c r="I22" s="42"/>
      <c r="J22" s="96">
        <f>SUM(H21:H22)</f>
        <v>1.68</v>
      </c>
      <c r="K22" s="79"/>
    </row>
    <row r="23" ht="19.5" customHeight="1">
      <c r="A23" s="74" t="s">
        <v>1</v>
      </c>
      <c r="B23" s="74" t="s">
        <v>91</v>
      </c>
      <c r="C23" s="74" t="s">
        <v>92</v>
      </c>
      <c r="D23" s="76" t="s">
        <v>93</v>
      </c>
      <c r="E23" s="50" t="s">
        <v>97</v>
      </c>
      <c r="F23" s="53" t="s">
        <v>121</v>
      </c>
      <c r="G23" s="53" t="s">
        <v>99</v>
      </c>
      <c r="H23" s="75" t="s">
        <v>100</v>
      </c>
      <c r="I23" s="75" t="s">
        <v>101</v>
      </c>
      <c r="J23" s="76" t="s">
        <v>95</v>
      </c>
      <c r="K23" s="74" t="s">
        <v>96</v>
      </c>
    </row>
    <row r="24" ht="19.5" customHeight="1">
      <c r="A24" s="443">
        <v>38367.0</v>
      </c>
      <c r="B24" s="37" t="s">
        <v>337</v>
      </c>
      <c r="C24" s="46" t="s">
        <v>148</v>
      </c>
      <c r="D24" s="78">
        <f>D21</f>
        <v>14</v>
      </c>
      <c r="E24" s="37">
        <v>0.2</v>
      </c>
      <c r="F24" s="40">
        <f t="shared" ref="F24:G24" si="3">F11</f>
        <v>0.6</v>
      </c>
      <c r="G24" s="40">
        <f t="shared" si="3"/>
        <v>0.6</v>
      </c>
      <c r="H24" s="40">
        <f>G24*F24*E24*D24</f>
        <v>1.008</v>
      </c>
      <c r="I24" s="42"/>
      <c r="J24" s="40"/>
      <c r="K24" s="46"/>
    </row>
    <row r="25" ht="19.5" customHeight="1">
      <c r="A25" s="46"/>
      <c r="B25" s="37"/>
      <c r="C25" s="46"/>
      <c r="D25" s="78"/>
      <c r="E25" s="37"/>
      <c r="F25" s="40"/>
      <c r="G25" s="40"/>
      <c r="H25" s="40"/>
      <c r="I25" s="42"/>
      <c r="J25" s="43">
        <f>SUM(H24:H25)</f>
        <v>1.008</v>
      </c>
      <c r="K25" s="79"/>
    </row>
    <row r="26" ht="19.5" customHeight="1">
      <c r="A26" s="74" t="s">
        <v>1</v>
      </c>
      <c r="B26" s="74" t="s">
        <v>91</v>
      </c>
      <c r="C26" s="74" t="s">
        <v>92</v>
      </c>
      <c r="D26" s="76" t="s">
        <v>93</v>
      </c>
      <c r="E26" s="50" t="s">
        <v>97</v>
      </c>
      <c r="F26" s="53" t="s">
        <v>121</v>
      </c>
      <c r="G26" s="53" t="s">
        <v>99</v>
      </c>
      <c r="H26" s="75" t="s">
        <v>100</v>
      </c>
      <c r="I26" s="75" t="s">
        <v>101</v>
      </c>
      <c r="J26" s="76" t="s">
        <v>95</v>
      </c>
      <c r="K26" s="74" t="s">
        <v>96</v>
      </c>
    </row>
    <row r="27" ht="19.5" customHeight="1">
      <c r="A27" s="443">
        <v>36937.0</v>
      </c>
      <c r="B27" s="37" t="s">
        <v>338</v>
      </c>
      <c r="C27" s="46" t="s">
        <v>148</v>
      </c>
      <c r="D27" s="78">
        <v>2.0</v>
      </c>
      <c r="E27" s="37">
        <v>0.2</v>
      </c>
      <c r="F27" s="78">
        <v>24.3</v>
      </c>
      <c r="G27" s="40">
        <v>0.14</v>
      </c>
      <c r="H27" s="40">
        <f t="shared" ref="H27:H28" si="4">G27*F27*E27*D27</f>
        <v>1.3608</v>
      </c>
      <c r="I27" s="42"/>
      <c r="J27" s="40"/>
      <c r="K27" s="46"/>
    </row>
    <row r="28" ht="19.5" customHeight="1">
      <c r="A28" s="443">
        <v>36937.0</v>
      </c>
      <c r="B28" s="37" t="s">
        <v>338</v>
      </c>
      <c r="C28" s="46" t="s">
        <v>148</v>
      </c>
      <c r="D28" s="78">
        <v>3.0</v>
      </c>
      <c r="E28" s="37">
        <v>0.2</v>
      </c>
      <c r="F28" s="78">
        <v>11.6</v>
      </c>
      <c r="G28" s="40">
        <v>0.14</v>
      </c>
      <c r="H28" s="40">
        <f t="shared" si="4"/>
        <v>0.9744</v>
      </c>
      <c r="I28" s="42"/>
      <c r="J28" s="107"/>
      <c r="K28" s="46"/>
      <c r="L28" s="14">
        <f t="shared" ref="L28:L29" si="5">J28+J21</f>
        <v>0</v>
      </c>
    </row>
    <row r="29" ht="19.5" customHeight="1">
      <c r="A29" s="46"/>
      <c r="B29" s="37"/>
      <c r="C29" s="46"/>
      <c r="D29" s="78"/>
      <c r="E29" s="37"/>
      <c r="F29" s="78"/>
      <c r="G29" s="40"/>
      <c r="H29" s="40"/>
      <c r="I29" s="42"/>
      <c r="J29" s="43">
        <f>SUM(H27:H29)</f>
        <v>2.3352</v>
      </c>
      <c r="K29" s="79"/>
      <c r="L29" s="14">
        <f t="shared" si="5"/>
        <v>4.0152</v>
      </c>
    </row>
    <row r="30" ht="19.5" customHeight="1">
      <c r="A30" s="74" t="s">
        <v>1</v>
      </c>
      <c r="B30" s="74" t="s">
        <v>91</v>
      </c>
      <c r="C30" s="74" t="s">
        <v>92</v>
      </c>
      <c r="D30" s="76" t="s">
        <v>93</v>
      </c>
      <c r="E30" s="50" t="s">
        <v>97</v>
      </c>
      <c r="F30" s="53" t="s">
        <v>121</v>
      </c>
      <c r="G30" s="53" t="s">
        <v>99</v>
      </c>
      <c r="H30" s="75" t="s">
        <v>100</v>
      </c>
      <c r="I30" s="75" t="s">
        <v>101</v>
      </c>
      <c r="J30" s="76" t="s">
        <v>95</v>
      </c>
      <c r="K30" s="74" t="s">
        <v>96</v>
      </c>
    </row>
    <row r="31" ht="19.5" customHeight="1">
      <c r="A31" s="443">
        <v>39462.0</v>
      </c>
      <c r="B31" s="37" t="s">
        <v>339</v>
      </c>
      <c r="C31" s="46" t="s">
        <v>148</v>
      </c>
      <c r="D31" s="78">
        <f>H11</f>
        <v>3.528</v>
      </c>
      <c r="E31" s="37"/>
      <c r="F31" s="78"/>
      <c r="G31" s="40"/>
      <c r="H31" s="40">
        <f>D31</f>
        <v>3.528</v>
      </c>
      <c r="I31" s="42"/>
      <c r="J31" s="43">
        <f>H31</f>
        <v>3.528</v>
      </c>
      <c r="K31" s="46"/>
    </row>
    <row r="32" ht="19.5" customHeight="1">
      <c r="A32" s="443">
        <v>39828.0</v>
      </c>
      <c r="B32" s="37" t="s">
        <v>340</v>
      </c>
      <c r="C32" s="46" t="s">
        <v>148</v>
      </c>
      <c r="D32" s="78">
        <v>1.0</v>
      </c>
      <c r="E32" s="37">
        <v>0.2</v>
      </c>
      <c r="F32" s="78">
        <v>24.3</v>
      </c>
      <c r="G32" s="40">
        <v>11.6</v>
      </c>
      <c r="H32" s="40">
        <f>(G32*F32*E32)-H31</f>
        <v>52.848</v>
      </c>
      <c r="I32" s="42"/>
      <c r="J32" s="43">
        <f>H32-J31</f>
        <v>49.32</v>
      </c>
      <c r="K32" s="46" t="s">
        <v>341</v>
      </c>
    </row>
    <row r="33" ht="19.5" customHeight="1">
      <c r="A33" s="74" t="s">
        <v>1</v>
      </c>
      <c r="B33" s="74" t="s">
        <v>91</v>
      </c>
      <c r="C33" s="74" t="s">
        <v>92</v>
      </c>
      <c r="D33" s="76" t="s">
        <v>93</v>
      </c>
      <c r="E33" s="50" t="s">
        <v>97</v>
      </c>
      <c r="F33" s="53" t="s">
        <v>121</v>
      </c>
      <c r="G33" s="53" t="s">
        <v>99</v>
      </c>
      <c r="H33" s="75" t="s">
        <v>100</v>
      </c>
      <c r="I33" s="75" t="s">
        <v>101</v>
      </c>
      <c r="J33" s="76" t="s">
        <v>95</v>
      </c>
      <c r="K33" s="74" t="s">
        <v>96</v>
      </c>
      <c r="L33" s="14">
        <f>J21+J49</f>
        <v>0</v>
      </c>
    </row>
    <row r="34" ht="19.5" customHeight="1">
      <c r="A34" s="36">
        <v>37057.0</v>
      </c>
      <c r="B34" s="37" t="s">
        <v>172</v>
      </c>
      <c r="C34" s="46" t="s">
        <v>148</v>
      </c>
      <c r="D34" s="78">
        <v>1.0</v>
      </c>
      <c r="E34" s="37">
        <v>0.05</v>
      </c>
      <c r="F34" s="78">
        <v>24.3</v>
      </c>
      <c r="G34" s="40">
        <v>11.6</v>
      </c>
      <c r="H34" s="40">
        <f>G34*F34*E34*D34</f>
        <v>14.094</v>
      </c>
      <c r="I34" s="42"/>
      <c r="J34" s="43">
        <f t="shared" ref="J34:J36" si="6">H34</f>
        <v>14.094</v>
      </c>
      <c r="K34" s="46"/>
    </row>
    <row r="35" ht="19.5" customHeight="1">
      <c r="A35" s="36">
        <v>37422.0</v>
      </c>
      <c r="B35" s="49" t="s">
        <v>1762</v>
      </c>
      <c r="C35" s="46" t="s">
        <v>103</v>
      </c>
      <c r="D35" s="78">
        <v>1.0</v>
      </c>
      <c r="E35" s="37">
        <v>0.05</v>
      </c>
      <c r="F35" s="78">
        <v>24.3</v>
      </c>
      <c r="G35" s="40">
        <v>11.6</v>
      </c>
      <c r="H35" s="40">
        <f>G35*F35</f>
        <v>281.88</v>
      </c>
      <c r="I35" s="42"/>
      <c r="J35" s="43">
        <f t="shared" si="6"/>
        <v>281.88</v>
      </c>
      <c r="K35" s="46"/>
    </row>
    <row r="36" ht="19.5" customHeight="1">
      <c r="A36" s="36">
        <v>37787.0</v>
      </c>
      <c r="B36" s="49" t="s">
        <v>175</v>
      </c>
      <c r="C36" s="46" t="s">
        <v>103</v>
      </c>
      <c r="D36" s="78">
        <v>1.0</v>
      </c>
      <c r="E36" s="37">
        <v>1.0</v>
      </c>
      <c r="F36" s="78">
        <v>24.3</v>
      </c>
      <c r="G36" s="40">
        <v>11.6</v>
      </c>
      <c r="H36" s="40">
        <f>G36*F36*E36</f>
        <v>281.88</v>
      </c>
      <c r="I36" s="42"/>
      <c r="J36" s="43">
        <f t="shared" si="6"/>
        <v>281.88</v>
      </c>
      <c r="K36" s="46" t="s">
        <v>344</v>
      </c>
    </row>
    <row r="37" ht="19.5" customHeight="1">
      <c r="A37" s="74" t="s">
        <v>1</v>
      </c>
      <c r="B37" s="74" t="s">
        <v>91</v>
      </c>
      <c r="C37" s="74" t="s">
        <v>92</v>
      </c>
      <c r="D37" s="76" t="s">
        <v>93</v>
      </c>
      <c r="E37" s="50" t="s">
        <v>97</v>
      </c>
      <c r="F37" s="53" t="s">
        <v>121</v>
      </c>
      <c r="G37" s="53" t="s">
        <v>99</v>
      </c>
      <c r="H37" s="75" t="s">
        <v>100</v>
      </c>
      <c r="I37" s="75" t="s">
        <v>101</v>
      </c>
      <c r="J37" s="76" t="s">
        <v>95</v>
      </c>
      <c r="K37" s="74" t="s">
        <v>96</v>
      </c>
    </row>
    <row r="38" ht="19.5" customHeight="1">
      <c r="A38" s="46"/>
      <c r="B38" s="37" t="s">
        <v>345</v>
      </c>
      <c r="C38" s="46" t="s">
        <v>148</v>
      </c>
      <c r="D38" s="78"/>
      <c r="E38" s="37"/>
      <c r="F38" s="78"/>
      <c r="G38" s="40"/>
      <c r="H38" s="40"/>
      <c r="I38" s="42"/>
      <c r="J38" s="40"/>
      <c r="K38" s="46"/>
    </row>
    <row r="39" ht="19.5" customHeight="1">
      <c r="A39" s="46">
        <v>11.0</v>
      </c>
      <c r="B39" s="37" t="s">
        <v>345</v>
      </c>
      <c r="C39" s="46" t="s">
        <v>148</v>
      </c>
      <c r="D39" s="78"/>
      <c r="E39" s="37"/>
      <c r="F39" s="78"/>
      <c r="G39" s="40"/>
      <c r="H39" s="40"/>
      <c r="I39" s="42"/>
      <c r="J39" s="107"/>
      <c r="K39" s="46"/>
    </row>
    <row r="40" ht="19.5" customHeight="1">
      <c r="A40" s="46">
        <v>12.0</v>
      </c>
      <c r="B40" s="37" t="s">
        <v>345</v>
      </c>
      <c r="C40" s="46" t="s">
        <v>148</v>
      </c>
      <c r="D40" s="78"/>
      <c r="E40" s="37"/>
      <c r="F40" s="78"/>
      <c r="G40" s="40"/>
      <c r="H40" s="40"/>
      <c r="I40" s="42"/>
      <c r="J40" s="107"/>
      <c r="K40" s="79"/>
    </row>
    <row r="41" ht="19.5" customHeight="1">
      <c r="A41" s="46">
        <v>13.0</v>
      </c>
      <c r="B41" s="37" t="s">
        <v>345</v>
      </c>
      <c r="C41" s="46" t="s">
        <v>148</v>
      </c>
      <c r="D41" s="78"/>
      <c r="E41" s="37"/>
      <c r="F41" s="78"/>
      <c r="G41" s="40"/>
      <c r="H41" s="40"/>
      <c r="I41" s="42"/>
      <c r="J41" s="107"/>
      <c r="K41" s="79"/>
    </row>
    <row r="42" ht="19.5" customHeight="1">
      <c r="A42" s="46">
        <v>14.0</v>
      </c>
      <c r="B42" s="37" t="s">
        <v>345</v>
      </c>
      <c r="C42" s="46" t="s">
        <v>148</v>
      </c>
      <c r="D42" s="78"/>
      <c r="E42" s="37"/>
      <c r="F42" s="78"/>
      <c r="G42" s="40"/>
      <c r="H42" s="40"/>
      <c r="I42" s="42"/>
      <c r="J42" s="43">
        <f>SUM(H38:H42)</f>
        <v>0</v>
      </c>
      <c r="K42" s="79"/>
    </row>
    <row r="43" ht="19.5" customHeight="1">
      <c r="A43" s="74" t="s">
        <v>1</v>
      </c>
      <c r="B43" s="74" t="s">
        <v>91</v>
      </c>
      <c r="C43" s="74" t="s">
        <v>92</v>
      </c>
      <c r="D43" s="76" t="s">
        <v>93</v>
      </c>
      <c r="E43" s="50" t="s">
        <v>97</v>
      </c>
      <c r="F43" s="53" t="s">
        <v>121</v>
      </c>
      <c r="G43" s="53" t="s">
        <v>99</v>
      </c>
      <c r="H43" s="75" t="s">
        <v>100</v>
      </c>
      <c r="I43" s="75" t="s">
        <v>101</v>
      </c>
      <c r="J43" s="76" t="s">
        <v>95</v>
      </c>
      <c r="K43" s="74" t="s">
        <v>96</v>
      </c>
    </row>
    <row r="44" ht="19.5" customHeight="1">
      <c r="A44" s="46">
        <v>12.0</v>
      </c>
      <c r="B44" s="37" t="s">
        <v>346</v>
      </c>
      <c r="C44" s="46" t="s">
        <v>148</v>
      </c>
      <c r="D44" s="78"/>
      <c r="E44" s="37"/>
      <c r="F44" s="40"/>
      <c r="G44" s="40"/>
      <c r="H44" s="40"/>
      <c r="I44" s="42"/>
      <c r="J44" s="40"/>
      <c r="K44" s="46"/>
    </row>
    <row r="45" ht="19.5" customHeight="1">
      <c r="A45" s="46">
        <v>13.0</v>
      </c>
      <c r="B45" s="37" t="s">
        <v>346</v>
      </c>
      <c r="C45" s="46" t="s">
        <v>148</v>
      </c>
      <c r="D45" s="78"/>
      <c r="E45" s="37"/>
      <c r="F45" s="40"/>
      <c r="G45" s="40"/>
      <c r="H45" s="40"/>
      <c r="I45" s="42"/>
      <c r="J45" s="107"/>
      <c r="K45" s="46"/>
      <c r="L45" s="14">
        <f>J45+J21+J28</f>
        <v>0</v>
      </c>
    </row>
    <row r="46" ht="19.5" customHeight="1">
      <c r="A46" s="46">
        <v>14.0</v>
      </c>
      <c r="B46" s="37" t="s">
        <v>346</v>
      </c>
      <c r="C46" s="46" t="s">
        <v>148</v>
      </c>
      <c r="D46" s="78"/>
      <c r="E46" s="37"/>
      <c r="F46" s="40"/>
      <c r="G46" s="40"/>
      <c r="H46" s="40"/>
      <c r="I46" s="42"/>
      <c r="J46" s="107"/>
      <c r="K46" s="79"/>
      <c r="L46" s="14"/>
    </row>
    <row r="47" ht="19.5" customHeight="1">
      <c r="A47" s="46">
        <v>15.0</v>
      </c>
      <c r="B47" s="37" t="s">
        <v>346</v>
      </c>
      <c r="C47" s="46" t="s">
        <v>148</v>
      </c>
      <c r="D47" s="78"/>
      <c r="E47" s="37"/>
      <c r="F47" s="40"/>
      <c r="G47" s="40"/>
      <c r="H47" s="40"/>
      <c r="I47" s="42"/>
      <c r="J47" s="107"/>
      <c r="K47" s="79"/>
      <c r="L47" s="14"/>
    </row>
    <row r="48" ht="19.5" customHeight="1">
      <c r="A48" s="46">
        <v>16.0</v>
      </c>
      <c r="B48" s="37" t="s">
        <v>346</v>
      </c>
      <c r="C48" s="46" t="s">
        <v>148</v>
      </c>
      <c r="D48" s="78"/>
      <c r="E48" s="37"/>
      <c r="F48" s="40"/>
      <c r="G48" s="40"/>
      <c r="H48" s="40"/>
      <c r="I48" s="42"/>
      <c r="J48" s="107"/>
      <c r="K48" s="79"/>
      <c r="L48" s="14"/>
    </row>
    <row r="49" ht="19.5" customHeight="1">
      <c r="A49" s="46"/>
      <c r="B49" s="37"/>
      <c r="C49" s="46"/>
      <c r="D49" s="78"/>
      <c r="E49" s="37"/>
      <c r="F49" s="40"/>
      <c r="G49" s="40"/>
      <c r="H49" s="40"/>
      <c r="I49" s="42"/>
      <c r="J49" s="96">
        <f>SUM(H44:H49)</f>
        <v>0</v>
      </c>
      <c r="K49" s="79"/>
      <c r="L49" s="14"/>
    </row>
    <row r="50" ht="19.5" customHeight="1">
      <c r="A50" s="74" t="s">
        <v>1</v>
      </c>
      <c r="B50" s="74" t="s">
        <v>91</v>
      </c>
      <c r="C50" s="74" t="s">
        <v>92</v>
      </c>
      <c r="D50" s="76" t="s">
        <v>93</v>
      </c>
      <c r="E50" s="50" t="s">
        <v>97</v>
      </c>
      <c r="F50" s="53" t="s">
        <v>121</v>
      </c>
      <c r="G50" s="53" t="s">
        <v>99</v>
      </c>
      <c r="H50" s="75" t="s">
        <v>100</v>
      </c>
      <c r="I50" s="75" t="s">
        <v>101</v>
      </c>
      <c r="J50" s="76" t="s">
        <v>95</v>
      </c>
      <c r="K50" s="74" t="s">
        <v>96</v>
      </c>
    </row>
    <row r="51" ht="19.5" customHeight="1">
      <c r="A51" s="46">
        <v>14.0</v>
      </c>
      <c r="B51" s="37" t="s">
        <v>176</v>
      </c>
      <c r="C51" s="46" t="s">
        <v>103</v>
      </c>
      <c r="D51" s="78"/>
      <c r="E51" s="37"/>
      <c r="F51" s="40"/>
      <c r="G51" s="40"/>
      <c r="H51" s="40"/>
      <c r="I51" s="42"/>
      <c r="J51" s="43">
        <f>H51-I51</f>
        <v>0</v>
      </c>
      <c r="K51" s="47"/>
    </row>
    <row r="52" ht="19.5" customHeight="1">
      <c r="A52" s="74" t="s">
        <v>1</v>
      </c>
      <c r="B52" s="74" t="s">
        <v>91</v>
      </c>
      <c r="C52" s="74" t="s">
        <v>92</v>
      </c>
      <c r="D52" s="76" t="s">
        <v>93</v>
      </c>
      <c r="E52" s="50" t="s">
        <v>148</v>
      </c>
      <c r="F52" s="53" t="s">
        <v>347</v>
      </c>
      <c r="G52" s="53" t="s">
        <v>348</v>
      </c>
      <c r="H52" s="75" t="s">
        <v>100</v>
      </c>
      <c r="I52" s="75" t="s">
        <v>101</v>
      </c>
      <c r="J52" s="76" t="s">
        <v>95</v>
      </c>
      <c r="K52" s="74" t="s">
        <v>96</v>
      </c>
    </row>
    <row r="53" ht="20.25" customHeight="1">
      <c r="A53" s="443">
        <v>39097.0</v>
      </c>
      <c r="B53" s="37" t="s">
        <v>349</v>
      </c>
      <c r="C53" s="46" t="s">
        <v>103</v>
      </c>
      <c r="D53" s="123">
        <v>1.0</v>
      </c>
      <c r="E53" s="40">
        <f>J25</f>
        <v>1.008</v>
      </c>
      <c r="F53" s="40">
        <v>10.0</v>
      </c>
      <c r="G53" s="40">
        <f t="shared" ref="G53:G54" si="7">E53/4</f>
        <v>0.252</v>
      </c>
      <c r="H53" s="40">
        <f t="shared" ref="H53:H54" si="8">G53*F53</f>
        <v>2.52</v>
      </c>
      <c r="I53" s="42"/>
      <c r="J53" s="107"/>
      <c r="K53" s="127" t="s">
        <v>1763</v>
      </c>
    </row>
    <row r="54" ht="18.75" customHeight="1">
      <c r="A54" s="443" t="s">
        <v>1764</v>
      </c>
      <c r="B54" s="49" t="s">
        <v>1765</v>
      </c>
      <c r="C54" s="46" t="s">
        <v>103</v>
      </c>
      <c r="D54" s="128">
        <v>1.0</v>
      </c>
      <c r="E54" s="40">
        <f>J22+J29</f>
        <v>4.0152</v>
      </c>
      <c r="F54" s="40">
        <v>12.0</v>
      </c>
      <c r="G54" s="40">
        <f t="shared" si="7"/>
        <v>1.0038</v>
      </c>
      <c r="H54" s="59">
        <f t="shared" si="8"/>
        <v>12.0456</v>
      </c>
      <c r="I54" s="93"/>
      <c r="J54" s="107"/>
      <c r="K54" s="129"/>
    </row>
    <row r="55" ht="18.0" customHeight="1">
      <c r="A55" s="46"/>
      <c r="B55" s="49"/>
      <c r="C55" s="46"/>
      <c r="D55" s="128"/>
      <c r="E55" s="41"/>
      <c r="F55" s="40"/>
      <c r="G55" s="40"/>
      <c r="H55" s="59"/>
      <c r="I55" s="93"/>
      <c r="J55" s="43">
        <f>SUM(H53:H55)</f>
        <v>14.5656</v>
      </c>
      <c r="K55" s="130"/>
    </row>
    <row r="56" ht="19.5" customHeight="1">
      <c r="A56" s="74" t="s">
        <v>1</v>
      </c>
      <c r="B56" s="74" t="s">
        <v>91</v>
      </c>
      <c r="C56" s="74" t="s">
        <v>92</v>
      </c>
      <c r="D56" s="76" t="s">
        <v>93</v>
      </c>
      <c r="E56" s="50" t="s">
        <v>97</v>
      </c>
      <c r="F56" s="53" t="s">
        <v>121</v>
      </c>
      <c r="G56" s="53" t="s">
        <v>99</v>
      </c>
      <c r="H56" s="75" t="s">
        <v>100</v>
      </c>
      <c r="I56" s="75" t="s">
        <v>101</v>
      </c>
      <c r="J56" s="76" t="s">
        <v>95</v>
      </c>
      <c r="K56" s="74" t="s">
        <v>96</v>
      </c>
    </row>
    <row r="57" ht="19.5" customHeight="1">
      <c r="A57" s="46"/>
      <c r="B57" s="37" t="s">
        <v>177</v>
      </c>
      <c r="C57" s="46" t="s">
        <v>103</v>
      </c>
      <c r="D57" s="78"/>
      <c r="E57" s="37"/>
      <c r="F57" s="78"/>
      <c r="G57" s="40"/>
      <c r="H57" s="40"/>
      <c r="I57" s="42"/>
      <c r="J57" s="40">
        <f t="shared" ref="J57:J63" si="9">H57-I57</f>
        <v>0</v>
      </c>
      <c r="K57" s="46"/>
    </row>
    <row r="58" ht="19.5" customHeight="1">
      <c r="A58" s="46"/>
      <c r="B58" s="37" t="s">
        <v>177</v>
      </c>
      <c r="C58" s="46" t="s">
        <v>103</v>
      </c>
      <c r="D58" s="78"/>
      <c r="E58" s="37"/>
      <c r="F58" s="78"/>
      <c r="G58" s="40"/>
      <c r="H58" s="40"/>
      <c r="I58" s="42"/>
      <c r="J58" s="40">
        <f t="shared" si="9"/>
        <v>0</v>
      </c>
      <c r="K58" s="46"/>
    </row>
    <row r="59" ht="19.5" customHeight="1">
      <c r="A59" s="46">
        <v>17.0</v>
      </c>
      <c r="B59" s="37" t="s">
        <v>177</v>
      </c>
      <c r="C59" s="46" t="s">
        <v>103</v>
      </c>
      <c r="D59" s="78"/>
      <c r="E59" s="37"/>
      <c r="F59" s="78"/>
      <c r="G59" s="40"/>
      <c r="H59" s="40"/>
      <c r="I59" s="42"/>
      <c r="J59" s="40">
        <f t="shared" si="9"/>
        <v>0</v>
      </c>
      <c r="K59" s="46"/>
    </row>
    <row r="60" ht="19.5" customHeight="1">
      <c r="A60" s="46">
        <v>19.0</v>
      </c>
      <c r="B60" s="37" t="s">
        <v>177</v>
      </c>
      <c r="C60" s="46" t="s">
        <v>103</v>
      </c>
      <c r="D60" s="78"/>
      <c r="E60" s="37"/>
      <c r="F60" s="78"/>
      <c r="G60" s="40"/>
      <c r="H60" s="40"/>
      <c r="I60" s="42"/>
      <c r="J60" s="40">
        <f t="shared" si="9"/>
        <v>0</v>
      </c>
      <c r="K60" s="46"/>
    </row>
    <row r="61" ht="19.5" customHeight="1">
      <c r="A61" s="46">
        <v>18.0</v>
      </c>
      <c r="B61" s="37" t="s">
        <v>177</v>
      </c>
      <c r="C61" s="46" t="s">
        <v>103</v>
      </c>
      <c r="D61" s="78"/>
      <c r="E61" s="37"/>
      <c r="F61" s="78"/>
      <c r="G61" s="40"/>
      <c r="H61" s="40"/>
      <c r="I61" s="42"/>
      <c r="J61" s="40">
        <f t="shared" si="9"/>
        <v>0</v>
      </c>
      <c r="K61" s="46"/>
    </row>
    <row r="62" ht="19.5" customHeight="1">
      <c r="A62" s="46">
        <v>19.0</v>
      </c>
      <c r="B62" s="37" t="s">
        <v>177</v>
      </c>
      <c r="C62" s="79" t="s">
        <v>103</v>
      </c>
      <c r="D62" s="92"/>
      <c r="E62" s="37"/>
      <c r="F62" s="78"/>
      <c r="G62" s="40"/>
      <c r="H62" s="40"/>
      <c r="I62" s="93"/>
      <c r="J62" s="40">
        <f t="shared" si="9"/>
        <v>0</v>
      </c>
      <c r="K62" s="79"/>
    </row>
    <row r="63" ht="19.5" customHeight="1">
      <c r="A63" s="46">
        <v>20.0</v>
      </c>
      <c r="B63" s="37" t="s">
        <v>177</v>
      </c>
      <c r="C63" s="79" t="s">
        <v>103</v>
      </c>
      <c r="D63" s="92"/>
      <c r="E63" s="37"/>
      <c r="F63" s="78"/>
      <c r="G63" s="40"/>
      <c r="H63" s="40"/>
      <c r="I63" s="93"/>
      <c r="J63" s="40">
        <f t="shared" si="9"/>
        <v>0</v>
      </c>
      <c r="K63" s="79"/>
    </row>
    <row r="64" ht="19.5" customHeight="1">
      <c r="A64" s="79"/>
      <c r="B64" s="95"/>
      <c r="C64" s="79"/>
      <c r="D64" s="92"/>
      <c r="E64" s="37"/>
      <c r="F64" s="78"/>
      <c r="G64" s="40"/>
      <c r="H64" s="59"/>
      <c r="I64" s="93"/>
      <c r="J64" s="96">
        <f>SUM(J57:J63)</f>
        <v>0</v>
      </c>
      <c r="K64" s="79"/>
    </row>
    <row r="65" ht="19.5" customHeight="1">
      <c r="A65" s="74" t="s">
        <v>1</v>
      </c>
      <c r="B65" s="74" t="s">
        <v>91</v>
      </c>
      <c r="C65" s="74" t="s">
        <v>92</v>
      </c>
      <c r="D65" s="76" t="s">
        <v>93</v>
      </c>
      <c r="E65" s="50" t="s">
        <v>97</v>
      </c>
      <c r="F65" s="53" t="s">
        <v>121</v>
      </c>
      <c r="G65" s="53" t="s">
        <v>99</v>
      </c>
      <c r="H65" s="75" t="s">
        <v>100</v>
      </c>
      <c r="I65" s="75" t="s">
        <v>101</v>
      </c>
      <c r="J65" s="76" t="s">
        <v>95</v>
      </c>
      <c r="K65" s="74" t="s">
        <v>96</v>
      </c>
    </row>
    <row r="66" ht="19.5" customHeight="1">
      <c r="A66" s="46">
        <v>9.0</v>
      </c>
      <c r="B66" s="37" t="s">
        <v>182</v>
      </c>
      <c r="C66" s="46" t="s">
        <v>103</v>
      </c>
      <c r="D66" s="78"/>
      <c r="E66" s="37"/>
      <c r="F66" s="40"/>
      <c r="G66" s="40"/>
      <c r="H66" s="40"/>
      <c r="I66" s="42"/>
      <c r="J66" s="43">
        <f>H66-I66</f>
        <v>0</v>
      </c>
      <c r="K66" s="46" t="s">
        <v>183</v>
      </c>
    </row>
    <row r="67" ht="19.5" customHeight="1">
      <c r="A67" s="74" t="s">
        <v>1</v>
      </c>
      <c r="B67" s="74" t="s">
        <v>91</v>
      </c>
      <c r="C67" s="74" t="s">
        <v>92</v>
      </c>
      <c r="D67" s="76" t="s">
        <v>93</v>
      </c>
      <c r="E67" s="50" t="s">
        <v>187</v>
      </c>
      <c r="F67" s="53"/>
      <c r="G67" s="53" t="s">
        <v>353</v>
      </c>
      <c r="H67" s="75" t="s">
        <v>100</v>
      </c>
      <c r="I67" s="75" t="s">
        <v>101</v>
      </c>
      <c r="J67" s="76" t="s">
        <v>95</v>
      </c>
      <c r="K67" s="74" t="s">
        <v>96</v>
      </c>
    </row>
    <row r="68" ht="19.5" customHeight="1">
      <c r="A68" s="443">
        <v>38732.0</v>
      </c>
      <c r="B68" s="37" t="s">
        <v>354</v>
      </c>
      <c r="C68" s="46" t="s">
        <v>158</v>
      </c>
      <c r="D68" s="78">
        <f>J25</f>
        <v>1.008</v>
      </c>
      <c r="E68" s="37">
        <v>80.0</v>
      </c>
      <c r="F68" s="40"/>
      <c r="G68" s="40">
        <f t="shared" ref="G68:G69" si="10">E68*D68</f>
        <v>80.64</v>
      </c>
      <c r="H68" s="40">
        <f t="shared" ref="H68:H69" si="11">E68*D68</f>
        <v>80.64</v>
      </c>
      <c r="I68" s="42"/>
      <c r="J68" s="107"/>
      <c r="K68" s="46" t="s">
        <v>355</v>
      </c>
    </row>
    <row r="69" ht="19.5" customHeight="1">
      <c r="A69" s="443">
        <v>37667.0</v>
      </c>
      <c r="B69" s="49" t="s">
        <v>1766</v>
      </c>
      <c r="C69" s="46" t="s">
        <v>158</v>
      </c>
      <c r="D69" s="78">
        <f>J29+J22</f>
        <v>4.0152</v>
      </c>
      <c r="E69" s="37">
        <v>90.0</v>
      </c>
      <c r="F69" s="40"/>
      <c r="G69" s="40">
        <f t="shared" si="10"/>
        <v>361.368</v>
      </c>
      <c r="H69" s="40">
        <f t="shared" si="11"/>
        <v>361.368</v>
      </c>
      <c r="I69" s="42"/>
      <c r="J69" s="121"/>
      <c r="K69" s="83" t="s">
        <v>1767</v>
      </c>
    </row>
    <row r="70" ht="19.5" customHeight="1">
      <c r="A70" s="46"/>
      <c r="B70" s="37"/>
      <c r="C70" s="46"/>
      <c r="D70" s="78"/>
      <c r="E70" s="37"/>
      <c r="F70" s="40"/>
      <c r="G70" s="40"/>
      <c r="H70" s="40"/>
      <c r="I70" s="42"/>
      <c r="J70" s="121"/>
      <c r="K70" s="79"/>
    </row>
    <row r="71" ht="19.5" customHeight="1">
      <c r="A71" s="46"/>
      <c r="B71" s="37"/>
      <c r="C71" s="46"/>
      <c r="D71" s="78"/>
      <c r="E71" s="37"/>
      <c r="F71" s="40"/>
      <c r="G71" s="40"/>
      <c r="H71" s="40"/>
      <c r="I71" s="42"/>
      <c r="J71" s="96">
        <f>SUM(H68:H71)</f>
        <v>442.008</v>
      </c>
      <c r="K71" s="79"/>
    </row>
    <row r="72" ht="19.5" customHeight="1">
      <c r="A72" s="74" t="s">
        <v>1</v>
      </c>
      <c r="B72" s="74" t="s">
        <v>91</v>
      </c>
      <c r="C72" s="74" t="s">
        <v>92</v>
      </c>
      <c r="D72" s="76" t="s">
        <v>93</v>
      </c>
      <c r="E72" s="50" t="s">
        <v>97</v>
      </c>
      <c r="F72" s="53" t="s">
        <v>121</v>
      </c>
      <c r="G72" s="53" t="s">
        <v>99</v>
      </c>
      <c r="H72" s="75" t="s">
        <v>100</v>
      </c>
      <c r="I72" s="75" t="s">
        <v>101</v>
      </c>
      <c r="J72" s="76" t="s">
        <v>95</v>
      </c>
      <c r="K72" s="74" t="s">
        <v>96</v>
      </c>
    </row>
    <row r="73" ht="19.5" customHeight="1">
      <c r="A73" s="46">
        <v>10.0</v>
      </c>
      <c r="B73" s="37" t="s">
        <v>184</v>
      </c>
      <c r="C73" s="46" t="s">
        <v>108</v>
      </c>
      <c r="D73" s="78"/>
      <c r="E73" s="37"/>
      <c r="F73" s="40"/>
      <c r="G73" s="40"/>
      <c r="H73" s="40"/>
      <c r="I73" s="42"/>
      <c r="J73" s="77"/>
      <c r="K73" s="46"/>
    </row>
    <row r="74" ht="19.5" customHeight="1">
      <c r="A74" s="46">
        <v>11.0</v>
      </c>
      <c r="B74" s="37" t="s">
        <v>185</v>
      </c>
      <c r="C74" s="46" t="s">
        <v>108</v>
      </c>
      <c r="D74" s="78"/>
      <c r="E74" s="37"/>
      <c r="F74" s="40"/>
      <c r="G74" s="40"/>
      <c r="H74" s="40"/>
      <c r="I74" s="42"/>
      <c r="J74" s="43">
        <f>H74+H73</f>
        <v>0</v>
      </c>
      <c r="K74" s="46" t="s">
        <v>186</v>
      </c>
    </row>
    <row r="75" ht="19.5" customHeight="1">
      <c r="A75" s="74" t="s">
        <v>1</v>
      </c>
      <c r="B75" s="74" t="s">
        <v>91</v>
      </c>
      <c r="C75" s="74" t="s">
        <v>92</v>
      </c>
      <c r="D75" s="76" t="s">
        <v>93</v>
      </c>
      <c r="E75" s="50" t="s">
        <v>187</v>
      </c>
      <c r="F75" s="53" t="s">
        <v>99</v>
      </c>
      <c r="G75" s="53" t="s">
        <v>121</v>
      </c>
      <c r="H75" s="75" t="s">
        <v>100</v>
      </c>
      <c r="I75" s="75" t="s">
        <v>101</v>
      </c>
      <c r="J75" s="76" t="s">
        <v>95</v>
      </c>
      <c r="K75" s="74" t="s">
        <v>96</v>
      </c>
    </row>
    <row r="76" ht="19.5" customHeight="1">
      <c r="A76" s="46">
        <v>10.0</v>
      </c>
      <c r="B76" s="49" t="s">
        <v>1768</v>
      </c>
      <c r="C76" s="38" t="s">
        <v>158</v>
      </c>
      <c r="D76" s="39"/>
      <c r="E76" s="49"/>
      <c r="F76" s="41"/>
      <c r="G76" s="41"/>
      <c r="H76" s="40" t="str">
        <f>'39 ESTRUTURAL ADM, LAB E BIBLIO'!R59</f>
        <v/>
      </c>
      <c r="I76" s="42"/>
      <c r="J76" s="43">
        <f>H76-I76</f>
        <v>0</v>
      </c>
      <c r="K76" s="38" t="s">
        <v>1769</v>
      </c>
    </row>
    <row r="77" ht="19.5" customHeight="1">
      <c r="A77" s="74" t="s">
        <v>1</v>
      </c>
      <c r="B77" s="74" t="s">
        <v>91</v>
      </c>
      <c r="C77" s="74" t="s">
        <v>92</v>
      </c>
      <c r="D77" s="76" t="s">
        <v>93</v>
      </c>
      <c r="E77" s="50" t="s">
        <v>187</v>
      </c>
      <c r="F77" s="53" t="s">
        <v>99</v>
      </c>
      <c r="G77" s="53" t="s">
        <v>121</v>
      </c>
      <c r="H77" s="75" t="s">
        <v>100</v>
      </c>
      <c r="I77" s="75" t="s">
        <v>101</v>
      </c>
      <c r="J77" s="76" t="s">
        <v>95</v>
      </c>
      <c r="K77" s="74" t="s">
        <v>96</v>
      </c>
    </row>
    <row r="78" ht="19.5" customHeight="1">
      <c r="A78" s="36">
        <v>36965.0</v>
      </c>
      <c r="B78" s="37" t="s">
        <v>189</v>
      </c>
      <c r="C78" s="46" t="s">
        <v>103</v>
      </c>
      <c r="D78" s="78">
        <v>1.0</v>
      </c>
      <c r="E78" s="37">
        <v>12.0</v>
      </c>
      <c r="F78" s="41">
        <v>13.0</v>
      </c>
      <c r="G78" s="40">
        <v>24.3</v>
      </c>
      <c r="H78" s="40">
        <f>G78*F78</f>
        <v>315.9</v>
      </c>
      <c r="I78" s="42"/>
      <c r="J78" s="43">
        <f>H78-I78</f>
        <v>315.9</v>
      </c>
      <c r="K78" s="46"/>
    </row>
    <row r="79" ht="19.5" customHeight="1">
      <c r="A79" s="74" t="s">
        <v>1</v>
      </c>
      <c r="B79" s="74" t="s">
        <v>91</v>
      </c>
      <c r="C79" s="74" t="s">
        <v>92</v>
      </c>
      <c r="D79" s="76" t="s">
        <v>93</v>
      </c>
      <c r="E79" s="50" t="s">
        <v>99</v>
      </c>
      <c r="F79" s="53" t="s">
        <v>121</v>
      </c>
      <c r="G79" s="53" t="s">
        <v>97</v>
      </c>
      <c r="H79" s="75" t="s">
        <v>100</v>
      </c>
      <c r="I79" s="75" t="s">
        <v>101</v>
      </c>
      <c r="J79" s="76" t="s">
        <v>95</v>
      </c>
      <c r="K79" s="74" t="s">
        <v>96</v>
      </c>
    </row>
    <row r="80" ht="19.5" customHeight="1">
      <c r="A80" s="36">
        <v>37330.0</v>
      </c>
      <c r="B80" s="49" t="s">
        <v>192</v>
      </c>
      <c r="C80" s="38" t="s">
        <v>108</v>
      </c>
      <c r="D80" s="39">
        <v>1.0</v>
      </c>
      <c r="E80" s="37"/>
      <c r="F80" s="41">
        <v>24.3</v>
      </c>
      <c r="G80" s="40"/>
      <c r="H80" s="40">
        <f>F80*D80</f>
        <v>24.3</v>
      </c>
      <c r="I80" s="42"/>
      <c r="J80" s="43">
        <f>H80-I80</f>
        <v>24.3</v>
      </c>
      <c r="K80" s="46"/>
    </row>
    <row r="81" ht="19.5" customHeight="1">
      <c r="A81" s="74" t="s">
        <v>1</v>
      </c>
      <c r="B81" s="74" t="s">
        <v>91</v>
      </c>
      <c r="C81" s="74" t="s">
        <v>92</v>
      </c>
      <c r="D81" s="76" t="s">
        <v>93</v>
      </c>
      <c r="E81" s="50" t="s">
        <v>193</v>
      </c>
      <c r="F81" s="53" t="s">
        <v>121</v>
      </c>
      <c r="G81" s="53" t="s">
        <v>194</v>
      </c>
      <c r="H81" s="75" t="s">
        <v>100</v>
      </c>
      <c r="I81" s="75" t="s">
        <v>101</v>
      </c>
      <c r="J81" s="76" t="s">
        <v>95</v>
      </c>
      <c r="K81" s="74" t="s">
        <v>96</v>
      </c>
    </row>
    <row r="82" ht="19.5" customHeight="1">
      <c r="A82" s="46">
        <v>10.0</v>
      </c>
      <c r="B82" s="37" t="s">
        <v>361</v>
      </c>
      <c r="C82" s="46" t="s">
        <v>103</v>
      </c>
      <c r="D82" s="78"/>
      <c r="E82" s="37"/>
      <c r="F82" s="40"/>
      <c r="G82" s="40"/>
      <c r="H82" s="40"/>
      <c r="I82" s="42"/>
      <c r="J82" s="43">
        <f t="shared" ref="J82:J83" si="12">H82-I82</f>
        <v>0</v>
      </c>
      <c r="K82" s="46"/>
    </row>
    <row r="83" ht="19.5" customHeight="1">
      <c r="A83" s="46">
        <v>11.0</v>
      </c>
      <c r="B83" s="37" t="s">
        <v>923</v>
      </c>
      <c r="C83" s="46" t="s">
        <v>103</v>
      </c>
      <c r="D83" s="78"/>
      <c r="E83" s="37"/>
      <c r="F83" s="40"/>
      <c r="G83" s="40"/>
      <c r="H83" s="40"/>
      <c r="I83" s="42"/>
      <c r="J83" s="43">
        <f t="shared" si="12"/>
        <v>0</v>
      </c>
      <c r="K83" s="79"/>
    </row>
    <row r="84" ht="19.5" customHeight="1">
      <c r="A84" s="46">
        <v>12.0</v>
      </c>
      <c r="B84" s="37" t="s">
        <v>362</v>
      </c>
      <c r="C84" s="46" t="s">
        <v>103</v>
      </c>
      <c r="D84" s="78"/>
      <c r="E84" s="37"/>
      <c r="F84" s="40"/>
      <c r="G84" s="40"/>
      <c r="H84" s="40"/>
      <c r="I84" s="42"/>
      <c r="J84" s="107"/>
      <c r="K84" s="79"/>
    </row>
    <row r="85" ht="19.5" customHeight="1">
      <c r="A85" s="46">
        <v>13.0</v>
      </c>
      <c r="B85" s="37" t="s">
        <v>362</v>
      </c>
      <c r="C85" s="46" t="s">
        <v>103</v>
      </c>
      <c r="D85" s="78"/>
      <c r="E85" s="37"/>
      <c r="F85" s="40"/>
      <c r="G85" s="40"/>
      <c r="H85" s="40"/>
      <c r="I85" s="42"/>
      <c r="J85" s="121"/>
      <c r="K85" s="79"/>
    </row>
    <row r="86" ht="19.5" customHeight="1">
      <c r="A86" s="46">
        <v>14.0</v>
      </c>
      <c r="B86" s="37" t="s">
        <v>362</v>
      </c>
      <c r="C86" s="46" t="s">
        <v>103</v>
      </c>
      <c r="D86" s="78"/>
      <c r="E86" s="37"/>
      <c r="F86" s="40"/>
      <c r="G86" s="40"/>
      <c r="H86" s="40"/>
      <c r="I86" s="42"/>
      <c r="J86" s="121"/>
      <c r="K86" s="79"/>
    </row>
    <row r="87" ht="19.5" customHeight="1">
      <c r="A87" s="46">
        <v>15.0</v>
      </c>
      <c r="B87" s="37" t="s">
        <v>362</v>
      </c>
      <c r="C87" s="46" t="s">
        <v>103</v>
      </c>
      <c r="D87" s="78"/>
      <c r="E87" s="37"/>
      <c r="F87" s="40"/>
      <c r="G87" s="40"/>
      <c r="H87" s="40"/>
      <c r="I87" s="42"/>
      <c r="J87" s="121"/>
      <c r="K87" s="79"/>
    </row>
    <row r="88" ht="19.5" customHeight="1">
      <c r="A88" s="46">
        <v>16.0</v>
      </c>
      <c r="B88" s="37" t="s">
        <v>362</v>
      </c>
      <c r="C88" s="46" t="s">
        <v>103</v>
      </c>
      <c r="D88" s="78"/>
      <c r="E88" s="37"/>
      <c r="F88" s="40"/>
      <c r="G88" s="40"/>
      <c r="H88" s="40"/>
      <c r="I88" s="42"/>
      <c r="J88" s="96">
        <f>SUM(H84:H88)</f>
        <v>0</v>
      </c>
      <c r="K88" s="79"/>
    </row>
    <row r="89" ht="19.5" customHeight="1">
      <c r="A89" s="74" t="s">
        <v>1</v>
      </c>
      <c r="B89" s="74" t="s">
        <v>91</v>
      </c>
      <c r="C89" s="74" t="s">
        <v>92</v>
      </c>
      <c r="D89" s="76" t="s">
        <v>93</v>
      </c>
      <c r="E89" s="50" t="s">
        <v>161</v>
      </c>
      <c r="F89" s="53" t="s">
        <v>99</v>
      </c>
      <c r="G89" s="53" t="s">
        <v>121</v>
      </c>
      <c r="H89" s="75" t="s">
        <v>100</v>
      </c>
      <c r="I89" s="75" t="s">
        <v>101</v>
      </c>
      <c r="J89" s="76" t="s">
        <v>95</v>
      </c>
      <c r="K89" s="74" t="s">
        <v>96</v>
      </c>
    </row>
    <row r="90" ht="19.5" customHeight="1">
      <c r="A90" s="46">
        <v>10.0</v>
      </c>
      <c r="B90" s="37" t="s">
        <v>197</v>
      </c>
      <c r="C90" s="46" t="s">
        <v>103</v>
      </c>
      <c r="D90" s="78"/>
      <c r="E90" s="37"/>
      <c r="F90" s="40"/>
      <c r="G90" s="40"/>
      <c r="H90" s="40"/>
      <c r="I90" s="42"/>
      <c r="J90" s="43">
        <f>H90-I90</f>
        <v>0</v>
      </c>
      <c r="K90" s="46"/>
    </row>
    <row r="91" ht="19.5" customHeight="1">
      <c r="A91" s="74" t="s">
        <v>1</v>
      </c>
      <c r="B91" s="74" t="s">
        <v>91</v>
      </c>
      <c r="C91" s="74" t="s">
        <v>92</v>
      </c>
      <c r="D91" s="76" t="s">
        <v>93</v>
      </c>
      <c r="E91" s="50" t="s">
        <v>97</v>
      </c>
      <c r="F91" s="53" t="s">
        <v>121</v>
      </c>
      <c r="G91" s="53" t="s">
        <v>198</v>
      </c>
      <c r="H91" s="75" t="s">
        <v>100</v>
      </c>
      <c r="I91" s="75" t="s">
        <v>101</v>
      </c>
      <c r="J91" s="76" t="s">
        <v>95</v>
      </c>
      <c r="K91" s="74" t="s">
        <v>96</v>
      </c>
    </row>
    <row r="92" ht="19.5" customHeight="1">
      <c r="A92" s="36">
        <v>36996.0</v>
      </c>
      <c r="B92" s="49" t="s">
        <v>199</v>
      </c>
      <c r="C92" s="46" t="s">
        <v>103</v>
      </c>
      <c r="D92" s="78">
        <v>14.0</v>
      </c>
      <c r="E92" s="49">
        <v>3.0</v>
      </c>
      <c r="F92" s="78">
        <v>0.2</v>
      </c>
      <c r="G92" s="40">
        <v>4.0</v>
      </c>
      <c r="H92" s="40">
        <f>G92*F92*E92*D92</f>
        <v>33.6</v>
      </c>
      <c r="I92" s="42"/>
      <c r="J92" s="40">
        <f>H92-I92</f>
        <v>33.6</v>
      </c>
      <c r="K92" s="46"/>
    </row>
    <row r="93" ht="19.5" customHeight="1">
      <c r="A93" s="79"/>
      <c r="B93" s="95"/>
      <c r="C93" s="79"/>
      <c r="D93" s="92"/>
      <c r="E93" s="37"/>
      <c r="F93" s="78"/>
      <c r="G93" s="40"/>
      <c r="H93" s="59"/>
      <c r="I93" s="93"/>
      <c r="J93" s="96">
        <f>SUM(J92)</f>
        <v>33.6</v>
      </c>
      <c r="K93" s="79"/>
    </row>
    <row r="94" ht="19.5" customHeight="1">
      <c r="A94" s="74" t="s">
        <v>1</v>
      </c>
      <c r="B94" s="74" t="s">
        <v>91</v>
      </c>
      <c r="C94" s="74" t="s">
        <v>92</v>
      </c>
      <c r="D94" s="76" t="s">
        <v>93</v>
      </c>
      <c r="E94" s="50" t="s">
        <v>97</v>
      </c>
      <c r="F94" s="53" t="s">
        <v>121</v>
      </c>
      <c r="G94" s="53" t="s">
        <v>198</v>
      </c>
      <c r="H94" s="75" t="s">
        <v>100</v>
      </c>
      <c r="I94" s="75" t="s">
        <v>101</v>
      </c>
      <c r="J94" s="76" t="s">
        <v>95</v>
      </c>
      <c r="K94" s="74" t="s">
        <v>96</v>
      </c>
    </row>
    <row r="95" ht="19.5" customHeight="1">
      <c r="A95" s="36">
        <v>37361.0</v>
      </c>
      <c r="B95" s="37" t="s">
        <v>204</v>
      </c>
      <c r="C95" s="46" t="s">
        <v>103</v>
      </c>
      <c r="D95" s="78">
        <v>14.0</v>
      </c>
      <c r="E95" s="37">
        <v>3.0</v>
      </c>
      <c r="F95" s="78">
        <v>0.2</v>
      </c>
      <c r="G95" s="40">
        <v>4.0</v>
      </c>
      <c r="H95" s="40">
        <f>G95*F95*E95*D95</f>
        <v>33.6</v>
      </c>
      <c r="I95" s="42"/>
      <c r="J95" s="40">
        <f>H95-I95</f>
        <v>33.6</v>
      </c>
      <c r="K95" s="46"/>
    </row>
    <row r="96" ht="19.5" customHeight="1">
      <c r="A96" s="79"/>
      <c r="B96" s="95"/>
      <c r="C96" s="79"/>
      <c r="D96" s="92"/>
      <c r="E96" s="37"/>
      <c r="F96" s="78"/>
      <c r="G96" s="40"/>
      <c r="H96" s="59"/>
      <c r="I96" s="93"/>
      <c r="J96" s="96">
        <f>SUM(J95)</f>
        <v>33.6</v>
      </c>
      <c r="K96" s="79"/>
    </row>
    <row r="97" ht="19.5" customHeight="1">
      <c r="A97" s="74" t="s">
        <v>1</v>
      </c>
      <c r="B97" s="74" t="s">
        <v>91</v>
      </c>
      <c r="C97" s="74" t="s">
        <v>92</v>
      </c>
      <c r="D97" s="76" t="s">
        <v>93</v>
      </c>
      <c r="E97" s="50" t="s">
        <v>97</v>
      </c>
      <c r="F97" s="53" t="s">
        <v>121</v>
      </c>
      <c r="G97" s="53" t="s">
        <v>198</v>
      </c>
      <c r="H97" s="75" t="s">
        <v>100</v>
      </c>
      <c r="I97" s="75" t="s">
        <v>101</v>
      </c>
      <c r="J97" s="76" t="s">
        <v>95</v>
      </c>
      <c r="K97" s="74" t="s">
        <v>96</v>
      </c>
    </row>
    <row r="98" ht="19.5" customHeight="1">
      <c r="A98" s="570" t="s">
        <v>1770</v>
      </c>
      <c r="B98" s="49" t="s">
        <v>1771</v>
      </c>
      <c r="C98" s="46" t="s">
        <v>103</v>
      </c>
      <c r="D98" s="78">
        <v>14.0</v>
      </c>
      <c r="E98" s="49">
        <v>1.4</v>
      </c>
      <c r="F98" s="78">
        <v>0.2</v>
      </c>
      <c r="G98" s="40">
        <v>4.0</v>
      </c>
      <c r="H98" s="40">
        <f>G98*F98*E98*D98</f>
        <v>15.68</v>
      </c>
      <c r="I98" s="42"/>
      <c r="J98" s="107"/>
      <c r="K98" s="131"/>
    </row>
    <row r="99" ht="19.5" customHeight="1">
      <c r="A99" s="32"/>
      <c r="B99" s="37"/>
      <c r="C99" s="46"/>
      <c r="D99" s="78"/>
      <c r="E99" s="37"/>
      <c r="F99" s="78"/>
      <c r="G99" s="40"/>
      <c r="H99" s="40"/>
      <c r="I99" s="42"/>
      <c r="J99" s="64">
        <f>SUM(H98:H99)</f>
        <v>15.68</v>
      </c>
      <c r="K99" s="46"/>
    </row>
    <row r="100" ht="19.5" customHeight="1">
      <c r="A100" s="571" t="s">
        <v>1772</v>
      </c>
      <c r="B100" s="49" t="s">
        <v>791</v>
      </c>
      <c r="C100" s="46" t="s">
        <v>103</v>
      </c>
      <c r="D100" s="39"/>
      <c r="E100" s="49"/>
      <c r="F100" s="78"/>
      <c r="G100" s="40"/>
      <c r="H100" s="40" t="str">
        <f>'39 ESTRUTURAL ADM, LAB E BIBLIO'!U59</f>
        <v/>
      </c>
      <c r="I100" s="93"/>
      <c r="J100" s="107"/>
      <c r="K100" s="79" t="s">
        <v>95</v>
      </c>
    </row>
    <row r="101" ht="19.5" customHeight="1">
      <c r="A101" s="32"/>
      <c r="B101" s="37"/>
      <c r="C101" s="46" t="s">
        <v>103</v>
      </c>
      <c r="D101" s="78"/>
      <c r="E101" s="37"/>
      <c r="F101" s="78"/>
      <c r="G101" s="40"/>
      <c r="H101" s="40"/>
      <c r="I101" s="93"/>
      <c r="J101" s="64">
        <f>SUM(H100:H101)</f>
        <v>0</v>
      </c>
      <c r="K101" s="132"/>
    </row>
    <row r="102" ht="19.5" customHeight="1">
      <c r="A102" s="74" t="s">
        <v>1</v>
      </c>
      <c r="B102" s="74" t="s">
        <v>91</v>
      </c>
      <c r="C102" s="74" t="s">
        <v>92</v>
      </c>
      <c r="D102" s="76" t="s">
        <v>93</v>
      </c>
      <c r="E102" s="50" t="s">
        <v>97</v>
      </c>
      <c r="F102" s="53" t="s">
        <v>121</v>
      </c>
      <c r="G102" s="53" t="s">
        <v>206</v>
      </c>
      <c r="H102" s="75" t="s">
        <v>100</v>
      </c>
      <c r="I102" s="75" t="s">
        <v>101</v>
      </c>
      <c r="J102" s="76" t="s">
        <v>95</v>
      </c>
      <c r="K102" s="74" t="s">
        <v>96</v>
      </c>
    </row>
    <row r="103" ht="19.5" customHeight="1">
      <c r="A103" s="36">
        <v>37726.0</v>
      </c>
      <c r="B103" s="37" t="s">
        <v>365</v>
      </c>
      <c r="C103" s="46" t="s">
        <v>103</v>
      </c>
      <c r="D103" s="78">
        <v>14.0</v>
      </c>
      <c r="E103" s="49">
        <v>1.6</v>
      </c>
      <c r="F103" s="78">
        <v>0.2</v>
      </c>
      <c r="G103" s="40">
        <v>4.0</v>
      </c>
      <c r="H103" s="40">
        <f>G103*F103*E103*D103</f>
        <v>17.92</v>
      </c>
      <c r="I103" s="42"/>
      <c r="J103" s="40">
        <f>H103-I103</f>
        <v>17.92</v>
      </c>
      <c r="K103" s="46"/>
    </row>
    <row r="104" ht="19.5" customHeight="1">
      <c r="A104" s="79"/>
      <c r="B104" s="95"/>
      <c r="C104" s="79"/>
      <c r="D104" s="92"/>
      <c r="E104" s="37"/>
      <c r="F104" s="78"/>
      <c r="G104" s="40"/>
      <c r="H104" s="59"/>
      <c r="I104" s="93"/>
      <c r="J104" s="133">
        <f>SUM(J103)</f>
        <v>17.92</v>
      </c>
      <c r="K104" s="79"/>
    </row>
    <row r="105" ht="19.5" customHeight="1">
      <c r="A105" s="74" t="s">
        <v>1</v>
      </c>
      <c r="B105" s="74" t="s">
        <v>91</v>
      </c>
      <c r="C105" s="74" t="s">
        <v>92</v>
      </c>
      <c r="D105" s="76" t="s">
        <v>93</v>
      </c>
      <c r="E105" s="50" t="s">
        <v>97</v>
      </c>
      <c r="F105" s="53" t="s">
        <v>121</v>
      </c>
      <c r="G105" s="53" t="s">
        <v>99</v>
      </c>
      <c r="H105" s="75" t="s">
        <v>100</v>
      </c>
      <c r="I105" s="75" t="s">
        <v>101</v>
      </c>
      <c r="J105" s="76" t="s">
        <v>95</v>
      </c>
      <c r="K105" s="74" t="s">
        <v>96</v>
      </c>
    </row>
    <row r="106" ht="19.5" customHeight="1">
      <c r="A106" s="46"/>
      <c r="B106" s="37" t="s">
        <v>367</v>
      </c>
      <c r="C106" s="46" t="s">
        <v>103</v>
      </c>
      <c r="D106" s="78"/>
      <c r="E106" s="37"/>
      <c r="F106" s="78"/>
      <c r="G106" s="40"/>
      <c r="H106" s="40"/>
      <c r="I106" s="42"/>
      <c r="J106" s="64">
        <f>H106+H108+H109</f>
        <v>0</v>
      </c>
      <c r="K106" s="46"/>
    </row>
    <row r="107" ht="19.5" customHeight="1">
      <c r="A107" s="46">
        <v>1.0</v>
      </c>
      <c r="B107" s="37" t="s">
        <v>368</v>
      </c>
      <c r="C107" s="46" t="s">
        <v>103</v>
      </c>
      <c r="D107" s="78"/>
      <c r="E107" s="37"/>
      <c r="F107" s="78"/>
      <c r="G107" s="40"/>
      <c r="H107" s="40"/>
      <c r="I107" s="42"/>
      <c r="J107" s="64" t="str">
        <f t="shared" ref="J107:J111" si="13">H107</f>
        <v/>
      </c>
      <c r="K107" s="46"/>
    </row>
    <row r="108" ht="19.5" customHeight="1">
      <c r="A108" s="46">
        <v>18.0</v>
      </c>
      <c r="B108" s="37" t="s">
        <v>369</v>
      </c>
      <c r="C108" s="46" t="s">
        <v>103</v>
      </c>
      <c r="D108" s="78"/>
      <c r="E108" s="37"/>
      <c r="F108" s="78"/>
      <c r="G108" s="40"/>
      <c r="H108" s="40"/>
      <c r="I108" s="42"/>
      <c r="J108" s="64" t="str">
        <f t="shared" si="13"/>
        <v/>
      </c>
      <c r="K108" s="46"/>
    </row>
    <row r="109" ht="19.5" customHeight="1">
      <c r="A109" s="46">
        <v>19.0</v>
      </c>
      <c r="B109" s="37" t="s">
        <v>370</v>
      </c>
      <c r="C109" s="46" t="s">
        <v>103</v>
      </c>
      <c r="D109" s="78"/>
      <c r="E109" s="37"/>
      <c r="F109" s="78"/>
      <c r="G109" s="40"/>
      <c r="H109" s="40"/>
      <c r="I109" s="42"/>
      <c r="J109" s="64" t="str">
        <f t="shared" si="13"/>
        <v/>
      </c>
      <c r="K109" s="46"/>
    </row>
    <row r="110" ht="19.5" customHeight="1">
      <c r="A110" s="46">
        <v>19.0</v>
      </c>
      <c r="B110" s="37" t="s">
        <v>371</v>
      </c>
      <c r="C110" s="46" t="s">
        <v>103</v>
      </c>
      <c r="D110" s="78"/>
      <c r="E110" s="37"/>
      <c r="F110" s="78"/>
      <c r="G110" s="40"/>
      <c r="H110" s="40"/>
      <c r="I110" s="42"/>
      <c r="J110" s="64" t="str">
        <f t="shared" si="13"/>
        <v/>
      </c>
      <c r="K110" s="46"/>
    </row>
    <row r="111" ht="19.5" customHeight="1">
      <c r="A111" s="46">
        <v>20.0</v>
      </c>
      <c r="B111" s="37" t="s">
        <v>372</v>
      </c>
      <c r="C111" s="46" t="s">
        <v>103</v>
      </c>
      <c r="D111" s="78"/>
      <c r="E111" s="37"/>
      <c r="F111" s="78"/>
      <c r="G111" s="40"/>
      <c r="H111" s="40"/>
      <c r="I111" s="42"/>
      <c r="J111" s="64" t="str">
        <f t="shared" si="13"/>
        <v/>
      </c>
      <c r="K111" s="46"/>
    </row>
    <row r="112" ht="19.5" customHeight="1">
      <c r="A112" s="46">
        <v>22.0</v>
      </c>
      <c r="B112" s="37" t="s">
        <v>373</v>
      </c>
      <c r="C112" s="46" t="s">
        <v>103</v>
      </c>
      <c r="D112" s="78"/>
      <c r="E112" s="37"/>
      <c r="F112" s="78"/>
      <c r="G112" s="40"/>
      <c r="H112" s="40"/>
      <c r="I112" s="42"/>
      <c r="J112" s="64" t="str">
        <f>J110</f>
        <v/>
      </c>
      <c r="K112" s="79"/>
    </row>
    <row r="113" ht="19.5" customHeight="1">
      <c r="A113" s="74" t="s">
        <v>1</v>
      </c>
      <c r="B113" s="74" t="s">
        <v>91</v>
      </c>
      <c r="C113" s="74" t="s">
        <v>92</v>
      </c>
      <c r="D113" s="76" t="s">
        <v>93</v>
      </c>
      <c r="E113" s="50" t="s">
        <v>161</v>
      </c>
      <c r="F113" s="53" t="s">
        <v>121</v>
      </c>
      <c r="G113" s="53" t="s">
        <v>99</v>
      </c>
      <c r="H113" s="75" t="s">
        <v>100</v>
      </c>
      <c r="I113" s="75" t="s">
        <v>101</v>
      </c>
      <c r="J113" s="76" t="s">
        <v>95</v>
      </c>
      <c r="K113" s="74" t="s">
        <v>96</v>
      </c>
    </row>
    <row r="114" ht="19.5" customHeight="1">
      <c r="A114" s="36">
        <v>38153.0</v>
      </c>
      <c r="B114" s="37" t="s">
        <v>162</v>
      </c>
      <c r="C114" s="46" t="s">
        <v>103</v>
      </c>
      <c r="D114" s="39">
        <v>1.0</v>
      </c>
      <c r="E114" s="49">
        <v>1.0</v>
      </c>
      <c r="F114" s="78">
        <f>24.3+18.15</f>
        <v>42.45</v>
      </c>
      <c r="G114" s="40">
        <v>1.0</v>
      </c>
      <c r="H114" s="40">
        <f>F114*D114</f>
        <v>42.45</v>
      </c>
      <c r="I114" s="42"/>
      <c r="J114" s="40"/>
      <c r="K114" s="46"/>
    </row>
    <row r="115" ht="19.5" customHeight="1">
      <c r="A115" s="46"/>
      <c r="B115" s="37"/>
      <c r="C115" s="46"/>
      <c r="D115" s="78"/>
      <c r="E115" s="37"/>
      <c r="F115" s="78"/>
      <c r="G115" s="40"/>
      <c r="H115" s="40"/>
      <c r="I115" s="42"/>
      <c r="J115" s="64">
        <f>SUM(H114:H115)</f>
        <v>42.45</v>
      </c>
      <c r="K115" s="46"/>
    </row>
    <row r="116" ht="19.5" customHeight="1">
      <c r="A116" s="74" t="s">
        <v>1</v>
      </c>
      <c r="B116" s="74" t="s">
        <v>91</v>
      </c>
      <c r="C116" s="74" t="s">
        <v>92</v>
      </c>
      <c r="D116" s="76" t="s">
        <v>93</v>
      </c>
      <c r="E116" s="50" t="s">
        <v>161</v>
      </c>
      <c r="F116" s="53" t="s">
        <v>121</v>
      </c>
      <c r="G116" s="53" t="s">
        <v>99</v>
      </c>
      <c r="H116" s="75" t="s">
        <v>100</v>
      </c>
      <c r="I116" s="75" t="s">
        <v>101</v>
      </c>
      <c r="J116" s="76" t="s">
        <v>95</v>
      </c>
      <c r="K116" s="74" t="s">
        <v>96</v>
      </c>
    </row>
    <row r="117" ht="19.5" customHeight="1">
      <c r="A117" s="46"/>
      <c r="B117" s="37" t="s">
        <v>374</v>
      </c>
      <c r="C117" s="46" t="s">
        <v>106</v>
      </c>
      <c r="D117" s="78"/>
      <c r="E117" s="37"/>
      <c r="F117" s="78"/>
      <c r="G117" s="40"/>
      <c r="H117" s="40"/>
      <c r="I117" s="42"/>
      <c r="J117" s="40"/>
      <c r="K117" s="46"/>
    </row>
    <row r="118" ht="19.5" customHeight="1">
      <c r="A118" s="46">
        <f>A115+1</f>
        <v>1</v>
      </c>
      <c r="B118" s="37" t="s">
        <v>375</v>
      </c>
      <c r="C118" s="46" t="s">
        <v>106</v>
      </c>
      <c r="D118" s="78"/>
      <c r="E118" s="37"/>
      <c r="F118" s="78"/>
      <c r="G118" s="40"/>
      <c r="H118" s="40"/>
      <c r="I118" s="42"/>
      <c r="J118" s="64">
        <f>SUM(H117:H118)</f>
        <v>0</v>
      </c>
      <c r="K118" s="46"/>
    </row>
    <row r="119" ht="19.5" customHeight="1">
      <c r="A119" s="46">
        <v>20.0</v>
      </c>
      <c r="B119" s="37" t="s">
        <v>376</v>
      </c>
      <c r="C119" s="46" t="s">
        <v>106</v>
      </c>
      <c r="D119" s="78"/>
      <c r="E119" s="37"/>
      <c r="F119" s="78"/>
      <c r="G119" s="40"/>
      <c r="H119" s="40"/>
      <c r="I119" s="42"/>
      <c r="J119" s="64" t="str">
        <f>H119</f>
        <v/>
      </c>
      <c r="K119" s="79"/>
    </row>
    <row r="120" ht="19.5" customHeight="1">
      <c r="A120" s="74" t="s">
        <v>1</v>
      </c>
      <c r="B120" s="74" t="s">
        <v>91</v>
      </c>
      <c r="C120" s="74" t="s">
        <v>92</v>
      </c>
      <c r="D120" s="76" t="s">
        <v>93</v>
      </c>
      <c r="E120" s="50" t="s">
        <v>161</v>
      </c>
      <c r="F120" s="53" t="s">
        <v>121</v>
      </c>
      <c r="G120" s="53" t="s">
        <v>99</v>
      </c>
      <c r="H120" s="75" t="s">
        <v>100</v>
      </c>
      <c r="I120" s="75" t="s">
        <v>101</v>
      </c>
      <c r="J120" s="76" t="s">
        <v>95</v>
      </c>
      <c r="K120" s="74" t="s">
        <v>96</v>
      </c>
    </row>
    <row r="121" ht="19.5" customHeight="1">
      <c r="A121" s="46">
        <f t="shared" ref="A121:A122" si="14">A117+1</f>
        <v>1</v>
      </c>
      <c r="B121" s="37" t="s">
        <v>242</v>
      </c>
      <c r="C121" s="46" t="s">
        <v>103</v>
      </c>
      <c r="D121" s="78"/>
      <c r="E121" s="37"/>
      <c r="F121" s="78"/>
      <c r="G121" s="40"/>
      <c r="H121" s="40"/>
      <c r="I121" s="42"/>
      <c r="J121" s="40"/>
      <c r="K121" s="46"/>
    </row>
    <row r="122" ht="19.5" customHeight="1">
      <c r="A122" s="46">
        <f t="shared" si="14"/>
        <v>2</v>
      </c>
      <c r="B122" s="37" t="s">
        <v>242</v>
      </c>
      <c r="C122" s="46" t="s">
        <v>103</v>
      </c>
      <c r="D122" s="78"/>
      <c r="E122" s="37"/>
      <c r="F122" s="78"/>
      <c r="G122" s="40"/>
      <c r="H122" s="40"/>
      <c r="I122" s="42"/>
      <c r="J122" s="64">
        <f>SUM(H121:H122)</f>
        <v>0</v>
      </c>
      <c r="K122" s="46"/>
    </row>
    <row r="123" ht="19.5" customHeight="1">
      <c r="A123" s="74" t="s">
        <v>1</v>
      </c>
      <c r="B123" s="74" t="s">
        <v>91</v>
      </c>
      <c r="C123" s="74" t="s">
        <v>92</v>
      </c>
      <c r="D123" s="76" t="s">
        <v>93</v>
      </c>
      <c r="E123" s="50" t="s">
        <v>161</v>
      </c>
      <c r="F123" s="53" t="s">
        <v>121</v>
      </c>
      <c r="G123" s="53" t="s">
        <v>97</v>
      </c>
      <c r="H123" s="75" t="s">
        <v>100</v>
      </c>
      <c r="I123" s="75" t="s">
        <v>101</v>
      </c>
      <c r="J123" s="76" t="s">
        <v>95</v>
      </c>
      <c r="K123" s="74" t="s">
        <v>96</v>
      </c>
    </row>
    <row r="124" ht="19.5" customHeight="1">
      <c r="A124" s="46">
        <f t="shared" ref="A124:A125" si="15">A121+1</f>
        <v>2</v>
      </c>
      <c r="B124" s="37" t="s">
        <v>244</v>
      </c>
      <c r="C124" s="46" t="s">
        <v>103</v>
      </c>
      <c r="D124" s="78"/>
      <c r="E124" s="37"/>
      <c r="F124" s="78"/>
      <c r="G124" s="40"/>
      <c r="H124" s="40"/>
      <c r="I124" s="42"/>
      <c r="J124" s="40"/>
      <c r="K124" s="46"/>
    </row>
    <row r="125" ht="19.5" customHeight="1">
      <c r="A125" s="46">
        <f t="shared" si="15"/>
        <v>3</v>
      </c>
      <c r="B125" s="37" t="s">
        <v>244</v>
      </c>
      <c r="C125" s="46" t="s">
        <v>103</v>
      </c>
      <c r="D125" s="78"/>
      <c r="E125" s="37"/>
      <c r="F125" s="78"/>
      <c r="G125" s="40"/>
      <c r="H125" s="40"/>
      <c r="I125" s="42"/>
      <c r="J125" s="64">
        <f>SUM(H124:H125)</f>
        <v>0</v>
      </c>
      <c r="K125" s="46"/>
    </row>
    <row r="126" ht="19.5" customHeight="1">
      <c r="A126" s="74" t="s">
        <v>1</v>
      </c>
      <c r="B126" s="74" t="s">
        <v>91</v>
      </c>
      <c r="C126" s="74" t="s">
        <v>92</v>
      </c>
      <c r="D126" s="76" t="s">
        <v>93</v>
      </c>
      <c r="E126" s="50" t="s">
        <v>161</v>
      </c>
      <c r="F126" s="53"/>
      <c r="G126" s="53"/>
      <c r="H126" s="75" t="s">
        <v>100</v>
      </c>
      <c r="I126" s="75" t="s">
        <v>101</v>
      </c>
      <c r="J126" s="76" t="s">
        <v>95</v>
      </c>
      <c r="K126" s="74" t="s">
        <v>96</v>
      </c>
    </row>
    <row r="127" ht="19.5" customHeight="1">
      <c r="A127" s="46">
        <v>1.0</v>
      </c>
      <c r="B127" s="37" t="s">
        <v>245</v>
      </c>
      <c r="C127" s="46" t="s">
        <v>106</v>
      </c>
      <c r="D127" s="78">
        <v>4.0</v>
      </c>
      <c r="E127" s="37">
        <v>4.0</v>
      </c>
      <c r="F127" s="78"/>
      <c r="G127" s="40"/>
      <c r="H127" s="40">
        <f>E127*D127+6</f>
        <v>22</v>
      </c>
      <c r="I127" s="42"/>
      <c r="J127" s="64">
        <f t="shared" ref="J127:J145" si="16">H127</f>
        <v>22</v>
      </c>
      <c r="K127" s="46"/>
    </row>
    <row r="128" ht="19.5" customHeight="1">
      <c r="A128" s="46">
        <v>2.0</v>
      </c>
      <c r="B128" s="37" t="s">
        <v>245</v>
      </c>
      <c r="C128" s="46" t="s">
        <v>106</v>
      </c>
      <c r="D128" s="78"/>
      <c r="E128" s="37"/>
      <c r="F128" s="78"/>
      <c r="G128" s="40"/>
      <c r="H128" s="40"/>
      <c r="I128" s="42"/>
      <c r="J128" s="64" t="str">
        <f t="shared" si="16"/>
        <v/>
      </c>
      <c r="K128" s="46"/>
    </row>
    <row r="129" ht="19.5" customHeight="1">
      <c r="A129" s="46">
        <f t="shared" ref="A129:A133" si="17">A127+1</f>
        <v>2</v>
      </c>
      <c r="B129" s="37" t="s">
        <v>246</v>
      </c>
      <c r="C129" s="46" t="s">
        <v>106</v>
      </c>
      <c r="D129" s="78">
        <v>14.0</v>
      </c>
      <c r="E129" s="37">
        <v>1.0</v>
      </c>
      <c r="F129" s="78"/>
      <c r="G129" s="40"/>
      <c r="H129" s="40">
        <f t="shared" ref="H129:H145" si="18">E129*D129</f>
        <v>14</v>
      </c>
      <c r="I129" s="42"/>
      <c r="J129" s="64">
        <f t="shared" si="16"/>
        <v>14</v>
      </c>
      <c r="K129" s="46"/>
    </row>
    <row r="130" ht="19.5" customHeight="1">
      <c r="A130" s="46">
        <f t="shared" si="17"/>
        <v>3</v>
      </c>
      <c r="B130" s="37" t="s">
        <v>863</v>
      </c>
      <c r="C130" s="46" t="s">
        <v>106</v>
      </c>
      <c r="D130" s="78"/>
      <c r="E130" s="37"/>
      <c r="F130" s="78"/>
      <c r="G130" s="40"/>
      <c r="H130" s="40">
        <f t="shared" si="18"/>
        <v>0</v>
      </c>
      <c r="I130" s="42"/>
      <c r="J130" s="64">
        <f t="shared" si="16"/>
        <v>0</v>
      </c>
      <c r="K130" s="46"/>
    </row>
    <row r="131" ht="19.5" customHeight="1">
      <c r="A131" s="46">
        <f t="shared" si="17"/>
        <v>3</v>
      </c>
      <c r="B131" s="37" t="s">
        <v>247</v>
      </c>
      <c r="C131" s="46" t="s">
        <v>106</v>
      </c>
      <c r="D131" s="78"/>
      <c r="E131" s="37"/>
      <c r="F131" s="78"/>
      <c r="G131" s="40"/>
      <c r="H131" s="40">
        <f t="shared" si="18"/>
        <v>0</v>
      </c>
      <c r="I131" s="42"/>
      <c r="J131" s="64">
        <f t="shared" si="16"/>
        <v>0</v>
      </c>
      <c r="K131" s="46"/>
    </row>
    <row r="132" ht="19.5" customHeight="1">
      <c r="A132" s="46">
        <f t="shared" si="17"/>
        <v>4</v>
      </c>
      <c r="B132" s="37" t="s">
        <v>248</v>
      </c>
      <c r="C132" s="46" t="s">
        <v>106</v>
      </c>
      <c r="D132" s="78">
        <v>4.0</v>
      </c>
      <c r="E132" s="37">
        <v>1.0</v>
      </c>
      <c r="F132" s="78"/>
      <c r="G132" s="40"/>
      <c r="H132" s="40">
        <f t="shared" si="18"/>
        <v>4</v>
      </c>
      <c r="I132" s="42"/>
      <c r="J132" s="64">
        <f t="shared" si="16"/>
        <v>4</v>
      </c>
      <c r="K132" s="46"/>
    </row>
    <row r="133" ht="19.5" customHeight="1">
      <c r="A133" s="46">
        <f t="shared" si="17"/>
        <v>4</v>
      </c>
      <c r="B133" s="37" t="s">
        <v>249</v>
      </c>
      <c r="C133" s="46" t="s">
        <v>106</v>
      </c>
      <c r="D133" s="78"/>
      <c r="E133" s="37"/>
      <c r="F133" s="78"/>
      <c r="G133" s="40"/>
      <c r="H133" s="40">
        <f t="shared" si="18"/>
        <v>0</v>
      </c>
      <c r="I133" s="42"/>
      <c r="J133" s="64">
        <f t="shared" si="16"/>
        <v>0</v>
      </c>
      <c r="K133" s="46"/>
    </row>
    <row r="134" ht="19.5" customHeight="1">
      <c r="A134" s="46">
        <f t="shared" ref="A134:A135" si="19">A129+1</f>
        <v>3</v>
      </c>
      <c r="B134" s="37" t="s">
        <v>250</v>
      </c>
      <c r="C134" s="46" t="s">
        <v>106</v>
      </c>
      <c r="D134" s="123">
        <f>H133+H132+H131+H130+H129</f>
        <v>18</v>
      </c>
      <c r="E134" s="37">
        <v>1.0</v>
      </c>
      <c r="F134" s="40"/>
      <c r="G134" s="40"/>
      <c r="H134" s="40">
        <f t="shared" si="18"/>
        <v>18</v>
      </c>
      <c r="I134" s="40"/>
      <c r="J134" s="64">
        <f t="shared" si="16"/>
        <v>18</v>
      </c>
      <c r="K134" s="46"/>
    </row>
    <row r="135" ht="19.5" customHeight="1">
      <c r="A135" s="46">
        <f t="shared" si="19"/>
        <v>4</v>
      </c>
      <c r="B135" s="37" t="s">
        <v>251</v>
      </c>
      <c r="C135" s="46" t="s">
        <v>106</v>
      </c>
      <c r="D135" s="123">
        <f>H128+H127</f>
        <v>22</v>
      </c>
      <c r="E135" s="37">
        <v>1.0</v>
      </c>
      <c r="F135" s="40"/>
      <c r="G135" s="40"/>
      <c r="H135" s="40">
        <f t="shared" si="18"/>
        <v>22</v>
      </c>
      <c r="I135" s="40"/>
      <c r="J135" s="64">
        <f t="shared" si="16"/>
        <v>22</v>
      </c>
      <c r="K135" s="46"/>
    </row>
    <row r="136" ht="19.5" customHeight="1">
      <c r="A136" s="46">
        <f t="shared" ref="A136:A138" si="20">A134+1</f>
        <v>4</v>
      </c>
      <c r="B136" s="37" t="s">
        <v>641</v>
      </c>
      <c r="C136" s="46" t="s">
        <v>108</v>
      </c>
      <c r="D136" s="123">
        <v>200.0</v>
      </c>
      <c r="E136" s="37">
        <v>1.0</v>
      </c>
      <c r="F136" s="40"/>
      <c r="G136" s="40"/>
      <c r="H136" s="40">
        <f t="shared" si="18"/>
        <v>200</v>
      </c>
      <c r="I136" s="40"/>
      <c r="J136" s="64">
        <f t="shared" si="16"/>
        <v>200</v>
      </c>
      <c r="K136" s="46"/>
    </row>
    <row r="137" ht="19.5" customHeight="1">
      <c r="A137" s="46">
        <f t="shared" si="20"/>
        <v>5</v>
      </c>
      <c r="B137" s="37" t="s">
        <v>253</v>
      </c>
      <c r="C137" s="46" t="s">
        <v>108</v>
      </c>
      <c r="D137" s="123">
        <v>100.0</v>
      </c>
      <c r="E137" s="37">
        <v>1.0</v>
      </c>
      <c r="F137" s="40"/>
      <c r="G137" s="40"/>
      <c r="H137" s="40">
        <f t="shared" si="18"/>
        <v>100</v>
      </c>
      <c r="I137" s="40"/>
      <c r="J137" s="64">
        <f t="shared" si="16"/>
        <v>100</v>
      </c>
      <c r="K137" s="46"/>
    </row>
    <row r="138" ht="19.5" customHeight="1">
      <c r="A138" s="46">
        <f t="shared" si="20"/>
        <v>5</v>
      </c>
      <c r="B138" s="37" t="s">
        <v>254</v>
      </c>
      <c r="C138" s="46" t="s">
        <v>108</v>
      </c>
      <c r="D138" s="123">
        <v>600.0</v>
      </c>
      <c r="E138" s="37">
        <v>1.0</v>
      </c>
      <c r="F138" s="40"/>
      <c r="G138" s="40"/>
      <c r="H138" s="40">
        <f t="shared" si="18"/>
        <v>600</v>
      </c>
      <c r="I138" s="40"/>
      <c r="J138" s="64">
        <f t="shared" si="16"/>
        <v>600</v>
      </c>
      <c r="K138" s="46"/>
    </row>
    <row r="139" ht="19.5" customHeight="1">
      <c r="A139" s="46">
        <f t="shared" ref="A139:A145" si="21">A138+1</f>
        <v>6</v>
      </c>
      <c r="B139" s="37" t="s">
        <v>255</v>
      </c>
      <c r="C139" s="46" t="s">
        <v>108</v>
      </c>
      <c r="D139" s="123">
        <v>100.0</v>
      </c>
      <c r="E139" s="37">
        <v>1.0</v>
      </c>
      <c r="F139" s="40"/>
      <c r="G139" s="40"/>
      <c r="H139" s="40">
        <f t="shared" si="18"/>
        <v>100</v>
      </c>
      <c r="I139" s="40"/>
      <c r="J139" s="64">
        <f t="shared" si="16"/>
        <v>100</v>
      </c>
      <c r="K139" s="46"/>
    </row>
    <row r="140" ht="19.5" customHeight="1">
      <c r="A140" s="46">
        <f t="shared" si="21"/>
        <v>7</v>
      </c>
      <c r="B140" s="37" t="s">
        <v>256</v>
      </c>
      <c r="C140" s="46" t="s">
        <v>108</v>
      </c>
      <c r="D140" s="123">
        <v>50.0</v>
      </c>
      <c r="E140" s="37">
        <v>1.0</v>
      </c>
      <c r="F140" s="40"/>
      <c r="G140" s="40"/>
      <c r="H140" s="40">
        <f t="shared" si="18"/>
        <v>50</v>
      </c>
      <c r="I140" s="40"/>
      <c r="J140" s="64">
        <f t="shared" si="16"/>
        <v>50</v>
      </c>
      <c r="K140" s="46"/>
    </row>
    <row r="141" ht="19.5" customHeight="1">
      <c r="A141" s="46">
        <f t="shared" si="21"/>
        <v>8</v>
      </c>
      <c r="B141" s="37" t="s">
        <v>257</v>
      </c>
      <c r="C141" s="46" t="s">
        <v>106</v>
      </c>
      <c r="D141" s="123">
        <v>2.0</v>
      </c>
      <c r="E141" s="37">
        <v>1.0</v>
      </c>
      <c r="F141" s="40"/>
      <c r="G141" s="40"/>
      <c r="H141" s="40">
        <f t="shared" si="18"/>
        <v>2</v>
      </c>
      <c r="I141" s="40"/>
      <c r="J141" s="64">
        <f t="shared" si="16"/>
        <v>2</v>
      </c>
      <c r="K141" s="46"/>
    </row>
    <row r="142" ht="19.5" customHeight="1">
      <c r="A142" s="46">
        <f t="shared" si="21"/>
        <v>9</v>
      </c>
      <c r="B142" s="37" t="s">
        <v>258</v>
      </c>
      <c r="C142" s="46" t="s">
        <v>106</v>
      </c>
      <c r="D142" s="123">
        <v>6.0</v>
      </c>
      <c r="E142" s="37">
        <v>1.0</v>
      </c>
      <c r="F142" s="40"/>
      <c r="G142" s="40"/>
      <c r="H142" s="40">
        <f t="shared" si="18"/>
        <v>6</v>
      </c>
      <c r="I142" s="40"/>
      <c r="J142" s="64">
        <f t="shared" si="16"/>
        <v>6</v>
      </c>
      <c r="K142" s="46"/>
    </row>
    <row r="143" ht="19.5" customHeight="1">
      <c r="A143" s="46">
        <f t="shared" si="21"/>
        <v>10</v>
      </c>
      <c r="B143" s="37" t="s">
        <v>259</v>
      </c>
      <c r="C143" s="46" t="s">
        <v>108</v>
      </c>
      <c r="D143" s="123"/>
      <c r="E143" s="37">
        <v>1.0</v>
      </c>
      <c r="F143" s="40"/>
      <c r="G143" s="40"/>
      <c r="H143" s="40">
        <f t="shared" si="18"/>
        <v>0</v>
      </c>
      <c r="I143" s="40"/>
      <c r="J143" s="64">
        <f t="shared" si="16"/>
        <v>0</v>
      </c>
      <c r="K143" s="46"/>
    </row>
    <row r="144" ht="19.5" customHeight="1">
      <c r="A144" s="46">
        <f t="shared" si="21"/>
        <v>11</v>
      </c>
      <c r="B144" s="37" t="s">
        <v>260</v>
      </c>
      <c r="C144" s="46" t="s">
        <v>108</v>
      </c>
      <c r="D144" s="123">
        <v>25.0</v>
      </c>
      <c r="E144" s="37">
        <v>1.0</v>
      </c>
      <c r="F144" s="40"/>
      <c r="G144" s="40"/>
      <c r="H144" s="40">
        <f t="shared" si="18"/>
        <v>25</v>
      </c>
      <c r="I144" s="40"/>
      <c r="J144" s="64">
        <f t="shared" si="16"/>
        <v>25</v>
      </c>
      <c r="K144" s="46"/>
    </row>
    <row r="145" ht="19.5" customHeight="1">
      <c r="A145" s="46">
        <f t="shared" si="21"/>
        <v>12</v>
      </c>
      <c r="B145" s="37" t="s">
        <v>261</v>
      </c>
      <c r="C145" s="46" t="s">
        <v>106</v>
      </c>
      <c r="D145" s="123">
        <v>4.0</v>
      </c>
      <c r="E145" s="37">
        <v>1.0</v>
      </c>
      <c r="F145" s="40"/>
      <c r="G145" s="40"/>
      <c r="H145" s="40">
        <f t="shared" si="18"/>
        <v>4</v>
      </c>
      <c r="I145" s="40"/>
      <c r="J145" s="64">
        <f t="shared" si="16"/>
        <v>4</v>
      </c>
      <c r="K145" s="46"/>
    </row>
    <row r="146" ht="19.5" customHeight="1">
      <c r="A146" s="12"/>
      <c r="C146" s="12"/>
      <c r="D146" s="87"/>
      <c r="F146" s="14"/>
      <c r="G146" s="14"/>
      <c r="H146" s="14"/>
      <c r="I146" s="14"/>
      <c r="J146" s="14"/>
      <c r="K146" s="12"/>
    </row>
    <row r="147" ht="19.5" customHeight="1">
      <c r="A147" s="74" t="s">
        <v>1</v>
      </c>
      <c r="B147" s="74" t="s">
        <v>91</v>
      </c>
      <c r="C147" s="74" t="s">
        <v>92</v>
      </c>
      <c r="D147" s="76" t="s">
        <v>93</v>
      </c>
      <c r="E147" s="50" t="s">
        <v>161</v>
      </c>
      <c r="F147" s="53" t="s">
        <v>121</v>
      </c>
      <c r="G147" s="53" t="s">
        <v>99</v>
      </c>
      <c r="H147" s="53" t="s">
        <v>100</v>
      </c>
      <c r="I147" s="53" t="s">
        <v>101</v>
      </c>
      <c r="J147" s="76" t="s">
        <v>95</v>
      </c>
      <c r="K147" s="74" t="s">
        <v>96</v>
      </c>
    </row>
    <row r="148" ht="19.5" customHeight="1">
      <c r="A148" s="46">
        <v>1.0</v>
      </c>
      <c r="B148" s="37" t="s">
        <v>262</v>
      </c>
      <c r="C148" s="46" t="s">
        <v>108</v>
      </c>
      <c r="D148" s="78"/>
      <c r="E148" s="37"/>
      <c r="F148" s="78"/>
      <c r="G148" s="40"/>
      <c r="H148" s="40"/>
      <c r="I148" s="42"/>
      <c r="J148" s="107" t="str">
        <f t="shared" ref="J148:J171" si="22">H148</f>
        <v/>
      </c>
      <c r="K148" s="46"/>
    </row>
    <row r="149" ht="19.5" customHeight="1">
      <c r="A149" s="46">
        <f t="shared" ref="A149:A171" si="23">A148+1</f>
        <v>2</v>
      </c>
      <c r="B149" s="37" t="s">
        <v>263</v>
      </c>
      <c r="C149" s="46" t="s">
        <v>108</v>
      </c>
      <c r="D149" s="123"/>
      <c r="E149" s="37"/>
      <c r="F149" s="40"/>
      <c r="G149" s="40"/>
      <c r="H149" s="40"/>
      <c r="I149" s="40"/>
      <c r="J149" s="107" t="str">
        <f t="shared" si="22"/>
        <v/>
      </c>
      <c r="K149" s="46"/>
    </row>
    <row r="150" ht="19.5" customHeight="1">
      <c r="A150" s="46">
        <f t="shared" si="23"/>
        <v>3</v>
      </c>
      <c r="B150" s="37" t="s">
        <v>264</v>
      </c>
      <c r="C150" s="46" t="s">
        <v>108</v>
      </c>
      <c r="D150" s="123"/>
      <c r="E150" s="37"/>
      <c r="F150" s="40"/>
      <c r="G150" s="40"/>
      <c r="H150" s="40"/>
      <c r="I150" s="40"/>
      <c r="J150" s="107" t="str">
        <f t="shared" si="22"/>
        <v/>
      </c>
      <c r="K150" s="46"/>
    </row>
    <row r="151" ht="19.5" customHeight="1">
      <c r="A151" s="46">
        <f t="shared" si="23"/>
        <v>4</v>
      </c>
      <c r="B151" s="37" t="s">
        <v>265</v>
      </c>
      <c r="C151" s="46" t="s">
        <v>106</v>
      </c>
      <c r="D151" s="123"/>
      <c r="E151" s="37"/>
      <c r="F151" s="40"/>
      <c r="G151" s="40"/>
      <c r="H151" s="40"/>
      <c r="I151" s="40"/>
      <c r="J151" s="107" t="str">
        <f t="shared" si="22"/>
        <v/>
      </c>
      <c r="K151" s="46"/>
    </row>
    <row r="152" ht="19.5" customHeight="1">
      <c r="A152" s="46">
        <f t="shared" si="23"/>
        <v>5</v>
      </c>
      <c r="B152" s="37" t="s">
        <v>266</v>
      </c>
      <c r="C152" s="46" t="s">
        <v>106</v>
      </c>
      <c r="D152" s="123"/>
      <c r="E152" s="37"/>
      <c r="F152" s="40"/>
      <c r="G152" s="40"/>
      <c r="H152" s="40"/>
      <c r="I152" s="40"/>
      <c r="J152" s="107" t="str">
        <f t="shared" si="22"/>
        <v/>
      </c>
      <c r="K152" s="46"/>
    </row>
    <row r="153" ht="19.5" customHeight="1">
      <c r="A153" s="46">
        <f t="shared" si="23"/>
        <v>6</v>
      </c>
      <c r="B153" s="37" t="s">
        <v>267</v>
      </c>
      <c r="C153" s="46" t="s">
        <v>106</v>
      </c>
      <c r="D153" s="123"/>
      <c r="E153" s="37"/>
      <c r="F153" s="40"/>
      <c r="G153" s="40"/>
      <c r="H153" s="40"/>
      <c r="I153" s="40"/>
      <c r="J153" s="107" t="str">
        <f t="shared" si="22"/>
        <v/>
      </c>
      <c r="K153" s="46"/>
    </row>
    <row r="154" ht="19.5" customHeight="1">
      <c r="A154" s="46">
        <f t="shared" si="23"/>
        <v>7</v>
      </c>
      <c r="B154" s="37" t="s">
        <v>268</v>
      </c>
      <c r="C154" s="46" t="s">
        <v>106</v>
      </c>
      <c r="D154" s="123"/>
      <c r="E154" s="37"/>
      <c r="F154" s="40"/>
      <c r="G154" s="40"/>
      <c r="H154" s="40"/>
      <c r="I154" s="40"/>
      <c r="J154" s="107" t="str">
        <f t="shared" si="22"/>
        <v/>
      </c>
      <c r="K154" s="46"/>
    </row>
    <row r="155" ht="19.5" customHeight="1">
      <c r="A155" s="46">
        <f t="shared" si="23"/>
        <v>8</v>
      </c>
      <c r="B155" s="37" t="s">
        <v>269</v>
      </c>
      <c r="C155" s="46" t="s">
        <v>106</v>
      </c>
      <c r="D155" s="123"/>
      <c r="E155" s="37"/>
      <c r="F155" s="40"/>
      <c r="G155" s="40"/>
      <c r="H155" s="40"/>
      <c r="I155" s="40"/>
      <c r="J155" s="107" t="str">
        <f t="shared" si="22"/>
        <v/>
      </c>
      <c r="K155" s="46"/>
    </row>
    <row r="156" ht="19.5" customHeight="1">
      <c r="A156" s="46">
        <f t="shared" si="23"/>
        <v>9</v>
      </c>
      <c r="B156" s="37" t="s">
        <v>270</v>
      </c>
      <c r="C156" s="46" t="s">
        <v>106</v>
      </c>
      <c r="D156" s="123"/>
      <c r="E156" s="37"/>
      <c r="F156" s="40"/>
      <c r="G156" s="40"/>
      <c r="H156" s="40"/>
      <c r="I156" s="40"/>
      <c r="J156" s="107" t="str">
        <f t="shared" si="22"/>
        <v/>
      </c>
      <c r="K156" s="46"/>
    </row>
    <row r="157" ht="19.5" customHeight="1">
      <c r="A157" s="46">
        <f t="shared" si="23"/>
        <v>10</v>
      </c>
      <c r="B157" s="37" t="s">
        <v>271</v>
      </c>
      <c r="C157" s="46" t="s">
        <v>106</v>
      </c>
      <c r="D157" s="123"/>
      <c r="E157" s="37"/>
      <c r="F157" s="40"/>
      <c r="G157" s="40"/>
      <c r="H157" s="40"/>
      <c r="I157" s="40"/>
      <c r="J157" s="107" t="str">
        <f t="shared" si="22"/>
        <v/>
      </c>
      <c r="K157" s="46"/>
    </row>
    <row r="158" ht="19.5" customHeight="1">
      <c r="A158" s="46">
        <f t="shared" si="23"/>
        <v>11</v>
      </c>
      <c r="B158" s="37" t="s">
        <v>272</v>
      </c>
      <c r="C158" s="46" t="s">
        <v>106</v>
      </c>
      <c r="D158" s="123"/>
      <c r="E158" s="37"/>
      <c r="F158" s="40"/>
      <c r="G158" s="40"/>
      <c r="H158" s="40"/>
      <c r="I158" s="40"/>
      <c r="J158" s="107" t="str">
        <f t="shared" si="22"/>
        <v/>
      </c>
      <c r="K158" s="46"/>
    </row>
    <row r="159" ht="19.5" customHeight="1">
      <c r="A159" s="46">
        <f t="shared" si="23"/>
        <v>12</v>
      </c>
      <c r="B159" s="37" t="s">
        <v>273</v>
      </c>
      <c r="C159" s="46" t="s">
        <v>106</v>
      </c>
      <c r="D159" s="123"/>
      <c r="E159" s="37"/>
      <c r="F159" s="40"/>
      <c r="G159" s="40"/>
      <c r="H159" s="40"/>
      <c r="I159" s="40"/>
      <c r="J159" s="107" t="str">
        <f t="shared" si="22"/>
        <v/>
      </c>
      <c r="K159" s="46"/>
    </row>
    <row r="160" ht="19.5" customHeight="1">
      <c r="A160" s="46">
        <f t="shared" si="23"/>
        <v>13</v>
      </c>
      <c r="B160" s="37" t="s">
        <v>274</v>
      </c>
      <c r="C160" s="46" t="s">
        <v>106</v>
      </c>
      <c r="D160" s="123"/>
      <c r="E160" s="37"/>
      <c r="F160" s="40"/>
      <c r="G160" s="40"/>
      <c r="H160" s="40"/>
      <c r="I160" s="40"/>
      <c r="J160" s="107" t="str">
        <f t="shared" si="22"/>
        <v/>
      </c>
      <c r="K160" s="46"/>
    </row>
    <row r="161" ht="19.5" customHeight="1">
      <c r="A161" s="46">
        <f t="shared" si="23"/>
        <v>14</v>
      </c>
      <c r="B161" s="37" t="s">
        <v>275</v>
      </c>
      <c r="C161" s="46" t="s">
        <v>106</v>
      </c>
      <c r="D161" s="123"/>
      <c r="E161" s="37"/>
      <c r="F161" s="40"/>
      <c r="G161" s="40"/>
      <c r="H161" s="40"/>
      <c r="I161" s="40"/>
      <c r="J161" s="107" t="str">
        <f t="shared" si="22"/>
        <v/>
      </c>
      <c r="K161" s="46"/>
    </row>
    <row r="162" ht="19.5" customHeight="1">
      <c r="A162" s="46">
        <f t="shared" si="23"/>
        <v>15</v>
      </c>
      <c r="B162" s="37" t="s">
        <v>276</v>
      </c>
      <c r="C162" s="46" t="s">
        <v>106</v>
      </c>
      <c r="D162" s="123"/>
      <c r="E162" s="37"/>
      <c r="F162" s="40"/>
      <c r="G162" s="40"/>
      <c r="H162" s="40"/>
      <c r="I162" s="40"/>
      <c r="J162" s="107" t="str">
        <f t="shared" si="22"/>
        <v/>
      </c>
      <c r="K162" s="46"/>
    </row>
    <row r="163" ht="19.5" customHeight="1">
      <c r="A163" s="46">
        <f t="shared" si="23"/>
        <v>16</v>
      </c>
      <c r="B163" s="37" t="s">
        <v>277</v>
      </c>
      <c r="C163" s="46" t="s">
        <v>106</v>
      </c>
      <c r="D163" s="123"/>
      <c r="E163" s="37"/>
      <c r="F163" s="40"/>
      <c r="G163" s="40"/>
      <c r="H163" s="40"/>
      <c r="I163" s="40"/>
      <c r="J163" s="107" t="str">
        <f t="shared" si="22"/>
        <v/>
      </c>
      <c r="K163" s="46"/>
    </row>
    <row r="164" ht="19.5" customHeight="1">
      <c r="A164" s="46">
        <f t="shared" si="23"/>
        <v>17</v>
      </c>
      <c r="B164" s="37" t="s">
        <v>278</v>
      </c>
      <c r="C164" s="46" t="s">
        <v>106</v>
      </c>
      <c r="D164" s="123"/>
      <c r="E164" s="37"/>
      <c r="F164" s="40"/>
      <c r="G164" s="40"/>
      <c r="H164" s="40"/>
      <c r="I164" s="40"/>
      <c r="J164" s="107" t="str">
        <f t="shared" si="22"/>
        <v/>
      </c>
      <c r="K164" s="46"/>
    </row>
    <row r="165" ht="19.5" customHeight="1">
      <c r="A165" s="46">
        <f t="shared" si="23"/>
        <v>18</v>
      </c>
      <c r="B165" s="37" t="s">
        <v>279</v>
      </c>
      <c r="C165" s="46" t="s">
        <v>106</v>
      </c>
      <c r="D165" s="123"/>
      <c r="E165" s="37"/>
      <c r="F165" s="40"/>
      <c r="G165" s="40"/>
      <c r="H165" s="40"/>
      <c r="I165" s="40"/>
      <c r="J165" s="107" t="str">
        <f t="shared" si="22"/>
        <v/>
      </c>
      <c r="K165" s="46"/>
    </row>
    <row r="166" ht="19.5" customHeight="1">
      <c r="A166" s="46">
        <f t="shared" si="23"/>
        <v>19</v>
      </c>
      <c r="B166" s="37" t="s">
        <v>280</v>
      </c>
      <c r="C166" s="46" t="s">
        <v>106</v>
      </c>
      <c r="D166" s="123"/>
      <c r="E166" s="37"/>
      <c r="F166" s="40"/>
      <c r="G166" s="40"/>
      <c r="H166" s="40"/>
      <c r="I166" s="40"/>
      <c r="J166" s="107" t="str">
        <f t="shared" si="22"/>
        <v/>
      </c>
      <c r="K166" s="46"/>
    </row>
    <row r="167" ht="19.5" customHeight="1">
      <c r="A167" s="46">
        <f t="shared" si="23"/>
        <v>20</v>
      </c>
      <c r="B167" s="37" t="s">
        <v>281</v>
      </c>
      <c r="C167" s="46" t="s">
        <v>106</v>
      </c>
      <c r="D167" s="123"/>
      <c r="E167" s="37"/>
      <c r="F167" s="40"/>
      <c r="G167" s="40"/>
      <c r="H167" s="40"/>
      <c r="I167" s="40"/>
      <c r="J167" s="107" t="str">
        <f t="shared" si="22"/>
        <v/>
      </c>
      <c r="K167" s="46"/>
    </row>
    <row r="168" ht="19.5" customHeight="1">
      <c r="A168" s="46">
        <f t="shared" si="23"/>
        <v>21</v>
      </c>
      <c r="B168" s="37" t="s">
        <v>378</v>
      </c>
      <c r="C168" s="46" t="s">
        <v>106</v>
      </c>
      <c r="D168" s="123"/>
      <c r="E168" s="37"/>
      <c r="F168" s="40"/>
      <c r="G168" s="40"/>
      <c r="H168" s="40"/>
      <c r="I168" s="40"/>
      <c r="J168" s="107" t="str">
        <f t="shared" si="22"/>
        <v/>
      </c>
      <c r="K168" s="46"/>
    </row>
    <row r="169" ht="19.5" customHeight="1">
      <c r="A169" s="46">
        <f t="shared" si="23"/>
        <v>22</v>
      </c>
      <c r="B169" s="37" t="s">
        <v>284</v>
      </c>
      <c r="C169" s="46" t="s">
        <v>106</v>
      </c>
      <c r="D169" s="123"/>
      <c r="E169" s="37"/>
      <c r="F169" s="40"/>
      <c r="G169" s="40"/>
      <c r="H169" s="40"/>
      <c r="I169" s="40"/>
      <c r="J169" s="107" t="str">
        <f t="shared" si="22"/>
        <v/>
      </c>
      <c r="K169" s="46"/>
    </row>
    <row r="170" ht="19.5" customHeight="1">
      <c r="A170" s="46">
        <f t="shared" si="23"/>
        <v>23</v>
      </c>
      <c r="B170" s="37" t="s">
        <v>285</v>
      </c>
      <c r="C170" s="46" t="s">
        <v>106</v>
      </c>
      <c r="D170" s="123"/>
      <c r="E170" s="37"/>
      <c r="F170" s="40"/>
      <c r="G170" s="40"/>
      <c r="H170" s="40"/>
      <c r="I170" s="40"/>
      <c r="J170" s="107" t="str">
        <f t="shared" si="22"/>
        <v/>
      </c>
      <c r="K170" s="79"/>
    </row>
    <row r="171" ht="19.5" customHeight="1">
      <c r="A171" s="46">
        <f t="shared" si="23"/>
        <v>24</v>
      </c>
      <c r="B171" s="37" t="s">
        <v>286</v>
      </c>
      <c r="C171" s="46" t="s">
        <v>106</v>
      </c>
      <c r="D171" s="123"/>
      <c r="E171" s="37"/>
      <c r="F171" s="40"/>
      <c r="G171" s="40"/>
      <c r="H171" s="40"/>
      <c r="I171" s="40"/>
      <c r="J171" s="107" t="str">
        <f t="shared" si="22"/>
        <v/>
      </c>
      <c r="K171" s="79"/>
    </row>
    <row r="172" ht="19.5" customHeight="1">
      <c r="A172" s="74" t="s">
        <v>1</v>
      </c>
      <c r="B172" s="74" t="s">
        <v>91</v>
      </c>
      <c r="C172" s="74" t="s">
        <v>92</v>
      </c>
      <c r="D172" s="76" t="s">
        <v>93</v>
      </c>
      <c r="E172" s="50" t="s">
        <v>161</v>
      </c>
      <c r="F172" s="53" t="s">
        <v>121</v>
      </c>
      <c r="G172" s="53" t="s">
        <v>99</v>
      </c>
      <c r="H172" s="53" t="s">
        <v>100</v>
      </c>
      <c r="I172" s="53" t="s">
        <v>101</v>
      </c>
      <c r="J172" s="140" t="s">
        <v>95</v>
      </c>
      <c r="K172" s="74" t="s">
        <v>96</v>
      </c>
    </row>
    <row r="173" ht="19.5" customHeight="1">
      <c r="A173" s="46">
        <v>1.0</v>
      </c>
      <c r="B173" s="37" t="s">
        <v>287</v>
      </c>
      <c r="C173" s="46" t="s">
        <v>108</v>
      </c>
      <c r="D173" s="78"/>
      <c r="E173" s="37"/>
      <c r="F173" s="78"/>
      <c r="G173" s="40"/>
      <c r="H173" s="40"/>
      <c r="I173" s="42"/>
      <c r="J173" s="107" t="str">
        <f t="shared" ref="J173:J213" si="24">H173</f>
        <v/>
      </c>
      <c r="K173" s="46"/>
    </row>
    <row r="174" ht="19.5" customHeight="1">
      <c r="A174" s="46">
        <f t="shared" ref="A174:A213" si="25">A173+1</f>
        <v>2</v>
      </c>
      <c r="B174" s="37" t="s">
        <v>288</v>
      </c>
      <c r="C174" s="46" t="s">
        <v>108</v>
      </c>
      <c r="D174" s="78"/>
      <c r="E174" s="37"/>
      <c r="F174" s="78"/>
      <c r="G174" s="40"/>
      <c r="H174" s="40"/>
      <c r="I174" s="42"/>
      <c r="J174" s="107" t="str">
        <f t="shared" si="24"/>
        <v/>
      </c>
      <c r="K174" s="46"/>
    </row>
    <row r="175" ht="19.5" customHeight="1">
      <c r="A175" s="46">
        <f t="shared" si="25"/>
        <v>3</v>
      </c>
      <c r="B175" s="37" t="s">
        <v>289</v>
      </c>
      <c r="C175" s="46" t="s">
        <v>108</v>
      </c>
      <c r="D175" s="78"/>
      <c r="E175" s="37"/>
      <c r="F175" s="78"/>
      <c r="G175" s="40"/>
      <c r="H175" s="40"/>
      <c r="I175" s="42"/>
      <c r="J175" s="107" t="str">
        <f t="shared" si="24"/>
        <v/>
      </c>
      <c r="K175" s="46"/>
    </row>
    <row r="176" ht="19.5" customHeight="1">
      <c r="A176" s="46">
        <f t="shared" si="25"/>
        <v>4</v>
      </c>
      <c r="B176" s="37" t="s">
        <v>263</v>
      </c>
      <c r="C176" s="46" t="s">
        <v>108</v>
      </c>
      <c r="D176" s="78"/>
      <c r="E176" s="37"/>
      <c r="F176" s="78"/>
      <c r="G176" s="40"/>
      <c r="H176" s="40"/>
      <c r="I176" s="42"/>
      <c r="J176" s="107" t="str">
        <f t="shared" si="24"/>
        <v/>
      </c>
      <c r="K176" s="46"/>
    </row>
    <row r="177" ht="19.5" customHeight="1">
      <c r="A177" s="46">
        <f t="shared" si="25"/>
        <v>5</v>
      </c>
      <c r="B177" s="37" t="s">
        <v>264</v>
      </c>
      <c r="C177" s="46" t="s">
        <v>108</v>
      </c>
      <c r="D177" s="123"/>
      <c r="E177" s="37"/>
      <c r="F177" s="40"/>
      <c r="G177" s="40"/>
      <c r="H177" s="40"/>
      <c r="I177" s="40"/>
      <c r="J177" s="107" t="str">
        <f t="shared" si="24"/>
        <v/>
      </c>
      <c r="K177" s="46"/>
    </row>
    <row r="178" ht="19.5" customHeight="1">
      <c r="A178" s="46">
        <f t="shared" si="25"/>
        <v>6</v>
      </c>
      <c r="B178" s="37" t="s">
        <v>290</v>
      </c>
      <c r="C178" s="46" t="s">
        <v>108</v>
      </c>
      <c r="D178" s="123"/>
      <c r="E178" s="37"/>
      <c r="F178" s="40"/>
      <c r="G178" s="40"/>
      <c r="H178" s="40"/>
      <c r="I178" s="40"/>
      <c r="J178" s="107" t="str">
        <f t="shared" si="24"/>
        <v/>
      </c>
      <c r="K178" s="46"/>
    </row>
    <row r="179" ht="19.5" customHeight="1">
      <c r="A179" s="46">
        <f t="shared" si="25"/>
        <v>7</v>
      </c>
      <c r="B179" s="37" t="s">
        <v>291</v>
      </c>
      <c r="C179" s="46" t="s">
        <v>108</v>
      </c>
      <c r="D179" s="123"/>
      <c r="E179" s="37"/>
      <c r="F179" s="40"/>
      <c r="G179" s="40"/>
      <c r="H179" s="40"/>
      <c r="I179" s="40"/>
      <c r="J179" s="107" t="str">
        <f t="shared" si="24"/>
        <v/>
      </c>
      <c r="K179" s="46"/>
    </row>
    <row r="180" ht="19.5" customHeight="1">
      <c r="A180" s="46">
        <f t="shared" si="25"/>
        <v>8</v>
      </c>
      <c r="B180" s="37" t="s">
        <v>292</v>
      </c>
      <c r="C180" s="46" t="s">
        <v>106</v>
      </c>
      <c r="D180" s="123"/>
      <c r="E180" s="37"/>
      <c r="F180" s="40"/>
      <c r="G180" s="40"/>
      <c r="H180" s="40"/>
      <c r="I180" s="40"/>
      <c r="J180" s="107" t="str">
        <f t="shared" si="24"/>
        <v/>
      </c>
      <c r="K180" s="46"/>
    </row>
    <row r="181" ht="19.5" customHeight="1">
      <c r="A181" s="46">
        <f t="shared" si="25"/>
        <v>9</v>
      </c>
      <c r="B181" s="37" t="s">
        <v>293</v>
      </c>
      <c r="C181" s="46" t="s">
        <v>106</v>
      </c>
      <c r="D181" s="123"/>
      <c r="E181" s="37"/>
      <c r="F181" s="40"/>
      <c r="G181" s="40"/>
      <c r="H181" s="40"/>
      <c r="I181" s="40"/>
      <c r="J181" s="107" t="str">
        <f t="shared" si="24"/>
        <v/>
      </c>
      <c r="K181" s="46"/>
    </row>
    <row r="182" ht="19.5" customHeight="1">
      <c r="A182" s="46">
        <f t="shared" si="25"/>
        <v>10</v>
      </c>
      <c r="B182" s="37" t="s">
        <v>294</v>
      </c>
      <c r="C182" s="46" t="s">
        <v>106</v>
      </c>
      <c r="D182" s="123"/>
      <c r="E182" s="37"/>
      <c r="F182" s="40"/>
      <c r="G182" s="40"/>
      <c r="H182" s="40"/>
      <c r="I182" s="40"/>
      <c r="J182" s="107" t="str">
        <f t="shared" si="24"/>
        <v/>
      </c>
      <c r="K182" s="46"/>
    </row>
    <row r="183" ht="19.5" customHeight="1">
      <c r="A183" s="46">
        <f t="shared" si="25"/>
        <v>11</v>
      </c>
      <c r="B183" s="37" t="s">
        <v>295</v>
      </c>
      <c r="C183" s="46" t="s">
        <v>106</v>
      </c>
      <c r="D183" s="123"/>
      <c r="E183" s="37"/>
      <c r="F183" s="40"/>
      <c r="G183" s="40"/>
      <c r="H183" s="40"/>
      <c r="I183" s="40"/>
      <c r="J183" s="107" t="str">
        <f t="shared" si="24"/>
        <v/>
      </c>
      <c r="K183" s="46"/>
    </row>
    <row r="184" ht="19.5" customHeight="1">
      <c r="A184" s="46">
        <f t="shared" si="25"/>
        <v>12</v>
      </c>
      <c r="B184" s="37" t="s">
        <v>270</v>
      </c>
      <c r="C184" s="46" t="s">
        <v>106</v>
      </c>
      <c r="D184" s="123"/>
      <c r="E184" s="37"/>
      <c r="F184" s="40"/>
      <c r="G184" s="40"/>
      <c r="H184" s="40"/>
      <c r="I184" s="40"/>
      <c r="J184" s="107" t="str">
        <f t="shared" si="24"/>
        <v/>
      </c>
      <c r="K184" s="46"/>
    </row>
    <row r="185" ht="19.5" customHeight="1">
      <c r="A185" s="46">
        <f t="shared" si="25"/>
        <v>13</v>
      </c>
      <c r="B185" s="37" t="s">
        <v>296</v>
      </c>
      <c r="C185" s="46" t="s">
        <v>106</v>
      </c>
      <c r="D185" s="123"/>
      <c r="E185" s="37"/>
      <c r="F185" s="40"/>
      <c r="G185" s="40"/>
      <c r="H185" s="40"/>
      <c r="I185" s="40"/>
      <c r="J185" s="107" t="str">
        <f t="shared" si="24"/>
        <v/>
      </c>
      <c r="K185" s="46"/>
    </row>
    <row r="186" ht="19.5" customHeight="1">
      <c r="A186" s="46">
        <f t="shared" si="25"/>
        <v>14</v>
      </c>
      <c r="B186" s="37" t="s">
        <v>297</v>
      </c>
      <c r="C186" s="46" t="s">
        <v>106</v>
      </c>
      <c r="D186" s="123"/>
      <c r="E186" s="37"/>
      <c r="F186" s="40"/>
      <c r="G186" s="40"/>
      <c r="H186" s="40"/>
      <c r="I186" s="40"/>
      <c r="J186" s="107" t="str">
        <f t="shared" si="24"/>
        <v/>
      </c>
      <c r="K186" s="46"/>
    </row>
    <row r="187" ht="19.5" customHeight="1">
      <c r="A187" s="46">
        <f t="shared" si="25"/>
        <v>15</v>
      </c>
      <c r="B187" s="37" t="s">
        <v>298</v>
      </c>
      <c r="C187" s="46" t="s">
        <v>106</v>
      </c>
      <c r="D187" s="123"/>
      <c r="E187" s="37"/>
      <c r="F187" s="40"/>
      <c r="G187" s="40"/>
      <c r="H187" s="40"/>
      <c r="I187" s="40"/>
      <c r="J187" s="107" t="str">
        <f t="shared" si="24"/>
        <v/>
      </c>
      <c r="K187" s="46"/>
    </row>
    <row r="188" ht="19.5" customHeight="1">
      <c r="A188" s="46">
        <f t="shared" si="25"/>
        <v>16</v>
      </c>
      <c r="B188" s="37" t="s">
        <v>299</v>
      </c>
      <c r="C188" s="46" t="s">
        <v>106</v>
      </c>
      <c r="D188" s="123"/>
      <c r="E188" s="37"/>
      <c r="F188" s="40"/>
      <c r="G188" s="40"/>
      <c r="H188" s="40"/>
      <c r="I188" s="40"/>
      <c r="J188" s="107" t="str">
        <f t="shared" si="24"/>
        <v/>
      </c>
      <c r="K188" s="46"/>
    </row>
    <row r="189" ht="19.5" customHeight="1">
      <c r="A189" s="46">
        <f t="shared" si="25"/>
        <v>17</v>
      </c>
      <c r="B189" s="37" t="s">
        <v>300</v>
      </c>
      <c r="C189" s="46" t="s">
        <v>106</v>
      </c>
      <c r="D189" s="123"/>
      <c r="E189" s="37"/>
      <c r="F189" s="40"/>
      <c r="G189" s="40"/>
      <c r="H189" s="40"/>
      <c r="I189" s="40"/>
      <c r="J189" s="107" t="str">
        <f t="shared" si="24"/>
        <v/>
      </c>
      <c r="K189" s="46"/>
    </row>
    <row r="190" ht="19.5" customHeight="1">
      <c r="A190" s="46">
        <f t="shared" si="25"/>
        <v>18</v>
      </c>
      <c r="B190" s="37" t="s">
        <v>301</v>
      </c>
      <c r="C190" s="46" t="s">
        <v>106</v>
      </c>
      <c r="D190" s="123"/>
      <c r="E190" s="37"/>
      <c r="F190" s="40"/>
      <c r="G190" s="40"/>
      <c r="H190" s="40"/>
      <c r="I190" s="40"/>
      <c r="J190" s="107" t="str">
        <f t="shared" si="24"/>
        <v/>
      </c>
      <c r="K190" s="46"/>
    </row>
    <row r="191" ht="19.5" customHeight="1">
      <c r="A191" s="46">
        <f t="shared" si="25"/>
        <v>19</v>
      </c>
      <c r="B191" s="37" t="s">
        <v>302</v>
      </c>
      <c r="C191" s="46" t="s">
        <v>106</v>
      </c>
      <c r="D191" s="123"/>
      <c r="E191" s="37"/>
      <c r="F191" s="40"/>
      <c r="G191" s="40"/>
      <c r="H191" s="40"/>
      <c r="I191" s="40"/>
      <c r="J191" s="107" t="str">
        <f t="shared" si="24"/>
        <v/>
      </c>
      <c r="K191" s="46"/>
    </row>
    <row r="192" ht="19.5" customHeight="1">
      <c r="A192" s="46">
        <f t="shared" si="25"/>
        <v>20</v>
      </c>
      <c r="B192" s="37" t="s">
        <v>303</v>
      </c>
      <c r="C192" s="46" t="s">
        <v>106</v>
      </c>
      <c r="D192" s="123"/>
      <c r="E192" s="37"/>
      <c r="F192" s="40"/>
      <c r="G192" s="40"/>
      <c r="H192" s="40"/>
      <c r="I192" s="40"/>
      <c r="J192" s="107" t="str">
        <f t="shared" si="24"/>
        <v/>
      </c>
      <c r="K192" s="46"/>
    </row>
    <row r="193" ht="19.5" customHeight="1">
      <c r="A193" s="46">
        <f t="shared" si="25"/>
        <v>21</v>
      </c>
      <c r="B193" s="37" t="s">
        <v>304</v>
      </c>
      <c r="C193" s="46" t="s">
        <v>106</v>
      </c>
      <c r="D193" s="123"/>
      <c r="E193" s="37"/>
      <c r="F193" s="40"/>
      <c r="G193" s="40"/>
      <c r="H193" s="40"/>
      <c r="I193" s="40"/>
      <c r="J193" s="107" t="str">
        <f t="shared" si="24"/>
        <v/>
      </c>
      <c r="K193" s="46"/>
    </row>
    <row r="194" ht="19.5" customHeight="1">
      <c r="A194" s="46">
        <f t="shared" si="25"/>
        <v>22</v>
      </c>
      <c r="B194" s="37" t="s">
        <v>305</v>
      </c>
      <c r="C194" s="46" t="s">
        <v>106</v>
      </c>
      <c r="D194" s="123"/>
      <c r="E194" s="37"/>
      <c r="F194" s="40"/>
      <c r="G194" s="40"/>
      <c r="H194" s="40"/>
      <c r="I194" s="40"/>
      <c r="J194" s="107" t="str">
        <f t="shared" si="24"/>
        <v/>
      </c>
      <c r="K194" s="46"/>
    </row>
    <row r="195" ht="19.5" customHeight="1">
      <c r="A195" s="46">
        <f t="shared" si="25"/>
        <v>23</v>
      </c>
      <c r="B195" s="37" t="s">
        <v>306</v>
      </c>
      <c r="C195" s="46" t="s">
        <v>106</v>
      </c>
      <c r="D195" s="123"/>
      <c r="E195" s="37"/>
      <c r="F195" s="40"/>
      <c r="G195" s="40"/>
      <c r="H195" s="40"/>
      <c r="I195" s="40"/>
      <c r="J195" s="107" t="str">
        <f t="shared" si="24"/>
        <v/>
      </c>
      <c r="K195" s="46"/>
    </row>
    <row r="196" ht="19.5" customHeight="1">
      <c r="A196" s="46">
        <f t="shared" si="25"/>
        <v>24</v>
      </c>
      <c r="B196" s="37" t="s">
        <v>307</v>
      </c>
      <c r="C196" s="46" t="s">
        <v>106</v>
      </c>
      <c r="D196" s="123"/>
      <c r="E196" s="37"/>
      <c r="F196" s="40"/>
      <c r="G196" s="40"/>
      <c r="H196" s="40"/>
      <c r="I196" s="40"/>
      <c r="J196" s="107" t="str">
        <f t="shared" si="24"/>
        <v/>
      </c>
      <c r="K196" s="46"/>
    </row>
    <row r="197" ht="19.5" customHeight="1">
      <c r="A197" s="46">
        <f t="shared" si="25"/>
        <v>25</v>
      </c>
      <c r="B197" s="37" t="s">
        <v>308</v>
      </c>
      <c r="C197" s="46" t="s">
        <v>106</v>
      </c>
      <c r="D197" s="123"/>
      <c r="E197" s="37"/>
      <c r="F197" s="40"/>
      <c r="G197" s="40"/>
      <c r="H197" s="40"/>
      <c r="I197" s="40"/>
      <c r="J197" s="107" t="str">
        <f t="shared" si="24"/>
        <v/>
      </c>
      <c r="K197" s="46"/>
    </row>
    <row r="198" ht="19.5" customHeight="1">
      <c r="A198" s="46">
        <f t="shared" si="25"/>
        <v>26</v>
      </c>
      <c r="B198" s="37" t="s">
        <v>309</v>
      </c>
      <c r="C198" s="46" t="s">
        <v>106</v>
      </c>
      <c r="D198" s="123"/>
      <c r="E198" s="37"/>
      <c r="F198" s="40"/>
      <c r="G198" s="40"/>
      <c r="H198" s="40"/>
      <c r="I198" s="40"/>
      <c r="J198" s="107" t="str">
        <f t="shared" si="24"/>
        <v/>
      </c>
      <c r="K198" s="46"/>
    </row>
    <row r="199" ht="19.5" customHeight="1">
      <c r="A199" s="46">
        <f t="shared" si="25"/>
        <v>27</v>
      </c>
      <c r="B199" s="37" t="s">
        <v>310</v>
      </c>
      <c r="C199" s="46" t="s">
        <v>106</v>
      </c>
      <c r="D199" s="123"/>
      <c r="E199" s="37"/>
      <c r="F199" s="40"/>
      <c r="G199" s="40"/>
      <c r="H199" s="40"/>
      <c r="I199" s="40"/>
      <c r="J199" s="107" t="str">
        <f t="shared" si="24"/>
        <v/>
      </c>
      <c r="K199" s="46"/>
    </row>
    <row r="200" ht="19.5" customHeight="1">
      <c r="A200" s="46">
        <f t="shared" si="25"/>
        <v>28</v>
      </c>
      <c r="B200" s="37" t="s">
        <v>311</v>
      </c>
      <c r="C200" s="46" t="s">
        <v>106</v>
      </c>
      <c r="D200" s="123"/>
      <c r="E200" s="37"/>
      <c r="F200" s="40"/>
      <c r="G200" s="40"/>
      <c r="H200" s="40"/>
      <c r="I200" s="40"/>
      <c r="J200" s="107" t="str">
        <f t="shared" si="24"/>
        <v/>
      </c>
      <c r="K200" s="46"/>
    </row>
    <row r="201" ht="19.5" customHeight="1">
      <c r="A201" s="46">
        <f t="shared" si="25"/>
        <v>29</v>
      </c>
      <c r="B201" s="37" t="s">
        <v>312</v>
      </c>
      <c r="C201" s="46" t="s">
        <v>106</v>
      </c>
      <c r="D201" s="123"/>
      <c r="E201" s="37"/>
      <c r="F201" s="40"/>
      <c r="G201" s="40"/>
      <c r="H201" s="40"/>
      <c r="I201" s="40"/>
      <c r="J201" s="107" t="str">
        <f t="shared" si="24"/>
        <v/>
      </c>
      <c r="K201" s="46"/>
    </row>
    <row r="202" ht="19.5" customHeight="1">
      <c r="A202" s="46">
        <f t="shared" si="25"/>
        <v>30</v>
      </c>
      <c r="B202" s="37" t="s">
        <v>313</v>
      </c>
      <c r="C202" s="46" t="s">
        <v>106</v>
      </c>
      <c r="D202" s="123"/>
      <c r="E202" s="37"/>
      <c r="F202" s="40"/>
      <c r="G202" s="40"/>
      <c r="H202" s="40"/>
      <c r="I202" s="40"/>
      <c r="J202" s="107" t="str">
        <f t="shared" si="24"/>
        <v/>
      </c>
      <c r="K202" s="46"/>
    </row>
    <row r="203" ht="19.5" customHeight="1">
      <c r="A203" s="46">
        <f t="shared" si="25"/>
        <v>31</v>
      </c>
      <c r="B203" s="37" t="s">
        <v>314</v>
      </c>
      <c r="C203" s="46" t="s">
        <v>106</v>
      </c>
      <c r="D203" s="123"/>
      <c r="E203" s="37"/>
      <c r="F203" s="40"/>
      <c r="G203" s="40"/>
      <c r="H203" s="40"/>
      <c r="I203" s="40"/>
      <c r="J203" s="107" t="str">
        <f t="shared" si="24"/>
        <v/>
      </c>
      <c r="K203" s="46"/>
    </row>
    <row r="204" ht="19.5" customHeight="1">
      <c r="A204" s="46">
        <f t="shared" si="25"/>
        <v>32</v>
      </c>
      <c r="B204" s="37" t="s">
        <v>315</v>
      </c>
      <c r="C204" s="46" t="s">
        <v>106</v>
      </c>
      <c r="D204" s="123"/>
      <c r="E204" s="37"/>
      <c r="F204" s="40"/>
      <c r="G204" s="40"/>
      <c r="H204" s="40"/>
      <c r="I204" s="40"/>
      <c r="J204" s="107" t="str">
        <f t="shared" si="24"/>
        <v/>
      </c>
      <c r="K204" s="46"/>
    </row>
    <row r="205" ht="19.5" customHeight="1">
      <c r="A205" s="46">
        <f t="shared" si="25"/>
        <v>33</v>
      </c>
      <c r="B205" s="37" t="s">
        <v>316</v>
      </c>
      <c r="C205" s="46" t="s">
        <v>106</v>
      </c>
      <c r="D205" s="123"/>
      <c r="E205" s="37"/>
      <c r="F205" s="40"/>
      <c r="G205" s="40"/>
      <c r="H205" s="40"/>
      <c r="I205" s="40"/>
      <c r="J205" s="107" t="str">
        <f t="shared" si="24"/>
        <v/>
      </c>
      <c r="K205" s="46"/>
    </row>
    <row r="206" ht="19.5" customHeight="1">
      <c r="A206" s="46">
        <f t="shared" si="25"/>
        <v>34</v>
      </c>
      <c r="B206" s="37" t="s">
        <v>317</v>
      </c>
      <c r="C206" s="46" t="s">
        <v>106</v>
      </c>
      <c r="D206" s="123"/>
      <c r="E206" s="37"/>
      <c r="F206" s="40"/>
      <c r="G206" s="40"/>
      <c r="H206" s="40"/>
      <c r="I206" s="40"/>
      <c r="J206" s="107" t="str">
        <f t="shared" si="24"/>
        <v/>
      </c>
      <c r="K206" s="46"/>
    </row>
    <row r="207" ht="19.5" customHeight="1">
      <c r="A207" s="46">
        <f t="shared" si="25"/>
        <v>35</v>
      </c>
      <c r="B207" s="37" t="s">
        <v>318</v>
      </c>
      <c r="C207" s="46" t="s">
        <v>106</v>
      </c>
      <c r="D207" s="123"/>
      <c r="E207" s="37"/>
      <c r="F207" s="40"/>
      <c r="G207" s="40"/>
      <c r="H207" s="40"/>
      <c r="I207" s="40"/>
      <c r="J207" s="107" t="str">
        <f t="shared" si="24"/>
        <v/>
      </c>
      <c r="K207" s="46"/>
    </row>
    <row r="208" ht="19.5" customHeight="1">
      <c r="A208" s="46">
        <f t="shared" si="25"/>
        <v>36</v>
      </c>
      <c r="B208" s="37" t="s">
        <v>319</v>
      </c>
      <c r="C208" s="46" t="s">
        <v>106</v>
      </c>
      <c r="D208" s="123"/>
      <c r="E208" s="37"/>
      <c r="F208" s="40"/>
      <c r="G208" s="40"/>
      <c r="H208" s="40"/>
      <c r="I208" s="40"/>
      <c r="J208" s="107" t="str">
        <f t="shared" si="24"/>
        <v/>
      </c>
      <c r="K208" s="46"/>
    </row>
    <row r="209" ht="19.5" customHeight="1">
      <c r="A209" s="46">
        <f t="shared" si="25"/>
        <v>37</v>
      </c>
      <c r="B209" s="37" t="s">
        <v>320</v>
      </c>
      <c r="C209" s="46" t="s">
        <v>106</v>
      </c>
      <c r="D209" s="123"/>
      <c r="E209" s="37"/>
      <c r="F209" s="40"/>
      <c r="G209" s="40"/>
      <c r="H209" s="40"/>
      <c r="I209" s="40"/>
      <c r="J209" s="107" t="str">
        <f t="shared" si="24"/>
        <v/>
      </c>
      <c r="K209" s="46"/>
    </row>
    <row r="210" ht="19.5" customHeight="1">
      <c r="A210" s="46">
        <f t="shared" si="25"/>
        <v>38</v>
      </c>
      <c r="B210" s="37" t="s">
        <v>321</v>
      </c>
      <c r="C210" s="46" t="s">
        <v>106</v>
      </c>
      <c r="D210" s="123"/>
      <c r="E210" s="37"/>
      <c r="F210" s="40"/>
      <c r="G210" s="40"/>
      <c r="H210" s="40"/>
      <c r="I210" s="40"/>
      <c r="J210" s="107" t="str">
        <f t="shared" si="24"/>
        <v/>
      </c>
      <c r="K210" s="46"/>
    </row>
    <row r="211" ht="19.5" customHeight="1">
      <c r="A211" s="46">
        <f t="shared" si="25"/>
        <v>39</v>
      </c>
      <c r="B211" s="37" t="s">
        <v>322</v>
      </c>
      <c r="C211" s="46" t="s">
        <v>106</v>
      </c>
      <c r="D211" s="123"/>
      <c r="E211" s="37"/>
      <c r="F211" s="40"/>
      <c r="G211" s="40"/>
      <c r="H211" s="40"/>
      <c r="I211" s="40"/>
      <c r="J211" s="107" t="str">
        <f t="shared" si="24"/>
        <v/>
      </c>
      <c r="K211" s="46"/>
    </row>
    <row r="212" ht="19.5" customHeight="1">
      <c r="A212" s="46">
        <f t="shared" si="25"/>
        <v>40</v>
      </c>
      <c r="B212" s="37" t="s">
        <v>323</v>
      </c>
      <c r="C212" s="46" t="s">
        <v>108</v>
      </c>
      <c r="D212" s="123"/>
      <c r="E212" s="37"/>
      <c r="F212" s="40"/>
      <c r="G212" s="40"/>
      <c r="H212" s="40"/>
      <c r="I212" s="40"/>
      <c r="J212" s="107" t="str">
        <f t="shared" si="24"/>
        <v/>
      </c>
      <c r="K212" s="46"/>
    </row>
    <row r="213" ht="19.5" customHeight="1">
      <c r="A213" s="46">
        <f t="shared" si="25"/>
        <v>41</v>
      </c>
      <c r="B213" s="37" t="s">
        <v>324</v>
      </c>
      <c r="C213" s="46" t="s">
        <v>325</v>
      </c>
      <c r="D213" s="123"/>
      <c r="E213" s="37"/>
      <c r="F213" s="40"/>
      <c r="G213" s="40"/>
      <c r="H213" s="40"/>
      <c r="I213" s="40"/>
      <c r="J213" s="107" t="str">
        <f t="shared" si="24"/>
        <v/>
      </c>
      <c r="K213" s="46"/>
    </row>
    <row r="214" ht="19.5" customHeight="1">
      <c r="A214" s="12"/>
      <c r="C214" s="12"/>
      <c r="D214" s="87"/>
      <c r="F214" s="14"/>
      <c r="G214" s="14"/>
      <c r="H214" s="14"/>
      <c r="I214" s="14"/>
      <c r="J214" s="14"/>
      <c r="K214" s="12"/>
    </row>
    <row r="215" ht="19.5" customHeight="1">
      <c r="A215" s="74" t="s">
        <v>1</v>
      </c>
      <c r="B215" s="74" t="s">
        <v>91</v>
      </c>
      <c r="C215" s="74" t="s">
        <v>92</v>
      </c>
      <c r="D215" s="76" t="s">
        <v>93</v>
      </c>
      <c r="E215" s="50" t="s">
        <v>161</v>
      </c>
      <c r="F215" s="53" t="s">
        <v>121</v>
      </c>
      <c r="G215" s="53" t="s">
        <v>99</v>
      </c>
      <c r="H215" s="53" t="s">
        <v>100</v>
      </c>
      <c r="I215" s="53" t="s">
        <v>101</v>
      </c>
      <c r="J215" s="74" t="s">
        <v>95</v>
      </c>
      <c r="K215" s="74" t="s">
        <v>96</v>
      </c>
    </row>
    <row r="216" ht="19.5" customHeight="1">
      <c r="A216" s="46">
        <v>1.0</v>
      </c>
      <c r="B216" s="37" t="s">
        <v>326</v>
      </c>
      <c r="C216" s="46" t="s">
        <v>108</v>
      </c>
      <c r="D216" s="78"/>
      <c r="E216" s="37"/>
      <c r="F216" s="78"/>
      <c r="G216" s="40"/>
      <c r="H216" s="40"/>
      <c r="I216" s="42"/>
      <c r="J216" s="107" t="str">
        <f t="shared" ref="J216:J219" si="26">H216</f>
        <v/>
      </c>
      <c r="K216" s="46"/>
    </row>
    <row r="217" ht="19.5" customHeight="1">
      <c r="A217" s="46"/>
      <c r="B217" s="37" t="s">
        <v>327</v>
      </c>
      <c r="C217" s="46"/>
      <c r="D217" s="123"/>
      <c r="E217" s="37"/>
      <c r="F217" s="40"/>
      <c r="G217" s="40"/>
      <c r="H217" s="40"/>
      <c r="I217" s="40"/>
      <c r="J217" s="107" t="str">
        <f t="shared" si="26"/>
        <v/>
      </c>
      <c r="K217" s="46"/>
    </row>
    <row r="218" ht="19.5" customHeight="1">
      <c r="A218" s="46"/>
      <c r="B218" s="37" t="s">
        <v>379</v>
      </c>
      <c r="C218" s="46"/>
      <c r="D218" s="123"/>
      <c r="E218" s="37"/>
      <c r="F218" s="40"/>
      <c r="G218" s="40"/>
      <c r="H218" s="40"/>
      <c r="I218" s="40"/>
      <c r="J218" s="107" t="str">
        <f t="shared" si="26"/>
        <v/>
      </c>
      <c r="K218" s="46"/>
    </row>
    <row r="219" ht="19.5" customHeight="1">
      <c r="A219" s="46"/>
      <c r="B219" s="37" t="s">
        <v>330</v>
      </c>
      <c r="C219" s="46" t="s">
        <v>103</v>
      </c>
      <c r="D219" s="123"/>
      <c r="E219" s="37"/>
      <c r="F219" s="40"/>
      <c r="G219" s="40"/>
      <c r="H219" s="40"/>
      <c r="I219" s="40"/>
      <c r="J219" s="107" t="str">
        <f t="shared" si="26"/>
        <v/>
      </c>
      <c r="K219" s="46"/>
    </row>
    <row r="220" ht="19.5" customHeight="1">
      <c r="A220" s="12"/>
      <c r="C220" s="12"/>
      <c r="D220" s="87"/>
      <c r="F220" s="14"/>
      <c r="G220" s="14"/>
      <c r="H220" s="14"/>
      <c r="I220" s="14"/>
      <c r="J220" s="14"/>
      <c r="K220" s="12"/>
    </row>
    <row r="221" ht="19.5" customHeight="1">
      <c r="A221" s="74" t="s">
        <v>1</v>
      </c>
      <c r="B221" s="74" t="s">
        <v>91</v>
      </c>
      <c r="C221" s="74" t="s">
        <v>92</v>
      </c>
      <c r="D221" s="76" t="s">
        <v>93</v>
      </c>
      <c r="E221" s="50" t="s">
        <v>161</v>
      </c>
      <c r="F221" s="53" t="s">
        <v>121</v>
      </c>
      <c r="G221" s="53" t="s">
        <v>99</v>
      </c>
      <c r="H221" s="53" t="s">
        <v>100</v>
      </c>
      <c r="I221" s="53" t="s">
        <v>101</v>
      </c>
      <c r="J221" s="74" t="s">
        <v>95</v>
      </c>
      <c r="K221" s="74" t="s">
        <v>96</v>
      </c>
    </row>
    <row r="222" ht="19.5" customHeight="1">
      <c r="A222" s="36">
        <v>37118.0</v>
      </c>
      <c r="B222" s="49" t="s">
        <v>1773</v>
      </c>
      <c r="C222" s="38" t="s">
        <v>106</v>
      </c>
      <c r="D222" s="39">
        <v>8.0</v>
      </c>
      <c r="E222" s="49">
        <v>1.0</v>
      </c>
      <c r="F222" s="78"/>
      <c r="G222" s="40"/>
      <c r="H222" s="40">
        <f>D222*E222</f>
        <v>8</v>
      </c>
      <c r="I222" s="42"/>
      <c r="J222" s="64">
        <f>H222</f>
        <v>8</v>
      </c>
      <c r="K222" s="46"/>
    </row>
    <row r="223" ht="19.5" customHeight="1">
      <c r="A223" s="12"/>
      <c r="C223" s="12"/>
      <c r="D223" s="87"/>
      <c r="F223" s="14"/>
      <c r="G223" s="14"/>
      <c r="H223" s="14"/>
      <c r="I223" s="14"/>
      <c r="J223" s="14"/>
      <c r="K223" s="12"/>
    </row>
    <row r="224" ht="19.5" customHeight="1">
      <c r="A224" s="12"/>
      <c r="C224" s="12"/>
      <c r="D224" s="87"/>
      <c r="F224" s="14"/>
      <c r="G224" s="14"/>
      <c r="H224" s="14"/>
      <c r="I224" s="14"/>
      <c r="J224" s="14"/>
      <c r="K224" s="12"/>
    </row>
    <row r="225" ht="19.5" customHeight="1">
      <c r="A225" s="12"/>
      <c r="C225" s="12"/>
      <c r="D225" s="87"/>
      <c r="F225" s="14"/>
      <c r="G225" s="14"/>
      <c r="H225" s="14"/>
      <c r="I225" s="14"/>
      <c r="J225" s="14"/>
      <c r="K225" s="12"/>
    </row>
    <row r="226" ht="19.5" customHeight="1">
      <c r="A226" s="12"/>
      <c r="C226" s="12"/>
      <c r="D226" s="87"/>
      <c r="F226" s="14"/>
      <c r="G226" s="14"/>
      <c r="H226" s="14"/>
      <c r="I226" s="14"/>
      <c r="J226" s="14"/>
      <c r="K226" s="12"/>
    </row>
    <row r="227" ht="19.5" customHeight="1">
      <c r="A227" s="12"/>
      <c r="C227" s="12"/>
      <c r="D227" s="87"/>
      <c r="F227" s="14"/>
      <c r="G227" s="14"/>
      <c r="H227" s="14"/>
      <c r="I227" s="14"/>
      <c r="J227" s="14"/>
      <c r="K227" s="12"/>
    </row>
    <row r="228" ht="19.5" customHeight="1">
      <c r="A228" s="12"/>
      <c r="C228" s="12"/>
      <c r="D228" s="87"/>
      <c r="F228" s="14"/>
      <c r="G228" s="14"/>
      <c r="H228" s="14"/>
      <c r="I228" s="14"/>
      <c r="J228" s="14"/>
      <c r="K228" s="12"/>
    </row>
    <row r="229" ht="19.5" customHeight="1">
      <c r="A229" s="12"/>
      <c r="C229" s="12"/>
      <c r="D229" s="87"/>
      <c r="F229" s="14"/>
      <c r="G229" s="14"/>
      <c r="H229" s="14"/>
      <c r="I229" s="14"/>
      <c r="J229" s="14"/>
      <c r="K229" s="12"/>
    </row>
    <row r="230" ht="19.5" customHeight="1">
      <c r="A230" s="12"/>
      <c r="C230" s="12"/>
      <c r="D230" s="87"/>
      <c r="F230" s="14"/>
      <c r="G230" s="14"/>
      <c r="H230" s="14"/>
      <c r="I230" s="14"/>
      <c r="J230" s="14"/>
      <c r="K230" s="12"/>
    </row>
    <row r="231" ht="19.5" customHeight="1">
      <c r="A231" s="12"/>
      <c r="C231" s="12"/>
      <c r="D231" s="87"/>
      <c r="F231" s="14"/>
      <c r="G231" s="14"/>
      <c r="H231" s="14"/>
      <c r="I231" s="14"/>
      <c r="J231" s="14"/>
      <c r="K231" s="12"/>
    </row>
    <row r="232" ht="19.5" customHeight="1">
      <c r="A232" s="12"/>
      <c r="C232" s="12"/>
      <c r="D232" s="87"/>
      <c r="F232" s="14"/>
      <c r="G232" s="14"/>
      <c r="H232" s="14"/>
      <c r="I232" s="14"/>
      <c r="J232" s="14"/>
      <c r="K232" s="12"/>
    </row>
    <row r="233" ht="19.5" customHeight="1">
      <c r="A233" s="12"/>
      <c r="C233" s="12"/>
      <c r="D233" s="87"/>
      <c r="F233" s="14"/>
      <c r="G233" s="14"/>
      <c r="H233" s="14"/>
      <c r="I233" s="14"/>
      <c r="J233" s="14"/>
      <c r="K233" s="12"/>
    </row>
    <row r="234" ht="19.5" customHeight="1">
      <c r="A234" s="12"/>
      <c r="C234" s="12"/>
      <c r="D234" s="87"/>
      <c r="F234" s="14"/>
      <c r="G234" s="14"/>
      <c r="H234" s="14"/>
      <c r="I234" s="14"/>
      <c r="J234" s="14"/>
      <c r="K234" s="12"/>
    </row>
    <row r="235" ht="19.5" customHeight="1">
      <c r="A235" s="12"/>
      <c r="C235" s="12"/>
      <c r="D235" s="87"/>
      <c r="F235" s="14"/>
      <c r="G235" s="14"/>
      <c r="H235" s="14"/>
      <c r="I235" s="14"/>
      <c r="J235" s="14"/>
      <c r="K235" s="12"/>
    </row>
    <row r="236" ht="19.5" customHeight="1">
      <c r="A236" s="12"/>
      <c r="C236" s="12"/>
      <c r="D236" s="87"/>
      <c r="F236" s="14"/>
      <c r="G236" s="14"/>
      <c r="H236" s="14"/>
      <c r="I236" s="14"/>
      <c r="J236" s="14"/>
      <c r="K236" s="12"/>
    </row>
    <row r="237" ht="19.5" customHeight="1">
      <c r="A237" s="12"/>
      <c r="C237" s="12"/>
      <c r="D237" s="87"/>
      <c r="F237" s="14"/>
      <c r="G237" s="14"/>
      <c r="H237" s="14"/>
      <c r="I237" s="14"/>
      <c r="J237" s="14"/>
      <c r="K237" s="12"/>
    </row>
    <row r="238" ht="19.5" customHeight="1">
      <c r="A238" s="12"/>
      <c r="C238" s="12"/>
      <c r="D238" s="87"/>
      <c r="F238" s="14"/>
      <c r="G238" s="14"/>
      <c r="H238" s="14"/>
      <c r="I238" s="14"/>
      <c r="J238" s="14"/>
      <c r="K238" s="12"/>
    </row>
    <row r="239" ht="19.5" customHeight="1">
      <c r="A239" s="12"/>
      <c r="C239" s="12"/>
      <c r="D239" s="87"/>
      <c r="F239" s="14"/>
      <c r="G239" s="14"/>
      <c r="H239" s="14"/>
      <c r="I239" s="14"/>
      <c r="J239" s="14"/>
      <c r="K239" s="12"/>
    </row>
    <row r="240" ht="19.5" customHeight="1">
      <c r="A240" s="12"/>
      <c r="C240" s="12"/>
      <c r="D240" s="87"/>
      <c r="F240" s="14"/>
      <c r="G240" s="14"/>
      <c r="H240" s="14"/>
      <c r="I240" s="14"/>
      <c r="J240" s="14"/>
      <c r="K240" s="12"/>
    </row>
    <row r="241" ht="19.5" customHeight="1">
      <c r="A241" s="12"/>
      <c r="C241" s="12"/>
      <c r="D241" s="87"/>
      <c r="F241" s="14"/>
      <c r="G241" s="14"/>
      <c r="H241" s="14"/>
      <c r="I241" s="14"/>
      <c r="J241" s="14"/>
      <c r="K241" s="12"/>
    </row>
    <row r="242" ht="19.5" customHeight="1">
      <c r="A242" s="12"/>
      <c r="C242" s="12"/>
      <c r="D242" s="87"/>
      <c r="F242" s="14"/>
      <c r="G242" s="14"/>
      <c r="H242" s="14"/>
      <c r="I242" s="14"/>
      <c r="J242" s="14"/>
      <c r="K242" s="12"/>
    </row>
    <row r="243" ht="19.5" customHeight="1">
      <c r="A243" s="12"/>
      <c r="C243" s="12"/>
      <c r="D243" s="87"/>
      <c r="F243" s="14"/>
      <c r="G243" s="14"/>
      <c r="H243" s="14"/>
      <c r="I243" s="14"/>
      <c r="J243" s="14"/>
      <c r="K243" s="12"/>
    </row>
    <row r="244" ht="19.5" customHeight="1">
      <c r="A244" s="12"/>
      <c r="C244" s="12"/>
      <c r="D244" s="87"/>
      <c r="F244" s="14"/>
      <c r="G244" s="14"/>
      <c r="H244" s="14"/>
      <c r="I244" s="14"/>
      <c r="J244" s="14"/>
      <c r="K244" s="12"/>
    </row>
    <row r="245" ht="19.5" customHeight="1">
      <c r="A245" s="12"/>
      <c r="C245" s="12"/>
      <c r="D245" s="87"/>
      <c r="F245" s="14"/>
      <c r="G245" s="14"/>
      <c r="H245" s="14"/>
      <c r="I245" s="14"/>
      <c r="J245" s="14"/>
      <c r="K245" s="12"/>
    </row>
    <row r="246" ht="19.5" customHeight="1">
      <c r="A246" s="12"/>
      <c r="C246" s="12"/>
      <c r="D246" s="87"/>
      <c r="F246" s="14"/>
      <c r="G246" s="14"/>
      <c r="H246" s="14"/>
      <c r="I246" s="14"/>
      <c r="J246" s="14"/>
      <c r="K246" s="12"/>
    </row>
    <row r="247" ht="19.5" customHeight="1">
      <c r="A247" s="12"/>
      <c r="C247" s="12"/>
      <c r="D247" s="87"/>
      <c r="F247" s="14"/>
      <c r="G247" s="14"/>
      <c r="H247" s="14"/>
      <c r="I247" s="14"/>
      <c r="J247" s="14"/>
      <c r="K247" s="12"/>
    </row>
    <row r="248" ht="19.5" customHeight="1">
      <c r="A248" s="12"/>
      <c r="C248" s="12"/>
      <c r="D248" s="87"/>
      <c r="F248" s="14"/>
      <c r="G248" s="14"/>
      <c r="H248" s="14"/>
      <c r="I248" s="14"/>
      <c r="J248" s="14"/>
      <c r="K248" s="12"/>
    </row>
    <row r="249" ht="19.5" customHeight="1">
      <c r="A249" s="12"/>
      <c r="C249" s="12"/>
      <c r="D249" s="87"/>
      <c r="F249" s="14"/>
      <c r="G249" s="14"/>
      <c r="H249" s="14"/>
      <c r="I249" s="14"/>
      <c r="J249" s="14"/>
      <c r="K249" s="12"/>
    </row>
    <row r="250" ht="19.5" customHeight="1">
      <c r="A250" s="12"/>
      <c r="C250" s="12"/>
      <c r="D250" s="87"/>
      <c r="F250" s="14"/>
      <c r="G250" s="14"/>
      <c r="H250" s="14"/>
      <c r="I250" s="14"/>
      <c r="J250" s="14"/>
      <c r="K250" s="12"/>
    </row>
    <row r="251" ht="19.5" customHeight="1">
      <c r="A251" s="12"/>
      <c r="C251" s="12"/>
      <c r="D251" s="87"/>
      <c r="F251" s="14"/>
      <c r="G251" s="14"/>
      <c r="H251" s="14"/>
      <c r="I251" s="14"/>
      <c r="J251" s="14"/>
      <c r="K251" s="12"/>
    </row>
    <row r="252" ht="19.5" customHeight="1">
      <c r="A252" s="12"/>
      <c r="C252" s="12"/>
      <c r="D252" s="87"/>
      <c r="F252" s="14"/>
      <c r="G252" s="14"/>
      <c r="H252" s="14"/>
      <c r="I252" s="14"/>
      <c r="J252" s="14"/>
      <c r="K252" s="12"/>
    </row>
    <row r="253" ht="19.5" customHeight="1">
      <c r="A253" s="12"/>
      <c r="C253" s="12"/>
      <c r="D253" s="87"/>
      <c r="F253" s="14"/>
      <c r="G253" s="14"/>
      <c r="H253" s="14"/>
      <c r="I253" s="14"/>
      <c r="J253" s="14"/>
      <c r="K253" s="12"/>
    </row>
    <row r="254" ht="19.5" customHeight="1">
      <c r="A254" s="12"/>
      <c r="C254" s="12"/>
      <c r="D254" s="87"/>
      <c r="F254" s="14"/>
      <c r="G254" s="14"/>
      <c r="H254" s="14"/>
      <c r="I254" s="14"/>
      <c r="J254" s="14"/>
      <c r="K254" s="12"/>
    </row>
    <row r="255" ht="19.5" customHeight="1">
      <c r="A255" s="12"/>
      <c r="C255" s="12"/>
      <c r="D255" s="87"/>
      <c r="F255" s="14"/>
      <c r="G255" s="14"/>
      <c r="H255" s="14"/>
      <c r="I255" s="14"/>
      <c r="J255" s="14"/>
      <c r="K255" s="12"/>
    </row>
    <row r="256" ht="19.5" customHeight="1">
      <c r="A256" s="12"/>
      <c r="C256" s="12"/>
      <c r="D256" s="87"/>
      <c r="F256" s="14"/>
      <c r="G256" s="14"/>
      <c r="H256" s="14"/>
      <c r="I256" s="14"/>
      <c r="J256" s="14"/>
      <c r="K256" s="12"/>
    </row>
    <row r="257" ht="19.5" customHeight="1">
      <c r="A257" s="12"/>
      <c r="C257" s="12"/>
      <c r="D257" s="87"/>
      <c r="F257" s="14"/>
      <c r="G257" s="14"/>
      <c r="H257" s="14"/>
      <c r="I257" s="14"/>
      <c r="J257" s="14"/>
      <c r="K257" s="12"/>
    </row>
    <row r="258" ht="19.5" customHeight="1">
      <c r="A258" s="12"/>
      <c r="C258" s="12"/>
      <c r="D258" s="87"/>
      <c r="F258" s="14"/>
      <c r="G258" s="14"/>
      <c r="H258" s="14"/>
      <c r="I258" s="14"/>
      <c r="J258" s="14"/>
      <c r="K258" s="12"/>
    </row>
    <row r="259" ht="19.5" customHeight="1">
      <c r="A259" s="12"/>
      <c r="C259" s="12"/>
      <c r="D259" s="87"/>
      <c r="F259" s="14"/>
      <c r="G259" s="14"/>
      <c r="H259" s="14"/>
      <c r="I259" s="14"/>
      <c r="J259" s="14"/>
      <c r="K259" s="12"/>
    </row>
    <row r="260" ht="19.5" customHeight="1">
      <c r="A260" s="12"/>
      <c r="C260" s="12"/>
      <c r="D260" s="87"/>
      <c r="F260" s="14"/>
      <c r="G260" s="14"/>
      <c r="H260" s="14"/>
      <c r="I260" s="14"/>
      <c r="J260" s="14"/>
      <c r="K260" s="12"/>
    </row>
    <row r="261" ht="19.5" customHeight="1">
      <c r="A261" s="12"/>
      <c r="C261" s="12"/>
      <c r="D261" s="87"/>
      <c r="F261" s="14"/>
      <c r="G261" s="14"/>
      <c r="H261" s="14"/>
      <c r="I261" s="14"/>
      <c r="J261" s="14"/>
      <c r="K261" s="12"/>
    </row>
    <row r="262" ht="19.5" customHeight="1">
      <c r="A262" s="12"/>
      <c r="C262" s="12"/>
      <c r="D262" s="87"/>
      <c r="F262" s="14"/>
      <c r="G262" s="14"/>
      <c r="H262" s="14"/>
      <c r="I262" s="14"/>
      <c r="J262" s="14"/>
      <c r="K262" s="12"/>
    </row>
    <row r="263" ht="19.5" customHeight="1">
      <c r="A263" s="12"/>
      <c r="C263" s="12"/>
      <c r="D263" s="87"/>
      <c r="F263" s="14"/>
      <c r="G263" s="14"/>
      <c r="H263" s="14"/>
      <c r="I263" s="14"/>
      <c r="J263" s="14"/>
      <c r="K263" s="12"/>
    </row>
    <row r="264" ht="19.5" customHeight="1">
      <c r="A264" s="12"/>
      <c r="C264" s="12"/>
      <c r="D264" s="87"/>
      <c r="F264" s="14"/>
      <c r="G264" s="14"/>
      <c r="H264" s="14"/>
      <c r="I264" s="14"/>
      <c r="J264" s="14"/>
      <c r="K264" s="12"/>
    </row>
    <row r="265" ht="19.5" customHeight="1">
      <c r="A265" s="12"/>
      <c r="C265" s="12"/>
      <c r="D265" s="87"/>
      <c r="F265" s="14"/>
      <c r="G265" s="14"/>
      <c r="H265" s="14"/>
      <c r="I265" s="14"/>
      <c r="J265" s="14"/>
      <c r="K265" s="12"/>
    </row>
    <row r="266" ht="19.5" customHeight="1">
      <c r="A266" s="12"/>
      <c r="C266" s="12"/>
      <c r="D266" s="87"/>
      <c r="F266" s="14"/>
      <c r="G266" s="14"/>
      <c r="H266" s="14"/>
      <c r="I266" s="14"/>
      <c r="J266" s="14"/>
      <c r="K266" s="12"/>
    </row>
    <row r="267" ht="19.5" customHeight="1">
      <c r="A267" s="12"/>
      <c r="C267" s="12"/>
      <c r="D267" s="87"/>
      <c r="F267" s="14"/>
      <c r="G267" s="14"/>
      <c r="H267" s="14"/>
      <c r="I267" s="14"/>
      <c r="J267" s="14"/>
      <c r="K267" s="12"/>
    </row>
    <row r="268" ht="19.5" customHeight="1">
      <c r="A268" s="12"/>
      <c r="C268" s="12"/>
      <c r="D268" s="87"/>
      <c r="F268" s="14"/>
      <c r="G268" s="14"/>
      <c r="H268" s="14"/>
      <c r="I268" s="14"/>
      <c r="J268" s="14"/>
      <c r="K268" s="12"/>
    </row>
    <row r="269" ht="19.5" customHeight="1">
      <c r="A269" s="12"/>
      <c r="C269" s="12"/>
      <c r="D269" s="87"/>
      <c r="F269" s="14"/>
      <c r="G269" s="14"/>
      <c r="H269" s="14"/>
      <c r="I269" s="14"/>
      <c r="J269" s="14"/>
      <c r="K269" s="12"/>
    </row>
    <row r="270" ht="19.5" customHeight="1">
      <c r="A270" s="12"/>
      <c r="C270" s="12"/>
      <c r="D270" s="87"/>
      <c r="F270" s="14"/>
      <c r="G270" s="14"/>
      <c r="H270" s="14"/>
      <c r="I270" s="14"/>
      <c r="J270" s="14"/>
      <c r="K270" s="12"/>
    </row>
    <row r="271" ht="19.5" customHeight="1">
      <c r="A271" s="12"/>
      <c r="C271" s="12"/>
      <c r="D271" s="87"/>
      <c r="F271" s="14"/>
      <c r="G271" s="14"/>
      <c r="H271" s="14"/>
      <c r="I271" s="14"/>
      <c r="J271" s="14"/>
      <c r="K271" s="12"/>
    </row>
    <row r="272" ht="19.5" customHeight="1">
      <c r="A272" s="12"/>
      <c r="C272" s="12"/>
      <c r="D272" s="87"/>
      <c r="F272" s="14"/>
      <c r="G272" s="14"/>
      <c r="H272" s="14"/>
      <c r="I272" s="14"/>
      <c r="J272" s="14"/>
      <c r="K272" s="12"/>
    </row>
    <row r="273" ht="19.5" customHeight="1">
      <c r="A273" s="12"/>
      <c r="C273" s="12"/>
      <c r="D273" s="87"/>
      <c r="F273" s="14"/>
      <c r="G273" s="14"/>
      <c r="H273" s="14"/>
      <c r="I273" s="14"/>
      <c r="J273" s="14"/>
      <c r="K273" s="12"/>
    </row>
    <row r="274" ht="19.5" customHeight="1">
      <c r="A274" s="12"/>
      <c r="C274" s="12"/>
      <c r="D274" s="87"/>
      <c r="F274" s="14"/>
      <c r="G274" s="14"/>
      <c r="H274" s="14"/>
      <c r="I274" s="14"/>
      <c r="J274" s="14"/>
      <c r="K274" s="12"/>
    </row>
    <row r="275" ht="19.5" customHeight="1">
      <c r="A275" s="12"/>
      <c r="C275" s="12"/>
      <c r="D275" s="87"/>
      <c r="F275" s="14"/>
      <c r="G275" s="14"/>
      <c r="H275" s="14"/>
      <c r="I275" s="14"/>
      <c r="J275" s="14"/>
      <c r="K275" s="12"/>
    </row>
    <row r="276" ht="19.5" customHeight="1">
      <c r="A276" s="12"/>
      <c r="C276" s="12"/>
      <c r="D276" s="87"/>
      <c r="F276" s="14"/>
      <c r="G276" s="14"/>
      <c r="H276" s="14"/>
      <c r="I276" s="14"/>
      <c r="J276" s="14"/>
      <c r="K276" s="12"/>
    </row>
    <row r="277" ht="19.5" customHeight="1">
      <c r="A277" s="12"/>
      <c r="C277" s="12"/>
      <c r="D277" s="87"/>
      <c r="F277" s="14"/>
      <c r="G277" s="14"/>
      <c r="H277" s="14"/>
      <c r="I277" s="14"/>
      <c r="J277" s="14"/>
      <c r="K277" s="12"/>
    </row>
    <row r="278" ht="19.5" customHeight="1">
      <c r="A278" s="12"/>
      <c r="C278" s="12"/>
      <c r="D278" s="87"/>
      <c r="F278" s="14"/>
      <c r="G278" s="14"/>
      <c r="H278" s="14"/>
      <c r="I278" s="14"/>
      <c r="J278" s="14"/>
      <c r="K278" s="12"/>
    </row>
    <row r="279" ht="19.5" customHeight="1">
      <c r="A279" s="12"/>
      <c r="C279" s="12"/>
      <c r="D279" s="87"/>
      <c r="F279" s="14"/>
      <c r="G279" s="14"/>
      <c r="H279" s="14"/>
      <c r="I279" s="14"/>
      <c r="J279" s="14"/>
      <c r="K279" s="12"/>
    </row>
    <row r="280" ht="19.5" customHeight="1">
      <c r="A280" s="12"/>
      <c r="C280" s="12"/>
      <c r="D280" s="87"/>
      <c r="F280" s="14"/>
      <c r="G280" s="14"/>
      <c r="H280" s="14"/>
      <c r="I280" s="14"/>
      <c r="J280" s="14"/>
      <c r="K280" s="12"/>
    </row>
    <row r="281" ht="19.5" customHeight="1">
      <c r="A281" s="12"/>
      <c r="C281" s="12"/>
      <c r="D281" s="87"/>
      <c r="F281" s="14"/>
      <c r="G281" s="14"/>
      <c r="H281" s="14"/>
      <c r="I281" s="14"/>
      <c r="J281" s="14"/>
      <c r="K281" s="12"/>
    </row>
    <row r="282" ht="19.5" customHeight="1">
      <c r="A282" s="12"/>
      <c r="C282" s="12"/>
      <c r="D282" s="87"/>
      <c r="F282" s="14"/>
      <c r="G282" s="14"/>
      <c r="H282" s="14"/>
      <c r="I282" s="14"/>
      <c r="J282" s="14"/>
      <c r="K282" s="12"/>
    </row>
    <row r="283" ht="19.5" customHeight="1">
      <c r="A283" s="12"/>
      <c r="C283" s="12"/>
      <c r="D283" s="87"/>
      <c r="F283" s="14"/>
      <c r="G283" s="14"/>
      <c r="H283" s="14"/>
      <c r="I283" s="14"/>
      <c r="J283" s="14"/>
      <c r="K283" s="12"/>
    </row>
    <row r="284" ht="19.5" customHeight="1">
      <c r="A284" s="12"/>
      <c r="C284" s="12"/>
      <c r="D284" s="87"/>
      <c r="F284" s="14"/>
      <c r="G284" s="14"/>
      <c r="H284" s="14"/>
      <c r="I284" s="14"/>
      <c r="J284" s="14"/>
      <c r="K284" s="12"/>
    </row>
    <row r="285" ht="19.5" customHeight="1">
      <c r="A285" s="12"/>
      <c r="C285" s="12"/>
      <c r="D285" s="87"/>
      <c r="F285" s="14"/>
      <c r="G285" s="14"/>
      <c r="H285" s="14"/>
      <c r="I285" s="14"/>
      <c r="J285" s="14"/>
      <c r="K285" s="12"/>
    </row>
    <row r="286" ht="19.5" customHeight="1">
      <c r="A286" s="12"/>
      <c r="C286" s="12"/>
      <c r="D286" s="87"/>
      <c r="F286" s="14"/>
      <c r="G286" s="14"/>
      <c r="H286" s="14"/>
      <c r="I286" s="14"/>
      <c r="J286" s="14"/>
      <c r="K286" s="12"/>
    </row>
    <row r="287" ht="19.5" customHeight="1">
      <c r="A287" s="12"/>
      <c r="C287" s="12"/>
      <c r="D287" s="87"/>
      <c r="F287" s="14"/>
      <c r="G287" s="14"/>
      <c r="H287" s="14"/>
      <c r="I287" s="14"/>
      <c r="J287" s="14"/>
      <c r="K287" s="12"/>
    </row>
    <row r="288" ht="19.5" customHeight="1">
      <c r="A288" s="12"/>
      <c r="C288" s="12"/>
      <c r="D288" s="87"/>
      <c r="F288" s="14"/>
      <c r="G288" s="14"/>
      <c r="H288" s="14"/>
      <c r="I288" s="14"/>
      <c r="J288" s="14"/>
      <c r="K288" s="12"/>
    </row>
    <row r="289" ht="19.5" customHeight="1">
      <c r="A289" s="12"/>
      <c r="C289" s="12"/>
      <c r="D289" s="87"/>
      <c r="F289" s="14"/>
      <c r="G289" s="14"/>
      <c r="H289" s="14"/>
      <c r="I289" s="14"/>
      <c r="J289" s="14"/>
      <c r="K289" s="12"/>
    </row>
    <row r="290" ht="19.5" customHeight="1">
      <c r="A290" s="12"/>
      <c r="C290" s="12"/>
      <c r="D290" s="87"/>
      <c r="F290" s="14"/>
      <c r="G290" s="14"/>
      <c r="H290" s="14"/>
      <c r="I290" s="14"/>
      <c r="J290" s="14"/>
      <c r="K290" s="12"/>
    </row>
    <row r="291" ht="19.5" customHeight="1">
      <c r="A291" s="12"/>
      <c r="C291" s="12"/>
      <c r="D291" s="87"/>
      <c r="F291" s="14"/>
      <c r="G291" s="14"/>
      <c r="H291" s="14"/>
      <c r="I291" s="14"/>
      <c r="J291" s="14"/>
      <c r="K291" s="12"/>
    </row>
    <row r="292" ht="19.5" customHeight="1">
      <c r="A292" s="12"/>
      <c r="C292" s="12"/>
      <c r="D292" s="87"/>
      <c r="F292" s="14"/>
      <c r="G292" s="14"/>
      <c r="H292" s="14"/>
      <c r="I292" s="14"/>
      <c r="J292" s="14"/>
      <c r="K292" s="12"/>
    </row>
    <row r="293" ht="19.5" customHeight="1">
      <c r="A293" s="12"/>
      <c r="C293" s="12"/>
      <c r="D293" s="87"/>
      <c r="F293" s="14"/>
      <c r="G293" s="14"/>
      <c r="H293" s="14"/>
      <c r="I293" s="14"/>
      <c r="J293" s="14"/>
      <c r="K293" s="12"/>
    </row>
    <row r="294" ht="19.5" customHeight="1">
      <c r="A294" s="12"/>
      <c r="C294" s="12"/>
      <c r="D294" s="87"/>
      <c r="F294" s="14"/>
      <c r="G294" s="14"/>
      <c r="H294" s="14"/>
      <c r="I294" s="14"/>
      <c r="J294" s="14"/>
      <c r="K294" s="12"/>
    </row>
    <row r="295" ht="19.5" customHeight="1">
      <c r="A295" s="12"/>
      <c r="C295" s="12"/>
      <c r="D295" s="87"/>
      <c r="F295" s="14"/>
      <c r="G295" s="14"/>
      <c r="H295" s="14"/>
      <c r="I295" s="14"/>
      <c r="J295" s="14"/>
      <c r="K295" s="12"/>
    </row>
    <row r="296" ht="19.5" customHeight="1">
      <c r="A296" s="12"/>
      <c r="C296" s="12"/>
      <c r="D296" s="87"/>
      <c r="F296" s="14"/>
      <c r="G296" s="14"/>
      <c r="H296" s="14"/>
      <c r="I296" s="14"/>
      <c r="J296" s="14"/>
      <c r="K296" s="12"/>
    </row>
    <row r="297" ht="19.5" customHeight="1">
      <c r="A297" s="12"/>
      <c r="C297" s="12"/>
      <c r="D297" s="87"/>
      <c r="F297" s="14"/>
      <c r="G297" s="14"/>
      <c r="H297" s="14"/>
      <c r="I297" s="14"/>
      <c r="J297" s="14"/>
      <c r="K297" s="12"/>
    </row>
    <row r="298" ht="19.5" customHeight="1">
      <c r="A298" s="12"/>
      <c r="C298" s="12"/>
      <c r="D298" s="87"/>
      <c r="F298" s="14"/>
      <c r="G298" s="14"/>
      <c r="H298" s="14"/>
      <c r="I298" s="14"/>
      <c r="J298" s="14"/>
      <c r="K298" s="12"/>
    </row>
    <row r="299" ht="19.5" customHeight="1">
      <c r="A299" s="12"/>
      <c r="C299" s="12"/>
      <c r="D299" s="87"/>
      <c r="F299" s="14"/>
      <c r="G299" s="14"/>
      <c r="H299" s="14"/>
      <c r="I299" s="14"/>
      <c r="J299" s="14"/>
      <c r="K299" s="12"/>
    </row>
    <row r="300" ht="19.5" customHeight="1">
      <c r="A300" s="12"/>
      <c r="C300" s="12"/>
      <c r="D300" s="87"/>
      <c r="F300" s="14"/>
      <c r="G300" s="14"/>
      <c r="H300" s="14"/>
      <c r="I300" s="14"/>
      <c r="J300" s="14"/>
      <c r="K300" s="12"/>
    </row>
    <row r="301" ht="19.5" customHeight="1">
      <c r="A301" s="12"/>
      <c r="C301" s="12"/>
      <c r="D301" s="87"/>
      <c r="F301" s="14"/>
      <c r="G301" s="14"/>
      <c r="H301" s="14"/>
      <c r="I301" s="14"/>
      <c r="J301" s="14"/>
      <c r="K301" s="12"/>
    </row>
    <row r="302" ht="19.5" customHeight="1">
      <c r="A302" s="12"/>
      <c r="C302" s="12"/>
      <c r="D302" s="87"/>
      <c r="F302" s="14"/>
      <c r="G302" s="14"/>
      <c r="H302" s="14"/>
      <c r="I302" s="14"/>
      <c r="J302" s="14"/>
      <c r="K302" s="12"/>
    </row>
    <row r="303" ht="19.5" customHeight="1">
      <c r="A303" s="12"/>
      <c r="C303" s="12"/>
      <c r="D303" s="87"/>
      <c r="F303" s="14"/>
      <c r="G303" s="14"/>
      <c r="H303" s="14"/>
      <c r="I303" s="14"/>
      <c r="J303" s="14"/>
      <c r="K303" s="12"/>
    </row>
    <row r="304" ht="19.5" customHeight="1">
      <c r="A304" s="12"/>
      <c r="C304" s="12"/>
      <c r="D304" s="87"/>
      <c r="F304" s="14"/>
      <c r="G304" s="14"/>
      <c r="H304" s="14"/>
      <c r="I304" s="14"/>
      <c r="J304" s="14"/>
      <c r="K304" s="12"/>
    </row>
    <row r="305" ht="19.5" customHeight="1">
      <c r="A305" s="12"/>
      <c r="C305" s="12"/>
      <c r="D305" s="87"/>
      <c r="F305" s="14"/>
      <c r="G305" s="14"/>
      <c r="H305" s="14"/>
      <c r="I305" s="14"/>
      <c r="J305" s="14"/>
      <c r="K305" s="12"/>
    </row>
    <row r="306" ht="19.5" customHeight="1">
      <c r="A306" s="12"/>
      <c r="C306" s="12"/>
      <c r="D306" s="87"/>
      <c r="F306" s="14"/>
      <c r="G306" s="14"/>
      <c r="H306" s="14"/>
      <c r="I306" s="14"/>
      <c r="J306" s="14"/>
      <c r="K306" s="12"/>
    </row>
    <row r="307" ht="19.5" customHeight="1">
      <c r="A307" s="12"/>
      <c r="C307" s="12"/>
      <c r="D307" s="87"/>
      <c r="F307" s="14"/>
      <c r="G307" s="14"/>
      <c r="H307" s="14"/>
      <c r="I307" s="14"/>
      <c r="J307" s="14"/>
      <c r="K307" s="12"/>
    </row>
    <row r="308" ht="19.5" customHeight="1">
      <c r="A308" s="12"/>
      <c r="C308" s="12"/>
      <c r="D308" s="87"/>
      <c r="F308" s="14"/>
      <c r="G308" s="14"/>
      <c r="H308" s="14"/>
      <c r="I308" s="14"/>
      <c r="J308" s="14"/>
      <c r="K308" s="12"/>
    </row>
    <row r="309" ht="19.5" customHeight="1">
      <c r="A309" s="12"/>
      <c r="C309" s="12"/>
      <c r="D309" s="87"/>
      <c r="F309" s="14"/>
      <c r="G309" s="14"/>
      <c r="H309" s="14"/>
      <c r="I309" s="14"/>
      <c r="J309" s="14"/>
      <c r="K309" s="12"/>
    </row>
    <row r="310" ht="19.5" customHeight="1">
      <c r="A310" s="12"/>
      <c r="C310" s="12"/>
      <c r="D310" s="87"/>
      <c r="F310" s="14"/>
      <c r="G310" s="14"/>
      <c r="H310" s="14"/>
      <c r="I310" s="14"/>
      <c r="J310" s="14"/>
      <c r="K310" s="12"/>
    </row>
    <row r="311" ht="19.5" customHeight="1">
      <c r="A311" s="12"/>
      <c r="C311" s="12"/>
      <c r="D311" s="87"/>
      <c r="F311" s="14"/>
      <c r="G311" s="14"/>
      <c r="H311" s="14"/>
      <c r="I311" s="14"/>
      <c r="J311" s="14"/>
      <c r="K311" s="12"/>
    </row>
    <row r="312" ht="19.5" customHeight="1">
      <c r="A312" s="12"/>
      <c r="C312" s="12"/>
      <c r="D312" s="87"/>
      <c r="F312" s="14"/>
      <c r="G312" s="14"/>
      <c r="H312" s="14"/>
      <c r="I312" s="14"/>
      <c r="J312" s="14"/>
      <c r="K312" s="12"/>
    </row>
    <row r="313" ht="19.5" customHeight="1">
      <c r="A313" s="12"/>
      <c r="C313" s="12"/>
      <c r="D313" s="87"/>
      <c r="F313" s="14"/>
      <c r="G313" s="14"/>
      <c r="H313" s="14"/>
      <c r="I313" s="14"/>
      <c r="J313" s="14"/>
      <c r="K313" s="12"/>
    </row>
    <row r="314" ht="19.5" customHeight="1">
      <c r="A314" s="12"/>
      <c r="C314" s="12"/>
      <c r="D314" s="87"/>
      <c r="F314" s="14"/>
      <c r="G314" s="14"/>
      <c r="H314" s="14"/>
      <c r="I314" s="14"/>
      <c r="J314" s="14"/>
      <c r="K314" s="12"/>
    </row>
    <row r="315" ht="19.5" customHeight="1">
      <c r="A315" s="12"/>
      <c r="C315" s="12"/>
      <c r="D315" s="87"/>
      <c r="F315" s="14"/>
      <c r="G315" s="14"/>
      <c r="H315" s="14"/>
      <c r="I315" s="14"/>
      <c r="J315" s="14"/>
      <c r="K315" s="12"/>
    </row>
    <row r="316" ht="19.5" customHeight="1">
      <c r="A316" s="12"/>
      <c r="C316" s="12"/>
      <c r="D316" s="87"/>
      <c r="F316" s="14"/>
      <c r="G316" s="14"/>
      <c r="H316" s="14"/>
      <c r="I316" s="14"/>
      <c r="J316" s="14"/>
      <c r="K316" s="12"/>
    </row>
    <row r="317" ht="19.5" customHeight="1">
      <c r="A317" s="12"/>
      <c r="C317" s="12"/>
      <c r="D317" s="87"/>
      <c r="F317" s="14"/>
      <c r="G317" s="14"/>
      <c r="H317" s="14"/>
      <c r="I317" s="14"/>
      <c r="J317" s="14"/>
      <c r="K317" s="12"/>
    </row>
    <row r="318" ht="19.5" customHeight="1">
      <c r="A318" s="12"/>
      <c r="C318" s="12"/>
      <c r="D318" s="87"/>
      <c r="F318" s="14"/>
      <c r="G318" s="14"/>
      <c r="H318" s="14"/>
      <c r="I318" s="14"/>
      <c r="J318" s="14"/>
      <c r="K318" s="12"/>
    </row>
    <row r="319" ht="19.5" customHeight="1">
      <c r="A319" s="12"/>
      <c r="C319" s="12"/>
      <c r="D319" s="87"/>
      <c r="F319" s="14"/>
      <c r="G319" s="14"/>
      <c r="H319" s="14"/>
      <c r="I319" s="14"/>
      <c r="J319" s="14"/>
      <c r="K319" s="12"/>
    </row>
    <row r="320" ht="19.5" customHeight="1">
      <c r="A320" s="12"/>
      <c r="C320" s="12"/>
      <c r="D320" s="87"/>
      <c r="F320" s="14"/>
      <c r="G320" s="14"/>
      <c r="H320" s="14"/>
      <c r="I320" s="14"/>
      <c r="J320" s="14"/>
      <c r="K320" s="12"/>
    </row>
    <row r="321" ht="19.5" customHeight="1">
      <c r="A321" s="12"/>
      <c r="C321" s="12"/>
      <c r="D321" s="87"/>
      <c r="F321" s="14"/>
      <c r="G321" s="14"/>
      <c r="H321" s="14"/>
      <c r="I321" s="14"/>
      <c r="J321" s="14"/>
      <c r="K321" s="12"/>
    </row>
    <row r="322" ht="19.5" customHeight="1">
      <c r="A322" s="12"/>
      <c r="C322" s="12"/>
      <c r="D322" s="87"/>
      <c r="F322" s="14"/>
      <c r="G322" s="14"/>
      <c r="H322" s="14"/>
      <c r="I322" s="14"/>
      <c r="J322" s="14"/>
      <c r="K322" s="12"/>
    </row>
    <row r="323" ht="19.5" customHeight="1">
      <c r="A323" s="12"/>
      <c r="C323" s="12"/>
      <c r="D323" s="87"/>
      <c r="F323" s="14"/>
      <c r="G323" s="14"/>
      <c r="H323" s="14"/>
      <c r="I323" s="14"/>
      <c r="J323" s="14"/>
      <c r="K323" s="12"/>
    </row>
    <row r="324" ht="19.5" customHeight="1">
      <c r="A324" s="12"/>
      <c r="C324" s="12"/>
      <c r="D324" s="87"/>
      <c r="F324" s="14"/>
      <c r="G324" s="14"/>
      <c r="H324" s="14"/>
      <c r="I324" s="14"/>
      <c r="J324" s="14"/>
      <c r="K324" s="12"/>
    </row>
    <row r="325" ht="19.5" customHeight="1">
      <c r="A325" s="12"/>
      <c r="C325" s="12"/>
      <c r="D325" s="87"/>
      <c r="F325" s="14"/>
      <c r="G325" s="14"/>
      <c r="H325" s="14"/>
      <c r="I325" s="14"/>
      <c r="J325" s="14"/>
      <c r="K325" s="12"/>
    </row>
    <row r="326" ht="19.5" customHeight="1">
      <c r="A326" s="12"/>
      <c r="C326" s="12"/>
      <c r="D326" s="87"/>
      <c r="F326" s="14"/>
      <c r="G326" s="14"/>
      <c r="H326" s="14"/>
      <c r="I326" s="14"/>
      <c r="J326" s="14"/>
      <c r="K326" s="12"/>
    </row>
    <row r="327" ht="19.5" customHeight="1">
      <c r="A327" s="12"/>
      <c r="C327" s="12"/>
      <c r="D327" s="87"/>
      <c r="F327" s="14"/>
      <c r="G327" s="14"/>
      <c r="H327" s="14"/>
      <c r="I327" s="14"/>
      <c r="J327" s="14"/>
      <c r="K327" s="12"/>
    </row>
    <row r="328" ht="19.5" customHeight="1">
      <c r="A328" s="12"/>
      <c r="C328" s="12"/>
      <c r="D328" s="87"/>
      <c r="F328" s="14"/>
      <c r="G328" s="14"/>
      <c r="H328" s="14"/>
      <c r="I328" s="14"/>
      <c r="J328" s="14"/>
      <c r="K328" s="12"/>
    </row>
    <row r="329" ht="19.5" customHeight="1">
      <c r="A329" s="12"/>
      <c r="C329" s="12"/>
      <c r="D329" s="87"/>
      <c r="F329" s="14"/>
      <c r="G329" s="14"/>
      <c r="H329" s="14"/>
      <c r="I329" s="14"/>
      <c r="J329" s="14"/>
      <c r="K329" s="12"/>
    </row>
    <row r="330" ht="19.5" customHeight="1">
      <c r="A330" s="12"/>
      <c r="C330" s="12"/>
      <c r="D330" s="87"/>
      <c r="F330" s="14"/>
      <c r="G330" s="14"/>
      <c r="H330" s="14"/>
      <c r="I330" s="14"/>
      <c r="J330" s="14"/>
      <c r="K330" s="12"/>
    </row>
    <row r="331" ht="19.5" customHeight="1">
      <c r="A331" s="12"/>
      <c r="C331" s="12"/>
      <c r="D331" s="87"/>
      <c r="F331" s="14"/>
      <c r="G331" s="14"/>
      <c r="H331" s="14"/>
      <c r="I331" s="14"/>
      <c r="J331" s="14"/>
      <c r="K331" s="12"/>
    </row>
    <row r="332" ht="19.5" customHeight="1">
      <c r="A332" s="12"/>
      <c r="C332" s="12"/>
      <c r="D332" s="87"/>
      <c r="F332" s="14"/>
      <c r="G332" s="14"/>
      <c r="H332" s="14"/>
      <c r="I332" s="14"/>
      <c r="J332" s="14"/>
      <c r="K332" s="12"/>
    </row>
    <row r="333" ht="19.5" customHeight="1">
      <c r="A333" s="12"/>
      <c r="C333" s="12"/>
      <c r="D333" s="87"/>
      <c r="F333" s="14"/>
      <c r="G333" s="14"/>
      <c r="H333" s="14"/>
      <c r="I333" s="14"/>
      <c r="J333" s="14"/>
      <c r="K333" s="12"/>
    </row>
    <row r="334" ht="19.5" customHeight="1">
      <c r="A334" s="12"/>
      <c r="C334" s="12"/>
      <c r="D334" s="87"/>
      <c r="F334" s="14"/>
      <c r="G334" s="14"/>
      <c r="H334" s="14"/>
      <c r="I334" s="14"/>
      <c r="J334" s="14"/>
      <c r="K334" s="12"/>
    </row>
    <row r="335" ht="19.5" customHeight="1">
      <c r="A335" s="12"/>
      <c r="C335" s="12"/>
      <c r="D335" s="87"/>
      <c r="F335" s="14"/>
      <c r="G335" s="14"/>
      <c r="H335" s="14"/>
      <c r="I335" s="14"/>
      <c r="J335" s="14"/>
      <c r="K335" s="12"/>
    </row>
    <row r="336" ht="19.5" customHeight="1">
      <c r="A336" s="12"/>
      <c r="C336" s="12"/>
      <c r="D336" s="87"/>
      <c r="F336" s="14"/>
      <c r="G336" s="14"/>
      <c r="H336" s="14"/>
      <c r="I336" s="14"/>
      <c r="J336" s="14"/>
      <c r="K336" s="12"/>
    </row>
    <row r="337" ht="19.5" customHeight="1">
      <c r="A337" s="12"/>
      <c r="C337" s="12"/>
      <c r="D337" s="87"/>
      <c r="F337" s="14"/>
      <c r="G337" s="14"/>
      <c r="H337" s="14"/>
      <c r="I337" s="14"/>
      <c r="J337" s="14"/>
      <c r="K337" s="12"/>
    </row>
    <row r="338" ht="19.5" customHeight="1">
      <c r="A338" s="12"/>
      <c r="C338" s="12"/>
      <c r="D338" s="87"/>
      <c r="F338" s="14"/>
      <c r="G338" s="14"/>
      <c r="H338" s="14"/>
      <c r="I338" s="14"/>
      <c r="J338" s="14"/>
      <c r="K338" s="12"/>
    </row>
    <row r="339" ht="19.5" customHeight="1">
      <c r="A339" s="12"/>
      <c r="C339" s="12"/>
      <c r="D339" s="87"/>
      <c r="F339" s="14"/>
      <c r="G339" s="14"/>
      <c r="H339" s="14"/>
      <c r="I339" s="14"/>
      <c r="J339" s="14"/>
      <c r="K339" s="12"/>
    </row>
    <row r="340" ht="19.5" customHeight="1">
      <c r="A340" s="12"/>
      <c r="C340" s="12"/>
      <c r="D340" s="87"/>
      <c r="F340" s="14"/>
      <c r="G340" s="14"/>
      <c r="H340" s="14"/>
      <c r="I340" s="14"/>
      <c r="J340" s="14"/>
      <c r="K340" s="12"/>
    </row>
    <row r="341" ht="19.5" customHeight="1">
      <c r="A341" s="12"/>
      <c r="C341" s="12"/>
      <c r="D341" s="87"/>
      <c r="F341" s="14"/>
      <c r="G341" s="14"/>
      <c r="H341" s="14"/>
      <c r="I341" s="14"/>
      <c r="J341" s="14"/>
      <c r="K341" s="12"/>
    </row>
    <row r="342" ht="19.5" customHeight="1">
      <c r="A342" s="12"/>
      <c r="C342" s="12"/>
      <c r="D342" s="87"/>
      <c r="F342" s="14"/>
      <c r="G342" s="14"/>
      <c r="H342" s="14"/>
      <c r="I342" s="14"/>
      <c r="J342" s="14"/>
      <c r="K342" s="12"/>
    </row>
    <row r="343" ht="19.5" customHeight="1">
      <c r="A343" s="12"/>
      <c r="C343" s="12"/>
      <c r="D343" s="87"/>
      <c r="F343" s="14"/>
      <c r="G343" s="14"/>
      <c r="H343" s="14"/>
      <c r="I343" s="14"/>
      <c r="J343" s="14"/>
      <c r="K343" s="12"/>
    </row>
    <row r="344" ht="19.5" customHeight="1">
      <c r="A344" s="12"/>
      <c r="C344" s="12"/>
      <c r="D344" s="87"/>
      <c r="F344" s="14"/>
      <c r="G344" s="14"/>
      <c r="H344" s="14"/>
      <c r="I344" s="14"/>
      <c r="J344" s="14"/>
      <c r="K344" s="12"/>
    </row>
    <row r="345" ht="19.5" customHeight="1">
      <c r="A345" s="12"/>
      <c r="C345" s="12"/>
      <c r="D345" s="87"/>
      <c r="F345" s="14"/>
      <c r="G345" s="14"/>
      <c r="H345" s="14"/>
      <c r="I345" s="14"/>
      <c r="J345" s="14"/>
      <c r="K345" s="12"/>
    </row>
    <row r="346" ht="19.5" customHeight="1">
      <c r="A346" s="12"/>
      <c r="C346" s="12"/>
      <c r="D346" s="87"/>
      <c r="F346" s="14"/>
      <c r="G346" s="14"/>
      <c r="H346" s="14"/>
      <c r="I346" s="14"/>
      <c r="J346" s="14"/>
      <c r="K346" s="12"/>
    </row>
    <row r="347" ht="19.5" customHeight="1">
      <c r="A347" s="12"/>
      <c r="C347" s="12"/>
      <c r="D347" s="87"/>
      <c r="F347" s="14"/>
      <c r="G347" s="14"/>
      <c r="H347" s="14"/>
      <c r="I347" s="14"/>
      <c r="J347" s="14"/>
      <c r="K347" s="12"/>
    </row>
    <row r="348" ht="19.5" customHeight="1">
      <c r="A348" s="12"/>
      <c r="C348" s="12"/>
      <c r="D348" s="87"/>
      <c r="F348" s="14"/>
      <c r="G348" s="14"/>
      <c r="H348" s="14"/>
      <c r="I348" s="14"/>
      <c r="J348" s="14"/>
      <c r="K348" s="12"/>
    </row>
    <row r="349" ht="19.5" customHeight="1">
      <c r="A349" s="12"/>
      <c r="C349" s="12"/>
      <c r="D349" s="87"/>
      <c r="F349" s="14"/>
      <c r="G349" s="14"/>
      <c r="H349" s="14"/>
      <c r="I349" s="14"/>
      <c r="J349" s="14"/>
      <c r="K349" s="12"/>
    </row>
    <row r="350" ht="19.5" customHeight="1">
      <c r="A350" s="12"/>
      <c r="C350" s="12"/>
      <c r="D350" s="87"/>
      <c r="F350" s="14"/>
      <c r="G350" s="14"/>
      <c r="H350" s="14"/>
      <c r="I350" s="14"/>
      <c r="J350" s="14"/>
      <c r="K350" s="12"/>
    </row>
    <row r="351" ht="19.5" customHeight="1">
      <c r="A351" s="12"/>
      <c r="C351" s="12"/>
      <c r="D351" s="87"/>
      <c r="F351" s="14"/>
      <c r="G351" s="14"/>
      <c r="H351" s="14"/>
      <c r="I351" s="14"/>
      <c r="J351" s="14"/>
      <c r="K351" s="12"/>
    </row>
    <row r="352" ht="19.5" customHeight="1">
      <c r="A352" s="12"/>
      <c r="C352" s="12"/>
      <c r="D352" s="87"/>
      <c r="F352" s="14"/>
      <c r="G352" s="14"/>
      <c r="H352" s="14"/>
      <c r="I352" s="14"/>
      <c r="J352" s="14"/>
      <c r="K352" s="12"/>
    </row>
    <row r="353" ht="19.5" customHeight="1">
      <c r="A353" s="12"/>
      <c r="C353" s="12"/>
      <c r="D353" s="87"/>
      <c r="F353" s="14"/>
      <c r="G353" s="14"/>
      <c r="H353" s="14"/>
      <c r="I353" s="14"/>
      <c r="J353" s="14"/>
      <c r="K353" s="12"/>
    </row>
    <row r="354" ht="19.5" customHeight="1">
      <c r="A354" s="12"/>
      <c r="C354" s="12"/>
      <c r="D354" s="87"/>
      <c r="F354" s="14"/>
      <c r="G354" s="14"/>
      <c r="H354" s="14"/>
      <c r="I354" s="14"/>
      <c r="J354" s="14"/>
      <c r="K354" s="12"/>
    </row>
    <row r="355" ht="19.5" customHeight="1">
      <c r="A355" s="12"/>
      <c r="C355" s="12"/>
      <c r="D355" s="87"/>
      <c r="F355" s="14"/>
      <c r="G355" s="14"/>
      <c r="H355" s="14"/>
      <c r="I355" s="14"/>
      <c r="J355" s="14"/>
      <c r="K355" s="12"/>
    </row>
    <row r="356" ht="19.5" customHeight="1">
      <c r="A356" s="12"/>
      <c r="C356" s="12"/>
      <c r="D356" s="87"/>
      <c r="F356" s="14"/>
      <c r="G356" s="14"/>
      <c r="H356" s="14"/>
      <c r="I356" s="14"/>
      <c r="J356" s="14"/>
      <c r="K356" s="12"/>
    </row>
    <row r="357" ht="19.5" customHeight="1">
      <c r="A357" s="12"/>
      <c r="C357" s="12"/>
      <c r="D357" s="87"/>
      <c r="F357" s="14"/>
      <c r="G357" s="14"/>
      <c r="H357" s="14"/>
      <c r="I357" s="14"/>
      <c r="J357" s="14"/>
      <c r="K357" s="12"/>
    </row>
    <row r="358" ht="19.5" customHeight="1">
      <c r="A358" s="12"/>
      <c r="C358" s="12"/>
      <c r="D358" s="87"/>
      <c r="F358" s="14"/>
      <c r="G358" s="14"/>
      <c r="H358" s="14"/>
      <c r="I358" s="14"/>
      <c r="J358" s="14"/>
      <c r="K358" s="12"/>
    </row>
    <row r="359" ht="19.5" customHeight="1">
      <c r="A359" s="12"/>
      <c r="C359" s="12"/>
      <c r="D359" s="87"/>
      <c r="F359" s="14"/>
      <c r="G359" s="14"/>
      <c r="H359" s="14"/>
      <c r="I359" s="14"/>
      <c r="J359" s="14"/>
      <c r="K359" s="12"/>
    </row>
    <row r="360" ht="19.5" customHeight="1">
      <c r="A360" s="12"/>
      <c r="C360" s="12"/>
      <c r="D360" s="87"/>
      <c r="F360" s="14"/>
      <c r="G360" s="14"/>
      <c r="H360" s="14"/>
      <c r="I360" s="14"/>
      <c r="J360" s="14"/>
      <c r="K360" s="12"/>
    </row>
    <row r="361" ht="19.5" customHeight="1">
      <c r="A361" s="12"/>
      <c r="C361" s="12"/>
      <c r="D361" s="87"/>
      <c r="F361" s="14"/>
      <c r="G361" s="14"/>
      <c r="H361" s="14"/>
      <c r="I361" s="14"/>
      <c r="J361" s="14"/>
      <c r="K361" s="12"/>
    </row>
    <row r="362" ht="19.5" customHeight="1">
      <c r="A362" s="12"/>
      <c r="C362" s="12"/>
      <c r="D362" s="87"/>
      <c r="F362" s="14"/>
      <c r="G362" s="14"/>
      <c r="H362" s="14"/>
      <c r="I362" s="14"/>
      <c r="J362" s="14"/>
      <c r="K362" s="12"/>
    </row>
    <row r="363" ht="19.5" customHeight="1">
      <c r="A363" s="12"/>
      <c r="C363" s="12"/>
      <c r="D363" s="87"/>
      <c r="F363" s="14"/>
      <c r="G363" s="14"/>
      <c r="H363" s="14"/>
      <c r="I363" s="14"/>
      <c r="J363" s="14"/>
      <c r="K363" s="12"/>
    </row>
    <row r="364" ht="19.5" customHeight="1">
      <c r="A364" s="12"/>
      <c r="C364" s="12"/>
      <c r="D364" s="87"/>
      <c r="F364" s="14"/>
      <c r="G364" s="14"/>
      <c r="H364" s="14"/>
      <c r="I364" s="14"/>
      <c r="J364" s="14"/>
      <c r="K364" s="12"/>
    </row>
    <row r="365" ht="19.5" customHeight="1">
      <c r="A365" s="12"/>
      <c r="C365" s="12"/>
      <c r="D365" s="87"/>
      <c r="F365" s="14"/>
      <c r="G365" s="14"/>
      <c r="H365" s="14"/>
      <c r="I365" s="14"/>
      <c r="J365" s="14"/>
      <c r="K365" s="12"/>
    </row>
    <row r="366" ht="19.5" customHeight="1">
      <c r="A366" s="12"/>
      <c r="C366" s="12"/>
      <c r="D366" s="87"/>
      <c r="F366" s="14"/>
      <c r="G366" s="14"/>
      <c r="H366" s="14"/>
      <c r="I366" s="14"/>
      <c r="J366" s="14"/>
      <c r="K366" s="12"/>
    </row>
    <row r="367" ht="19.5" customHeight="1">
      <c r="A367" s="12"/>
      <c r="C367" s="12"/>
      <c r="D367" s="87"/>
      <c r="F367" s="14"/>
      <c r="G367" s="14"/>
      <c r="H367" s="14"/>
      <c r="I367" s="14"/>
      <c r="J367" s="14"/>
      <c r="K367" s="12"/>
    </row>
    <row r="368" ht="19.5" customHeight="1">
      <c r="A368" s="12"/>
      <c r="C368" s="12"/>
      <c r="D368" s="87"/>
      <c r="F368" s="14"/>
      <c r="G368" s="14"/>
      <c r="H368" s="14"/>
      <c r="I368" s="14"/>
      <c r="J368" s="14"/>
      <c r="K368" s="12"/>
    </row>
    <row r="369" ht="19.5" customHeight="1">
      <c r="A369" s="12"/>
      <c r="C369" s="12"/>
      <c r="D369" s="87"/>
      <c r="F369" s="14"/>
      <c r="G369" s="14"/>
      <c r="H369" s="14"/>
      <c r="I369" s="14"/>
      <c r="J369" s="14"/>
      <c r="K369" s="12"/>
    </row>
    <row r="370" ht="19.5" customHeight="1">
      <c r="A370" s="12"/>
      <c r="C370" s="12"/>
      <c r="D370" s="87"/>
      <c r="F370" s="14"/>
      <c r="G370" s="14"/>
      <c r="H370" s="14"/>
      <c r="I370" s="14"/>
      <c r="J370" s="14"/>
      <c r="K370" s="12"/>
    </row>
    <row r="371" ht="19.5" customHeight="1">
      <c r="A371" s="12"/>
      <c r="C371" s="12"/>
      <c r="D371" s="87"/>
      <c r="F371" s="14"/>
      <c r="G371" s="14"/>
      <c r="H371" s="14"/>
      <c r="I371" s="14"/>
      <c r="J371" s="14"/>
      <c r="K371" s="12"/>
    </row>
    <row r="372" ht="19.5" customHeight="1">
      <c r="A372" s="12"/>
      <c r="C372" s="12"/>
      <c r="D372" s="87"/>
      <c r="F372" s="14"/>
      <c r="G372" s="14"/>
      <c r="H372" s="14"/>
      <c r="I372" s="14"/>
      <c r="J372" s="14"/>
      <c r="K372" s="12"/>
    </row>
    <row r="373" ht="19.5" customHeight="1">
      <c r="A373" s="12"/>
      <c r="C373" s="12"/>
      <c r="D373" s="87"/>
      <c r="F373" s="14"/>
      <c r="G373" s="14"/>
      <c r="H373" s="14"/>
      <c r="I373" s="14"/>
      <c r="J373" s="14"/>
      <c r="K373" s="12"/>
    </row>
    <row r="374" ht="19.5" customHeight="1">
      <c r="A374" s="12"/>
      <c r="C374" s="12"/>
      <c r="D374" s="87"/>
      <c r="F374" s="14"/>
      <c r="G374" s="14"/>
      <c r="H374" s="14"/>
      <c r="I374" s="14"/>
      <c r="J374" s="14"/>
      <c r="K374" s="12"/>
    </row>
    <row r="375" ht="19.5" customHeight="1">
      <c r="A375" s="12"/>
      <c r="C375" s="12"/>
      <c r="D375" s="87"/>
      <c r="F375" s="14"/>
      <c r="G375" s="14"/>
      <c r="H375" s="14"/>
      <c r="I375" s="14"/>
      <c r="J375" s="14"/>
      <c r="K375" s="12"/>
    </row>
    <row r="376" ht="19.5" customHeight="1">
      <c r="A376" s="12"/>
      <c r="C376" s="12"/>
      <c r="D376" s="87"/>
      <c r="F376" s="14"/>
      <c r="G376" s="14"/>
      <c r="H376" s="14"/>
      <c r="I376" s="14"/>
      <c r="J376" s="14"/>
      <c r="K376" s="12"/>
    </row>
    <row r="377" ht="19.5" customHeight="1">
      <c r="A377" s="12"/>
      <c r="C377" s="12"/>
      <c r="D377" s="87"/>
      <c r="F377" s="14"/>
      <c r="G377" s="14"/>
      <c r="H377" s="14"/>
      <c r="I377" s="14"/>
      <c r="J377" s="14"/>
      <c r="K377" s="12"/>
    </row>
    <row r="378" ht="19.5" customHeight="1">
      <c r="A378" s="12"/>
      <c r="C378" s="12"/>
      <c r="D378" s="87"/>
      <c r="F378" s="14"/>
      <c r="G378" s="14"/>
      <c r="H378" s="14"/>
      <c r="I378" s="14"/>
      <c r="J378" s="14"/>
      <c r="K378" s="12"/>
    </row>
    <row r="379" ht="19.5" customHeight="1">
      <c r="A379" s="12"/>
      <c r="C379" s="12"/>
      <c r="D379" s="87"/>
      <c r="F379" s="14"/>
      <c r="G379" s="14"/>
      <c r="H379" s="14"/>
      <c r="I379" s="14"/>
      <c r="J379" s="14"/>
      <c r="K379" s="12"/>
    </row>
    <row r="380" ht="19.5" customHeight="1">
      <c r="A380" s="12"/>
      <c r="C380" s="12"/>
      <c r="D380" s="87"/>
      <c r="F380" s="14"/>
      <c r="G380" s="14"/>
      <c r="H380" s="14"/>
      <c r="I380" s="14"/>
      <c r="J380" s="14"/>
      <c r="K380" s="12"/>
    </row>
    <row r="381" ht="19.5" customHeight="1">
      <c r="A381" s="12"/>
      <c r="C381" s="12"/>
      <c r="D381" s="87"/>
      <c r="F381" s="14"/>
      <c r="G381" s="14"/>
      <c r="H381" s="14"/>
      <c r="I381" s="14"/>
      <c r="J381" s="14"/>
      <c r="K381" s="12"/>
    </row>
    <row r="382" ht="19.5" customHeight="1">
      <c r="A382" s="12"/>
      <c r="C382" s="12"/>
      <c r="D382" s="87"/>
      <c r="F382" s="14"/>
      <c r="G382" s="14"/>
      <c r="H382" s="14"/>
      <c r="I382" s="14"/>
      <c r="J382" s="14"/>
      <c r="K382" s="12"/>
    </row>
    <row r="383" ht="19.5" customHeight="1">
      <c r="A383" s="12"/>
      <c r="C383" s="12"/>
      <c r="D383" s="87"/>
      <c r="F383" s="14"/>
      <c r="G383" s="14"/>
      <c r="H383" s="14"/>
      <c r="I383" s="14"/>
      <c r="J383" s="14"/>
      <c r="K383" s="12"/>
    </row>
    <row r="384" ht="19.5" customHeight="1">
      <c r="A384" s="12"/>
      <c r="C384" s="12"/>
      <c r="D384" s="87"/>
      <c r="F384" s="14"/>
      <c r="G384" s="14"/>
      <c r="H384" s="14"/>
      <c r="I384" s="14"/>
      <c r="J384" s="14"/>
      <c r="K384" s="12"/>
    </row>
    <row r="385" ht="19.5" customHeight="1">
      <c r="A385" s="12"/>
      <c r="C385" s="12"/>
      <c r="D385" s="87"/>
      <c r="F385" s="14"/>
      <c r="G385" s="14"/>
      <c r="H385" s="14"/>
      <c r="I385" s="14"/>
      <c r="J385" s="14"/>
      <c r="K385" s="12"/>
    </row>
    <row r="386" ht="19.5" customHeight="1">
      <c r="A386" s="12"/>
      <c r="C386" s="12"/>
      <c r="D386" s="87"/>
      <c r="F386" s="14"/>
      <c r="G386" s="14"/>
      <c r="H386" s="14"/>
      <c r="I386" s="14"/>
      <c r="J386" s="14"/>
      <c r="K386" s="12"/>
    </row>
    <row r="387" ht="19.5" customHeight="1">
      <c r="A387" s="12"/>
      <c r="C387" s="12"/>
      <c r="D387" s="87"/>
      <c r="F387" s="14"/>
      <c r="G387" s="14"/>
      <c r="H387" s="14"/>
      <c r="I387" s="14"/>
      <c r="J387" s="14"/>
      <c r="K387" s="12"/>
    </row>
    <row r="388" ht="19.5" customHeight="1">
      <c r="A388" s="12"/>
      <c r="C388" s="12"/>
      <c r="D388" s="87"/>
      <c r="F388" s="14"/>
      <c r="G388" s="14"/>
      <c r="H388" s="14"/>
      <c r="I388" s="14"/>
      <c r="J388" s="14"/>
      <c r="K388" s="12"/>
    </row>
    <row r="389" ht="19.5" customHeight="1">
      <c r="A389" s="12"/>
      <c r="C389" s="12"/>
      <c r="D389" s="87"/>
      <c r="F389" s="14"/>
      <c r="G389" s="14"/>
      <c r="H389" s="14"/>
      <c r="I389" s="14"/>
      <c r="J389" s="14"/>
      <c r="K389" s="12"/>
    </row>
    <row r="390" ht="19.5" customHeight="1">
      <c r="A390" s="12"/>
      <c r="C390" s="12"/>
      <c r="D390" s="87"/>
      <c r="F390" s="14"/>
      <c r="G390" s="14"/>
      <c r="H390" s="14"/>
      <c r="I390" s="14"/>
      <c r="J390" s="14"/>
      <c r="K390" s="12"/>
    </row>
    <row r="391" ht="19.5" customHeight="1">
      <c r="A391" s="12"/>
      <c r="C391" s="12"/>
      <c r="D391" s="87"/>
      <c r="F391" s="14"/>
      <c r="G391" s="14"/>
      <c r="H391" s="14"/>
      <c r="I391" s="14"/>
      <c r="J391" s="14"/>
      <c r="K391" s="12"/>
    </row>
    <row r="392" ht="19.5" customHeight="1">
      <c r="A392" s="12"/>
      <c r="C392" s="12"/>
      <c r="D392" s="87"/>
      <c r="F392" s="14"/>
      <c r="G392" s="14"/>
      <c r="H392" s="14"/>
      <c r="I392" s="14"/>
      <c r="J392" s="14"/>
      <c r="K392" s="12"/>
    </row>
    <row r="393" ht="19.5" customHeight="1">
      <c r="A393" s="12"/>
      <c r="C393" s="12"/>
      <c r="D393" s="87"/>
      <c r="F393" s="14"/>
      <c r="G393" s="14"/>
      <c r="H393" s="14"/>
      <c r="I393" s="14"/>
      <c r="J393" s="14"/>
      <c r="K393" s="12"/>
    </row>
    <row r="394" ht="19.5" customHeight="1">
      <c r="A394" s="12"/>
      <c r="C394" s="12"/>
      <c r="D394" s="87"/>
      <c r="F394" s="14"/>
      <c r="G394" s="14"/>
      <c r="H394" s="14"/>
      <c r="I394" s="14"/>
      <c r="J394" s="14"/>
      <c r="K394" s="12"/>
    </row>
    <row r="395" ht="19.5" customHeight="1">
      <c r="A395" s="12"/>
      <c r="C395" s="12"/>
      <c r="D395" s="87"/>
      <c r="F395" s="14"/>
      <c r="G395" s="14"/>
      <c r="H395" s="14"/>
      <c r="I395" s="14"/>
      <c r="J395" s="14"/>
      <c r="K395" s="12"/>
    </row>
    <row r="396" ht="19.5" customHeight="1">
      <c r="A396" s="12"/>
      <c r="C396" s="12"/>
      <c r="D396" s="87"/>
      <c r="F396" s="14"/>
      <c r="G396" s="14"/>
      <c r="H396" s="14"/>
      <c r="I396" s="14"/>
      <c r="J396" s="14"/>
      <c r="K396" s="12"/>
    </row>
    <row r="397" ht="19.5" customHeight="1">
      <c r="A397" s="12"/>
      <c r="C397" s="12"/>
      <c r="D397" s="87"/>
      <c r="F397" s="14"/>
      <c r="G397" s="14"/>
      <c r="H397" s="14"/>
      <c r="I397" s="14"/>
      <c r="J397" s="14"/>
      <c r="K397" s="12"/>
    </row>
    <row r="398" ht="19.5" customHeight="1">
      <c r="A398" s="12"/>
      <c r="C398" s="12"/>
      <c r="D398" s="87"/>
      <c r="F398" s="14"/>
      <c r="G398" s="14"/>
      <c r="H398" s="14"/>
      <c r="I398" s="14"/>
      <c r="J398" s="14"/>
      <c r="K398" s="12"/>
    </row>
    <row r="399" ht="19.5" customHeight="1">
      <c r="A399" s="12"/>
      <c r="C399" s="12"/>
      <c r="D399" s="87"/>
      <c r="F399" s="14"/>
      <c r="G399" s="14"/>
      <c r="H399" s="14"/>
      <c r="I399" s="14"/>
      <c r="J399" s="14"/>
      <c r="K399" s="12"/>
    </row>
    <row r="400" ht="19.5" customHeight="1">
      <c r="A400" s="12"/>
      <c r="C400" s="12"/>
      <c r="D400" s="87"/>
      <c r="F400" s="14"/>
      <c r="G400" s="14"/>
      <c r="H400" s="14"/>
      <c r="I400" s="14"/>
      <c r="J400" s="14"/>
      <c r="K400" s="12"/>
    </row>
    <row r="401" ht="19.5" customHeight="1">
      <c r="A401" s="12"/>
      <c r="C401" s="12"/>
      <c r="D401" s="87"/>
      <c r="F401" s="14"/>
      <c r="G401" s="14"/>
      <c r="H401" s="14"/>
      <c r="I401" s="14"/>
      <c r="J401" s="14"/>
      <c r="K401" s="12"/>
    </row>
    <row r="402" ht="19.5" customHeight="1">
      <c r="A402" s="12"/>
      <c r="C402" s="12"/>
      <c r="D402" s="87"/>
      <c r="F402" s="14"/>
      <c r="G402" s="14"/>
      <c r="H402" s="14"/>
      <c r="I402" s="14"/>
      <c r="J402" s="14"/>
      <c r="K402" s="12"/>
    </row>
    <row r="403" ht="19.5" customHeight="1">
      <c r="A403" s="12"/>
      <c r="C403" s="12"/>
      <c r="D403" s="87"/>
      <c r="F403" s="14"/>
      <c r="G403" s="14"/>
      <c r="H403" s="14"/>
      <c r="I403" s="14"/>
      <c r="J403" s="14"/>
      <c r="K403" s="12"/>
    </row>
    <row r="404" ht="19.5" customHeight="1">
      <c r="A404" s="12"/>
      <c r="C404" s="12"/>
      <c r="D404" s="87"/>
      <c r="F404" s="14"/>
      <c r="G404" s="14"/>
      <c r="H404" s="14"/>
      <c r="I404" s="14"/>
      <c r="J404" s="14"/>
      <c r="K404" s="12"/>
    </row>
    <row r="405" ht="19.5" customHeight="1">
      <c r="A405" s="12"/>
      <c r="C405" s="12"/>
      <c r="D405" s="87"/>
      <c r="F405" s="14"/>
      <c r="G405" s="14"/>
      <c r="H405" s="14"/>
      <c r="I405" s="14"/>
      <c r="J405" s="14"/>
      <c r="K405" s="12"/>
    </row>
    <row r="406" ht="19.5" customHeight="1">
      <c r="A406" s="12"/>
      <c r="C406" s="12"/>
      <c r="D406" s="87"/>
      <c r="F406" s="14"/>
      <c r="G406" s="14"/>
      <c r="H406" s="14"/>
      <c r="I406" s="14"/>
      <c r="J406" s="14"/>
      <c r="K406" s="12"/>
    </row>
    <row r="407" ht="19.5" customHeight="1">
      <c r="A407" s="12"/>
      <c r="C407" s="12"/>
      <c r="D407" s="87"/>
      <c r="F407" s="14"/>
      <c r="G407" s="14"/>
      <c r="H407" s="14"/>
      <c r="I407" s="14"/>
      <c r="J407" s="14"/>
      <c r="K407" s="12"/>
    </row>
    <row r="408" ht="19.5" customHeight="1">
      <c r="A408" s="12"/>
      <c r="C408" s="12"/>
      <c r="D408" s="87"/>
      <c r="F408" s="14"/>
      <c r="G408" s="14"/>
      <c r="H408" s="14"/>
      <c r="I408" s="14"/>
      <c r="J408" s="14"/>
      <c r="K408" s="12"/>
    </row>
    <row r="409" ht="19.5" customHeight="1">
      <c r="A409" s="12"/>
      <c r="C409" s="12"/>
      <c r="D409" s="87"/>
      <c r="F409" s="14"/>
      <c r="G409" s="14"/>
      <c r="H409" s="14"/>
      <c r="I409" s="14"/>
      <c r="J409" s="14"/>
      <c r="K409" s="12"/>
    </row>
    <row r="410" ht="19.5" customHeight="1">
      <c r="A410" s="12"/>
      <c r="C410" s="12"/>
      <c r="D410" s="87"/>
      <c r="F410" s="14"/>
      <c r="G410" s="14"/>
      <c r="H410" s="14"/>
      <c r="I410" s="14"/>
      <c r="J410" s="14"/>
      <c r="K410" s="12"/>
    </row>
    <row r="411" ht="19.5" customHeight="1">
      <c r="A411" s="12"/>
      <c r="C411" s="12"/>
      <c r="D411" s="87"/>
      <c r="F411" s="14"/>
      <c r="G411" s="14"/>
      <c r="H411" s="14"/>
      <c r="I411" s="14"/>
      <c r="J411" s="14"/>
      <c r="K411" s="12"/>
    </row>
    <row r="412" ht="19.5" customHeight="1">
      <c r="A412" s="12"/>
      <c r="C412" s="12"/>
      <c r="D412" s="87"/>
      <c r="F412" s="14"/>
      <c r="G412" s="14"/>
      <c r="H412" s="14"/>
      <c r="I412" s="14"/>
      <c r="J412" s="14"/>
      <c r="K412" s="12"/>
    </row>
    <row r="413" ht="19.5" customHeight="1">
      <c r="A413" s="12"/>
      <c r="C413" s="12"/>
      <c r="D413" s="87"/>
      <c r="F413" s="14"/>
      <c r="G413" s="14"/>
      <c r="H413" s="14"/>
      <c r="I413" s="14"/>
      <c r="J413" s="14"/>
      <c r="K413" s="12"/>
    </row>
    <row r="414" ht="19.5" customHeight="1">
      <c r="A414" s="12"/>
      <c r="C414" s="12"/>
      <c r="D414" s="87"/>
      <c r="F414" s="14"/>
      <c r="G414" s="14"/>
      <c r="H414" s="14"/>
      <c r="I414" s="14"/>
      <c r="J414" s="14"/>
      <c r="K414" s="12"/>
    </row>
    <row r="415" ht="19.5" customHeight="1">
      <c r="A415" s="12"/>
      <c r="C415" s="12"/>
      <c r="D415" s="87"/>
      <c r="F415" s="14"/>
      <c r="G415" s="14"/>
      <c r="H415" s="14"/>
      <c r="I415" s="14"/>
      <c r="J415" s="14"/>
      <c r="K415" s="12"/>
    </row>
    <row r="416" ht="19.5" customHeight="1">
      <c r="A416" s="12"/>
      <c r="C416" s="12"/>
      <c r="D416" s="87"/>
      <c r="F416" s="14"/>
      <c r="G416" s="14"/>
      <c r="H416" s="14"/>
      <c r="I416" s="14"/>
      <c r="J416" s="14"/>
      <c r="K416" s="12"/>
    </row>
    <row r="417" ht="19.5" customHeight="1">
      <c r="A417" s="12"/>
      <c r="C417" s="12"/>
      <c r="D417" s="87"/>
      <c r="F417" s="14"/>
      <c r="G417" s="14"/>
      <c r="H417" s="14"/>
      <c r="I417" s="14"/>
      <c r="J417" s="14"/>
      <c r="K417" s="12"/>
    </row>
    <row r="418" ht="19.5" customHeight="1">
      <c r="A418" s="12"/>
      <c r="C418" s="12"/>
      <c r="D418" s="87"/>
      <c r="F418" s="14"/>
      <c r="G418" s="14"/>
      <c r="H418" s="14"/>
      <c r="I418" s="14"/>
      <c r="J418" s="14"/>
      <c r="K418" s="12"/>
    </row>
    <row r="419" ht="19.5" customHeight="1">
      <c r="A419" s="12"/>
      <c r="C419" s="12"/>
      <c r="D419" s="87"/>
      <c r="F419" s="14"/>
      <c r="G419" s="14"/>
      <c r="H419" s="14"/>
      <c r="I419" s="14"/>
      <c r="J419" s="14"/>
      <c r="K419" s="12"/>
    </row>
    <row r="420" ht="19.5" customHeight="1">
      <c r="A420" s="12"/>
      <c r="C420" s="12"/>
      <c r="D420" s="87"/>
      <c r="F420" s="14"/>
      <c r="G420" s="14"/>
      <c r="H420" s="14"/>
      <c r="I420" s="14"/>
      <c r="J420" s="14"/>
      <c r="K420" s="12"/>
    </row>
    <row r="421" ht="19.5" customHeight="1">
      <c r="A421" s="12"/>
      <c r="C421" s="12"/>
      <c r="D421" s="87"/>
      <c r="F421" s="14"/>
      <c r="G421" s="14"/>
      <c r="H421" s="14"/>
      <c r="I421" s="14"/>
      <c r="J421" s="14"/>
      <c r="K421" s="12"/>
    </row>
    <row r="422" ht="19.5" customHeight="1">
      <c r="A422" s="12"/>
      <c r="C422" s="12"/>
      <c r="D422" s="87"/>
      <c r="F422" s="14"/>
      <c r="G422" s="14"/>
      <c r="H422" s="14"/>
      <c r="I422" s="14"/>
      <c r="J422" s="14"/>
      <c r="K422" s="12"/>
    </row>
    <row r="423" ht="19.5" customHeight="1">
      <c r="A423" s="12"/>
      <c r="C423" s="12"/>
      <c r="D423" s="87"/>
      <c r="F423" s="14"/>
      <c r="G423" s="14"/>
      <c r="H423" s="14"/>
      <c r="I423" s="14"/>
      <c r="J423" s="14"/>
      <c r="K423" s="12"/>
    </row>
    <row r="424" ht="19.5" customHeight="1">
      <c r="A424" s="12"/>
      <c r="C424" s="12"/>
      <c r="D424" s="87"/>
      <c r="F424" s="14"/>
      <c r="G424" s="14"/>
      <c r="H424" s="14"/>
      <c r="I424" s="14"/>
      <c r="J424" s="14"/>
      <c r="K424" s="12"/>
    </row>
    <row r="425" ht="19.5" customHeight="1">
      <c r="A425" s="12"/>
      <c r="C425" s="12"/>
      <c r="D425" s="87"/>
      <c r="F425" s="14"/>
      <c r="G425" s="14"/>
      <c r="H425" s="14"/>
      <c r="I425" s="14"/>
      <c r="J425" s="14"/>
      <c r="K425" s="12"/>
    </row>
    <row r="426" ht="19.5" customHeight="1">
      <c r="A426" s="12"/>
      <c r="C426" s="12"/>
      <c r="D426" s="87"/>
      <c r="F426" s="14"/>
      <c r="G426" s="14"/>
      <c r="H426" s="14"/>
      <c r="I426" s="14"/>
      <c r="J426" s="14"/>
      <c r="K426" s="12"/>
    </row>
    <row r="427" ht="19.5" customHeight="1">
      <c r="A427" s="12"/>
      <c r="C427" s="12"/>
      <c r="D427" s="87"/>
      <c r="F427" s="14"/>
      <c r="G427" s="14"/>
      <c r="H427" s="14"/>
      <c r="I427" s="14"/>
      <c r="J427" s="14"/>
      <c r="K427" s="12"/>
    </row>
    <row r="428" ht="19.5" customHeight="1">
      <c r="A428" s="12"/>
      <c r="C428" s="12"/>
      <c r="D428" s="87"/>
      <c r="F428" s="14"/>
      <c r="G428" s="14"/>
      <c r="H428" s="14"/>
      <c r="I428" s="14"/>
      <c r="J428" s="14"/>
      <c r="K428" s="12"/>
    </row>
    <row r="429" ht="19.5" customHeight="1">
      <c r="A429" s="12"/>
      <c r="C429" s="12"/>
      <c r="D429" s="87"/>
      <c r="F429" s="14"/>
      <c r="G429" s="14"/>
      <c r="H429" s="14"/>
      <c r="I429" s="14"/>
      <c r="J429" s="14"/>
      <c r="K429" s="12"/>
    </row>
    <row r="430" ht="19.5" customHeight="1">
      <c r="A430" s="12"/>
      <c r="C430" s="12"/>
      <c r="D430" s="87"/>
      <c r="F430" s="14"/>
      <c r="G430" s="14"/>
      <c r="H430" s="14"/>
      <c r="I430" s="14"/>
      <c r="J430" s="14"/>
      <c r="K430" s="12"/>
    </row>
    <row r="431" ht="19.5" customHeight="1">
      <c r="A431" s="12"/>
      <c r="C431" s="12"/>
      <c r="D431" s="87"/>
      <c r="F431" s="14"/>
      <c r="G431" s="14"/>
      <c r="H431" s="14"/>
      <c r="I431" s="14"/>
      <c r="J431" s="14"/>
      <c r="K431" s="12"/>
    </row>
    <row r="432" ht="19.5" customHeight="1">
      <c r="A432" s="12"/>
      <c r="C432" s="12"/>
      <c r="D432" s="87"/>
      <c r="F432" s="14"/>
      <c r="G432" s="14"/>
      <c r="H432" s="14"/>
      <c r="I432" s="14"/>
      <c r="J432" s="14"/>
      <c r="K432" s="12"/>
    </row>
    <row r="433" ht="19.5" customHeight="1">
      <c r="A433" s="12"/>
      <c r="C433" s="12"/>
      <c r="D433" s="87"/>
      <c r="F433" s="14"/>
      <c r="G433" s="14"/>
      <c r="H433" s="14"/>
      <c r="I433" s="14"/>
      <c r="J433" s="14"/>
      <c r="K433" s="12"/>
    </row>
    <row r="434" ht="19.5" customHeight="1">
      <c r="A434" s="12"/>
      <c r="C434" s="12"/>
      <c r="D434" s="87"/>
      <c r="F434" s="14"/>
      <c r="G434" s="14"/>
      <c r="H434" s="14"/>
      <c r="I434" s="14"/>
      <c r="J434" s="14"/>
      <c r="K434" s="12"/>
    </row>
    <row r="435" ht="19.5" customHeight="1">
      <c r="A435" s="12"/>
      <c r="C435" s="12"/>
      <c r="D435" s="87"/>
      <c r="F435" s="14"/>
      <c r="G435" s="14"/>
      <c r="H435" s="14"/>
      <c r="I435" s="14"/>
      <c r="J435" s="14"/>
      <c r="K435" s="12"/>
    </row>
    <row r="436" ht="19.5" customHeight="1">
      <c r="A436" s="12"/>
      <c r="C436" s="12"/>
      <c r="D436" s="87"/>
      <c r="F436" s="14"/>
      <c r="G436" s="14"/>
      <c r="H436" s="14"/>
      <c r="I436" s="14"/>
      <c r="J436" s="14"/>
      <c r="K436" s="12"/>
    </row>
    <row r="437" ht="19.5" customHeight="1">
      <c r="A437" s="12"/>
      <c r="C437" s="12"/>
      <c r="D437" s="87"/>
      <c r="F437" s="14"/>
      <c r="G437" s="14"/>
      <c r="H437" s="14"/>
      <c r="I437" s="14"/>
      <c r="J437" s="14"/>
      <c r="K437" s="12"/>
    </row>
    <row r="438" ht="19.5" customHeight="1">
      <c r="A438" s="12"/>
      <c r="C438" s="12"/>
      <c r="D438" s="87"/>
      <c r="F438" s="14"/>
      <c r="G438" s="14"/>
      <c r="H438" s="14"/>
      <c r="I438" s="14"/>
      <c r="J438" s="14"/>
      <c r="K438" s="12"/>
    </row>
    <row r="439" ht="19.5" customHeight="1">
      <c r="A439" s="12"/>
      <c r="C439" s="12"/>
      <c r="D439" s="87"/>
      <c r="F439" s="14"/>
      <c r="G439" s="14"/>
      <c r="H439" s="14"/>
      <c r="I439" s="14"/>
      <c r="J439" s="14"/>
      <c r="K439" s="12"/>
    </row>
    <row r="440" ht="19.5" customHeight="1">
      <c r="A440" s="12"/>
      <c r="C440" s="12"/>
      <c r="D440" s="87"/>
      <c r="F440" s="14"/>
      <c r="G440" s="14"/>
      <c r="H440" s="14"/>
      <c r="I440" s="14"/>
      <c r="J440" s="14"/>
      <c r="K440" s="12"/>
    </row>
    <row r="441" ht="19.5" customHeight="1">
      <c r="A441" s="12"/>
      <c r="C441" s="12"/>
      <c r="D441" s="87"/>
      <c r="F441" s="14"/>
      <c r="G441" s="14"/>
      <c r="H441" s="14"/>
      <c r="I441" s="14"/>
      <c r="J441" s="14"/>
      <c r="K441" s="12"/>
    </row>
    <row r="442" ht="19.5" customHeight="1">
      <c r="A442" s="12"/>
      <c r="C442" s="12"/>
      <c r="D442" s="87"/>
      <c r="F442" s="14"/>
      <c r="G442" s="14"/>
      <c r="H442" s="14"/>
      <c r="I442" s="14"/>
      <c r="J442" s="14"/>
      <c r="K442" s="12"/>
    </row>
    <row r="443" ht="19.5" customHeight="1">
      <c r="A443" s="12"/>
      <c r="C443" s="12"/>
      <c r="D443" s="87"/>
      <c r="F443" s="14"/>
      <c r="G443" s="14"/>
      <c r="H443" s="14"/>
      <c r="I443" s="14"/>
      <c r="J443" s="14"/>
      <c r="K443" s="12"/>
    </row>
    <row r="444" ht="19.5" customHeight="1">
      <c r="A444" s="12"/>
      <c r="C444" s="12"/>
      <c r="D444" s="87"/>
      <c r="F444" s="14"/>
      <c r="G444" s="14"/>
      <c r="H444" s="14"/>
      <c r="I444" s="14"/>
      <c r="J444" s="14"/>
      <c r="K444" s="12"/>
    </row>
    <row r="445" ht="19.5" customHeight="1">
      <c r="A445" s="12"/>
      <c r="C445" s="12"/>
      <c r="D445" s="87"/>
      <c r="F445" s="14"/>
      <c r="G445" s="14"/>
      <c r="H445" s="14"/>
      <c r="I445" s="14"/>
      <c r="J445" s="14"/>
      <c r="K445" s="12"/>
    </row>
    <row r="446" ht="19.5" customHeight="1">
      <c r="A446" s="12"/>
      <c r="C446" s="12"/>
      <c r="D446" s="87"/>
      <c r="F446" s="14"/>
      <c r="G446" s="14"/>
      <c r="H446" s="14"/>
      <c r="I446" s="14"/>
      <c r="J446" s="14"/>
      <c r="K446" s="12"/>
    </row>
    <row r="447" ht="19.5" customHeight="1">
      <c r="A447" s="12"/>
      <c r="C447" s="12"/>
      <c r="D447" s="87"/>
      <c r="F447" s="14"/>
      <c r="G447" s="14"/>
      <c r="H447" s="14"/>
      <c r="I447" s="14"/>
      <c r="J447" s="14"/>
      <c r="K447" s="12"/>
    </row>
    <row r="448" ht="19.5" customHeight="1">
      <c r="A448" s="12"/>
      <c r="C448" s="12"/>
      <c r="D448" s="87"/>
      <c r="F448" s="14"/>
      <c r="G448" s="14"/>
      <c r="H448" s="14"/>
      <c r="I448" s="14"/>
      <c r="J448" s="14"/>
      <c r="K448" s="12"/>
    </row>
    <row r="449" ht="19.5" customHeight="1">
      <c r="A449" s="12"/>
      <c r="C449" s="12"/>
      <c r="D449" s="87"/>
      <c r="F449" s="14"/>
      <c r="G449" s="14"/>
      <c r="H449" s="14"/>
      <c r="I449" s="14"/>
      <c r="J449" s="14"/>
      <c r="K449" s="12"/>
    </row>
    <row r="450" ht="19.5" customHeight="1">
      <c r="A450" s="12"/>
      <c r="C450" s="12"/>
      <c r="D450" s="87"/>
      <c r="F450" s="14"/>
      <c r="G450" s="14"/>
      <c r="H450" s="14"/>
      <c r="I450" s="14"/>
      <c r="J450" s="14"/>
      <c r="K450" s="12"/>
    </row>
    <row r="451" ht="19.5" customHeight="1">
      <c r="A451" s="12"/>
      <c r="C451" s="12"/>
      <c r="D451" s="87"/>
      <c r="F451" s="14"/>
      <c r="G451" s="14"/>
      <c r="H451" s="14"/>
      <c r="I451" s="14"/>
      <c r="J451" s="14"/>
      <c r="K451" s="12"/>
    </row>
    <row r="452" ht="19.5" customHeight="1">
      <c r="A452" s="12"/>
      <c r="C452" s="12"/>
      <c r="D452" s="87"/>
      <c r="F452" s="14"/>
      <c r="G452" s="14"/>
      <c r="H452" s="14"/>
      <c r="I452" s="14"/>
      <c r="J452" s="14"/>
      <c r="K452" s="12"/>
    </row>
    <row r="453" ht="19.5" customHeight="1">
      <c r="A453" s="12"/>
      <c r="C453" s="12"/>
      <c r="D453" s="87"/>
      <c r="F453" s="14"/>
      <c r="G453" s="14"/>
      <c r="H453" s="14"/>
      <c r="I453" s="14"/>
      <c r="J453" s="14"/>
      <c r="K453" s="12"/>
    </row>
    <row r="454" ht="19.5" customHeight="1">
      <c r="A454" s="12"/>
      <c r="C454" s="12"/>
      <c r="D454" s="87"/>
      <c r="F454" s="14"/>
      <c r="G454" s="14"/>
      <c r="H454" s="14"/>
      <c r="I454" s="14"/>
      <c r="J454" s="14"/>
      <c r="K454" s="12"/>
    </row>
    <row r="455" ht="19.5" customHeight="1">
      <c r="A455" s="12"/>
      <c r="C455" s="12"/>
      <c r="D455" s="87"/>
      <c r="F455" s="14"/>
      <c r="G455" s="14"/>
      <c r="H455" s="14"/>
      <c r="I455" s="14"/>
      <c r="J455" s="14"/>
      <c r="K455" s="12"/>
    </row>
    <row r="456" ht="19.5" customHeight="1">
      <c r="A456" s="12"/>
      <c r="C456" s="12"/>
      <c r="D456" s="87"/>
      <c r="F456" s="14"/>
      <c r="G456" s="14"/>
      <c r="H456" s="14"/>
      <c r="I456" s="14"/>
      <c r="J456" s="14"/>
      <c r="K456" s="12"/>
    </row>
    <row r="457" ht="19.5" customHeight="1">
      <c r="A457" s="12"/>
      <c r="C457" s="12"/>
      <c r="D457" s="87"/>
      <c r="F457" s="14"/>
      <c r="G457" s="14"/>
      <c r="H457" s="14"/>
      <c r="I457" s="14"/>
      <c r="J457" s="14"/>
      <c r="K457" s="12"/>
    </row>
    <row r="458" ht="19.5" customHeight="1">
      <c r="A458" s="12"/>
      <c r="C458" s="12"/>
      <c r="D458" s="87"/>
      <c r="F458" s="14"/>
      <c r="G458" s="14"/>
      <c r="H458" s="14"/>
      <c r="I458" s="14"/>
      <c r="J458" s="14"/>
      <c r="K458" s="12"/>
    </row>
    <row r="459" ht="19.5" customHeight="1">
      <c r="A459" s="12"/>
      <c r="C459" s="12"/>
      <c r="D459" s="87"/>
      <c r="F459" s="14"/>
      <c r="G459" s="14"/>
      <c r="H459" s="14"/>
      <c r="I459" s="14"/>
      <c r="J459" s="14"/>
      <c r="K459" s="12"/>
    </row>
    <row r="460" ht="19.5" customHeight="1">
      <c r="A460" s="12"/>
      <c r="C460" s="12"/>
      <c r="D460" s="87"/>
      <c r="F460" s="14"/>
      <c r="G460" s="14"/>
      <c r="H460" s="14"/>
      <c r="I460" s="14"/>
      <c r="J460" s="14"/>
      <c r="K460" s="12"/>
    </row>
    <row r="461" ht="19.5" customHeight="1">
      <c r="A461" s="12"/>
      <c r="C461" s="12"/>
      <c r="D461" s="87"/>
      <c r="F461" s="14"/>
      <c r="G461" s="14"/>
      <c r="H461" s="14"/>
      <c r="I461" s="14"/>
      <c r="J461" s="14"/>
      <c r="K461" s="12"/>
    </row>
    <row r="462" ht="19.5" customHeight="1">
      <c r="A462" s="12"/>
      <c r="C462" s="12"/>
      <c r="D462" s="87"/>
      <c r="F462" s="14"/>
      <c r="G462" s="14"/>
      <c r="H462" s="14"/>
      <c r="I462" s="14"/>
      <c r="J462" s="14"/>
      <c r="K462" s="12"/>
    </row>
    <row r="463" ht="19.5" customHeight="1">
      <c r="A463" s="12"/>
      <c r="C463" s="12"/>
      <c r="D463" s="87"/>
      <c r="F463" s="14"/>
      <c r="G463" s="14"/>
      <c r="H463" s="14"/>
      <c r="I463" s="14"/>
      <c r="J463" s="14"/>
      <c r="K463" s="12"/>
    </row>
    <row r="464" ht="19.5" customHeight="1">
      <c r="A464" s="12"/>
      <c r="C464" s="12"/>
      <c r="D464" s="87"/>
      <c r="F464" s="14"/>
      <c r="G464" s="14"/>
      <c r="H464" s="14"/>
      <c r="I464" s="14"/>
      <c r="J464" s="14"/>
      <c r="K464" s="12"/>
    </row>
    <row r="465" ht="19.5" customHeight="1">
      <c r="A465" s="12"/>
      <c r="C465" s="12"/>
      <c r="D465" s="87"/>
      <c r="F465" s="14"/>
      <c r="G465" s="14"/>
      <c r="H465" s="14"/>
      <c r="I465" s="14"/>
      <c r="J465" s="14"/>
      <c r="K465" s="12"/>
    </row>
    <row r="466" ht="19.5" customHeight="1">
      <c r="A466" s="12"/>
      <c r="C466" s="12"/>
      <c r="D466" s="87"/>
      <c r="F466" s="14"/>
      <c r="G466" s="14"/>
      <c r="H466" s="14"/>
      <c r="I466" s="14"/>
      <c r="J466" s="14"/>
      <c r="K466" s="12"/>
    </row>
    <row r="467" ht="19.5" customHeight="1">
      <c r="A467" s="12"/>
      <c r="C467" s="12"/>
      <c r="D467" s="87"/>
      <c r="F467" s="14"/>
      <c r="G467" s="14"/>
      <c r="H467" s="14"/>
      <c r="I467" s="14"/>
      <c r="J467" s="14"/>
      <c r="K467" s="12"/>
    </row>
    <row r="468" ht="19.5" customHeight="1">
      <c r="A468" s="12"/>
      <c r="C468" s="12"/>
      <c r="D468" s="87"/>
      <c r="F468" s="14"/>
      <c r="G468" s="14"/>
      <c r="H468" s="14"/>
      <c r="I468" s="14"/>
      <c r="J468" s="14"/>
      <c r="K468" s="12"/>
    </row>
    <row r="469" ht="19.5" customHeight="1">
      <c r="A469" s="12"/>
      <c r="C469" s="12"/>
      <c r="D469" s="87"/>
      <c r="F469" s="14"/>
      <c r="G469" s="14"/>
      <c r="H469" s="14"/>
      <c r="I469" s="14"/>
      <c r="J469" s="14"/>
      <c r="K469" s="12"/>
    </row>
    <row r="470" ht="19.5" customHeight="1">
      <c r="A470" s="12"/>
      <c r="C470" s="12"/>
      <c r="D470" s="87"/>
      <c r="F470" s="14"/>
      <c r="G470" s="14"/>
      <c r="H470" s="14"/>
      <c r="I470" s="14"/>
      <c r="J470" s="14"/>
      <c r="K470" s="12"/>
    </row>
    <row r="471" ht="19.5" customHeight="1">
      <c r="A471" s="12"/>
      <c r="C471" s="12"/>
      <c r="D471" s="87"/>
      <c r="F471" s="14"/>
      <c r="G471" s="14"/>
      <c r="H471" s="14"/>
      <c r="I471" s="14"/>
      <c r="J471" s="14"/>
      <c r="K471" s="12"/>
    </row>
    <row r="472" ht="19.5" customHeight="1">
      <c r="A472" s="12"/>
      <c r="C472" s="12"/>
      <c r="D472" s="87"/>
      <c r="F472" s="14"/>
      <c r="G472" s="14"/>
      <c r="H472" s="14"/>
      <c r="I472" s="14"/>
      <c r="J472" s="14"/>
      <c r="K472" s="12"/>
    </row>
    <row r="473" ht="19.5" customHeight="1">
      <c r="A473" s="12"/>
      <c r="C473" s="12"/>
      <c r="D473" s="87"/>
      <c r="F473" s="14"/>
      <c r="G473" s="14"/>
      <c r="H473" s="14"/>
      <c r="I473" s="14"/>
      <c r="J473" s="14"/>
      <c r="K473" s="12"/>
    </row>
    <row r="474" ht="19.5" customHeight="1">
      <c r="A474" s="12"/>
      <c r="C474" s="12"/>
      <c r="D474" s="87"/>
      <c r="F474" s="14"/>
      <c r="G474" s="14"/>
      <c r="H474" s="14"/>
      <c r="I474" s="14"/>
      <c r="J474" s="14"/>
      <c r="K474" s="12"/>
    </row>
    <row r="475" ht="19.5" customHeight="1">
      <c r="A475" s="12"/>
      <c r="C475" s="12"/>
      <c r="D475" s="87"/>
      <c r="F475" s="14"/>
      <c r="G475" s="14"/>
      <c r="H475" s="14"/>
      <c r="I475" s="14"/>
      <c r="J475" s="14"/>
      <c r="K475" s="12"/>
    </row>
    <row r="476" ht="19.5" customHeight="1">
      <c r="A476" s="12"/>
      <c r="C476" s="12"/>
      <c r="D476" s="87"/>
      <c r="F476" s="14"/>
      <c r="G476" s="14"/>
      <c r="H476" s="14"/>
      <c r="I476" s="14"/>
      <c r="J476" s="14"/>
      <c r="K476" s="12"/>
    </row>
    <row r="477" ht="19.5" customHeight="1">
      <c r="A477" s="12"/>
      <c r="C477" s="12"/>
      <c r="D477" s="87"/>
      <c r="F477" s="14"/>
      <c r="G477" s="14"/>
      <c r="H477" s="14"/>
      <c r="I477" s="14"/>
      <c r="J477" s="14"/>
      <c r="K477" s="12"/>
    </row>
    <row r="478" ht="19.5" customHeight="1">
      <c r="A478" s="12"/>
      <c r="C478" s="12"/>
      <c r="D478" s="87"/>
      <c r="F478" s="14"/>
      <c r="G478" s="14"/>
      <c r="H478" s="14"/>
      <c r="I478" s="14"/>
      <c r="J478" s="14"/>
      <c r="K478" s="12"/>
    </row>
    <row r="479" ht="19.5" customHeight="1">
      <c r="A479" s="12"/>
      <c r="C479" s="12"/>
      <c r="D479" s="87"/>
      <c r="F479" s="14"/>
      <c r="G479" s="14"/>
      <c r="H479" s="14"/>
      <c r="I479" s="14"/>
      <c r="J479" s="14"/>
      <c r="K479" s="12"/>
    </row>
    <row r="480" ht="19.5" customHeight="1">
      <c r="A480" s="12"/>
      <c r="C480" s="12"/>
      <c r="D480" s="87"/>
      <c r="F480" s="14"/>
      <c r="G480" s="14"/>
      <c r="H480" s="14"/>
      <c r="I480" s="14"/>
      <c r="J480" s="14"/>
      <c r="K480" s="12"/>
    </row>
    <row r="481" ht="19.5" customHeight="1">
      <c r="A481" s="12"/>
      <c r="C481" s="12"/>
      <c r="D481" s="87"/>
      <c r="F481" s="14"/>
      <c r="G481" s="14"/>
      <c r="H481" s="14"/>
      <c r="I481" s="14"/>
      <c r="J481" s="14"/>
      <c r="K481" s="12"/>
    </row>
    <row r="482" ht="19.5" customHeight="1">
      <c r="A482" s="12"/>
      <c r="C482" s="12"/>
      <c r="D482" s="87"/>
      <c r="F482" s="14"/>
      <c r="G482" s="14"/>
      <c r="H482" s="14"/>
      <c r="I482" s="14"/>
      <c r="J482" s="14"/>
      <c r="K482" s="12"/>
    </row>
    <row r="483" ht="19.5" customHeight="1">
      <c r="A483" s="12"/>
      <c r="C483" s="12"/>
      <c r="D483" s="87"/>
      <c r="F483" s="14"/>
      <c r="G483" s="14"/>
      <c r="H483" s="14"/>
      <c r="I483" s="14"/>
      <c r="J483" s="14"/>
      <c r="K483" s="12"/>
    </row>
    <row r="484" ht="19.5" customHeight="1">
      <c r="A484" s="12"/>
      <c r="C484" s="12"/>
      <c r="D484" s="87"/>
      <c r="F484" s="14"/>
      <c r="G484" s="14"/>
      <c r="H484" s="14"/>
      <c r="I484" s="14"/>
      <c r="J484" s="14"/>
      <c r="K484" s="12"/>
    </row>
    <row r="485" ht="19.5" customHeight="1">
      <c r="A485" s="12"/>
      <c r="C485" s="12"/>
      <c r="D485" s="87"/>
      <c r="F485" s="14"/>
      <c r="G485" s="14"/>
      <c r="H485" s="14"/>
      <c r="I485" s="14"/>
      <c r="J485" s="14"/>
      <c r="K485" s="12"/>
    </row>
    <row r="486" ht="19.5" customHeight="1">
      <c r="A486" s="12"/>
      <c r="C486" s="12"/>
      <c r="D486" s="87"/>
      <c r="F486" s="14"/>
      <c r="G486" s="14"/>
      <c r="H486" s="14"/>
      <c r="I486" s="14"/>
      <c r="J486" s="14"/>
      <c r="K486" s="12"/>
    </row>
    <row r="487" ht="19.5" customHeight="1">
      <c r="A487" s="12"/>
      <c r="C487" s="12"/>
      <c r="D487" s="87"/>
      <c r="F487" s="14"/>
      <c r="G487" s="14"/>
      <c r="H487" s="14"/>
      <c r="I487" s="14"/>
      <c r="J487" s="14"/>
      <c r="K487" s="12"/>
    </row>
    <row r="488" ht="19.5" customHeight="1">
      <c r="A488" s="12"/>
      <c r="C488" s="12"/>
      <c r="D488" s="87"/>
      <c r="F488" s="14"/>
      <c r="G488" s="14"/>
      <c r="H488" s="14"/>
      <c r="I488" s="14"/>
      <c r="J488" s="14"/>
      <c r="K488" s="12"/>
    </row>
    <row r="489" ht="19.5" customHeight="1">
      <c r="A489" s="12"/>
      <c r="C489" s="12"/>
      <c r="D489" s="87"/>
      <c r="F489" s="14"/>
      <c r="G489" s="14"/>
      <c r="H489" s="14"/>
      <c r="I489" s="14"/>
      <c r="J489" s="14"/>
      <c r="K489" s="12"/>
    </row>
    <row r="490" ht="19.5" customHeight="1">
      <c r="A490" s="12"/>
      <c r="C490" s="12"/>
      <c r="D490" s="87"/>
      <c r="F490" s="14"/>
      <c r="G490" s="14"/>
      <c r="H490" s="14"/>
      <c r="I490" s="14"/>
      <c r="J490" s="14"/>
      <c r="K490" s="12"/>
    </row>
    <row r="491" ht="19.5" customHeight="1">
      <c r="A491" s="12"/>
      <c r="C491" s="12"/>
      <c r="D491" s="87"/>
      <c r="F491" s="14"/>
      <c r="G491" s="14"/>
      <c r="H491" s="14"/>
      <c r="I491" s="14"/>
      <c r="J491" s="14"/>
      <c r="K491" s="12"/>
    </row>
    <row r="492" ht="19.5" customHeight="1">
      <c r="A492" s="12"/>
      <c r="C492" s="12"/>
      <c r="D492" s="87"/>
      <c r="F492" s="14"/>
      <c r="G492" s="14"/>
      <c r="H492" s="14"/>
      <c r="I492" s="14"/>
      <c r="J492" s="14"/>
      <c r="K492" s="12"/>
    </row>
    <row r="493" ht="19.5" customHeight="1">
      <c r="A493" s="12"/>
      <c r="C493" s="12"/>
      <c r="D493" s="87"/>
      <c r="F493" s="14"/>
      <c r="G493" s="14"/>
      <c r="H493" s="14"/>
      <c r="I493" s="14"/>
      <c r="J493" s="14"/>
      <c r="K493" s="12"/>
    </row>
    <row r="494" ht="19.5" customHeight="1">
      <c r="A494" s="12"/>
      <c r="C494" s="12"/>
      <c r="D494" s="87"/>
      <c r="F494" s="14"/>
      <c r="G494" s="14"/>
      <c r="H494" s="14"/>
      <c r="I494" s="14"/>
      <c r="J494" s="14"/>
      <c r="K494" s="12"/>
    </row>
    <row r="495" ht="19.5" customHeight="1">
      <c r="A495" s="12"/>
      <c r="C495" s="12"/>
      <c r="D495" s="87"/>
      <c r="F495" s="14"/>
      <c r="G495" s="14"/>
      <c r="H495" s="14"/>
      <c r="I495" s="14"/>
      <c r="J495" s="14"/>
      <c r="K495" s="12"/>
    </row>
    <row r="496" ht="19.5" customHeight="1">
      <c r="A496" s="12"/>
      <c r="C496" s="12"/>
      <c r="D496" s="87"/>
      <c r="F496" s="14"/>
      <c r="G496" s="14"/>
      <c r="H496" s="14"/>
      <c r="I496" s="14"/>
      <c r="J496" s="14"/>
      <c r="K496" s="12"/>
    </row>
    <row r="497" ht="19.5" customHeight="1">
      <c r="A497" s="12"/>
      <c r="C497" s="12"/>
      <c r="D497" s="87"/>
      <c r="F497" s="14"/>
      <c r="G497" s="14"/>
      <c r="H497" s="14"/>
      <c r="I497" s="14"/>
      <c r="J497" s="14"/>
      <c r="K497" s="12"/>
    </row>
    <row r="498" ht="19.5" customHeight="1">
      <c r="A498" s="12"/>
      <c r="C498" s="12"/>
      <c r="D498" s="87"/>
      <c r="F498" s="14"/>
      <c r="G498" s="14"/>
      <c r="H498" s="14"/>
      <c r="I498" s="14"/>
      <c r="J498" s="14"/>
      <c r="K498" s="12"/>
    </row>
    <row r="499" ht="19.5" customHeight="1">
      <c r="A499" s="12"/>
      <c r="C499" s="12"/>
      <c r="D499" s="87"/>
      <c r="F499" s="14"/>
      <c r="G499" s="14"/>
      <c r="H499" s="14"/>
      <c r="I499" s="14"/>
      <c r="J499" s="14"/>
      <c r="K499" s="12"/>
    </row>
    <row r="500" ht="19.5" customHeight="1">
      <c r="A500" s="12"/>
      <c r="C500" s="12"/>
      <c r="D500" s="87"/>
      <c r="F500" s="14"/>
      <c r="G500" s="14"/>
      <c r="H500" s="14"/>
      <c r="I500" s="14"/>
      <c r="J500" s="14"/>
      <c r="K500" s="12"/>
    </row>
    <row r="501" ht="19.5" customHeight="1">
      <c r="A501" s="12"/>
      <c r="C501" s="12"/>
      <c r="D501" s="87"/>
      <c r="F501" s="14"/>
      <c r="G501" s="14"/>
      <c r="H501" s="14"/>
      <c r="I501" s="14"/>
      <c r="J501" s="14"/>
      <c r="K501" s="12"/>
    </row>
    <row r="502" ht="19.5" customHeight="1">
      <c r="A502" s="12"/>
      <c r="C502" s="12"/>
      <c r="D502" s="87"/>
      <c r="F502" s="14"/>
      <c r="G502" s="14"/>
      <c r="H502" s="14"/>
      <c r="I502" s="14"/>
      <c r="J502" s="14"/>
      <c r="K502" s="12"/>
    </row>
    <row r="503" ht="19.5" customHeight="1">
      <c r="A503" s="12"/>
      <c r="C503" s="12"/>
      <c r="D503" s="87"/>
      <c r="F503" s="14"/>
      <c r="G503" s="14"/>
      <c r="H503" s="14"/>
      <c r="I503" s="14"/>
      <c r="J503" s="14"/>
      <c r="K503" s="12"/>
    </row>
    <row r="504" ht="19.5" customHeight="1">
      <c r="A504" s="12"/>
      <c r="C504" s="12"/>
      <c r="D504" s="87"/>
      <c r="F504" s="14"/>
      <c r="G504" s="14"/>
      <c r="H504" s="14"/>
      <c r="I504" s="14"/>
      <c r="J504" s="14"/>
      <c r="K504" s="12"/>
    </row>
    <row r="505" ht="19.5" customHeight="1">
      <c r="A505" s="12"/>
      <c r="C505" s="12"/>
      <c r="D505" s="87"/>
      <c r="F505" s="14"/>
      <c r="G505" s="14"/>
      <c r="H505" s="14"/>
      <c r="I505" s="14"/>
      <c r="J505" s="14"/>
      <c r="K505" s="12"/>
    </row>
    <row r="506" ht="19.5" customHeight="1">
      <c r="A506" s="12"/>
      <c r="C506" s="12"/>
      <c r="D506" s="87"/>
      <c r="F506" s="14"/>
      <c r="G506" s="14"/>
      <c r="H506" s="14"/>
      <c r="I506" s="14"/>
      <c r="J506" s="14"/>
      <c r="K506" s="12"/>
    </row>
    <row r="507" ht="19.5" customHeight="1">
      <c r="A507" s="12"/>
      <c r="C507" s="12"/>
      <c r="D507" s="87"/>
      <c r="F507" s="14"/>
      <c r="G507" s="14"/>
      <c r="H507" s="14"/>
      <c r="I507" s="14"/>
      <c r="J507" s="14"/>
      <c r="K507" s="12"/>
    </row>
    <row r="508" ht="19.5" customHeight="1">
      <c r="A508" s="12"/>
      <c r="C508" s="12"/>
      <c r="D508" s="87"/>
      <c r="F508" s="14"/>
      <c r="G508" s="14"/>
      <c r="H508" s="14"/>
      <c r="I508" s="14"/>
      <c r="J508" s="14"/>
      <c r="K508" s="12"/>
    </row>
    <row r="509" ht="19.5" customHeight="1">
      <c r="A509" s="12"/>
      <c r="C509" s="12"/>
      <c r="D509" s="87"/>
      <c r="F509" s="14"/>
      <c r="G509" s="14"/>
      <c r="H509" s="14"/>
      <c r="I509" s="14"/>
      <c r="J509" s="14"/>
      <c r="K509" s="12"/>
    </row>
    <row r="510" ht="19.5" customHeight="1">
      <c r="A510" s="12"/>
      <c r="C510" s="12"/>
      <c r="D510" s="87"/>
      <c r="F510" s="14"/>
      <c r="G510" s="14"/>
      <c r="H510" s="14"/>
      <c r="I510" s="14"/>
      <c r="J510" s="14"/>
      <c r="K510" s="12"/>
    </row>
    <row r="511" ht="19.5" customHeight="1">
      <c r="A511" s="12"/>
      <c r="C511" s="12"/>
      <c r="D511" s="87"/>
      <c r="F511" s="14"/>
      <c r="G511" s="14"/>
      <c r="H511" s="14"/>
      <c r="I511" s="14"/>
      <c r="J511" s="14"/>
      <c r="K511" s="12"/>
    </row>
    <row r="512" ht="19.5" customHeight="1">
      <c r="A512" s="12"/>
      <c r="C512" s="12"/>
      <c r="D512" s="87"/>
      <c r="F512" s="14"/>
      <c r="G512" s="14"/>
      <c r="H512" s="14"/>
      <c r="I512" s="14"/>
      <c r="J512" s="14"/>
      <c r="K512" s="12"/>
    </row>
    <row r="513" ht="19.5" customHeight="1">
      <c r="A513" s="12"/>
      <c r="C513" s="12"/>
      <c r="D513" s="87"/>
      <c r="F513" s="14"/>
      <c r="G513" s="14"/>
      <c r="H513" s="14"/>
      <c r="I513" s="14"/>
      <c r="J513" s="14"/>
      <c r="K513" s="12"/>
    </row>
    <row r="514" ht="19.5" customHeight="1">
      <c r="A514" s="12"/>
      <c r="C514" s="12"/>
      <c r="D514" s="87"/>
      <c r="F514" s="14"/>
      <c r="G514" s="14"/>
      <c r="H514" s="14"/>
      <c r="I514" s="14"/>
      <c r="J514" s="14"/>
      <c r="K514" s="12"/>
    </row>
    <row r="515" ht="19.5" customHeight="1">
      <c r="A515" s="12"/>
      <c r="C515" s="12"/>
      <c r="D515" s="87"/>
      <c r="F515" s="14"/>
      <c r="G515" s="14"/>
      <c r="H515" s="14"/>
      <c r="I515" s="14"/>
      <c r="J515" s="14"/>
      <c r="K515" s="12"/>
    </row>
    <row r="516" ht="19.5" customHeight="1">
      <c r="A516" s="12"/>
      <c r="C516" s="12"/>
      <c r="D516" s="87"/>
      <c r="F516" s="14"/>
      <c r="G516" s="14"/>
      <c r="H516" s="14"/>
      <c r="I516" s="14"/>
      <c r="J516" s="14"/>
      <c r="K516" s="12"/>
    </row>
    <row r="517" ht="19.5" customHeight="1">
      <c r="A517" s="12"/>
      <c r="C517" s="12"/>
      <c r="D517" s="87"/>
      <c r="F517" s="14"/>
      <c r="G517" s="14"/>
      <c r="H517" s="14"/>
      <c r="I517" s="14"/>
      <c r="J517" s="14"/>
      <c r="K517" s="12"/>
    </row>
    <row r="518" ht="19.5" customHeight="1">
      <c r="A518" s="12"/>
      <c r="C518" s="12"/>
      <c r="D518" s="87"/>
      <c r="F518" s="14"/>
      <c r="G518" s="14"/>
      <c r="H518" s="14"/>
      <c r="I518" s="14"/>
      <c r="J518" s="14"/>
      <c r="K518" s="12"/>
    </row>
    <row r="519" ht="19.5" customHeight="1">
      <c r="A519" s="12"/>
      <c r="C519" s="12"/>
      <c r="D519" s="87"/>
      <c r="F519" s="14"/>
      <c r="G519" s="14"/>
      <c r="H519" s="14"/>
      <c r="I519" s="14"/>
      <c r="J519" s="14"/>
      <c r="K519" s="12"/>
    </row>
    <row r="520" ht="19.5" customHeight="1">
      <c r="A520" s="12"/>
      <c r="C520" s="12"/>
      <c r="D520" s="87"/>
      <c r="F520" s="14"/>
      <c r="G520" s="14"/>
      <c r="H520" s="14"/>
      <c r="I520" s="14"/>
      <c r="J520" s="14"/>
      <c r="K520" s="12"/>
    </row>
    <row r="521" ht="19.5" customHeight="1">
      <c r="A521" s="12"/>
      <c r="C521" s="12"/>
      <c r="D521" s="87"/>
      <c r="F521" s="14"/>
      <c r="G521" s="14"/>
      <c r="H521" s="14"/>
      <c r="I521" s="14"/>
      <c r="J521" s="14"/>
      <c r="K521" s="12"/>
    </row>
    <row r="522" ht="19.5" customHeight="1">
      <c r="A522" s="12"/>
      <c r="C522" s="12"/>
      <c r="D522" s="87"/>
      <c r="F522" s="14"/>
      <c r="G522" s="14"/>
      <c r="H522" s="14"/>
      <c r="I522" s="14"/>
      <c r="J522" s="14"/>
      <c r="K522" s="12"/>
    </row>
    <row r="523" ht="19.5" customHeight="1">
      <c r="A523" s="12"/>
      <c r="C523" s="12"/>
      <c r="D523" s="87"/>
      <c r="F523" s="14"/>
      <c r="G523" s="14"/>
      <c r="H523" s="14"/>
      <c r="I523" s="14"/>
      <c r="J523" s="14"/>
      <c r="K523" s="12"/>
    </row>
    <row r="524" ht="19.5" customHeight="1">
      <c r="A524" s="12"/>
      <c r="C524" s="12"/>
      <c r="D524" s="87"/>
      <c r="F524" s="14"/>
      <c r="G524" s="14"/>
      <c r="H524" s="14"/>
      <c r="I524" s="14"/>
      <c r="J524" s="14"/>
      <c r="K524" s="12"/>
    </row>
    <row r="525" ht="19.5" customHeight="1">
      <c r="A525" s="12"/>
      <c r="C525" s="12"/>
      <c r="D525" s="87"/>
      <c r="F525" s="14"/>
      <c r="G525" s="14"/>
      <c r="H525" s="14"/>
      <c r="I525" s="14"/>
      <c r="J525" s="14"/>
      <c r="K525" s="12"/>
    </row>
    <row r="526" ht="19.5" customHeight="1">
      <c r="A526" s="12"/>
      <c r="C526" s="12"/>
      <c r="D526" s="87"/>
      <c r="F526" s="14"/>
      <c r="G526" s="14"/>
      <c r="H526" s="14"/>
      <c r="I526" s="14"/>
      <c r="J526" s="14"/>
      <c r="K526" s="12"/>
    </row>
    <row r="527" ht="19.5" customHeight="1">
      <c r="A527" s="12"/>
      <c r="C527" s="12"/>
      <c r="D527" s="87"/>
      <c r="F527" s="14"/>
      <c r="G527" s="14"/>
      <c r="H527" s="14"/>
      <c r="I527" s="14"/>
      <c r="J527" s="14"/>
      <c r="K527" s="12"/>
    </row>
    <row r="528" ht="19.5" customHeight="1">
      <c r="A528" s="12"/>
      <c r="C528" s="12"/>
      <c r="D528" s="87"/>
      <c r="F528" s="14"/>
      <c r="G528" s="14"/>
      <c r="H528" s="14"/>
      <c r="I528" s="14"/>
      <c r="J528" s="14"/>
      <c r="K528" s="12"/>
    </row>
    <row r="529" ht="19.5" customHeight="1">
      <c r="A529" s="12"/>
      <c r="C529" s="12"/>
      <c r="D529" s="87"/>
      <c r="F529" s="14"/>
      <c r="G529" s="14"/>
      <c r="H529" s="14"/>
      <c r="I529" s="14"/>
      <c r="J529" s="14"/>
      <c r="K529" s="12"/>
    </row>
    <row r="530" ht="19.5" customHeight="1">
      <c r="A530" s="12"/>
      <c r="C530" s="12"/>
      <c r="D530" s="87"/>
      <c r="F530" s="14"/>
      <c r="G530" s="14"/>
      <c r="H530" s="14"/>
      <c r="I530" s="14"/>
      <c r="J530" s="14"/>
      <c r="K530" s="12"/>
    </row>
    <row r="531" ht="19.5" customHeight="1">
      <c r="A531" s="12"/>
      <c r="C531" s="12"/>
      <c r="D531" s="87"/>
      <c r="F531" s="14"/>
      <c r="G531" s="14"/>
      <c r="H531" s="14"/>
      <c r="I531" s="14"/>
      <c r="J531" s="14"/>
      <c r="K531" s="12"/>
    </row>
    <row r="532" ht="19.5" customHeight="1">
      <c r="A532" s="12"/>
      <c r="C532" s="12"/>
      <c r="D532" s="87"/>
      <c r="F532" s="14"/>
      <c r="G532" s="14"/>
      <c r="H532" s="14"/>
      <c r="I532" s="14"/>
      <c r="J532" s="14"/>
      <c r="K532" s="12"/>
    </row>
    <row r="533" ht="19.5" customHeight="1">
      <c r="A533" s="12"/>
      <c r="C533" s="12"/>
      <c r="D533" s="87"/>
      <c r="F533" s="14"/>
      <c r="G533" s="14"/>
      <c r="H533" s="14"/>
      <c r="I533" s="14"/>
      <c r="J533" s="14"/>
      <c r="K533" s="12"/>
    </row>
    <row r="534" ht="19.5" customHeight="1">
      <c r="A534" s="12"/>
      <c r="C534" s="12"/>
      <c r="D534" s="87"/>
      <c r="F534" s="14"/>
      <c r="G534" s="14"/>
      <c r="H534" s="14"/>
      <c r="I534" s="14"/>
      <c r="J534" s="14"/>
      <c r="K534" s="12"/>
    </row>
    <row r="535" ht="19.5" customHeight="1">
      <c r="A535" s="12"/>
      <c r="C535" s="12"/>
      <c r="D535" s="87"/>
      <c r="F535" s="14"/>
      <c r="G535" s="14"/>
      <c r="H535" s="14"/>
      <c r="I535" s="14"/>
      <c r="J535" s="14"/>
      <c r="K535" s="12"/>
    </row>
    <row r="536" ht="19.5" customHeight="1">
      <c r="A536" s="12"/>
      <c r="C536" s="12"/>
      <c r="D536" s="87"/>
      <c r="F536" s="14"/>
      <c r="G536" s="14"/>
      <c r="H536" s="14"/>
      <c r="I536" s="14"/>
      <c r="J536" s="14"/>
      <c r="K536" s="12"/>
    </row>
    <row r="537" ht="19.5" customHeight="1">
      <c r="A537" s="12"/>
      <c r="C537" s="12"/>
      <c r="D537" s="87"/>
      <c r="F537" s="14"/>
      <c r="G537" s="14"/>
      <c r="H537" s="14"/>
      <c r="I537" s="14"/>
      <c r="J537" s="14"/>
      <c r="K537" s="12"/>
    </row>
    <row r="538" ht="19.5" customHeight="1">
      <c r="A538" s="12"/>
      <c r="C538" s="12"/>
      <c r="D538" s="87"/>
      <c r="F538" s="14"/>
      <c r="G538" s="14"/>
      <c r="H538" s="14"/>
      <c r="I538" s="14"/>
      <c r="J538" s="14"/>
      <c r="K538" s="12"/>
    </row>
    <row r="539" ht="19.5" customHeight="1">
      <c r="A539" s="12"/>
      <c r="C539" s="12"/>
      <c r="D539" s="87"/>
      <c r="F539" s="14"/>
      <c r="G539" s="14"/>
      <c r="H539" s="14"/>
      <c r="I539" s="14"/>
      <c r="J539" s="14"/>
      <c r="K539" s="12"/>
    </row>
    <row r="540" ht="19.5" customHeight="1">
      <c r="A540" s="12"/>
      <c r="C540" s="12"/>
      <c r="D540" s="87"/>
      <c r="F540" s="14"/>
      <c r="G540" s="14"/>
      <c r="H540" s="14"/>
      <c r="I540" s="14"/>
      <c r="J540" s="14"/>
      <c r="K540" s="12"/>
    </row>
    <row r="541" ht="19.5" customHeight="1">
      <c r="A541" s="12"/>
      <c r="C541" s="12"/>
      <c r="D541" s="87"/>
      <c r="F541" s="14"/>
      <c r="G541" s="14"/>
      <c r="H541" s="14"/>
      <c r="I541" s="14"/>
      <c r="J541" s="14"/>
      <c r="K541" s="12"/>
    </row>
    <row r="542" ht="19.5" customHeight="1">
      <c r="A542" s="12"/>
      <c r="C542" s="12"/>
      <c r="D542" s="87"/>
      <c r="F542" s="14"/>
      <c r="G542" s="14"/>
      <c r="H542" s="14"/>
      <c r="I542" s="14"/>
      <c r="J542" s="14"/>
      <c r="K542" s="12"/>
    </row>
    <row r="543" ht="19.5" customHeight="1">
      <c r="A543" s="12"/>
      <c r="C543" s="12"/>
      <c r="D543" s="87"/>
      <c r="F543" s="14"/>
      <c r="G543" s="14"/>
      <c r="H543" s="14"/>
      <c r="I543" s="14"/>
      <c r="J543" s="14"/>
      <c r="K543" s="12"/>
    </row>
    <row r="544" ht="19.5" customHeight="1">
      <c r="A544" s="12"/>
      <c r="C544" s="12"/>
      <c r="D544" s="87"/>
      <c r="F544" s="14"/>
      <c r="G544" s="14"/>
      <c r="H544" s="14"/>
      <c r="I544" s="14"/>
      <c r="J544" s="14"/>
      <c r="K544" s="12"/>
    </row>
    <row r="545" ht="19.5" customHeight="1">
      <c r="A545" s="12"/>
      <c r="C545" s="12"/>
      <c r="D545" s="87"/>
      <c r="F545" s="14"/>
      <c r="G545" s="14"/>
      <c r="H545" s="14"/>
      <c r="I545" s="14"/>
      <c r="J545" s="14"/>
      <c r="K545" s="12"/>
    </row>
    <row r="546" ht="19.5" customHeight="1">
      <c r="A546" s="12"/>
      <c r="C546" s="12"/>
      <c r="D546" s="87"/>
      <c r="F546" s="14"/>
      <c r="G546" s="14"/>
      <c r="H546" s="14"/>
      <c r="I546" s="14"/>
      <c r="J546" s="14"/>
      <c r="K546" s="12"/>
    </row>
    <row r="547" ht="19.5" customHeight="1">
      <c r="A547" s="12"/>
      <c r="C547" s="12"/>
      <c r="D547" s="87"/>
      <c r="F547" s="14"/>
      <c r="G547" s="14"/>
      <c r="H547" s="14"/>
      <c r="I547" s="14"/>
      <c r="J547" s="14"/>
      <c r="K547" s="12"/>
    </row>
    <row r="548" ht="19.5" customHeight="1">
      <c r="A548" s="12"/>
      <c r="C548" s="12"/>
      <c r="D548" s="87"/>
      <c r="F548" s="14"/>
      <c r="G548" s="14"/>
      <c r="H548" s="14"/>
      <c r="I548" s="14"/>
      <c r="J548" s="14"/>
      <c r="K548" s="12"/>
    </row>
    <row r="549" ht="19.5" customHeight="1">
      <c r="A549" s="12"/>
      <c r="C549" s="12"/>
      <c r="D549" s="87"/>
      <c r="F549" s="14"/>
      <c r="G549" s="14"/>
      <c r="H549" s="14"/>
      <c r="I549" s="14"/>
      <c r="J549" s="14"/>
      <c r="K549" s="12"/>
    </row>
    <row r="550" ht="19.5" customHeight="1">
      <c r="A550" s="12"/>
      <c r="C550" s="12"/>
      <c r="D550" s="87"/>
      <c r="F550" s="14"/>
      <c r="G550" s="14"/>
      <c r="H550" s="14"/>
      <c r="I550" s="14"/>
      <c r="J550" s="14"/>
      <c r="K550" s="12"/>
    </row>
    <row r="551" ht="19.5" customHeight="1">
      <c r="A551" s="12"/>
      <c r="C551" s="12"/>
      <c r="D551" s="87"/>
      <c r="F551" s="14"/>
      <c r="G551" s="14"/>
      <c r="H551" s="14"/>
      <c r="I551" s="14"/>
      <c r="J551" s="14"/>
      <c r="K551" s="12"/>
    </row>
    <row r="552" ht="19.5" customHeight="1">
      <c r="A552" s="12"/>
      <c r="C552" s="12"/>
      <c r="D552" s="87"/>
      <c r="F552" s="14"/>
      <c r="G552" s="14"/>
      <c r="H552" s="14"/>
      <c r="I552" s="14"/>
      <c r="J552" s="14"/>
      <c r="K552" s="12"/>
    </row>
    <row r="553" ht="19.5" customHeight="1">
      <c r="A553" s="12"/>
      <c r="C553" s="12"/>
      <c r="D553" s="87"/>
      <c r="F553" s="14"/>
      <c r="G553" s="14"/>
      <c r="H553" s="14"/>
      <c r="I553" s="14"/>
      <c r="J553" s="14"/>
      <c r="K553" s="12"/>
    </row>
    <row r="554" ht="19.5" customHeight="1">
      <c r="A554" s="12"/>
      <c r="C554" s="12"/>
      <c r="D554" s="87"/>
      <c r="F554" s="14"/>
      <c r="G554" s="14"/>
      <c r="H554" s="14"/>
      <c r="I554" s="14"/>
      <c r="J554" s="14"/>
      <c r="K554" s="12"/>
    </row>
    <row r="555" ht="19.5" customHeight="1">
      <c r="A555" s="12"/>
      <c r="C555" s="12"/>
      <c r="D555" s="87"/>
      <c r="F555" s="14"/>
      <c r="G555" s="14"/>
      <c r="H555" s="14"/>
      <c r="I555" s="14"/>
      <c r="J555" s="14"/>
      <c r="K555" s="12"/>
    </row>
    <row r="556" ht="19.5" customHeight="1">
      <c r="A556" s="12"/>
      <c r="C556" s="12"/>
      <c r="D556" s="87"/>
      <c r="F556" s="14"/>
      <c r="G556" s="14"/>
      <c r="H556" s="14"/>
      <c r="I556" s="14"/>
      <c r="J556" s="14"/>
      <c r="K556" s="12"/>
    </row>
    <row r="557" ht="19.5" customHeight="1">
      <c r="A557" s="12"/>
      <c r="C557" s="12"/>
      <c r="D557" s="87"/>
      <c r="F557" s="14"/>
      <c r="G557" s="14"/>
      <c r="H557" s="14"/>
      <c r="I557" s="14"/>
      <c r="J557" s="14"/>
      <c r="K557" s="12"/>
    </row>
    <row r="558" ht="19.5" customHeight="1">
      <c r="A558" s="12"/>
      <c r="C558" s="12"/>
      <c r="D558" s="87"/>
      <c r="F558" s="14"/>
      <c r="G558" s="14"/>
      <c r="H558" s="14"/>
      <c r="I558" s="14"/>
      <c r="J558" s="14"/>
      <c r="K558" s="12"/>
    </row>
    <row r="559" ht="19.5" customHeight="1">
      <c r="A559" s="12"/>
      <c r="C559" s="12"/>
      <c r="D559" s="87"/>
      <c r="F559" s="14"/>
      <c r="G559" s="14"/>
      <c r="H559" s="14"/>
      <c r="I559" s="14"/>
      <c r="J559" s="14"/>
      <c r="K559" s="12"/>
    </row>
    <row r="560" ht="19.5" customHeight="1">
      <c r="A560" s="12"/>
      <c r="C560" s="12"/>
      <c r="D560" s="87"/>
      <c r="F560" s="14"/>
      <c r="G560" s="14"/>
      <c r="H560" s="14"/>
      <c r="I560" s="14"/>
      <c r="J560" s="14"/>
      <c r="K560" s="12"/>
    </row>
    <row r="561" ht="19.5" customHeight="1">
      <c r="A561" s="12"/>
      <c r="C561" s="12"/>
      <c r="D561" s="87"/>
      <c r="F561" s="14"/>
      <c r="G561" s="14"/>
      <c r="H561" s="14"/>
      <c r="I561" s="14"/>
      <c r="J561" s="14"/>
      <c r="K561" s="12"/>
    </row>
    <row r="562" ht="19.5" customHeight="1">
      <c r="A562" s="12"/>
      <c r="C562" s="12"/>
      <c r="D562" s="87"/>
      <c r="F562" s="14"/>
      <c r="G562" s="14"/>
      <c r="H562" s="14"/>
      <c r="I562" s="14"/>
      <c r="J562" s="14"/>
      <c r="K562" s="12"/>
    </row>
    <row r="563" ht="19.5" customHeight="1">
      <c r="A563" s="12"/>
      <c r="C563" s="12"/>
      <c r="D563" s="87"/>
      <c r="F563" s="14"/>
      <c r="G563" s="14"/>
      <c r="H563" s="14"/>
      <c r="I563" s="14"/>
      <c r="J563" s="14"/>
      <c r="K563" s="12"/>
    </row>
    <row r="564" ht="19.5" customHeight="1">
      <c r="A564" s="12"/>
      <c r="C564" s="12"/>
      <c r="D564" s="87"/>
      <c r="F564" s="14"/>
      <c r="G564" s="14"/>
      <c r="H564" s="14"/>
      <c r="I564" s="14"/>
      <c r="J564" s="14"/>
      <c r="K564" s="12"/>
    </row>
    <row r="565" ht="19.5" customHeight="1">
      <c r="A565" s="12"/>
      <c r="C565" s="12"/>
      <c r="D565" s="87"/>
      <c r="F565" s="14"/>
      <c r="G565" s="14"/>
      <c r="H565" s="14"/>
      <c r="I565" s="14"/>
      <c r="J565" s="14"/>
      <c r="K565" s="12"/>
    </row>
    <row r="566" ht="19.5" customHeight="1">
      <c r="A566" s="12"/>
      <c r="C566" s="12"/>
      <c r="D566" s="87"/>
      <c r="F566" s="14"/>
      <c r="G566" s="14"/>
      <c r="H566" s="14"/>
      <c r="I566" s="14"/>
      <c r="J566" s="14"/>
      <c r="K566" s="12"/>
    </row>
    <row r="567" ht="19.5" customHeight="1">
      <c r="A567" s="12"/>
      <c r="C567" s="12"/>
      <c r="D567" s="87"/>
      <c r="F567" s="14"/>
      <c r="G567" s="14"/>
      <c r="H567" s="14"/>
      <c r="I567" s="14"/>
      <c r="J567" s="14"/>
      <c r="K567" s="12"/>
    </row>
    <row r="568" ht="19.5" customHeight="1">
      <c r="A568" s="12"/>
      <c r="C568" s="12"/>
      <c r="D568" s="87"/>
      <c r="F568" s="14"/>
      <c r="G568" s="14"/>
      <c r="H568" s="14"/>
      <c r="I568" s="14"/>
      <c r="J568" s="14"/>
      <c r="K568" s="12"/>
    </row>
    <row r="569" ht="19.5" customHeight="1">
      <c r="A569" s="12"/>
      <c r="C569" s="12"/>
      <c r="D569" s="87"/>
      <c r="F569" s="14"/>
      <c r="G569" s="14"/>
      <c r="H569" s="14"/>
      <c r="I569" s="14"/>
      <c r="J569" s="14"/>
      <c r="K569" s="12"/>
    </row>
    <row r="570" ht="19.5" customHeight="1">
      <c r="A570" s="12"/>
      <c r="C570" s="12"/>
      <c r="D570" s="87"/>
      <c r="F570" s="14"/>
      <c r="G570" s="14"/>
      <c r="H570" s="14"/>
      <c r="I570" s="14"/>
      <c r="J570" s="14"/>
      <c r="K570" s="12"/>
    </row>
    <row r="571" ht="19.5" customHeight="1">
      <c r="A571" s="12"/>
      <c r="C571" s="12"/>
      <c r="D571" s="87"/>
      <c r="F571" s="14"/>
      <c r="G571" s="14"/>
      <c r="H571" s="14"/>
      <c r="I571" s="14"/>
      <c r="J571" s="14"/>
      <c r="K571" s="12"/>
    </row>
    <row r="572" ht="19.5" customHeight="1">
      <c r="A572" s="12"/>
      <c r="C572" s="12"/>
      <c r="D572" s="87"/>
      <c r="F572" s="14"/>
      <c r="G572" s="14"/>
      <c r="H572" s="14"/>
      <c r="I572" s="14"/>
      <c r="J572" s="14"/>
      <c r="K572" s="12"/>
    </row>
    <row r="573" ht="19.5" customHeight="1">
      <c r="A573" s="12"/>
      <c r="C573" s="12"/>
      <c r="D573" s="87"/>
      <c r="F573" s="14"/>
      <c r="G573" s="14"/>
      <c r="H573" s="14"/>
      <c r="I573" s="14"/>
      <c r="J573" s="14"/>
      <c r="K573" s="12"/>
    </row>
    <row r="574" ht="19.5" customHeight="1">
      <c r="A574" s="12"/>
      <c r="C574" s="12"/>
      <c r="D574" s="87"/>
      <c r="F574" s="14"/>
      <c r="G574" s="14"/>
      <c r="H574" s="14"/>
      <c r="I574" s="14"/>
      <c r="J574" s="14"/>
      <c r="K574" s="12"/>
    </row>
    <row r="575" ht="19.5" customHeight="1">
      <c r="A575" s="12"/>
      <c r="C575" s="12"/>
      <c r="D575" s="87"/>
      <c r="F575" s="14"/>
      <c r="G575" s="14"/>
      <c r="H575" s="14"/>
      <c r="I575" s="14"/>
      <c r="J575" s="14"/>
      <c r="K575" s="12"/>
    </row>
    <row r="576" ht="19.5" customHeight="1">
      <c r="A576" s="12"/>
      <c r="C576" s="12"/>
      <c r="D576" s="87"/>
      <c r="F576" s="14"/>
      <c r="G576" s="14"/>
      <c r="H576" s="14"/>
      <c r="I576" s="14"/>
      <c r="J576" s="14"/>
      <c r="K576" s="12"/>
    </row>
    <row r="577" ht="19.5" customHeight="1">
      <c r="A577" s="12"/>
      <c r="C577" s="12"/>
      <c r="D577" s="87"/>
      <c r="F577" s="14"/>
      <c r="G577" s="14"/>
      <c r="H577" s="14"/>
      <c r="I577" s="14"/>
      <c r="J577" s="14"/>
      <c r="K577" s="12"/>
    </row>
    <row r="578" ht="19.5" customHeight="1">
      <c r="A578" s="12"/>
      <c r="C578" s="12"/>
      <c r="D578" s="87"/>
      <c r="F578" s="14"/>
      <c r="G578" s="14"/>
      <c r="H578" s="14"/>
      <c r="I578" s="14"/>
      <c r="J578" s="14"/>
      <c r="K578" s="12"/>
    </row>
    <row r="579" ht="19.5" customHeight="1">
      <c r="A579" s="12"/>
      <c r="C579" s="12"/>
      <c r="D579" s="87"/>
      <c r="F579" s="14"/>
      <c r="G579" s="14"/>
      <c r="H579" s="14"/>
      <c r="I579" s="14"/>
      <c r="J579" s="14"/>
      <c r="K579" s="12"/>
    </row>
    <row r="580" ht="19.5" customHeight="1">
      <c r="A580" s="12"/>
      <c r="C580" s="12"/>
      <c r="D580" s="87"/>
      <c r="F580" s="14"/>
      <c r="G580" s="14"/>
      <c r="H580" s="14"/>
      <c r="I580" s="14"/>
      <c r="J580" s="14"/>
      <c r="K580" s="12"/>
    </row>
    <row r="581" ht="19.5" customHeight="1">
      <c r="A581" s="12"/>
      <c r="C581" s="12"/>
      <c r="D581" s="87"/>
      <c r="F581" s="14"/>
      <c r="G581" s="14"/>
      <c r="H581" s="14"/>
      <c r="I581" s="14"/>
      <c r="J581" s="14"/>
      <c r="K581" s="12"/>
    </row>
    <row r="582" ht="19.5" customHeight="1">
      <c r="A582" s="12"/>
      <c r="C582" s="12"/>
      <c r="D582" s="87"/>
      <c r="F582" s="14"/>
      <c r="G582" s="14"/>
      <c r="H582" s="14"/>
      <c r="I582" s="14"/>
      <c r="J582" s="14"/>
      <c r="K582" s="12"/>
    </row>
    <row r="583" ht="19.5" customHeight="1">
      <c r="A583" s="12"/>
      <c r="C583" s="12"/>
      <c r="D583" s="87"/>
      <c r="F583" s="14"/>
      <c r="G583" s="14"/>
      <c r="H583" s="14"/>
      <c r="I583" s="14"/>
      <c r="J583" s="14"/>
      <c r="K583" s="12"/>
    </row>
    <row r="584" ht="19.5" customHeight="1">
      <c r="A584" s="12"/>
      <c r="C584" s="12"/>
      <c r="D584" s="87"/>
      <c r="F584" s="14"/>
      <c r="G584" s="14"/>
      <c r="H584" s="14"/>
      <c r="I584" s="14"/>
      <c r="J584" s="14"/>
      <c r="K584" s="12"/>
    </row>
    <row r="585" ht="19.5" customHeight="1">
      <c r="A585" s="12"/>
      <c r="C585" s="12"/>
      <c r="D585" s="87"/>
      <c r="F585" s="14"/>
      <c r="G585" s="14"/>
      <c r="H585" s="14"/>
      <c r="I585" s="14"/>
      <c r="J585" s="14"/>
      <c r="K585" s="12"/>
    </row>
    <row r="586" ht="19.5" customHeight="1">
      <c r="A586" s="12"/>
      <c r="C586" s="12"/>
      <c r="D586" s="87"/>
      <c r="F586" s="14"/>
      <c r="G586" s="14"/>
      <c r="H586" s="14"/>
      <c r="I586" s="14"/>
      <c r="J586" s="14"/>
      <c r="K586" s="12"/>
    </row>
    <row r="587" ht="19.5" customHeight="1">
      <c r="A587" s="12"/>
      <c r="C587" s="12"/>
      <c r="D587" s="87"/>
      <c r="F587" s="14"/>
      <c r="G587" s="14"/>
      <c r="H587" s="14"/>
      <c r="I587" s="14"/>
      <c r="J587" s="14"/>
      <c r="K587" s="12"/>
    </row>
    <row r="588" ht="19.5" customHeight="1">
      <c r="A588" s="12"/>
      <c r="C588" s="12"/>
      <c r="D588" s="87"/>
      <c r="F588" s="14"/>
      <c r="G588" s="14"/>
      <c r="H588" s="14"/>
      <c r="I588" s="14"/>
      <c r="J588" s="14"/>
      <c r="K588" s="12"/>
    </row>
    <row r="589" ht="19.5" customHeight="1">
      <c r="A589" s="12"/>
      <c r="C589" s="12"/>
      <c r="D589" s="87"/>
      <c r="F589" s="14"/>
      <c r="G589" s="14"/>
      <c r="H589" s="14"/>
      <c r="I589" s="14"/>
      <c r="J589" s="14"/>
      <c r="K589" s="12"/>
    </row>
    <row r="590" ht="19.5" customHeight="1">
      <c r="A590" s="12"/>
      <c r="C590" s="12"/>
      <c r="D590" s="87"/>
      <c r="F590" s="14"/>
      <c r="G590" s="14"/>
      <c r="H590" s="14"/>
      <c r="I590" s="14"/>
      <c r="J590" s="14"/>
      <c r="K590" s="12"/>
    </row>
    <row r="591" ht="19.5" customHeight="1">
      <c r="A591" s="12"/>
      <c r="C591" s="12"/>
      <c r="D591" s="87"/>
      <c r="F591" s="14"/>
      <c r="G591" s="14"/>
      <c r="H591" s="14"/>
      <c r="I591" s="14"/>
      <c r="J591" s="14"/>
      <c r="K591" s="12"/>
    </row>
    <row r="592" ht="19.5" customHeight="1">
      <c r="A592" s="12"/>
      <c r="C592" s="12"/>
      <c r="D592" s="87"/>
      <c r="F592" s="14"/>
      <c r="G592" s="14"/>
      <c r="H592" s="14"/>
      <c r="I592" s="14"/>
      <c r="J592" s="14"/>
      <c r="K592" s="12"/>
    </row>
    <row r="593" ht="19.5" customHeight="1">
      <c r="A593" s="12"/>
      <c r="C593" s="12"/>
      <c r="D593" s="87"/>
      <c r="F593" s="14"/>
      <c r="G593" s="14"/>
      <c r="H593" s="14"/>
      <c r="I593" s="14"/>
      <c r="J593" s="14"/>
      <c r="K593" s="12"/>
    </row>
    <row r="594" ht="19.5" customHeight="1">
      <c r="A594" s="12"/>
      <c r="C594" s="12"/>
      <c r="D594" s="87"/>
      <c r="F594" s="14"/>
      <c r="G594" s="14"/>
      <c r="H594" s="14"/>
      <c r="I594" s="14"/>
      <c r="J594" s="14"/>
      <c r="K594" s="12"/>
    </row>
    <row r="595" ht="19.5" customHeight="1">
      <c r="A595" s="12"/>
      <c r="C595" s="12"/>
      <c r="D595" s="87"/>
      <c r="F595" s="14"/>
      <c r="G595" s="14"/>
      <c r="H595" s="14"/>
      <c r="I595" s="14"/>
      <c r="J595" s="14"/>
      <c r="K595" s="12"/>
    </row>
    <row r="596" ht="19.5" customHeight="1">
      <c r="A596" s="12"/>
      <c r="C596" s="12"/>
      <c r="D596" s="87"/>
      <c r="F596" s="14"/>
      <c r="G596" s="14"/>
      <c r="H596" s="14"/>
      <c r="I596" s="14"/>
      <c r="J596" s="14"/>
      <c r="K596" s="12"/>
    </row>
    <row r="597" ht="19.5" customHeight="1">
      <c r="A597" s="12"/>
      <c r="C597" s="12"/>
      <c r="D597" s="87"/>
      <c r="F597" s="14"/>
      <c r="G597" s="14"/>
      <c r="H597" s="14"/>
      <c r="I597" s="14"/>
      <c r="J597" s="14"/>
      <c r="K597" s="12"/>
    </row>
    <row r="598" ht="19.5" customHeight="1">
      <c r="A598" s="12"/>
      <c r="C598" s="12"/>
      <c r="D598" s="87"/>
      <c r="F598" s="14"/>
      <c r="G598" s="14"/>
      <c r="H598" s="14"/>
      <c r="I598" s="14"/>
      <c r="J598" s="14"/>
      <c r="K598" s="12"/>
    </row>
    <row r="599" ht="19.5" customHeight="1">
      <c r="A599" s="12"/>
      <c r="C599" s="12"/>
      <c r="D599" s="87"/>
      <c r="F599" s="14"/>
      <c r="G599" s="14"/>
      <c r="H599" s="14"/>
      <c r="I599" s="14"/>
      <c r="J599" s="14"/>
      <c r="K599" s="12"/>
    </row>
    <row r="600" ht="19.5" customHeight="1">
      <c r="A600" s="12"/>
      <c r="C600" s="12"/>
      <c r="D600" s="87"/>
      <c r="F600" s="14"/>
      <c r="G600" s="14"/>
      <c r="H600" s="14"/>
      <c r="I600" s="14"/>
      <c r="J600" s="14"/>
      <c r="K600" s="12"/>
    </row>
    <row r="601" ht="19.5" customHeight="1">
      <c r="A601" s="12"/>
      <c r="C601" s="12"/>
      <c r="D601" s="87"/>
      <c r="F601" s="14"/>
      <c r="G601" s="14"/>
      <c r="H601" s="14"/>
      <c r="I601" s="14"/>
      <c r="J601" s="14"/>
      <c r="K601" s="12"/>
    </row>
    <row r="602" ht="19.5" customHeight="1">
      <c r="A602" s="12"/>
      <c r="C602" s="12"/>
      <c r="D602" s="87"/>
      <c r="F602" s="14"/>
      <c r="G602" s="14"/>
      <c r="H602" s="14"/>
      <c r="I602" s="14"/>
      <c r="J602" s="14"/>
      <c r="K602" s="12"/>
    </row>
    <row r="603" ht="19.5" customHeight="1">
      <c r="A603" s="12"/>
      <c r="C603" s="12"/>
      <c r="D603" s="87"/>
      <c r="F603" s="14"/>
      <c r="G603" s="14"/>
      <c r="H603" s="14"/>
      <c r="I603" s="14"/>
      <c r="J603" s="14"/>
      <c r="K603" s="12"/>
    </row>
    <row r="604" ht="19.5" customHeight="1">
      <c r="A604" s="12"/>
      <c r="C604" s="12"/>
      <c r="D604" s="87"/>
      <c r="F604" s="14"/>
      <c r="G604" s="14"/>
      <c r="H604" s="14"/>
      <c r="I604" s="14"/>
      <c r="J604" s="14"/>
      <c r="K604" s="12"/>
    </row>
    <row r="605" ht="19.5" customHeight="1">
      <c r="A605" s="12"/>
      <c r="C605" s="12"/>
      <c r="D605" s="87"/>
      <c r="F605" s="14"/>
      <c r="G605" s="14"/>
      <c r="H605" s="14"/>
      <c r="I605" s="14"/>
      <c r="J605" s="14"/>
      <c r="K605" s="12"/>
    </row>
    <row r="606" ht="19.5" customHeight="1">
      <c r="A606" s="12"/>
      <c r="C606" s="12"/>
      <c r="D606" s="87"/>
      <c r="F606" s="14"/>
      <c r="G606" s="14"/>
      <c r="H606" s="14"/>
      <c r="I606" s="14"/>
      <c r="J606" s="14"/>
      <c r="K606" s="12"/>
    </row>
    <row r="607" ht="19.5" customHeight="1">
      <c r="A607" s="12"/>
      <c r="C607" s="12"/>
      <c r="D607" s="87"/>
      <c r="F607" s="14"/>
      <c r="G607" s="14"/>
      <c r="H607" s="14"/>
      <c r="I607" s="14"/>
      <c r="J607" s="14"/>
      <c r="K607" s="12"/>
    </row>
    <row r="608" ht="19.5" customHeight="1">
      <c r="A608" s="12"/>
      <c r="C608" s="12"/>
      <c r="D608" s="87"/>
      <c r="F608" s="14"/>
      <c r="G608" s="14"/>
      <c r="H608" s="14"/>
      <c r="I608" s="14"/>
      <c r="J608" s="14"/>
      <c r="K608" s="12"/>
    </row>
    <row r="609" ht="19.5" customHeight="1">
      <c r="A609" s="12"/>
      <c r="C609" s="12"/>
      <c r="D609" s="87"/>
      <c r="F609" s="14"/>
      <c r="G609" s="14"/>
      <c r="H609" s="14"/>
      <c r="I609" s="14"/>
      <c r="J609" s="14"/>
      <c r="K609" s="12"/>
    </row>
    <row r="610" ht="19.5" customHeight="1">
      <c r="A610" s="12"/>
      <c r="C610" s="12"/>
      <c r="D610" s="87"/>
      <c r="F610" s="14"/>
      <c r="G610" s="14"/>
      <c r="H610" s="14"/>
      <c r="I610" s="14"/>
      <c r="J610" s="14"/>
      <c r="K610" s="12"/>
    </row>
    <row r="611" ht="19.5" customHeight="1">
      <c r="A611" s="12"/>
      <c r="C611" s="12"/>
      <c r="D611" s="87"/>
      <c r="F611" s="14"/>
      <c r="G611" s="14"/>
      <c r="H611" s="14"/>
      <c r="I611" s="14"/>
      <c r="J611" s="14"/>
      <c r="K611" s="12"/>
    </row>
    <row r="612" ht="19.5" customHeight="1">
      <c r="A612" s="12"/>
      <c r="C612" s="12"/>
      <c r="D612" s="87"/>
      <c r="F612" s="14"/>
      <c r="G612" s="14"/>
      <c r="H612" s="14"/>
      <c r="I612" s="14"/>
      <c r="J612" s="14"/>
      <c r="K612" s="12"/>
    </row>
    <row r="613" ht="19.5" customHeight="1">
      <c r="A613" s="12"/>
      <c r="C613" s="12"/>
      <c r="D613" s="87"/>
      <c r="F613" s="14"/>
      <c r="G613" s="14"/>
      <c r="H613" s="14"/>
      <c r="I613" s="14"/>
      <c r="J613" s="14"/>
      <c r="K613" s="12"/>
    </row>
    <row r="614" ht="19.5" customHeight="1">
      <c r="A614" s="12"/>
      <c r="C614" s="12"/>
      <c r="D614" s="87"/>
      <c r="F614" s="14"/>
      <c r="G614" s="14"/>
      <c r="H614" s="14"/>
      <c r="I614" s="14"/>
      <c r="J614" s="14"/>
      <c r="K614" s="12"/>
    </row>
    <row r="615" ht="19.5" customHeight="1">
      <c r="A615" s="12"/>
      <c r="C615" s="12"/>
      <c r="D615" s="87"/>
      <c r="F615" s="14"/>
      <c r="G615" s="14"/>
      <c r="H615" s="14"/>
      <c r="I615" s="14"/>
      <c r="J615" s="14"/>
      <c r="K615" s="12"/>
    </row>
    <row r="616" ht="19.5" customHeight="1">
      <c r="A616" s="12"/>
      <c r="C616" s="12"/>
      <c r="D616" s="87"/>
      <c r="F616" s="14"/>
      <c r="G616" s="14"/>
      <c r="H616" s="14"/>
      <c r="I616" s="14"/>
      <c r="J616" s="14"/>
      <c r="K616" s="12"/>
    </row>
    <row r="617" ht="19.5" customHeight="1">
      <c r="A617" s="12"/>
      <c r="C617" s="12"/>
      <c r="D617" s="87"/>
      <c r="F617" s="14"/>
      <c r="G617" s="14"/>
      <c r="H617" s="14"/>
      <c r="I617" s="14"/>
      <c r="J617" s="14"/>
      <c r="K617" s="12"/>
    </row>
    <row r="618" ht="19.5" customHeight="1">
      <c r="A618" s="12"/>
      <c r="C618" s="12"/>
      <c r="D618" s="87"/>
      <c r="F618" s="14"/>
      <c r="G618" s="14"/>
      <c r="H618" s="14"/>
      <c r="I618" s="14"/>
      <c r="J618" s="14"/>
      <c r="K618" s="12"/>
    </row>
    <row r="619" ht="19.5" customHeight="1">
      <c r="A619" s="12"/>
      <c r="C619" s="12"/>
      <c r="D619" s="87"/>
      <c r="F619" s="14"/>
      <c r="G619" s="14"/>
      <c r="H619" s="14"/>
      <c r="I619" s="14"/>
      <c r="J619" s="14"/>
      <c r="K619" s="12"/>
    </row>
    <row r="620" ht="19.5" customHeight="1">
      <c r="A620" s="12"/>
      <c r="C620" s="12"/>
      <c r="D620" s="87"/>
      <c r="F620" s="14"/>
      <c r="G620" s="14"/>
      <c r="H620" s="14"/>
      <c r="I620" s="14"/>
      <c r="J620" s="14"/>
      <c r="K620" s="12"/>
    </row>
    <row r="621" ht="19.5" customHeight="1">
      <c r="A621" s="12"/>
      <c r="C621" s="12"/>
      <c r="D621" s="87"/>
      <c r="F621" s="14"/>
      <c r="G621" s="14"/>
      <c r="H621" s="14"/>
      <c r="I621" s="14"/>
      <c r="J621" s="14"/>
      <c r="K621" s="12"/>
    </row>
    <row r="622" ht="19.5" customHeight="1">
      <c r="A622" s="12"/>
      <c r="C622" s="12"/>
      <c r="D622" s="87"/>
      <c r="F622" s="14"/>
      <c r="G622" s="14"/>
      <c r="H622" s="14"/>
      <c r="I622" s="14"/>
      <c r="J622" s="14"/>
      <c r="K622" s="12"/>
    </row>
    <row r="623" ht="19.5" customHeight="1">
      <c r="A623" s="12"/>
      <c r="C623" s="12"/>
      <c r="D623" s="87"/>
      <c r="F623" s="14"/>
      <c r="G623" s="14"/>
      <c r="H623" s="14"/>
      <c r="I623" s="14"/>
      <c r="J623" s="14"/>
      <c r="K623" s="12"/>
    </row>
    <row r="624" ht="19.5" customHeight="1">
      <c r="A624" s="12"/>
      <c r="C624" s="12"/>
      <c r="D624" s="87"/>
      <c r="F624" s="14"/>
      <c r="G624" s="14"/>
      <c r="H624" s="14"/>
      <c r="I624" s="14"/>
      <c r="J624" s="14"/>
      <c r="K624" s="12"/>
    </row>
    <row r="625" ht="19.5" customHeight="1">
      <c r="A625" s="12"/>
      <c r="C625" s="12"/>
      <c r="D625" s="87"/>
      <c r="F625" s="14"/>
      <c r="G625" s="14"/>
      <c r="H625" s="14"/>
      <c r="I625" s="14"/>
      <c r="J625" s="14"/>
      <c r="K625" s="12"/>
    </row>
    <row r="626" ht="19.5" customHeight="1">
      <c r="A626" s="12"/>
      <c r="C626" s="12"/>
      <c r="D626" s="87"/>
      <c r="F626" s="14"/>
      <c r="G626" s="14"/>
      <c r="H626" s="14"/>
      <c r="I626" s="14"/>
      <c r="J626" s="14"/>
      <c r="K626" s="12"/>
    </row>
    <row r="627" ht="19.5" customHeight="1">
      <c r="A627" s="12"/>
      <c r="C627" s="12"/>
      <c r="D627" s="87"/>
      <c r="F627" s="14"/>
      <c r="G627" s="14"/>
      <c r="H627" s="14"/>
      <c r="I627" s="14"/>
      <c r="J627" s="14"/>
      <c r="K627" s="12"/>
    </row>
    <row r="628" ht="19.5" customHeight="1">
      <c r="A628" s="12"/>
      <c r="C628" s="12"/>
      <c r="D628" s="87"/>
      <c r="F628" s="14"/>
      <c r="G628" s="14"/>
      <c r="H628" s="14"/>
      <c r="I628" s="14"/>
      <c r="J628" s="14"/>
      <c r="K628" s="12"/>
    </row>
    <row r="629" ht="19.5" customHeight="1">
      <c r="A629" s="12"/>
      <c r="C629" s="12"/>
      <c r="D629" s="87"/>
      <c r="F629" s="14"/>
      <c r="G629" s="14"/>
      <c r="H629" s="14"/>
      <c r="I629" s="14"/>
      <c r="J629" s="14"/>
      <c r="K629" s="12"/>
    </row>
    <row r="630" ht="19.5" customHeight="1">
      <c r="A630" s="12"/>
      <c r="C630" s="12"/>
      <c r="D630" s="87"/>
      <c r="F630" s="14"/>
      <c r="G630" s="14"/>
      <c r="H630" s="14"/>
      <c r="I630" s="14"/>
      <c r="J630" s="14"/>
      <c r="K630" s="12"/>
    </row>
    <row r="631" ht="19.5" customHeight="1">
      <c r="A631" s="12"/>
      <c r="C631" s="12"/>
      <c r="D631" s="87"/>
      <c r="F631" s="14"/>
      <c r="G631" s="14"/>
      <c r="H631" s="14"/>
      <c r="I631" s="14"/>
      <c r="J631" s="14"/>
      <c r="K631" s="12"/>
    </row>
    <row r="632" ht="19.5" customHeight="1">
      <c r="A632" s="12"/>
      <c r="C632" s="12"/>
      <c r="D632" s="87"/>
      <c r="F632" s="14"/>
      <c r="G632" s="14"/>
      <c r="H632" s="14"/>
      <c r="I632" s="14"/>
      <c r="J632" s="14"/>
      <c r="K632" s="12"/>
    </row>
    <row r="633" ht="19.5" customHeight="1">
      <c r="A633" s="12"/>
      <c r="C633" s="12"/>
      <c r="D633" s="87"/>
      <c r="F633" s="14"/>
      <c r="G633" s="14"/>
      <c r="H633" s="14"/>
      <c r="I633" s="14"/>
      <c r="J633" s="14"/>
      <c r="K633" s="12"/>
    </row>
    <row r="634" ht="19.5" customHeight="1">
      <c r="A634" s="12"/>
      <c r="C634" s="12"/>
      <c r="D634" s="87"/>
      <c r="F634" s="14"/>
      <c r="G634" s="14"/>
      <c r="H634" s="14"/>
      <c r="I634" s="14"/>
      <c r="J634" s="14"/>
      <c r="K634" s="12"/>
    </row>
    <row r="635" ht="19.5" customHeight="1">
      <c r="A635" s="12"/>
      <c r="C635" s="12"/>
      <c r="D635" s="87"/>
      <c r="F635" s="14"/>
      <c r="G635" s="14"/>
      <c r="H635" s="14"/>
      <c r="I635" s="14"/>
      <c r="J635" s="14"/>
      <c r="K635" s="12"/>
    </row>
    <row r="636" ht="19.5" customHeight="1">
      <c r="A636" s="12"/>
      <c r="C636" s="12"/>
      <c r="D636" s="87"/>
      <c r="F636" s="14"/>
      <c r="G636" s="14"/>
      <c r="H636" s="14"/>
      <c r="I636" s="14"/>
      <c r="J636" s="14"/>
      <c r="K636" s="12"/>
    </row>
    <row r="637" ht="19.5" customHeight="1">
      <c r="A637" s="12"/>
      <c r="C637" s="12"/>
      <c r="D637" s="87"/>
      <c r="F637" s="14"/>
      <c r="G637" s="14"/>
      <c r="H637" s="14"/>
      <c r="I637" s="14"/>
      <c r="J637" s="14"/>
      <c r="K637" s="12"/>
    </row>
    <row r="638" ht="19.5" customHeight="1">
      <c r="A638" s="12"/>
      <c r="C638" s="12"/>
      <c r="D638" s="87"/>
      <c r="F638" s="14"/>
      <c r="G638" s="14"/>
      <c r="H638" s="14"/>
      <c r="I638" s="14"/>
      <c r="J638" s="14"/>
      <c r="K638" s="12"/>
    </row>
    <row r="639" ht="19.5" customHeight="1">
      <c r="A639" s="12"/>
      <c r="C639" s="12"/>
      <c r="D639" s="87"/>
      <c r="F639" s="14"/>
      <c r="G639" s="14"/>
      <c r="H639" s="14"/>
      <c r="I639" s="14"/>
      <c r="J639" s="14"/>
      <c r="K639" s="12"/>
    </row>
    <row r="640" ht="19.5" customHeight="1">
      <c r="A640" s="12"/>
      <c r="C640" s="12"/>
      <c r="D640" s="87"/>
      <c r="F640" s="14"/>
      <c r="G640" s="14"/>
      <c r="H640" s="14"/>
      <c r="I640" s="14"/>
      <c r="J640" s="14"/>
      <c r="K640" s="12"/>
    </row>
    <row r="641" ht="19.5" customHeight="1">
      <c r="A641" s="12"/>
      <c r="C641" s="12"/>
      <c r="D641" s="87"/>
      <c r="F641" s="14"/>
      <c r="G641" s="14"/>
      <c r="H641" s="14"/>
      <c r="I641" s="14"/>
      <c r="J641" s="14"/>
      <c r="K641" s="12"/>
    </row>
    <row r="642" ht="19.5" customHeight="1">
      <c r="A642" s="12"/>
      <c r="C642" s="12"/>
      <c r="D642" s="87"/>
      <c r="F642" s="14"/>
      <c r="G642" s="14"/>
      <c r="H642" s="14"/>
      <c r="I642" s="14"/>
      <c r="J642" s="14"/>
      <c r="K642" s="12"/>
    </row>
    <row r="643" ht="19.5" customHeight="1">
      <c r="A643" s="12"/>
      <c r="C643" s="12"/>
      <c r="D643" s="87"/>
      <c r="F643" s="14"/>
      <c r="G643" s="14"/>
      <c r="H643" s="14"/>
      <c r="I643" s="14"/>
      <c r="J643" s="14"/>
      <c r="K643" s="12"/>
    </row>
    <row r="644" ht="19.5" customHeight="1">
      <c r="A644" s="12"/>
      <c r="C644" s="12"/>
      <c r="D644" s="87"/>
      <c r="F644" s="14"/>
      <c r="G644" s="14"/>
      <c r="H644" s="14"/>
      <c r="I644" s="14"/>
      <c r="J644" s="14"/>
      <c r="K644" s="12"/>
    </row>
    <row r="645" ht="19.5" customHeight="1">
      <c r="A645" s="12"/>
      <c r="C645" s="12"/>
      <c r="D645" s="87"/>
      <c r="F645" s="14"/>
      <c r="G645" s="14"/>
      <c r="H645" s="14"/>
      <c r="I645" s="14"/>
      <c r="J645" s="14"/>
      <c r="K645" s="12"/>
    </row>
    <row r="646" ht="19.5" customHeight="1">
      <c r="A646" s="12"/>
      <c r="C646" s="12"/>
      <c r="D646" s="87"/>
      <c r="F646" s="14"/>
      <c r="G646" s="14"/>
      <c r="H646" s="14"/>
      <c r="I646" s="14"/>
      <c r="J646" s="14"/>
      <c r="K646" s="12"/>
    </row>
    <row r="647" ht="19.5" customHeight="1">
      <c r="A647" s="12"/>
      <c r="C647" s="12"/>
      <c r="D647" s="87"/>
      <c r="F647" s="14"/>
      <c r="G647" s="14"/>
      <c r="H647" s="14"/>
      <c r="I647" s="14"/>
      <c r="J647" s="14"/>
      <c r="K647" s="12"/>
    </row>
    <row r="648" ht="19.5" customHeight="1">
      <c r="A648" s="12"/>
      <c r="C648" s="12"/>
      <c r="D648" s="87"/>
      <c r="F648" s="14"/>
      <c r="G648" s="14"/>
      <c r="H648" s="14"/>
      <c r="I648" s="14"/>
      <c r="J648" s="14"/>
      <c r="K648" s="12"/>
    </row>
    <row r="649" ht="19.5" customHeight="1">
      <c r="A649" s="12"/>
      <c r="C649" s="12"/>
      <c r="D649" s="87"/>
      <c r="F649" s="14"/>
      <c r="G649" s="14"/>
      <c r="H649" s="14"/>
      <c r="I649" s="14"/>
      <c r="J649" s="14"/>
      <c r="K649" s="12"/>
    </row>
    <row r="650" ht="19.5" customHeight="1">
      <c r="A650" s="12"/>
      <c r="C650" s="12"/>
      <c r="D650" s="87"/>
      <c r="F650" s="14"/>
      <c r="G650" s="14"/>
      <c r="H650" s="14"/>
      <c r="I650" s="14"/>
      <c r="J650" s="14"/>
      <c r="K650" s="12"/>
    </row>
    <row r="651" ht="19.5" customHeight="1">
      <c r="A651" s="12"/>
      <c r="C651" s="12"/>
      <c r="D651" s="87"/>
      <c r="F651" s="14"/>
      <c r="G651" s="14"/>
      <c r="H651" s="14"/>
      <c r="I651" s="14"/>
      <c r="J651" s="14"/>
      <c r="K651" s="12"/>
    </row>
    <row r="652" ht="19.5" customHeight="1">
      <c r="A652" s="12"/>
      <c r="C652" s="12"/>
      <c r="D652" s="87"/>
      <c r="F652" s="14"/>
      <c r="G652" s="14"/>
      <c r="H652" s="14"/>
      <c r="I652" s="14"/>
      <c r="J652" s="14"/>
      <c r="K652" s="12"/>
    </row>
    <row r="653" ht="19.5" customHeight="1">
      <c r="A653" s="12"/>
      <c r="C653" s="12"/>
      <c r="D653" s="87"/>
      <c r="F653" s="14"/>
      <c r="G653" s="14"/>
      <c r="H653" s="14"/>
      <c r="I653" s="14"/>
      <c r="J653" s="14"/>
      <c r="K653" s="12"/>
    </row>
    <row r="654" ht="19.5" customHeight="1">
      <c r="A654" s="12"/>
      <c r="C654" s="12"/>
      <c r="D654" s="87"/>
      <c r="F654" s="14"/>
      <c r="G654" s="14"/>
      <c r="H654" s="14"/>
      <c r="I654" s="14"/>
      <c r="J654" s="14"/>
      <c r="K654" s="12"/>
    </row>
    <row r="655" ht="19.5" customHeight="1">
      <c r="A655" s="12"/>
      <c r="C655" s="12"/>
      <c r="D655" s="87"/>
      <c r="F655" s="14"/>
      <c r="G655" s="14"/>
      <c r="H655" s="14"/>
      <c r="I655" s="14"/>
      <c r="J655" s="14"/>
      <c r="K655" s="12"/>
    </row>
    <row r="656" ht="19.5" customHeight="1">
      <c r="A656" s="12"/>
      <c r="C656" s="12"/>
      <c r="D656" s="87"/>
      <c r="F656" s="14"/>
      <c r="G656" s="14"/>
      <c r="H656" s="14"/>
      <c r="I656" s="14"/>
      <c r="J656" s="14"/>
      <c r="K656" s="12"/>
    </row>
    <row r="657" ht="19.5" customHeight="1">
      <c r="A657" s="12"/>
      <c r="C657" s="12"/>
      <c r="D657" s="87"/>
      <c r="F657" s="14"/>
      <c r="G657" s="14"/>
      <c r="H657" s="14"/>
      <c r="I657" s="14"/>
      <c r="J657" s="14"/>
      <c r="K657" s="12"/>
    </row>
    <row r="658" ht="19.5" customHeight="1">
      <c r="A658" s="12"/>
      <c r="C658" s="12"/>
      <c r="D658" s="87"/>
      <c r="F658" s="14"/>
      <c r="G658" s="14"/>
      <c r="H658" s="14"/>
      <c r="I658" s="14"/>
      <c r="J658" s="14"/>
      <c r="K658" s="12"/>
    </row>
    <row r="659" ht="19.5" customHeight="1">
      <c r="A659" s="12"/>
      <c r="C659" s="12"/>
      <c r="D659" s="87"/>
      <c r="F659" s="14"/>
      <c r="G659" s="14"/>
      <c r="H659" s="14"/>
      <c r="I659" s="14"/>
      <c r="J659" s="14"/>
      <c r="K659" s="12"/>
    </row>
    <row r="660" ht="19.5" customHeight="1">
      <c r="A660" s="12"/>
      <c r="C660" s="12"/>
      <c r="D660" s="87"/>
      <c r="F660" s="14"/>
      <c r="G660" s="14"/>
      <c r="H660" s="14"/>
      <c r="I660" s="14"/>
      <c r="J660" s="14"/>
      <c r="K660" s="12"/>
    </row>
    <row r="661" ht="19.5" customHeight="1">
      <c r="A661" s="12"/>
      <c r="C661" s="12"/>
      <c r="D661" s="87"/>
      <c r="F661" s="14"/>
      <c r="G661" s="14"/>
      <c r="H661" s="14"/>
      <c r="I661" s="14"/>
      <c r="J661" s="14"/>
      <c r="K661" s="12"/>
    </row>
    <row r="662" ht="19.5" customHeight="1">
      <c r="A662" s="12"/>
      <c r="C662" s="12"/>
      <c r="D662" s="87"/>
      <c r="F662" s="14"/>
      <c r="G662" s="14"/>
      <c r="H662" s="14"/>
      <c r="I662" s="14"/>
      <c r="J662" s="14"/>
      <c r="K662" s="12"/>
    </row>
    <row r="663" ht="19.5" customHeight="1">
      <c r="A663" s="12"/>
      <c r="C663" s="12"/>
      <c r="D663" s="87"/>
      <c r="F663" s="14"/>
      <c r="G663" s="14"/>
      <c r="H663" s="14"/>
      <c r="I663" s="14"/>
      <c r="J663" s="14"/>
      <c r="K663" s="12"/>
    </row>
    <row r="664" ht="19.5" customHeight="1">
      <c r="A664" s="12"/>
      <c r="C664" s="12"/>
      <c r="D664" s="87"/>
      <c r="F664" s="14"/>
      <c r="G664" s="14"/>
      <c r="H664" s="14"/>
      <c r="I664" s="14"/>
      <c r="J664" s="14"/>
      <c r="K664" s="12"/>
    </row>
    <row r="665" ht="19.5" customHeight="1">
      <c r="A665" s="12"/>
      <c r="C665" s="12"/>
      <c r="D665" s="87"/>
      <c r="F665" s="14"/>
      <c r="G665" s="14"/>
      <c r="H665" s="14"/>
      <c r="I665" s="14"/>
      <c r="J665" s="14"/>
      <c r="K665" s="12"/>
    </row>
    <row r="666" ht="19.5" customHeight="1">
      <c r="A666" s="12"/>
      <c r="C666" s="12"/>
      <c r="D666" s="87"/>
      <c r="F666" s="14"/>
      <c r="G666" s="14"/>
      <c r="H666" s="14"/>
      <c r="I666" s="14"/>
      <c r="J666" s="14"/>
      <c r="K666" s="12"/>
    </row>
    <row r="667" ht="19.5" customHeight="1">
      <c r="A667" s="12"/>
      <c r="C667" s="12"/>
      <c r="D667" s="87"/>
      <c r="F667" s="14"/>
      <c r="G667" s="14"/>
      <c r="H667" s="14"/>
      <c r="I667" s="14"/>
      <c r="J667" s="14"/>
      <c r="K667" s="12"/>
    </row>
    <row r="668" ht="19.5" customHeight="1">
      <c r="A668" s="12"/>
      <c r="C668" s="12"/>
      <c r="D668" s="87"/>
      <c r="F668" s="14"/>
      <c r="G668" s="14"/>
      <c r="H668" s="14"/>
      <c r="I668" s="14"/>
      <c r="J668" s="14"/>
      <c r="K668" s="12"/>
    </row>
    <row r="669" ht="19.5" customHeight="1">
      <c r="A669" s="12"/>
      <c r="C669" s="12"/>
      <c r="D669" s="87"/>
      <c r="F669" s="14"/>
      <c r="G669" s="14"/>
      <c r="H669" s="14"/>
      <c r="I669" s="14"/>
      <c r="J669" s="14"/>
      <c r="K669" s="12"/>
    </row>
    <row r="670" ht="19.5" customHeight="1">
      <c r="A670" s="12"/>
      <c r="C670" s="12"/>
      <c r="D670" s="87"/>
      <c r="F670" s="14"/>
      <c r="G670" s="14"/>
      <c r="H670" s="14"/>
      <c r="I670" s="14"/>
      <c r="J670" s="14"/>
      <c r="K670" s="12"/>
    </row>
    <row r="671" ht="19.5" customHeight="1">
      <c r="A671" s="12"/>
      <c r="C671" s="12"/>
      <c r="D671" s="87"/>
      <c r="F671" s="14"/>
      <c r="G671" s="14"/>
      <c r="H671" s="14"/>
      <c r="I671" s="14"/>
      <c r="J671" s="14"/>
      <c r="K671" s="12"/>
    </row>
    <row r="672" ht="19.5" customHeight="1">
      <c r="A672" s="12"/>
      <c r="C672" s="12"/>
      <c r="D672" s="87"/>
      <c r="F672" s="14"/>
      <c r="G672" s="14"/>
      <c r="H672" s="14"/>
      <c r="I672" s="14"/>
      <c r="J672" s="14"/>
      <c r="K672" s="12"/>
    </row>
    <row r="673" ht="19.5" customHeight="1">
      <c r="A673" s="12"/>
      <c r="C673" s="12"/>
      <c r="D673" s="87"/>
      <c r="F673" s="14"/>
      <c r="G673" s="14"/>
      <c r="H673" s="14"/>
      <c r="I673" s="14"/>
      <c r="J673" s="14"/>
      <c r="K673" s="12"/>
    </row>
    <row r="674" ht="19.5" customHeight="1">
      <c r="A674" s="12"/>
      <c r="C674" s="12"/>
      <c r="D674" s="87"/>
      <c r="F674" s="14"/>
      <c r="G674" s="14"/>
      <c r="H674" s="14"/>
      <c r="I674" s="14"/>
      <c r="J674" s="14"/>
      <c r="K674" s="12"/>
    </row>
    <row r="675" ht="19.5" customHeight="1">
      <c r="A675" s="12"/>
      <c r="C675" s="12"/>
      <c r="D675" s="87"/>
      <c r="F675" s="14"/>
      <c r="G675" s="14"/>
      <c r="H675" s="14"/>
      <c r="I675" s="14"/>
      <c r="J675" s="14"/>
      <c r="K675" s="12"/>
    </row>
    <row r="676" ht="19.5" customHeight="1">
      <c r="A676" s="12"/>
      <c r="C676" s="12"/>
      <c r="D676" s="87"/>
      <c r="F676" s="14"/>
      <c r="G676" s="14"/>
      <c r="H676" s="14"/>
      <c r="I676" s="14"/>
      <c r="J676" s="14"/>
      <c r="K676" s="12"/>
    </row>
    <row r="677" ht="19.5" customHeight="1">
      <c r="A677" s="12"/>
      <c r="C677" s="12"/>
      <c r="D677" s="87"/>
      <c r="F677" s="14"/>
      <c r="G677" s="14"/>
      <c r="H677" s="14"/>
      <c r="I677" s="14"/>
      <c r="J677" s="14"/>
      <c r="K677" s="12"/>
    </row>
    <row r="678" ht="19.5" customHeight="1">
      <c r="A678" s="12"/>
      <c r="C678" s="12"/>
      <c r="D678" s="87"/>
      <c r="F678" s="14"/>
      <c r="G678" s="14"/>
      <c r="H678" s="14"/>
      <c r="I678" s="14"/>
      <c r="J678" s="14"/>
      <c r="K678" s="12"/>
    </row>
    <row r="679" ht="19.5" customHeight="1">
      <c r="A679" s="12"/>
      <c r="C679" s="12"/>
      <c r="D679" s="87"/>
      <c r="F679" s="14"/>
      <c r="G679" s="14"/>
      <c r="H679" s="14"/>
      <c r="I679" s="14"/>
      <c r="J679" s="14"/>
      <c r="K679" s="12"/>
    </row>
    <row r="680" ht="19.5" customHeight="1">
      <c r="A680" s="12"/>
      <c r="C680" s="12"/>
      <c r="D680" s="87"/>
      <c r="F680" s="14"/>
      <c r="G680" s="14"/>
      <c r="H680" s="14"/>
      <c r="I680" s="14"/>
      <c r="J680" s="14"/>
      <c r="K680" s="12"/>
    </row>
    <row r="681" ht="19.5" customHeight="1">
      <c r="A681" s="12"/>
      <c r="C681" s="12"/>
      <c r="D681" s="87"/>
      <c r="F681" s="14"/>
      <c r="G681" s="14"/>
      <c r="H681" s="14"/>
      <c r="I681" s="14"/>
      <c r="J681" s="14"/>
      <c r="K681" s="12"/>
    </row>
    <row r="682" ht="19.5" customHeight="1">
      <c r="A682" s="12"/>
      <c r="C682" s="12"/>
      <c r="D682" s="87"/>
      <c r="F682" s="14"/>
      <c r="G682" s="14"/>
      <c r="H682" s="14"/>
      <c r="I682" s="14"/>
      <c r="J682" s="14"/>
      <c r="K682" s="12"/>
    </row>
    <row r="683" ht="19.5" customHeight="1">
      <c r="A683" s="12"/>
      <c r="C683" s="12"/>
      <c r="D683" s="87"/>
      <c r="F683" s="14"/>
      <c r="G683" s="14"/>
      <c r="H683" s="14"/>
      <c r="I683" s="14"/>
      <c r="J683" s="14"/>
      <c r="K683" s="12"/>
    </row>
    <row r="684" ht="19.5" customHeight="1">
      <c r="A684" s="12"/>
      <c r="C684" s="12"/>
      <c r="D684" s="87"/>
      <c r="F684" s="14"/>
      <c r="G684" s="14"/>
      <c r="H684" s="14"/>
      <c r="I684" s="14"/>
      <c r="J684" s="14"/>
      <c r="K684" s="12"/>
    </row>
    <row r="685" ht="19.5" customHeight="1">
      <c r="A685" s="12"/>
      <c r="C685" s="12"/>
      <c r="D685" s="87"/>
      <c r="F685" s="14"/>
      <c r="G685" s="14"/>
      <c r="H685" s="14"/>
      <c r="I685" s="14"/>
      <c r="J685" s="14"/>
      <c r="K685" s="12"/>
    </row>
    <row r="686" ht="19.5" customHeight="1">
      <c r="A686" s="12"/>
      <c r="C686" s="12"/>
      <c r="D686" s="87"/>
      <c r="F686" s="14"/>
      <c r="G686" s="14"/>
      <c r="H686" s="14"/>
      <c r="I686" s="14"/>
      <c r="J686" s="14"/>
      <c r="K686" s="12"/>
    </row>
    <row r="687" ht="19.5" customHeight="1">
      <c r="A687" s="12"/>
      <c r="C687" s="12"/>
      <c r="D687" s="87"/>
      <c r="F687" s="14"/>
      <c r="G687" s="14"/>
      <c r="H687" s="14"/>
      <c r="I687" s="14"/>
      <c r="J687" s="14"/>
      <c r="K687" s="12"/>
    </row>
    <row r="688" ht="19.5" customHeight="1">
      <c r="A688" s="12"/>
      <c r="C688" s="12"/>
      <c r="D688" s="87"/>
      <c r="F688" s="14"/>
      <c r="G688" s="14"/>
      <c r="H688" s="14"/>
      <c r="I688" s="14"/>
      <c r="J688" s="14"/>
      <c r="K688" s="12"/>
    </row>
    <row r="689" ht="19.5" customHeight="1">
      <c r="A689" s="12"/>
      <c r="C689" s="12"/>
      <c r="D689" s="87"/>
      <c r="F689" s="14"/>
      <c r="G689" s="14"/>
      <c r="H689" s="14"/>
      <c r="I689" s="14"/>
      <c r="J689" s="14"/>
      <c r="K689" s="12"/>
    </row>
    <row r="690" ht="19.5" customHeight="1">
      <c r="A690" s="12"/>
      <c r="C690" s="12"/>
      <c r="D690" s="87"/>
      <c r="F690" s="14"/>
      <c r="G690" s="14"/>
      <c r="H690" s="14"/>
      <c r="I690" s="14"/>
      <c r="J690" s="14"/>
      <c r="K690" s="12"/>
    </row>
    <row r="691" ht="19.5" customHeight="1">
      <c r="A691" s="12"/>
      <c r="C691" s="12"/>
      <c r="D691" s="87"/>
      <c r="F691" s="14"/>
      <c r="G691" s="14"/>
      <c r="H691" s="14"/>
      <c r="I691" s="14"/>
      <c r="J691" s="14"/>
      <c r="K691" s="12"/>
    </row>
    <row r="692" ht="19.5" customHeight="1">
      <c r="A692" s="12"/>
      <c r="C692" s="12"/>
      <c r="D692" s="87"/>
      <c r="F692" s="14"/>
      <c r="G692" s="14"/>
      <c r="H692" s="14"/>
      <c r="I692" s="14"/>
      <c r="J692" s="14"/>
      <c r="K692" s="12"/>
    </row>
    <row r="693" ht="19.5" customHeight="1">
      <c r="A693" s="12"/>
      <c r="C693" s="12"/>
      <c r="D693" s="87"/>
      <c r="F693" s="14"/>
      <c r="G693" s="14"/>
      <c r="H693" s="14"/>
      <c r="I693" s="14"/>
      <c r="J693" s="14"/>
      <c r="K693" s="12"/>
    </row>
    <row r="694" ht="19.5" customHeight="1">
      <c r="A694" s="12"/>
      <c r="C694" s="12"/>
      <c r="D694" s="87"/>
      <c r="F694" s="14"/>
      <c r="G694" s="14"/>
      <c r="H694" s="14"/>
      <c r="I694" s="14"/>
      <c r="J694" s="14"/>
      <c r="K694" s="12"/>
    </row>
    <row r="695" ht="19.5" customHeight="1">
      <c r="A695" s="12"/>
      <c r="C695" s="12"/>
      <c r="D695" s="87"/>
      <c r="F695" s="14"/>
      <c r="G695" s="14"/>
      <c r="H695" s="14"/>
      <c r="I695" s="14"/>
      <c r="J695" s="14"/>
      <c r="K695" s="12"/>
    </row>
    <row r="696" ht="19.5" customHeight="1">
      <c r="A696" s="12"/>
      <c r="C696" s="12"/>
      <c r="D696" s="87"/>
      <c r="F696" s="14"/>
      <c r="G696" s="14"/>
      <c r="H696" s="14"/>
      <c r="I696" s="14"/>
      <c r="J696" s="14"/>
      <c r="K696" s="12"/>
    </row>
    <row r="697" ht="19.5" customHeight="1">
      <c r="A697" s="12"/>
      <c r="C697" s="12"/>
      <c r="D697" s="87"/>
      <c r="F697" s="14"/>
      <c r="G697" s="14"/>
      <c r="H697" s="14"/>
      <c r="I697" s="14"/>
      <c r="J697" s="14"/>
      <c r="K697" s="12"/>
    </row>
    <row r="698" ht="19.5" customHeight="1">
      <c r="A698" s="12"/>
      <c r="C698" s="12"/>
      <c r="D698" s="87"/>
      <c r="F698" s="14"/>
      <c r="G698" s="14"/>
      <c r="H698" s="14"/>
      <c r="I698" s="14"/>
      <c r="J698" s="14"/>
      <c r="K698" s="12"/>
    </row>
    <row r="699" ht="19.5" customHeight="1">
      <c r="A699" s="12"/>
      <c r="C699" s="12"/>
      <c r="D699" s="87"/>
      <c r="F699" s="14"/>
      <c r="G699" s="14"/>
      <c r="H699" s="14"/>
      <c r="I699" s="14"/>
      <c r="J699" s="14"/>
      <c r="K699" s="12"/>
    </row>
    <row r="700" ht="19.5" customHeight="1">
      <c r="A700" s="12"/>
      <c r="C700" s="12"/>
      <c r="D700" s="87"/>
      <c r="F700" s="14"/>
      <c r="G700" s="14"/>
      <c r="H700" s="14"/>
      <c r="I700" s="14"/>
      <c r="J700" s="14"/>
      <c r="K700" s="12"/>
    </row>
    <row r="701" ht="19.5" customHeight="1">
      <c r="A701" s="12"/>
      <c r="C701" s="12"/>
      <c r="D701" s="87"/>
      <c r="F701" s="14"/>
      <c r="G701" s="14"/>
      <c r="H701" s="14"/>
      <c r="I701" s="14"/>
      <c r="J701" s="14"/>
      <c r="K701" s="12"/>
    </row>
    <row r="702" ht="19.5" customHeight="1">
      <c r="A702" s="12"/>
      <c r="C702" s="12"/>
      <c r="D702" s="87"/>
      <c r="F702" s="14"/>
      <c r="G702" s="14"/>
      <c r="H702" s="14"/>
      <c r="I702" s="14"/>
      <c r="J702" s="14"/>
      <c r="K702" s="12"/>
    </row>
    <row r="703" ht="19.5" customHeight="1">
      <c r="A703" s="12"/>
      <c r="C703" s="12"/>
      <c r="D703" s="87"/>
      <c r="F703" s="14"/>
      <c r="G703" s="14"/>
      <c r="H703" s="14"/>
      <c r="I703" s="14"/>
      <c r="J703" s="14"/>
      <c r="K703" s="12"/>
    </row>
    <row r="704" ht="19.5" customHeight="1">
      <c r="A704" s="12"/>
      <c r="C704" s="12"/>
      <c r="D704" s="87"/>
      <c r="F704" s="14"/>
      <c r="G704" s="14"/>
      <c r="H704" s="14"/>
      <c r="I704" s="14"/>
      <c r="J704" s="14"/>
      <c r="K704" s="12"/>
    </row>
    <row r="705" ht="19.5" customHeight="1">
      <c r="A705" s="12"/>
      <c r="C705" s="12"/>
      <c r="D705" s="87"/>
      <c r="F705" s="14"/>
      <c r="G705" s="14"/>
      <c r="H705" s="14"/>
      <c r="I705" s="14"/>
      <c r="J705" s="14"/>
      <c r="K705" s="12"/>
    </row>
    <row r="706" ht="19.5" customHeight="1">
      <c r="A706" s="12"/>
      <c r="C706" s="12"/>
      <c r="D706" s="87"/>
      <c r="F706" s="14"/>
      <c r="G706" s="14"/>
      <c r="H706" s="14"/>
      <c r="I706" s="14"/>
      <c r="J706" s="14"/>
      <c r="K706" s="12"/>
    </row>
    <row r="707" ht="19.5" customHeight="1">
      <c r="A707" s="12"/>
      <c r="C707" s="12"/>
      <c r="D707" s="87"/>
      <c r="F707" s="14"/>
      <c r="G707" s="14"/>
      <c r="H707" s="14"/>
      <c r="I707" s="14"/>
      <c r="J707" s="14"/>
      <c r="K707" s="12"/>
    </row>
    <row r="708" ht="19.5" customHeight="1">
      <c r="A708" s="12"/>
      <c r="C708" s="12"/>
      <c r="D708" s="87"/>
      <c r="F708" s="14"/>
      <c r="G708" s="14"/>
      <c r="H708" s="14"/>
      <c r="I708" s="14"/>
      <c r="J708" s="14"/>
      <c r="K708" s="12"/>
    </row>
    <row r="709" ht="19.5" customHeight="1">
      <c r="A709" s="12"/>
      <c r="C709" s="12"/>
      <c r="D709" s="87"/>
      <c r="F709" s="14"/>
      <c r="G709" s="14"/>
      <c r="H709" s="14"/>
      <c r="I709" s="14"/>
      <c r="J709" s="14"/>
      <c r="K709" s="12"/>
    </row>
    <row r="710" ht="19.5" customHeight="1">
      <c r="A710" s="12"/>
      <c r="C710" s="12"/>
      <c r="D710" s="87"/>
      <c r="F710" s="14"/>
      <c r="G710" s="14"/>
      <c r="H710" s="14"/>
      <c r="I710" s="14"/>
      <c r="J710" s="14"/>
      <c r="K710" s="12"/>
    </row>
    <row r="711" ht="19.5" customHeight="1">
      <c r="A711" s="12"/>
      <c r="C711" s="12"/>
      <c r="D711" s="87"/>
      <c r="F711" s="14"/>
      <c r="G711" s="14"/>
      <c r="H711" s="14"/>
      <c r="I711" s="14"/>
      <c r="J711" s="14"/>
      <c r="K711" s="12"/>
    </row>
    <row r="712" ht="19.5" customHeight="1">
      <c r="A712" s="12"/>
      <c r="C712" s="12"/>
      <c r="D712" s="87"/>
      <c r="F712" s="14"/>
      <c r="G712" s="14"/>
      <c r="H712" s="14"/>
      <c r="I712" s="14"/>
      <c r="J712" s="14"/>
      <c r="K712" s="12"/>
    </row>
    <row r="713" ht="19.5" customHeight="1">
      <c r="A713" s="12"/>
      <c r="C713" s="12"/>
      <c r="D713" s="87"/>
      <c r="F713" s="14"/>
      <c r="G713" s="14"/>
      <c r="H713" s="14"/>
      <c r="I713" s="14"/>
      <c r="J713" s="14"/>
      <c r="K713" s="12"/>
    </row>
    <row r="714" ht="19.5" customHeight="1">
      <c r="A714" s="12"/>
      <c r="C714" s="12"/>
      <c r="D714" s="87"/>
      <c r="F714" s="14"/>
      <c r="G714" s="14"/>
      <c r="H714" s="14"/>
      <c r="I714" s="14"/>
      <c r="J714" s="14"/>
      <c r="K714" s="12"/>
    </row>
    <row r="715" ht="19.5" customHeight="1">
      <c r="A715" s="12"/>
      <c r="C715" s="12"/>
      <c r="D715" s="87"/>
      <c r="F715" s="14"/>
      <c r="G715" s="14"/>
      <c r="H715" s="14"/>
      <c r="I715" s="14"/>
      <c r="J715" s="14"/>
      <c r="K715" s="12"/>
    </row>
    <row r="716" ht="19.5" customHeight="1">
      <c r="A716" s="12"/>
      <c r="C716" s="12"/>
      <c r="D716" s="87"/>
      <c r="F716" s="14"/>
      <c r="G716" s="14"/>
      <c r="H716" s="14"/>
      <c r="I716" s="14"/>
      <c r="J716" s="14"/>
      <c r="K716" s="12"/>
    </row>
    <row r="717" ht="19.5" customHeight="1">
      <c r="A717" s="12"/>
      <c r="C717" s="12"/>
      <c r="D717" s="87"/>
      <c r="F717" s="14"/>
      <c r="G717" s="14"/>
      <c r="H717" s="14"/>
      <c r="I717" s="14"/>
      <c r="J717" s="14"/>
      <c r="K717" s="12"/>
    </row>
    <row r="718" ht="19.5" customHeight="1">
      <c r="A718" s="12"/>
      <c r="C718" s="12"/>
      <c r="D718" s="87"/>
      <c r="F718" s="14"/>
      <c r="G718" s="14"/>
      <c r="H718" s="14"/>
      <c r="I718" s="14"/>
      <c r="J718" s="14"/>
      <c r="K718" s="12"/>
    </row>
    <row r="719" ht="19.5" customHeight="1">
      <c r="A719" s="12"/>
      <c r="C719" s="12"/>
      <c r="D719" s="87"/>
      <c r="F719" s="14"/>
      <c r="G719" s="14"/>
      <c r="H719" s="14"/>
      <c r="I719" s="14"/>
      <c r="J719" s="14"/>
      <c r="K719" s="12"/>
    </row>
    <row r="720" ht="19.5" customHeight="1">
      <c r="A720" s="12"/>
      <c r="C720" s="12"/>
      <c r="D720" s="87"/>
      <c r="F720" s="14"/>
      <c r="G720" s="14"/>
      <c r="H720" s="14"/>
      <c r="I720" s="14"/>
      <c r="J720" s="14"/>
      <c r="K720" s="12"/>
    </row>
    <row r="721" ht="19.5" customHeight="1">
      <c r="A721" s="12"/>
      <c r="C721" s="12"/>
      <c r="D721" s="87"/>
      <c r="F721" s="14"/>
      <c r="G721" s="14"/>
      <c r="H721" s="14"/>
      <c r="I721" s="14"/>
      <c r="J721" s="14"/>
      <c r="K721" s="12"/>
    </row>
    <row r="722" ht="19.5" customHeight="1">
      <c r="A722" s="12"/>
      <c r="C722" s="12"/>
      <c r="D722" s="87"/>
      <c r="F722" s="14"/>
      <c r="G722" s="14"/>
      <c r="H722" s="14"/>
      <c r="I722" s="14"/>
      <c r="J722" s="14"/>
      <c r="K722" s="12"/>
    </row>
    <row r="723" ht="19.5" customHeight="1">
      <c r="A723" s="12"/>
      <c r="C723" s="12"/>
      <c r="D723" s="87"/>
      <c r="F723" s="14"/>
      <c r="G723" s="14"/>
      <c r="H723" s="14"/>
      <c r="I723" s="14"/>
      <c r="J723" s="14"/>
      <c r="K723" s="12"/>
    </row>
    <row r="724" ht="19.5" customHeight="1">
      <c r="A724" s="12"/>
      <c r="C724" s="12"/>
      <c r="D724" s="87"/>
      <c r="F724" s="14"/>
      <c r="G724" s="14"/>
      <c r="H724" s="14"/>
      <c r="I724" s="14"/>
      <c r="J724" s="14"/>
      <c r="K724" s="12"/>
    </row>
    <row r="725" ht="19.5" customHeight="1">
      <c r="A725" s="12"/>
      <c r="C725" s="12"/>
      <c r="D725" s="87"/>
      <c r="F725" s="14"/>
      <c r="G725" s="14"/>
      <c r="H725" s="14"/>
      <c r="I725" s="14"/>
      <c r="J725" s="14"/>
      <c r="K725" s="12"/>
    </row>
    <row r="726" ht="19.5" customHeight="1">
      <c r="A726" s="12"/>
      <c r="C726" s="12"/>
      <c r="D726" s="87"/>
      <c r="F726" s="14"/>
      <c r="G726" s="14"/>
      <c r="H726" s="14"/>
      <c r="I726" s="14"/>
      <c r="J726" s="14"/>
      <c r="K726" s="12"/>
    </row>
    <row r="727" ht="19.5" customHeight="1">
      <c r="A727" s="12"/>
      <c r="C727" s="12"/>
      <c r="D727" s="87"/>
      <c r="F727" s="14"/>
      <c r="G727" s="14"/>
      <c r="H727" s="14"/>
      <c r="I727" s="14"/>
      <c r="J727" s="14"/>
      <c r="K727" s="12"/>
    </row>
    <row r="728" ht="19.5" customHeight="1">
      <c r="A728" s="12"/>
      <c r="C728" s="12"/>
      <c r="D728" s="87"/>
      <c r="F728" s="14"/>
      <c r="G728" s="14"/>
      <c r="H728" s="14"/>
      <c r="I728" s="14"/>
      <c r="J728" s="14"/>
      <c r="K728" s="12"/>
    </row>
    <row r="729" ht="19.5" customHeight="1">
      <c r="A729" s="12"/>
      <c r="C729" s="12"/>
      <c r="D729" s="87"/>
      <c r="F729" s="14"/>
      <c r="G729" s="14"/>
      <c r="H729" s="14"/>
      <c r="I729" s="14"/>
      <c r="J729" s="14"/>
      <c r="K729" s="12"/>
    </row>
    <row r="730" ht="19.5" customHeight="1">
      <c r="A730" s="12"/>
      <c r="C730" s="12"/>
      <c r="D730" s="87"/>
      <c r="F730" s="14"/>
      <c r="G730" s="14"/>
      <c r="H730" s="14"/>
      <c r="I730" s="14"/>
      <c r="J730" s="14"/>
      <c r="K730" s="12"/>
    </row>
    <row r="731" ht="19.5" customHeight="1">
      <c r="A731" s="12"/>
      <c r="C731" s="12"/>
      <c r="D731" s="87"/>
      <c r="F731" s="14"/>
      <c r="G731" s="14"/>
      <c r="H731" s="14"/>
      <c r="I731" s="14"/>
      <c r="J731" s="14"/>
      <c r="K731" s="12"/>
    </row>
    <row r="732" ht="19.5" customHeight="1">
      <c r="A732" s="12"/>
      <c r="C732" s="12"/>
      <c r="D732" s="87"/>
      <c r="F732" s="14"/>
      <c r="G732" s="14"/>
      <c r="H732" s="14"/>
      <c r="I732" s="14"/>
      <c r="J732" s="14"/>
      <c r="K732" s="12"/>
    </row>
    <row r="733" ht="19.5" customHeight="1">
      <c r="A733" s="12"/>
      <c r="C733" s="12"/>
      <c r="D733" s="87"/>
      <c r="F733" s="14"/>
      <c r="G733" s="14"/>
      <c r="H733" s="14"/>
      <c r="I733" s="14"/>
      <c r="J733" s="14"/>
      <c r="K733" s="12"/>
    </row>
    <row r="734" ht="19.5" customHeight="1">
      <c r="A734" s="12"/>
      <c r="C734" s="12"/>
      <c r="D734" s="87"/>
      <c r="F734" s="14"/>
      <c r="G734" s="14"/>
      <c r="H734" s="14"/>
      <c r="I734" s="14"/>
      <c r="J734" s="14"/>
      <c r="K734" s="12"/>
    </row>
    <row r="735" ht="19.5" customHeight="1">
      <c r="A735" s="12"/>
      <c r="C735" s="12"/>
      <c r="D735" s="87"/>
      <c r="F735" s="14"/>
      <c r="G735" s="14"/>
      <c r="H735" s="14"/>
      <c r="I735" s="14"/>
      <c r="J735" s="14"/>
      <c r="K735" s="12"/>
    </row>
    <row r="736" ht="19.5" customHeight="1">
      <c r="A736" s="12"/>
      <c r="C736" s="12"/>
      <c r="D736" s="87"/>
      <c r="F736" s="14"/>
      <c r="G736" s="14"/>
      <c r="H736" s="14"/>
      <c r="I736" s="14"/>
      <c r="J736" s="14"/>
      <c r="K736" s="12"/>
    </row>
    <row r="737" ht="19.5" customHeight="1">
      <c r="A737" s="12"/>
      <c r="C737" s="12"/>
      <c r="D737" s="87"/>
      <c r="F737" s="14"/>
      <c r="G737" s="14"/>
      <c r="H737" s="14"/>
      <c r="I737" s="14"/>
      <c r="J737" s="14"/>
      <c r="K737" s="12"/>
    </row>
    <row r="738" ht="19.5" customHeight="1">
      <c r="A738" s="12"/>
      <c r="C738" s="12"/>
      <c r="D738" s="87"/>
      <c r="F738" s="14"/>
      <c r="G738" s="14"/>
      <c r="H738" s="14"/>
      <c r="I738" s="14"/>
      <c r="J738" s="14"/>
      <c r="K738" s="12"/>
    </row>
    <row r="739" ht="19.5" customHeight="1">
      <c r="A739" s="12"/>
      <c r="C739" s="12"/>
      <c r="D739" s="87"/>
      <c r="F739" s="14"/>
      <c r="G739" s="14"/>
      <c r="H739" s="14"/>
      <c r="I739" s="14"/>
      <c r="J739" s="14"/>
      <c r="K739" s="12"/>
    </row>
    <row r="740" ht="19.5" customHeight="1">
      <c r="A740" s="12"/>
      <c r="C740" s="12"/>
      <c r="D740" s="87"/>
      <c r="F740" s="14"/>
      <c r="G740" s="14"/>
      <c r="H740" s="14"/>
      <c r="I740" s="14"/>
      <c r="J740" s="14"/>
      <c r="K740" s="12"/>
    </row>
    <row r="741" ht="19.5" customHeight="1">
      <c r="A741" s="12"/>
      <c r="C741" s="12"/>
      <c r="D741" s="87"/>
      <c r="F741" s="14"/>
      <c r="G741" s="14"/>
      <c r="H741" s="14"/>
      <c r="I741" s="14"/>
      <c r="J741" s="14"/>
      <c r="K741" s="12"/>
    </row>
    <row r="742" ht="19.5" customHeight="1">
      <c r="A742" s="12"/>
      <c r="C742" s="12"/>
      <c r="D742" s="87"/>
      <c r="F742" s="14"/>
      <c r="G742" s="14"/>
      <c r="H742" s="14"/>
      <c r="I742" s="14"/>
      <c r="J742" s="14"/>
      <c r="K742" s="12"/>
    </row>
    <row r="743" ht="19.5" customHeight="1">
      <c r="A743" s="12"/>
      <c r="C743" s="12"/>
      <c r="D743" s="87"/>
      <c r="F743" s="14"/>
      <c r="G743" s="14"/>
      <c r="H743" s="14"/>
      <c r="I743" s="14"/>
      <c r="J743" s="14"/>
      <c r="K743" s="12"/>
    </row>
    <row r="744" ht="19.5" customHeight="1">
      <c r="A744" s="12"/>
      <c r="C744" s="12"/>
      <c r="D744" s="87"/>
      <c r="F744" s="14"/>
      <c r="G744" s="14"/>
      <c r="H744" s="14"/>
      <c r="I744" s="14"/>
      <c r="J744" s="14"/>
      <c r="K744" s="12"/>
    </row>
    <row r="745" ht="19.5" customHeight="1">
      <c r="A745" s="12"/>
      <c r="C745" s="12"/>
      <c r="D745" s="87"/>
      <c r="F745" s="14"/>
      <c r="G745" s="14"/>
      <c r="H745" s="14"/>
      <c r="I745" s="14"/>
      <c r="J745" s="14"/>
      <c r="K745" s="12"/>
    </row>
    <row r="746" ht="19.5" customHeight="1">
      <c r="A746" s="12"/>
      <c r="C746" s="12"/>
      <c r="D746" s="87"/>
      <c r="F746" s="14"/>
      <c r="G746" s="14"/>
      <c r="H746" s="14"/>
      <c r="I746" s="14"/>
      <c r="J746" s="14"/>
      <c r="K746" s="12"/>
    </row>
    <row r="747" ht="19.5" customHeight="1">
      <c r="A747" s="12"/>
      <c r="C747" s="12"/>
      <c r="D747" s="87"/>
      <c r="F747" s="14"/>
      <c r="G747" s="14"/>
      <c r="H747" s="14"/>
      <c r="I747" s="14"/>
      <c r="J747" s="14"/>
      <c r="K747" s="12"/>
    </row>
    <row r="748" ht="19.5" customHeight="1">
      <c r="A748" s="12"/>
      <c r="C748" s="12"/>
      <c r="D748" s="87"/>
      <c r="F748" s="14"/>
      <c r="G748" s="14"/>
      <c r="H748" s="14"/>
      <c r="I748" s="14"/>
      <c r="J748" s="14"/>
      <c r="K748" s="12"/>
    </row>
    <row r="749" ht="19.5" customHeight="1">
      <c r="A749" s="12"/>
      <c r="C749" s="12"/>
      <c r="D749" s="87"/>
      <c r="F749" s="14"/>
      <c r="G749" s="14"/>
      <c r="H749" s="14"/>
      <c r="I749" s="14"/>
      <c r="J749" s="14"/>
      <c r="K749" s="12"/>
    </row>
    <row r="750" ht="19.5" customHeight="1">
      <c r="A750" s="12"/>
      <c r="C750" s="12"/>
      <c r="D750" s="87"/>
      <c r="F750" s="14"/>
      <c r="G750" s="14"/>
      <c r="H750" s="14"/>
      <c r="I750" s="14"/>
      <c r="J750" s="14"/>
      <c r="K750" s="12"/>
    </row>
    <row r="751" ht="19.5" customHeight="1">
      <c r="A751" s="12"/>
      <c r="C751" s="12"/>
      <c r="D751" s="87"/>
      <c r="F751" s="14"/>
      <c r="G751" s="14"/>
      <c r="H751" s="14"/>
      <c r="I751" s="14"/>
      <c r="J751" s="14"/>
      <c r="K751" s="12"/>
    </row>
    <row r="752" ht="19.5" customHeight="1">
      <c r="A752" s="12"/>
      <c r="C752" s="12"/>
      <c r="D752" s="87"/>
      <c r="F752" s="14"/>
      <c r="G752" s="14"/>
      <c r="H752" s="14"/>
      <c r="I752" s="14"/>
      <c r="J752" s="14"/>
      <c r="K752" s="12"/>
    </row>
    <row r="753" ht="19.5" customHeight="1">
      <c r="A753" s="12"/>
      <c r="C753" s="12"/>
      <c r="D753" s="87"/>
      <c r="F753" s="14"/>
      <c r="G753" s="14"/>
      <c r="H753" s="14"/>
      <c r="I753" s="14"/>
      <c r="J753" s="14"/>
      <c r="K753" s="12"/>
    </row>
    <row r="754" ht="19.5" customHeight="1">
      <c r="A754" s="12"/>
      <c r="C754" s="12"/>
      <c r="D754" s="87"/>
      <c r="F754" s="14"/>
      <c r="G754" s="14"/>
      <c r="H754" s="14"/>
      <c r="I754" s="14"/>
      <c r="J754" s="14"/>
      <c r="K754" s="12"/>
    </row>
    <row r="755" ht="19.5" customHeight="1">
      <c r="A755" s="12"/>
      <c r="C755" s="12"/>
      <c r="D755" s="87"/>
      <c r="F755" s="14"/>
      <c r="G755" s="14"/>
      <c r="H755" s="14"/>
      <c r="I755" s="14"/>
      <c r="J755" s="14"/>
      <c r="K755" s="12"/>
    </row>
    <row r="756" ht="19.5" customHeight="1">
      <c r="A756" s="12"/>
      <c r="C756" s="12"/>
      <c r="D756" s="87"/>
      <c r="F756" s="14"/>
      <c r="G756" s="14"/>
      <c r="H756" s="14"/>
      <c r="I756" s="14"/>
      <c r="J756" s="14"/>
      <c r="K756" s="12"/>
    </row>
    <row r="757" ht="19.5" customHeight="1">
      <c r="A757" s="12"/>
      <c r="C757" s="12"/>
      <c r="D757" s="87"/>
      <c r="F757" s="14"/>
      <c r="G757" s="14"/>
      <c r="H757" s="14"/>
      <c r="I757" s="14"/>
      <c r="J757" s="14"/>
      <c r="K757" s="12"/>
    </row>
    <row r="758" ht="19.5" customHeight="1">
      <c r="A758" s="12"/>
      <c r="C758" s="12"/>
      <c r="D758" s="87"/>
      <c r="F758" s="14"/>
      <c r="G758" s="14"/>
      <c r="H758" s="14"/>
      <c r="I758" s="14"/>
      <c r="J758" s="14"/>
      <c r="K758" s="12"/>
    </row>
    <row r="759" ht="19.5" customHeight="1">
      <c r="A759" s="12"/>
      <c r="C759" s="12"/>
      <c r="D759" s="87"/>
      <c r="F759" s="14"/>
      <c r="G759" s="14"/>
      <c r="H759" s="14"/>
      <c r="I759" s="14"/>
      <c r="J759" s="14"/>
      <c r="K759" s="12"/>
    </row>
    <row r="760" ht="19.5" customHeight="1">
      <c r="A760" s="12"/>
      <c r="C760" s="12"/>
      <c r="D760" s="87"/>
      <c r="F760" s="14"/>
      <c r="G760" s="14"/>
      <c r="H760" s="14"/>
      <c r="I760" s="14"/>
      <c r="J760" s="14"/>
      <c r="K760" s="12"/>
    </row>
    <row r="761" ht="19.5" customHeight="1">
      <c r="A761" s="12"/>
      <c r="C761" s="12"/>
      <c r="D761" s="87"/>
      <c r="F761" s="14"/>
      <c r="G761" s="14"/>
      <c r="H761" s="14"/>
      <c r="I761" s="14"/>
      <c r="J761" s="14"/>
      <c r="K761" s="12"/>
    </row>
    <row r="762" ht="19.5" customHeight="1">
      <c r="A762" s="12"/>
      <c r="C762" s="12"/>
      <c r="D762" s="87"/>
      <c r="F762" s="14"/>
      <c r="G762" s="14"/>
      <c r="H762" s="14"/>
      <c r="I762" s="14"/>
      <c r="J762" s="14"/>
      <c r="K762" s="12"/>
    </row>
    <row r="763" ht="19.5" customHeight="1">
      <c r="A763" s="12"/>
      <c r="C763" s="12"/>
      <c r="D763" s="87"/>
      <c r="F763" s="14"/>
      <c r="G763" s="14"/>
      <c r="H763" s="14"/>
      <c r="I763" s="14"/>
      <c r="J763" s="14"/>
      <c r="K763" s="12"/>
    </row>
    <row r="764" ht="19.5" customHeight="1">
      <c r="A764" s="12"/>
      <c r="C764" s="12"/>
      <c r="D764" s="87"/>
      <c r="F764" s="14"/>
      <c r="G764" s="14"/>
      <c r="H764" s="14"/>
      <c r="I764" s="14"/>
      <c r="J764" s="14"/>
      <c r="K764" s="12"/>
    </row>
    <row r="765" ht="19.5" customHeight="1">
      <c r="A765" s="12"/>
      <c r="C765" s="12"/>
      <c r="D765" s="87"/>
      <c r="F765" s="14"/>
      <c r="G765" s="14"/>
      <c r="H765" s="14"/>
      <c r="I765" s="14"/>
      <c r="J765" s="14"/>
      <c r="K765" s="12"/>
    </row>
    <row r="766" ht="19.5" customHeight="1">
      <c r="A766" s="12"/>
      <c r="C766" s="12"/>
      <c r="D766" s="87"/>
      <c r="F766" s="14"/>
      <c r="G766" s="14"/>
      <c r="H766" s="14"/>
      <c r="I766" s="14"/>
      <c r="J766" s="14"/>
      <c r="K766" s="12"/>
    </row>
    <row r="767" ht="19.5" customHeight="1">
      <c r="A767" s="12"/>
      <c r="C767" s="12"/>
      <c r="D767" s="87"/>
      <c r="F767" s="14"/>
      <c r="G767" s="14"/>
      <c r="H767" s="14"/>
      <c r="I767" s="14"/>
      <c r="J767" s="14"/>
      <c r="K767" s="12"/>
    </row>
    <row r="768" ht="19.5" customHeight="1">
      <c r="A768" s="12"/>
      <c r="C768" s="12"/>
      <c r="D768" s="87"/>
      <c r="F768" s="14"/>
      <c r="G768" s="14"/>
      <c r="H768" s="14"/>
      <c r="I768" s="14"/>
      <c r="J768" s="14"/>
      <c r="K768" s="12"/>
    </row>
    <row r="769" ht="19.5" customHeight="1">
      <c r="A769" s="12"/>
      <c r="C769" s="12"/>
      <c r="D769" s="87"/>
      <c r="F769" s="14"/>
      <c r="G769" s="14"/>
      <c r="H769" s="14"/>
      <c r="I769" s="14"/>
      <c r="J769" s="14"/>
      <c r="K769" s="12"/>
    </row>
    <row r="770" ht="19.5" customHeight="1">
      <c r="A770" s="12"/>
      <c r="C770" s="12"/>
      <c r="D770" s="87"/>
      <c r="F770" s="14"/>
      <c r="G770" s="14"/>
      <c r="H770" s="14"/>
      <c r="I770" s="14"/>
      <c r="J770" s="14"/>
      <c r="K770" s="12"/>
    </row>
    <row r="771" ht="19.5" customHeight="1">
      <c r="A771" s="12"/>
      <c r="C771" s="12"/>
      <c r="D771" s="87"/>
      <c r="F771" s="14"/>
      <c r="G771" s="14"/>
      <c r="H771" s="14"/>
      <c r="I771" s="14"/>
      <c r="J771" s="14"/>
      <c r="K771" s="12"/>
    </row>
    <row r="772" ht="19.5" customHeight="1">
      <c r="A772" s="12"/>
      <c r="C772" s="12"/>
      <c r="D772" s="87"/>
      <c r="F772" s="14"/>
      <c r="G772" s="14"/>
      <c r="H772" s="14"/>
      <c r="I772" s="14"/>
      <c r="J772" s="14"/>
      <c r="K772" s="12"/>
    </row>
    <row r="773" ht="19.5" customHeight="1">
      <c r="A773" s="12"/>
      <c r="C773" s="12"/>
      <c r="D773" s="87"/>
      <c r="F773" s="14"/>
      <c r="G773" s="14"/>
      <c r="H773" s="14"/>
      <c r="I773" s="14"/>
      <c r="J773" s="14"/>
      <c r="K773" s="12"/>
    </row>
    <row r="774" ht="19.5" customHeight="1">
      <c r="A774" s="12"/>
      <c r="C774" s="12"/>
      <c r="D774" s="87"/>
      <c r="F774" s="14"/>
      <c r="G774" s="14"/>
      <c r="H774" s="14"/>
      <c r="I774" s="14"/>
      <c r="J774" s="14"/>
      <c r="K774" s="12"/>
    </row>
    <row r="775" ht="19.5" customHeight="1">
      <c r="A775" s="12"/>
      <c r="C775" s="12"/>
      <c r="D775" s="87"/>
      <c r="F775" s="14"/>
      <c r="G775" s="14"/>
      <c r="H775" s="14"/>
      <c r="I775" s="14"/>
      <c r="J775" s="14"/>
      <c r="K775" s="12"/>
    </row>
    <row r="776" ht="19.5" customHeight="1">
      <c r="A776" s="12"/>
      <c r="C776" s="12"/>
      <c r="D776" s="87"/>
      <c r="F776" s="14"/>
      <c r="G776" s="14"/>
      <c r="H776" s="14"/>
      <c r="I776" s="14"/>
      <c r="J776" s="14"/>
      <c r="K776" s="12"/>
    </row>
    <row r="777" ht="19.5" customHeight="1">
      <c r="A777" s="12"/>
      <c r="C777" s="12"/>
      <c r="D777" s="87"/>
      <c r="F777" s="14"/>
      <c r="G777" s="14"/>
      <c r="H777" s="14"/>
      <c r="I777" s="14"/>
      <c r="J777" s="14"/>
      <c r="K777" s="12"/>
    </row>
    <row r="778" ht="19.5" customHeight="1">
      <c r="A778" s="12"/>
      <c r="C778" s="12"/>
      <c r="D778" s="87"/>
      <c r="F778" s="14"/>
      <c r="G778" s="14"/>
      <c r="H778" s="14"/>
      <c r="I778" s="14"/>
      <c r="J778" s="14"/>
      <c r="K778" s="12"/>
    </row>
    <row r="779" ht="19.5" customHeight="1">
      <c r="A779" s="12"/>
      <c r="C779" s="12"/>
      <c r="D779" s="87"/>
      <c r="F779" s="14"/>
      <c r="G779" s="14"/>
      <c r="H779" s="14"/>
      <c r="I779" s="14"/>
      <c r="J779" s="14"/>
      <c r="K779" s="12"/>
    </row>
    <row r="780" ht="19.5" customHeight="1">
      <c r="A780" s="12"/>
      <c r="C780" s="12"/>
      <c r="D780" s="87"/>
      <c r="F780" s="14"/>
      <c r="G780" s="14"/>
      <c r="H780" s="14"/>
      <c r="I780" s="14"/>
      <c r="J780" s="14"/>
      <c r="K780" s="12"/>
    </row>
    <row r="781" ht="19.5" customHeight="1">
      <c r="A781" s="12"/>
      <c r="C781" s="12"/>
      <c r="D781" s="87"/>
      <c r="F781" s="14"/>
      <c r="G781" s="14"/>
      <c r="H781" s="14"/>
      <c r="I781" s="14"/>
      <c r="J781" s="14"/>
      <c r="K781" s="12"/>
    </row>
    <row r="782" ht="19.5" customHeight="1">
      <c r="A782" s="12"/>
      <c r="C782" s="12"/>
      <c r="D782" s="87"/>
      <c r="F782" s="14"/>
      <c r="G782" s="14"/>
      <c r="H782" s="14"/>
      <c r="I782" s="14"/>
      <c r="J782" s="14"/>
      <c r="K782" s="12"/>
    </row>
    <row r="783" ht="19.5" customHeight="1">
      <c r="A783" s="12"/>
      <c r="C783" s="12"/>
      <c r="D783" s="87"/>
      <c r="F783" s="14"/>
      <c r="G783" s="14"/>
      <c r="H783" s="14"/>
      <c r="I783" s="14"/>
      <c r="J783" s="14"/>
      <c r="K783" s="12"/>
    </row>
    <row r="784" ht="19.5" customHeight="1">
      <c r="A784" s="12"/>
      <c r="C784" s="12"/>
      <c r="D784" s="87"/>
      <c r="F784" s="14"/>
      <c r="G784" s="14"/>
      <c r="H784" s="14"/>
      <c r="I784" s="14"/>
      <c r="J784" s="14"/>
      <c r="K784" s="12"/>
    </row>
    <row r="785" ht="19.5" customHeight="1">
      <c r="A785" s="12"/>
      <c r="C785" s="12"/>
      <c r="D785" s="87"/>
      <c r="F785" s="14"/>
      <c r="G785" s="14"/>
      <c r="H785" s="14"/>
      <c r="I785" s="14"/>
      <c r="J785" s="14"/>
      <c r="K785" s="12"/>
    </row>
    <row r="786" ht="19.5" customHeight="1">
      <c r="A786" s="12"/>
      <c r="C786" s="12"/>
      <c r="D786" s="87"/>
      <c r="F786" s="14"/>
      <c r="G786" s="14"/>
      <c r="H786" s="14"/>
      <c r="I786" s="14"/>
      <c r="J786" s="14"/>
      <c r="K786" s="12"/>
    </row>
    <row r="787" ht="19.5" customHeight="1">
      <c r="A787" s="12"/>
      <c r="C787" s="12"/>
      <c r="D787" s="87"/>
      <c r="F787" s="14"/>
      <c r="G787" s="14"/>
      <c r="H787" s="14"/>
      <c r="I787" s="14"/>
      <c r="J787" s="14"/>
      <c r="K787" s="12"/>
    </row>
    <row r="788" ht="19.5" customHeight="1">
      <c r="A788" s="12"/>
      <c r="C788" s="12"/>
      <c r="D788" s="87"/>
      <c r="F788" s="14"/>
      <c r="G788" s="14"/>
      <c r="H788" s="14"/>
      <c r="I788" s="14"/>
      <c r="J788" s="14"/>
      <c r="K788" s="12"/>
    </row>
    <row r="789" ht="19.5" customHeight="1">
      <c r="A789" s="12"/>
      <c r="C789" s="12"/>
      <c r="D789" s="87"/>
      <c r="F789" s="14"/>
      <c r="G789" s="14"/>
      <c r="H789" s="14"/>
      <c r="I789" s="14"/>
      <c r="J789" s="14"/>
      <c r="K789" s="12"/>
    </row>
    <row r="790" ht="19.5" customHeight="1">
      <c r="A790" s="12"/>
      <c r="C790" s="12"/>
      <c r="D790" s="87"/>
      <c r="F790" s="14"/>
      <c r="G790" s="14"/>
      <c r="H790" s="14"/>
      <c r="I790" s="14"/>
      <c r="J790" s="14"/>
      <c r="K790" s="12"/>
    </row>
    <row r="791" ht="19.5" customHeight="1">
      <c r="A791" s="12"/>
      <c r="C791" s="12"/>
      <c r="D791" s="87"/>
      <c r="F791" s="14"/>
      <c r="G791" s="14"/>
      <c r="H791" s="14"/>
      <c r="I791" s="14"/>
      <c r="J791" s="14"/>
      <c r="K791" s="12"/>
    </row>
    <row r="792" ht="19.5" customHeight="1">
      <c r="A792" s="12"/>
      <c r="C792" s="12"/>
      <c r="D792" s="87"/>
      <c r="F792" s="14"/>
      <c r="G792" s="14"/>
      <c r="H792" s="14"/>
      <c r="I792" s="14"/>
      <c r="J792" s="14"/>
      <c r="K792" s="12"/>
    </row>
    <row r="793" ht="19.5" customHeight="1">
      <c r="A793" s="12"/>
      <c r="C793" s="12"/>
      <c r="D793" s="87"/>
      <c r="F793" s="14"/>
      <c r="G793" s="14"/>
      <c r="H793" s="14"/>
      <c r="I793" s="14"/>
      <c r="J793" s="14"/>
      <c r="K793" s="12"/>
    </row>
    <row r="794" ht="19.5" customHeight="1">
      <c r="A794" s="12"/>
      <c r="C794" s="12"/>
      <c r="D794" s="87"/>
      <c r="F794" s="14"/>
      <c r="G794" s="14"/>
      <c r="H794" s="14"/>
      <c r="I794" s="14"/>
      <c r="J794" s="14"/>
      <c r="K794" s="12"/>
    </row>
    <row r="795" ht="19.5" customHeight="1">
      <c r="A795" s="12"/>
      <c r="C795" s="12"/>
      <c r="D795" s="87"/>
      <c r="F795" s="14"/>
      <c r="G795" s="14"/>
      <c r="H795" s="14"/>
      <c r="I795" s="14"/>
      <c r="J795" s="14"/>
      <c r="K795" s="12"/>
    </row>
    <row r="796" ht="19.5" customHeight="1">
      <c r="A796" s="12"/>
      <c r="C796" s="12"/>
      <c r="D796" s="87"/>
      <c r="F796" s="14"/>
      <c r="G796" s="14"/>
      <c r="H796" s="14"/>
      <c r="I796" s="14"/>
      <c r="J796" s="14"/>
      <c r="K796" s="12"/>
    </row>
    <row r="797" ht="19.5" customHeight="1">
      <c r="A797" s="12"/>
      <c r="C797" s="12"/>
      <c r="D797" s="87"/>
      <c r="F797" s="14"/>
      <c r="G797" s="14"/>
      <c r="H797" s="14"/>
      <c r="I797" s="14"/>
      <c r="J797" s="14"/>
      <c r="K797" s="12"/>
    </row>
    <row r="798" ht="19.5" customHeight="1">
      <c r="A798" s="12"/>
      <c r="C798" s="12"/>
      <c r="D798" s="87"/>
      <c r="F798" s="14"/>
      <c r="G798" s="14"/>
      <c r="H798" s="14"/>
      <c r="I798" s="14"/>
      <c r="J798" s="14"/>
      <c r="K798" s="12"/>
    </row>
    <row r="799" ht="19.5" customHeight="1">
      <c r="A799" s="12"/>
      <c r="C799" s="12"/>
      <c r="D799" s="87"/>
      <c r="F799" s="14"/>
      <c r="G799" s="14"/>
      <c r="H799" s="14"/>
      <c r="I799" s="14"/>
      <c r="J799" s="14"/>
      <c r="K799" s="12"/>
    </row>
    <row r="800" ht="19.5" customHeight="1">
      <c r="A800" s="12"/>
      <c r="C800" s="12"/>
      <c r="D800" s="87"/>
      <c r="F800" s="14"/>
      <c r="G800" s="14"/>
      <c r="H800" s="14"/>
      <c r="I800" s="14"/>
      <c r="J800" s="14"/>
      <c r="K800" s="12"/>
    </row>
    <row r="801" ht="19.5" customHeight="1">
      <c r="A801" s="12"/>
      <c r="C801" s="12"/>
      <c r="D801" s="87"/>
      <c r="F801" s="14"/>
      <c r="G801" s="14"/>
      <c r="H801" s="14"/>
      <c r="I801" s="14"/>
      <c r="J801" s="14"/>
      <c r="K801" s="12"/>
    </row>
    <row r="802" ht="19.5" customHeight="1">
      <c r="A802" s="12"/>
      <c r="C802" s="12"/>
      <c r="D802" s="87"/>
      <c r="F802" s="14"/>
      <c r="G802" s="14"/>
      <c r="H802" s="14"/>
      <c r="I802" s="14"/>
      <c r="J802" s="14"/>
      <c r="K802" s="12"/>
    </row>
    <row r="803" ht="19.5" customHeight="1">
      <c r="A803" s="12"/>
      <c r="C803" s="12"/>
      <c r="D803" s="87"/>
      <c r="F803" s="14"/>
      <c r="G803" s="14"/>
      <c r="H803" s="14"/>
      <c r="I803" s="14"/>
      <c r="J803" s="14"/>
      <c r="K803" s="12"/>
    </row>
    <row r="804" ht="19.5" customHeight="1">
      <c r="A804" s="12"/>
      <c r="C804" s="12"/>
      <c r="D804" s="87"/>
      <c r="F804" s="14"/>
      <c r="G804" s="14"/>
      <c r="H804" s="14"/>
      <c r="I804" s="14"/>
      <c r="J804" s="14"/>
      <c r="K804" s="12"/>
    </row>
    <row r="805" ht="19.5" customHeight="1">
      <c r="A805" s="12"/>
      <c r="C805" s="12"/>
      <c r="D805" s="87"/>
      <c r="F805" s="14"/>
      <c r="G805" s="14"/>
      <c r="H805" s="14"/>
      <c r="I805" s="14"/>
      <c r="J805" s="14"/>
      <c r="K805" s="12"/>
    </row>
    <row r="806" ht="19.5" customHeight="1">
      <c r="A806" s="12"/>
      <c r="C806" s="12"/>
      <c r="D806" s="87"/>
      <c r="F806" s="14"/>
      <c r="G806" s="14"/>
      <c r="H806" s="14"/>
      <c r="I806" s="14"/>
      <c r="J806" s="14"/>
      <c r="K806" s="12"/>
    </row>
    <row r="807" ht="19.5" customHeight="1">
      <c r="A807" s="12"/>
      <c r="C807" s="12"/>
      <c r="D807" s="87"/>
      <c r="F807" s="14"/>
      <c r="G807" s="14"/>
      <c r="H807" s="14"/>
      <c r="I807" s="14"/>
      <c r="J807" s="14"/>
      <c r="K807" s="12"/>
    </row>
    <row r="808" ht="19.5" customHeight="1">
      <c r="A808" s="12"/>
      <c r="C808" s="12"/>
      <c r="D808" s="87"/>
      <c r="F808" s="14"/>
      <c r="G808" s="14"/>
      <c r="H808" s="14"/>
      <c r="I808" s="14"/>
      <c r="J808" s="14"/>
      <c r="K808" s="12"/>
    </row>
    <row r="809" ht="19.5" customHeight="1">
      <c r="A809" s="12"/>
      <c r="C809" s="12"/>
      <c r="D809" s="87"/>
      <c r="F809" s="14"/>
      <c r="G809" s="14"/>
      <c r="H809" s="14"/>
      <c r="I809" s="14"/>
      <c r="J809" s="14"/>
      <c r="K809" s="12"/>
    </row>
    <row r="810" ht="19.5" customHeight="1">
      <c r="A810" s="12"/>
      <c r="C810" s="12"/>
      <c r="D810" s="87"/>
      <c r="F810" s="14"/>
      <c r="G810" s="14"/>
      <c r="H810" s="14"/>
      <c r="I810" s="14"/>
      <c r="J810" s="14"/>
      <c r="K810" s="12"/>
    </row>
    <row r="811" ht="19.5" customHeight="1">
      <c r="A811" s="12"/>
      <c r="C811" s="12"/>
      <c r="D811" s="87"/>
      <c r="F811" s="14"/>
      <c r="G811" s="14"/>
      <c r="H811" s="14"/>
      <c r="I811" s="14"/>
      <c r="J811" s="14"/>
      <c r="K811" s="12"/>
    </row>
    <row r="812" ht="19.5" customHeight="1">
      <c r="A812" s="12"/>
      <c r="C812" s="12"/>
      <c r="D812" s="87"/>
      <c r="F812" s="14"/>
      <c r="G812" s="14"/>
      <c r="H812" s="14"/>
      <c r="I812" s="14"/>
      <c r="J812" s="14"/>
      <c r="K812" s="12"/>
    </row>
    <row r="813" ht="19.5" customHeight="1">
      <c r="A813" s="12"/>
      <c r="C813" s="12"/>
      <c r="D813" s="87"/>
      <c r="F813" s="14"/>
      <c r="G813" s="14"/>
      <c r="H813" s="14"/>
      <c r="I813" s="14"/>
      <c r="J813" s="14"/>
      <c r="K813" s="12"/>
    </row>
    <row r="814" ht="19.5" customHeight="1">
      <c r="A814" s="12"/>
      <c r="C814" s="12"/>
      <c r="D814" s="87"/>
      <c r="F814" s="14"/>
      <c r="G814" s="14"/>
      <c r="H814" s="14"/>
      <c r="I814" s="14"/>
      <c r="J814" s="14"/>
      <c r="K814" s="12"/>
    </row>
    <row r="815" ht="19.5" customHeight="1">
      <c r="A815" s="12"/>
      <c r="C815" s="12"/>
      <c r="D815" s="87"/>
      <c r="F815" s="14"/>
      <c r="G815" s="14"/>
      <c r="H815" s="14"/>
      <c r="I815" s="14"/>
      <c r="J815" s="14"/>
      <c r="K815" s="12"/>
    </row>
    <row r="816" ht="19.5" customHeight="1">
      <c r="A816" s="12"/>
      <c r="C816" s="12"/>
      <c r="D816" s="87"/>
      <c r="F816" s="14"/>
      <c r="G816" s="14"/>
      <c r="H816" s="14"/>
      <c r="I816" s="14"/>
      <c r="J816" s="14"/>
      <c r="K816" s="12"/>
    </row>
    <row r="817" ht="19.5" customHeight="1">
      <c r="A817" s="12"/>
      <c r="C817" s="12"/>
      <c r="D817" s="87"/>
      <c r="F817" s="14"/>
      <c r="G817" s="14"/>
      <c r="H817" s="14"/>
      <c r="I817" s="14"/>
      <c r="J817" s="14"/>
      <c r="K817" s="12"/>
    </row>
    <row r="818" ht="19.5" customHeight="1">
      <c r="A818" s="12"/>
      <c r="C818" s="12"/>
      <c r="D818" s="87"/>
      <c r="F818" s="14"/>
      <c r="G818" s="14"/>
      <c r="H818" s="14"/>
      <c r="I818" s="14"/>
      <c r="J818" s="14"/>
      <c r="K818" s="12"/>
    </row>
    <row r="819" ht="19.5" customHeight="1">
      <c r="A819" s="12"/>
      <c r="C819" s="12"/>
      <c r="D819" s="87"/>
      <c r="F819" s="14"/>
      <c r="G819" s="14"/>
      <c r="H819" s="14"/>
      <c r="I819" s="14"/>
      <c r="J819" s="14"/>
      <c r="K819" s="12"/>
    </row>
    <row r="820" ht="19.5" customHeight="1">
      <c r="A820" s="12"/>
      <c r="C820" s="12"/>
      <c r="D820" s="87"/>
      <c r="F820" s="14"/>
      <c r="G820" s="14"/>
      <c r="H820" s="14"/>
      <c r="I820" s="14"/>
      <c r="J820" s="14"/>
      <c r="K820" s="12"/>
    </row>
    <row r="821" ht="19.5" customHeight="1">
      <c r="A821" s="12"/>
      <c r="C821" s="12"/>
      <c r="D821" s="87"/>
      <c r="F821" s="14"/>
      <c r="G821" s="14"/>
      <c r="H821" s="14"/>
      <c r="I821" s="14"/>
      <c r="J821" s="14"/>
      <c r="K821" s="12"/>
    </row>
    <row r="822" ht="19.5" customHeight="1">
      <c r="A822" s="12"/>
      <c r="C822" s="12"/>
      <c r="D822" s="87"/>
      <c r="F822" s="14"/>
      <c r="G822" s="14"/>
      <c r="H822" s="14"/>
      <c r="I822" s="14"/>
      <c r="J822" s="14"/>
      <c r="K822" s="12"/>
    </row>
    <row r="823" ht="19.5" customHeight="1">
      <c r="A823" s="12"/>
      <c r="C823" s="12"/>
      <c r="D823" s="87"/>
      <c r="F823" s="14"/>
      <c r="G823" s="14"/>
      <c r="H823" s="14"/>
      <c r="I823" s="14"/>
      <c r="J823" s="14"/>
      <c r="K823" s="12"/>
    </row>
    <row r="824" ht="19.5" customHeight="1">
      <c r="A824" s="12"/>
      <c r="C824" s="12"/>
      <c r="D824" s="87"/>
      <c r="F824" s="14"/>
      <c r="G824" s="14"/>
      <c r="H824" s="14"/>
      <c r="I824" s="14"/>
      <c r="J824" s="14"/>
      <c r="K824" s="12"/>
    </row>
    <row r="825" ht="19.5" customHeight="1">
      <c r="A825" s="12"/>
      <c r="C825" s="12"/>
      <c r="D825" s="87"/>
      <c r="F825" s="14"/>
      <c r="G825" s="14"/>
      <c r="H825" s="14"/>
      <c r="I825" s="14"/>
      <c r="J825" s="14"/>
      <c r="K825" s="12"/>
    </row>
    <row r="826" ht="19.5" customHeight="1">
      <c r="A826" s="12"/>
      <c r="C826" s="12"/>
      <c r="D826" s="87"/>
      <c r="F826" s="14"/>
      <c r="G826" s="14"/>
      <c r="H826" s="14"/>
      <c r="I826" s="14"/>
      <c r="J826" s="14"/>
      <c r="K826" s="12"/>
    </row>
    <row r="827" ht="19.5" customHeight="1">
      <c r="A827" s="12"/>
      <c r="C827" s="12"/>
      <c r="D827" s="87"/>
      <c r="F827" s="14"/>
      <c r="G827" s="14"/>
      <c r="H827" s="14"/>
      <c r="I827" s="14"/>
      <c r="J827" s="14"/>
      <c r="K827" s="12"/>
    </row>
    <row r="828" ht="19.5" customHeight="1">
      <c r="A828" s="12"/>
      <c r="C828" s="12"/>
      <c r="D828" s="87"/>
      <c r="F828" s="14"/>
      <c r="G828" s="14"/>
      <c r="H828" s="14"/>
      <c r="I828" s="14"/>
      <c r="J828" s="14"/>
      <c r="K828" s="12"/>
    </row>
    <row r="829" ht="19.5" customHeight="1">
      <c r="A829" s="12"/>
      <c r="C829" s="12"/>
      <c r="D829" s="87"/>
      <c r="F829" s="14"/>
      <c r="G829" s="14"/>
      <c r="H829" s="14"/>
      <c r="I829" s="14"/>
      <c r="J829" s="14"/>
      <c r="K829" s="12"/>
    </row>
    <row r="830" ht="19.5" customHeight="1">
      <c r="A830" s="12"/>
      <c r="C830" s="12"/>
      <c r="D830" s="87"/>
      <c r="F830" s="14"/>
      <c r="G830" s="14"/>
      <c r="H830" s="14"/>
      <c r="I830" s="14"/>
      <c r="J830" s="14"/>
      <c r="K830" s="12"/>
    </row>
    <row r="831" ht="19.5" customHeight="1">
      <c r="A831" s="12"/>
      <c r="C831" s="12"/>
      <c r="D831" s="87"/>
      <c r="F831" s="14"/>
      <c r="G831" s="14"/>
      <c r="H831" s="14"/>
      <c r="I831" s="14"/>
      <c r="J831" s="14"/>
      <c r="K831" s="12"/>
    </row>
    <row r="832" ht="19.5" customHeight="1">
      <c r="A832" s="12"/>
      <c r="C832" s="12"/>
      <c r="D832" s="87"/>
      <c r="F832" s="14"/>
      <c r="G832" s="14"/>
      <c r="H832" s="14"/>
      <c r="I832" s="14"/>
      <c r="J832" s="14"/>
      <c r="K832" s="12"/>
    </row>
    <row r="833" ht="19.5" customHeight="1">
      <c r="A833" s="12"/>
      <c r="C833" s="12"/>
      <c r="D833" s="87"/>
      <c r="F833" s="14"/>
      <c r="G833" s="14"/>
      <c r="H833" s="14"/>
      <c r="I833" s="14"/>
      <c r="J833" s="14"/>
      <c r="K833" s="12"/>
    </row>
    <row r="834" ht="19.5" customHeight="1">
      <c r="A834" s="12"/>
      <c r="C834" s="12"/>
      <c r="D834" s="87"/>
      <c r="F834" s="14"/>
      <c r="G834" s="14"/>
      <c r="H834" s="14"/>
      <c r="I834" s="14"/>
      <c r="J834" s="14"/>
      <c r="K834" s="12"/>
    </row>
    <row r="835" ht="19.5" customHeight="1">
      <c r="A835" s="12"/>
      <c r="C835" s="12"/>
      <c r="D835" s="87"/>
      <c r="F835" s="14"/>
      <c r="G835" s="14"/>
      <c r="H835" s="14"/>
      <c r="I835" s="14"/>
      <c r="J835" s="14"/>
      <c r="K835" s="12"/>
    </row>
    <row r="836" ht="19.5" customHeight="1">
      <c r="A836" s="12"/>
      <c r="C836" s="12"/>
      <c r="D836" s="87"/>
      <c r="F836" s="14"/>
      <c r="G836" s="14"/>
      <c r="H836" s="14"/>
      <c r="I836" s="14"/>
      <c r="J836" s="14"/>
      <c r="K836" s="12"/>
    </row>
    <row r="837" ht="19.5" customHeight="1">
      <c r="A837" s="12"/>
      <c r="C837" s="12"/>
      <c r="D837" s="87"/>
      <c r="F837" s="14"/>
      <c r="G837" s="14"/>
      <c r="H837" s="14"/>
      <c r="I837" s="14"/>
      <c r="J837" s="14"/>
      <c r="K837" s="12"/>
    </row>
    <row r="838" ht="19.5" customHeight="1">
      <c r="A838" s="12"/>
      <c r="C838" s="12"/>
      <c r="D838" s="87"/>
      <c r="F838" s="14"/>
      <c r="G838" s="14"/>
      <c r="H838" s="14"/>
      <c r="I838" s="14"/>
      <c r="J838" s="14"/>
      <c r="K838" s="12"/>
    </row>
    <row r="839" ht="19.5" customHeight="1">
      <c r="A839" s="12"/>
      <c r="C839" s="12"/>
      <c r="D839" s="87"/>
      <c r="F839" s="14"/>
      <c r="G839" s="14"/>
      <c r="H839" s="14"/>
      <c r="I839" s="14"/>
      <c r="J839" s="14"/>
      <c r="K839" s="12"/>
    </row>
    <row r="840" ht="19.5" customHeight="1">
      <c r="A840" s="12"/>
      <c r="C840" s="12"/>
      <c r="D840" s="87"/>
      <c r="F840" s="14"/>
      <c r="G840" s="14"/>
      <c r="H840" s="14"/>
      <c r="I840" s="14"/>
      <c r="J840" s="14"/>
      <c r="K840" s="12"/>
    </row>
    <row r="841" ht="19.5" customHeight="1">
      <c r="A841" s="12"/>
      <c r="C841" s="12"/>
      <c r="D841" s="87"/>
      <c r="F841" s="14"/>
      <c r="G841" s="14"/>
      <c r="H841" s="14"/>
      <c r="I841" s="14"/>
      <c r="J841" s="14"/>
      <c r="K841" s="12"/>
    </row>
    <row r="842" ht="19.5" customHeight="1">
      <c r="A842" s="12"/>
      <c r="C842" s="12"/>
      <c r="D842" s="87"/>
      <c r="F842" s="14"/>
      <c r="G842" s="14"/>
      <c r="H842" s="14"/>
      <c r="I842" s="14"/>
      <c r="J842" s="14"/>
      <c r="K842" s="12"/>
    </row>
    <row r="843" ht="19.5" customHeight="1">
      <c r="A843" s="12"/>
      <c r="C843" s="12"/>
      <c r="D843" s="87"/>
      <c r="F843" s="14"/>
      <c r="G843" s="14"/>
      <c r="H843" s="14"/>
      <c r="I843" s="14"/>
      <c r="J843" s="14"/>
      <c r="K843" s="12"/>
    </row>
    <row r="844" ht="19.5" customHeight="1">
      <c r="A844" s="12"/>
      <c r="C844" s="12"/>
      <c r="D844" s="87"/>
      <c r="F844" s="14"/>
      <c r="G844" s="14"/>
      <c r="H844" s="14"/>
      <c r="I844" s="14"/>
      <c r="J844" s="14"/>
      <c r="K844" s="12"/>
    </row>
    <row r="845" ht="19.5" customHeight="1">
      <c r="A845" s="12"/>
      <c r="C845" s="12"/>
      <c r="D845" s="87"/>
      <c r="F845" s="14"/>
      <c r="G845" s="14"/>
      <c r="H845" s="14"/>
      <c r="I845" s="14"/>
      <c r="J845" s="14"/>
      <c r="K845" s="12"/>
    </row>
    <row r="846" ht="19.5" customHeight="1">
      <c r="A846" s="12"/>
      <c r="C846" s="12"/>
      <c r="D846" s="87"/>
      <c r="F846" s="14"/>
      <c r="G846" s="14"/>
      <c r="H846" s="14"/>
      <c r="I846" s="14"/>
      <c r="J846" s="14"/>
      <c r="K846" s="12"/>
    </row>
    <row r="847" ht="19.5" customHeight="1">
      <c r="A847" s="12"/>
      <c r="C847" s="12"/>
      <c r="D847" s="87"/>
      <c r="F847" s="14"/>
      <c r="G847" s="14"/>
      <c r="H847" s="14"/>
      <c r="I847" s="14"/>
      <c r="J847" s="14"/>
      <c r="K847" s="12"/>
    </row>
    <row r="848" ht="19.5" customHeight="1">
      <c r="A848" s="12"/>
      <c r="C848" s="12"/>
      <c r="D848" s="87"/>
      <c r="F848" s="14"/>
      <c r="G848" s="14"/>
      <c r="H848" s="14"/>
      <c r="I848" s="14"/>
      <c r="J848" s="14"/>
      <c r="K848" s="12"/>
    </row>
    <row r="849" ht="19.5" customHeight="1">
      <c r="A849" s="12"/>
      <c r="C849" s="12"/>
      <c r="D849" s="87"/>
      <c r="F849" s="14"/>
      <c r="G849" s="14"/>
      <c r="H849" s="14"/>
      <c r="I849" s="14"/>
      <c r="J849" s="14"/>
      <c r="K849" s="12"/>
    </row>
    <row r="850" ht="19.5" customHeight="1">
      <c r="A850" s="12"/>
      <c r="C850" s="12"/>
      <c r="D850" s="87"/>
      <c r="F850" s="14"/>
      <c r="G850" s="14"/>
      <c r="H850" s="14"/>
      <c r="I850" s="14"/>
      <c r="J850" s="14"/>
      <c r="K850" s="12"/>
    </row>
    <row r="851" ht="19.5" customHeight="1">
      <c r="A851" s="12"/>
      <c r="C851" s="12"/>
      <c r="D851" s="87"/>
      <c r="F851" s="14"/>
      <c r="G851" s="14"/>
      <c r="H851" s="14"/>
      <c r="I851" s="14"/>
      <c r="J851" s="14"/>
      <c r="K851" s="12"/>
    </row>
    <row r="852" ht="19.5" customHeight="1">
      <c r="A852" s="12"/>
      <c r="C852" s="12"/>
      <c r="D852" s="87"/>
      <c r="F852" s="14"/>
      <c r="G852" s="14"/>
      <c r="H852" s="14"/>
      <c r="I852" s="14"/>
      <c r="J852" s="14"/>
      <c r="K852" s="12"/>
    </row>
    <row r="853" ht="19.5" customHeight="1">
      <c r="A853" s="12"/>
      <c r="C853" s="12"/>
      <c r="D853" s="87"/>
      <c r="F853" s="14"/>
      <c r="G853" s="14"/>
      <c r="H853" s="14"/>
      <c r="I853" s="14"/>
      <c r="J853" s="14"/>
      <c r="K853" s="12"/>
    </row>
    <row r="854" ht="19.5" customHeight="1">
      <c r="A854" s="12"/>
      <c r="C854" s="12"/>
      <c r="D854" s="87"/>
      <c r="F854" s="14"/>
      <c r="G854" s="14"/>
      <c r="H854" s="14"/>
      <c r="I854" s="14"/>
      <c r="J854" s="14"/>
      <c r="K854" s="12"/>
    </row>
    <row r="855" ht="19.5" customHeight="1">
      <c r="A855" s="12"/>
      <c r="C855" s="12"/>
      <c r="D855" s="87"/>
      <c r="F855" s="14"/>
      <c r="G855" s="14"/>
      <c r="H855" s="14"/>
      <c r="I855" s="14"/>
      <c r="J855" s="14"/>
      <c r="K855" s="12"/>
    </row>
    <row r="856" ht="19.5" customHeight="1">
      <c r="A856" s="12"/>
      <c r="C856" s="12"/>
      <c r="D856" s="87"/>
      <c r="F856" s="14"/>
      <c r="G856" s="14"/>
      <c r="H856" s="14"/>
      <c r="I856" s="14"/>
      <c r="J856" s="14"/>
      <c r="K856" s="12"/>
    </row>
    <row r="857" ht="19.5" customHeight="1">
      <c r="A857" s="12"/>
      <c r="C857" s="12"/>
      <c r="D857" s="87"/>
      <c r="F857" s="14"/>
      <c r="G857" s="14"/>
      <c r="H857" s="14"/>
      <c r="I857" s="14"/>
      <c r="J857" s="14"/>
      <c r="K857" s="12"/>
    </row>
    <row r="858" ht="19.5" customHeight="1">
      <c r="A858" s="12"/>
      <c r="C858" s="12"/>
      <c r="D858" s="87"/>
      <c r="F858" s="14"/>
      <c r="G858" s="14"/>
      <c r="H858" s="14"/>
      <c r="I858" s="14"/>
      <c r="J858" s="14"/>
      <c r="K858" s="12"/>
    </row>
    <row r="859" ht="19.5" customHeight="1">
      <c r="A859" s="12"/>
      <c r="C859" s="12"/>
      <c r="D859" s="87"/>
      <c r="F859" s="14"/>
      <c r="G859" s="14"/>
      <c r="H859" s="14"/>
      <c r="I859" s="14"/>
      <c r="J859" s="14"/>
      <c r="K859" s="12"/>
    </row>
    <row r="860" ht="19.5" customHeight="1">
      <c r="A860" s="12"/>
      <c r="C860" s="12"/>
      <c r="D860" s="87"/>
      <c r="F860" s="14"/>
      <c r="G860" s="14"/>
      <c r="H860" s="14"/>
      <c r="I860" s="14"/>
      <c r="J860" s="14"/>
      <c r="K860" s="12"/>
    </row>
    <row r="861" ht="19.5" customHeight="1">
      <c r="A861" s="12"/>
      <c r="C861" s="12"/>
      <c r="D861" s="87"/>
      <c r="F861" s="14"/>
      <c r="G861" s="14"/>
      <c r="H861" s="14"/>
      <c r="I861" s="14"/>
      <c r="J861" s="14"/>
      <c r="K861" s="12"/>
    </row>
    <row r="862" ht="19.5" customHeight="1">
      <c r="A862" s="12"/>
      <c r="C862" s="12"/>
      <c r="D862" s="87"/>
      <c r="F862" s="14"/>
      <c r="G862" s="14"/>
      <c r="H862" s="14"/>
      <c r="I862" s="14"/>
      <c r="J862" s="14"/>
      <c r="K862" s="12"/>
    </row>
    <row r="863" ht="19.5" customHeight="1">
      <c r="A863" s="12"/>
      <c r="C863" s="12"/>
      <c r="D863" s="87"/>
      <c r="F863" s="14"/>
      <c r="G863" s="14"/>
      <c r="H863" s="14"/>
      <c r="I863" s="14"/>
      <c r="J863" s="14"/>
      <c r="K863" s="12"/>
    </row>
    <row r="864" ht="19.5" customHeight="1">
      <c r="A864" s="12"/>
      <c r="C864" s="12"/>
      <c r="D864" s="87"/>
      <c r="F864" s="14"/>
      <c r="G864" s="14"/>
      <c r="H864" s="14"/>
      <c r="I864" s="14"/>
      <c r="J864" s="14"/>
      <c r="K864" s="12"/>
    </row>
    <row r="865" ht="19.5" customHeight="1">
      <c r="A865" s="12"/>
      <c r="C865" s="12"/>
      <c r="D865" s="87"/>
      <c r="F865" s="14"/>
      <c r="G865" s="14"/>
      <c r="H865" s="14"/>
      <c r="I865" s="14"/>
      <c r="J865" s="14"/>
      <c r="K865" s="12"/>
    </row>
    <row r="866" ht="19.5" customHeight="1">
      <c r="A866" s="12"/>
      <c r="C866" s="12"/>
      <c r="D866" s="87"/>
      <c r="F866" s="14"/>
      <c r="G866" s="14"/>
      <c r="H866" s="14"/>
      <c r="I866" s="14"/>
      <c r="J866" s="14"/>
      <c r="K866" s="12"/>
    </row>
    <row r="867" ht="19.5" customHeight="1">
      <c r="A867" s="12"/>
      <c r="C867" s="12"/>
      <c r="D867" s="87"/>
      <c r="F867" s="14"/>
      <c r="G867" s="14"/>
      <c r="H867" s="14"/>
      <c r="I867" s="14"/>
      <c r="J867" s="14"/>
      <c r="K867" s="12"/>
    </row>
    <row r="868" ht="19.5" customHeight="1">
      <c r="A868" s="12"/>
      <c r="C868" s="12"/>
      <c r="D868" s="87"/>
      <c r="F868" s="14"/>
      <c r="G868" s="14"/>
      <c r="H868" s="14"/>
      <c r="I868" s="14"/>
      <c r="J868" s="14"/>
      <c r="K868" s="12"/>
    </row>
    <row r="869" ht="19.5" customHeight="1">
      <c r="A869" s="12"/>
      <c r="C869" s="12"/>
      <c r="D869" s="87"/>
      <c r="F869" s="14"/>
      <c r="G869" s="14"/>
      <c r="H869" s="14"/>
      <c r="I869" s="14"/>
      <c r="J869" s="14"/>
      <c r="K869" s="12"/>
    </row>
    <row r="870" ht="19.5" customHeight="1">
      <c r="A870" s="12"/>
      <c r="C870" s="12"/>
      <c r="D870" s="87"/>
      <c r="F870" s="14"/>
      <c r="G870" s="14"/>
      <c r="H870" s="14"/>
      <c r="I870" s="14"/>
      <c r="J870" s="14"/>
      <c r="K870" s="12"/>
    </row>
    <row r="871" ht="19.5" customHeight="1">
      <c r="A871" s="12"/>
      <c r="C871" s="12"/>
      <c r="D871" s="87"/>
      <c r="F871" s="14"/>
      <c r="G871" s="14"/>
      <c r="H871" s="14"/>
      <c r="I871" s="14"/>
      <c r="J871" s="14"/>
      <c r="K871" s="12"/>
    </row>
    <row r="872" ht="19.5" customHeight="1">
      <c r="A872" s="12"/>
      <c r="C872" s="12"/>
      <c r="D872" s="87"/>
      <c r="F872" s="14"/>
      <c r="G872" s="14"/>
      <c r="H872" s="14"/>
      <c r="I872" s="14"/>
      <c r="J872" s="14"/>
      <c r="K872" s="12"/>
    </row>
    <row r="873" ht="19.5" customHeight="1">
      <c r="A873" s="12"/>
      <c r="C873" s="12"/>
      <c r="D873" s="87"/>
      <c r="F873" s="14"/>
      <c r="G873" s="14"/>
      <c r="H873" s="14"/>
      <c r="I873" s="14"/>
      <c r="J873" s="14"/>
      <c r="K873" s="12"/>
    </row>
    <row r="874" ht="19.5" customHeight="1">
      <c r="A874" s="12"/>
      <c r="C874" s="12"/>
      <c r="D874" s="87"/>
      <c r="F874" s="14"/>
      <c r="G874" s="14"/>
      <c r="H874" s="14"/>
      <c r="I874" s="14"/>
      <c r="J874" s="14"/>
      <c r="K874" s="12"/>
    </row>
    <row r="875" ht="19.5" customHeight="1">
      <c r="A875" s="12"/>
      <c r="C875" s="12"/>
      <c r="D875" s="87"/>
      <c r="F875" s="14"/>
      <c r="G875" s="14"/>
      <c r="H875" s="14"/>
      <c r="I875" s="14"/>
      <c r="J875" s="14"/>
      <c r="K875" s="12"/>
    </row>
    <row r="876" ht="19.5" customHeight="1">
      <c r="A876" s="12"/>
      <c r="C876" s="12"/>
      <c r="D876" s="87"/>
      <c r="F876" s="14"/>
      <c r="G876" s="14"/>
      <c r="H876" s="14"/>
      <c r="I876" s="14"/>
      <c r="J876" s="14"/>
      <c r="K876" s="12"/>
    </row>
    <row r="877" ht="19.5" customHeight="1">
      <c r="A877" s="12"/>
      <c r="C877" s="12"/>
      <c r="D877" s="87"/>
      <c r="F877" s="14"/>
      <c r="G877" s="14"/>
      <c r="H877" s="14"/>
      <c r="I877" s="14"/>
      <c r="J877" s="14"/>
      <c r="K877" s="12"/>
    </row>
    <row r="878" ht="19.5" customHeight="1">
      <c r="A878" s="12"/>
      <c r="C878" s="12"/>
      <c r="D878" s="87"/>
      <c r="F878" s="14"/>
      <c r="G878" s="14"/>
      <c r="H878" s="14"/>
      <c r="I878" s="14"/>
      <c r="J878" s="14"/>
      <c r="K878" s="12"/>
    </row>
    <row r="879" ht="19.5" customHeight="1">
      <c r="A879" s="12"/>
      <c r="C879" s="12"/>
      <c r="D879" s="87"/>
      <c r="F879" s="14"/>
      <c r="G879" s="14"/>
      <c r="H879" s="14"/>
      <c r="I879" s="14"/>
      <c r="J879" s="14"/>
      <c r="K879" s="12"/>
    </row>
    <row r="880" ht="19.5" customHeight="1">
      <c r="A880" s="12"/>
      <c r="C880" s="12"/>
      <c r="D880" s="87"/>
      <c r="F880" s="14"/>
      <c r="G880" s="14"/>
      <c r="H880" s="14"/>
      <c r="I880" s="14"/>
      <c r="J880" s="14"/>
      <c r="K880" s="12"/>
    </row>
    <row r="881" ht="19.5" customHeight="1">
      <c r="A881" s="12"/>
      <c r="C881" s="12"/>
      <c r="D881" s="87"/>
      <c r="F881" s="14"/>
      <c r="G881" s="14"/>
      <c r="H881" s="14"/>
      <c r="I881" s="14"/>
      <c r="J881" s="14"/>
      <c r="K881" s="12"/>
    </row>
    <row r="882" ht="19.5" customHeight="1">
      <c r="A882" s="12"/>
      <c r="C882" s="12"/>
      <c r="D882" s="87"/>
      <c r="F882" s="14"/>
      <c r="G882" s="14"/>
      <c r="H882" s="14"/>
      <c r="I882" s="14"/>
      <c r="J882" s="14"/>
      <c r="K882" s="12"/>
    </row>
    <row r="883" ht="19.5" customHeight="1">
      <c r="A883" s="12"/>
      <c r="C883" s="12"/>
      <c r="D883" s="87"/>
      <c r="F883" s="14"/>
      <c r="G883" s="14"/>
      <c r="H883" s="14"/>
      <c r="I883" s="14"/>
      <c r="J883" s="14"/>
      <c r="K883" s="12"/>
    </row>
    <row r="884" ht="19.5" customHeight="1">
      <c r="A884" s="12"/>
      <c r="C884" s="12"/>
      <c r="D884" s="87"/>
      <c r="F884" s="14"/>
      <c r="G884" s="14"/>
      <c r="H884" s="14"/>
      <c r="I884" s="14"/>
      <c r="J884" s="14"/>
      <c r="K884" s="12"/>
    </row>
    <row r="885" ht="19.5" customHeight="1">
      <c r="A885" s="12"/>
      <c r="C885" s="12"/>
      <c r="D885" s="87"/>
      <c r="F885" s="14"/>
      <c r="G885" s="14"/>
      <c r="H885" s="14"/>
      <c r="I885" s="14"/>
      <c r="J885" s="14"/>
      <c r="K885" s="12"/>
    </row>
    <row r="886" ht="19.5" customHeight="1">
      <c r="A886" s="12"/>
      <c r="C886" s="12"/>
      <c r="D886" s="87"/>
      <c r="F886" s="14"/>
      <c r="G886" s="14"/>
      <c r="H886" s="14"/>
      <c r="I886" s="14"/>
      <c r="J886" s="14"/>
      <c r="K886" s="12"/>
    </row>
    <row r="887" ht="19.5" customHeight="1">
      <c r="A887" s="12"/>
      <c r="C887" s="12"/>
      <c r="D887" s="87"/>
      <c r="F887" s="14"/>
      <c r="G887" s="14"/>
      <c r="H887" s="14"/>
      <c r="I887" s="14"/>
      <c r="J887" s="14"/>
      <c r="K887" s="12"/>
    </row>
    <row r="888" ht="19.5" customHeight="1">
      <c r="A888" s="12"/>
      <c r="C888" s="12"/>
      <c r="D888" s="87"/>
      <c r="F888" s="14"/>
      <c r="G888" s="14"/>
      <c r="H888" s="14"/>
      <c r="I888" s="14"/>
      <c r="J888" s="14"/>
      <c r="K888" s="12"/>
    </row>
    <row r="889" ht="19.5" customHeight="1">
      <c r="A889" s="12"/>
      <c r="C889" s="12"/>
      <c r="D889" s="87"/>
      <c r="F889" s="14"/>
      <c r="G889" s="14"/>
      <c r="H889" s="14"/>
      <c r="I889" s="14"/>
      <c r="J889" s="14"/>
      <c r="K889" s="12"/>
    </row>
    <row r="890" ht="19.5" customHeight="1">
      <c r="A890" s="12"/>
      <c r="C890" s="12"/>
      <c r="D890" s="87"/>
      <c r="F890" s="14"/>
      <c r="G890" s="14"/>
      <c r="H890" s="14"/>
      <c r="I890" s="14"/>
      <c r="J890" s="14"/>
      <c r="K890" s="12"/>
    </row>
    <row r="891" ht="19.5" customHeight="1">
      <c r="A891" s="12"/>
      <c r="C891" s="12"/>
      <c r="D891" s="87"/>
      <c r="F891" s="14"/>
      <c r="G891" s="14"/>
      <c r="H891" s="14"/>
      <c r="I891" s="14"/>
      <c r="J891" s="14"/>
      <c r="K891" s="12"/>
    </row>
    <row r="892" ht="19.5" customHeight="1">
      <c r="A892" s="12"/>
      <c r="C892" s="12"/>
      <c r="D892" s="87"/>
      <c r="F892" s="14"/>
      <c r="G892" s="14"/>
      <c r="H892" s="14"/>
      <c r="I892" s="14"/>
      <c r="J892" s="14"/>
      <c r="K892" s="12"/>
    </row>
    <row r="893" ht="19.5" customHeight="1">
      <c r="A893" s="12"/>
      <c r="C893" s="12"/>
      <c r="D893" s="87"/>
      <c r="F893" s="14"/>
      <c r="G893" s="14"/>
      <c r="H893" s="14"/>
      <c r="I893" s="14"/>
      <c r="J893" s="14"/>
      <c r="K893" s="12"/>
    </row>
    <row r="894" ht="19.5" customHeight="1">
      <c r="A894" s="12"/>
      <c r="C894" s="12"/>
      <c r="D894" s="87"/>
      <c r="F894" s="14"/>
      <c r="G894" s="14"/>
      <c r="H894" s="14"/>
      <c r="I894" s="14"/>
      <c r="J894" s="14"/>
      <c r="K894" s="12"/>
    </row>
    <row r="895" ht="19.5" customHeight="1">
      <c r="A895" s="12"/>
      <c r="C895" s="12"/>
      <c r="D895" s="87"/>
      <c r="F895" s="14"/>
      <c r="G895" s="14"/>
      <c r="H895" s="14"/>
      <c r="I895" s="14"/>
      <c r="J895" s="14"/>
      <c r="K895" s="12"/>
    </row>
    <row r="896" ht="19.5" customHeight="1">
      <c r="A896" s="12"/>
      <c r="C896" s="12"/>
      <c r="D896" s="87"/>
      <c r="F896" s="14"/>
      <c r="G896" s="14"/>
      <c r="H896" s="14"/>
      <c r="I896" s="14"/>
      <c r="J896" s="14"/>
      <c r="K896" s="12"/>
    </row>
    <row r="897" ht="19.5" customHeight="1">
      <c r="A897" s="12"/>
      <c r="C897" s="12"/>
      <c r="D897" s="87"/>
      <c r="F897" s="14"/>
      <c r="G897" s="14"/>
      <c r="H897" s="14"/>
      <c r="I897" s="14"/>
      <c r="J897" s="14"/>
      <c r="K897" s="12"/>
    </row>
    <row r="898" ht="19.5" customHeight="1">
      <c r="A898" s="12"/>
      <c r="C898" s="12"/>
      <c r="D898" s="87"/>
      <c r="F898" s="14"/>
      <c r="G898" s="14"/>
      <c r="H898" s="14"/>
      <c r="I898" s="14"/>
      <c r="J898" s="14"/>
      <c r="K898" s="12"/>
    </row>
    <row r="899" ht="19.5" customHeight="1">
      <c r="A899" s="12"/>
      <c r="C899" s="12"/>
      <c r="D899" s="87"/>
      <c r="F899" s="14"/>
      <c r="G899" s="14"/>
      <c r="H899" s="14"/>
      <c r="I899" s="14"/>
      <c r="J899" s="14"/>
      <c r="K899" s="12"/>
    </row>
    <row r="900" ht="19.5" customHeight="1">
      <c r="A900" s="12"/>
      <c r="C900" s="12"/>
      <c r="D900" s="87"/>
      <c r="F900" s="14"/>
      <c r="G900" s="14"/>
      <c r="H900" s="14"/>
      <c r="I900" s="14"/>
      <c r="J900" s="14"/>
      <c r="K900" s="12"/>
    </row>
    <row r="901" ht="19.5" customHeight="1">
      <c r="A901" s="12"/>
      <c r="C901" s="12"/>
      <c r="D901" s="87"/>
      <c r="F901" s="14"/>
      <c r="G901" s="14"/>
      <c r="H901" s="14"/>
      <c r="I901" s="14"/>
      <c r="J901" s="14"/>
      <c r="K901" s="12"/>
    </row>
    <row r="902" ht="19.5" customHeight="1">
      <c r="A902" s="12"/>
      <c r="C902" s="12"/>
      <c r="D902" s="87"/>
      <c r="F902" s="14"/>
      <c r="G902" s="14"/>
      <c r="H902" s="14"/>
      <c r="I902" s="14"/>
      <c r="J902" s="14"/>
      <c r="K902" s="12"/>
    </row>
    <row r="903" ht="19.5" customHeight="1">
      <c r="A903" s="12"/>
      <c r="C903" s="12"/>
      <c r="D903" s="87"/>
      <c r="F903" s="14"/>
      <c r="G903" s="14"/>
      <c r="H903" s="14"/>
      <c r="I903" s="14"/>
      <c r="J903" s="14"/>
      <c r="K903" s="12"/>
    </row>
    <row r="904" ht="19.5" customHeight="1">
      <c r="A904" s="12"/>
      <c r="C904" s="12"/>
      <c r="D904" s="87"/>
      <c r="F904" s="14"/>
      <c r="G904" s="14"/>
      <c r="H904" s="14"/>
      <c r="I904" s="14"/>
      <c r="J904" s="14"/>
      <c r="K904" s="12"/>
    </row>
    <row r="905" ht="19.5" customHeight="1">
      <c r="A905" s="12"/>
      <c r="C905" s="12"/>
      <c r="D905" s="87"/>
      <c r="F905" s="14"/>
      <c r="G905" s="14"/>
      <c r="H905" s="14"/>
      <c r="I905" s="14"/>
      <c r="J905" s="14"/>
      <c r="K905" s="12"/>
    </row>
    <row r="906" ht="19.5" customHeight="1">
      <c r="A906" s="12"/>
      <c r="C906" s="12"/>
      <c r="D906" s="87"/>
      <c r="F906" s="14"/>
      <c r="G906" s="14"/>
      <c r="H906" s="14"/>
      <c r="I906" s="14"/>
      <c r="J906" s="14"/>
      <c r="K906" s="12"/>
    </row>
    <row r="907" ht="19.5" customHeight="1">
      <c r="A907" s="12"/>
      <c r="C907" s="12"/>
      <c r="D907" s="87"/>
      <c r="F907" s="14"/>
      <c r="G907" s="14"/>
      <c r="H907" s="14"/>
      <c r="I907" s="14"/>
      <c r="J907" s="14"/>
      <c r="K907" s="12"/>
    </row>
    <row r="908" ht="19.5" customHeight="1">
      <c r="A908" s="12"/>
      <c r="C908" s="12"/>
      <c r="D908" s="87"/>
      <c r="F908" s="14"/>
      <c r="G908" s="14"/>
      <c r="H908" s="14"/>
      <c r="I908" s="14"/>
      <c r="J908" s="14"/>
      <c r="K908" s="12"/>
    </row>
    <row r="909" ht="19.5" customHeight="1">
      <c r="A909" s="12"/>
      <c r="C909" s="12"/>
      <c r="D909" s="87"/>
      <c r="F909" s="14"/>
      <c r="G909" s="14"/>
      <c r="H909" s="14"/>
      <c r="I909" s="14"/>
      <c r="J909" s="14"/>
      <c r="K909" s="12"/>
    </row>
    <row r="910" ht="19.5" customHeight="1">
      <c r="A910" s="12"/>
      <c r="C910" s="12"/>
      <c r="D910" s="87"/>
      <c r="F910" s="14"/>
      <c r="G910" s="14"/>
      <c r="H910" s="14"/>
      <c r="I910" s="14"/>
      <c r="J910" s="14"/>
      <c r="K910" s="12"/>
    </row>
    <row r="911" ht="19.5" customHeight="1">
      <c r="A911" s="12"/>
      <c r="C911" s="12"/>
      <c r="D911" s="87"/>
      <c r="F911" s="14"/>
      <c r="G911" s="14"/>
      <c r="H911" s="14"/>
      <c r="I911" s="14"/>
      <c r="J911" s="14"/>
      <c r="K911" s="12"/>
    </row>
    <row r="912" ht="19.5" customHeight="1">
      <c r="A912" s="12"/>
      <c r="C912" s="12"/>
      <c r="D912" s="87"/>
      <c r="F912" s="14"/>
      <c r="G912" s="14"/>
      <c r="H912" s="14"/>
      <c r="I912" s="14"/>
      <c r="J912" s="14"/>
      <c r="K912" s="12"/>
    </row>
    <row r="913" ht="19.5" customHeight="1">
      <c r="A913" s="12"/>
      <c r="C913" s="12"/>
      <c r="D913" s="87"/>
      <c r="F913" s="14"/>
      <c r="G913" s="14"/>
      <c r="H913" s="14"/>
      <c r="I913" s="14"/>
      <c r="J913" s="14"/>
      <c r="K913" s="12"/>
    </row>
    <row r="914" ht="19.5" customHeight="1">
      <c r="A914" s="12"/>
      <c r="C914" s="12"/>
      <c r="D914" s="87"/>
      <c r="F914" s="14"/>
      <c r="G914" s="14"/>
      <c r="H914" s="14"/>
      <c r="I914" s="14"/>
      <c r="J914" s="14"/>
      <c r="K914" s="12"/>
    </row>
    <row r="915" ht="19.5" customHeight="1">
      <c r="A915" s="12"/>
      <c r="C915" s="12"/>
      <c r="D915" s="87"/>
      <c r="F915" s="14"/>
      <c r="G915" s="14"/>
      <c r="H915" s="14"/>
      <c r="I915" s="14"/>
      <c r="J915" s="14"/>
      <c r="K915" s="12"/>
    </row>
    <row r="916" ht="19.5" customHeight="1">
      <c r="A916" s="12"/>
      <c r="C916" s="12"/>
      <c r="D916" s="87"/>
      <c r="F916" s="14"/>
      <c r="G916" s="14"/>
      <c r="H916" s="14"/>
      <c r="I916" s="14"/>
      <c r="J916" s="14"/>
      <c r="K916" s="12"/>
    </row>
    <row r="917" ht="19.5" customHeight="1">
      <c r="A917" s="12"/>
      <c r="C917" s="12"/>
      <c r="D917" s="87"/>
      <c r="F917" s="14"/>
      <c r="G917" s="14"/>
      <c r="H917" s="14"/>
      <c r="I917" s="14"/>
      <c r="J917" s="14"/>
      <c r="K917" s="12"/>
    </row>
    <row r="918" ht="19.5" customHeight="1">
      <c r="A918" s="12"/>
      <c r="C918" s="12"/>
      <c r="D918" s="87"/>
      <c r="F918" s="14"/>
      <c r="G918" s="14"/>
      <c r="H918" s="14"/>
      <c r="I918" s="14"/>
      <c r="J918" s="14"/>
      <c r="K918" s="12"/>
    </row>
    <row r="919" ht="19.5" customHeight="1">
      <c r="A919" s="12"/>
      <c r="C919" s="12"/>
      <c r="D919" s="87"/>
      <c r="F919" s="14"/>
      <c r="G919" s="14"/>
      <c r="H919" s="14"/>
      <c r="I919" s="14"/>
      <c r="J919" s="14"/>
      <c r="K919" s="12"/>
    </row>
    <row r="920" ht="19.5" customHeight="1">
      <c r="A920" s="12"/>
      <c r="C920" s="12"/>
      <c r="D920" s="87"/>
      <c r="F920" s="14"/>
      <c r="G920" s="14"/>
      <c r="H920" s="14"/>
      <c r="I920" s="14"/>
      <c r="J920" s="14"/>
      <c r="K920" s="12"/>
    </row>
    <row r="921" ht="19.5" customHeight="1">
      <c r="A921" s="12"/>
      <c r="C921" s="12"/>
      <c r="D921" s="87"/>
      <c r="F921" s="14"/>
      <c r="G921" s="14"/>
      <c r="H921" s="14"/>
      <c r="I921" s="14"/>
      <c r="J921" s="14"/>
      <c r="K921" s="12"/>
    </row>
    <row r="922" ht="19.5" customHeight="1">
      <c r="A922" s="12"/>
      <c r="C922" s="12"/>
      <c r="D922" s="87"/>
      <c r="F922" s="14"/>
      <c r="G922" s="14"/>
      <c r="H922" s="14"/>
      <c r="I922" s="14"/>
      <c r="J922" s="14"/>
      <c r="K922" s="12"/>
    </row>
    <row r="923" ht="19.5" customHeight="1">
      <c r="A923" s="12"/>
      <c r="C923" s="12"/>
      <c r="D923" s="87"/>
      <c r="F923" s="14"/>
      <c r="G923" s="14"/>
      <c r="H923" s="14"/>
      <c r="I923" s="14"/>
      <c r="J923" s="14"/>
      <c r="K923" s="12"/>
    </row>
    <row r="924" ht="19.5" customHeight="1">
      <c r="A924" s="12"/>
      <c r="C924" s="12"/>
      <c r="D924" s="87"/>
      <c r="F924" s="14"/>
      <c r="G924" s="14"/>
      <c r="H924" s="14"/>
      <c r="I924" s="14"/>
      <c r="J924" s="14"/>
      <c r="K924" s="12"/>
    </row>
    <row r="925" ht="19.5" customHeight="1">
      <c r="A925" s="12"/>
      <c r="C925" s="12"/>
      <c r="D925" s="87"/>
      <c r="F925" s="14"/>
      <c r="G925" s="14"/>
      <c r="H925" s="14"/>
      <c r="I925" s="14"/>
      <c r="J925" s="14"/>
      <c r="K925" s="12"/>
    </row>
    <row r="926" ht="19.5" customHeight="1">
      <c r="A926" s="12"/>
      <c r="C926" s="12"/>
      <c r="D926" s="87"/>
      <c r="F926" s="14"/>
      <c r="G926" s="14"/>
      <c r="H926" s="14"/>
      <c r="I926" s="14"/>
      <c r="J926" s="14"/>
      <c r="K926" s="12"/>
    </row>
    <row r="927" ht="19.5" customHeight="1">
      <c r="A927" s="12"/>
      <c r="C927" s="12"/>
      <c r="D927" s="87"/>
      <c r="F927" s="14"/>
      <c r="G927" s="14"/>
      <c r="H927" s="14"/>
      <c r="I927" s="14"/>
      <c r="J927" s="14"/>
      <c r="K927" s="12"/>
    </row>
    <row r="928" ht="19.5" customHeight="1">
      <c r="A928" s="12"/>
      <c r="C928" s="12"/>
      <c r="D928" s="87"/>
      <c r="F928" s="14"/>
      <c r="G928" s="14"/>
      <c r="H928" s="14"/>
      <c r="I928" s="14"/>
      <c r="J928" s="14"/>
      <c r="K928" s="12"/>
    </row>
    <row r="929" ht="19.5" customHeight="1">
      <c r="A929" s="12"/>
      <c r="C929" s="12"/>
      <c r="D929" s="87"/>
      <c r="F929" s="14"/>
      <c r="G929" s="14"/>
      <c r="H929" s="14"/>
      <c r="I929" s="14"/>
      <c r="J929" s="14"/>
      <c r="K929" s="12"/>
    </row>
    <row r="930" ht="19.5" customHeight="1">
      <c r="A930" s="12"/>
      <c r="C930" s="12"/>
      <c r="D930" s="87"/>
      <c r="F930" s="14"/>
      <c r="G930" s="14"/>
      <c r="H930" s="14"/>
      <c r="I930" s="14"/>
      <c r="J930" s="14"/>
      <c r="K930" s="12"/>
    </row>
    <row r="931" ht="19.5" customHeight="1">
      <c r="A931" s="12"/>
      <c r="C931" s="12"/>
      <c r="D931" s="87"/>
      <c r="F931" s="14"/>
      <c r="G931" s="14"/>
      <c r="H931" s="14"/>
      <c r="I931" s="14"/>
      <c r="J931" s="14"/>
      <c r="K931" s="12"/>
    </row>
    <row r="932" ht="19.5" customHeight="1">
      <c r="A932" s="12"/>
      <c r="C932" s="12"/>
      <c r="D932" s="87"/>
      <c r="F932" s="14"/>
      <c r="G932" s="14"/>
      <c r="H932" s="14"/>
      <c r="I932" s="14"/>
      <c r="J932" s="14"/>
      <c r="K932" s="12"/>
    </row>
    <row r="933" ht="19.5" customHeight="1">
      <c r="A933" s="12"/>
      <c r="C933" s="12"/>
      <c r="D933" s="87"/>
      <c r="F933" s="14"/>
      <c r="G933" s="14"/>
      <c r="H933" s="14"/>
      <c r="I933" s="14"/>
      <c r="J933" s="14"/>
      <c r="K933" s="12"/>
    </row>
    <row r="934" ht="19.5" customHeight="1">
      <c r="A934" s="12"/>
      <c r="C934" s="12"/>
      <c r="D934" s="87"/>
      <c r="F934" s="14"/>
      <c r="G934" s="14"/>
      <c r="H934" s="14"/>
      <c r="I934" s="14"/>
      <c r="J934" s="14"/>
      <c r="K934" s="12"/>
    </row>
    <row r="935" ht="19.5" customHeight="1">
      <c r="A935" s="12"/>
      <c r="C935" s="12"/>
      <c r="D935" s="87"/>
      <c r="F935" s="14"/>
      <c r="G935" s="14"/>
      <c r="H935" s="14"/>
      <c r="I935" s="14"/>
      <c r="J935" s="14"/>
      <c r="K935" s="12"/>
    </row>
    <row r="936" ht="19.5" customHeight="1">
      <c r="A936" s="12"/>
      <c r="C936" s="12"/>
      <c r="D936" s="87"/>
      <c r="F936" s="14"/>
      <c r="G936" s="14"/>
      <c r="H936" s="14"/>
      <c r="I936" s="14"/>
      <c r="J936" s="14"/>
      <c r="K936" s="12"/>
    </row>
    <row r="937" ht="19.5" customHeight="1">
      <c r="A937" s="12"/>
      <c r="C937" s="12"/>
      <c r="D937" s="87"/>
      <c r="F937" s="14"/>
      <c r="G937" s="14"/>
      <c r="H937" s="14"/>
      <c r="I937" s="14"/>
      <c r="J937" s="14"/>
      <c r="K937" s="12"/>
    </row>
    <row r="938" ht="19.5" customHeight="1">
      <c r="A938" s="12"/>
      <c r="C938" s="12"/>
      <c r="D938" s="87"/>
      <c r="F938" s="14"/>
      <c r="G938" s="14"/>
      <c r="H938" s="14"/>
      <c r="I938" s="14"/>
      <c r="J938" s="14"/>
      <c r="K938" s="12"/>
    </row>
    <row r="939" ht="19.5" customHeight="1">
      <c r="A939" s="12"/>
      <c r="C939" s="12"/>
      <c r="D939" s="87"/>
      <c r="F939" s="14"/>
      <c r="G939" s="14"/>
      <c r="H939" s="14"/>
      <c r="I939" s="14"/>
      <c r="J939" s="14"/>
      <c r="K939" s="12"/>
    </row>
    <row r="940" ht="19.5" customHeight="1">
      <c r="A940" s="12"/>
      <c r="C940" s="12"/>
      <c r="D940" s="87"/>
      <c r="F940" s="14"/>
      <c r="G940" s="14"/>
      <c r="H940" s="14"/>
      <c r="I940" s="14"/>
      <c r="J940" s="14"/>
      <c r="K940" s="12"/>
    </row>
    <row r="941" ht="19.5" customHeight="1">
      <c r="A941" s="12"/>
      <c r="C941" s="12"/>
      <c r="D941" s="87"/>
      <c r="F941" s="14"/>
      <c r="G941" s="14"/>
      <c r="H941" s="14"/>
      <c r="I941" s="14"/>
      <c r="J941" s="14"/>
      <c r="K941" s="12"/>
    </row>
    <row r="942" ht="19.5" customHeight="1">
      <c r="A942" s="12"/>
      <c r="C942" s="12"/>
      <c r="D942" s="87"/>
      <c r="F942" s="14"/>
      <c r="G942" s="14"/>
      <c r="H942" s="14"/>
      <c r="I942" s="14"/>
      <c r="J942" s="14"/>
      <c r="K942" s="12"/>
    </row>
    <row r="943" ht="19.5" customHeight="1">
      <c r="A943" s="12"/>
      <c r="C943" s="12"/>
      <c r="D943" s="87"/>
      <c r="F943" s="14"/>
      <c r="G943" s="14"/>
      <c r="H943" s="14"/>
      <c r="I943" s="14"/>
      <c r="J943" s="14"/>
      <c r="K943" s="12"/>
    </row>
    <row r="944" ht="19.5" customHeight="1">
      <c r="A944" s="12"/>
      <c r="C944" s="12"/>
      <c r="D944" s="87"/>
      <c r="F944" s="14"/>
      <c r="G944" s="14"/>
      <c r="H944" s="14"/>
      <c r="I944" s="14"/>
      <c r="J944" s="14"/>
      <c r="K944" s="12"/>
    </row>
    <row r="945" ht="19.5" customHeight="1">
      <c r="A945" s="12"/>
      <c r="C945" s="12"/>
      <c r="D945" s="87"/>
      <c r="F945" s="14"/>
      <c r="G945" s="14"/>
      <c r="H945" s="14"/>
      <c r="I945" s="14"/>
      <c r="J945" s="14"/>
      <c r="K945" s="12"/>
    </row>
    <row r="946" ht="19.5" customHeight="1">
      <c r="A946" s="12"/>
      <c r="C946" s="12"/>
      <c r="D946" s="87"/>
      <c r="F946" s="14"/>
      <c r="G946" s="14"/>
      <c r="H946" s="14"/>
      <c r="I946" s="14"/>
      <c r="J946" s="14"/>
      <c r="K946" s="12"/>
    </row>
    <row r="947" ht="19.5" customHeight="1">
      <c r="A947" s="12"/>
      <c r="C947" s="12"/>
      <c r="D947" s="87"/>
      <c r="F947" s="14"/>
      <c r="G947" s="14"/>
      <c r="H947" s="14"/>
      <c r="I947" s="14"/>
      <c r="J947" s="14"/>
      <c r="K947" s="12"/>
    </row>
    <row r="948" ht="19.5" customHeight="1">
      <c r="A948" s="12"/>
      <c r="C948" s="12"/>
      <c r="D948" s="87"/>
      <c r="F948" s="14"/>
      <c r="G948" s="14"/>
      <c r="H948" s="14"/>
      <c r="I948" s="14"/>
      <c r="J948" s="14"/>
      <c r="K948" s="12"/>
    </row>
    <row r="949" ht="19.5" customHeight="1">
      <c r="A949" s="12"/>
      <c r="C949" s="12"/>
      <c r="D949" s="87"/>
      <c r="F949" s="14"/>
      <c r="G949" s="14"/>
      <c r="H949" s="14"/>
      <c r="I949" s="14"/>
      <c r="J949" s="14"/>
      <c r="K949" s="12"/>
    </row>
    <row r="950" ht="19.5" customHeight="1">
      <c r="A950" s="12"/>
      <c r="C950" s="12"/>
      <c r="D950" s="87"/>
      <c r="F950" s="14"/>
      <c r="G950" s="14"/>
      <c r="H950" s="14"/>
      <c r="I950" s="14"/>
      <c r="J950" s="14"/>
      <c r="K950" s="12"/>
    </row>
    <row r="951" ht="19.5" customHeight="1">
      <c r="A951" s="12"/>
      <c r="C951" s="12"/>
      <c r="D951" s="87"/>
      <c r="F951" s="14"/>
      <c r="G951" s="14"/>
      <c r="H951" s="14"/>
      <c r="I951" s="14"/>
      <c r="J951" s="14"/>
      <c r="K951" s="12"/>
    </row>
    <row r="952" ht="19.5" customHeight="1">
      <c r="A952" s="12"/>
      <c r="C952" s="12"/>
      <c r="D952" s="87"/>
      <c r="F952" s="14"/>
      <c r="G952" s="14"/>
      <c r="H952" s="14"/>
      <c r="I952" s="14"/>
      <c r="J952" s="14"/>
      <c r="K952" s="12"/>
    </row>
    <row r="953" ht="19.5" customHeight="1">
      <c r="A953" s="12"/>
      <c r="C953" s="12"/>
      <c r="D953" s="87"/>
      <c r="F953" s="14"/>
      <c r="G953" s="14"/>
      <c r="H953" s="14"/>
      <c r="I953" s="14"/>
      <c r="J953" s="14"/>
      <c r="K953" s="12"/>
    </row>
    <row r="954" ht="19.5" customHeight="1">
      <c r="A954" s="12"/>
      <c r="C954" s="12"/>
      <c r="D954" s="87"/>
      <c r="F954" s="14"/>
      <c r="G954" s="14"/>
      <c r="H954" s="14"/>
      <c r="I954" s="14"/>
      <c r="J954" s="14"/>
      <c r="K954" s="12"/>
    </row>
    <row r="955" ht="19.5" customHeight="1">
      <c r="A955" s="12"/>
      <c r="C955" s="12"/>
      <c r="D955" s="87"/>
      <c r="F955" s="14"/>
      <c r="G955" s="14"/>
      <c r="H955" s="14"/>
      <c r="I955" s="14"/>
      <c r="J955" s="14"/>
      <c r="K955" s="12"/>
    </row>
    <row r="956" ht="19.5" customHeight="1">
      <c r="A956" s="12"/>
      <c r="C956" s="12"/>
      <c r="D956" s="87"/>
      <c r="F956" s="14"/>
      <c r="G956" s="14"/>
      <c r="H956" s="14"/>
      <c r="I956" s="14"/>
      <c r="J956" s="14"/>
      <c r="K956" s="12"/>
    </row>
    <row r="957" ht="19.5" customHeight="1">
      <c r="A957" s="12"/>
      <c r="C957" s="12"/>
      <c r="D957" s="87"/>
      <c r="F957" s="14"/>
      <c r="G957" s="14"/>
      <c r="H957" s="14"/>
      <c r="I957" s="14"/>
      <c r="J957" s="14"/>
      <c r="K957" s="12"/>
    </row>
    <row r="958" ht="19.5" customHeight="1">
      <c r="A958" s="12"/>
      <c r="C958" s="12"/>
      <c r="D958" s="87"/>
      <c r="F958" s="14"/>
      <c r="G958" s="14"/>
      <c r="H958" s="14"/>
      <c r="I958" s="14"/>
      <c r="J958" s="14"/>
      <c r="K958" s="12"/>
    </row>
    <row r="959" ht="19.5" customHeight="1">
      <c r="A959" s="12"/>
      <c r="C959" s="12"/>
      <c r="D959" s="87"/>
      <c r="F959" s="14"/>
      <c r="G959" s="14"/>
      <c r="H959" s="14"/>
      <c r="I959" s="14"/>
      <c r="J959" s="14"/>
      <c r="K959" s="12"/>
    </row>
    <row r="960" ht="19.5" customHeight="1">
      <c r="A960" s="12"/>
      <c r="C960" s="12"/>
      <c r="D960" s="87"/>
      <c r="F960" s="14"/>
      <c r="G960" s="14"/>
      <c r="H960" s="14"/>
      <c r="I960" s="14"/>
      <c r="J960" s="14"/>
      <c r="K960" s="12"/>
    </row>
    <row r="961" ht="19.5" customHeight="1">
      <c r="A961" s="12"/>
      <c r="C961" s="12"/>
      <c r="D961" s="87"/>
      <c r="F961" s="14"/>
      <c r="G961" s="14"/>
      <c r="H961" s="14"/>
      <c r="I961" s="14"/>
      <c r="J961" s="14"/>
      <c r="K961" s="12"/>
    </row>
    <row r="962" ht="19.5" customHeight="1">
      <c r="A962" s="12"/>
      <c r="C962" s="12"/>
      <c r="D962" s="87"/>
      <c r="F962" s="14"/>
      <c r="G962" s="14"/>
      <c r="H962" s="14"/>
      <c r="I962" s="14"/>
      <c r="J962" s="14"/>
      <c r="K962" s="12"/>
    </row>
    <row r="963" ht="19.5" customHeight="1">
      <c r="A963" s="12"/>
      <c r="C963" s="12"/>
      <c r="D963" s="87"/>
      <c r="F963" s="14"/>
      <c r="G963" s="14"/>
      <c r="H963" s="14"/>
      <c r="I963" s="14"/>
      <c r="J963" s="14"/>
      <c r="K963" s="12"/>
    </row>
    <row r="964" ht="19.5" customHeight="1">
      <c r="A964" s="12"/>
      <c r="C964" s="12"/>
      <c r="D964" s="87"/>
      <c r="F964" s="14"/>
      <c r="G964" s="14"/>
      <c r="H964" s="14"/>
      <c r="I964" s="14"/>
      <c r="J964" s="14"/>
      <c r="K964" s="12"/>
    </row>
    <row r="965" ht="19.5" customHeight="1">
      <c r="A965" s="12"/>
      <c r="C965" s="12"/>
      <c r="D965" s="87"/>
      <c r="F965" s="14"/>
      <c r="G965" s="14"/>
      <c r="H965" s="14"/>
      <c r="I965" s="14"/>
      <c r="J965" s="14"/>
      <c r="K965" s="12"/>
    </row>
    <row r="966" ht="19.5" customHeight="1">
      <c r="A966" s="12"/>
      <c r="C966" s="12"/>
      <c r="D966" s="87"/>
      <c r="F966" s="14"/>
      <c r="G966" s="14"/>
      <c r="H966" s="14"/>
      <c r="I966" s="14"/>
      <c r="J966" s="14"/>
      <c r="K966" s="12"/>
    </row>
    <row r="967" ht="19.5" customHeight="1">
      <c r="A967" s="12"/>
      <c r="C967" s="12"/>
      <c r="D967" s="87"/>
      <c r="F967" s="14"/>
      <c r="G967" s="14"/>
      <c r="H967" s="14"/>
      <c r="I967" s="14"/>
      <c r="J967" s="14"/>
      <c r="K967" s="12"/>
    </row>
    <row r="968" ht="19.5" customHeight="1">
      <c r="A968" s="12"/>
      <c r="C968" s="12"/>
      <c r="D968" s="87"/>
      <c r="F968" s="14"/>
      <c r="G968" s="14"/>
      <c r="H968" s="14"/>
      <c r="I968" s="14"/>
      <c r="J968" s="14"/>
      <c r="K968" s="12"/>
    </row>
    <row r="969" ht="19.5" customHeight="1">
      <c r="A969" s="12"/>
      <c r="C969" s="12"/>
      <c r="D969" s="87"/>
      <c r="F969" s="14"/>
      <c r="G969" s="14"/>
      <c r="H969" s="14"/>
      <c r="I969" s="14"/>
      <c r="J969" s="14"/>
      <c r="K969" s="12"/>
    </row>
    <row r="970" ht="19.5" customHeight="1">
      <c r="A970" s="12"/>
      <c r="C970" s="12"/>
      <c r="D970" s="87"/>
      <c r="F970" s="14"/>
      <c r="G970" s="14"/>
      <c r="H970" s="14"/>
      <c r="I970" s="14"/>
      <c r="J970" s="14"/>
      <c r="K970" s="12"/>
    </row>
    <row r="971" ht="19.5" customHeight="1">
      <c r="A971" s="12"/>
      <c r="C971" s="12"/>
      <c r="D971" s="87"/>
      <c r="F971" s="14"/>
      <c r="G971" s="14"/>
      <c r="H971" s="14"/>
      <c r="I971" s="14"/>
      <c r="J971" s="14"/>
      <c r="K971" s="12"/>
    </row>
    <row r="972" ht="19.5" customHeight="1">
      <c r="A972" s="12"/>
      <c r="C972" s="12"/>
      <c r="D972" s="87"/>
      <c r="F972" s="14"/>
      <c r="G972" s="14"/>
      <c r="H972" s="14"/>
      <c r="I972" s="14"/>
      <c r="J972" s="14"/>
      <c r="K972" s="12"/>
    </row>
    <row r="973" ht="19.5" customHeight="1">
      <c r="A973" s="12"/>
      <c r="C973" s="12"/>
      <c r="D973" s="87"/>
      <c r="F973" s="14"/>
      <c r="G973" s="14"/>
      <c r="H973" s="14"/>
      <c r="I973" s="14"/>
      <c r="J973" s="14"/>
      <c r="K973" s="12"/>
    </row>
    <row r="974" ht="19.5" customHeight="1">
      <c r="A974" s="12"/>
      <c r="C974" s="12"/>
      <c r="D974" s="87"/>
      <c r="F974" s="14"/>
      <c r="G974" s="14"/>
      <c r="H974" s="14"/>
      <c r="I974" s="14"/>
      <c r="J974" s="14"/>
      <c r="K974" s="12"/>
    </row>
    <row r="975" ht="19.5" customHeight="1">
      <c r="A975" s="12"/>
      <c r="C975" s="12"/>
      <c r="D975" s="87"/>
      <c r="F975" s="14"/>
      <c r="G975" s="14"/>
      <c r="H975" s="14"/>
      <c r="I975" s="14"/>
      <c r="J975" s="14"/>
      <c r="K975" s="12"/>
    </row>
    <row r="976" ht="19.5" customHeight="1">
      <c r="A976" s="12"/>
      <c r="C976" s="12"/>
      <c r="D976" s="87"/>
      <c r="F976" s="14"/>
      <c r="G976" s="14"/>
      <c r="H976" s="14"/>
      <c r="I976" s="14"/>
      <c r="J976" s="14"/>
      <c r="K976" s="12"/>
    </row>
    <row r="977" ht="19.5" customHeight="1">
      <c r="A977" s="12"/>
      <c r="C977" s="12"/>
      <c r="D977" s="87"/>
      <c r="F977" s="14"/>
      <c r="G977" s="14"/>
      <c r="H977" s="14"/>
      <c r="I977" s="14"/>
      <c r="J977" s="14"/>
      <c r="K977" s="12"/>
    </row>
    <row r="978" ht="19.5" customHeight="1">
      <c r="A978" s="12"/>
      <c r="C978" s="12"/>
      <c r="D978" s="87"/>
      <c r="F978" s="14"/>
      <c r="G978" s="14"/>
      <c r="H978" s="14"/>
      <c r="I978" s="14"/>
      <c r="J978" s="14"/>
      <c r="K978" s="12"/>
    </row>
    <row r="979" ht="19.5" customHeight="1">
      <c r="A979" s="12"/>
      <c r="C979" s="12"/>
      <c r="D979" s="87"/>
      <c r="F979" s="14"/>
      <c r="G979" s="14"/>
      <c r="H979" s="14"/>
      <c r="I979" s="14"/>
      <c r="J979" s="14"/>
      <c r="K979" s="12"/>
    </row>
    <row r="980" ht="19.5" customHeight="1">
      <c r="A980" s="12"/>
      <c r="C980" s="12"/>
      <c r="D980" s="87"/>
      <c r="F980" s="14"/>
      <c r="G980" s="14"/>
      <c r="H980" s="14"/>
      <c r="I980" s="14"/>
      <c r="J980" s="14"/>
      <c r="K980" s="12"/>
    </row>
    <row r="981" ht="19.5" customHeight="1">
      <c r="A981" s="12"/>
      <c r="C981" s="12"/>
      <c r="D981" s="87"/>
      <c r="F981" s="14"/>
      <c r="G981" s="14"/>
      <c r="H981" s="14"/>
      <c r="I981" s="14"/>
      <c r="J981" s="14"/>
      <c r="K981" s="12"/>
    </row>
    <row r="982" ht="19.5" customHeight="1">
      <c r="A982" s="12"/>
      <c r="C982" s="12"/>
      <c r="D982" s="87"/>
      <c r="F982" s="14"/>
      <c r="G982" s="14"/>
      <c r="H982" s="14"/>
      <c r="I982" s="14"/>
      <c r="J982" s="14"/>
      <c r="K982" s="12"/>
    </row>
    <row r="983" ht="19.5" customHeight="1">
      <c r="A983" s="12"/>
      <c r="C983" s="12"/>
      <c r="D983" s="87"/>
      <c r="F983" s="14"/>
      <c r="G983" s="14"/>
      <c r="H983" s="14"/>
      <c r="I983" s="14"/>
      <c r="J983" s="14"/>
      <c r="K983" s="12"/>
    </row>
    <row r="984" ht="19.5" customHeight="1">
      <c r="A984" s="12"/>
      <c r="C984" s="12"/>
      <c r="D984" s="87"/>
      <c r="F984" s="14"/>
      <c r="G984" s="14"/>
      <c r="H984" s="14"/>
      <c r="I984" s="14"/>
      <c r="J984" s="14"/>
      <c r="K984" s="12"/>
    </row>
    <row r="985" ht="19.5" customHeight="1">
      <c r="A985" s="12"/>
      <c r="C985" s="12"/>
      <c r="D985" s="87"/>
      <c r="F985" s="14"/>
      <c r="G985" s="14"/>
      <c r="H985" s="14"/>
      <c r="I985" s="14"/>
      <c r="J985" s="14"/>
      <c r="K985" s="12"/>
    </row>
    <row r="986" ht="19.5" customHeight="1">
      <c r="A986" s="12"/>
      <c r="C986" s="12"/>
      <c r="D986" s="87"/>
      <c r="F986" s="14"/>
      <c r="G986" s="14"/>
      <c r="H986" s="14"/>
      <c r="I986" s="14"/>
      <c r="J986" s="14"/>
      <c r="K986" s="12"/>
    </row>
    <row r="987" ht="19.5" customHeight="1">
      <c r="A987" s="12"/>
      <c r="C987" s="12"/>
      <c r="D987" s="87"/>
      <c r="F987" s="14"/>
      <c r="G987" s="14"/>
      <c r="H987" s="14"/>
      <c r="I987" s="14"/>
      <c r="J987" s="14"/>
      <c r="K987" s="12"/>
    </row>
    <row r="988" ht="19.5" customHeight="1">
      <c r="A988" s="12"/>
      <c r="C988" s="12"/>
      <c r="D988" s="87"/>
      <c r="F988" s="14"/>
      <c r="G988" s="14"/>
      <c r="H988" s="14"/>
      <c r="I988" s="14"/>
      <c r="J988" s="14"/>
      <c r="K988" s="12"/>
    </row>
    <row r="989" ht="19.5" customHeight="1">
      <c r="A989" s="12"/>
      <c r="C989" s="12"/>
      <c r="D989" s="87"/>
      <c r="F989" s="14"/>
      <c r="G989" s="14"/>
      <c r="H989" s="14"/>
      <c r="I989" s="14"/>
      <c r="J989" s="14"/>
      <c r="K989" s="12"/>
    </row>
    <row r="990" ht="19.5" customHeight="1">
      <c r="A990" s="12"/>
      <c r="C990" s="12"/>
      <c r="D990" s="87"/>
      <c r="F990" s="14"/>
      <c r="G990" s="14"/>
      <c r="H990" s="14"/>
      <c r="I990" s="14"/>
      <c r="J990" s="14"/>
      <c r="K990" s="12"/>
    </row>
    <row r="991" ht="19.5" customHeight="1">
      <c r="A991" s="12"/>
      <c r="C991" s="12"/>
      <c r="D991" s="87"/>
      <c r="F991" s="14"/>
      <c r="G991" s="14"/>
      <c r="H991" s="14"/>
      <c r="I991" s="14"/>
      <c r="J991" s="14"/>
      <c r="K991" s="12"/>
    </row>
    <row r="992" ht="19.5" customHeight="1">
      <c r="A992" s="12"/>
      <c r="C992" s="12"/>
      <c r="D992" s="87"/>
      <c r="F992" s="14"/>
      <c r="G992" s="14"/>
      <c r="H992" s="14"/>
      <c r="I992" s="14"/>
      <c r="J992" s="14"/>
      <c r="K992" s="12"/>
    </row>
    <row r="993" ht="19.5" customHeight="1">
      <c r="A993" s="12"/>
      <c r="C993" s="12"/>
      <c r="D993" s="87"/>
      <c r="F993" s="14"/>
      <c r="G993" s="14"/>
      <c r="H993" s="14"/>
      <c r="I993" s="14"/>
      <c r="J993" s="14"/>
      <c r="K993" s="12"/>
    </row>
    <row r="994" ht="19.5" customHeight="1">
      <c r="A994" s="12"/>
      <c r="C994" s="12"/>
      <c r="D994" s="87"/>
      <c r="F994" s="14"/>
      <c r="G994" s="14"/>
      <c r="H994" s="14"/>
      <c r="I994" s="14"/>
      <c r="J994" s="14"/>
      <c r="K994" s="12"/>
    </row>
    <row r="995" ht="19.5" customHeight="1">
      <c r="A995" s="12"/>
      <c r="C995" s="12"/>
      <c r="D995" s="87"/>
      <c r="F995" s="14"/>
      <c r="G995" s="14"/>
      <c r="H995" s="14"/>
      <c r="I995" s="14"/>
      <c r="J995" s="14"/>
      <c r="K995" s="12"/>
    </row>
    <row r="996" ht="19.5" customHeight="1">
      <c r="A996" s="12"/>
      <c r="C996" s="12"/>
      <c r="D996" s="87"/>
      <c r="F996" s="14"/>
      <c r="G996" s="14"/>
      <c r="H996" s="14"/>
      <c r="I996" s="14"/>
      <c r="J996" s="14"/>
      <c r="K996" s="12"/>
    </row>
    <row r="997" ht="19.5" customHeight="1">
      <c r="A997" s="12"/>
      <c r="C997" s="12"/>
      <c r="D997" s="87"/>
      <c r="F997" s="14"/>
      <c r="G997" s="14"/>
      <c r="H997" s="14"/>
      <c r="I997" s="14"/>
      <c r="J997" s="14"/>
      <c r="K997" s="12"/>
    </row>
    <row r="998" ht="19.5" customHeight="1">
      <c r="A998" s="12"/>
      <c r="C998" s="12"/>
      <c r="D998" s="87"/>
      <c r="F998" s="14"/>
      <c r="G998" s="14"/>
      <c r="H998" s="14"/>
      <c r="I998" s="14"/>
      <c r="J998" s="14"/>
      <c r="K998" s="12"/>
    </row>
  </sheetData>
  <mergeCells count="13">
    <mergeCell ref="E9:G9"/>
    <mergeCell ref="J9:J10"/>
    <mergeCell ref="K53:K55"/>
    <mergeCell ref="A98:A99"/>
    <mergeCell ref="A100:A101"/>
    <mergeCell ref="A6:K6"/>
    <mergeCell ref="A7:K7"/>
    <mergeCell ref="A8:K8"/>
    <mergeCell ref="A9:A10"/>
    <mergeCell ref="B9:B10"/>
    <mergeCell ref="C9:C10"/>
    <mergeCell ref="D9:D10"/>
    <mergeCell ref="K9:K10"/>
  </mergeCells>
  <printOptions/>
  <pageMargins bottom="0.787401575" footer="0.0" header="0.0" left="0.511811024" right="0.511811024" top="0.787401575"/>
  <pageSetup paperSize="9" scale="60" orientation="landscape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36.25"/>
    <col customWidth="1" min="3" max="3" width="9.13"/>
    <col customWidth="1" min="4" max="4" width="16.25"/>
    <col customWidth="1" min="5" max="5" width="16.13"/>
    <col customWidth="1" min="6" max="6" width="22.25"/>
    <col customWidth="1" min="7" max="7" width="22.75"/>
    <col customWidth="1" min="8" max="8" width="20.63"/>
    <col customWidth="1" min="9" max="9" width="14.0"/>
    <col customWidth="1" min="10" max="10" width="20.63"/>
    <col customWidth="1" min="11" max="11" width="35.88"/>
    <col customWidth="1" min="12" max="26" width="8.63"/>
  </cols>
  <sheetData>
    <row r="1" ht="19.5" customHeight="1">
      <c r="A1" s="4"/>
      <c r="B1" s="5"/>
      <c r="C1" s="6"/>
      <c r="D1" s="7"/>
      <c r="E1" s="5"/>
      <c r="F1" s="8"/>
      <c r="G1" s="8"/>
      <c r="H1" s="8"/>
      <c r="I1" s="8"/>
      <c r="J1" s="8"/>
      <c r="K1" s="9"/>
    </row>
    <row r="2" ht="19.5" customHeight="1">
      <c r="A2" s="10" t="s">
        <v>83</v>
      </c>
      <c r="B2" s="11" t="s">
        <v>84</v>
      </c>
      <c r="C2" s="12"/>
      <c r="D2" s="13"/>
      <c r="F2" s="14"/>
      <c r="G2" s="14"/>
      <c r="H2" s="14"/>
      <c r="I2" s="14"/>
      <c r="J2" s="17" t="s">
        <v>144</v>
      </c>
      <c r="K2" s="18"/>
    </row>
    <row r="3" ht="19.5" customHeight="1">
      <c r="A3" s="10" t="s">
        <v>86</v>
      </c>
      <c r="B3" s="11" t="s">
        <v>87</v>
      </c>
      <c r="C3" s="12"/>
      <c r="D3" s="13"/>
      <c r="F3" s="14"/>
      <c r="G3" s="14"/>
      <c r="H3" s="14"/>
      <c r="I3" s="14"/>
      <c r="J3" s="14"/>
      <c r="K3" s="18"/>
    </row>
    <row r="4" ht="19.5" customHeight="1">
      <c r="A4" s="19"/>
      <c r="C4" s="12"/>
      <c r="D4" s="13"/>
      <c r="F4" s="14"/>
      <c r="G4" s="14"/>
      <c r="H4" s="14"/>
      <c r="I4" s="14"/>
      <c r="J4" s="14"/>
      <c r="K4" s="18"/>
    </row>
    <row r="5" ht="19.5" customHeight="1">
      <c r="A5" s="19"/>
      <c r="C5" s="12"/>
      <c r="D5" s="13"/>
      <c r="F5" s="14"/>
      <c r="G5" s="14"/>
      <c r="H5" s="14"/>
      <c r="I5" s="14"/>
      <c r="J5" s="14"/>
      <c r="K5" s="18"/>
    </row>
    <row r="6" ht="159.0" customHeight="1">
      <c r="A6" s="20" t="s">
        <v>1774</v>
      </c>
      <c r="K6" s="21"/>
    </row>
    <row r="7" ht="64.5" customHeight="1">
      <c r="A7" s="22" t="s">
        <v>1775</v>
      </c>
      <c r="K7" s="21"/>
    </row>
    <row r="8" ht="42.0" customHeight="1">
      <c r="A8" s="88" t="s">
        <v>90</v>
      </c>
      <c r="B8" s="24"/>
      <c r="C8" s="24"/>
      <c r="D8" s="24"/>
      <c r="E8" s="24"/>
      <c r="F8" s="24"/>
      <c r="G8" s="24"/>
      <c r="H8" s="24"/>
      <c r="I8" s="24"/>
      <c r="J8" s="24"/>
      <c r="K8" s="25"/>
    </row>
    <row r="9" ht="19.5" customHeight="1">
      <c r="A9" s="26" t="s">
        <v>1</v>
      </c>
      <c r="B9" s="26" t="s">
        <v>91</v>
      </c>
      <c r="C9" s="26" t="s">
        <v>92</v>
      </c>
      <c r="D9" s="26" t="s">
        <v>93</v>
      </c>
      <c r="E9" s="27" t="s">
        <v>94</v>
      </c>
      <c r="F9" s="28"/>
      <c r="G9" s="29"/>
      <c r="H9" s="30"/>
      <c r="I9" s="30"/>
      <c r="J9" s="31" t="s">
        <v>95</v>
      </c>
      <c r="K9" s="26" t="s">
        <v>96</v>
      </c>
    </row>
    <row r="10" ht="19.5" customHeight="1">
      <c r="A10" s="32"/>
      <c r="B10" s="32"/>
      <c r="C10" s="32"/>
      <c r="D10" s="32"/>
      <c r="E10" s="33" t="s">
        <v>97</v>
      </c>
      <c r="F10" s="34" t="s">
        <v>121</v>
      </c>
      <c r="G10" s="34" t="s">
        <v>99</v>
      </c>
      <c r="H10" s="35" t="s">
        <v>100</v>
      </c>
      <c r="I10" s="35" t="s">
        <v>101</v>
      </c>
      <c r="J10" s="32"/>
      <c r="K10" s="32"/>
    </row>
    <row r="11" ht="19.5" customHeight="1">
      <c r="A11" s="74" t="s">
        <v>1</v>
      </c>
      <c r="B11" s="74" t="s">
        <v>91</v>
      </c>
      <c r="C11" s="74" t="s">
        <v>92</v>
      </c>
      <c r="D11" s="74" t="s">
        <v>93</v>
      </c>
      <c r="E11" s="50" t="s">
        <v>97</v>
      </c>
      <c r="F11" s="53" t="s">
        <v>121</v>
      </c>
      <c r="G11" s="53" t="s">
        <v>99</v>
      </c>
      <c r="H11" s="75" t="s">
        <v>100</v>
      </c>
      <c r="I11" s="75" t="s">
        <v>101</v>
      </c>
      <c r="J11" s="76" t="s">
        <v>95</v>
      </c>
      <c r="K11" s="74" t="s">
        <v>96</v>
      </c>
    </row>
    <row r="12" ht="19.5" customHeight="1">
      <c r="A12" s="572">
        <v>1.0</v>
      </c>
      <c r="B12" s="573" t="s">
        <v>1776</v>
      </c>
      <c r="C12" s="572" t="s">
        <v>108</v>
      </c>
      <c r="D12" s="39">
        <v>1.0</v>
      </c>
      <c r="E12" s="574"/>
      <c r="F12" s="42">
        <f>762.46+129.28</f>
        <v>891.74</v>
      </c>
      <c r="G12" s="42"/>
      <c r="H12" s="42">
        <f>F12*D12</f>
        <v>891.74</v>
      </c>
      <c r="I12" s="42"/>
      <c r="J12" s="77">
        <f>SUM(H12)</f>
        <v>891.74</v>
      </c>
      <c r="K12" s="575"/>
      <c r="L12" s="576"/>
      <c r="M12" s="576"/>
      <c r="N12" s="576"/>
      <c r="O12" s="576"/>
      <c r="P12" s="576"/>
      <c r="Q12" s="576"/>
      <c r="R12" s="576"/>
      <c r="S12" s="576"/>
      <c r="T12" s="576"/>
      <c r="U12" s="576"/>
      <c r="V12" s="576"/>
      <c r="W12" s="576"/>
      <c r="X12" s="576"/>
      <c r="Y12" s="576"/>
      <c r="Z12" s="576"/>
    </row>
    <row r="13" ht="19.5" customHeight="1">
      <c r="A13" s="74" t="s">
        <v>1</v>
      </c>
      <c r="B13" s="74" t="s">
        <v>91</v>
      </c>
      <c r="C13" s="74" t="s">
        <v>92</v>
      </c>
      <c r="D13" s="74" t="s">
        <v>93</v>
      </c>
      <c r="E13" s="50" t="s">
        <v>97</v>
      </c>
      <c r="F13" s="53" t="s">
        <v>121</v>
      </c>
      <c r="G13" s="53" t="s">
        <v>99</v>
      </c>
      <c r="H13" s="75" t="s">
        <v>100</v>
      </c>
      <c r="I13" s="75" t="s">
        <v>101</v>
      </c>
      <c r="J13" s="76" t="s">
        <v>95</v>
      </c>
      <c r="K13" s="74" t="s">
        <v>96</v>
      </c>
    </row>
    <row r="14" ht="19.5" customHeight="1">
      <c r="A14" s="46">
        <v>1.0</v>
      </c>
      <c r="B14" s="49" t="s">
        <v>1777</v>
      </c>
      <c r="C14" s="46" t="s">
        <v>103</v>
      </c>
      <c r="D14" s="39">
        <v>5762.0</v>
      </c>
      <c r="E14" s="37"/>
      <c r="F14" s="78"/>
      <c r="G14" s="40"/>
      <c r="H14" s="40">
        <f t="shared" ref="H14:H15" si="1">D14</f>
        <v>5762</v>
      </c>
      <c r="I14" s="14"/>
      <c r="J14" s="64">
        <f t="shared" ref="J14:J15" si="2">H14</f>
        <v>5762</v>
      </c>
      <c r="K14" s="46"/>
    </row>
    <row r="15" ht="19.5" customHeight="1">
      <c r="A15" s="46"/>
      <c r="B15" s="37" t="s">
        <v>1778</v>
      </c>
      <c r="C15" s="46" t="s">
        <v>103</v>
      </c>
      <c r="D15" s="39">
        <v>555.0</v>
      </c>
      <c r="E15" s="37"/>
      <c r="F15" s="78"/>
      <c r="G15" s="577"/>
      <c r="H15" s="40">
        <f t="shared" si="1"/>
        <v>555</v>
      </c>
      <c r="I15" s="42"/>
      <c r="J15" s="43">
        <f t="shared" si="2"/>
        <v>555</v>
      </c>
      <c r="K15" s="46"/>
    </row>
    <row r="16" ht="19.5" customHeight="1">
      <c r="A16" s="74" t="s">
        <v>1</v>
      </c>
      <c r="B16" s="74" t="s">
        <v>91</v>
      </c>
      <c r="C16" s="74" t="s">
        <v>92</v>
      </c>
      <c r="D16" s="74" t="s">
        <v>93</v>
      </c>
      <c r="E16" s="50" t="s">
        <v>97</v>
      </c>
      <c r="F16" s="53" t="s">
        <v>121</v>
      </c>
      <c r="G16" s="53" t="s">
        <v>99</v>
      </c>
      <c r="H16" s="75" t="s">
        <v>100</v>
      </c>
      <c r="I16" s="75" t="s">
        <v>101</v>
      </c>
      <c r="J16" s="76" t="s">
        <v>95</v>
      </c>
      <c r="K16" s="74" t="s">
        <v>96</v>
      </c>
    </row>
    <row r="17" ht="19.5" customHeight="1">
      <c r="A17" s="46">
        <f>A15+1</f>
        <v>1</v>
      </c>
      <c r="B17" s="37" t="s">
        <v>1779</v>
      </c>
      <c r="C17" s="46"/>
      <c r="D17" s="78">
        <f>D12</f>
        <v>1</v>
      </c>
      <c r="E17" s="37"/>
      <c r="F17" s="39">
        <v>335.0</v>
      </c>
      <c r="G17" s="40"/>
      <c r="H17" s="40">
        <f t="shared" ref="H17:H18" si="3">F17*D17</f>
        <v>335</v>
      </c>
      <c r="I17" s="42"/>
      <c r="J17" s="43">
        <f>H17</f>
        <v>335</v>
      </c>
      <c r="K17" s="46"/>
    </row>
    <row r="18" ht="19.5" customHeight="1">
      <c r="A18" s="46"/>
      <c r="B18" s="49" t="s">
        <v>1780</v>
      </c>
      <c r="C18" s="46"/>
      <c r="D18" s="39">
        <v>1.0</v>
      </c>
      <c r="E18" s="37"/>
      <c r="F18" s="39">
        <v>150.0</v>
      </c>
      <c r="G18" s="40"/>
      <c r="H18" s="40">
        <f t="shared" si="3"/>
        <v>150</v>
      </c>
      <c r="I18" s="42"/>
      <c r="J18" s="43">
        <f t="shared" ref="J18:J21" si="4">H18-I18</f>
        <v>150</v>
      </c>
      <c r="K18" s="46"/>
    </row>
    <row r="19" ht="19.5" customHeight="1">
      <c r="A19" s="46"/>
      <c r="B19" s="49" t="s">
        <v>1781</v>
      </c>
      <c r="C19" s="46"/>
      <c r="D19" s="39">
        <v>1.0</v>
      </c>
      <c r="E19" s="49">
        <v>1.5</v>
      </c>
      <c r="F19" s="39">
        <v>150.0</v>
      </c>
      <c r="G19" s="41">
        <v>0.8</v>
      </c>
      <c r="H19" s="40">
        <f t="shared" ref="H19:H21" si="5">D19*E19*F19*G19</f>
        <v>180</v>
      </c>
      <c r="I19" s="42"/>
      <c r="J19" s="43">
        <f t="shared" si="4"/>
        <v>180</v>
      </c>
      <c r="K19" s="46"/>
    </row>
    <row r="20" ht="19.5" customHeight="1">
      <c r="A20" s="46"/>
      <c r="B20" s="49" t="s">
        <v>149</v>
      </c>
      <c r="C20" s="46"/>
      <c r="D20" s="39">
        <v>1.0</v>
      </c>
      <c r="E20" s="49">
        <v>0.3</v>
      </c>
      <c r="F20" s="39">
        <v>150.0</v>
      </c>
      <c r="G20" s="41">
        <v>0.8</v>
      </c>
      <c r="H20" s="40">
        <f t="shared" si="5"/>
        <v>36</v>
      </c>
      <c r="I20" s="42"/>
      <c r="J20" s="43">
        <f t="shared" si="4"/>
        <v>36</v>
      </c>
      <c r="K20" s="46"/>
    </row>
    <row r="21" ht="19.5" customHeight="1">
      <c r="A21" s="46"/>
      <c r="B21" s="49" t="s">
        <v>339</v>
      </c>
      <c r="C21" s="46"/>
      <c r="D21" s="39">
        <v>1.0</v>
      </c>
      <c r="E21" s="49">
        <v>1.5</v>
      </c>
      <c r="F21" s="39">
        <v>150.0</v>
      </c>
      <c r="G21" s="41">
        <v>0.8</v>
      </c>
      <c r="H21" s="40">
        <f t="shared" si="5"/>
        <v>180</v>
      </c>
      <c r="I21" s="42">
        <f>150*((3.14*0.3^2)/4)</f>
        <v>10.5975</v>
      </c>
      <c r="J21" s="43">
        <f t="shared" si="4"/>
        <v>169.4025</v>
      </c>
      <c r="K21" s="46"/>
    </row>
    <row r="22" ht="19.5" customHeight="1">
      <c r="A22" s="46"/>
      <c r="B22" s="49" t="s">
        <v>1782</v>
      </c>
      <c r="C22" s="46"/>
      <c r="D22" s="39">
        <v>5.0</v>
      </c>
      <c r="E22" s="37"/>
      <c r="F22" s="39"/>
      <c r="G22" s="40"/>
      <c r="H22" s="40">
        <f t="shared" ref="H22:H23" si="6">D22</f>
        <v>5</v>
      </c>
      <c r="I22" s="42"/>
      <c r="J22" s="43">
        <f t="shared" ref="J22:J23" si="7">H22</f>
        <v>5</v>
      </c>
      <c r="K22" s="46"/>
    </row>
    <row r="23" ht="19.5" customHeight="1">
      <c r="A23" s="46"/>
      <c r="B23" s="49" t="s">
        <v>261</v>
      </c>
      <c r="C23" s="46"/>
      <c r="D23" s="39">
        <v>3.0</v>
      </c>
      <c r="E23" s="37"/>
      <c r="F23" s="39"/>
      <c r="G23" s="40"/>
      <c r="H23" s="40">
        <f t="shared" si="6"/>
        <v>3</v>
      </c>
      <c r="I23" s="42"/>
      <c r="J23" s="43">
        <f t="shared" si="7"/>
        <v>3</v>
      </c>
      <c r="K23" s="46"/>
    </row>
    <row r="24" ht="19.5" customHeight="1">
      <c r="A24" s="74" t="s">
        <v>1</v>
      </c>
      <c r="B24" s="74" t="s">
        <v>91</v>
      </c>
      <c r="C24" s="74" t="s">
        <v>92</v>
      </c>
      <c r="D24" s="74" t="s">
        <v>93</v>
      </c>
      <c r="E24" s="50" t="s">
        <v>97</v>
      </c>
      <c r="F24" s="53" t="s">
        <v>121</v>
      </c>
      <c r="G24" s="53" t="s">
        <v>99</v>
      </c>
      <c r="H24" s="75" t="s">
        <v>100</v>
      </c>
      <c r="I24" s="75" t="s">
        <v>101</v>
      </c>
      <c r="J24" s="76" t="s">
        <v>95</v>
      </c>
      <c r="K24" s="74" t="s">
        <v>96</v>
      </c>
    </row>
    <row r="25" ht="19.5" customHeight="1">
      <c r="A25" s="46">
        <v>1.0</v>
      </c>
      <c r="B25" s="37" t="s">
        <v>1783</v>
      </c>
      <c r="C25" s="46" t="s">
        <v>103</v>
      </c>
      <c r="D25" s="78">
        <v>100.0</v>
      </c>
      <c r="E25" s="37"/>
      <c r="F25" s="78"/>
      <c r="G25" s="40"/>
      <c r="H25" s="40">
        <f t="shared" ref="H25:H26" si="8">D25</f>
        <v>100</v>
      </c>
      <c r="I25" s="42"/>
      <c r="J25" s="43">
        <f t="shared" ref="J25:J26" si="9">H25</f>
        <v>100</v>
      </c>
      <c r="K25" s="46"/>
    </row>
    <row r="26" ht="19.5" customHeight="1">
      <c r="A26" s="46"/>
      <c r="B26" s="37" t="s">
        <v>1784</v>
      </c>
      <c r="C26" s="38" t="s">
        <v>108</v>
      </c>
      <c r="D26" s="78">
        <f>H12</f>
        <v>891.74</v>
      </c>
      <c r="E26" s="37"/>
      <c r="F26" s="78"/>
      <c r="G26" s="40"/>
      <c r="H26" s="40">
        <f t="shared" si="8"/>
        <v>891.74</v>
      </c>
      <c r="I26" s="42"/>
      <c r="J26" s="43">
        <f t="shared" si="9"/>
        <v>891.74</v>
      </c>
      <c r="K26" s="46"/>
    </row>
    <row r="27" ht="19.5" customHeight="1">
      <c r="A27" s="74" t="s">
        <v>1</v>
      </c>
      <c r="B27" s="74" t="s">
        <v>91</v>
      </c>
      <c r="C27" s="74" t="s">
        <v>92</v>
      </c>
      <c r="D27" s="74" t="s">
        <v>93</v>
      </c>
      <c r="E27" s="50" t="s">
        <v>97</v>
      </c>
      <c r="F27" s="53" t="s">
        <v>121</v>
      </c>
      <c r="G27" s="53" t="s">
        <v>99</v>
      </c>
      <c r="H27" s="75" t="s">
        <v>100</v>
      </c>
      <c r="I27" s="75" t="s">
        <v>101</v>
      </c>
      <c r="J27" s="76" t="s">
        <v>95</v>
      </c>
      <c r="K27" s="74" t="s">
        <v>96</v>
      </c>
    </row>
    <row r="28" ht="19.5" customHeight="1">
      <c r="A28" s="79"/>
      <c r="B28" s="114" t="s">
        <v>759</v>
      </c>
      <c r="C28" s="79"/>
      <c r="D28" s="122"/>
      <c r="E28" s="37"/>
      <c r="F28" s="78"/>
      <c r="G28" s="40"/>
      <c r="H28" s="59"/>
      <c r="I28" s="82"/>
      <c r="J28" s="143"/>
      <c r="K28" s="79"/>
    </row>
    <row r="29" ht="19.5" customHeight="1">
      <c r="A29" s="46">
        <v>1.0</v>
      </c>
      <c r="B29" s="49" t="s">
        <v>1785</v>
      </c>
      <c r="C29" s="38" t="s">
        <v>148</v>
      </c>
      <c r="D29" s="39">
        <v>1.0</v>
      </c>
      <c r="E29" s="49">
        <v>0.15</v>
      </c>
      <c r="F29" s="39">
        <v>5.0</v>
      </c>
      <c r="G29" s="41">
        <v>7.54</v>
      </c>
      <c r="H29" s="40">
        <f t="shared" ref="H29:H32" si="10">D29*E29*F29*G29</f>
        <v>5.655</v>
      </c>
      <c r="I29" s="42"/>
      <c r="J29" s="43">
        <f t="shared" ref="J29:J32" si="11">H29</f>
        <v>5.655</v>
      </c>
      <c r="K29" s="46"/>
    </row>
    <row r="30" ht="19.5" customHeight="1">
      <c r="A30" s="46"/>
      <c r="B30" s="49" t="s">
        <v>1785</v>
      </c>
      <c r="C30" s="38" t="s">
        <v>148</v>
      </c>
      <c r="D30" s="39">
        <v>2.0</v>
      </c>
      <c r="E30" s="37">
        <f>0.15/2</f>
        <v>0.075</v>
      </c>
      <c r="F30" s="39">
        <v>1.5</v>
      </c>
      <c r="G30" s="41">
        <v>7.54</v>
      </c>
      <c r="H30" s="40">
        <f t="shared" si="10"/>
        <v>1.6965</v>
      </c>
      <c r="I30" s="42"/>
      <c r="J30" s="43">
        <f t="shared" si="11"/>
        <v>1.6965</v>
      </c>
      <c r="K30" s="46"/>
    </row>
    <row r="31" ht="19.5" customHeight="1">
      <c r="A31" s="46">
        <v>1.0</v>
      </c>
      <c r="B31" s="49" t="s">
        <v>1786</v>
      </c>
      <c r="C31" s="38" t="s">
        <v>148</v>
      </c>
      <c r="D31" s="39">
        <f>2</f>
        <v>2</v>
      </c>
      <c r="E31" s="49">
        <v>0.15</v>
      </c>
      <c r="F31" s="39">
        <v>5.0</v>
      </c>
      <c r="G31" s="41">
        <v>4.0</v>
      </c>
      <c r="H31" s="40">
        <f t="shared" si="10"/>
        <v>6</v>
      </c>
      <c r="I31" s="42"/>
      <c r="J31" s="43">
        <f t="shared" si="11"/>
        <v>6</v>
      </c>
      <c r="K31" s="46"/>
    </row>
    <row r="32" ht="19.5" customHeight="1">
      <c r="A32" s="46"/>
      <c r="B32" s="49" t="s">
        <v>1786</v>
      </c>
      <c r="C32" s="38" t="s">
        <v>148</v>
      </c>
      <c r="D32" s="39">
        <v>4.0</v>
      </c>
      <c r="E32" s="37">
        <f>0.15/2</f>
        <v>0.075</v>
      </c>
      <c r="F32" s="39">
        <v>1.5</v>
      </c>
      <c r="G32" s="41">
        <v>4.0</v>
      </c>
      <c r="H32" s="40">
        <f t="shared" si="10"/>
        <v>1.8</v>
      </c>
      <c r="I32" s="42"/>
      <c r="J32" s="43">
        <f t="shared" si="11"/>
        <v>1.8</v>
      </c>
      <c r="K32" s="46"/>
    </row>
    <row r="33" ht="19.5" customHeight="1">
      <c r="A33" s="74" t="s">
        <v>1</v>
      </c>
      <c r="B33" s="74" t="s">
        <v>91</v>
      </c>
      <c r="C33" s="74" t="s">
        <v>92</v>
      </c>
      <c r="D33" s="74" t="s">
        <v>93</v>
      </c>
      <c r="E33" s="50" t="s">
        <v>97</v>
      </c>
      <c r="F33" s="53" t="s">
        <v>121</v>
      </c>
      <c r="G33" s="53" t="s">
        <v>99</v>
      </c>
      <c r="H33" s="75" t="s">
        <v>100</v>
      </c>
      <c r="I33" s="75" t="s">
        <v>101</v>
      </c>
      <c r="J33" s="76" t="s">
        <v>95</v>
      </c>
      <c r="K33" s="74" t="s">
        <v>96</v>
      </c>
    </row>
    <row r="34" ht="19.5" customHeight="1">
      <c r="A34" s="79"/>
      <c r="B34" s="114" t="s">
        <v>1787</v>
      </c>
      <c r="C34" s="79"/>
      <c r="D34" s="122"/>
      <c r="E34" s="37"/>
      <c r="F34" s="78"/>
      <c r="G34" s="40"/>
      <c r="H34" s="59"/>
      <c r="I34" s="82"/>
      <c r="J34" s="143"/>
      <c r="K34" s="79"/>
    </row>
    <row r="35" ht="19.5" customHeight="1">
      <c r="A35" s="46">
        <v>1.0</v>
      </c>
      <c r="B35" s="49" t="s">
        <v>1785</v>
      </c>
      <c r="C35" s="46" t="s">
        <v>103</v>
      </c>
      <c r="D35" s="39">
        <v>1.0</v>
      </c>
      <c r="E35" s="49"/>
      <c r="F35" s="39">
        <v>5.0</v>
      </c>
      <c r="G35" s="41">
        <v>7.54</v>
      </c>
      <c r="H35" s="40">
        <f t="shared" ref="H35:H38" si="12">D35*F35*G35</f>
        <v>37.7</v>
      </c>
      <c r="I35" s="42"/>
      <c r="J35" s="43">
        <f t="shared" ref="J35:J38" si="13">H35</f>
        <v>37.7</v>
      </c>
      <c r="K35" s="46"/>
    </row>
    <row r="36" ht="19.5" customHeight="1">
      <c r="A36" s="46"/>
      <c r="B36" s="49" t="s">
        <v>1785</v>
      </c>
      <c r="C36" s="46" t="s">
        <v>103</v>
      </c>
      <c r="D36" s="39">
        <v>2.0</v>
      </c>
      <c r="E36" s="37"/>
      <c r="F36" s="39">
        <v>1.5</v>
      </c>
      <c r="G36" s="41">
        <v>7.54</v>
      </c>
      <c r="H36" s="40">
        <f t="shared" si="12"/>
        <v>22.62</v>
      </c>
      <c r="I36" s="42"/>
      <c r="J36" s="43">
        <f t="shared" si="13"/>
        <v>22.62</v>
      </c>
      <c r="K36" s="46"/>
    </row>
    <row r="37" ht="19.5" customHeight="1">
      <c r="A37" s="46"/>
      <c r="B37" s="49" t="s">
        <v>1786</v>
      </c>
      <c r="C37" s="46" t="s">
        <v>103</v>
      </c>
      <c r="D37" s="39">
        <f>2</f>
        <v>2</v>
      </c>
      <c r="E37" s="49"/>
      <c r="F37" s="39">
        <v>5.0</v>
      </c>
      <c r="G37" s="41">
        <v>4.0</v>
      </c>
      <c r="H37" s="40">
        <f t="shared" si="12"/>
        <v>40</v>
      </c>
      <c r="I37" s="42"/>
      <c r="J37" s="43">
        <f t="shared" si="13"/>
        <v>40</v>
      </c>
      <c r="K37" s="46"/>
    </row>
    <row r="38" ht="19.5" customHeight="1">
      <c r="A38" s="46"/>
      <c r="B38" s="49" t="s">
        <v>1786</v>
      </c>
      <c r="C38" s="46" t="s">
        <v>103</v>
      </c>
      <c r="D38" s="39">
        <v>4.0</v>
      </c>
      <c r="E38" s="37"/>
      <c r="F38" s="39">
        <v>1.5</v>
      </c>
      <c r="G38" s="41">
        <v>4.0</v>
      </c>
      <c r="H38" s="40">
        <f t="shared" si="12"/>
        <v>24</v>
      </c>
      <c r="I38" s="42"/>
      <c r="J38" s="43">
        <f t="shared" si="13"/>
        <v>24</v>
      </c>
      <c r="K38" s="46"/>
    </row>
    <row r="39" ht="19.5" customHeight="1">
      <c r="A39" s="74" t="s">
        <v>1</v>
      </c>
      <c r="B39" s="74" t="s">
        <v>91</v>
      </c>
      <c r="C39" s="74" t="s">
        <v>92</v>
      </c>
      <c r="D39" s="74" t="s">
        <v>93</v>
      </c>
      <c r="E39" s="50" t="s">
        <v>97</v>
      </c>
      <c r="F39" s="53" t="s">
        <v>121</v>
      </c>
      <c r="G39" s="53" t="s">
        <v>99</v>
      </c>
      <c r="H39" s="75" t="s">
        <v>100</v>
      </c>
      <c r="I39" s="75" t="s">
        <v>101</v>
      </c>
      <c r="J39" s="76" t="s">
        <v>95</v>
      </c>
      <c r="K39" s="74" t="s">
        <v>96</v>
      </c>
    </row>
    <row r="40" ht="19.5" customHeight="1">
      <c r="A40" s="79"/>
      <c r="B40" s="114" t="s">
        <v>1788</v>
      </c>
      <c r="C40" s="79"/>
      <c r="D40" s="122"/>
      <c r="E40" s="37"/>
      <c r="F40" s="78"/>
      <c r="G40" s="40"/>
      <c r="H40" s="59"/>
      <c r="I40" s="82"/>
      <c r="J40" s="143"/>
      <c r="K40" s="79"/>
    </row>
    <row r="41" ht="19.5" customHeight="1">
      <c r="A41" s="46">
        <v>1.0</v>
      </c>
      <c r="B41" s="49" t="s">
        <v>1785</v>
      </c>
      <c r="C41" s="46" t="s">
        <v>103</v>
      </c>
      <c r="D41" s="39">
        <v>12.0</v>
      </c>
      <c r="E41" s="578" t="s">
        <v>1789</v>
      </c>
      <c r="F41" s="39">
        <v>4.0</v>
      </c>
      <c r="G41" s="41">
        <v>0.3</v>
      </c>
      <c r="H41" s="40"/>
      <c r="I41" s="42"/>
      <c r="J41" s="43">
        <f t="shared" ref="J41:J44" si="14">D41*F41*G41</f>
        <v>14.4</v>
      </c>
      <c r="K41" s="46"/>
    </row>
    <row r="42" ht="19.5" customHeight="1">
      <c r="A42" s="46"/>
      <c r="B42" s="49" t="s">
        <v>1785</v>
      </c>
      <c r="C42" s="46" t="s">
        <v>103</v>
      </c>
      <c r="D42" s="39">
        <v>12.0</v>
      </c>
      <c r="E42" s="37"/>
      <c r="F42" s="39">
        <v>1.5</v>
      </c>
      <c r="G42" s="41">
        <f>0.5/2</f>
        <v>0.25</v>
      </c>
      <c r="H42" s="40"/>
      <c r="I42" s="42"/>
      <c r="J42" s="43">
        <f t="shared" si="14"/>
        <v>4.5</v>
      </c>
      <c r="K42" s="46"/>
    </row>
    <row r="43" ht="19.5" customHeight="1">
      <c r="A43" s="46"/>
      <c r="B43" s="49" t="s">
        <v>1786</v>
      </c>
      <c r="C43" s="46" t="s">
        <v>103</v>
      </c>
      <c r="D43" s="39">
        <v>12.0</v>
      </c>
      <c r="E43" s="578" t="s">
        <v>1789</v>
      </c>
      <c r="F43" s="39">
        <v>4.0</v>
      </c>
      <c r="G43" s="41">
        <v>0.3</v>
      </c>
      <c r="H43" s="40"/>
      <c r="I43" s="42"/>
      <c r="J43" s="43">
        <f t="shared" si="14"/>
        <v>14.4</v>
      </c>
      <c r="K43" s="46"/>
    </row>
    <row r="44" ht="19.5" customHeight="1">
      <c r="A44" s="46"/>
      <c r="B44" s="49" t="s">
        <v>1786</v>
      </c>
      <c r="C44" s="46" t="s">
        <v>103</v>
      </c>
      <c r="D44" s="39">
        <v>12.0</v>
      </c>
      <c r="E44" s="37"/>
      <c r="F44" s="39">
        <v>1.5</v>
      </c>
      <c r="G44" s="41">
        <f>0.5/2</f>
        <v>0.25</v>
      </c>
      <c r="H44" s="40"/>
      <c r="I44" s="42"/>
      <c r="J44" s="43">
        <f t="shared" si="14"/>
        <v>4.5</v>
      </c>
      <c r="K44" s="46"/>
    </row>
    <row r="45" ht="19.5" customHeight="1">
      <c r="A45" s="74" t="s">
        <v>1</v>
      </c>
      <c r="B45" s="74" t="s">
        <v>91</v>
      </c>
      <c r="C45" s="74" t="s">
        <v>92</v>
      </c>
      <c r="D45" s="74" t="s">
        <v>93</v>
      </c>
      <c r="E45" s="50" t="s">
        <v>97</v>
      </c>
      <c r="F45" s="53" t="s">
        <v>121</v>
      </c>
      <c r="G45" s="53" t="s">
        <v>99</v>
      </c>
      <c r="H45" s="75" t="s">
        <v>100</v>
      </c>
      <c r="I45" s="75" t="s">
        <v>101</v>
      </c>
      <c r="J45" s="76" t="s">
        <v>95</v>
      </c>
      <c r="K45" s="74" t="s">
        <v>96</v>
      </c>
    </row>
    <row r="46" ht="19.5" customHeight="1">
      <c r="A46" s="79"/>
      <c r="B46" s="114" t="s">
        <v>1790</v>
      </c>
      <c r="C46" s="79"/>
      <c r="D46" s="122"/>
      <c r="E46" s="37"/>
      <c r="F46" s="78"/>
      <c r="G46" s="40"/>
      <c r="H46" s="59"/>
      <c r="I46" s="82"/>
      <c r="J46" s="143"/>
      <c r="K46" s="79"/>
    </row>
    <row r="47" ht="19.5" customHeight="1">
      <c r="A47" s="46">
        <v>1.0</v>
      </c>
      <c r="B47" s="49" t="s">
        <v>1785</v>
      </c>
      <c r="C47" s="46" t="s">
        <v>103</v>
      </c>
      <c r="D47" s="39">
        <v>12.0</v>
      </c>
      <c r="E47" s="578" t="s">
        <v>1789</v>
      </c>
      <c r="F47" s="39">
        <v>4.0</v>
      </c>
      <c r="G47" s="41">
        <v>0.3</v>
      </c>
      <c r="H47" s="40"/>
      <c r="I47" s="42"/>
      <c r="J47" s="43">
        <f t="shared" ref="J47:J50" si="15">D47*F47*G47</f>
        <v>14.4</v>
      </c>
      <c r="K47" s="46"/>
    </row>
    <row r="48" ht="19.5" customHeight="1">
      <c r="A48" s="46"/>
      <c r="B48" s="49" t="s">
        <v>1785</v>
      </c>
      <c r="C48" s="46" t="s">
        <v>103</v>
      </c>
      <c r="D48" s="39">
        <v>12.0</v>
      </c>
      <c r="E48" s="37"/>
      <c r="F48" s="39">
        <v>1.5</v>
      </c>
      <c r="G48" s="41">
        <f>0.5/2</f>
        <v>0.25</v>
      </c>
      <c r="H48" s="40"/>
      <c r="I48" s="42"/>
      <c r="J48" s="43">
        <f t="shared" si="15"/>
        <v>4.5</v>
      </c>
      <c r="K48" s="46"/>
    </row>
    <row r="49" ht="19.5" customHeight="1">
      <c r="A49" s="46"/>
      <c r="B49" s="49" t="s">
        <v>1786</v>
      </c>
      <c r="C49" s="46" t="s">
        <v>103</v>
      </c>
      <c r="D49" s="39">
        <v>12.0</v>
      </c>
      <c r="E49" s="578" t="s">
        <v>1789</v>
      </c>
      <c r="F49" s="39">
        <v>4.0</v>
      </c>
      <c r="G49" s="41">
        <v>0.3</v>
      </c>
      <c r="H49" s="40"/>
      <c r="I49" s="42"/>
      <c r="J49" s="43">
        <f t="shared" si="15"/>
        <v>14.4</v>
      </c>
      <c r="K49" s="46"/>
    </row>
    <row r="50" ht="19.5" customHeight="1">
      <c r="A50" s="46"/>
      <c r="B50" s="49" t="s">
        <v>1786</v>
      </c>
      <c r="C50" s="46" t="s">
        <v>103</v>
      </c>
      <c r="D50" s="39">
        <v>12.0</v>
      </c>
      <c r="E50" s="37"/>
      <c r="F50" s="39">
        <v>1.5</v>
      </c>
      <c r="G50" s="41">
        <f>0.5/2</f>
        <v>0.25</v>
      </c>
      <c r="H50" s="40"/>
      <c r="I50" s="42"/>
      <c r="J50" s="43">
        <f t="shared" si="15"/>
        <v>4.5</v>
      </c>
      <c r="K50" s="46"/>
    </row>
    <row r="51" ht="19.5" customHeight="1">
      <c r="A51" s="74" t="s">
        <v>1</v>
      </c>
      <c r="B51" s="74" t="s">
        <v>91</v>
      </c>
      <c r="C51" s="74" t="s">
        <v>92</v>
      </c>
      <c r="D51" s="74" t="s">
        <v>93</v>
      </c>
      <c r="E51" s="50" t="s">
        <v>97</v>
      </c>
      <c r="F51" s="53" t="s">
        <v>121</v>
      </c>
      <c r="G51" s="53" t="s">
        <v>99</v>
      </c>
      <c r="H51" s="75" t="s">
        <v>100</v>
      </c>
      <c r="I51" s="75" t="s">
        <v>101</v>
      </c>
      <c r="J51" s="76" t="s">
        <v>95</v>
      </c>
      <c r="K51" s="74" t="s">
        <v>96</v>
      </c>
    </row>
    <row r="52" ht="19.5" customHeight="1">
      <c r="A52" s="79"/>
      <c r="B52" s="114" t="s">
        <v>1791</v>
      </c>
      <c r="C52" s="79"/>
      <c r="D52" s="122"/>
      <c r="E52" s="37"/>
      <c r="F52" s="78"/>
      <c r="G52" s="40"/>
      <c r="H52" s="59"/>
      <c r="I52" s="82"/>
      <c r="J52" s="143"/>
      <c r="K52" s="79"/>
    </row>
    <row r="53" ht="19.5" customHeight="1">
      <c r="A53" s="46">
        <v>1.0</v>
      </c>
      <c r="B53" s="49" t="s">
        <v>1785</v>
      </c>
      <c r="C53" s="46" t="s">
        <v>103</v>
      </c>
      <c r="D53" s="39">
        <v>24.0</v>
      </c>
      <c r="E53" s="578" t="s">
        <v>1789</v>
      </c>
      <c r="F53" s="39">
        <v>0.59</v>
      </c>
      <c r="G53" s="41">
        <v>0.24</v>
      </c>
      <c r="H53" s="41">
        <v>0.05</v>
      </c>
      <c r="I53" s="42"/>
      <c r="J53" s="43">
        <f t="shared" ref="J53:J55" si="16">D53*F53*G53</f>
        <v>3.3984</v>
      </c>
      <c r="K53" s="46"/>
    </row>
    <row r="54" ht="19.5" customHeight="1">
      <c r="A54" s="46"/>
      <c r="B54" s="49" t="s">
        <v>1786</v>
      </c>
      <c r="C54" s="46" t="s">
        <v>103</v>
      </c>
      <c r="D54" s="39">
        <v>24.0</v>
      </c>
      <c r="E54" s="578" t="s">
        <v>1789</v>
      </c>
      <c r="F54" s="39">
        <v>0.59</v>
      </c>
      <c r="G54" s="41">
        <v>0.24</v>
      </c>
      <c r="H54" s="41">
        <v>0.05</v>
      </c>
      <c r="I54" s="42"/>
      <c r="J54" s="43">
        <f t="shared" si="16"/>
        <v>3.3984</v>
      </c>
      <c r="K54" s="46"/>
    </row>
    <row r="55" ht="19.5" customHeight="1">
      <c r="A55" s="46"/>
      <c r="B55" s="49" t="s">
        <v>1786</v>
      </c>
      <c r="C55" s="46" t="s">
        <v>103</v>
      </c>
      <c r="D55" s="39">
        <v>24.0</v>
      </c>
      <c r="E55" s="37"/>
      <c r="F55" s="39">
        <v>0.59</v>
      </c>
      <c r="G55" s="41">
        <v>0.24</v>
      </c>
      <c r="H55" s="41">
        <v>0.05</v>
      </c>
      <c r="I55" s="42"/>
      <c r="J55" s="43">
        <f t="shared" si="16"/>
        <v>3.3984</v>
      </c>
      <c r="K55" s="46"/>
    </row>
    <row r="56" ht="19.5" customHeight="1">
      <c r="A56" s="74" t="s">
        <v>1</v>
      </c>
      <c r="B56" s="74" t="s">
        <v>91</v>
      </c>
      <c r="C56" s="74" t="s">
        <v>92</v>
      </c>
      <c r="D56" s="74" t="s">
        <v>93</v>
      </c>
      <c r="E56" s="50" t="s">
        <v>97</v>
      </c>
      <c r="F56" s="53" t="s">
        <v>121</v>
      </c>
      <c r="G56" s="52" t="s">
        <v>1792</v>
      </c>
      <c r="H56" s="75" t="s">
        <v>100</v>
      </c>
      <c r="I56" s="75" t="s">
        <v>101</v>
      </c>
      <c r="J56" s="76" t="s">
        <v>95</v>
      </c>
      <c r="K56" s="74" t="s">
        <v>96</v>
      </c>
    </row>
    <row r="57" ht="19.5" customHeight="1">
      <c r="A57" s="579">
        <v>45595.0</v>
      </c>
      <c r="B57" s="114" t="s">
        <v>1793</v>
      </c>
      <c r="C57" s="79"/>
      <c r="D57" s="122"/>
      <c r="E57" s="37"/>
      <c r="F57" s="78"/>
      <c r="G57" s="40"/>
      <c r="H57" s="59"/>
      <c r="I57" s="82"/>
      <c r="J57" s="143"/>
      <c r="K57" s="79"/>
    </row>
    <row r="58" ht="19.5" customHeight="1">
      <c r="A58" s="46"/>
      <c r="B58" s="49" t="s">
        <v>1785</v>
      </c>
      <c r="C58" s="46" t="s">
        <v>103</v>
      </c>
      <c r="D58" s="39">
        <v>2.0</v>
      </c>
      <c r="E58" s="49">
        <v>0.2</v>
      </c>
      <c r="F58" s="39">
        <f t="shared" ref="F58:F59" si="17">5+1.5+1.5</f>
        <v>8</v>
      </c>
      <c r="G58" s="41">
        <f t="shared" ref="G58:G59" si="18">D58*E58*F58</f>
        <v>3.2</v>
      </c>
      <c r="H58" s="41"/>
      <c r="I58" s="42"/>
      <c r="J58" s="43"/>
      <c r="K58" s="46"/>
    </row>
    <row r="59" ht="19.5" customHeight="1">
      <c r="A59" s="46"/>
      <c r="B59" s="49" t="s">
        <v>1786</v>
      </c>
      <c r="C59" s="46" t="s">
        <v>103</v>
      </c>
      <c r="D59" s="39">
        <v>2.0</v>
      </c>
      <c r="E59" s="49">
        <v>0.2</v>
      </c>
      <c r="F59" s="39">
        <f t="shared" si="17"/>
        <v>8</v>
      </c>
      <c r="G59" s="41">
        <f t="shared" si="18"/>
        <v>3.2</v>
      </c>
      <c r="H59" s="41"/>
      <c r="I59" s="42"/>
      <c r="J59" s="43"/>
      <c r="K59" s="46"/>
    </row>
    <row r="60" ht="19.5" customHeight="1">
      <c r="A60" s="579">
        <v>45595.0</v>
      </c>
      <c r="B60" s="114" t="s">
        <v>1794</v>
      </c>
      <c r="C60" s="79"/>
      <c r="D60" s="122"/>
      <c r="E60" s="37"/>
      <c r="F60" s="78"/>
      <c r="G60" s="40"/>
      <c r="H60" s="59"/>
      <c r="I60" s="82"/>
      <c r="J60" s="143"/>
      <c r="K60" s="79"/>
    </row>
    <row r="61" ht="19.5" customHeight="1">
      <c r="A61" s="46"/>
      <c r="B61" s="49" t="s">
        <v>1785</v>
      </c>
      <c r="C61" s="46" t="s">
        <v>103</v>
      </c>
      <c r="D61" s="39">
        <v>2.0</v>
      </c>
      <c r="E61" s="49">
        <v>0.2</v>
      </c>
      <c r="F61" s="39">
        <f t="shared" ref="F61:F62" si="19">5+1.5+1.5</f>
        <v>8</v>
      </c>
      <c r="G61" s="41">
        <f t="shared" ref="G61:G62" si="20">D61*E61*F61</f>
        <v>3.2</v>
      </c>
      <c r="H61" s="41"/>
      <c r="I61" s="42"/>
      <c r="J61" s="43"/>
      <c r="K61" s="46"/>
    </row>
    <row r="62" ht="19.5" customHeight="1">
      <c r="A62" s="46"/>
      <c r="B62" s="49" t="s">
        <v>1786</v>
      </c>
      <c r="C62" s="46" t="s">
        <v>103</v>
      </c>
      <c r="D62" s="39">
        <v>2.0</v>
      </c>
      <c r="E62" s="49">
        <v>0.2</v>
      </c>
      <c r="F62" s="39">
        <f t="shared" si="19"/>
        <v>8</v>
      </c>
      <c r="G62" s="41">
        <f t="shared" si="20"/>
        <v>3.2</v>
      </c>
      <c r="H62" s="41"/>
      <c r="I62" s="42"/>
      <c r="J62" s="43"/>
      <c r="K62" s="46"/>
    </row>
    <row r="63" ht="19.5" customHeight="1">
      <c r="A63" s="579">
        <v>45626.0</v>
      </c>
      <c r="B63" s="114" t="s">
        <v>1795</v>
      </c>
      <c r="C63" s="79"/>
      <c r="D63" s="122"/>
      <c r="E63" s="37"/>
      <c r="F63" s="78"/>
      <c r="G63" s="40"/>
      <c r="H63" s="59"/>
      <c r="I63" s="82"/>
      <c r="J63" s="143"/>
      <c r="K63" s="79"/>
    </row>
    <row r="64" ht="19.5" customHeight="1">
      <c r="A64" s="46"/>
      <c r="B64" s="49" t="s">
        <v>1785</v>
      </c>
      <c r="C64" s="46" t="s">
        <v>103</v>
      </c>
      <c r="D64" s="39">
        <v>2.0</v>
      </c>
      <c r="E64" s="49">
        <v>0.2</v>
      </c>
      <c r="F64" s="39">
        <f t="shared" ref="F64:F65" si="21">5+1.5+1.5</f>
        <v>8</v>
      </c>
      <c r="G64" s="41">
        <f t="shared" ref="G64:G65" si="22">D64*E64*F64</f>
        <v>3.2</v>
      </c>
      <c r="H64" s="41"/>
      <c r="I64" s="42"/>
      <c r="J64" s="43"/>
      <c r="K64" s="46"/>
    </row>
    <row r="65" ht="19.5" customHeight="1">
      <c r="A65" s="46"/>
      <c r="B65" s="49" t="s">
        <v>1786</v>
      </c>
      <c r="C65" s="46" t="s">
        <v>103</v>
      </c>
      <c r="D65" s="39">
        <v>2.0</v>
      </c>
      <c r="E65" s="49">
        <v>0.2</v>
      </c>
      <c r="F65" s="39">
        <f t="shared" si="21"/>
        <v>8</v>
      </c>
      <c r="G65" s="41">
        <f t="shared" si="22"/>
        <v>3.2</v>
      </c>
      <c r="H65" s="41"/>
      <c r="I65" s="42"/>
      <c r="J65" s="43"/>
      <c r="K65" s="46"/>
    </row>
    <row r="66" ht="19.5" customHeight="1">
      <c r="A66" s="12"/>
      <c r="C66" s="12"/>
      <c r="D66" s="13"/>
      <c r="F66" s="14"/>
      <c r="G66" s="14"/>
      <c r="H66" s="14"/>
      <c r="I66" s="14"/>
      <c r="J66" s="14"/>
      <c r="K66" s="12"/>
    </row>
    <row r="67" ht="19.5" customHeight="1">
      <c r="A67" s="12"/>
      <c r="C67" s="12"/>
      <c r="D67" s="13"/>
      <c r="F67" s="14"/>
      <c r="G67" s="14"/>
      <c r="H67" s="14"/>
      <c r="I67" s="14"/>
      <c r="J67" s="14"/>
      <c r="K67" s="12"/>
    </row>
    <row r="68" ht="19.5" customHeight="1">
      <c r="A68" s="12"/>
      <c r="C68" s="12"/>
      <c r="D68" s="13"/>
      <c r="F68" s="14"/>
      <c r="G68" s="14"/>
      <c r="H68" s="14"/>
      <c r="I68" s="14"/>
      <c r="J68" s="14"/>
      <c r="K68" s="12"/>
    </row>
    <row r="69" ht="19.5" customHeight="1">
      <c r="A69" s="12"/>
      <c r="C69" s="12"/>
      <c r="D69" s="13"/>
      <c r="F69" s="14"/>
      <c r="G69" s="14"/>
      <c r="H69" s="14"/>
      <c r="I69" s="14"/>
      <c r="J69" s="14"/>
      <c r="K69" s="12"/>
    </row>
    <row r="70" ht="19.5" customHeight="1">
      <c r="A70" s="12"/>
      <c r="C70" s="12"/>
      <c r="D70" s="13"/>
      <c r="F70" s="14"/>
      <c r="G70" s="14"/>
      <c r="H70" s="14"/>
      <c r="I70" s="14"/>
      <c r="J70" s="14"/>
      <c r="K70" s="12"/>
    </row>
    <row r="71" ht="19.5" customHeight="1">
      <c r="A71" s="12"/>
      <c r="C71" s="12"/>
      <c r="D71" s="13"/>
      <c r="F71" s="14"/>
      <c r="G71" s="14"/>
      <c r="H71" s="14"/>
      <c r="I71" s="14"/>
      <c r="J71" s="14"/>
      <c r="K71" s="12"/>
    </row>
    <row r="72" ht="19.5" customHeight="1">
      <c r="A72" s="12"/>
      <c r="C72" s="12"/>
      <c r="D72" s="13"/>
      <c r="F72" s="14"/>
      <c r="G72" s="14"/>
      <c r="H72" s="14"/>
      <c r="I72" s="14"/>
      <c r="J72" s="14"/>
      <c r="K72" s="12"/>
    </row>
    <row r="73" ht="19.5" customHeight="1">
      <c r="A73" s="12"/>
      <c r="C73" s="12"/>
      <c r="D73" s="13"/>
      <c r="F73" s="14"/>
      <c r="G73" s="14"/>
      <c r="H73" s="14"/>
      <c r="I73" s="14"/>
      <c r="J73" s="14"/>
      <c r="K73" s="12"/>
    </row>
    <row r="74" ht="19.5" customHeight="1">
      <c r="A74" s="12"/>
      <c r="C74" s="12"/>
      <c r="D74" s="13"/>
      <c r="F74" s="14"/>
      <c r="G74" s="14"/>
      <c r="H74" s="14"/>
      <c r="I74" s="14"/>
      <c r="J74" s="14"/>
      <c r="K74" s="12"/>
    </row>
    <row r="75" ht="19.5" customHeight="1">
      <c r="A75" s="12"/>
      <c r="C75" s="12"/>
      <c r="D75" s="13"/>
      <c r="F75" s="14"/>
      <c r="G75" s="14"/>
      <c r="H75" s="14"/>
      <c r="I75" s="14"/>
      <c r="J75" s="14"/>
      <c r="K75" s="12"/>
    </row>
    <row r="76" ht="19.5" customHeight="1">
      <c r="A76" s="12"/>
      <c r="C76" s="12"/>
      <c r="D76" s="13"/>
      <c r="F76" s="14"/>
      <c r="G76" s="14"/>
      <c r="H76" s="14"/>
      <c r="I76" s="14"/>
      <c r="J76" s="14"/>
      <c r="K76" s="12"/>
    </row>
    <row r="77" ht="19.5" customHeight="1">
      <c r="A77" s="12"/>
      <c r="C77" s="12"/>
      <c r="D77" s="13"/>
      <c r="F77" s="14"/>
      <c r="G77" s="14"/>
      <c r="H77" s="14"/>
      <c r="I77" s="14"/>
      <c r="J77" s="14"/>
      <c r="K77" s="12"/>
    </row>
    <row r="78" ht="19.5" customHeight="1">
      <c r="A78" s="12"/>
      <c r="C78" s="12"/>
      <c r="D78" s="13"/>
      <c r="F78" s="14"/>
      <c r="G78" s="14"/>
      <c r="H78" s="14"/>
      <c r="I78" s="14"/>
      <c r="J78" s="14"/>
      <c r="K78" s="12"/>
    </row>
    <row r="79" ht="19.5" customHeight="1">
      <c r="A79" s="12"/>
      <c r="C79" s="12"/>
      <c r="D79" s="13"/>
      <c r="F79" s="14"/>
      <c r="G79" s="14"/>
      <c r="H79" s="14"/>
      <c r="I79" s="14"/>
      <c r="J79" s="14"/>
      <c r="K79" s="12"/>
    </row>
    <row r="80" ht="19.5" customHeight="1">
      <c r="A80" s="12"/>
      <c r="C80" s="12"/>
      <c r="D80" s="13"/>
      <c r="F80" s="14"/>
      <c r="G80" s="14"/>
      <c r="H80" s="14"/>
      <c r="I80" s="14"/>
      <c r="J80" s="14"/>
      <c r="K80" s="12"/>
    </row>
    <row r="81" ht="19.5" customHeight="1">
      <c r="A81" s="12"/>
      <c r="C81" s="12"/>
      <c r="D81" s="13"/>
      <c r="F81" s="14"/>
      <c r="G81" s="14"/>
      <c r="H81" s="14"/>
      <c r="I81" s="14"/>
      <c r="J81" s="14"/>
      <c r="K81" s="12"/>
    </row>
    <row r="82" ht="19.5" customHeight="1">
      <c r="A82" s="12"/>
      <c r="C82" s="12"/>
      <c r="D82" s="13"/>
      <c r="F82" s="14"/>
      <c r="G82" s="14"/>
      <c r="H82" s="14"/>
      <c r="I82" s="14"/>
      <c r="J82" s="14"/>
      <c r="K82" s="12"/>
    </row>
    <row r="83" ht="19.5" customHeight="1">
      <c r="A83" s="12"/>
      <c r="C83" s="12"/>
      <c r="D83" s="13"/>
      <c r="F83" s="14"/>
      <c r="G83" s="14"/>
      <c r="H83" s="14"/>
      <c r="I83" s="14"/>
      <c r="J83" s="14"/>
      <c r="K83" s="12"/>
    </row>
    <row r="84" ht="19.5" customHeight="1">
      <c r="A84" s="12"/>
      <c r="C84" s="12"/>
      <c r="D84" s="13"/>
      <c r="F84" s="14"/>
      <c r="G84" s="14"/>
      <c r="H84" s="14"/>
      <c r="I84" s="14"/>
      <c r="J84" s="14"/>
      <c r="K84" s="12"/>
    </row>
    <row r="85" ht="19.5" customHeight="1">
      <c r="A85" s="12"/>
      <c r="C85" s="12"/>
      <c r="D85" s="13"/>
      <c r="F85" s="14"/>
      <c r="G85" s="14"/>
      <c r="H85" s="14"/>
      <c r="I85" s="14"/>
      <c r="J85" s="14"/>
      <c r="K85" s="12"/>
    </row>
    <row r="86" ht="19.5" customHeight="1">
      <c r="A86" s="12"/>
      <c r="C86" s="12"/>
      <c r="D86" s="13"/>
      <c r="F86" s="14"/>
      <c r="G86" s="14"/>
      <c r="H86" s="14"/>
      <c r="I86" s="14"/>
      <c r="J86" s="14"/>
      <c r="K86" s="12"/>
    </row>
    <row r="87" ht="19.5" customHeight="1">
      <c r="A87" s="12"/>
      <c r="C87" s="12"/>
      <c r="D87" s="13"/>
      <c r="F87" s="14"/>
      <c r="G87" s="14"/>
      <c r="H87" s="14"/>
      <c r="I87" s="14"/>
      <c r="J87" s="14"/>
      <c r="K87" s="12"/>
    </row>
    <row r="88" ht="19.5" customHeight="1">
      <c r="A88" s="12"/>
      <c r="C88" s="12"/>
      <c r="D88" s="13"/>
      <c r="F88" s="14"/>
      <c r="G88" s="14"/>
      <c r="H88" s="14"/>
      <c r="I88" s="14"/>
      <c r="J88" s="14"/>
      <c r="K88" s="12"/>
    </row>
    <row r="89" ht="19.5" customHeight="1">
      <c r="A89" s="12"/>
      <c r="C89" s="12"/>
      <c r="D89" s="13"/>
      <c r="F89" s="14"/>
      <c r="G89" s="14"/>
      <c r="H89" s="14"/>
      <c r="I89" s="14"/>
      <c r="J89" s="14"/>
      <c r="K89" s="12"/>
    </row>
    <row r="90" ht="19.5" customHeight="1">
      <c r="A90" s="12"/>
      <c r="C90" s="12"/>
      <c r="D90" s="13"/>
      <c r="F90" s="14"/>
      <c r="G90" s="14"/>
      <c r="H90" s="14"/>
      <c r="I90" s="14"/>
      <c r="J90" s="14"/>
      <c r="K90" s="12"/>
    </row>
    <row r="91" ht="19.5" customHeight="1">
      <c r="A91" s="12"/>
      <c r="C91" s="12"/>
      <c r="D91" s="13"/>
      <c r="F91" s="14"/>
      <c r="G91" s="14"/>
      <c r="H91" s="14"/>
      <c r="I91" s="14"/>
      <c r="J91" s="14"/>
      <c r="K91" s="12"/>
    </row>
    <row r="92" ht="19.5" customHeight="1">
      <c r="A92" s="12"/>
      <c r="C92" s="12"/>
      <c r="D92" s="13"/>
      <c r="F92" s="14"/>
      <c r="G92" s="14"/>
      <c r="H92" s="14"/>
      <c r="I92" s="14"/>
      <c r="J92" s="14"/>
      <c r="K92" s="12"/>
    </row>
    <row r="93" ht="19.5" customHeight="1">
      <c r="A93" s="12"/>
      <c r="C93" s="12"/>
      <c r="D93" s="13"/>
      <c r="F93" s="14"/>
      <c r="G93" s="14"/>
      <c r="H93" s="14"/>
      <c r="I93" s="14"/>
      <c r="J93" s="14"/>
      <c r="K93" s="12"/>
    </row>
    <row r="94" ht="19.5" customHeight="1">
      <c r="A94" s="12"/>
      <c r="C94" s="12"/>
      <c r="D94" s="13"/>
      <c r="F94" s="14"/>
      <c r="G94" s="14"/>
      <c r="H94" s="14"/>
      <c r="I94" s="14"/>
      <c r="J94" s="14"/>
      <c r="K94" s="12"/>
    </row>
    <row r="95" ht="19.5" customHeight="1">
      <c r="A95" s="12"/>
      <c r="C95" s="12"/>
      <c r="D95" s="13"/>
      <c r="F95" s="14"/>
      <c r="G95" s="14"/>
      <c r="H95" s="14"/>
      <c r="I95" s="14"/>
      <c r="J95" s="14"/>
      <c r="K95" s="12"/>
    </row>
    <row r="96" ht="19.5" customHeight="1">
      <c r="A96" s="12"/>
      <c r="C96" s="12"/>
      <c r="D96" s="13"/>
      <c r="F96" s="14"/>
      <c r="G96" s="14"/>
      <c r="H96" s="14"/>
      <c r="I96" s="14"/>
      <c r="J96" s="14"/>
      <c r="K96" s="12"/>
    </row>
    <row r="97" ht="19.5" customHeight="1">
      <c r="A97" s="12"/>
      <c r="C97" s="12"/>
      <c r="D97" s="13"/>
      <c r="F97" s="14"/>
      <c r="G97" s="14"/>
      <c r="H97" s="14"/>
      <c r="I97" s="14"/>
      <c r="J97" s="14"/>
      <c r="K97" s="12"/>
    </row>
    <row r="98" ht="19.5" customHeight="1">
      <c r="A98" s="12"/>
      <c r="C98" s="12"/>
      <c r="D98" s="13"/>
      <c r="F98" s="14"/>
      <c r="G98" s="14"/>
      <c r="H98" s="14"/>
      <c r="I98" s="14"/>
      <c r="J98" s="14"/>
      <c r="K98" s="12"/>
    </row>
    <row r="99" ht="19.5" customHeight="1">
      <c r="A99" s="12"/>
      <c r="C99" s="12"/>
      <c r="D99" s="13"/>
      <c r="F99" s="14"/>
      <c r="G99" s="14"/>
      <c r="H99" s="14"/>
      <c r="I99" s="14"/>
      <c r="J99" s="14"/>
      <c r="K99" s="12"/>
    </row>
    <row r="100" ht="19.5" customHeight="1">
      <c r="A100" s="12"/>
      <c r="C100" s="12"/>
      <c r="D100" s="13"/>
      <c r="F100" s="14"/>
      <c r="G100" s="14"/>
      <c r="H100" s="14"/>
      <c r="I100" s="14"/>
      <c r="J100" s="14"/>
      <c r="K100" s="12"/>
    </row>
    <row r="101" ht="19.5" customHeight="1">
      <c r="A101" s="12"/>
      <c r="C101" s="12"/>
      <c r="D101" s="13"/>
      <c r="F101" s="14"/>
      <c r="G101" s="14"/>
      <c r="H101" s="14"/>
      <c r="I101" s="14"/>
      <c r="J101" s="14"/>
      <c r="K101" s="12"/>
    </row>
    <row r="102" ht="19.5" customHeight="1">
      <c r="A102" s="12"/>
      <c r="C102" s="12"/>
      <c r="D102" s="13"/>
      <c r="F102" s="14"/>
      <c r="G102" s="14"/>
      <c r="H102" s="14"/>
      <c r="I102" s="14"/>
      <c r="J102" s="14"/>
      <c r="K102" s="12"/>
    </row>
    <row r="103" ht="19.5" customHeight="1">
      <c r="A103" s="12"/>
      <c r="C103" s="12"/>
      <c r="D103" s="13"/>
      <c r="F103" s="14"/>
      <c r="G103" s="14"/>
      <c r="H103" s="14"/>
      <c r="I103" s="14"/>
      <c r="J103" s="14"/>
      <c r="K103" s="12"/>
    </row>
    <row r="104" ht="19.5" customHeight="1">
      <c r="A104" s="12"/>
      <c r="C104" s="12"/>
      <c r="D104" s="13"/>
      <c r="F104" s="14"/>
      <c r="G104" s="14"/>
      <c r="H104" s="14"/>
      <c r="I104" s="14"/>
      <c r="J104" s="14"/>
      <c r="K104" s="12"/>
    </row>
    <row r="105" ht="19.5" customHeight="1">
      <c r="A105" s="12"/>
      <c r="C105" s="12"/>
      <c r="D105" s="13"/>
      <c r="F105" s="14"/>
      <c r="G105" s="14"/>
      <c r="H105" s="14"/>
      <c r="I105" s="14"/>
      <c r="J105" s="14"/>
      <c r="K105" s="12"/>
    </row>
    <row r="106" ht="19.5" customHeight="1">
      <c r="A106" s="12"/>
      <c r="C106" s="12"/>
      <c r="D106" s="13"/>
      <c r="F106" s="14"/>
      <c r="G106" s="14"/>
      <c r="H106" s="14"/>
      <c r="I106" s="14"/>
      <c r="J106" s="14"/>
      <c r="K106" s="12"/>
    </row>
    <row r="107" ht="19.5" customHeight="1">
      <c r="A107" s="12"/>
      <c r="C107" s="12"/>
      <c r="D107" s="13"/>
      <c r="F107" s="14"/>
      <c r="G107" s="14"/>
      <c r="H107" s="14"/>
      <c r="I107" s="14"/>
      <c r="J107" s="14"/>
      <c r="K107" s="12"/>
    </row>
    <row r="108" ht="19.5" customHeight="1">
      <c r="A108" s="12"/>
      <c r="C108" s="12"/>
      <c r="D108" s="13"/>
      <c r="F108" s="14"/>
      <c r="G108" s="14"/>
      <c r="H108" s="14"/>
      <c r="I108" s="14"/>
      <c r="J108" s="14"/>
      <c r="K108" s="12"/>
    </row>
    <row r="109" ht="19.5" customHeight="1">
      <c r="A109" s="12"/>
      <c r="C109" s="12"/>
      <c r="D109" s="13"/>
      <c r="F109" s="14"/>
      <c r="G109" s="14"/>
      <c r="H109" s="14"/>
      <c r="I109" s="14"/>
      <c r="J109" s="14"/>
      <c r="K109" s="12"/>
    </row>
    <row r="110" ht="19.5" customHeight="1">
      <c r="A110" s="12"/>
      <c r="C110" s="12"/>
      <c r="D110" s="13"/>
      <c r="F110" s="14"/>
      <c r="G110" s="14"/>
      <c r="H110" s="14"/>
      <c r="I110" s="14"/>
      <c r="J110" s="14"/>
      <c r="K110" s="12"/>
    </row>
    <row r="111" ht="19.5" customHeight="1">
      <c r="A111" s="12"/>
      <c r="C111" s="12"/>
      <c r="D111" s="13"/>
      <c r="F111" s="14"/>
      <c r="G111" s="14"/>
      <c r="H111" s="14"/>
      <c r="I111" s="14"/>
      <c r="J111" s="14"/>
      <c r="K111" s="12"/>
    </row>
    <row r="112" ht="19.5" customHeight="1">
      <c r="A112" s="12"/>
      <c r="C112" s="12"/>
      <c r="D112" s="13"/>
      <c r="F112" s="14"/>
      <c r="G112" s="14"/>
      <c r="H112" s="14"/>
      <c r="I112" s="14"/>
      <c r="J112" s="14"/>
      <c r="K112" s="12"/>
    </row>
    <row r="113" ht="19.5" customHeight="1">
      <c r="A113" s="12"/>
      <c r="C113" s="12"/>
      <c r="D113" s="13"/>
      <c r="F113" s="14"/>
      <c r="G113" s="14"/>
      <c r="H113" s="14"/>
      <c r="I113" s="14"/>
      <c r="J113" s="14"/>
      <c r="K113" s="12"/>
    </row>
    <row r="114" ht="19.5" customHeight="1">
      <c r="A114" s="12"/>
      <c r="C114" s="12"/>
      <c r="D114" s="13"/>
      <c r="F114" s="14"/>
      <c r="G114" s="14"/>
      <c r="H114" s="14"/>
      <c r="I114" s="14"/>
      <c r="J114" s="14"/>
      <c r="K114" s="12"/>
    </row>
    <row r="115" ht="19.5" customHeight="1">
      <c r="A115" s="12"/>
      <c r="C115" s="12"/>
      <c r="D115" s="13"/>
      <c r="F115" s="14"/>
      <c r="G115" s="14"/>
      <c r="H115" s="14"/>
      <c r="I115" s="14"/>
      <c r="J115" s="14"/>
      <c r="K115" s="12"/>
    </row>
    <row r="116" ht="19.5" customHeight="1">
      <c r="A116" s="12"/>
      <c r="C116" s="12"/>
      <c r="D116" s="13"/>
      <c r="F116" s="14"/>
      <c r="G116" s="14"/>
      <c r="H116" s="14"/>
      <c r="I116" s="14"/>
      <c r="J116" s="14"/>
      <c r="K116" s="12"/>
    </row>
    <row r="117" ht="19.5" customHeight="1">
      <c r="A117" s="12"/>
      <c r="C117" s="12"/>
      <c r="D117" s="13"/>
      <c r="F117" s="14"/>
      <c r="G117" s="14"/>
      <c r="H117" s="14"/>
      <c r="I117" s="14"/>
      <c r="J117" s="14"/>
      <c r="K117" s="12"/>
    </row>
    <row r="118" ht="19.5" customHeight="1">
      <c r="A118" s="12"/>
      <c r="C118" s="12"/>
      <c r="D118" s="13"/>
      <c r="F118" s="14"/>
      <c r="G118" s="14"/>
      <c r="H118" s="14"/>
      <c r="I118" s="14"/>
      <c r="J118" s="14"/>
      <c r="K118" s="12"/>
    </row>
    <row r="119" ht="19.5" customHeight="1">
      <c r="A119" s="12"/>
      <c r="C119" s="12"/>
      <c r="D119" s="13"/>
      <c r="F119" s="14"/>
      <c r="G119" s="14"/>
      <c r="H119" s="14"/>
      <c r="I119" s="14"/>
      <c r="J119" s="14"/>
      <c r="K119" s="12"/>
    </row>
    <row r="120" ht="19.5" customHeight="1">
      <c r="A120" s="12"/>
      <c r="C120" s="12"/>
      <c r="D120" s="13"/>
      <c r="F120" s="14"/>
      <c r="G120" s="14"/>
      <c r="H120" s="14"/>
      <c r="I120" s="14"/>
      <c r="J120" s="14"/>
      <c r="K120" s="12"/>
    </row>
    <row r="121" ht="19.5" customHeight="1">
      <c r="A121" s="12"/>
      <c r="C121" s="12"/>
      <c r="D121" s="13"/>
      <c r="F121" s="14"/>
      <c r="G121" s="14"/>
      <c r="H121" s="14"/>
      <c r="I121" s="14"/>
      <c r="J121" s="14"/>
      <c r="K121" s="12"/>
    </row>
    <row r="122" ht="19.5" customHeight="1">
      <c r="A122" s="12"/>
      <c r="C122" s="12"/>
      <c r="D122" s="13"/>
      <c r="F122" s="14"/>
      <c r="G122" s="14"/>
      <c r="H122" s="14"/>
      <c r="I122" s="14"/>
      <c r="J122" s="14"/>
      <c r="K122" s="12"/>
    </row>
    <row r="123" ht="19.5" customHeight="1">
      <c r="A123" s="12"/>
      <c r="C123" s="12"/>
      <c r="D123" s="13"/>
      <c r="F123" s="14"/>
      <c r="G123" s="14"/>
      <c r="H123" s="14"/>
      <c r="I123" s="14"/>
      <c r="J123" s="14"/>
      <c r="K123" s="12"/>
    </row>
    <row r="124" ht="19.5" customHeight="1">
      <c r="A124" s="12"/>
      <c r="C124" s="12"/>
      <c r="D124" s="13"/>
      <c r="F124" s="14"/>
      <c r="G124" s="14"/>
      <c r="H124" s="14"/>
      <c r="I124" s="14"/>
      <c r="J124" s="14"/>
      <c r="K124" s="12"/>
    </row>
    <row r="125" ht="19.5" customHeight="1">
      <c r="A125" s="12"/>
      <c r="C125" s="12"/>
      <c r="D125" s="13"/>
      <c r="F125" s="14"/>
      <c r="G125" s="14"/>
      <c r="H125" s="14"/>
      <c r="I125" s="14"/>
      <c r="J125" s="14"/>
      <c r="K125" s="12"/>
    </row>
    <row r="126" ht="19.5" customHeight="1">
      <c r="A126" s="12"/>
      <c r="C126" s="12"/>
      <c r="D126" s="13"/>
      <c r="F126" s="14"/>
      <c r="G126" s="14"/>
      <c r="H126" s="14"/>
      <c r="I126" s="14"/>
      <c r="J126" s="14"/>
      <c r="K126" s="12"/>
    </row>
    <row r="127" ht="19.5" customHeight="1">
      <c r="A127" s="12"/>
      <c r="C127" s="12"/>
      <c r="D127" s="13"/>
      <c r="F127" s="14"/>
      <c r="G127" s="14"/>
      <c r="H127" s="14"/>
      <c r="I127" s="14"/>
      <c r="J127" s="14"/>
      <c r="K127" s="12"/>
    </row>
    <row r="128" ht="19.5" customHeight="1">
      <c r="A128" s="12"/>
      <c r="C128" s="12"/>
      <c r="D128" s="13"/>
      <c r="F128" s="14"/>
      <c r="G128" s="14"/>
      <c r="H128" s="14"/>
      <c r="I128" s="14"/>
      <c r="J128" s="14"/>
      <c r="K128" s="12"/>
    </row>
    <row r="129" ht="19.5" customHeight="1">
      <c r="A129" s="12"/>
      <c r="C129" s="12"/>
      <c r="D129" s="13"/>
      <c r="F129" s="14"/>
      <c r="G129" s="14"/>
      <c r="H129" s="14"/>
      <c r="I129" s="14"/>
      <c r="J129" s="14"/>
      <c r="K129" s="12"/>
    </row>
    <row r="130" ht="19.5" customHeight="1">
      <c r="A130" s="12"/>
      <c r="C130" s="12"/>
      <c r="D130" s="13"/>
      <c r="F130" s="14"/>
      <c r="G130" s="14"/>
      <c r="H130" s="14"/>
      <c r="I130" s="14"/>
      <c r="J130" s="14"/>
      <c r="K130" s="12"/>
    </row>
    <row r="131" ht="19.5" customHeight="1">
      <c r="A131" s="12"/>
      <c r="C131" s="12"/>
      <c r="D131" s="13"/>
      <c r="F131" s="14"/>
      <c r="G131" s="14"/>
      <c r="H131" s="14"/>
      <c r="I131" s="14"/>
      <c r="J131" s="14"/>
      <c r="K131" s="12"/>
    </row>
    <row r="132" ht="19.5" customHeight="1">
      <c r="A132" s="12"/>
      <c r="C132" s="12"/>
      <c r="D132" s="13"/>
      <c r="F132" s="14"/>
      <c r="G132" s="14"/>
      <c r="H132" s="14"/>
      <c r="I132" s="14"/>
      <c r="J132" s="14"/>
      <c r="K132" s="12"/>
    </row>
    <row r="133" ht="19.5" customHeight="1">
      <c r="A133" s="12"/>
      <c r="C133" s="12"/>
      <c r="D133" s="13"/>
      <c r="F133" s="14"/>
      <c r="G133" s="14"/>
      <c r="H133" s="14"/>
      <c r="I133" s="14"/>
      <c r="J133" s="14"/>
      <c r="K133" s="12"/>
    </row>
    <row r="134" ht="19.5" customHeight="1">
      <c r="A134" s="12"/>
      <c r="C134" s="12"/>
      <c r="D134" s="13"/>
      <c r="F134" s="14"/>
      <c r="G134" s="14"/>
      <c r="H134" s="14"/>
      <c r="I134" s="14"/>
      <c r="J134" s="14"/>
      <c r="K134" s="12"/>
    </row>
    <row r="135" ht="19.5" customHeight="1">
      <c r="A135" s="12"/>
      <c r="C135" s="12"/>
      <c r="D135" s="13"/>
      <c r="F135" s="14"/>
      <c r="G135" s="14"/>
      <c r="H135" s="14"/>
      <c r="I135" s="14"/>
      <c r="J135" s="14"/>
      <c r="K135" s="12"/>
    </row>
    <row r="136" ht="19.5" customHeight="1">
      <c r="A136" s="12"/>
      <c r="C136" s="12"/>
      <c r="D136" s="13"/>
      <c r="F136" s="14"/>
      <c r="G136" s="14"/>
      <c r="H136" s="14"/>
      <c r="I136" s="14"/>
      <c r="J136" s="14"/>
      <c r="K136" s="12"/>
    </row>
    <row r="137" ht="19.5" customHeight="1">
      <c r="A137" s="12"/>
      <c r="C137" s="12"/>
      <c r="D137" s="13"/>
      <c r="F137" s="14"/>
      <c r="G137" s="14"/>
      <c r="H137" s="14"/>
      <c r="I137" s="14"/>
      <c r="J137" s="14"/>
      <c r="K137" s="12"/>
    </row>
    <row r="138" ht="19.5" customHeight="1">
      <c r="A138" s="12"/>
      <c r="C138" s="12"/>
      <c r="D138" s="13"/>
      <c r="F138" s="14"/>
      <c r="G138" s="14"/>
      <c r="H138" s="14"/>
      <c r="I138" s="14"/>
      <c r="J138" s="14"/>
      <c r="K138" s="12"/>
    </row>
    <row r="139" ht="19.5" customHeight="1">
      <c r="A139" s="12"/>
      <c r="C139" s="12"/>
      <c r="D139" s="13"/>
      <c r="F139" s="14"/>
      <c r="G139" s="14"/>
      <c r="H139" s="14"/>
      <c r="I139" s="14"/>
      <c r="J139" s="14"/>
      <c r="K139" s="12"/>
    </row>
    <row r="140" ht="19.5" customHeight="1">
      <c r="A140" s="12"/>
      <c r="C140" s="12"/>
      <c r="D140" s="13"/>
      <c r="F140" s="14"/>
      <c r="G140" s="14"/>
      <c r="H140" s="14"/>
      <c r="I140" s="14"/>
      <c r="J140" s="14"/>
      <c r="K140" s="12"/>
    </row>
    <row r="141" ht="19.5" customHeight="1">
      <c r="A141" s="12"/>
      <c r="C141" s="12"/>
      <c r="D141" s="13"/>
      <c r="F141" s="14"/>
      <c r="G141" s="14"/>
      <c r="H141" s="14"/>
      <c r="I141" s="14"/>
      <c r="J141" s="14"/>
      <c r="K141" s="12"/>
    </row>
    <row r="142" ht="19.5" customHeight="1">
      <c r="A142" s="12"/>
      <c r="C142" s="12"/>
      <c r="D142" s="13"/>
      <c r="F142" s="14"/>
      <c r="G142" s="14"/>
      <c r="H142" s="14"/>
      <c r="I142" s="14"/>
      <c r="J142" s="14"/>
      <c r="K142" s="12"/>
    </row>
    <row r="143" ht="19.5" customHeight="1">
      <c r="A143" s="12"/>
      <c r="C143" s="12"/>
      <c r="D143" s="13"/>
      <c r="F143" s="14"/>
      <c r="G143" s="14"/>
      <c r="H143" s="14"/>
      <c r="I143" s="14"/>
      <c r="J143" s="14"/>
      <c r="K143" s="12"/>
    </row>
    <row r="144" ht="19.5" customHeight="1">
      <c r="A144" s="12"/>
      <c r="C144" s="12"/>
      <c r="D144" s="13"/>
      <c r="F144" s="14"/>
      <c r="G144" s="14"/>
      <c r="H144" s="14"/>
      <c r="I144" s="14"/>
      <c r="J144" s="14"/>
      <c r="K144" s="12"/>
    </row>
    <row r="145" ht="19.5" customHeight="1">
      <c r="A145" s="12"/>
      <c r="C145" s="12"/>
      <c r="D145" s="13"/>
      <c r="F145" s="14"/>
      <c r="G145" s="14"/>
      <c r="H145" s="14"/>
      <c r="I145" s="14"/>
      <c r="J145" s="14"/>
      <c r="K145" s="12"/>
    </row>
    <row r="146" ht="19.5" customHeight="1">
      <c r="A146" s="12"/>
      <c r="C146" s="12"/>
      <c r="D146" s="13"/>
      <c r="F146" s="14"/>
      <c r="G146" s="14"/>
      <c r="H146" s="14"/>
      <c r="I146" s="14"/>
      <c r="J146" s="14"/>
      <c r="K146" s="12"/>
    </row>
    <row r="147" ht="19.5" customHeight="1">
      <c r="A147" s="12"/>
      <c r="C147" s="12"/>
      <c r="D147" s="13"/>
      <c r="F147" s="14"/>
      <c r="G147" s="14"/>
      <c r="H147" s="14"/>
      <c r="I147" s="14"/>
      <c r="J147" s="14"/>
      <c r="K147" s="12"/>
    </row>
    <row r="148" ht="19.5" customHeight="1">
      <c r="A148" s="12"/>
      <c r="C148" s="12"/>
      <c r="D148" s="13"/>
      <c r="F148" s="14"/>
      <c r="G148" s="14"/>
      <c r="H148" s="14"/>
      <c r="I148" s="14"/>
      <c r="J148" s="14"/>
      <c r="K148" s="12"/>
    </row>
    <row r="149" ht="19.5" customHeight="1">
      <c r="A149" s="12"/>
      <c r="C149" s="12"/>
      <c r="D149" s="13"/>
      <c r="F149" s="14"/>
      <c r="G149" s="14"/>
      <c r="H149" s="14"/>
      <c r="I149" s="14"/>
      <c r="J149" s="14"/>
      <c r="K149" s="12"/>
    </row>
    <row r="150" ht="19.5" customHeight="1">
      <c r="A150" s="12"/>
      <c r="C150" s="12"/>
      <c r="D150" s="13"/>
      <c r="F150" s="14"/>
      <c r="G150" s="14"/>
      <c r="H150" s="14"/>
      <c r="I150" s="14"/>
      <c r="J150" s="14"/>
      <c r="K150" s="12"/>
    </row>
    <row r="151" ht="19.5" customHeight="1">
      <c r="A151" s="12"/>
      <c r="C151" s="12"/>
      <c r="D151" s="13"/>
      <c r="F151" s="14"/>
      <c r="G151" s="14"/>
      <c r="H151" s="14"/>
      <c r="I151" s="14"/>
      <c r="J151" s="14"/>
      <c r="K151" s="12"/>
    </row>
    <row r="152" ht="19.5" customHeight="1">
      <c r="A152" s="12"/>
      <c r="C152" s="12"/>
      <c r="D152" s="13"/>
      <c r="F152" s="14"/>
      <c r="G152" s="14"/>
      <c r="H152" s="14"/>
      <c r="I152" s="14"/>
      <c r="J152" s="14"/>
      <c r="K152" s="12"/>
    </row>
    <row r="153" ht="19.5" customHeight="1">
      <c r="A153" s="12"/>
      <c r="C153" s="12"/>
      <c r="D153" s="13"/>
      <c r="F153" s="14"/>
      <c r="G153" s="14"/>
      <c r="H153" s="14"/>
      <c r="I153" s="14"/>
      <c r="J153" s="14"/>
      <c r="K153" s="12"/>
    </row>
    <row r="154" ht="19.5" customHeight="1">
      <c r="A154" s="12"/>
      <c r="C154" s="12"/>
      <c r="D154" s="13"/>
      <c r="F154" s="14"/>
      <c r="G154" s="14"/>
      <c r="H154" s="14"/>
      <c r="I154" s="14"/>
      <c r="J154" s="14"/>
      <c r="K154" s="12"/>
    </row>
    <row r="155" ht="19.5" customHeight="1">
      <c r="A155" s="12"/>
      <c r="C155" s="12"/>
      <c r="D155" s="13"/>
      <c r="F155" s="14"/>
      <c r="G155" s="14"/>
      <c r="H155" s="14"/>
      <c r="I155" s="14"/>
      <c r="J155" s="14"/>
      <c r="K155" s="12"/>
    </row>
    <row r="156" ht="19.5" customHeight="1">
      <c r="A156" s="12"/>
      <c r="C156" s="12"/>
      <c r="D156" s="13"/>
      <c r="F156" s="14"/>
      <c r="G156" s="14"/>
      <c r="H156" s="14"/>
      <c r="I156" s="14"/>
      <c r="J156" s="14"/>
      <c r="K156" s="12"/>
    </row>
    <row r="157" ht="19.5" customHeight="1">
      <c r="A157" s="12"/>
      <c r="C157" s="12"/>
      <c r="D157" s="13"/>
      <c r="F157" s="14"/>
      <c r="G157" s="14"/>
      <c r="H157" s="14"/>
      <c r="I157" s="14"/>
      <c r="J157" s="14"/>
      <c r="K157" s="12"/>
    </row>
    <row r="158" ht="19.5" customHeight="1">
      <c r="A158" s="12"/>
      <c r="C158" s="12"/>
      <c r="D158" s="13"/>
      <c r="F158" s="14"/>
      <c r="G158" s="14"/>
      <c r="H158" s="14"/>
      <c r="I158" s="14"/>
      <c r="J158" s="14"/>
      <c r="K158" s="12"/>
    </row>
    <row r="159" ht="19.5" customHeight="1">
      <c r="A159" s="12"/>
      <c r="C159" s="12"/>
      <c r="D159" s="13"/>
      <c r="F159" s="14"/>
      <c r="G159" s="14"/>
      <c r="H159" s="14"/>
      <c r="I159" s="14"/>
      <c r="J159" s="14"/>
      <c r="K159" s="12"/>
    </row>
    <row r="160" ht="19.5" customHeight="1">
      <c r="A160" s="12"/>
      <c r="C160" s="12"/>
      <c r="D160" s="13"/>
      <c r="F160" s="14"/>
      <c r="G160" s="14"/>
      <c r="H160" s="14"/>
      <c r="I160" s="14"/>
      <c r="J160" s="14"/>
      <c r="K160" s="12"/>
    </row>
    <row r="161" ht="19.5" customHeight="1">
      <c r="A161" s="12"/>
      <c r="C161" s="12"/>
      <c r="D161" s="13"/>
      <c r="F161" s="14"/>
      <c r="G161" s="14"/>
      <c r="H161" s="14"/>
      <c r="I161" s="14"/>
      <c r="J161" s="14"/>
      <c r="K161" s="12"/>
    </row>
    <row r="162" ht="19.5" customHeight="1">
      <c r="A162" s="12"/>
      <c r="C162" s="12"/>
      <c r="D162" s="13"/>
      <c r="F162" s="14"/>
      <c r="G162" s="14"/>
      <c r="H162" s="14"/>
      <c r="I162" s="14"/>
      <c r="J162" s="14"/>
      <c r="K162" s="12"/>
    </row>
    <row r="163" ht="19.5" customHeight="1">
      <c r="A163" s="12"/>
      <c r="C163" s="12"/>
      <c r="D163" s="13"/>
      <c r="F163" s="14"/>
      <c r="G163" s="14"/>
      <c r="H163" s="14"/>
      <c r="I163" s="14"/>
      <c r="J163" s="14"/>
      <c r="K163" s="12"/>
    </row>
    <row r="164" ht="19.5" customHeight="1">
      <c r="A164" s="12"/>
      <c r="C164" s="12"/>
      <c r="D164" s="13"/>
      <c r="F164" s="14"/>
      <c r="G164" s="14"/>
      <c r="H164" s="14"/>
      <c r="I164" s="14"/>
      <c r="J164" s="14"/>
      <c r="K164" s="12"/>
    </row>
    <row r="165" ht="19.5" customHeight="1">
      <c r="A165" s="12"/>
      <c r="C165" s="12"/>
      <c r="D165" s="13"/>
      <c r="F165" s="14"/>
      <c r="G165" s="14"/>
      <c r="H165" s="14"/>
      <c r="I165" s="14"/>
      <c r="J165" s="14"/>
      <c r="K165" s="12"/>
    </row>
    <row r="166" ht="19.5" customHeight="1">
      <c r="A166" s="12"/>
      <c r="C166" s="12"/>
      <c r="D166" s="13"/>
      <c r="F166" s="14"/>
      <c r="G166" s="14"/>
      <c r="H166" s="14"/>
      <c r="I166" s="14"/>
      <c r="J166" s="14"/>
      <c r="K166" s="12"/>
    </row>
    <row r="167" ht="19.5" customHeight="1">
      <c r="A167" s="12"/>
      <c r="C167" s="12"/>
      <c r="D167" s="13"/>
      <c r="F167" s="14"/>
      <c r="G167" s="14"/>
      <c r="H167" s="14"/>
      <c r="I167" s="14"/>
      <c r="J167" s="14"/>
      <c r="K167" s="12"/>
    </row>
    <row r="168" ht="19.5" customHeight="1">
      <c r="A168" s="12"/>
      <c r="C168" s="12"/>
      <c r="D168" s="13"/>
      <c r="F168" s="14"/>
      <c r="G168" s="14"/>
      <c r="H168" s="14"/>
      <c r="I168" s="14"/>
      <c r="J168" s="14"/>
      <c r="K168" s="12"/>
    </row>
    <row r="169" ht="19.5" customHeight="1">
      <c r="A169" s="12"/>
      <c r="C169" s="12"/>
      <c r="D169" s="13"/>
      <c r="F169" s="14"/>
      <c r="G169" s="14"/>
      <c r="H169" s="14"/>
      <c r="I169" s="14"/>
      <c r="J169" s="14"/>
      <c r="K169" s="12"/>
    </row>
    <row r="170" ht="19.5" customHeight="1">
      <c r="A170" s="12"/>
      <c r="C170" s="12"/>
      <c r="D170" s="13"/>
      <c r="F170" s="14"/>
      <c r="G170" s="14"/>
      <c r="H170" s="14"/>
      <c r="I170" s="14"/>
      <c r="J170" s="14"/>
      <c r="K170" s="12"/>
    </row>
    <row r="171" ht="19.5" customHeight="1">
      <c r="A171" s="12"/>
      <c r="C171" s="12"/>
      <c r="D171" s="13"/>
      <c r="F171" s="14"/>
      <c r="G171" s="14"/>
      <c r="H171" s="14"/>
      <c r="I171" s="14"/>
      <c r="J171" s="14"/>
      <c r="K171" s="12"/>
    </row>
    <row r="172" ht="19.5" customHeight="1">
      <c r="A172" s="12"/>
      <c r="C172" s="12"/>
      <c r="D172" s="13"/>
      <c r="F172" s="14"/>
      <c r="G172" s="14"/>
      <c r="H172" s="14"/>
      <c r="I172" s="14"/>
      <c r="J172" s="14"/>
      <c r="K172" s="12"/>
    </row>
    <row r="173" ht="19.5" customHeight="1">
      <c r="A173" s="12"/>
      <c r="C173" s="12"/>
      <c r="D173" s="13"/>
      <c r="F173" s="14"/>
      <c r="G173" s="14"/>
      <c r="H173" s="14"/>
      <c r="I173" s="14"/>
      <c r="J173" s="14"/>
      <c r="K173" s="12"/>
    </row>
    <row r="174" ht="19.5" customHeight="1">
      <c r="A174" s="12"/>
      <c r="C174" s="12"/>
      <c r="D174" s="13"/>
      <c r="F174" s="14"/>
      <c r="G174" s="14"/>
      <c r="H174" s="14"/>
      <c r="I174" s="14"/>
      <c r="J174" s="14"/>
      <c r="K174" s="12"/>
    </row>
    <row r="175" ht="19.5" customHeight="1">
      <c r="A175" s="12"/>
      <c r="C175" s="12"/>
      <c r="D175" s="13"/>
      <c r="F175" s="14"/>
      <c r="G175" s="14"/>
      <c r="H175" s="14"/>
      <c r="I175" s="14"/>
      <c r="J175" s="14"/>
      <c r="K175" s="12"/>
    </row>
    <row r="176" ht="19.5" customHeight="1">
      <c r="A176" s="12"/>
      <c r="C176" s="12"/>
      <c r="D176" s="13"/>
      <c r="F176" s="14"/>
      <c r="G176" s="14"/>
      <c r="H176" s="14"/>
      <c r="I176" s="14"/>
      <c r="J176" s="14"/>
      <c r="K176" s="12"/>
    </row>
    <row r="177" ht="19.5" customHeight="1">
      <c r="A177" s="12"/>
      <c r="C177" s="12"/>
      <c r="D177" s="13"/>
      <c r="F177" s="14"/>
      <c r="G177" s="14"/>
      <c r="H177" s="14"/>
      <c r="I177" s="14"/>
      <c r="J177" s="14"/>
      <c r="K177" s="12"/>
    </row>
    <row r="178" ht="19.5" customHeight="1">
      <c r="A178" s="12"/>
      <c r="C178" s="12"/>
      <c r="D178" s="13"/>
      <c r="F178" s="14"/>
      <c r="G178" s="14"/>
      <c r="H178" s="14"/>
      <c r="I178" s="14"/>
      <c r="J178" s="14"/>
      <c r="K178" s="12"/>
    </row>
    <row r="179" ht="19.5" customHeight="1">
      <c r="A179" s="12"/>
      <c r="C179" s="12"/>
      <c r="D179" s="13"/>
      <c r="F179" s="14"/>
      <c r="G179" s="14"/>
      <c r="H179" s="14"/>
      <c r="I179" s="14"/>
      <c r="J179" s="14"/>
      <c r="K179" s="12"/>
    </row>
    <row r="180" ht="19.5" customHeight="1">
      <c r="A180" s="12"/>
      <c r="C180" s="12"/>
      <c r="D180" s="13"/>
      <c r="F180" s="14"/>
      <c r="G180" s="14"/>
      <c r="H180" s="14"/>
      <c r="I180" s="14"/>
      <c r="J180" s="14"/>
      <c r="K180" s="12"/>
    </row>
    <row r="181" ht="19.5" customHeight="1">
      <c r="A181" s="12"/>
      <c r="C181" s="12"/>
      <c r="D181" s="13"/>
      <c r="F181" s="14"/>
      <c r="G181" s="14"/>
      <c r="H181" s="14"/>
      <c r="I181" s="14"/>
      <c r="J181" s="14"/>
      <c r="K181" s="12"/>
    </row>
    <row r="182" ht="19.5" customHeight="1">
      <c r="A182" s="12"/>
      <c r="C182" s="12"/>
      <c r="D182" s="13"/>
      <c r="F182" s="14"/>
      <c r="G182" s="14"/>
      <c r="H182" s="14"/>
      <c r="I182" s="14"/>
      <c r="J182" s="14"/>
      <c r="K182" s="12"/>
    </row>
    <row r="183" ht="19.5" customHeight="1">
      <c r="A183" s="12"/>
      <c r="C183" s="12"/>
      <c r="D183" s="13"/>
      <c r="F183" s="14"/>
      <c r="G183" s="14"/>
      <c r="H183" s="14"/>
      <c r="I183" s="14"/>
      <c r="J183" s="14"/>
      <c r="K183" s="12"/>
    </row>
    <row r="184" ht="19.5" customHeight="1">
      <c r="A184" s="12"/>
      <c r="C184" s="12"/>
      <c r="D184" s="13"/>
      <c r="F184" s="14"/>
      <c r="G184" s="14"/>
      <c r="H184" s="14"/>
      <c r="I184" s="14"/>
      <c r="J184" s="14"/>
      <c r="K184" s="12"/>
    </row>
    <row r="185" ht="19.5" customHeight="1">
      <c r="A185" s="12"/>
      <c r="C185" s="12"/>
      <c r="D185" s="13"/>
      <c r="F185" s="14"/>
      <c r="G185" s="14"/>
      <c r="H185" s="14"/>
      <c r="I185" s="14"/>
      <c r="J185" s="14"/>
      <c r="K185" s="12"/>
    </row>
    <row r="186" ht="19.5" customHeight="1">
      <c r="A186" s="12"/>
      <c r="C186" s="12"/>
      <c r="D186" s="13"/>
      <c r="F186" s="14"/>
      <c r="G186" s="14"/>
      <c r="H186" s="14"/>
      <c r="I186" s="14"/>
      <c r="J186" s="14"/>
      <c r="K186" s="12"/>
    </row>
    <row r="187" ht="19.5" customHeight="1">
      <c r="A187" s="12"/>
      <c r="C187" s="12"/>
      <c r="D187" s="13"/>
      <c r="F187" s="14"/>
      <c r="G187" s="14"/>
      <c r="H187" s="14"/>
      <c r="I187" s="14"/>
      <c r="J187" s="14"/>
      <c r="K187" s="12"/>
    </row>
    <row r="188" ht="19.5" customHeight="1">
      <c r="A188" s="12"/>
      <c r="C188" s="12"/>
      <c r="D188" s="13"/>
      <c r="F188" s="14"/>
      <c r="G188" s="14"/>
      <c r="H188" s="14"/>
      <c r="I188" s="14"/>
      <c r="J188" s="14"/>
      <c r="K188" s="12"/>
    </row>
    <row r="189" ht="19.5" customHeight="1">
      <c r="A189" s="12"/>
      <c r="C189" s="12"/>
      <c r="D189" s="13"/>
      <c r="F189" s="14"/>
      <c r="G189" s="14"/>
      <c r="H189" s="14"/>
      <c r="I189" s="14"/>
      <c r="J189" s="14"/>
      <c r="K189" s="12"/>
    </row>
    <row r="190" ht="19.5" customHeight="1">
      <c r="A190" s="12"/>
      <c r="C190" s="12"/>
      <c r="D190" s="13"/>
      <c r="F190" s="14"/>
      <c r="G190" s="14"/>
      <c r="H190" s="14"/>
      <c r="I190" s="14"/>
      <c r="J190" s="14"/>
      <c r="K190" s="12"/>
    </row>
    <row r="191" ht="19.5" customHeight="1">
      <c r="A191" s="12"/>
      <c r="C191" s="12"/>
      <c r="D191" s="13"/>
      <c r="F191" s="14"/>
      <c r="G191" s="14"/>
      <c r="H191" s="14"/>
      <c r="I191" s="14"/>
      <c r="J191" s="14"/>
      <c r="K191" s="12"/>
    </row>
    <row r="192" ht="19.5" customHeight="1">
      <c r="A192" s="12"/>
      <c r="C192" s="12"/>
      <c r="D192" s="13"/>
      <c r="F192" s="14"/>
      <c r="G192" s="14"/>
      <c r="H192" s="14"/>
      <c r="I192" s="14"/>
      <c r="J192" s="14"/>
      <c r="K192" s="12"/>
    </row>
    <row r="193" ht="19.5" customHeight="1">
      <c r="A193" s="12"/>
      <c r="C193" s="12"/>
      <c r="D193" s="13"/>
      <c r="F193" s="14"/>
      <c r="G193" s="14"/>
      <c r="H193" s="14"/>
      <c r="I193" s="14"/>
      <c r="J193" s="14"/>
      <c r="K193" s="12"/>
    </row>
    <row r="194" ht="19.5" customHeight="1">
      <c r="A194" s="12"/>
      <c r="C194" s="12"/>
      <c r="D194" s="13"/>
      <c r="F194" s="14"/>
      <c r="G194" s="14"/>
      <c r="H194" s="14"/>
      <c r="I194" s="14"/>
      <c r="J194" s="14"/>
      <c r="K194" s="12"/>
    </row>
    <row r="195" ht="19.5" customHeight="1">
      <c r="A195" s="12"/>
      <c r="C195" s="12"/>
      <c r="D195" s="13"/>
      <c r="F195" s="14"/>
      <c r="G195" s="14"/>
      <c r="H195" s="14"/>
      <c r="I195" s="14"/>
      <c r="J195" s="14"/>
      <c r="K195" s="12"/>
    </row>
    <row r="196" ht="19.5" customHeight="1">
      <c r="A196" s="12"/>
      <c r="C196" s="12"/>
      <c r="D196" s="13"/>
      <c r="F196" s="14"/>
      <c r="G196" s="14"/>
      <c r="H196" s="14"/>
      <c r="I196" s="14"/>
      <c r="J196" s="14"/>
      <c r="K196" s="12"/>
    </row>
    <row r="197" ht="19.5" customHeight="1">
      <c r="A197" s="12"/>
      <c r="C197" s="12"/>
      <c r="D197" s="13"/>
      <c r="F197" s="14"/>
      <c r="G197" s="14"/>
      <c r="H197" s="14"/>
      <c r="I197" s="14"/>
      <c r="J197" s="14"/>
      <c r="K197" s="12"/>
    </row>
    <row r="198" ht="19.5" customHeight="1">
      <c r="A198" s="12"/>
      <c r="C198" s="12"/>
      <c r="D198" s="13"/>
      <c r="F198" s="14"/>
      <c r="G198" s="14"/>
      <c r="H198" s="14"/>
      <c r="I198" s="14"/>
      <c r="J198" s="14"/>
      <c r="K198" s="12"/>
    </row>
    <row r="199" ht="19.5" customHeight="1">
      <c r="A199" s="12"/>
      <c r="C199" s="12"/>
      <c r="D199" s="13"/>
      <c r="F199" s="14"/>
      <c r="G199" s="14"/>
      <c r="H199" s="14"/>
      <c r="I199" s="14"/>
      <c r="J199" s="14"/>
      <c r="K199" s="12"/>
    </row>
    <row r="200" ht="19.5" customHeight="1">
      <c r="A200" s="12"/>
      <c r="C200" s="12"/>
      <c r="D200" s="13"/>
      <c r="F200" s="14"/>
      <c r="G200" s="14"/>
      <c r="H200" s="14"/>
      <c r="I200" s="14"/>
      <c r="J200" s="14"/>
      <c r="K200" s="12"/>
    </row>
    <row r="201" ht="19.5" customHeight="1">
      <c r="A201" s="12"/>
      <c r="C201" s="12"/>
      <c r="D201" s="13"/>
      <c r="F201" s="14"/>
      <c r="G201" s="14"/>
      <c r="H201" s="14"/>
      <c r="I201" s="14"/>
      <c r="J201" s="14"/>
      <c r="K201" s="12"/>
    </row>
    <row r="202" ht="19.5" customHeight="1">
      <c r="A202" s="12"/>
      <c r="C202" s="12"/>
      <c r="D202" s="13"/>
      <c r="F202" s="14"/>
      <c r="G202" s="14"/>
      <c r="H202" s="14"/>
      <c r="I202" s="14"/>
      <c r="J202" s="14"/>
      <c r="K202" s="12"/>
    </row>
    <row r="203" ht="19.5" customHeight="1">
      <c r="A203" s="12"/>
      <c r="C203" s="12"/>
      <c r="D203" s="13"/>
      <c r="F203" s="14"/>
      <c r="G203" s="14"/>
      <c r="H203" s="14"/>
      <c r="I203" s="14"/>
      <c r="J203" s="14"/>
      <c r="K203" s="12"/>
    </row>
    <row r="204" ht="19.5" customHeight="1">
      <c r="A204" s="12"/>
      <c r="C204" s="12"/>
      <c r="D204" s="13"/>
      <c r="F204" s="14"/>
      <c r="G204" s="14"/>
      <c r="H204" s="14"/>
      <c r="I204" s="14"/>
      <c r="J204" s="14"/>
      <c r="K204" s="12"/>
    </row>
    <row r="205" ht="19.5" customHeight="1">
      <c r="A205" s="12"/>
      <c r="C205" s="12"/>
      <c r="D205" s="13"/>
      <c r="F205" s="14"/>
      <c r="G205" s="14"/>
      <c r="H205" s="14"/>
      <c r="I205" s="14"/>
      <c r="J205" s="14"/>
      <c r="K205" s="12"/>
    </row>
    <row r="206" ht="19.5" customHeight="1">
      <c r="A206" s="12"/>
      <c r="C206" s="12"/>
      <c r="D206" s="13"/>
      <c r="F206" s="14"/>
      <c r="G206" s="14"/>
      <c r="H206" s="14"/>
      <c r="I206" s="14"/>
      <c r="J206" s="14"/>
      <c r="K206" s="12"/>
    </row>
    <row r="207" ht="19.5" customHeight="1">
      <c r="A207" s="12"/>
      <c r="C207" s="12"/>
      <c r="D207" s="13"/>
      <c r="F207" s="14"/>
      <c r="G207" s="14"/>
      <c r="H207" s="14"/>
      <c r="I207" s="14"/>
      <c r="J207" s="14"/>
      <c r="K207" s="12"/>
    </row>
    <row r="208" ht="19.5" customHeight="1">
      <c r="A208" s="12"/>
      <c r="C208" s="12"/>
      <c r="D208" s="13"/>
      <c r="F208" s="14"/>
      <c r="G208" s="14"/>
      <c r="H208" s="14"/>
      <c r="I208" s="14"/>
      <c r="J208" s="14"/>
      <c r="K208" s="12"/>
    </row>
    <row r="209" ht="19.5" customHeight="1">
      <c r="A209" s="12"/>
      <c r="C209" s="12"/>
      <c r="D209" s="13"/>
      <c r="F209" s="14"/>
      <c r="G209" s="14"/>
      <c r="H209" s="14"/>
      <c r="I209" s="14"/>
      <c r="J209" s="14"/>
      <c r="K209" s="12"/>
    </row>
    <row r="210" ht="19.5" customHeight="1">
      <c r="A210" s="12"/>
      <c r="C210" s="12"/>
      <c r="D210" s="13"/>
      <c r="F210" s="14"/>
      <c r="G210" s="14"/>
      <c r="H210" s="14"/>
      <c r="I210" s="14"/>
      <c r="J210" s="14"/>
      <c r="K210" s="12"/>
    </row>
    <row r="211" ht="19.5" customHeight="1">
      <c r="A211" s="12"/>
      <c r="C211" s="12"/>
      <c r="D211" s="13"/>
      <c r="F211" s="14"/>
      <c r="G211" s="14"/>
      <c r="H211" s="14"/>
      <c r="I211" s="14"/>
      <c r="J211" s="14"/>
      <c r="K211" s="12"/>
    </row>
    <row r="212" ht="19.5" customHeight="1">
      <c r="A212" s="12"/>
      <c r="C212" s="12"/>
      <c r="D212" s="13"/>
      <c r="F212" s="14"/>
      <c r="G212" s="14"/>
      <c r="H212" s="14"/>
      <c r="I212" s="14"/>
      <c r="J212" s="14"/>
      <c r="K212" s="12"/>
    </row>
    <row r="213" ht="19.5" customHeight="1">
      <c r="A213" s="12"/>
      <c r="C213" s="12"/>
      <c r="D213" s="13"/>
      <c r="F213" s="14"/>
      <c r="G213" s="14"/>
      <c r="H213" s="14"/>
      <c r="I213" s="14"/>
      <c r="J213" s="14"/>
      <c r="K213" s="12"/>
    </row>
    <row r="214" ht="19.5" customHeight="1">
      <c r="A214" s="12"/>
      <c r="C214" s="12"/>
      <c r="D214" s="13"/>
      <c r="F214" s="14"/>
      <c r="G214" s="14"/>
      <c r="H214" s="14"/>
      <c r="I214" s="14"/>
      <c r="J214" s="14"/>
      <c r="K214" s="12"/>
    </row>
    <row r="215" ht="19.5" customHeight="1">
      <c r="A215" s="12"/>
      <c r="C215" s="12"/>
      <c r="D215" s="13"/>
      <c r="F215" s="14"/>
      <c r="G215" s="14"/>
      <c r="H215" s="14"/>
      <c r="I215" s="14"/>
      <c r="J215" s="14"/>
      <c r="K215" s="12"/>
    </row>
    <row r="216" ht="19.5" customHeight="1">
      <c r="A216" s="12"/>
      <c r="C216" s="12"/>
      <c r="D216" s="13"/>
      <c r="F216" s="14"/>
      <c r="G216" s="14"/>
      <c r="H216" s="14"/>
      <c r="I216" s="14"/>
      <c r="J216" s="14"/>
      <c r="K216" s="12"/>
    </row>
    <row r="217" ht="19.5" customHeight="1">
      <c r="A217" s="12"/>
      <c r="C217" s="12"/>
      <c r="D217" s="13"/>
      <c r="F217" s="14"/>
      <c r="G217" s="14"/>
      <c r="H217" s="14"/>
      <c r="I217" s="14"/>
      <c r="J217" s="14"/>
      <c r="K217" s="12"/>
    </row>
    <row r="218" ht="19.5" customHeight="1">
      <c r="A218" s="12"/>
      <c r="C218" s="12"/>
      <c r="D218" s="13"/>
      <c r="F218" s="14"/>
      <c r="G218" s="14"/>
      <c r="H218" s="14"/>
      <c r="I218" s="14"/>
      <c r="J218" s="14"/>
      <c r="K218" s="12"/>
    </row>
    <row r="219" ht="19.5" customHeight="1">
      <c r="A219" s="12"/>
      <c r="C219" s="12"/>
      <c r="D219" s="13"/>
      <c r="F219" s="14"/>
      <c r="G219" s="14"/>
      <c r="H219" s="14"/>
      <c r="I219" s="14"/>
      <c r="J219" s="14"/>
      <c r="K219" s="12"/>
    </row>
    <row r="220" ht="19.5" customHeight="1">
      <c r="A220" s="12"/>
      <c r="C220" s="12"/>
      <c r="D220" s="13"/>
      <c r="F220" s="14"/>
      <c r="G220" s="14"/>
      <c r="H220" s="14"/>
      <c r="I220" s="14"/>
      <c r="J220" s="14"/>
      <c r="K220" s="12"/>
    </row>
    <row r="221" ht="19.5" customHeight="1">
      <c r="A221" s="12"/>
      <c r="C221" s="12"/>
      <c r="D221" s="13"/>
      <c r="F221" s="14"/>
      <c r="G221" s="14"/>
      <c r="H221" s="14"/>
      <c r="I221" s="14"/>
      <c r="J221" s="14"/>
      <c r="K221" s="12"/>
    </row>
    <row r="222" ht="19.5" customHeight="1">
      <c r="A222" s="12"/>
      <c r="C222" s="12"/>
      <c r="D222" s="13"/>
      <c r="F222" s="14"/>
      <c r="G222" s="14"/>
      <c r="H222" s="14"/>
      <c r="I222" s="14"/>
      <c r="J222" s="14"/>
      <c r="K222" s="12"/>
    </row>
    <row r="223" ht="19.5" customHeight="1">
      <c r="A223" s="12"/>
      <c r="C223" s="12"/>
      <c r="D223" s="13"/>
      <c r="F223" s="14"/>
      <c r="G223" s="14"/>
      <c r="H223" s="14"/>
      <c r="I223" s="14"/>
      <c r="J223" s="14"/>
      <c r="K223" s="12"/>
    </row>
    <row r="224" ht="19.5" customHeight="1">
      <c r="A224" s="12"/>
      <c r="C224" s="12"/>
      <c r="D224" s="13"/>
      <c r="F224" s="14"/>
      <c r="G224" s="14"/>
      <c r="H224" s="14"/>
      <c r="I224" s="14"/>
      <c r="J224" s="14"/>
      <c r="K224" s="12"/>
    </row>
    <row r="225" ht="19.5" customHeight="1">
      <c r="A225" s="12"/>
      <c r="C225" s="12"/>
      <c r="D225" s="13"/>
      <c r="F225" s="14"/>
      <c r="G225" s="14"/>
      <c r="H225" s="14"/>
      <c r="I225" s="14"/>
      <c r="J225" s="14"/>
      <c r="K225" s="12"/>
    </row>
    <row r="226" ht="19.5" customHeight="1">
      <c r="A226" s="12"/>
      <c r="C226" s="12"/>
      <c r="D226" s="13"/>
      <c r="F226" s="14"/>
      <c r="G226" s="14"/>
      <c r="H226" s="14"/>
      <c r="I226" s="14"/>
      <c r="J226" s="14"/>
      <c r="K226" s="12"/>
    </row>
    <row r="227" ht="19.5" customHeight="1">
      <c r="A227" s="12"/>
      <c r="C227" s="12"/>
      <c r="D227" s="13"/>
      <c r="F227" s="14"/>
      <c r="G227" s="14"/>
      <c r="H227" s="14"/>
      <c r="I227" s="14"/>
      <c r="J227" s="14"/>
      <c r="K227" s="12"/>
    </row>
    <row r="228" ht="19.5" customHeight="1">
      <c r="A228" s="12"/>
      <c r="C228" s="12"/>
      <c r="D228" s="13"/>
      <c r="F228" s="14"/>
      <c r="G228" s="14"/>
      <c r="H228" s="14"/>
      <c r="I228" s="14"/>
      <c r="J228" s="14"/>
      <c r="K228" s="12"/>
    </row>
    <row r="229" ht="19.5" customHeight="1">
      <c r="A229" s="12"/>
      <c r="C229" s="12"/>
      <c r="D229" s="13"/>
      <c r="F229" s="14"/>
      <c r="G229" s="14"/>
      <c r="H229" s="14"/>
      <c r="I229" s="14"/>
      <c r="J229" s="14"/>
      <c r="K229" s="12"/>
    </row>
    <row r="230" ht="19.5" customHeight="1">
      <c r="A230" s="12"/>
      <c r="C230" s="12"/>
      <c r="D230" s="13"/>
      <c r="F230" s="14"/>
      <c r="G230" s="14"/>
      <c r="H230" s="14"/>
      <c r="I230" s="14"/>
      <c r="J230" s="14"/>
      <c r="K230" s="12"/>
    </row>
    <row r="231" ht="19.5" customHeight="1">
      <c r="A231" s="12"/>
      <c r="C231" s="12"/>
      <c r="D231" s="13"/>
      <c r="F231" s="14"/>
      <c r="G231" s="14"/>
      <c r="H231" s="14"/>
      <c r="I231" s="14"/>
      <c r="J231" s="14"/>
      <c r="K231" s="12"/>
    </row>
    <row r="232" ht="19.5" customHeight="1">
      <c r="A232" s="12"/>
      <c r="C232" s="12"/>
      <c r="D232" s="13"/>
      <c r="F232" s="14"/>
      <c r="G232" s="14"/>
      <c r="H232" s="14"/>
      <c r="I232" s="14"/>
      <c r="J232" s="14"/>
      <c r="K232" s="12"/>
    </row>
    <row r="233" ht="19.5" customHeight="1">
      <c r="A233" s="12"/>
      <c r="C233" s="12"/>
      <c r="D233" s="13"/>
      <c r="F233" s="14"/>
      <c r="G233" s="14"/>
      <c r="H233" s="14"/>
      <c r="I233" s="14"/>
      <c r="J233" s="14"/>
      <c r="K233" s="12"/>
    </row>
    <row r="234" ht="19.5" customHeight="1">
      <c r="A234" s="12"/>
      <c r="C234" s="12"/>
      <c r="D234" s="13"/>
      <c r="F234" s="14"/>
      <c r="G234" s="14"/>
      <c r="H234" s="14"/>
      <c r="I234" s="14"/>
      <c r="J234" s="14"/>
      <c r="K234" s="12"/>
    </row>
    <row r="235" ht="19.5" customHeight="1">
      <c r="A235" s="12"/>
      <c r="C235" s="12"/>
      <c r="D235" s="13"/>
      <c r="F235" s="14"/>
      <c r="G235" s="14"/>
      <c r="H235" s="14"/>
      <c r="I235" s="14"/>
      <c r="J235" s="14"/>
      <c r="K235" s="12"/>
    </row>
    <row r="236" ht="19.5" customHeight="1">
      <c r="A236" s="12"/>
      <c r="C236" s="12"/>
      <c r="D236" s="13"/>
      <c r="F236" s="14"/>
      <c r="G236" s="14"/>
      <c r="H236" s="14"/>
      <c r="I236" s="14"/>
      <c r="J236" s="14"/>
      <c r="K236" s="12"/>
    </row>
    <row r="237" ht="19.5" customHeight="1">
      <c r="A237" s="12"/>
      <c r="C237" s="12"/>
      <c r="D237" s="13"/>
      <c r="F237" s="14"/>
      <c r="G237" s="14"/>
      <c r="H237" s="14"/>
      <c r="I237" s="14"/>
      <c r="J237" s="14"/>
      <c r="K237" s="12"/>
    </row>
    <row r="238" ht="19.5" customHeight="1">
      <c r="A238" s="12"/>
      <c r="C238" s="12"/>
      <c r="D238" s="13"/>
      <c r="F238" s="14"/>
      <c r="G238" s="14"/>
      <c r="H238" s="14"/>
      <c r="I238" s="14"/>
      <c r="J238" s="14"/>
      <c r="K238" s="12"/>
    </row>
    <row r="239" ht="19.5" customHeight="1">
      <c r="A239" s="12"/>
      <c r="C239" s="12"/>
      <c r="D239" s="13"/>
      <c r="F239" s="14"/>
      <c r="G239" s="14"/>
      <c r="H239" s="14"/>
      <c r="I239" s="14"/>
      <c r="J239" s="14"/>
      <c r="K239" s="12"/>
    </row>
    <row r="240" ht="19.5" customHeight="1">
      <c r="A240" s="12"/>
      <c r="C240" s="12"/>
      <c r="D240" s="13"/>
      <c r="F240" s="14"/>
      <c r="G240" s="14"/>
      <c r="H240" s="14"/>
      <c r="I240" s="14"/>
      <c r="J240" s="14"/>
      <c r="K240" s="12"/>
    </row>
    <row r="241" ht="19.5" customHeight="1">
      <c r="A241" s="12"/>
      <c r="C241" s="12"/>
      <c r="D241" s="13"/>
      <c r="F241" s="14"/>
      <c r="G241" s="14"/>
      <c r="H241" s="14"/>
      <c r="I241" s="14"/>
      <c r="J241" s="14"/>
      <c r="K241" s="12"/>
    </row>
    <row r="242" ht="19.5" customHeight="1">
      <c r="A242" s="12"/>
      <c r="C242" s="12"/>
      <c r="D242" s="13"/>
      <c r="F242" s="14"/>
      <c r="G242" s="14"/>
      <c r="H242" s="14"/>
      <c r="I242" s="14"/>
      <c r="J242" s="14"/>
      <c r="K242" s="12"/>
    </row>
    <row r="243" ht="19.5" customHeight="1">
      <c r="A243" s="12"/>
      <c r="C243" s="12"/>
      <c r="D243" s="13"/>
      <c r="F243" s="14"/>
      <c r="G243" s="14"/>
      <c r="H243" s="14"/>
      <c r="I243" s="14"/>
      <c r="J243" s="14"/>
      <c r="K243" s="12"/>
    </row>
    <row r="244" ht="19.5" customHeight="1">
      <c r="A244" s="12"/>
      <c r="C244" s="12"/>
      <c r="D244" s="13"/>
      <c r="F244" s="14"/>
      <c r="G244" s="14"/>
      <c r="H244" s="14"/>
      <c r="I244" s="14"/>
      <c r="J244" s="14"/>
      <c r="K244" s="12"/>
    </row>
    <row r="245" ht="19.5" customHeight="1">
      <c r="A245" s="12"/>
      <c r="C245" s="12"/>
      <c r="D245" s="13"/>
      <c r="F245" s="14"/>
      <c r="G245" s="14"/>
      <c r="H245" s="14"/>
      <c r="I245" s="14"/>
      <c r="J245" s="14"/>
      <c r="K245" s="12"/>
    </row>
    <row r="246" ht="19.5" customHeight="1">
      <c r="A246" s="12"/>
      <c r="C246" s="12"/>
      <c r="D246" s="13"/>
      <c r="F246" s="14"/>
      <c r="G246" s="14"/>
      <c r="H246" s="14"/>
      <c r="I246" s="14"/>
      <c r="J246" s="14"/>
      <c r="K246" s="12"/>
    </row>
    <row r="247" ht="19.5" customHeight="1">
      <c r="A247" s="12"/>
      <c r="C247" s="12"/>
      <c r="D247" s="13"/>
      <c r="F247" s="14"/>
      <c r="G247" s="14"/>
      <c r="H247" s="14"/>
      <c r="I247" s="14"/>
      <c r="J247" s="14"/>
      <c r="K247" s="12"/>
    </row>
    <row r="248" ht="19.5" customHeight="1">
      <c r="A248" s="12"/>
      <c r="C248" s="12"/>
      <c r="D248" s="13"/>
      <c r="F248" s="14"/>
      <c r="G248" s="14"/>
      <c r="H248" s="14"/>
      <c r="I248" s="14"/>
      <c r="J248" s="14"/>
      <c r="K248" s="12"/>
    </row>
    <row r="249" ht="19.5" customHeight="1">
      <c r="A249" s="12"/>
      <c r="C249" s="12"/>
      <c r="D249" s="13"/>
      <c r="F249" s="14"/>
      <c r="G249" s="14"/>
      <c r="H249" s="14"/>
      <c r="I249" s="14"/>
      <c r="J249" s="14"/>
      <c r="K249" s="12"/>
    </row>
    <row r="250" ht="19.5" customHeight="1">
      <c r="A250" s="12"/>
      <c r="C250" s="12"/>
      <c r="D250" s="13"/>
      <c r="F250" s="14"/>
      <c r="G250" s="14"/>
      <c r="H250" s="14"/>
      <c r="I250" s="14"/>
      <c r="J250" s="14"/>
      <c r="K250" s="12"/>
    </row>
    <row r="251" ht="19.5" customHeight="1">
      <c r="A251" s="12"/>
      <c r="C251" s="12"/>
      <c r="D251" s="13"/>
      <c r="F251" s="14"/>
      <c r="G251" s="14"/>
      <c r="H251" s="14"/>
      <c r="I251" s="14"/>
      <c r="J251" s="14"/>
      <c r="K251" s="12"/>
    </row>
    <row r="252" ht="19.5" customHeight="1">
      <c r="A252" s="12"/>
      <c r="C252" s="12"/>
      <c r="D252" s="13"/>
      <c r="F252" s="14"/>
      <c r="G252" s="14"/>
      <c r="H252" s="14"/>
      <c r="I252" s="14"/>
      <c r="J252" s="14"/>
      <c r="K252" s="12"/>
    </row>
    <row r="253" ht="19.5" customHeight="1">
      <c r="A253" s="12"/>
      <c r="C253" s="12"/>
      <c r="D253" s="13"/>
      <c r="F253" s="14"/>
      <c r="G253" s="14"/>
      <c r="H253" s="14"/>
      <c r="I253" s="14"/>
      <c r="J253" s="14"/>
      <c r="K253" s="12"/>
    </row>
    <row r="254" ht="19.5" customHeight="1">
      <c r="A254" s="12"/>
      <c r="C254" s="12"/>
      <c r="D254" s="13"/>
      <c r="F254" s="14"/>
      <c r="G254" s="14"/>
      <c r="H254" s="14"/>
      <c r="I254" s="14"/>
      <c r="J254" s="14"/>
      <c r="K254" s="12"/>
    </row>
    <row r="255" ht="19.5" customHeight="1">
      <c r="A255" s="12"/>
      <c r="C255" s="12"/>
      <c r="D255" s="13"/>
      <c r="F255" s="14"/>
      <c r="G255" s="14"/>
      <c r="H255" s="14"/>
      <c r="I255" s="14"/>
      <c r="J255" s="14"/>
      <c r="K255" s="12"/>
    </row>
    <row r="256" ht="19.5" customHeight="1">
      <c r="A256" s="12"/>
      <c r="C256" s="12"/>
      <c r="D256" s="13"/>
      <c r="F256" s="14"/>
      <c r="G256" s="14"/>
      <c r="H256" s="14"/>
      <c r="I256" s="14"/>
      <c r="J256" s="14"/>
      <c r="K256" s="12"/>
    </row>
    <row r="257" ht="19.5" customHeight="1">
      <c r="A257" s="12"/>
      <c r="C257" s="12"/>
      <c r="D257" s="13"/>
      <c r="F257" s="14"/>
      <c r="G257" s="14"/>
      <c r="H257" s="14"/>
      <c r="I257" s="14"/>
      <c r="J257" s="14"/>
      <c r="K257" s="12"/>
    </row>
    <row r="258" ht="19.5" customHeight="1">
      <c r="A258" s="12"/>
      <c r="C258" s="12"/>
      <c r="D258" s="13"/>
      <c r="F258" s="14"/>
      <c r="G258" s="14"/>
      <c r="H258" s="14"/>
      <c r="I258" s="14"/>
      <c r="J258" s="14"/>
      <c r="K258" s="12"/>
    </row>
    <row r="259" ht="19.5" customHeight="1">
      <c r="A259" s="12"/>
      <c r="C259" s="12"/>
      <c r="D259" s="13"/>
      <c r="F259" s="14"/>
      <c r="G259" s="14"/>
      <c r="H259" s="14"/>
      <c r="I259" s="14"/>
      <c r="J259" s="14"/>
      <c r="K259" s="12"/>
    </row>
    <row r="260" ht="19.5" customHeight="1">
      <c r="A260" s="12"/>
      <c r="C260" s="12"/>
      <c r="D260" s="13"/>
      <c r="F260" s="14"/>
      <c r="G260" s="14"/>
      <c r="H260" s="14"/>
      <c r="I260" s="14"/>
      <c r="J260" s="14"/>
      <c r="K260" s="12"/>
    </row>
    <row r="261" ht="19.5" customHeight="1">
      <c r="A261" s="12"/>
      <c r="C261" s="12"/>
      <c r="D261" s="13"/>
      <c r="F261" s="14"/>
      <c r="G261" s="14"/>
      <c r="H261" s="14"/>
      <c r="I261" s="14"/>
      <c r="J261" s="14"/>
      <c r="K261" s="12"/>
    </row>
    <row r="262" ht="19.5" customHeight="1">
      <c r="A262" s="12"/>
      <c r="C262" s="12"/>
      <c r="D262" s="13"/>
      <c r="F262" s="14"/>
      <c r="G262" s="14"/>
      <c r="H262" s="14"/>
      <c r="I262" s="14"/>
      <c r="J262" s="14"/>
      <c r="K262" s="12"/>
    </row>
    <row r="263" ht="19.5" customHeight="1">
      <c r="A263" s="12"/>
      <c r="C263" s="12"/>
      <c r="D263" s="13"/>
      <c r="F263" s="14"/>
      <c r="G263" s="14"/>
      <c r="H263" s="14"/>
      <c r="I263" s="14"/>
      <c r="J263" s="14"/>
      <c r="K263" s="12"/>
    </row>
    <row r="264" ht="19.5" customHeight="1">
      <c r="A264" s="12"/>
      <c r="C264" s="12"/>
      <c r="D264" s="13"/>
      <c r="F264" s="14"/>
      <c r="G264" s="14"/>
      <c r="H264" s="14"/>
      <c r="I264" s="14"/>
      <c r="J264" s="14"/>
      <c r="K264" s="12"/>
    </row>
    <row r="265" ht="19.5" customHeight="1">
      <c r="A265" s="12"/>
      <c r="C265" s="12"/>
      <c r="D265" s="13"/>
      <c r="F265" s="14"/>
      <c r="G265" s="14"/>
      <c r="H265" s="14"/>
      <c r="I265" s="14"/>
      <c r="J265" s="14"/>
      <c r="K265" s="12"/>
    </row>
    <row r="266" ht="19.5" customHeight="1">
      <c r="A266" s="12"/>
      <c r="C266" s="12"/>
      <c r="D266" s="13"/>
      <c r="F266" s="14"/>
      <c r="G266" s="14"/>
      <c r="H266" s="14"/>
      <c r="I266" s="14"/>
      <c r="J266" s="14"/>
      <c r="K266" s="12"/>
    </row>
    <row r="267" ht="19.5" customHeight="1">
      <c r="A267" s="12"/>
      <c r="C267" s="12"/>
      <c r="D267" s="13"/>
      <c r="F267" s="14"/>
      <c r="G267" s="14"/>
      <c r="H267" s="14"/>
      <c r="I267" s="14"/>
      <c r="J267" s="14"/>
      <c r="K267" s="12"/>
    </row>
    <row r="268" ht="19.5" customHeight="1">
      <c r="A268" s="12"/>
      <c r="C268" s="12"/>
      <c r="D268" s="13"/>
      <c r="F268" s="14"/>
      <c r="G268" s="14"/>
      <c r="H268" s="14"/>
      <c r="I268" s="14"/>
      <c r="J268" s="14"/>
      <c r="K268" s="12"/>
    </row>
    <row r="269" ht="19.5" customHeight="1">
      <c r="A269" s="12"/>
      <c r="C269" s="12"/>
      <c r="D269" s="13"/>
      <c r="F269" s="14"/>
      <c r="G269" s="14"/>
      <c r="H269" s="14"/>
      <c r="I269" s="14"/>
      <c r="J269" s="14"/>
      <c r="K269" s="12"/>
    </row>
    <row r="270" ht="19.5" customHeight="1">
      <c r="A270" s="12"/>
      <c r="C270" s="12"/>
      <c r="D270" s="13"/>
      <c r="F270" s="14"/>
      <c r="G270" s="14"/>
      <c r="H270" s="14"/>
      <c r="I270" s="14"/>
      <c r="J270" s="14"/>
      <c r="K270" s="12"/>
    </row>
    <row r="271" ht="19.5" customHeight="1">
      <c r="A271" s="12"/>
      <c r="C271" s="12"/>
      <c r="D271" s="13"/>
      <c r="F271" s="14"/>
      <c r="G271" s="14"/>
      <c r="H271" s="14"/>
      <c r="I271" s="14"/>
      <c r="J271" s="14"/>
      <c r="K271" s="12"/>
    </row>
    <row r="272" ht="19.5" customHeight="1">
      <c r="A272" s="12"/>
      <c r="C272" s="12"/>
      <c r="D272" s="13"/>
      <c r="F272" s="14"/>
      <c r="G272" s="14"/>
      <c r="H272" s="14"/>
      <c r="I272" s="14"/>
      <c r="J272" s="14"/>
      <c r="K272" s="12"/>
    </row>
    <row r="273" ht="19.5" customHeight="1">
      <c r="A273" s="12"/>
      <c r="C273" s="12"/>
      <c r="D273" s="13"/>
      <c r="F273" s="14"/>
      <c r="G273" s="14"/>
      <c r="H273" s="14"/>
      <c r="I273" s="14"/>
      <c r="J273" s="14"/>
      <c r="K273" s="12"/>
    </row>
    <row r="274" ht="19.5" customHeight="1">
      <c r="A274" s="12"/>
      <c r="C274" s="12"/>
      <c r="D274" s="13"/>
      <c r="F274" s="14"/>
      <c r="G274" s="14"/>
      <c r="H274" s="14"/>
      <c r="I274" s="14"/>
      <c r="J274" s="14"/>
      <c r="K274" s="12"/>
    </row>
    <row r="275" ht="19.5" customHeight="1">
      <c r="A275" s="12"/>
      <c r="C275" s="12"/>
      <c r="D275" s="13"/>
      <c r="F275" s="14"/>
      <c r="G275" s="14"/>
      <c r="H275" s="14"/>
      <c r="I275" s="14"/>
      <c r="J275" s="14"/>
      <c r="K275" s="12"/>
    </row>
    <row r="276" ht="19.5" customHeight="1">
      <c r="A276" s="12"/>
      <c r="C276" s="12"/>
      <c r="D276" s="13"/>
      <c r="F276" s="14"/>
      <c r="G276" s="14"/>
      <c r="H276" s="14"/>
      <c r="I276" s="14"/>
      <c r="J276" s="14"/>
      <c r="K276" s="12"/>
    </row>
    <row r="277" ht="19.5" customHeight="1">
      <c r="A277" s="12"/>
      <c r="C277" s="12"/>
      <c r="D277" s="13"/>
      <c r="F277" s="14"/>
      <c r="G277" s="14"/>
      <c r="H277" s="14"/>
      <c r="I277" s="14"/>
      <c r="J277" s="14"/>
      <c r="K277" s="12"/>
    </row>
    <row r="278" ht="19.5" customHeight="1">
      <c r="A278" s="12"/>
      <c r="C278" s="12"/>
      <c r="D278" s="13"/>
      <c r="F278" s="14"/>
      <c r="G278" s="14"/>
      <c r="H278" s="14"/>
      <c r="I278" s="14"/>
      <c r="J278" s="14"/>
      <c r="K278" s="12"/>
    </row>
    <row r="279" ht="19.5" customHeight="1">
      <c r="A279" s="12"/>
      <c r="C279" s="12"/>
      <c r="D279" s="13"/>
      <c r="F279" s="14"/>
      <c r="G279" s="14"/>
      <c r="H279" s="14"/>
      <c r="I279" s="14"/>
      <c r="J279" s="14"/>
      <c r="K279" s="12"/>
    </row>
    <row r="280" ht="19.5" customHeight="1">
      <c r="A280" s="12"/>
      <c r="C280" s="12"/>
      <c r="D280" s="13"/>
      <c r="F280" s="14"/>
      <c r="G280" s="14"/>
      <c r="H280" s="14"/>
      <c r="I280" s="14"/>
      <c r="J280" s="14"/>
      <c r="K280" s="12"/>
    </row>
    <row r="281" ht="19.5" customHeight="1">
      <c r="A281" s="12"/>
      <c r="C281" s="12"/>
      <c r="D281" s="13"/>
      <c r="F281" s="14"/>
      <c r="G281" s="14"/>
      <c r="H281" s="14"/>
      <c r="I281" s="14"/>
      <c r="J281" s="14"/>
      <c r="K281" s="12"/>
    </row>
    <row r="282" ht="19.5" customHeight="1">
      <c r="A282" s="12"/>
      <c r="C282" s="12"/>
      <c r="D282" s="13"/>
      <c r="F282" s="14"/>
      <c r="G282" s="14"/>
      <c r="H282" s="14"/>
      <c r="I282" s="14"/>
      <c r="J282" s="14"/>
      <c r="K282" s="12"/>
    </row>
    <row r="283" ht="19.5" customHeight="1">
      <c r="A283" s="12"/>
      <c r="C283" s="12"/>
      <c r="D283" s="13"/>
      <c r="F283" s="14"/>
      <c r="G283" s="14"/>
      <c r="H283" s="14"/>
      <c r="I283" s="14"/>
      <c r="J283" s="14"/>
      <c r="K283" s="12"/>
    </row>
    <row r="284" ht="19.5" customHeight="1">
      <c r="A284" s="12"/>
      <c r="C284" s="12"/>
      <c r="D284" s="13"/>
      <c r="F284" s="14"/>
      <c r="G284" s="14"/>
      <c r="H284" s="14"/>
      <c r="I284" s="14"/>
      <c r="J284" s="14"/>
      <c r="K284" s="12"/>
    </row>
    <row r="285" ht="19.5" customHeight="1">
      <c r="A285" s="12"/>
      <c r="C285" s="12"/>
      <c r="D285" s="13"/>
      <c r="F285" s="14"/>
      <c r="G285" s="14"/>
      <c r="H285" s="14"/>
      <c r="I285" s="14"/>
      <c r="J285" s="14"/>
      <c r="K285" s="12"/>
    </row>
    <row r="286" ht="19.5" customHeight="1">
      <c r="A286" s="12"/>
      <c r="C286" s="12"/>
      <c r="D286" s="13"/>
      <c r="F286" s="14"/>
      <c r="G286" s="14"/>
      <c r="H286" s="14"/>
      <c r="I286" s="14"/>
      <c r="J286" s="14"/>
      <c r="K286" s="12"/>
    </row>
    <row r="287" ht="19.5" customHeight="1">
      <c r="A287" s="12"/>
      <c r="C287" s="12"/>
      <c r="D287" s="13"/>
      <c r="F287" s="14"/>
      <c r="G287" s="14"/>
      <c r="H287" s="14"/>
      <c r="I287" s="14"/>
      <c r="J287" s="14"/>
      <c r="K287" s="12"/>
    </row>
    <row r="288" ht="19.5" customHeight="1">
      <c r="A288" s="12"/>
      <c r="C288" s="12"/>
      <c r="D288" s="13"/>
      <c r="F288" s="14"/>
      <c r="G288" s="14"/>
      <c r="H288" s="14"/>
      <c r="I288" s="14"/>
      <c r="J288" s="14"/>
      <c r="K288" s="12"/>
    </row>
    <row r="289" ht="19.5" customHeight="1">
      <c r="A289" s="12"/>
      <c r="C289" s="12"/>
      <c r="D289" s="13"/>
      <c r="F289" s="14"/>
      <c r="G289" s="14"/>
      <c r="H289" s="14"/>
      <c r="I289" s="14"/>
      <c r="J289" s="14"/>
      <c r="K289" s="12"/>
    </row>
    <row r="290" ht="19.5" customHeight="1">
      <c r="A290" s="12"/>
      <c r="C290" s="12"/>
      <c r="D290" s="13"/>
      <c r="F290" s="14"/>
      <c r="G290" s="14"/>
      <c r="H290" s="14"/>
      <c r="I290" s="14"/>
      <c r="J290" s="14"/>
      <c r="K290" s="12"/>
    </row>
    <row r="291" ht="19.5" customHeight="1">
      <c r="A291" s="12"/>
      <c r="C291" s="12"/>
      <c r="D291" s="13"/>
      <c r="F291" s="14"/>
      <c r="G291" s="14"/>
      <c r="H291" s="14"/>
      <c r="I291" s="14"/>
      <c r="J291" s="14"/>
      <c r="K291" s="12"/>
    </row>
    <row r="292" ht="19.5" customHeight="1">
      <c r="A292" s="12"/>
      <c r="C292" s="12"/>
      <c r="D292" s="13"/>
      <c r="F292" s="14"/>
      <c r="G292" s="14"/>
      <c r="H292" s="14"/>
      <c r="I292" s="14"/>
      <c r="J292" s="14"/>
      <c r="K292" s="12"/>
    </row>
    <row r="293" ht="19.5" customHeight="1">
      <c r="A293" s="12"/>
      <c r="C293" s="12"/>
      <c r="D293" s="13"/>
      <c r="F293" s="14"/>
      <c r="G293" s="14"/>
      <c r="H293" s="14"/>
      <c r="I293" s="14"/>
      <c r="J293" s="14"/>
      <c r="K293" s="12"/>
    </row>
    <row r="294" ht="19.5" customHeight="1">
      <c r="A294" s="12"/>
      <c r="C294" s="12"/>
      <c r="D294" s="13"/>
      <c r="F294" s="14"/>
      <c r="G294" s="14"/>
      <c r="H294" s="14"/>
      <c r="I294" s="14"/>
      <c r="J294" s="14"/>
      <c r="K294" s="12"/>
    </row>
    <row r="295" ht="19.5" customHeight="1">
      <c r="A295" s="12"/>
      <c r="C295" s="12"/>
      <c r="D295" s="13"/>
      <c r="F295" s="14"/>
      <c r="G295" s="14"/>
      <c r="H295" s="14"/>
      <c r="I295" s="14"/>
      <c r="J295" s="14"/>
      <c r="K295" s="12"/>
    </row>
    <row r="296" ht="19.5" customHeight="1">
      <c r="A296" s="12"/>
      <c r="C296" s="12"/>
      <c r="D296" s="13"/>
      <c r="F296" s="14"/>
      <c r="G296" s="14"/>
      <c r="H296" s="14"/>
      <c r="I296" s="14"/>
      <c r="J296" s="14"/>
      <c r="K296" s="12"/>
    </row>
    <row r="297" ht="19.5" customHeight="1">
      <c r="A297" s="12"/>
      <c r="C297" s="12"/>
      <c r="D297" s="13"/>
      <c r="F297" s="14"/>
      <c r="G297" s="14"/>
      <c r="H297" s="14"/>
      <c r="I297" s="14"/>
      <c r="J297" s="14"/>
      <c r="K297" s="12"/>
    </row>
    <row r="298" ht="19.5" customHeight="1">
      <c r="A298" s="12"/>
      <c r="C298" s="12"/>
      <c r="D298" s="13"/>
      <c r="F298" s="14"/>
      <c r="G298" s="14"/>
      <c r="H298" s="14"/>
      <c r="I298" s="14"/>
      <c r="J298" s="14"/>
      <c r="K298" s="12"/>
    </row>
    <row r="299" ht="19.5" customHeight="1">
      <c r="A299" s="12"/>
      <c r="C299" s="12"/>
      <c r="D299" s="13"/>
      <c r="F299" s="14"/>
      <c r="G299" s="14"/>
      <c r="H299" s="14"/>
      <c r="I299" s="14"/>
      <c r="J299" s="14"/>
      <c r="K299" s="12"/>
    </row>
    <row r="300" ht="19.5" customHeight="1">
      <c r="A300" s="12"/>
      <c r="C300" s="12"/>
      <c r="D300" s="13"/>
      <c r="F300" s="14"/>
      <c r="G300" s="14"/>
      <c r="H300" s="14"/>
      <c r="I300" s="14"/>
      <c r="J300" s="14"/>
      <c r="K300" s="12"/>
    </row>
    <row r="301" ht="19.5" customHeight="1">
      <c r="A301" s="12"/>
      <c r="C301" s="12"/>
      <c r="D301" s="13"/>
      <c r="F301" s="14"/>
      <c r="G301" s="14"/>
      <c r="H301" s="14"/>
      <c r="I301" s="14"/>
      <c r="J301" s="14"/>
      <c r="K301" s="12"/>
    </row>
    <row r="302" ht="19.5" customHeight="1">
      <c r="A302" s="12"/>
      <c r="C302" s="12"/>
      <c r="D302" s="13"/>
      <c r="F302" s="14"/>
      <c r="G302" s="14"/>
      <c r="H302" s="14"/>
      <c r="I302" s="14"/>
      <c r="J302" s="14"/>
      <c r="K302" s="12"/>
    </row>
    <row r="303" ht="19.5" customHeight="1">
      <c r="A303" s="12"/>
      <c r="C303" s="12"/>
      <c r="D303" s="13"/>
      <c r="F303" s="14"/>
      <c r="G303" s="14"/>
      <c r="H303" s="14"/>
      <c r="I303" s="14"/>
      <c r="J303" s="14"/>
      <c r="K303" s="12"/>
    </row>
    <row r="304" ht="19.5" customHeight="1">
      <c r="A304" s="12"/>
      <c r="C304" s="12"/>
      <c r="D304" s="13"/>
      <c r="F304" s="14"/>
      <c r="G304" s="14"/>
      <c r="H304" s="14"/>
      <c r="I304" s="14"/>
      <c r="J304" s="14"/>
      <c r="K304" s="12"/>
    </row>
    <row r="305" ht="19.5" customHeight="1">
      <c r="A305" s="12"/>
      <c r="C305" s="12"/>
      <c r="D305" s="13"/>
      <c r="F305" s="14"/>
      <c r="G305" s="14"/>
      <c r="H305" s="14"/>
      <c r="I305" s="14"/>
      <c r="J305" s="14"/>
      <c r="K305" s="12"/>
    </row>
    <row r="306" ht="19.5" customHeight="1">
      <c r="A306" s="12"/>
      <c r="C306" s="12"/>
      <c r="D306" s="13"/>
      <c r="F306" s="14"/>
      <c r="G306" s="14"/>
      <c r="H306" s="14"/>
      <c r="I306" s="14"/>
      <c r="J306" s="14"/>
      <c r="K306" s="12"/>
    </row>
    <row r="307" ht="19.5" customHeight="1">
      <c r="A307" s="12"/>
      <c r="C307" s="12"/>
      <c r="D307" s="13"/>
      <c r="F307" s="14"/>
      <c r="G307" s="14"/>
      <c r="H307" s="14"/>
      <c r="I307" s="14"/>
      <c r="J307" s="14"/>
      <c r="K307" s="12"/>
    </row>
    <row r="308" ht="19.5" customHeight="1">
      <c r="A308" s="12"/>
      <c r="C308" s="12"/>
      <c r="D308" s="13"/>
      <c r="F308" s="14"/>
      <c r="G308" s="14"/>
      <c r="H308" s="14"/>
      <c r="I308" s="14"/>
      <c r="J308" s="14"/>
      <c r="K308" s="12"/>
    </row>
    <row r="309" ht="19.5" customHeight="1">
      <c r="A309" s="12"/>
      <c r="C309" s="12"/>
      <c r="D309" s="13"/>
      <c r="F309" s="14"/>
      <c r="G309" s="14"/>
      <c r="H309" s="14"/>
      <c r="I309" s="14"/>
      <c r="J309" s="14"/>
      <c r="K309" s="12"/>
    </row>
    <row r="310" ht="19.5" customHeight="1">
      <c r="A310" s="12"/>
      <c r="C310" s="12"/>
      <c r="D310" s="13"/>
      <c r="F310" s="14"/>
      <c r="G310" s="14"/>
      <c r="H310" s="14"/>
      <c r="I310" s="14"/>
      <c r="J310" s="14"/>
      <c r="K310" s="12"/>
    </row>
    <row r="311" ht="19.5" customHeight="1">
      <c r="A311" s="12"/>
      <c r="C311" s="12"/>
      <c r="D311" s="13"/>
      <c r="F311" s="14"/>
      <c r="G311" s="14"/>
      <c r="H311" s="14"/>
      <c r="I311" s="14"/>
      <c r="J311" s="14"/>
      <c r="K311" s="12"/>
    </row>
    <row r="312" ht="19.5" customHeight="1">
      <c r="A312" s="12"/>
      <c r="C312" s="12"/>
      <c r="D312" s="13"/>
      <c r="F312" s="14"/>
      <c r="G312" s="14"/>
      <c r="H312" s="14"/>
      <c r="I312" s="14"/>
      <c r="J312" s="14"/>
      <c r="K312" s="12"/>
    </row>
    <row r="313" ht="19.5" customHeight="1">
      <c r="A313" s="12"/>
      <c r="C313" s="12"/>
      <c r="D313" s="13"/>
      <c r="F313" s="14"/>
      <c r="G313" s="14"/>
      <c r="H313" s="14"/>
      <c r="I313" s="14"/>
      <c r="J313" s="14"/>
      <c r="K313" s="12"/>
    </row>
    <row r="314" ht="19.5" customHeight="1">
      <c r="A314" s="12"/>
      <c r="C314" s="12"/>
      <c r="D314" s="13"/>
      <c r="F314" s="14"/>
      <c r="G314" s="14"/>
      <c r="H314" s="14"/>
      <c r="I314" s="14"/>
      <c r="J314" s="14"/>
      <c r="K314" s="12"/>
    </row>
    <row r="315" ht="19.5" customHeight="1">
      <c r="A315" s="12"/>
      <c r="C315" s="12"/>
      <c r="D315" s="13"/>
      <c r="F315" s="14"/>
      <c r="G315" s="14"/>
      <c r="H315" s="14"/>
      <c r="I315" s="14"/>
      <c r="J315" s="14"/>
      <c r="K315" s="12"/>
    </row>
    <row r="316" ht="19.5" customHeight="1">
      <c r="A316" s="12"/>
      <c r="C316" s="12"/>
      <c r="D316" s="13"/>
      <c r="F316" s="14"/>
      <c r="G316" s="14"/>
      <c r="H316" s="14"/>
      <c r="I316" s="14"/>
      <c r="J316" s="14"/>
      <c r="K316" s="12"/>
    </row>
    <row r="317" ht="19.5" customHeight="1">
      <c r="A317" s="12"/>
      <c r="C317" s="12"/>
      <c r="D317" s="13"/>
      <c r="F317" s="14"/>
      <c r="G317" s="14"/>
      <c r="H317" s="14"/>
      <c r="I317" s="14"/>
      <c r="J317" s="14"/>
      <c r="K317" s="12"/>
    </row>
    <row r="318" ht="19.5" customHeight="1">
      <c r="A318" s="12"/>
      <c r="C318" s="12"/>
      <c r="D318" s="13"/>
      <c r="F318" s="14"/>
      <c r="G318" s="14"/>
      <c r="H318" s="14"/>
      <c r="I318" s="14"/>
      <c r="J318" s="14"/>
      <c r="K318" s="12"/>
    </row>
    <row r="319" ht="19.5" customHeight="1">
      <c r="A319" s="12"/>
      <c r="C319" s="12"/>
      <c r="D319" s="13"/>
      <c r="F319" s="14"/>
      <c r="G319" s="14"/>
      <c r="H319" s="14"/>
      <c r="I319" s="14"/>
      <c r="J319" s="14"/>
      <c r="K319" s="12"/>
    </row>
    <row r="320" ht="19.5" customHeight="1">
      <c r="A320" s="12"/>
      <c r="C320" s="12"/>
      <c r="D320" s="13"/>
      <c r="F320" s="14"/>
      <c r="G320" s="14"/>
      <c r="H320" s="14"/>
      <c r="I320" s="14"/>
      <c r="J320" s="14"/>
      <c r="K320" s="12"/>
    </row>
    <row r="321" ht="19.5" customHeight="1">
      <c r="A321" s="12"/>
      <c r="C321" s="12"/>
      <c r="D321" s="13"/>
      <c r="F321" s="14"/>
      <c r="G321" s="14"/>
      <c r="H321" s="14"/>
      <c r="I321" s="14"/>
      <c r="J321" s="14"/>
      <c r="K321" s="12"/>
    </row>
    <row r="322" ht="19.5" customHeight="1">
      <c r="A322" s="12"/>
      <c r="C322" s="12"/>
      <c r="D322" s="13"/>
      <c r="F322" s="14"/>
      <c r="G322" s="14"/>
      <c r="H322" s="14"/>
      <c r="I322" s="14"/>
      <c r="J322" s="14"/>
      <c r="K322" s="12"/>
    </row>
    <row r="323" ht="19.5" customHeight="1">
      <c r="A323" s="12"/>
      <c r="C323" s="12"/>
      <c r="D323" s="13"/>
      <c r="F323" s="14"/>
      <c r="G323" s="14"/>
      <c r="H323" s="14"/>
      <c r="I323" s="14"/>
      <c r="J323" s="14"/>
      <c r="K323" s="12"/>
    </row>
    <row r="324" ht="19.5" customHeight="1">
      <c r="A324" s="12"/>
      <c r="C324" s="12"/>
      <c r="D324" s="13"/>
      <c r="F324" s="14"/>
      <c r="G324" s="14"/>
      <c r="H324" s="14"/>
      <c r="I324" s="14"/>
      <c r="J324" s="14"/>
      <c r="K324" s="12"/>
    </row>
    <row r="325" ht="19.5" customHeight="1">
      <c r="A325" s="12"/>
      <c r="C325" s="12"/>
      <c r="D325" s="13"/>
      <c r="F325" s="14"/>
      <c r="G325" s="14"/>
      <c r="H325" s="14"/>
      <c r="I325" s="14"/>
      <c r="J325" s="14"/>
      <c r="K325" s="12"/>
    </row>
    <row r="326" ht="19.5" customHeight="1">
      <c r="A326" s="12"/>
      <c r="C326" s="12"/>
      <c r="D326" s="13"/>
      <c r="F326" s="14"/>
      <c r="G326" s="14"/>
      <c r="H326" s="14"/>
      <c r="I326" s="14"/>
      <c r="J326" s="14"/>
      <c r="K326" s="12"/>
    </row>
    <row r="327" ht="19.5" customHeight="1">
      <c r="A327" s="12"/>
      <c r="C327" s="12"/>
      <c r="D327" s="13"/>
      <c r="F327" s="14"/>
      <c r="G327" s="14"/>
      <c r="H327" s="14"/>
      <c r="I327" s="14"/>
      <c r="J327" s="14"/>
      <c r="K327" s="12"/>
    </row>
    <row r="328" ht="19.5" customHeight="1">
      <c r="A328" s="12"/>
      <c r="C328" s="12"/>
      <c r="D328" s="13"/>
      <c r="F328" s="14"/>
      <c r="G328" s="14"/>
      <c r="H328" s="14"/>
      <c r="I328" s="14"/>
      <c r="J328" s="14"/>
      <c r="K328" s="12"/>
    </row>
    <row r="329" ht="19.5" customHeight="1">
      <c r="A329" s="12"/>
      <c r="C329" s="12"/>
      <c r="D329" s="13"/>
      <c r="F329" s="14"/>
      <c r="G329" s="14"/>
      <c r="H329" s="14"/>
      <c r="I329" s="14"/>
      <c r="J329" s="14"/>
      <c r="K329" s="12"/>
    </row>
    <row r="330" ht="19.5" customHeight="1">
      <c r="A330" s="12"/>
      <c r="C330" s="12"/>
      <c r="D330" s="13"/>
      <c r="F330" s="14"/>
      <c r="G330" s="14"/>
      <c r="H330" s="14"/>
      <c r="I330" s="14"/>
      <c r="J330" s="14"/>
      <c r="K330" s="12"/>
    </row>
    <row r="331" ht="19.5" customHeight="1">
      <c r="A331" s="12"/>
      <c r="C331" s="12"/>
      <c r="D331" s="13"/>
      <c r="F331" s="14"/>
      <c r="G331" s="14"/>
      <c r="H331" s="14"/>
      <c r="I331" s="14"/>
      <c r="J331" s="14"/>
      <c r="K331" s="12"/>
    </row>
    <row r="332" ht="19.5" customHeight="1">
      <c r="A332" s="12"/>
      <c r="C332" s="12"/>
      <c r="D332" s="13"/>
      <c r="F332" s="14"/>
      <c r="G332" s="14"/>
      <c r="H332" s="14"/>
      <c r="I332" s="14"/>
      <c r="J332" s="14"/>
      <c r="K332" s="12"/>
    </row>
    <row r="333" ht="19.5" customHeight="1">
      <c r="A333" s="12"/>
      <c r="C333" s="12"/>
      <c r="D333" s="13"/>
      <c r="F333" s="14"/>
      <c r="G333" s="14"/>
      <c r="H333" s="14"/>
      <c r="I333" s="14"/>
      <c r="J333" s="14"/>
      <c r="K333" s="12"/>
    </row>
    <row r="334" ht="19.5" customHeight="1">
      <c r="A334" s="12"/>
      <c r="C334" s="12"/>
      <c r="D334" s="13"/>
      <c r="F334" s="14"/>
      <c r="G334" s="14"/>
      <c r="H334" s="14"/>
      <c r="I334" s="14"/>
      <c r="J334" s="14"/>
      <c r="K334" s="12"/>
    </row>
    <row r="335" ht="19.5" customHeight="1">
      <c r="A335" s="12"/>
      <c r="C335" s="12"/>
      <c r="D335" s="13"/>
      <c r="F335" s="14"/>
      <c r="G335" s="14"/>
      <c r="H335" s="14"/>
      <c r="I335" s="14"/>
      <c r="J335" s="14"/>
      <c r="K335" s="12"/>
    </row>
    <row r="336" ht="19.5" customHeight="1">
      <c r="A336" s="12"/>
      <c r="C336" s="12"/>
      <c r="D336" s="13"/>
      <c r="F336" s="14"/>
      <c r="G336" s="14"/>
      <c r="H336" s="14"/>
      <c r="I336" s="14"/>
      <c r="J336" s="14"/>
      <c r="K336" s="12"/>
    </row>
    <row r="337" ht="19.5" customHeight="1">
      <c r="A337" s="12"/>
      <c r="C337" s="12"/>
      <c r="D337" s="13"/>
      <c r="F337" s="14"/>
      <c r="G337" s="14"/>
      <c r="H337" s="14"/>
      <c r="I337" s="14"/>
      <c r="J337" s="14"/>
      <c r="K337" s="12"/>
    </row>
    <row r="338" ht="19.5" customHeight="1">
      <c r="A338" s="12"/>
      <c r="C338" s="12"/>
      <c r="D338" s="13"/>
      <c r="F338" s="14"/>
      <c r="G338" s="14"/>
      <c r="H338" s="14"/>
      <c r="I338" s="14"/>
      <c r="J338" s="14"/>
      <c r="K338" s="12"/>
    </row>
    <row r="339" ht="19.5" customHeight="1">
      <c r="A339" s="12"/>
      <c r="C339" s="12"/>
      <c r="D339" s="13"/>
      <c r="F339" s="14"/>
      <c r="G339" s="14"/>
      <c r="H339" s="14"/>
      <c r="I339" s="14"/>
      <c r="J339" s="14"/>
      <c r="K339" s="12"/>
    </row>
    <row r="340" ht="19.5" customHeight="1">
      <c r="A340" s="12"/>
      <c r="C340" s="12"/>
      <c r="D340" s="13"/>
      <c r="F340" s="14"/>
      <c r="G340" s="14"/>
      <c r="H340" s="14"/>
      <c r="I340" s="14"/>
      <c r="J340" s="14"/>
      <c r="K340" s="12"/>
    </row>
    <row r="341" ht="19.5" customHeight="1">
      <c r="A341" s="12"/>
      <c r="C341" s="12"/>
      <c r="D341" s="13"/>
      <c r="F341" s="14"/>
      <c r="G341" s="14"/>
      <c r="H341" s="14"/>
      <c r="I341" s="14"/>
      <c r="J341" s="14"/>
      <c r="K341" s="12"/>
    </row>
    <row r="342" ht="19.5" customHeight="1">
      <c r="A342" s="12"/>
      <c r="C342" s="12"/>
      <c r="D342" s="13"/>
      <c r="F342" s="14"/>
      <c r="G342" s="14"/>
      <c r="H342" s="14"/>
      <c r="I342" s="14"/>
      <c r="J342" s="14"/>
      <c r="K342" s="12"/>
    </row>
    <row r="343" ht="19.5" customHeight="1">
      <c r="A343" s="12"/>
      <c r="C343" s="12"/>
      <c r="D343" s="13"/>
      <c r="F343" s="14"/>
      <c r="G343" s="14"/>
      <c r="H343" s="14"/>
      <c r="I343" s="14"/>
      <c r="J343" s="14"/>
      <c r="K343" s="12"/>
    </row>
    <row r="344" ht="19.5" customHeight="1">
      <c r="A344" s="12"/>
      <c r="C344" s="12"/>
      <c r="D344" s="13"/>
      <c r="F344" s="14"/>
      <c r="G344" s="14"/>
      <c r="H344" s="14"/>
      <c r="I344" s="14"/>
      <c r="J344" s="14"/>
      <c r="K344" s="12"/>
    </row>
    <row r="345" ht="19.5" customHeight="1">
      <c r="A345" s="12"/>
      <c r="C345" s="12"/>
      <c r="D345" s="13"/>
      <c r="F345" s="14"/>
      <c r="G345" s="14"/>
      <c r="H345" s="14"/>
      <c r="I345" s="14"/>
      <c r="J345" s="14"/>
      <c r="K345" s="12"/>
    </row>
    <row r="346" ht="19.5" customHeight="1">
      <c r="A346" s="12"/>
      <c r="C346" s="12"/>
      <c r="D346" s="13"/>
      <c r="F346" s="14"/>
      <c r="G346" s="14"/>
      <c r="H346" s="14"/>
      <c r="I346" s="14"/>
      <c r="J346" s="14"/>
      <c r="K346" s="12"/>
    </row>
    <row r="347" ht="19.5" customHeight="1">
      <c r="A347" s="12"/>
      <c r="C347" s="12"/>
      <c r="D347" s="13"/>
      <c r="F347" s="14"/>
      <c r="G347" s="14"/>
      <c r="H347" s="14"/>
      <c r="I347" s="14"/>
      <c r="J347" s="14"/>
      <c r="K347" s="12"/>
    </row>
    <row r="348" ht="19.5" customHeight="1">
      <c r="A348" s="12"/>
      <c r="C348" s="12"/>
      <c r="D348" s="13"/>
      <c r="F348" s="14"/>
      <c r="G348" s="14"/>
      <c r="H348" s="14"/>
      <c r="I348" s="14"/>
      <c r="J348" s="14"/>
      <c r="K348" s="12"/>
    </row>
    <row r="349" ht="19.5" customHeight="1">
      <c r="A349" s="12"/>
      <c r="C349" s="12"/>
      <c r="D349" s="13"/>
      <c r="F349" s="14"/>
      <c r="G349" s="14"/>
      <c r="H349" s="14"/>
      <c r="I349" s="14"/>
      <c r="J349" s="14"/>
      <c r="K349" s="12"/>
    </row>
    <row r="350" ht="19.5" customHeight="1">
      <c r="A350" s="12"/>
      <c r="C350" s="12"/>
      <c r="D350" s="13"/>
      <c r="F350" s="14"/>
      <c r="G350" s="14"/>
      <c r="H350" s="14"/>
      <c r="I350" s="14"/>
      <c r="J350" s="14"/>
      <c r="K350" s="12"/>
    </row>
    <row r="351" ht="19.5" customHeight="1">
      <c r="A351" s="12"/>
      <c r="C351" s="12"/>
      <c r="D351" s="13"/>
      <c r="F351" s="14"/>
      <c r="G351" s="14"/>
      <c r="H351" s="14"/>
      <c r="I351" s="14"/>
      <c r="J351" s="14"/>
      <c r="K351" s="12"/>
    </row>
    <row r="352" ht="19.5" customHeight="1">
      <c r="A352" s="12"/>
      <c r="C352" s="12"/>
      <c r="D352" s="13"/>
      <c r="F352" s="14"/>
      <c r="G352" s="14"/>
      <c r="H352" s="14"/>
      <c r="I352" s="14"/>
      <c r="J352" s="14"/>
      <c r="K352" s="12"/>
    </row>
    <row r="353" ht="19.5" customHeight="1">
      <c r="A353" s="12"/>
      <c r="C353" s="12"/>
      <c r="D353" s="13"/>
      <c r="F353" s="14"/>
      <c r="G353" s="14"/>
      <c r="H353" s="14"/>
      <c r="I353" s="14"/>
      <c r="J353" s="14"/>
      <c r="K353" s="12"/>
    </row>
    <row r="354" ht="19.5" customHeight="1">
      <c r="A354" s="12"/>
      <c r="C354" s="12"/>
      <c r="D354" s="13"/>
      <c r="F354" s="14"/>
      <c r="G354" s="14"/>
      <c r="H354" s="14"/>
      <c r="I354" s="14"/>
      <c r="J354" s="14"/>
      <c r="K354" s="12"/>
    </row>
    <row r="355" ht="19.5" customHeight="1">
      <c r="A355" s="12"/>
      <c r="C355" s="12"/>
      <c r="D355" s="13"/>
      <c r="F355" s="14"/>
      <c r="G355" s="14"/>
      <c r="H355" s="14"/>
      <c r="I355" s="14"/>
      <c r="J355" s="14"/>
      <c r="K355" s="12"/>
    </row>
    <row r="356" ht="19.5" customHeight="1">
      <c r="A356" s="12"/>
      <c r="C356" s="12"/>
      <c r="D356" s="13"/>
      <c r="F356" s="14"/>
      <c r="G356" s="14"/>
      <c r="H356" s="14"/>
      <c r="I356" s="14"/>
      <c r="J356" s="14"/>
      <c r="K356" s="12"/>
    </row>
    <row r="357" ht="19.5" customHeight="1">
      <c r="A357" s="12"/>
      <c r="C357" s="12"/>
      <c r="D357" s="13"/>
      <c r="F357" s="14"/>
      <c r="G357" s="14"/>
      <c r="H357" s="14"/>
      <c r="I357" s="14"/>
      <c r="J357" s="14"/>
      <c r="K357" s="12"/>
    </row>
    <row r="358" ht="19.5" customHeight="1">
      <c r="A358" s="12"/>
      <c r="C358" s="12"/>
      <c r="D358" s="13"/>
      <c r="F358" s="14"/>
      <c r="G358" s="14"/>
      <c r="H358" s="14"/>
      <c r="I358" s="14"/>
      <c r="J358" s="14"/>
      <c r="K358" s="12"/>
    </row>
    <row r="359" ht="19.5" customHeight="1">
      <c r="A359" s="12"/>
      <c r="C359" s="12"/>
      <c r="D359" s="13"/>
      <c r="F359" s="14"/>
      <c r="G359" s="14"/>
      <c r="H359" s="14"/>
      <c r="I359" s="14"/>
      <c r="J359" s="14"/>
      <c r="K359" s="12"/>
    </row>
    <row r="360" ht="19.5" customHeight="1">
      <c r="A360" s="12"/>
      <c r="C360" s="12"/>
      <c r="D360" s="13"/>
      <c r="F360" s="14"/>
      <c r="G360" s="14"/>
      <c r="H360" s="14"/>
      <c r="I360" s="14"/>
      <c r="J360" s="14"/>
      <c r="K360" s="12"/>
    </row>
    <row r="361" ht="19.5" customHeight="1">
      <c r="A361" s="12"/>
      <c r="C361" s="12"/>
      <c r="D361" s="13"/>
      <c r="F361" s="14"/>
      <c r="G361" s="14"/>
      <c r="H361" s="14"/>
      <c r="I361" s="14"/>
      <c r="J361" s="14"/>
      <c r="K361" s="12"/>
    </row>
    <row r="362" ht="19.5" customHeight="1">
      <c r="A362" s="12"/>
      <c r="C362" s="12"/>
      <c r="D362" s="13"/>
      <c r="F362" s="14"/>
      <c r="G362" s="14"/>
      <c r="H362" s="14"/>
      <c r="I362" s="14"/>
      <c r="J362" s="14"/>
      <c r="K362" s="12"/>
    </row>
    <row r="363" ht="19.5" customHeight="1">
      <c r="A363" s="12"/>
      <c r="C363" s="12"/>
      <c r="D363" s="13"/>
      <c r="F363" s="14"/>
      <c r="G363" s="14"/>
      <c r="H363" s="14"/>
      <c r="I363" s="14"/>
      <c r="J363" s="14"/>
      <c r="K363" s="12"/>
    </row>
    <row r="364" ht="19.5" customHeight="1">
      <c r="A364" s="12"/>
      <c r="C364" s="12"/>
      <c r="D364" s="13"/>
      <c r="F364" s="14"/>
      <c r="G364" s="14"/>
      <c r="H364" s="14"/>
      <c r="I364" s="14"/>
      <c r="J364" s="14"/>
      <c r="K364" s="12"/>
    </row>
    <row r="365" ht="19.5" customHeight="1">
      <c r="A365" s="12"/>
      <c r="C365" s="12"/>
      <c r="D365" s="13"/>
      <c r="F365" s="14"/>
      <c r="G365" s="14"/>
      <c r="H365" s="14"/>
      <c r="I365" s="14"/>
      <c r="J365" s="14"/>
      <c r="K365" s="12"/>
    </row>
    <row r="366" ht="19.5" customHeight="1">
      <c r="A366" s="12"/>
      <c r="C366" s="12"/>
      <c r="D366" s="13"/>
      <c r="F366" s="14"/>
      <c r="G366" s="14"/>
      <c r="H366" s="14"/>
      <c r="I366" s="14"/>
      <c r="J366" s="14"/>
      <c r="K366" s="12"/>
    </row>
    <row r="367" ht="19.5" customHeight="1">
      <c r="A367" s="12"/>
      <c r="C367" s="12"/>
      <c r="D367" s="13"/>
      <c r="F367" s="14"/>
      <c r="G367" s="14"/>
      <c r="H367" s="14"/>
      <c r="I367" s="14"/>
      <c r="J367" s="14"/>
      <c r="K367" s="12"/>
    </row>
    <row r="368" ht="19.5" customHeight="1">
      <c r="A368" s="12"/>
      <c r="C368" s="12"/>
      <c r="D368" s="13"/>
      <c r="F368" s="14"/>
      <c r="G368" s="14"/>
      <c r="H368" s="14"/>
      <c r="I368" s="14"/>
      <c r="J368" s="14"/>
      <c r="K368" s="12"/>
    </row>
    <row r="369" ht="19.5" customHeight="1">
      <c r="A369" s="12"/>
      <c r="C369" s="12"/>
      <c r="D369" s="13"/>
      <c r="F369" s="14"/>
      <c r="G369" s="14"/>
      <c r="H369" s="14"/>
      <c r="I369" s="14"/>
      <c r="J369" s="14"/>
      <c r="K369" s="12"/>
    </row>
    <row r="370" ht="19.5" customHeight="1">
      <c r="A370" s="12"/>
      <c r="C370" s="12"/>
      <c r="D370" s="13"/>
      <c r="F370" s="14"/>
      <c r="G370" s="14"/>
      <c r="H370" s="14"/>
      <c r="I370" s="14"/>
      <c r="J370" s="14"/>
      <c r="K370" s="12"/>
    </row>
    <row r="371" ht="19.5" customHeight="1">
      <c r="A371" s="12"/>
      <c r="C371" s="12"/>
      <c r="D371" s="13"/>
      <c r="F371" s="14"/>
      <c r="G371" s="14"/>
      <c r="H371" s="14"/>
      <c r="I371" s="14"/>
      <c r="J371" s="14"/>
      <c r="K371" s="12"/>
    </row>
    <row r="372" ht="19.5" customHeight="1">
      <c r="A372" s="12"/>
      <c r="C372" s="12"/>
      <c r="D372" s="13"/>
      <c r="F372" s="14"/>
      <c r="G372" s="14"/>
      <c r="H372" s="14"/>
      <c r="I372" s="14"/>
      <c r="J372" s="14"/>
      <c r="K372" s="12"/>
    </row>
    <row r="373" ht="19.5" customHeight="1">
      <c r="A373" s="12"/>
      <c r="C373" s="12"/>
      <c r="D373" s="13"/>
      <c r="F373" s="14"/>
      <c r="G373" s="14"/>
      <c r="H373" s="14"/>
      <c r="I373" s="14"/>
      <c r="J373" s="14"/>
      <c r="K373" s="12"/>
    </row>
    <row r="374" ht="19.5" customHeight="1">
      <c r="A374" s="12"/>
      <c r="C374" s="12"/>
      <c r="D374" s="13"/>
      <c r="F374" s="14"/>
      <c r="G374" s="14"/>
      <c r="H374" s="14"/>
      <c r="I374" s="14"/>
      <c r="J374" s="14"/>
      <c r="K374" s="12"/>
    </row>
    <row r="375" ht="19.5" customHeight="1">
      <c r="A375" s="12"/>
      <c r="C375" s="12"/>
      <c r="D375" s="13"/>
      <c r="F375" s="14"/>
      <c r="G375" s="14"/>
      <c r="H375" s="14"/>
      <c r="I375" s="14"/>
      <c r="J375" s="14"/>
      <c r="K375" s="12"/>
    </row>
    <row r="376" ht="19.5" customHeight="1">
      <c r="A376" s="12"/>
      <c r="C376" s="12"/>
      <c r="D376" s="13"/>
      <c r="F376" s="14"/>
      <c r="G376" s="14"/>
      <c r="H376" s="14"/>
      <c r="I376" s="14"/>
      <c r="J376" s="14"/>
      <c r="K376" s="12"/>
    </row>
    <row r="377" ht="19.5" customHeight="1">
      <c r="A377" s="12"/>
      <c r="C377" s="12"/>
      <c r="D377" s="13"/>
      <c r="F377" s="14"/>
      <c r="G377" s="14"/>
      <c r="H377" s="14"/>
      <c r="I377" s="14"/>
      <c r="J377" s="14"/>
      <c r="K377" s="12"/>
    </row>
    <row r="378" ht="19.5" customHeight="1">
      <c r="A378" s="12"/>
      <c r="C378" s="12"/>
      <c r="D378" s="13"/>
      <c r="F378" s="14"/>
      <c r="G378" s="14"/>
      <c r="H378" s="14"/>
      <c r="I378" s="14"/>
      <c r="J378" s="14"/>
      <c r="K378" s="12"/>
    </row>
    <row r="379" ht="19.5" customHeight="1">
      <c r="A379" s="12"/>
      <c r="C379" s="12"/>
      <c r="D379" s="13"/>
      <c r="F379" s="14"/>
      <c r="G379" s="14"/>
      <c r="H379" s="14"/>
      <c r="I379" s="14"/>
      <c r="J379" s="14"/>
      <c r="K379" s="12"/>
    </row>
    <row r="380" ht="19.5" customHeight="1">
      <c r="A380" s="12"/>
      <c r="C380" s="12"/>
      <c r="D380" s="13"/>
      <c r="F380" s="14"/>
      <c r="G380" s="14"/>
      <c r="H380" s="14"/>
      <c r="I380" s="14"/>
      <c r="J380" s="14"/>
      <c r="K380" s="12"/>
    </row>
    <row r="381" ht="19.5" customHeight="1">
      <c r="A381" s="12"/>
      <c r="C381" s="12"/>
      <c r="D381" s="13"/>
      <c r="F381" s="14"/>
      <c r="G381" s="14"/>
      <c r="H381" s="14"/>
      <c r="I381" s="14"/>
      <c r="J381" s="14"/>
      <c r="K381" s="12"/>
    </row>
    <row r="382" ht="19.5" customHeight="1">
      <c r="A382" s="12"/>
      <c r="C382" s="12"/>
      <c r="D382" s="13"/>
      <c r="F382" s="14"/>
      <c r="G382" s="14"/>
      <c r="H382" s="14"/>
      <c r="I382" s="14"/>
      <c r="J382" s="14"/>
      <c r="K382" s="12"/>
    </row>
    <row r="383" ht="19.5" customHeight="1">
      <c r="A383" s="12"/>
      <c r="C383" s="12"/>
      <c r="D383" s="13"/>
      <c r="F383" s="14"/>
      <c r="G383" s="14"/>
      <c r="H383" s="14"/>
      <c r="I383" s="14"/>
      <c r="J383" s="14"/>
      <c r="K383" s="12"/>
    </row>
    <row r="384" ht="19.5" customHeight="1">
      <c r="A384" s="12"/>
      <c r="C384" s="12"/>
      <c r="D384" s="13"/>
      <c r="F384" s="14"/>
      <c r="G384" s="14"/>
      <c r="H384" s="14"/>
      <c r="I384" s="14"/>
      <c r="J384" s="14"/>
      <c r="K384" s="12"/>
    </row>
    <row r="385" ht="19.5" customHeight="1">
      <c r="A385" s="12"/>
      <c r="C385" s="12"/>
      <c r="D385" s="13"/>
      <c r="F385" s="14"/>
      <c r="G385" s="14"/>
      <c r="H385" s="14"/>
      <c r="I385" s="14"/>
      <c r="J385" s="14"/>
      <c r="K385" s="12"/>
    </row>
    <row r="386" ht="19.5" customHeight="1">
      <c r="A386" s="12"/>
      <c r="C386" s="12"/>
      <c r="D386" s="13"/>
      <c r="F386" s="14"/>
      <c r="G386" s="14"/>
      <c r="H386" s="14"/>
      <c r="I386" s="14"/>
      <c r="J386" s="14"/>
      <c r="K386" s="12"/>
    </row>
    <row r="387" ht="19.5" customHeight="1">
      <c r="A387" s="12"/>
      <c r="C387" s="12"/>
      <c r="D387" s="13"/>
      <c r="F387" s="14"/>
      <c r="G387" s="14"/>
      <c r="H387" s="14"/>
      <c r="I387" s="14"/>
      <c r="J387" s="14"/>
      <c r="K387" s="12"/>
    </row>
    <row r="388" ht="19.5" customHeight="1">
      <c r="A388" s="12"/>
      <c r="C388" s="12"/>
      <c r="D388" s="13"/>
      <c r="F388" s="14"/>
      <c r="G388" s="14"/>
      <c r="H388" s="14"/>
      <c r="I388" s="14"/>
      <c r="J388" s="14"/>
      <c r="K388" s="12"/>
    </row>
    <row r="389" ht="19.5" customHeight="1">
      <c r="A389" s="12"/>
      <c r="C389" s="12"/>
      <c r="D389" s="13"/>
      <c r="F389" s="14"/>
      <c r="G389" s="14"/>
      <c r="H389" s="14"/>
      <c r="I389" s="14"/>
      <c r="J389" s="14"/>
      <c r="K389" s="12"/>
    </row>
    <row r="390" ht="19.5" customHeight="1">
      <c r="A390" s="12"/>
      <c r="C390" s="12"/>
      <c r="D390" s="13"/>
      <c r="F390" s="14"/>
      <c r="G390" s="14"/>
      <c r="H390" s="14"/>
      <c r="I390" s="14"/>
      <c r="J390" s="14"/>
      <c r="K390" s="12"/>
    </row>
    <row r="391" ht="19.5" customHeight="1">
      <c r="A391" s="12"/>
      <c r="C391" s="12"/>
      <c r="D391" s="13"/>
      <c r="F391" s="14"/>
      <c r="G391" s="14"/>
      <c r="H391" s="14"/>
      <c r="I391" s="14"/>
      <c r="J391" s="14"/>
      <c r="K391" s="12"/>
    </row>
    <row r="392" ht="19.5" customHeight="1">
      <c r="A392" s="12"/>
      <c r="C392" s="12"/>
      <c r="D392" s="13"/>
      <c r="F392" s="14"/>
      <c r="G392" s="14"/>
      <c r="H392" s="14"/>
      <c r="I392" s="14"/>
      <c r="J392" s="14"/>
      <c r="K392" s="12"/>
    </row>
    <row r="393" ht="19.5" customHeight="1">
      <c r="A393" s="12"/>
      <c r="C393" s="12"/>
      <c r="D393" s="13"/>
      <c r="F393" s="14"/>
      <c r="G393" s="14"/>
      <c r="H393" s="14"/>
      <c r="I393" s="14"/>
      <c r="J393" s="14"/>
      <c r="K393" s="12"/>
    </row>
    <row r="394" ht="19.5" customHeight="1">
      <c r="A394" s="12"/>
      <c r="C394" s="12"/>
      <c r="D394" s="13"/>
      <c r="F394" s="14"/>
      <c r="G394" s="14"/>
      <c r="H394" s="14"/>
      <c r="I394" s="14"/>
      <c r="J394" s="14"/>
      <c r="K394" s="12"/>
    </row>
    <row r="395" ht="19.5" customHeight="1">
      <c r="A395" s="12"/>
      <c r="C395" s="12"/>
      <c r="D395" s="13"/>
      <c r="F395" s="14"/>
      <c r="G395" s="14"/>
      <c r="H395" s="14"/>
      <c r="I395" s="14"/>
      <c r="J395" s="14"/>
      <c r="K395" s="12"/>
    </row>
    <row r="396" ht="19.5" customHeight="1">
      <c r="A396" s="12"/>
      <c r="C396" s="12"/>
      <c r="D396" s="13"/>
      <c r="F396" s="14"/>
      <c r="G396" s="14"/>
      <c r="H396" s="14"/>
      <c r="I396" s="14"/>
      <c r="J396" s="14"/>
      <c r="K396" s="12"/>
    </row>
    <row r="397" ht="19.5" customHeight="1">
      <c r="A397" s="12"/>
      <c r="C397" s="12"/>
      <c r="D397" s="13"/>
      <c r="F397" s="14"/>
      <c r="G397" s="14"/>
      <c r="H397" s="14"/>
      <c r="I397" s="14"/>
      <c r="J397" s="14"/>
      <c r="K397" s="12"/>
    </row>
    <row r="398" ht="19.5" customHeight="1">
      <c r="A398" s="12"/>
      <c r="C398" s="12"/>
      <c r="D398" s="13"/>
      <c r="F398" s="14"/>
      <c r="G398" s="14"/>
      <c r="H398" s="14"/>
      <c r="I398" s="14"/>
      <c r="J398" s="14"/>
      <c r="K398" s="12"/>
    </row>
    <row r="399" ht="19.5" customHeight="1">
      <c r="A399" s="12"/>
      <c r="C399" s="12"/>
      <c r="D399" s="13"/>
      <c r="F399" s="14"/>
      <c r="G399" s="14"/>
      <c r="H399" s="14"/>
      <c r="I399" s="14"/>
      <c r="J399" s="14"/>
      <c r="K399" s="12"/>
    </row>
    <row r="400" ht="19.5" customHeight="1">
      <c r="A400" s="12"/>
      <c r="C400" s="12"/>
      <c r="D400" s="13"/>
      <c r="F400" s="14"/>
      <c r="G400" s="14"/>
      <c r="H400" s="14"/>
      <c r="I400" s="14"/>
      <c r="J400" s="14"/>
      <c r="K400" s="12"/>
    </row>
    <row r="401" ht="19.5" customHeight="1">
      <c r="A401" s="12"/>
      <c r="C401" s="12"/>
      <c r="D401" s="13"/>
      <c r="F401" s="14"/>
      <c r="G401" s="14"/>
      <c r="H401" s="14"/>
      <c r="I401" s="14"/>
      <c r="J401" s="14"/>
      <c r="K401" s="12"/>
    </row>
    <row r="402" ht="19.5" customHeight="1">
      <c r="A402" s="12"/>
      <c r="C402" s="12"/>
      <c r="D402" s="13"/>
      <c r="F402" s="14"/>
      <c r="G402" s="14"/>
      <c r="H402" s="14"/>
      <c r="I402" s="14"/>
      <c r="J402" s="14"/>
      <c r="K402" s="12"/>
    </row>
    <row r="403" ht="19.5" customHeight="1">
      <c r="A403" s="12"/>
      <c r="C403" s="12"/>
      <c r="D403" s="13"/>
      <c r="F403" s="14"/>
      <c r="G403" s="14"/>
      <c r="H403" s="14"/>
      <c r="I403" s="14"/>
      <c r="J403" s="14"/>
      <c r="K403" s="12"/>
    </row>
    <row r="404" ht="19.5" customHeight="1">
      <c r="A404" s="12"/>
      <c r="C404" s="12"/>
      <c r="D404" s="13"/>
      <c r="F404" s="14"/>
      <c r="G404" s="14"/>
      <c r="H404" s="14"/>
      <c r="I404" s="14"/>
      <c r="J404" s="14"/>
      <c r="K404" s="12"/>
    </row>
    <row r="405" ht="19.5" customHeight="1">
      <c r="A405" s="12"/>
      <c r="C405" s="12"/>
      <c r="D405" s="13"/>
      <c r="F405" s="14"/>
      <c r="G405" s="14"/>
      <c r="H405" s="14"/>
      <c r="I405" s="14"/>
      <c r="J405" s="14"/>
      <c r="K405" s="12"/>
    </row>
    <row r="406" ht="19.5" customHeight="1">
      <c r="A406" s="12"/>
      <c r="C406" s="12"/>
      <c r="D406" s="13"/>
      <c r="F406" s="14"/>
      <c r="G406" s="14"/>
      <c r="H406" s="14"/>
      <c r="I406" s="14"/>
      <c r="J406" s="14"/>
      <c r="K406" s="12"/>
    </row>
    <row r="407" ht="19.5" customHeight="1">
      <c r="A407" s="12"/>
      <c r="C407" s="12"/>
      <c r="D407" s="13"/>
      <c r="F407" s="14"/>
      <c r="G407" s="14"/>
      <c r="H407" s="14"/>
      <c r="I407" s="14"/>
      <c r="J407" s="14"/>
      <c r="K407" s="12"/>
    </row>
    <row r="408" ht="19.5" customHeight="1">
      <c r="A408" s="12"/>
      <c r="C408" s="12"/>
      <c r="D408" s="13"/>
      <c r="F408" s="14"/>
      <c r="G408" s="14"/>
      <c r="H408" s="14"/>
      <c r="I408" s="14"/>
      <c r="J408" s="14"/>
      <c r="K408" s="12"/>
    </row>
    <row r="409" ht="19.5" customHeight="1">
      <c r="A409" s="12"/>
      <c r="C409" s="12"/>
      <c r="D409" s="13"/>
      <c r="F409" s="14"/>
      <c r="G409" s="14"/>
      <c r="H409" s="14"/>
      <c r="I409" s="14"/>
      <c r="J409" s="14"/>
      <c r="K409" s="12"/>
    </row>
    <row r="410" ht="19.5" customHeight="1">
      <c r="A410" s="12"/>
      <c r="C410" s="12"/>
      <c r="D410" s="13"/>
      <c r="F410" s="14"/>
      <c r="G410" s="14"/>
      <c r="H410" s="14"/>
      <c r="I410" s="14"/>
      <c r="J410" s="14"/>
      <c r="K410" s="12"/>
    </row>
    <row r="411" ht="19.5" customHeight="1">
      <c r="A411" s="12"/>
      <c r="C411" s="12"/>
      <c r="D411" s="13"/>
      <c r="F411" s="14"/>
      <c r="G411" s="14"/>
      <c r="H411" s="14"/>
      <c r="I411" s="14"/>
      <c r="J411" s="14"/>
      <c r="K411" s="12"/>
    </row>
    <row r="412" ht="19.5" customHeight="1">
      <c r="A412" s="12"/>
      <c r="C412" s="12"/>
      <c r="D412" s="13"/>
      <c r="F412" s="14"/>
      <c r="G412" s="14"/>
      <c r="H412" s="14"/>
      <c r="I412" s="14"/>
      <c r="J412" s="14"/>
      <c r="K412" s="12"/>
    </row>
    <row r="413" ht="19.5" customHeight="1">
      <c r="A413" s="12"/>
      <c r="C413" s="12"/>
      <c r="D413" s="13"/>
      <c r="F413" s="14"/>
      <c r="G413" s="14"/>
      <c r="H413" s="14"/>
      <c r="I413" s="14"/>
      <c r="J413" s="14"/>
      <c r="K413" s="12"/>
    </row>
    <row r="414" ht="19.5" customHeight="1">
      <c r="A414" s="12"/>
      <c r="C414" s="12"/>
      <c r="D414" s="13"/>
      <c r="F414" s="14"/>
      <c r="G414" s="14"/>
      <c r="H414" s="14"/>
      <c r="I414" s="14"/>
      <c r="J414" s="14"/>
      <c r="K414" s="12"/>
    </row>
    <row r="415" ht="19.5" customHeight="1">
      <c r="A415" s="12"/>
      <c r="C415" s="12"/>
      <c r="D415" s="13"/>
      <c r="F415" s="14"/>
      <c r="G415" s="14"/>
      <c r="H415" s="14"/>
      <c r="I415" s="14"/>
      <c r="J415" s="14"/>
      <c r="K415" s="12"/>
    </row>
    <row r="416" ht="19.5" customHeight="1">
      <c r="A416" s="12"/>
      <c r="C416" s="12"/>
      <c r="D416" s="13"/>
      <c r="F416" s="14"/>
      <c r="G416" s="14"/>
      <c r="H416" s="14"/>
      <c r="I416" s="14"/>
      <c r="J416" s="14"/>
      <c r="K416" s="12"/>
    </row>
    <row r="417" ht="19.5" customHeight="1">
      <c r="A417" s="12"/>
      <c r="C417" s="12"/>
      <c r="D417" s="13"/>
      <c r="F417" s="14"/>
      <c r="G417" s="14"/>
      <c r="H417" s="14"/>
      <c r="I417" s="14"/>
      <c r="J417" s="14"/>
      <c r="K417" s="12"/>
    </row>
    <row r="418" ht="19.5" customHeight="1">
      <c r="A418" s="12"/>
      <c r="C418" s="12"/>
      <c r="D418" s="13"/>
      <c r="F418" s="14"/>
      <c r="G418" s="14"/>
      <c r="H418" s="14"/>
      <c r="I418" s="14"/>
      <c r="J418" s="14"/>
      <c r="K418" s="12"/>
    </row>
    <row r="419" ht="19.5" customHeight="1">
      <c r="A419" s="12"/>
      <c r="C419" s="12"/>
      <c r="D419" s="13"/>
      <c r="F419" s="14"/>
      <c r="G419" s="14"/>
      <c r="H419" s="14"/>
      <c r="I419" s="14"/>
      <c r="J419" s="14"/>
      <c r="K419" s="12"/>
    </row>
    <row r="420" ht="19.5" customHeight="1">
      <c r="A420" s="12"/>
      <c r="C420" s="12"/>
      <c r="D420" s="13"/>
      <c r="F420" s="14"/>
      <c r="G420" s="14"/>
      <c r="H420" s="14"/>
      <c r="I420" s="14"/>
      <c r="J420" s="14"/>
      <c r="K420" s="12"/>
    </row>
    <row r="421" ht="19.5" customHeight="1">
      <c r="A421" s="12"/>
      <c r="C421" s="12"/>
      <c r="D421" s="13"/>
      <c r="F421" s="14"/>
      <c r="G421" s="14"/>
      <c r="H421" s="14"/>
      <c r="I421" s="14"/>
      <c r="J421" s="14"/>
      <c r="K421" s="12"/>
    </row>
    <row r="422" ht="19.5" customHeight="1">
      <c r="A422" s="12"/>
      <c r="C422" s="12"/>
      <c r="D422" s="13"/>
      <c r="F422" s="14"/>
      <c r="G422" s="14"/>
      <c r="H422" s="14"/>
      <c r="I422" s="14"/>
      <c r="J422" s="14"/>
      <c r="K422" s="12"/>
    </row>
    <row r="423" ht="19.5" customHeight="1">
      <c r="A423" s="12"/>
      <c r="C423" s="12"/>
      <c r="D423" s="13"/>
      <c r="F423" s="14"/>
      <c r="G423" s="14"/>
      <c r="H423" s="14"/>
      <c r="I423" s="14"/>
      <c r="J423" s="14"/>
      <c r="K423" s="12"/>
    </row>
    <row r="424" ht="19.5" customHeight="1">
      <c r="A424" s="12"/>
      <c r="C424" s="12"/>
      <c r="D424" s="13"/>
      <c r="F424" s="14"/>
      <c r="G424" s="14"/>
      <c r="H424" s="14"/>
      <c r="I424" s="14"/>
      <c r="J424" s="14"/>
      <c r="K424" s="12"/>
    </row>
    <row r="425" ht="19.5" customHeight="1">
      <c r="A425" s="12"/>
      <c r="C425" s="12"/>
      <c r="D425" s="13"/>
      <c r="F425" s="14"/>
      <c r="G425" s="14"/>
      <c r="H425" s="14"/>
      <c r="I425" s="14"/>
      <c r="J425" s="14"/>
      <c r="K425" s="12"/>
    </row>
    <row r="426" ht="19.5" customHeight="1">
      <c r="A426" s="12"/>
      <c r="C426" s="12"/>
      <c r="D426" s="13"/>
      <c r="F426" s="14"/>
      <c r="G426" s="14"/>
      <c r="H426" s="14"/>
      <c r="I426" s="14"/>
      <c r="J426" s="14"/>
      <c r="K426" s="12"/>
    </row>
    <row r="427" ht="19.5" customHeight="1">
      <c r="A427" s="12"/>
      <c r="C427" s="12"/>
      <c r="D427" s="13"/>
      <c r="F427" s="14"/>
      <c r="G427" s="14"/>
      <c r="H427" s="14"/>
      <c r="I427" s="14"/>
      <c r="J427" s="14"/>
      <c r="K427" s="12"/>
    </row>
    <row r="428" ht="19.5" customHeight="1">
      <c r="A428" s="12"/>
      <c r="C428" s="12"/>
      <c r="D428" s="13"/>
      <c r="F428" s="14"/>
      <c r="G428" s="14"/>
      <c r="H428" s="14"/>
      <c r="I428" s="14"/>
      <c r="J428" s="14"/>
      <c r="K428" s="12"/>
    </row>
    <row r="429" ht="19.5" customHeight="1">
      <c r="A429" s="12"/>
      <c r="C429" s="12"/>
      <c r="D429" s="13"/>
      <c r="F429" s="14"/>
      <c r="G429" s="14"/>
      <c r="H429" s="14"/>
      <c r="I429" s="14"/>
      <c r="J429" s="14"/>
      <c r="K429" s="12"/>
    </row>
    <row r="430" ht="19.5" customHeight="1">
      <c r="A430" s="12"/>
      <c r="C430" s="12"/>
      <c r="D430" s="13"/>
      <c r="F430" s="14"/>
      <c r="G430" s="14"/>
      <c r="H430" s="14"/>
      <c r="I430" s="14"/>
      <c r="J430" s="14"/>
      <c r="K430" s="12"/>
    </row>
    <row r="431" ht="19.5" customHeight="1">
      <c r="A431" s="12"/>
      <c r="C431" s="12"/>
      <c r="D431" s="13"/>
      <c r="F431" s="14"/>
      <c r="G431" s="14"/>
      <c r="H431" s="14"/>
      <c r="I431" s="14"/>
      <c r="J431" s="14"/>
      <c r="K431" s="12"/>
    </row>
    <row r="432" ht="19.5" customHeight="1">
      <c r="A432" s="12"/>
      <c r="C432" s="12"/>
      <c r="D432" s="13"/>
      <c r="F432" s="14"/>
      <c r="G432" s="14"/>
      <c r="H432" s="14"/>
      <c r="I432" s="14"/>
      <c r="J432" s="14"/>
      <c r="K432" s="12"/>
    </row>
    <row r="433" ht="19.5" customHeight="1">
      <c r="A433" s="12"/>
      <c r="C433" s="12"/>
      <c r="D433" s="13"/>
      <c r="F433" s="14"/>
      <c r="G433" s="14"/>
      <c r="H433" s="14"/>
      <c r="I433" s="14"/>
      <c r="J433" s="14"/>
      <c r="K433" s="12"/>
    </row>
    <row r="434" ht="19.5" customHeight="1">
      <c r="A434" s="12"/>
      <c r="C434" s="12"/>
      <c r="D434" s="13"/>
      <c r="F434" s="14"/>
      <c r="G434" s="14"/>
      <c r="H434" s="14"/>
      <c r="I434" s="14"/>
      <c r="J434" s="14"/>
      <c r="K434" s="12"/>
    </row>
    <row r="435" ht="19.5" customHeight="1">
      <c r="A435" s="12"/>
      <c r="C435" s="12"/>
      <c r="D435" s="13"/>
      <c r="F435" s="14"/>
      <c r="G435" s="14"/>
      <c r="H435" s="14"/>
      <c r="I435" s="14"/>
      <c r="J435" s="14"/>
      <c r="K435" s="12"/>
    </row>
    <row r="436" ht="19.5" customHeight="1">
      <c r="A436" s="12"/>
      <c r="C436" s="12"/>
      <c r="D436" s="13"/>
      <c r="F436" s="14"/>
      <c r="G436" s="14"/>
      <c r="H436" s="14"/>
      <c r="I436" s="14"/>
      <c r="J436" s="14"/>
      <c r="K436" s="12"/>
    </row>
    <row r="437" ht="19.5" customHeight="1">
      <c r="A437" s="12"/>
      <c r="C437" s="12"/>
      <c r="D437" s="13"/>
      <c r="F437" s="14"/>
      <c r="G437" s="14"/>
      <c r="H437" s="14"/>
      <c r="I437" s="14"/>
      <c r="J437" s="14"/>
      <c r="K437" s="12"/>
    </row>
    <row r="438" ht="19.5" customHeight="1">
      <c r="A438" s="12"/>
      <c r="C438" s="12"/>
      <c r="D438" s="13"/>
      <c r="F438" s="14"/>
      <c r="G438" s="14"/>
      <c r="H438" s="14"/>
      <c r="I438" s="14"/>
      <c r="J438" s="14"/>
      <c r="K438" s="12"/>
    </row>
    <row r="439" ht="19.5" customHeight="1">
      <c r="A439" s="12"/>
      <c r="C439" s="12"/>
      <c r="D439" s="13"/>
      <c r="F439" s="14"/>
      <c r="G439" s="14"/>
      <c r="H439" s="14"/>
      <c r="I439" s="14"/>
      <c r="J439" s="14"/>
      <c r="K439" s="12"/>
    </row>
    <row r="440" ht="19.5" customHeight="1">
      <c r="A440" s="12"/>
      <c r="C440" s="12"/>
      <c r="D440" s="13"/>
      <c r="F440" s="14"/>
      <c r="G440" s="14"/>
      <c r="H440" s="14"/>
      <c r="I440" s="14"/>
      <c r="J440" s="14"/>
      <c r="K440" s="12"/>
    </row>
    <row r="441" ht="19.5" customHeight="1">
      <c r="A441" s="12"/>
      <c r="C441" s="12"/>
      <c r="D441" s="13"/>
      <c r="F441" s="14"/>
      <c r="G441" s="14"/>
      <c r="H441" s="14"/>
      <c r="I441" s="14"/>
      <c r="J441" s="14"/>
      <c r="K441" s="12"/>
    </row>
    <row r="442" ht="19.5" customHeight="1">
      <c r="A442" s="12"/>
      <c r="C442" s="12"/>
      <c r="D442" s="13"/>
      <c r="F442" s="14"/>
      <c r="G442" s="14"/>
      <c r="H442" s="14"/>
      <c r="I442" s="14"/>
      <c r="J442" s="14"/>
      <c r="K442" s="12"/>
    </row>
    <row r="443" ht="19.5" customHeight="1">
      <c r="A443" s="12"/>
      <c r="C443" s="12"/>
      <c r="D443" s="13"/>
      <c r="F443" s="14"/>
      <c r="G443" s="14"/>
      <c r="H443" s="14"/>
      <c r="I443" s="14"/>
      <c r="J443" s="14"/>
      <c r="K443" s="12"/>
    </row>
    <row r="444" ht="19.5" customHeight="1">
      <c r="A444" s="12"/>
      <c r="C444" s="12"/>
      <c r="D444" s="13"/>
      <c r="F444" s="14"/>
      <c r="G444" s="14"/>
      <c r="H444" s="14"/>
      <c r="I444" s="14"/>
      <c r="J444" s="14"/>
      <c r="K444" s="12"/>
    </row>
    <row r="445" ht="19.5" customHeight="1">
      <c r="A445" s="12"/>
      <c r="C445" s="12"/>
      <c r="D445" s="13"/>
      <c r="F445" s="14"/>
      <c r="G445" s="14"/>
      <c r="H445" s="14"/>
      <c r="I445" s="14"/>
      <c r="J445" s="14"/>
      <c r="K445" s="12"/>
    </row>
    <row r="446" ht="19.5" customHeight="1">
      <c r="A446" s="12"/>
      <c r="C446" s="12"/>
      <c r="D446" s="13"/>
      <c r="F446" s="14"/>
      <c r="G446" s="14"/>
      <c r="H446" s="14"/>
      <c r="I446" s="14"/>
      <c r="J446" s="14"/>
      <c r="K446" s="12"/>
    </row>
    <row r="447" ht="19.5" customHeight="1">
      <c r="A447" s="12"/>
      <c r="C447" s="12"/>
      <c r="D447" s="13"/>
      <c r="F447" s="14"/>
      <c r="G447" s="14"/>
      <c r="H447" s="14"/>
      <c r="I447" s="14"/>
      <c r="J447" s="14"/>
      <c r="K447" s="12"/>
    </row>
    <row r="448" ht="19.5" customHeight="1">
      <c r="A448" s="12"/>
      <c r="C448" s="12"/>
      <c r="D448" s="13"/>
      <c r="F448" s="14"/>
      <c r="G448" s="14"/>
      <c r="H448" s="14"/>
      <c r="I448" s="14"/>
      <c r="J448" s="14"/>
      <c r="K448" s="12"/>
    </row>
    <row r="449" ht="19.5" customHeight="1">
      <c r="A449" s="12"/>
      <c r="C449" s="12"/>
      <c r="D449" s="13"/>
      <c r="F449" s="14"/>
      <c r="G449" s="14"/>
      <c r="H449" s="14"/>
      <c r="I449" s="14"/>
      <c r="J449" s="14"/>
      <c r="K449" s="12"/>
    </row>
    <row r="450" ht="19.5" customHeight="1">
      <c r="A450" s="12"/>
      <c r="C450" s="12"/>
      <c r="D450" s="13"/>
      <c r="F450" s="14"/>
      <c r="G450" s="14"/>
      <c r="H450" s="14"/>
      <c r="I450" s="14"/>
      <c r="J450" s="14"/>
      <c r="K450" s="12"/>
    </row>
    <row r="451" ht="19.5" customHeight="1">
      <c r="A451" s="12"/>
      <c r="C451" s="12"/>
      <c r="D451" s="13"/>
      <c r="F451" s="14"/>
      <c r="G451" s="14"/>
      <c r="H451" s="14"/>
      <c r="I451" s="14"/>
      <c r="J451" s="14"/>
      <c r="K451" s="12"/>
    </row>
    <row r="452" ht="19.5" customHeight="1">
      <c r="A452" s="12"/>
      <c r="C452" s="12"/>
      <c r="D452" s="13"/>
      <c r="F452" s="14"/>
      <c r="G452" s="14"/>
      <c r="H452" s="14"/>
      <c r="I452" s="14"/>
      <c r="J452" s="14"/>
      <c r="K452" s="12"/>
    </row>
    <row r="453" ht="19.5" customHeight="1">
      <c r="A453" s="12"/>
      <c r="C453" s="12"/>
      <c r="D453" s="13"/>
      <c r="F453" s="14"/>
      <c r="G453" s="14"/>
      <c r="H453" s="14"/>
      <c r="I453" s="14"/>
      <c r="J453" s="14"/>
      <c r="K453" s="12"/>
    </row>
    <row r="454" ht="19.5" customHeight="1">
      <c r="A454" s="12"/>
      <c r="C454" s="12"/>
      <c r="D454" s="13"/>
      <c r="F454" s="14"/>
      <c r="G454" s="14"/>
      <c r="H454" s="14"/>
      <c r="I454" s="14"/>
      <c r="J454" s="14"/>
      <c r="K454" s="12"/>
    </row>
    <row r="455" ht="19.5" customHeight="1">
      <c r="A455" s="12"/>
      <c r="C455" s="12"/>
      <c r="D455" s="13"/>
      <c r="F455" s="14"/>
      <c r="G455" s="14"/>
      <c r="H455" s="14"/>
      <c r="I455" s="14"/>
      <c r="J455" s="14"/>
      <c r="K455" s="12"/>
    </row>
    <row r="456" ht="19.5" customHeight="1">
      <c r="A456" s="12"/>
      <c r="C456" s="12"/>
      <c r="D456" s="13"/>
      <c r="F456" s="14"/>
      <c r="G456" s="14"/>
      <c r="H456" s="14"/>
      <c r="I456" s="14"/>
      <c r="J456" s="14"/>
      <c r="K456" s="12"/>
    </row>
    <row r="457" ht="19.5" customHeight="1">
      <c r="A457" s="12"/>
      <c r="C457" s="12"/>
      <c r="D457" s="13"/>
      <c r="F457" s="14"/>
      <c r="G457" s="14"/>
      <c r="H457" s="14"/>
      <c r="I457" s="14"/>
      <c r="J457" s="14"/>
      <c r="K457" s="12"/>
    </row>
    <row r="458" ht="19.5" customHeight="1">
      <c r="A458" s="12"/>
      <c r="C458" s="12"/>
      <c r="D458" s="13"/>
      <c r="F458" s="14"/>
      <c r="G458" s="14"/>
      <c r="H458" s="14"/>
      <c r="I458" s="14"/>
      <c r="J458" s="14"/>
      <c r="K458" s="12"/>
    </row>
    <row r="459" ht="19.5" customHeight="1">
      <c r="A459" s="12"/>
      <c r="C459" s="12"/>
      <c r="D459" s="13"/>
      <c r="F459" s="14"/>
      <c r="G459" s="14"/>
      <c r="H459" s="14"/>
      <c r="I459" s="14"/>
      <c r="J459" s="14"/>
      <c r="K459" s="12"/>
    </row>
    <row r="460" ht="19.5" customHeight="1">
      <c r="A460" s="12"/>
      <c r="C460" s="12"/>
      <c r="D460" s="13"/>
      <c r="F460" s="14"/>
      <c r="G460" s="14"/>
      <c r="H460" s="14"/>
      <c r="I460" s="14"/>
      <c r="J460" s="14"/>
      <c r="K460" s="12"/>
    </row>
    <row r="461" ht="19.5" customHeight="1">
      <c r="A461" s="12"/>
      <c r="C461" s="12"/>
      <c r="D461" s="13"/>
      <c r="F461" s="14"/>
      <c r="G461" s="14"/>
      <c r="H461" s="14"/>
      <c r="I461" s="14"/>
      <c r="J461" s="14"/>
      <c r="K461" s="12"/>
    </row>
    <row r="462" ht="19.5" customHeight="1">
      <c r="A462" s="12"/>
      <c r="C462" s="12"/>
      <c r="D462" s="13"/>
      <c r="F462" s="14"/>
      <c r="G462" s="14"/>
      <c r="H462" s="14"/>
      <c r="I462" s="14"/>
      <c r="J462" s="14"/>
      <c r="K462" s="12"/>
    </row>
    <row r="463" ht="19.5" customHeight="1">
      <c r="A463" s="12"/>
      <c r="C463" s="12"/>
      <c r="D463" s="13"/>
      <c r="F463" s="14"/>
      <c r="G463" s="14"/>
      <c r="H463" s="14"/>
      <c r="I463" s="14"/>
      <c r="J463" s="14"/>
      <c r="K463" s="12"/>
    </row>
    <row r="464" ht="19.5" customHeight="1">
      <c r="A464" s="12"/>
      <c r="C464" s="12"/>
      <c r="D464" s="13"/>
      <c r="F464" s="14"/>
      <c r="G464" s="14"/>
      <c r="H464" s="14"/>
      <c r="I464" s="14"/>
      <c r="J464" s="14"/>
      <c r="K464" s="12"/>
    </row>
    <row r="465" ht="19.5" customHeight="1">
      <c r="A465" s="12"/>
      <c r="C465" s="12"/>
      <c r="D465" s="13"/>
      <c r="F465" s="14"/>
      <c r="G465" s="14"/>
      <c r="H465" s="14"/>
      <c r="I465" s="14"/>
      <c r="J465" s="14"/>
      <c r="K465" s="12"/>
    </row>
    <row r="466" ht="19.5" customHeight="1">
      <c r="A466" s="12"/>
      <c r="C466" s="12"/>
      <c r="D466" s="13"/>
      <c r="F466" s="14"/>
      <c r="G466" s="14"/>
      <c r="H466" s="14"/>
      <c r="I466" s="14"/>
      <c r="J466" s="14"/>
      <c r="K466" s="12"/>
    </row>
    <row r="467" ht="19.5" customHeight="1">
      <c r="A467" s="12"/>
      <c r="C467" s="12"/>
      <c r="D467" s="13"/>
      <c r="F467" s="14"/>
      <c r="G467" s="14"/>
      <c r="H467" s="14"/>
      <c r="I467" s="14"/>
      <c r="J467" s="14"/>
      <c r="K467" s="12"/>
    </row>
    <row r="468" ht="19.5" customHeight="1">
      <c r="A468" s="12"/>
      <c r="C468" s="12"/>
      <c r="D468" s="13"/>
      <c r="F468" s="14"/>
      <c r="G468" s="14"/>
      <c r="H468" s="14"/>
      <c r="I468" s="14"/>
      <c r="J468" s="14"/>
      <c r="K468" s="12"/>
    </row>
    <row r="469" ht="19.5" customHeight="1">
      <c r="A469" s="12"/>
      <c r="C469" s="12"/>
      <c r="D469" s="13"/>
      <c r="F469" s="14"/>
      <c r="G469" s="14"/>
      <c r="H469" s="14"/>
      <c r="I469" s="14"/>
      <c r="J469" s="14"/>
      <c r="K469" s="12"/>
    </row>
    <row r="470" ht="19.5" customHeight="1">
      <c r="A470" s="12"/>
      <c r="C470" s="12"/>
      <c r="D470" s="13"/>
      <c r="F470" s="14"/>
      <c r="G470" s="14"/>
      <c r="H470" s="14"/>
      <c r="I470" s="14"/>
      <c r="J470" s="14"/>
      <c r="K470" s="12"/>
    </row>
    <row r="471" ht="19.5" customHeight="1">
      <c r="A471" s="12"/>
      <c r="C471" s="12"/>
      <c r="D471" s="13"/>
      <c r="F471" s="14"/>
      <c r="G471" s="14"/>
      <c r="H471" s="14"/>
      <c r="I471" s="14"/>
      <c r="J471" s="14"/>
      <c r="K471" s="12"/>
    </row>
    <row r="472" ht="19.5" customHeight="1">
      <c r="A472" s="12"/>
      <c r="C472" s="12"/>
      <c r="D472" s="13"/>
      <c r="F472" s="14"/>
      <c r="G472" s="14"/>
      <c r="H472" s="14"/>
      <c r="I472" s="14"/>
      <c r="J472" s="14"/>
      <c r="K472" s="12"/>
    </row>
    <row r="473" ht="19.5" customHeight="1">
      <c r="A473" s="12"/>
      <c r="C473" s="12"/>
      <c r="D473" s="13"/>
      <c r="F473" s="14"/>
      <c r="G473" s="14"/>
      <c r="H473" s="14"/>
      <c r="I473" s="14"/>
      <c r="J473" s="14"/>
      <c r="K473" s="12"/>
    </row>
    <row r="474" ht="19.5" customHeight="1">
      <c r="A474" s="12"/>
      <c r="C474" s="12"/>
      <c r="D474" s="13"/>
      <c r="F474" s="14"/>
      <c r="G474" s="14"/>
      <c r="H474" s="14"/>
      <c r="I474" s="14"/>
      <c r="J474" s="14"/>
      <c r="K474" s="12"/>
    </row>
    <row r="475" ht="19.5" customHeight="1">
      <c r="A475" s="12"/>
      <c r="C475" s="12"/>
      <c r="D475" s="13"/>
      <c r="F475" s="14"/>
      <c r="G475" s="14"/>
      <c r="H475" s="14"/>
      <c r="I475" s="14"/>
      <c r="J475" s="14"/>
      <c r="K475" s="12"/>
    </row>
    <row r="476" ht="19.5" customHeight="1">
      <c r="A476" s="12"/>
      <c r="C476" s="12"/>
      <c r="D476" s="13"/>
      <c r="F476" s="14"/>
      <c r="G476" s="14"/>
      <c r="H476" s="14"/>
      <c r="I476" s="14"/>
      <c r="J476" s="14"/>
      <c r="K476" s="12"/>
    </row>
    <row r="477" ht="19.5" customHeight="1">
      <c r="A477" s="12"/>
      <c r="C477" s="12"/>
      <c r="D477" s="13"/>
      <c r="F477" s="14"/>
      <c r="G477" s="14"/>
      <c r="H477" s="14"/>
      <c r="I477" s="14"/>
      <c r="J477" s="14"/>
      <c r="K477" s="12"/>
    </row>
    <row r="478" ht="19.5" customHeight="1">
      <c r="A478" s="12"/>
      <c r="C478" s="12"/>
      <c r="D478" s="13"/>
      <c r="F478" s="14"/>
      <c r="G478" s="14"/>
      <c r="H478" s="14"/>
      <c r="I478" s="14"/>
      <c r="J478" s="14"/>
      <c r="K478" s="12"/>
    </row>
    <row r="479" ht="19.5" customHeight="1">
      <c r="A479" s="12"/>
      <c r="C479" s="12"/>
      <c r="D479" s="13"/>
      <c r="F479" s="14"/>
      <c r="G479" s="14"/>
      <c r="H479" s="14"/>
      <c r="I479" s="14"/>
      <c r="J479" s="14"/>
      <c r="K479" s="12"/>
    </row>
    <row r="480" ht="19.5" customHeight="1">
      <c r="A480" s="12"/>
      <c r="C480" s="12"/>
      <c r="D480" s="13"/>
      <c r="F480" s="14"/>
      <c r="G480" s="14"/>
      <c r="H480" s="14"/>
      <c r="I480" s="14"/>
      <c r="J480" s="14"/>
      <c r="K480" s="12"/>
    </row>
    <row r="481" ht="19.5" customHeight="1">
      <c r="A481" s="12"/>
      <c r="C481" s="12"/>
      <c r="D481" s="13"/>
      <c r="F481" s="14"/>
      <c r="G481" s="14"/>
      <c r="H481" s="14"/>
      <c r="I481" s="14"/>
      <c r="J481" s="14"/>
      <c r="K481" s="12"/>
    </row>
    <row r="482" ht="19.5" customHeight="1">
      <c r="A482" s="12"/>
      <c r="C482" s="12"/>
      <c r="D482" s="13"/>
      <c r="F482" s="14"/>
      <c r="G482" s="14"/>
      <c r="H482" s="14"/>
      <c r="I482" s="14"/>
      <c r="J482" s="14"/>
      <c r="K482" s="12"/>
    </row>
    <row r="483" ht="19.5" customHeight="1">
      <c r="A483" s="12"/>
      <c r="C483" s="12"/>
      <c r="D483" s="13"/>
      <c r="F483" s="14"/>
      <c r="G483" s="14"/>
      <c r="H483" s="14"/>
      <c r="I483" s="14"/>
      <c r="J483" s="14"/>
      <c r="K483" s="12"/>
    </row>
    <row r="484" ht="19.5" customHeight="1">
      <c r="A484" s="12"/>
      <c r="C484" s="12"/>
      <c r="D484" s="13"/>
      <c r="F484" s="14"/>
      <c r="G484" s="14"/>
      <c r="H484" s="14"/>
      <c r="I484" s="14"/>
      <c r="J484" s="14"/>
      <c r="K484" s="12"/>
    </row>
    <row r="485" ht="19.5" customHeight="1">
      <c r="A485" s="12"/>
      <c r="C485" s="12"/>
      <c r="D485" s="13"/>
      <c r="F485" s="14"/>
      <c r="G485" s="14"/>
      <c r="H485" s="14"/>
      <c r="I485" s="14"/>
      <c r="J485" s="14"/>
      <c r="K485" s="12"/>
    </row>
    <row r="486" ht="19.5" customHeight="1">
      <c r="A486" s="12"/>
      <c r="C486" s="12"/>
      <c r="D486" s="13"/>
      <c r="F486" s="14"/>
      <c r="G486" s="14"/>
      <c r="H486" s="14"/>
      <c r="I486" s="14"/>
      <c r="J486" s="14"/>
      <c r="K486" s="12"/>
    </row>
    <row r="487" ht="19.5" customHeight="1">
      <c r="A487" s="12"/>
      <c r="C487" s="12"/>
      <c r="D487" s="13"/>
      <c r="F487" s="14"/>
      <c r="G487" s="14"/>
      <c r="H487" s="14"/>
      <c r="I487" s="14"/>
      <c r="J487" s="14"/>
      <c r="K487" s="12"/>
    </row>
    <row r="488" ht="19.5" customHeight="1">
      <c r="A488" s="12"/>
      <c r="C488" s="12"/>
      <c r="D488" s="13"/>
      <c r="F488" s="14"/>
      <c r="G488" s="14"/>
      <c r="H488" s="14"/>
      <c r="I488" s="14"/>
      <c r="J488" s="14"/>
      <c r="K488" s="12"/>
    </row>
    <row r="489" ht="19.5" customHeight="1">
      <c r="A489" s="12"/>
      <c r="C489" s="12"/>
      <c r="D489" s="13"/>
      <c r="F489" s="14"/>
      <c r="G489" s="14"/>
      <c r="H489" s="14"/>
      <c r="I489" s="14"/>
      <c r="J489" s="14"/>
      <c r="K489" s="12"/>
    </row>
    <row r="490" ht="19.5" customHeight="1">
      <c r="A490" s="12"/>
      <c r="C490" s="12"/>
      <c r="D490" s="13"/>
      <c r="F490" s="14"/>
      <c r="G490" s="14"/>
      <c r="H490" s="14"/>
      <c r="I490" s="14"/>
      <c r="J490" s="14"/>
      <c r="K490" s="12"/>
    </row>
    <row r="491" ht="19.5" customHeight="1">
      <c r="A491" s="12"/>
      <c r="C491" s="12"/>
      <c r="D491" s="13"/>
      <c r="F491" s="14"/>
      <c r="G491" s="14"/>
      <c r="H491" s="14"/>
      <c r="I491" s="14"/>
      <c r="J491" s="14"/>
      <c r="K491" s="12"/>
    </row>
    <row r="492" ht="19.5" customHeight="1">
      <c r="A492" s="12"/>
      <c r="C492" s="12"/>
      <c r="D492" s="13"/>
      <c r="F492" s="14"/>
      <c r="G492" s="14"/>
      <c r="H492" s="14"/>
      <c r="I492" s="14"/>
      <c r="J492" s="14"/>
      <c r="K492" s="12"/>
    </row>
    <row r="493" ht="19.5" customHeight="1">
      <c r="A493" s="12"/>
      <c r="C493" s="12"/>
      <c r="D493" s="13"/>
      <c r="F493" s="14"/>
      <c r="G493" s="14"/>
      <c r="H493" s="14"/>
      <c r="I493" s="14"/>
      <c r="J493" s="14"/>
      <c r="K493" s="12"/>
    </row>
    <row r="494" ht="19.5" customHeight="1">
      <c r="A494" s="12"/>
      <c r="C494" s="12"/>
      <c r="D494" s="13"/>
      <c r="F494" s="14"/>
      <c r="G494" s="14"/>
      <c r="H494" s="14"/>
      <c r="I494" s="14"/>
      <c r="J494" s="14"/>
      <c r="K494" s="12"/>
    </row>
    <row r="495" ht="19.5" customHeight="1">
      <c r="A495" s="12"/>
      <c r="C495" s="12"/>
      <c r="D495" s="13"/>
      <c r="F495" s="14"/>
      <c r="G495" s="14"/>
      <c r="H495" s="14"/>
      <c r="I495" s="14"/>
      <c r="J495" s="14"/>
      <c r="K495" s="12"/>
    </row>
    <row r="496" ht="19.5" customHeight="1">
      <c r="A496" s="12"/>
      <c r="C496" s="12"/>
      <c r="D496" s="13"/>
      <c r="F496" s="14"/>
      <c r="G496" s="14"/>
      <c r="H496" s="14"/>
      <c r="I496" s="14"/>
      <c r="J496" s="14"/>
      <c r="K496" s="12"/>
    </row>
    <row r="497" ht="19.5" customHeight="1">
      <c r="A497" s="12"/>
      <c r="C497" s="12"/>
      <c r="D497" s="13"/>
      <c r="F497" s="14"/>
      <c r="G497" s="14"/>
      <c r="H497" s="14"/>
      <c r="I497" s="14"/>
      <c r="J497" s="14"/>
      <c r="K497" s="12"/>
    </row>
    <row r="498" ht="19.5" customHeight="1">
      <c r="A498" s="12"/>
      <c r="C498" s="12"/>
      <c r="D498" s="13"/>
      <c r="F498" s="14"/>
      <c r="G498" s="14"/>
      <c r="H498" s="14"/>
      <c r="I498" s="14"/>
      <c r="J498" s="14"/>
      <c r="K498" s="12"/>
    </row>
    <row r="499" ht="19.5" customHeight="1">
      <c r="A499" s="12"/>
      <c r="C499" s="12"/>
      <c r="D499" s="13"/>
      <c r="F499" s="14"/>
      <c r="G499" s="14"/>
      <c r="H499" s="14"/>
      <c r="I499" s="14"/>
      <c r="J499" s="14"/>
      <c r="K499" s="12"/>
    </row>
    <row r="500" ht="19.5" customHeight="1">
      <c r="A500" s="12"/>
      <c r="C500" s="12"/>
      <c r="D500" s="13"/>
      <c r="F500" s="14"/>
      <c r="G500" s="14"/>
      <c r="H500" s="14"/>
      <c r="I500" s="14"/>
      <c r="J500" s="14"/>
      <c r="K500" s="12"/>
    </row>
    <row r="501" ht="19.5" customHeight="1">
      <c r="A501" s="12"/>
      <c r="C501" s="12"/>
      <c r="D501" s="13"/>
      <c r="F501" s="14"/>
      <c r="G501" s="14"/>
      <c r="H501" s="14"/>
      <c r="I501" s="14"/>
      <c r="J501" s="14"/>
      <c r="K501" s="12"/>
    </row>
    <row r="502" ht="19.5" customHeight="1">
      <c r="A502" s="12"/>
      <c r="C502" s="12"/>
      <c r="D502" s="13"/>
      <c r="F502" s="14"/>
      <c r="G502" s="14"/>
      <c r="H502" s="14"/>
      <c r="I502" s="14"/>
      <c r="J502" s="14"/>
      <c r="K502" s="12"/>
    </row>
    <row r="503" ht="19.5" customHeight="1">
      <c r="A503" s="12"/>
      <c r="C503" s="12"/>
      <c r="D503" s="13"/>
      <c r="F503" s="14"/>
      <c r="G503" s="14"/>
      <c r="H503" s="14"/>
      <c r="I503" s="14"/>
      <c r="J503" s="14"/>
      <c r="K503" s="12"/>
    </row>
    <row r="504" ht="19.5" customHeight="1">
      <c r="A504" s="12"/>
      <c r="C504" s="12"/>
      <c r="D504" s="13"/>
      <c r="F504" s="14"/>
      <c r="G504" s="14"/>
      <c r="H504" s="14"/>
      <c r="I504" s="14"/>
      <c r="J504" s="14"/>
      <c r="K504" s="12"/>
    </row>
    <row r="505" ht="19.5" customHeight="1">
      <c r="A505" s="12"/>
      <c r="C505" s="12"/>
      <c r="D505" s="13"/>
      <c r="F505" s="14"/>
      <c r="G505" s="14"/>
      <c r="H505" s="14"/>
      <c r="I505" s="14"/>
      <c r="J505" s="14"/>
      <c r="K505" s="12"/>
    </row>
    <row r="506" ht="19.5" customHeight="1">
      <c r="A506" s="12"/>
      <c r="C506" s="12"/>
      <c r="D506" s="13"/>
      <c r="F506" s="14"/>
      <c r="G506" s="14"/>
      <c r="H506" s="14"/>
      <c r="I506" s="14"/>
      <c r="J506" s="14"/>
      <c r="K506" s="12"/>
    </row>
    <row r="507" ht="19.5" customHeight="1">
      <c r="A507" s="12"/>
      <c r="C507" s="12"/>
      <c r="D507" s="13"/>
      <c r="F507" s="14"/>
      <c r="G507" s="14"/>
      <c r="H507" s="14"/>
      <c r="I507" s="14"/>
      <c r="J507" s="14"/>
      <c r="K507" s="12"/>
    </row>
    <row r="508" ht="19.5" customHeight="1">
      <c r="A508" s="12"/>
      <c r="C508" s="12"/>
      <c r="D508" s="13"/>
      <c r="F508" s="14"/>
      <c r="G508" s="14"/>
      <c r="H508" s="14"/>
      <c r="I508" s="14"/>
      <c r="J508" s="14"/>
      <c r="K508" s="12"/>
    </row>
    <row r="509" ht="19.5" customHeight="1">
      <c r="A509" s="12"/>
      <c r="C509" s="12"/>
      <c r="D509" s="13"/>
      <c r="F509" s="14"/>
      <c r="G509" s="14"/>
      <c r="H509" s="14"/>
      <c r="I509" s="14"/>
      <c r="J509" s="14"/>
      <c r="K509" s="12"/>
    </row>
    <row r="510" ht="19.5" customHeight="1">
      <c r="A510" s="12"/>
      <c r="C510" s="12"/>
      <c r="D510" s="13"/>
      <c r="F510" s="14"/>
      <c r="G510" s="14"/>
      <c r="H510" s="14"/>
      <c r="I510" s="14"/>
      <c r="J510" s="14"/>
      <c r="K510" s="12"/>
    </row>
    <row r="511" ht="19.5" customHeight="1">
      <c r="A511" s="12"/>
      <c r="C511" s="12"/>
      <c r="D511" s="13"/>
      <c r="F511" s="14"/>
      <c r="G511" s="14"/>
      <c r="H511" s="14"/>
      <c r="I511" s="14"/>
      <c r="J511" s="14"/>
      <c r="K511" s="12"/>
    </row>
    <row r="512" ht="19.5" customHeight="1">
      <c r="A512" s="12"/>
      <c r="C512" s="12"/>
      <c r="D512" s="13"/>
      <c r="F512" s="14"/>
      <c r="G512" s="14"/>
      <c r="H512" s="14"/>
      <c r="I512" s="14"/>
      <c r="J512" s="14"/>
      <c r="K512" s="12"/>
    </row>
    <row r="513" ht="19.5" customHeight="1">
      <c r="A513" s="12"/>
      <c r="C513" s="12"/>
      <c r="D513" s="13"/>
      <c r="F513" s="14"/>
      <c r="G513" s="14"/>
      <c r="H513" s="14"/>
      <c r="I513" s="14"/>
      <c r="J513" s="14"/>
      <c r="K513" s="12"/>
    </row>
    <row r="514" ht="19.5" customHeight="1">
      <c r="A514" s="12"/>
      <c r="C514" s="12"/>
      <c r="D514" s="13"/>
      <c r="F514" s="14"/>
      <c r="G514" s="14"/>
      <c r="H514" s="14"/>
      <c r="I514" s="14"/>
      <c r="J514" s="14"/>
      <c r="K514" s="12"/>
    </row>
    <row r="515" ht="19.5" customHeight="1">
      <c r="A515" s="12"/>
      <c r="C515" s="12"/>
      <c r="D515" s="13"/>
      <c r="F515" s="14"/>
      <c r="G515" s="14"/>
      <c r="H515" s="14"/>
      <c r="I515" s="14"/>
      <c r="J515" s="14"/>
      <c r="K515" s="12"/>
    </row>
    <row r="516" ht="19.5" customHeight="1">
      <c r="A516" s="12"/>
      <c r="C516" s="12"/>
      <c r="D516" s="13"/>
      <c r="F516" s="14"/>
      <c r="G516" s="14"/>
      <c r="H516" s="14"/>
      <c r="I516" s="14"/>
      <c r="J516" s="14"/>
      <c r="K516" s="12"/>
    </row>
    <row r="517" ht="19.5" customHeight="1">
      <c r="A517" s="12"/>
      <c r="C517" s="12"/>
      <c r="D517" s="13"/>
      <c r="F517" s="14"/>
      <c r="G517" s="14"/>
      <c r="H517" s="14"/>
      <c r="I517" s="14"/>
      <c r="J517" s="14"/>
      <c r="K517" s="12"/>
    </row>
    <row r="518" ht="19.5" customHeight="1">
      <c r="A518" s="12"/>
      <c r="C518" s="12"/>
      <c r="D518" s="13"/>
      <c r="F518" s="14"/>
      <c r="G518" s="14"/>
      <c r="H518" s="14"/>
      <c r="I518" s="14"/>
      <c r="J518" s="14"/>
      <c r="K518" s="12"/>
    </row>
    <row r="519" ht="19.5" customHeight="1">
      <c r="A519" s="12"/>
      <c r="C519" s="12"/>
      <c r="D519" s="13"/>
      <c r="F519" s="14"/>
      <c r="G519" s="14"/>
      <c r="H519" s="14"/>
      <c r="I519" s="14"/>
      <c r="J519" s="14"/>
      <c r="K519" s="12"/>
    </row>
    <row r="520" ht="19.5" customHeight="1">
      <c r="A520" s="12"/>
      <c r="C520" s="12"/>
      <c r="D520" s="13"/>
      <c r="F520" s="14"/>
      <c r="G520" s="14"/>
      <c r="H520" s="14"/>
      <c r="I520" s="14"/>
      <c r="J520" s="14"/>
      <c r="K520" s="12"/>
    </row>
    <row r="521" ht="19.5" customHeight="1">
      <c r="A521" s="12"/>
      <c r="C521" s="12"/>
      <c r="D521" s="13"/>
      <c r="F521" s="14"/>
      <c r="G521" s="14"/>
      <c r="H521" s="14"/>
      <c r="I521" s="14"/>
      <c r="J521" s="14"/>
      <c r="K521" s="12"/>
    </row>
    <row r="522" ht="19.5" customHeight="1">
      <c r="A522" s="12"/>
      <c r="C522" s="12"/>
      <c r="D522" s="13"/>
      <c r="F522" s="14"/>
      <c r="G522" s="14"/>
      <c r="H522" s="14"/>
      <c r="I522" s="14"/>
      <c r="J522" s="14"/>
      <c r="K522" s="12"/>
    </row>
    <row r="523" ht="19.5" customHeight="1">
      <c r="A523" s="12"/>
      <c r="C523" s="12"/>
      <c r="D523" s="13"/>
      <c r="F523" s="14"/>
      <c r="G523" s="14"/>
      <c r="H523" s="14"/>
      <c r="I523" s="14"/>
      <c r="J523" s="14"/>
      <c r="K523" s="12"/>
    </row>
    <row r="524" ht="19.5" customHeight="1">
      <c r="A524" s="12"/>
      <c r="C524" s="12"/>
      <c r="D524" s="13"/>
      <c r="F524" s="14"/>
      <c r="G524" s="14"/>
      <c r="H524" s="14"/>
      <c r="I524" s="14"/>
      <c r="J524" s="14"/>
      <c r="K524" s="12"/>
    </row>
    <row r="525" ht="19.5" customHeight="1">
      <c r="A525" s="12"/>
      <c r="C525" s="12"/>
      <c r="D525" s="13"/>
      <c r="F525" s="14"/>
      <c r="G525" s="14"/>
      <c r="H525" s="14"/>
      <c r="I525" s="14"/>
      <c r="J525" s="14"/>
      <c r="K525" s="12"/>
    </row>
    <row r="526" ht="19.5" customHeight="1">
      <c r="A526" s="12"/>
      <c r="C526" s="12"/>
      <c r="D526" s="13"/>
      <c r="F526" s="14"/>
      <c r="G526" s="14"/>
      <c r="H526" s="14"/>
      <c r="I526" s="14"/>
      <c r="J526" s="14"/>
      <c r="K526" s="12"/>
    </row>
    <row r="527" ht="19.5" customHeight="1">
      <c r="A527" s="12"/>
      <c r="C527" s="12"/>
      <c r="D527" s="13"/>
      <c r="F527" s="14"/>
      <c r="G527" s="14"/>
      <c r="H527" s="14"/>
      <c r="I527" s="14"/>
      <c r="J527" s="14"/>
      <c r="K527" s="12"/>
    </row>
    <row r="528" ht="19.5" customHeight="1">
      <c r="A528" s="12"/>
      <c r="C528" s="12"/>
      <c r="D528" s="13"/>
      <c r="F528" s="14"/>
      <c r="G528" s="14"/>
      <c r="H528" s="14"/>
      <c r="I528" s="14"/>
      <c r="J528" s="14"/>
      <c r="K528" s="12"/>
    </row>
    <row r="529" ht="19.5" customHeight="1">
      <c r="A529" s="12"/>
      <c r="C529" s="12"/>
      <c r="D529" s="13"/>
      <c r="F529" s="14"/>
      <c r="G529" s="14"/>
      <c r="H529" s="14"/>
      <c r="I529" s="14"/>
      <c r="J529" s="14"/>
      <c r="K529" s="12"/>
    </row>
    <row r="530" ht="19.5" customHeight="1">
      <c r="A530" s="12"/>
      <c r="C530" s="12"/>
      <c r="D530" s="13"/>
      <c r="F530" s="14"/>
      <c r="G530" s="14"/>
      <c r="H530" s="14"/>
      <c r="I530" s="14"/>
      <c r="J530" s="14"/>
      <c r="K530" s="12"/>
    </row>
    <row r="531" ht="19.5" customHeight="1">
      <c r="A531" s="12"/>
      <c r="C531" s="12"/>
      <c r="D531" s="13"/>
      <c r="F531" s="14"/>
      <c r="G531" s="14"/>
      <c r="H531" s="14"/>
      <c r="I531" s="14"/>
      <c r="J531" s="14"/>
      <c r="K531" s="12"/>
    </row>
    <row r="532" ht="19.5" customHeight="1">
      <c r="A532" s="12"/>
      <c r="C532" s="12"/>
      <c r="D532" s="13"/>
      <c r="F532" s="14"/>
      <c r="G532" s="14"/>
      <c r="H532" s="14"/>
      <c r="I532" s="14"/>
      <c r="J532" s="14"/>
      <c r="K532" s="12"/>
    </row>
    <row r="533" ht="19.5" customHeight="1">
      <c r="A533" s="12"/>
      <c r="C533" s="12"/>
      <c r="D533" s="13"/>
      <c r="F533" s="14"/>
      <c r="G533" s="14"/>
      <c r="H533" s="14"/>
      <c r="I533" s="14"/>
      <c r="J533" s="14"/>
      <c r="K533" s="12"/>
    </row>
    <row r="534" ht="19.5" customHeight="1">
      <c r="A534" s="12"/>
      <c r="C534" s="12"/>
      <c r="D534" s="13"/>
      <c r="F534" s="14"/>
      <c r="G534" s="14"/>
      <c r="H534" s="14"/>
      <c r="I534" s="14"/>
      <c r="J534" s="14"/>
      <c r="K534" s="12"/>
    </row>
    <row r="535" ht="19.5" customHeight="1">
      <c r="A535" s="12"/>
      <c r="C535" s="12"/>
      <c r="D535" s="13"/>
      <c r="F535" s="14"/>
      <c r="G535" s="14"/>
      <c r="H535" s="14"/>
      <c r="I535" s="14"/>
      <c r="J535" s="14"/>
      <c r="K535" s="12"/>
    </row>
    <row r="536" ht="19.5" customHeight="1">
      <c r="A536" s="12"/>
      <c r="C536" s="12"/>
      <c r="D536" s="13"/>
      <c r="F536" s="14"/>
      <c r="G536" s="14"/>
      <c r="H536" s="14"/>
      <c r="I536" s="14"/>
      <c r="J536" s="14"/>
      <c r="K536" s="12"/>
    </row>
    <row r="537" ht="19.5" customHeight="1">
      <c r="A537" s="12"/>
      <c r="C537" s="12"/>
      <c r="D537" s="13"/>
      <c r="F537" s="14"/>
      <c r="G537" s="14"/>
      <c r="H537" s="14"/>
      <c r="I537" s="14"/>
      <c r="J537" s="14"/>
      <c r="K537" s="12"/>
    </row>
    <row r="538" ht="19.5" customHeight="1">
      <c r="A538" s="12"/>
      <c r="C538" s="12"/>
      <c r="D538" s="13"/>
      <c r="F538" s="14"/>
      <c r="G538" s="14"/>
      <c r="H538" s="14"/>
      <c r="I538" s="14"/>
      <c r="J538" s="14"/>
      <c r="K538" s="12"/>
    </row>
    <row r="539" ht="19.5" customHeight="1">
      <c r="A539" s="12"/>
      <c r="C539" s="12"/>
      <c r="D539" s="13"/>
      <c r="F539" s="14"/>
      <c r="G539" s="14"/>
      <c r="H539" s="14"/>
      <c r="I539" s="14"/>
      <c r="J539" s="14"/>
      <c r="K539" s="12"/>
    </row>
    <row r="540" ht="19.5" customHeight="1">
      <c r="A540" s="12"/>
      <c r="C540" s="12"/>
      <c r="D540" s="13"/>
      <c r="F540" s="14"/>
      <c r="G540" s="14"/>
      <c r="H540" s="14"/>
      <c r="I540" s="14"/>
      <c r="J540" s="14"/>
      <c r="K540" s="12"/>
    </row>
    <row r="541" ht="19.5" customHeight="1">
      <c r="A541" s="12"/>
      <c r="C541" s="12"/>
      <c r="D541" s="13"/>
      <c r="F541" s="14"/>
      <c r="G541" s="14"/>
      <c r="H541" s="14"/>
      <c r="I541" s="14"/>
      <c r="J541" s="14"/>
      <c r="K541" s="12"/>
    </row>
    <row r="542" ht="19.5" customHeight="1">
      <c r="A542" s="12"/>
      <c r="C542" s="12"/>
      <c r="D542" s="13"/>
      <c r="F542" s="14"/>
      <c r="G542" s="14"/>
      <c r="H542" s="14"/>
      <c r="I542" s="14"/>
      <c r="J542" s="14"/>
      <c r="K542" s="12"/>
    </row>
    <row r="543" ht="19.5" customHeight="1">
      <c r="A543" s="12"/>
      <c r="C543" s="12"/>
      <c r="D543" s="13"/>
      <c r="F543" s="14"/>
      <c r="G543" s="14"/>
      <c r="H543" s="14"/>
      <c r="I543" s="14"/>
      <c r="J543" s="14"/>
      <c r="K543" s="12"/>
    </row>
    <row r="544" ht="19.5" customHeight="1">
      <c r="A544" s="12"/>
      <c r="C544" s="12"/>
      <c r="D544" s="13"/>
      <c r="F544" s="14"/>
      <c r="G544" s="14"/>
      <c r="H544" s="14"/>
      <c r="I544" s="14"/>
      <c r="J544" s="14"/>
      <c r="K544" s="12"/>
    </row>
    <row r="545" ht="19.5" customHeight="1">
      <c r="A545" s="12"/>
      <c r="C545" s="12"/>
      <c r="D545" s="13"/>
      <c r="F545" s="14"/>
      <c r="G545" s="14"/>
      <c r="H545" s="14"/>
      <c r="I545" s="14"/>
      <c r="J545" s="14"/>
      <c r="K545" s="12"/>
    </row>
    <row r="546" ht="19.5" customHeight="1">
      <c r="A546" s="12"/>
      <c r="C546" s="12"/>
      <c r="D546" s="13"/>
      <c r="F546" s="14"/>
      <c r="G546" s="14"/>
      <c r="H546" s="14"/>
      <c r="I546" s="14"/>
      <c r="J546" s="14"/>
      <c r="K546" s="12"/>
    </row>
    <row r="547" ht="19.5" customHeight="1">
      <c r="A547" s="12"/>
      <c r="C547" s="12"/>
      <c r="D547" s="13"/>
      <c r="F547" s="14"/>
      <c r="G547" s="14"/>
      <c r="H547" s="14"/>
      <c r="I547" s="14"/>
      <c r="J547" s="14"/>
      <c r="K547" s="12"/>
    </row>
    <row r="548" ht="19.5" customHeight="1">
      <c r="A548" s="12"/>
      <c r="C548" s="12"/>
      <c r="D548" s="13"/>
      <c r="F548" s="14"/>
      <c r="G548" s="14"/>
      <c r="H548" s="14"/>
      <c r="I548" s="14"/>
      <c r="J548" s="14"/>
      <c r="K548" s="12"/>
    </row>
    <row r="549" ht="19.5" customHeight="1">
      <c r="A549" s="12"/>
      <c r="C549" s="12"/>
      <c r="D549" s="13"/>
      <c r="F549" s="14"/>
      <c r="G549" s="14"/>
      <c r="H549" s="14"/>
      <c r="I549" s="14"/>
      <c r="J549" s="14"/>
      <c r="K549" s="12"/>
    </row>
    <row r="550" ht="19.5" customHeight="1">
      <c r="A550" s="12"/>
      <c r="C550" s="12"/>
      <c r="D550" s="13"/>
      <c r="F550" s="14"/>
      <c r="G550" s="14"/>
      <c r="H550" s="14"/>
      <c r="I550" s="14"/>
      <c r="J550" s="14"/>
      <c r="K550" s="12"/>
    </row>
    <row r="551" ht="19.5" customHeight="1">
      <c r="A551" s="12"/>
      <c r="C551" s="12"/>
      <c r="D551" s="13"/>
      <c r="F551" s="14"/>
      <c r="G551" s="14"/>
      <c r="H551" s="14"/>
      <c r="I551" s="14"/>
      <c r="J551" s="14"/>
      <c r="K551" s="12"/>
    </row>
    <row r="552" ht="19.5" customHeight="1">
      <c r="A552" s="12"/>
      <c r="C552" s="12"/>
      <c r="D552" s="13"/>
      <c r="F552" s="14"/>
      <c r="G552" s="14"/>
      <c r="H552" s="14"/>
      <c r="I552" s="14"/>
      <c r="J552" s="14"/>
      <c r="K552" s="12"/>
    </row>
    <row r="553" ht="19.5" customHeight="1">
      <c r="A553" s="12"/>
      <c r="C553" s="12"/>
      <c r="D553" s="13"/>
      <c r="F553" s="14"/>
      <c r="G553" s="14"/>
      <c r="H553" s="14"/>
      <c r="I553" s="14"/>
      <c r="J553" s="14"/>
      <c r="K553" s="12"/>
    </row>
    <row r="554" ht="19.5" customHeight="1">
      <c r="A554" s="12"/>
      <c r="C554" s="12"/>
      <c r="D554" s="13"/>
      <c r="F554" s="14"/>
      <c r="G554" s="14"/>
      <c r="H554" s="14"/>
      <c r="I554" s="14"/>
      <c r="J554" s="14"/>
      <c r="K554" s="12"/>
    </row>
    <row r="555" ht="19.5" customHeight="1">
      <c r="A555" s="12"/>
      <c r="C555" s="12"/>
      <c r="D555" s="13"/>
      <c r="F555" s="14"/>
      <c r="G555" s="14"/>
      <c r="H555" s="14"/>
      <c r="I555" s="14"/>
      <c r="J555" s="14"/>
      <c r="K555" s="12"/>
    </row>
    <row r="556" ht="19.5" customHeight="1">
      <c r="A556" s="12"/>
      <c r="C556" s="12"/>
      <c r="D556" s="13"/>
      <c r="F556" s="14"/>
      <c r="G556" s="14"/>
      <c r="H556" s="14"/>
      <c r="I556" s="14"/>
      <c r="J556" s="14"/>
      <c r="K556" s="12"/>
    </row>
    <row r="557" ht="19.5" customHeight="1">
      <c r="A557" s="12"/>
      <c r="C557" s="12"/>
      <c r="D557" s="13"/>
      <c r="F557" s="14"/>
      <c r="G557" s="14"/>
      <c r="H557" s="14"/>
      <c r="I557" s="14"/>
      <c r="J557" s="14"/>
      <c r="K557" s="12"/>
    </row>
    <row r="558" ht="19.5" customHeight="1">
      <c r="A558" s="12"/>
      <c r="C558" s="12"/>
      <c r="D558" s="13"/>
      <c r="F558" s="14"/>
      <c r="G558" s="14"/>
      <c r="H558" s="14"/>
      <c r="I558" s="14"/>
      <c r="J558" s="14"/>
      <c r="K558" s="12"/>
    </row>
    <row r="559" ht="19.5" customHeight="1">
      <c r="A559" s="12"/>
      <c r="C559" s="12"/>
      <c r="D559" s="13"/>
      <c r="F559" s="14"/>
      <c r="G559" s="14"/>
      <c r="H559" s="14"/>
      <c r="I559" s="14"/>
      <c r="J559" s="14"/>
      <c r="K559" s="12"/>
    </row>
    <row r="560" ht="19.5" customHeight="1">
      <c r="A560" s="12"/>
      <c r="C560" s="12"/>
      <c r="D560" s="13"/>
      <c r="F560" s="14"/>
      <c r="G560" s="14"/>
      <c r="H560" s="14"/>
      <c r="I560" s="14"/>
      <c r="J560" s="14"/>
      <c r="K560" s="12"/>
    </row>
    <row r="561" ht="19.5" customHeight="1">
      <c r="A561" s="12"/>
      <c r="C561" s="12"/>
      <c r="D561" s="13"/>
      <c r="F561" s="14"/>
      <c r="G561" s="14"/>
      <c r="H561" s="14"/>
      <c r="I561" s="14"/>
      <c r="J561" s="14"/>
      <c r="K561" s="12"/>
    </row>
    <row r="562" ht="19.5" customHeight="1">
      <c r="A562" s="12"/>
      <c r="C562" s="12"/>
      <c r="D562" s="13"/>
      <c r="F562" s="14"/>
      <c r="G562" s="14"/>
      <c r="H562" s="14"/>
      <c r="I562" s="14"/>
      <c r="J562" s="14"/>
      <c r="K562" s="12"/>
    </row>
    <row r="563" ht="19.5" customHeight="1">
      <c r="A563" s="12"/>
      <c r="C563" s="12"/>
      <c r="D563" s="13"/>
      <c r="F563" s="14"/>
      <c r="G563" s="14"/>
      <c r="H563" s="14"/>
      <c r="I563" s="14"/>
      <c r="J563" s="14"/>
      <c r="K563" s="12"/>
    </row>
    <row r="564" ht="19.5" customHeight="1">
      <c r="A564" s="12"/>
      <c r="C564" s="12"/>
      <c r="D564" s="13"/>
      <c r="F564" s="14"/>
      <c r="G564" s="14"/>
      <c r="H564" s="14"/>
      <c r="I564" s="14"/>
      <c r="J564" s="14"/>
      <c r="K564" s="12"/>
    </row>
    <row r="565" ht="19.5" customHeight="1">
      <c r="A565" s="12"/>
      <c r="C565" s="12"/>
      <c r="D565" s="13"/>
      <c r="F565" s="14"/>
      <c r="G565" s="14"/>
      <c r="H565" s="14"/>
      <c r="I565" s="14"/>
      <c r="J565" s="14"/>
      <c r="K565" s="12"/>
    </row>
    <row r="566" ht="19.5" customHeight="1">
      <c r="A566" s="12"/>
      <c r="C566" s="12"/>
      <c r="D566" s="13"/>
      <c r="F566" s="14"/>
      <c r="G566" s="14"/>
      <c r="H566" s="14"/>
      <c r="I566" s="14"/>
      <c r="J566" s="14"/>
      <c r="K566" s="12"/>
    </row>
    <row r="567" ht="19.5" customHeight="1">
      <c r="A567" s="12"/>
      <c r="C567" s="12"/>
      <c r="D567" s="13"/>
      <c r="F567" s="14"/>
      <c r="G567" s="14"/>
      <c r="H567" s="14"/>
      <c r="I567" s="14"/>
      <c r="J567" s="14"/>
      <c r="K567" s="12"/>
    </row>
    <row r="568" ht="19.5" customHeight="1">
      <c r="A568" s="12"/>
      <c r="C568" s="12"/>
      <c r="D568" s="13"/>
      <c r="F568" s="14"/>
      <c r="G568" s="14"/>
      <c r="H568" s="14"/>
      <c r="I568" s="14"/>
      <c r="J568" s="14"/>
      <c r="K568" s="12"/>
    </row>
    <row r="569" ht="19.5" customHeight="1">
      <c r="A569" s="12"/>
      <c r="C569" s="12"/>
      <c r="D569" s="13"/>
      <c r="F569" s="14"/>
      <c r="G569" s="14"/>
      <c r="H569" s="14"/>
      <c r="I569" s="14"/>
      <c r="J569" s="14"/>
      <c r="K569" s="12"/>
    </row>
    <row r="570" ht="19.5" customHeight="1">
      <c r="A570" s="12"/>
      <c r="C570" s="12"/>
      <c r="D570" s="13"/>
      <c r="F570" s="14"/>
      <c r="G570" s="14"/>
      <c r="H570" s="14"/>
      <c r="I570" s="14"/>
      <c r="J570" s="14"/>
      <c r="K570" s="12"/>
    </row>
    <row r="571" ht="19.5" customHeight="1">
      <c r="A571" s="12"/>
      <c r="C571" s="12"/>
      <c r="D571" s="13"/>
      <c r="F571" s="14"/>
      <c r="G571" s="14"/>
      <c r="H571" s="14"/>
      <c r="I571" s="14"/>
      <c r="J571" s="14"/>
      <c r="K571" s="12"/>
    </row>
    <row r="572" ht="19.5" customHeight="1">
      <c r="A572" s="12"/>
      <c r="C572" s="12"/>
      <c r="D572" s="13"/>
      <c r="F572" s="14"/>
      <c r="G572" s="14"/>
      <c r="H572" s="14"/>
      <c r="I572" s="14"/>
      <c r="J572" s="14"/>
      <c r="K572" s="12"/>
    </row>
    <row r="573" ht="19.5" customHeight="1">
      <c r="A573" s="12"/>
      <c r="C573" s="12"/>
      <c r="D573" s="13"/>
      <c r="F573" s="14"/>
      <c r="G573" s="14"/>
      <c r="H573" s="14"/>
      <c r="I573" s="14"/>
      <c r="J573" s="14"/>
      <c r="K573" s="12"/>
    </row>
    <row r="574" ht="19.5" customHeight="1">
      <c r="A574" s="12"/>
      <c r="C574" s="12"/>
      <c r="D574" s="13"/>
      <c r="F574" s="14"/>
      <c r="G574" s="14"/>
      <c r="H574" s="14"/>
      <c r="I574" s="14"/>
      <c r="J574" s="14"/>
      <c r="K574" s="12"/>
    </row>
    <row r="575" ht="19.5" customHeight="1">
      <c r="A575" s="12"/>
      <c r="C575" s="12"/>
      <c r="D575" s="13"/>
      <c r="F575" s="14"/>
      <c r="G575" s="14"/>
      <c r="H575" s="14"/>
      <c r="I575" s="14"/>
      <c r="J575" s="14"/>
      <c r="K575" s="12"/>
    </row>
    <row r="576" ht="19.5" customHeight="1">
      <c r="A576" s="12"/>
      <c r="C576" s="12"/>
      <c r="D576" s="13"/>
      <c r="F576" s="14"/>
      <c r="G576" s="14"/>
      <c r="H576" s="14"/>
      <c r="I576" s="14"/>
      <c r="J576" s="14"/>
      <c r="K576" s="12"/>
    </row>
    <row r="577" ht="19.5" customHeight="1">
      <c r="A577" s="12"/>
      <c r="C577" s="12"/>
      <c r="D577" s="13"/>
      <c r="F577" s="14"/>
      <c r="G577" s="14"/>
      <c r="H577" s="14"/>
      <c r="I577" s="14"/>
      <c r="J577" s="14"/>
      <c r="K577" s="12"/>
    </row>
    <row r="578" ht="19.5" customHeight="1">
      <c r="A578" s="12"/>
      <c r="C578" s="12"/>
      <c r="D578" s="13"/>
      <c r="F578" s="14"/>
      <c r="G578" s="14"/>
      <c r="H578" s="14"/>
      <c r="I578" s="14"/>
      <c r="J578" s="14"/>
      <c r="K578" s="12"/>
    </row>
    <row r="579" ht="19.5" customHeight="1">
      <c r="A579" s="12"/>
      <c r="C579" s="12"/>
      <c r="D579" s="13"/>
      <c r="F579" s="14"/>
      <c r="G579" s="14"/>
      <c r="H579" s="14"/>
      <c r="I579" s="14"/>
      <c r="J579" s="14"/>
      <c r="K579" s="12"/>
    </row>
    <row r="580" ht="19.5" customHeight="1">
      <c r="A580" s="12"/>
      <c r="C580" s="12"/>
      <c r="D580" s="13"/>
      <c r="F580" s="14"/>
      <c r="G580" s="14"/>
      <c r="H580" s="14"/>
      <c r="I580" s="14"/>
      <c r="J580" s="14"/>
      <c r="K580" s="12"/>
    </row>
    <row r="581" ht="19.5" customHeight="1">
      <c r="A581" s="12"/>
      <c r="C581" s="12"/>
      <c r="D581" s="13"/>
      <c r="F581" s="14"/>
      <c r="G581" s="14"/>
      <c r="H581" s="14"/>
      <c r="I581" s="14"/>
      <c r="J581" s="14"/>
      <c r="K581" s="12"/>
    </row>
    <row r="582" ht="19.5" customHeight="1">
      <c r="A582" s="12"/>
      <c r="C582" s="12"/>
      <c r="D582" s="13"/>
      <c r="F582" s="14"/>
      <c r="G582" s="14"/>
      <c r="H582" s="14"/>
      <c r="I582" s="14"/>
      <c r="J582" s="14"/>
      <c r="K582" s="12"/>
    </row>
    <row r="583" ht="19.5" customHeight="1">
      <c r="A583" s="12"/>
      <c r="C583" s="12"/>
      <c r="D583" s="13"/>
      <c r="F583" s="14"/>
      <c r="G583" s="14"/>
      <c r="H583" s="14"/>
      <c r="I583" s="14"/>
      <c r="J583" s="14"/>
      <c r="K583" s="12"/>
    </row>
    <row r="584" ht="19.5" customHeight="1">
      <c r="A584" s="12"/>
      <c r="C584" s="12"/>
      <c r="D584" s="13"/>
      <c r="F584" s="14"/>
      <c r="G584" s="14"/>
      <c r="H584" s="14"/>
      <c r="I584" s="14"/>
      <c r="J584" s="14"/>
      <c r="K584" s="12"/>
    </row>
    <row r="585" ht="19.5" customHeight="1">
      <c r="A585" s="12"/>
      <c r="C585" s="12"/>
      <c r="D585" s="13"/>
      <c r="F585" s="14"/>
      <c r="G585" s="14"/>
      <c r="H585" s="14"/>
      <c r="I585" s="14"/>
      <c r="J585" s="14"/>
      <c r="K585" s="12"/>
    </row>
    <row r="586" ht="19.5" customHeight="1">
      <c r="A586" s="12"/>
      <c r="C586" s="12"/>
      <c r="D586" s="13"/>
      <c r="F586" s="14"/>
      <c r="G586" s="14"/>
      <c r="H586" s="14"/>
      <c r="I586" s="14"/>
      <c r="J586" s="14"/>
      <c r="K586" s="12"/>
    </row>
    <row r="587" ht="19.5" customHeight="1">
      <c r="A587" s="12"/>
      <c r="C587" s="12"/>
      <c r="D587" s="13"/>
      <c r="F587" s="14"/>
      <c r="G587" s="14"/>
      <c r="H587" s="14"/>
      <c r="I587" s="14"/>
      <c r="J587" s="14"/>
      <c r="K587" s="12"/>
    </row>
    <row r="588" ht="19.5" customHeight="1">
      <c r="A588" s="12"/>
      <c r="C588" s="12"/>
      <c r="D588" s="13"/>
      <c r="F588" s="14"/>
      <c r="G588" s="14"/>
      <c r="H588" s="14"/>
      <c r="I588" s="14"/>
      <c r="J588" s="14"/>
      <c r="K588" s="12"/>
    </row>
    <row r="589" ht="19.5" customHeight="1">
      <c r="A589" s="12"/>
      <c r="C589" s="12"/>
      <c r="D589" s="13"/>
      <c r="F589" s="14"/>
      <c r="G589" s="14"/>
      <c r="H589" s="14"/>
      <c r="I589" s="14"/>
      <c r="J589" s="14"/>
      <c r="K589" s="12"/>
    </row>
    <row r="590" ht="19.5" customHeight="1">
      <c r="A590" s="12"/>
      <c r="C590" s="12"/>
      <c r="D590" s="13"/>
      <c r="F590" s="14"/>
      <c r="G590" s="14"/>
      <c r="H590" s="14"/>
      <c r="I590" s="14"/>
      <c r="J590" s="14"/>
      <c r="K590" s="12"/>
    </row>
    <row r="591" ht="19.5" customHeight="1">
      <c r="A591" s="12"/>
      <c r="C591" s="12"/>
      <c r="D591" s="13"/>
      <c r="F591" s="14"/>
      <c r="G591" s="14"/>
      <c r="H591" s="14"/>
      <c r="I591" s="14"/>
      <c r="J591" s="14"/>
      <c r="K591" s="12"/>
    </row>
    <row r="592" ht="19.5" customHeight="1">
      <c r="A592" s="12"/>
      <c r="C592" s="12"/>
      <c r="D592" s="13"/>
      <c r="F592" s="14"/>
      <c r="G592" s="14"/>
      <c r="H592" s="14"/>
      <c r="I592" s="14"/>
      <c r="J592" s="14"/>
      <c r="K592" s="12"/>
    </row>
    <row r="593" ht="19.5" customHeight="1">
      <c r="A593" s="12"/>
      <c r="C593" s="12"/>
      <c r="D593" s="13"/>
      <c r="F593" s="14"/>
      <c r="G593" s="14"/>
      <c r="H593" s="14"/>
      <c r="I593" s="14"/>
      <c r="J593" s="14"/>
      <c r="K593" s="12"/>
    </row>
    <row r="594" ht="19.5" customHeight="1">
      <c r="A594" s="12"/>
      <c r="C594" s="12"/>
      <c r="D594" s="13"/>
      <c r="F594" s="14"/>
      <c r="G594" s="14"/>
      <c r="H594" s="14"/>
      <c r="I594" s="14"/>
      <c r="J594" s="14"/>
      <c r="K594" s="12"/>
    </row>
    <row r="595" ht="19.5" customHeight="1">
      <c r="A595" s="12"/>
      <c r="C595" s="12"/>
      <c r="D595" s="13"/>
      <c r="F595" s="14"/>
      <c r="G595" s="14"/>
      <c r="H595" s="14"/>
      <c r="I595" s="14"/>
      <c r="J595" s="14"/>
      <c r="K595" s="12"/>
    </row>
    <row r="596" ht="19.5" customHeight="1">
      <c r="A596" s="12"/>
      <c r="C596" s="12"/>
      <c r="D596" s="13"/>
      <c r="F596" s="14"/>
      <c r="G596" s="14"/>
      <c r="H596" s="14"/>
      <c r="I596" s="14"/>
      <c r="J596" s="14"/>
      <c r="K596" s="12"/>
    </row>
    <row r="597" ht="19.5" customHeight="1">
      <c r="A597" s="12"/>
      <c r="C597" s="12"/>
      <c r="D597" s="13"/>
      <c r="F597" s="14"/>
      <c r="G597" s="14"/>
      <c r="H597" s="14"/>
      <c r="I597" s="14"/>
      <c r="J597" s="14"/>
      <c r="K597" s="12"/>
    </row>
    <row r="598" ht="19.5" customHeight="1">
      <c r="A598" s="12"/>
      <c r="C598" s="12"/>
      <c r="D598" s="13"/>
      <c r="F598" s="14"/>
      <c r="G598" s="14"/>
      <c r="H598" s="14"/>
      <c r="I598" s="14"/>
      <c r="J598" s="14"/>
      <c r="K598" s="12"/>
    </row>
    <row r="599" ht="19.5" customHeight="1">
      <c r="A599" s="12"/>
      <c r="C599" s="12"/>
      <c r="D599" s="13"/>
      <c r="F599" s="14"/>
      <c r="G599" s="14"/>
      <c r="H599" s="14"/>
      <c r="I599" s="14"/>
      <c r="J599" s="14"/>
      <c r="K599" s="12"/>
    </row>
    <row r="600" ht="19.5" customHeight="1">
      <c r="A600" s="12"/>
      <c r="C600" s="12"/>
      <c r="D600" s="13"/>
      <c r="F600" s="14"/>
      <c r="G600" s="14"/>
      <c r="H600" s="14"/>
      <c r="I600" s="14"/>
      <c r="J600" s="14"/>
      <c r="K600" s="12"/>
    </row>
    <row r="601" ht="19.5" customHeight="1">
      <c r="A601" s="12"/>
      <c r="C601" s="12"/>
      <c r="D601" s="13"/>
      <c r="F601" s="14"/>
      <c r="G601" s="14"/>
      <c r="H601" s="14"/>
      <c r="I601" s="14"/>
      <c r="J601" s="14"/>
      <c r="K601" s="12"/>
    </row>
    <row r="602" ht="19.5" customHeight="1">
      <c r="A602" s="12"/>
      <c r="C602" s="12"/>
      <c r="D602" s="13"/>
      <c r="F602" s="14"/>
      <c r="G602" s="14"/>
      <c r="H602" s="14"/>
      <c r="I602" s="14"/>
      <c r="J602" s="14"/>
      <c r="K602" s="12"/>
    </row>
    <row r="603" ht="19.5" customHeight="1">
      <c r="A603" s="12"/>
      <c r="C603" s="12"/>
      <c r="D603" s="13"/>
      <c r="F603" s="14"/>
      <c r="G603" s="14"/>
      <c r="H603" s="14"/>
      <c r="I603" s="14"/>
      <c r="J603" s="14"/>
      <c r="K603" s="12"/>
    </row>
    <row r="604" ht="19.5" customHeight="1">
      <c r="A604" s="12"/>
      <c r="C604" s="12"/>
      <c r="D604" s="13"/>
      <c r="F604" s="14"/>
      <c r="G604" s="14"/>
      <c r="H604" s="14"/>
      <c r="I604" s="14"/>
      <c r="J604" s="14"/>
      <c r="K604" s="12"/>
    </row>
    <row r="605" ht="19.5" customHeight="1">
      <c r="A605" s="12"/>
      <c r="C605" s="12"/>
      <c r="D605" s="13"/>
      <c r="F605" s="14"/>
      <c r="G605" s="14"/>
      <c r="H605" s="14"/>
      <c r="I605" s="14"/>
      <c r="J605" s="14"/>
      <c r="K605" s="12"/>
    </row>
    <row r="606" ht="19.5" customHeight="1">
      <c r="A606" s="12"/>
      <c r="C606" s="12"/>
      <c r="D606" s="13"/>
      <c r="F606" s="14"/>
      <c r="G606" s="14"/>
      <c r="H606" s="14"/>
      <c r="I606" s="14"/>
      <c r="J606" s="14"/>
      <c r="K606" s="12"/>
    </row>
    <row r="607" ht="19.5" customHeight="1">
      <c r="A607" s="12"/>
      <c r="C607" s="12"/>
      <c r="D607" s="13"/>
      <c r="F607" s="14"/>
      <c r="G607" s="14"/>
      <c r="H607" s="14"/>
      <c r="I607" s="14"/>
      <c r="J607" s="14"/>
      <c r="K607" s="12"/>
    </row>
    <row r="608" ht="19.5" customHeight="1">
      <c r="A608" s="12"/>
      <c r="C608" s="12"/>
      <c r="D608" s="13"/>
      <c r="F608" s="14"/>
      <c r="G608" s="14"/>
      <c r="H608" s="14"/>
      <c r="I608" s="14"/>
      <c r="J608" s="14"/>
      <c r="K608" s="12"/>
    </row>
    <row r="609" ht="19.5" customHeight="1">
      <c r="A609" s="12"/>
      <c r="C609" s="12"/>
      <c r="D609" s="13"/>
      <c r="F609" s="14"/>
      <c r="G609" s="14"/>
      <c r="H609" s="14"/>
      <c r="I609" s="14"/>
      <c r="J609" s="14"/>
      <c r="K609" s="12"/>
    </row>
    <row r="610" ht="19.5" customHeight="1">
      <c r="A610" s="12"/>
      <c r="C610" s="12"/>
      <c r="D610" s="13"/>
      <c r="F610" s="14"/>
      <c r="G610" s="14"/>
      <c r="H610" s="14"/>
      <c r="I610" s="14"/>
      <c r="J610" s="14"/>
      <c r="K610" s="12"/>
    </row>
    <row r="611" ht="19.5" customHeight="1">
      <c r="A611" s="12"/>
      <c r="C611" s="12"/>
      <c r="D611" s="13"/>
      <c r="F611" s="14"/>
      <c r="G611" s="14"/>
      <c r="H611" s="14"/>
      <c r="I611" s="14"/>
      <c r="J611" s="14"/>
      <c r="K611" s="12"/>
    </row>
    <row r="612" ht="19.5" customHeight="1">
      <c r="A612" s="12"/>
      <c r="C612" s="12"/>
      <c r="D612" s="13"/>
      <c r="F612" s="14"/>
      <c r="G612" s="14"/>
      <c r="H612" s="14"/>
      <c r="I612" s="14"/>
      <c r="J612" s="14"/>
      <c r="K612" s="12"/>
    </row>
    <row r="613" ht="19.5" customHeight="1">
      <c r="A613" s="12"/>
      <c r="C613" s="12"/>
      <c r="D613" s="13"/>
      <c r="F613" s="14"/>
      <c r="G613" s="14"/>
      <c r="H613" s="14"/>
      <c r="I613" s="14"/>
      <c r="J613" s="14"/>
      <c r="K613" s="12"/>
    </row>
    <row r="614" ht="19.5" customHeight="1">
      <c r="A614" s="12"/>
      <c r="C614" s="12"/>
      <c r="D614" s="13"/>
      <c r="F614" s="14"/>
      <c r="G614" s="14"/>
      <c r="H614" s="14"/>
      <c r="I614" s="14"/>
      <c r="J614" s="14"/>
      <c r="K614" s="12"/>
    </row>
    <row r="615" ht="19.5" customHeight="1">
      <c r="A615" s="12"/>
      <c r="C615" s="12"/>
      <c r="D615" s="13"/>
      <c r="F615" s="14"/>
      <c r="G615" s="14"/>
      <c r="H615" s="14"/>
      <c r="I615" s="14"/>
      <c r="J615" s="14"/>
      <c r="K615" s="12"/>
    </row>
    <row r="616" ht="19.5" customHeight="1">
      <c r="A616" s="12"/>
      <c r="C616" s="12"/>
      <c r="D616" s="13"/>
      <c r="F616" s="14"/>
      <c r="G616" s="14"/>
      <c r="H616" s="14"/>
      <c r="I616" s="14"/>
      <c r="J616" s="14"/>
      <c r="K616" s="12"/>
    </row>
    <row r="617" ht="19.5" customHeight="1">
      <c r="A617" s="12"/>
      <c r="C617" s="12"/>
      <c r="D617" s="13"/>
      <c r="F617" s="14"/>
      <c r="G617" s="14"/>
      <c r="H617" s="14"/>
      <c r="I617" s="14"/>
      <c r="J617" s="14"/>
      <c r="K617" s="12"/>
    </row>
    <row r="618" ht="19.5" customHeight="1">
      <c r="A618" s="12"/>
      <c r="C618" s="12"/>
      <c r="D618" s="13"/>
      <c r="F618" s="14"/>
      <c r="G618" s="14"/>
      <c r="H618" s="14"/>
      <c r="I618" s="14"/>
      <c r="J618" s="14"/>
      <c r="K618" s="12"/>
    </row>
    <row r="619" ht="19.5" customHeight="1">
      <c r="A619" s="12"/>
      <c r="C619" s="12"/>
      <c r="D619" s="13"/>
      <c r="F619" s="14"/>
      <c r="G619" s="14"/>
      <c r="H619" s="14"/>
      <c r="I619" s="14"/>
      <c r="J619" s="14"/>
      <c r="K619" s="12"/>
    </row>
    <row r="620" ht="19.5" customHeight="1">
      <c r="A620" s="12"/>
      <c r="C620" s="12"/>
      <c r="D620" s="13"/>
      <c r="F620" s="14"/>
      <c r="G620" s="14"/>
      <c r="H620" s="14"/>
      <c r="I620" s="14"/>
      <c r="J620" s="14"/>
      <c r="K620" s="12"/>
    </row>
    <row r="621" ht="19.5" customHeight="1">
      <c r="A621" s="12"/>
      <c r="C621" s="12"/>
      <c r="D621" s="13"/>
      <c r="F621" s="14"/>
      <c r="G621" s="14"/>
      <c r="H621" s="14"/>
      <c r="I621" s="14"/>
      <c r="J621" s="14"/>
      <c r="K621" s="12"/>
    </row>
    <row r="622" ht="19.5" customHeight="1">
      <c r="A622" s="12"/>
      <c r="C622" s="12"/>
      <c r="D622" s="13"/>
      <c r="F622" s="14"/>
      <c r="G622" s="14"/>
      <c r="H622" s="14"/>
      <c r="I622" s="14"/>
      <c r="J622" s="14"/>
      <c r="K622" s="12"/>
    </row>
    <row r="623" ht="19.5" customHeight="1">
      <c r="A623" s="12"/>
      <c r="C623" s="12"/>
      <c r="D623" s="13"/>
      <c r="F623" s="14"/>
      <c r="G623" s="14"/>
      <c r="H623" s="14"/>
      <c r="I623" s="14"/>
      <c r="J623" s="14"/>
      <c r="K623" s="12"/>
    </row>
    <row r="624" ht="19.5" customHeight="1">
      <c r="A624" s="12"/>
      <c r="C624" s="12"/>
      <c r="D624" s="13"/>
      <c r="F624" s="14"/>
      <c r="G624" s="14"/>
      <c r="H624" s="14"/>
      <c r="I624" s="14"/>
      <c r="J624" s="14"/>
      <c r="K624" s="12"/>
    </row>
    <row r="625" ht="19.5" customHeight="1">
      <c r="A625" s="12"/>
      <c r="C625" s="12"/>
      <c r="D625" s="13"/>
      <c r="F625" s="14"/>
      <c r="G625" s="14"/>
      <c r="H625" s="14"/>
      <c r="I625" s="14"/>
      <c r="J625" s="14"/>
      <c r="K625" s="12"/>
    </row>
    <row r="626" ht="19.5" customHeight="1">
      <c r="A626" s="12"/>
      <c r="C626" s="12"/>
      <c r="D626" s="13"/>
      <c r="F626" s="14"/>
      <c r="G626" s="14"/>
      <c r="H626" s="14"/>
      <c r="I626" s="14"/>
      <c r="J626" s="14"/>
      <c r="K626" s="12"/>
    </row>
    <row r="627" ht="19.5" customHeight="1">
      <c r="A627" s="12"/>
      <c r="C627" s="12"/>
      <c r="D627" s="13"/>
      <c r="F627" s="14"/>
      <c r="G627" s="14"/>
      <c r="H627" s="14"/>
      <c r="I627" s="14"/>
      <c r="J627" s="14"/>
      <c r="K627" s="12"/>
    </row>
    <row r="628" ht="19.5" customHeight="1">
      <c r="A628" s="12"/>
      <c r="C628" s="12"/>
      <c r="D628" s="13"/>
      <c r="F628" s="14"/>
      <c r="G628" s="14"/>
      <c r="H628" s="14"/>
      <c r="I628" s="14"/>
      <c r="J628" s="14"/>
      <c r="K628" s="12"/>
    </row>
    <row r="629" ht="19.5" customHeight="1">
      <c r="A629" s="12"/>
      <c r="C629" s="12"/>
      <c r="D629" s="13"/>
      <c r="F629" s="14"/>
      <c r="G629" s="14"/>
      <c r="H629" s="14"/>
      <c r="I629" s="14"/>
      <c r="J629" s="14"/>
      <c r="K629" s="12"/>
    </row>
    <row r="630" ht="19.5" customHeight="1">
      <c r="A630" s="12"/>
      <c r="C630" s="12"/>
      <c r="D630" s="13"/>
      <c r="F630" s="14"/>
      <c r="G630" s="14"/>
      <c r="H630" s="14"/>
      <c r="I630" s="14"/>
      <c r="J630" s="14"/>
      <c r="K630" s="12"/>
    </row>
    <row r="631" ht="19.5" customHeight="1">
      <c r="A631" s="12"/>
      <c r="C631" s="12"/>
      <c r="D631" s="13"/>
      <c r="F631" s="14"/>
      <c r="G631" s="14"/>
      <c r="H631" s="14"/>
      <c r="I631" s="14"/>
      <c r="J631" s="14"/>
      <c r="K631" s="12"/>
    </row>
    <row r="632" ht="19.5" customHeight="1">
      <c r="A632" s="12"/>
      <c r="C632" s="12"/>
      <c r="D632" s="13"/>
      <c r="F632" s="14"/>
      <c r="G632" s="14"/>
      <c r="H632" s="14"/>
      <c r="I632" s="14"/>
      <c r="J632" s="14"/>
      <c r="K632" s="12"/>
    </row>
    <row r="633" ht="19.5" customHeight="1">
      <c r="A633" s="12"/>
      <c r="C633" s="12"/>
      <c r="D633" s="13"/>
      <c r="F633" s="14"/>
      <c r="G633" s="14"/>
      <c r="H633" s="14"/>
      <c r="I633" s="14"/>
      <c r="J633" s="14"/>
      <c r="K633" s="12"/>
    </row>
    <row r="634" ht="19.5" customHeight="1">
      <c r="A634" s="12"/>
      <c r="C634" s="12"/>
      <c r="D634" s="13"/>
      <c r="F634" s="14"/>
      <c r="G634" s="14"/>
      <c r="H634" s="14"/>
      <c r="I634" s="14"/>
      <c r="J634" s="14"/>
      <c r="K634" s="12"/>
    </row>
    <row r="635" ht="19.5" customHeight="1">
      <c r="A635" s="12"/>
      <c r="C635" s="12"/>
      <c r="D635" s="13"/>
      <c r="F635" s="14"/>
      <c r="G635" s="14"/>
      <c r="H635" s="14"/>
      <c r="I635" s="14"/>
      <c r="J635" s="14"/>
      <c r="K635" s="12"/>
    </row>
    <row r="636" ht="19.5" customHeight="1">
      <c r="A636" s="12"/>
      <c r="C636" s="12"/>
      <c r="D636" s="13"/>
      <c r="F636" s="14"/>
      <c r="G636" s="14"/>
      <c r="H636" s="14"/>
      <c r="I636" s="14"/>
      <c r="J636" s="14"/>
      <c r="K636" s="12"/>
    </row>
    <row r="637" ht="19.5" customHeight="1">
      <c r="A637" s="12"/>
      <c r="C637" s="12"/>
      <c r="D637" s="13"/>
      <c r="F637" s="14"/>
      <c r="G637" s="14"/>
      <c r="H637" s="14"/>
      <c r="I637" s="14"/>
      <c r="J637" s="14"/>
      <c r="K637" s="12"/>
    </row>
    <row r="638" ht="19.5" customHeight="1">
      <c r="A638" s="12"/>
      <c r="C638" s="12"/>
      <c r="D638" s="13"/>
      <c r="F638" s="14"/>
      <c r="G638" s="14"/>
      <c r="H638" s="14"/>
      <c r="I638" s="14"/>
      <c r="J638" s="14"/>
      <c r="K638" s="12"/>
    </row>
    <row r="639" ht="19.5" customHeight="1">
      <c r="A639" s="12"/>
      <c r="C639" s="12"/>
      <c r="D639" s="13"/>
      <c r="F639" s="14"/>
      <c r="G639" s="14"/>
      <c r="H639" s="14"/>
      <c r="I639" s="14"/>
      <c r="J639" s="14"/>
      <c r="K639" s="12"/>
    </row>
    <row r="640" ht="19.5" customHeight="1">
      <c r="A640" s="12"/>
      <c r="C640" s="12"/>
      <c r="D640" s="13"/>
      <c r="F640" s="14"/>
      <c r="G640" s="14"/>
      <c r="H640" s="14"/>
      <c r="I640" s="14"/>
      <c r="J640" s="14"/>
      <c r="K640" s="12"/>
    </row>
    <row r="641" ht="19.5" customHeight="1">
      <c r="A641" s="12"/>
      <c r="C641" s="12"/>
      <c r="D641" s="13"/>
      <c r="F641" s="14"/>
      <c r="G641" s="14"/>
      <c r="H641" s="14"/>
      <c r="I641" s="14"/>
      <c r="J641" s="14"/>
      <c r="K641" s="12"/>
    </row>
    <row r="642" ht="19.5" customHeight="1">
      <c r="A642" s="12"/>
      <c r="C642" s="12"/>
      <c r="D642" s="13"/>
      <c r="F642" s="14"/>
      <c r="G642" s="14"/>
      <c r="H642" s="14"/>
      <c r="I642" s="14"/>
      <c r="J642" s="14"/>
      <c r="K642" s="12"/>
    </row>
    <row r="643" ht="19.5" customHeight="1">
      <c r="A643" s="12"/>
      <c r="C643" s="12"/>
      <c r="D643" s="13"/>
      <c r="F643" s="14"/>
      <c r="G643" s="14"/>
      <c r="H643" s="14"/>
      <c r="I643" s="14"/>
      <c r="J643" s="14"/>
      <c r="K643" s="12"/>
    </row>
    <row r="644" ht="19.5" customHeight="1">
      <c r="A644" s="12"/>
      <c r="C644" s="12"/>
      <c r="D644" s="13"/>
      <c r="F644" s="14"/>
      <c r="G644" s="14"/>
      <c r="H644" s="14"/>
      <c r="I644" s="14"/>
      <c r="J644" s="14"/>
      <c r="K644" s="12"/>
    </row>
    <row r="645" ht="19.5" customHeight="1">
      <c r="A645" s="12"/>
      <c r="C645" s="12"/>
      <c r="D645" s="13"/>
      <c r="F645" s="14"/>
      <c r="G645" s="14"/>
      <c r="H645" s="14"/>
      <c r="I645" s="14"/>
      <c r="J645" s="14"/>
      <c r="K645" s="12"/>
    </row>
    <row r="646" ht="19.5" customHeight="1">
      <c r="A646" s="12"/>
      <c r="C646" s="12"/>
      <c r="D646" s="13"/>
      <c r="F646" s="14"/>
      <c r="G646" s="14"/>
      <c r="H646" s="14"/>
      <c r="I646" s="14"/>
      <c r="J646" s="14"/>
      <c r="K646" s="12"/>
    </row>
    <row r="647" ht="19.5" customHeight="1">
      <c r="A647" s="12"/>
      <c r="C647" s="12"/>
      <c r="D647" s="13"/>
      <c r="F647" s="14"/>
      <c r="G647" s="14"/>
      <c r="H647" s="14"/>
      <c r="I647" s="14"/>
      <c r="J647" s="14"/>
      <c r="K647" s="12"/>
    </row>
    <row r="648" ht="19.5" customHeight="1">
      <c r="A648" s="12"/>
      <c r="C648" s="12"/>
      <c r="D648" s="13"/>
      <c r="F648" s="14"/>
      <c r="G648" s="14"/>
      <c r="H648" s="14"/>
      <c r="I648" s="14"/>
      <c r="J648" s="14"/>
      <c r="K648" s="12"/>
    </row>
    <row r="649" ht="19.5" customHeight="1">
      <c r="A649" s="12"/>
      <c r="C649" s="12"/>
      <c r="D649" s="13"/>
      <c r="F649" s="14"/>
      <c r="G649" s="14"/>
      <c r="H649" s="14"/>
      <c r="I649" s="14"/>
      <c r="J649" s="14"/>
      <c r="K649" s="12"/>
    </row>
    <row r="650" ht="19.5" customHeight="1">
      <c r="A650" s="12"/>
      <c r="C650" s="12"/>
      <c r="D650" s="13"/>
      <c r="F650" s="14"/>
      <c r="G650" s="14"/>
      <c r="H650" s="14"/>
      <c r="I650" s="14"/>
      <c r="J650" s="14"/>
      <c r="K650" s="12"/>
    </row>
    <row r="651" ht="19.5" customHeight="1">
      <c r="A651" s="12"/>
      <c r="C651" s="12"/>
      <c r="D651" s="13"/>
      <c r="F651" s="14"/>
      <c r="G651" s="14"/>
      <c r="H651" s="14"/>
      <c r="I651" s="14"/>
      <c r="J651" s="14"/>
      <c r="K651" s="12"/>
    </row>
    <row r="652" ht="19.5" customHeight="1">
      <c r="A652" s="12"/>
      <c r="C652" s="12"/>
      <c r="D652" s="13"/>
      <c r="F652" s="14"/>
      <c r="G652" s="14"/>
      <c r="H652" s="14"/>
      <c r="I652" s="14"/>
      <c r="J652" s="14"/>
      <c r="K652" s="12"/>
    </row>
    <row r="653" ht="19.5" customHeight="1">
      <c r="A653" s="12"/>
      <c r="C653" s="12"/>
      <c r="D653" s="13"/>
      <c r="F653" s="14"/>
      <c r="G653" s="14"/>
      <c r="H653" s="14"/>
      <c r="I653" s="14"/>
      <c r="J653" s="14"/>
      <c r="K653" s="12"/>
    </row>
    <row r="654" ht="19.5" customHeight="1">
      <c r="A654" s="12"/>
      <c r="C654" s="12"/>
      <c r="D654" s="13"/>
      <c r="F654" s="14"/>
      <c r="G654" s="14"/>
      <c r="H654" s="14"/>
      <c r="I654" s="14"/>
      <c r="J654" s="14"/>
      <c r="K654" s="12"/>
    </row>
    <row r="655" ht="19.5" customHeight="1">
      <c r="A655" s="12"/>
      <c r="C655" s="12"/>
      <c r="D655" s="13"/>
      <c r="F655" s="14"/>
      <c r="G655" s="14"/>
      <c r="H655" s="14"/>
      <c r="I655" s="14"/>
      <c r="J655" s="14"/>
      <c r="K655" s="12"/>
    </row>
    <row r="656" ht="19.5" customHeight="1">
      <c r="A656" s="12"/>
      <c r="C656" s="12"/>
      <c r="D656" s="13"/>
      <c r="F656" s="14"/>
      <c r="G656" s="14"/>
      <c r="H656" s="14"/>
      <c r="I656" s="14"/>
      <c r="J656" s="14"/>
      <c r="K656" s="12"/>
    </row>
    <row r="657" ht="19.5" customHeight="1">
      <c r="A657" s="12"/>
      <c r="C657" s="12"/>
      <c r="D657" s="13"/>
      <c r="F657" s="14"/>
      <c r="G657" s="14"/>
      <c r="H657" s="14"/>
      <c r="I657" s="14"/>
      <c r="J657" s="14"/>
      <c r="K657" s="12"/>
    </row>
    <row r="658" ht="19.5" customHeight="1">
      <c r="A658" s="12"/>
      <c r="C658" s="12"/>
      <c r="D658" s="13"/>
      <c r="F658" s="14"/>
      <c r="G658" s="14"/>
      <c r="H658" s="14"/>
      <c r="I658" s="14"/>
      <c r="J658" s="14"/>
      <c r="K658" s="12"/>
    </row>
    <row r="659" ht="19.5" customHeight="1">
      <c r="A659" s="12"/>
      <c r="C659" s="12"/>
      <c r="D659" s="13"/>
      <c r="F659" s="14"/>
      <c r="G659" s="14"/>
      <c r="H659" s="14"/>
      <c r="I659" s="14"/>
      <c r="J659" s="14"/>
      <c r="K659" s="12"/>
    </row>
    <row r="660" ht="19.5" customHeight="1">
      <c r="A660" s="12"/>
      <c r="C660" s="12"/>
      <c r="D660" s="13"/>
      <c r="F660" s="14"/>
      <c r="G660" s="14"/>
      <c r="H660" s="14"/>
      <c r="I660" s="14"/>
      <c r="J660" s="14"/>
      <c r="K660" s="12"/>
    </row>
    <row r="661" ht="19.5" customHeight="1">
      <c r="A661" s="12"/>
      <c r="C661" s="12"/>
      <c r="D661" s="13"/>
      <c r="F661" s="14"/>
      <c r="G661" s="14"/>
      <c r="H661" s="14"/>
      <c r="I661" s="14"/>
      <c r="J661" s="14"/>
      <c r="K661" s="12"/>
    </row>
    <row r="662" ht="19.5" customHeight="1">
      <c r="A662" s="12"/>
      <c r="C662" s="12"/>
      <c r="D662" s="13"/>
      <c r="F662" s="14"/>
      <c r="G662" s="14"/>
      <c r="H662" s="14"/>
      <c r="I662" s="14"/>
      <c r="J662" s="14"/>
      <c r="K662" s="12"/>
    </row>
    <row r="663" ht="19.5" customHeight="1">
      <c r="A663" s="12"/>
      <c r="C663" s="12"/>
      <c r="D663" s="13"/>
      <c r="F663" s="14"/>
      <c r="G663" s="14"/>
      <c r="H663" s="14"/>
      <c r="I663" s="14"/>
      <c r="J663" s="14"/>
      <c r="K663" s="12"/>
    </row>
    <row r="664" ht="19.5" customHeight="1">
      <c r="A664" s="12"/>
      <c r="C664" s="12"/>
      <c r="D664" s="13"/>
      <c r="F664" s="14"/>
      <c r="G664" s="14"/>
      <c r="H664" s="14"/>
      <c r="I664" s="14"/>
      <c r="J664" s="14"/>
      <c r="K664" s="12"/>
    </row>
    <row r="665" ht="19.5" customHeight="1">
      <c r="A665" s="12"/>
      <c r="C665" s="12"/>
      <c r="D665" s="13"/>
      <c r="F665" s="14"/>
      <c r="G665" s="14"/>
      <c r="H665" s="14"/>
      <c r="I665" s="14"/>
      <c r="J665" s="14"/>
      <c r="K665" s="12"/>
    </row>
    <row r="666" ht="19.5" customHeight="1">
      <c r="A666" s="12"/>
      <c r="C666" s="12"/>
      <c r="D666" s="13"/>
      <c r="F666" s="14"/>
      <c r="G666" s="14"/>
      <c r="H666" s="14"/>
      <c r="I666" s="14"/>
      <c r="J666" s="14"/>
      <c r="K666" s="12"/>
    </row>
    <row r="667" ht="19.5" customHeight="1">
      <c r="A667" s="12"/>
      <c r="C667" s="12"/>
      <c r="D667" s="13"/>
      <c r="F667" s="14"/>
      <c r="G667" s="14"/>
      <c r="H667" s="14"/>
      <c r="I667" s="14"/>
      <c r="J667" s="14"/>
      <c r="K667" s="12"/>
    </row>
    <row r="668" ht="19.5" customHeight="1">
      <c r="A668" s="12"/>
      <c r="C668" s="12"/>
      <c r="D668" s="13"/>
      <c r="F668" s="14"/>
      <c r="G668" s="14"/>
      <c r="H668" s="14"/>
      <c r="I668" s="14"/>
      <c r="J668" s="14"/>
      <c r="K668" s="12"/>
    </row>
    <row r="669" ht="19.5" customHeight="1">
      <c r="A669" s="12"/>
      <c r="C669" s="12"/>
      <c r="D669" s="13"/>
      <c r="F669" s="14"/>
      <c r="G669" s="14"/>
      <c r="H669" s="14"/>
      <c r="I669" s="14"/>
      <c r="J669" s="14"/>
      <c r="K669" s="12"/>
    </row>
    <row r="670" ht="19.5" customHeight="1">
      <c r="A670" s="12"/>
      <c r="C670" s="12"/>
      <c r="D670" s="13"/>
      <c r="F670" s="14"/>
      <c r="G670" s="14"/>
      <c r="H670" s="14"/>
      <c r="I670" s="14"/>
      <c r="J670" s="14"/>
      <c r="K670" s="12"/>
    </row>
    <row r="671" ht="19.5" customHeight="1">
      <c r="A671" s="12"/>
      <c r="C671" s="12"/>
      <c r="D671" s="13"/>
      <c r="F671" s="14"/>
      <c r="G671" s="14"/>
      <c r="H671" s="14"/>
      <c r="I671" s="14"/>
      <c r="J671" s="14"/>
      <c r="K671" s="12"/>
    </row>
    <row r="672" ht="19.5" customHeight="1">
      <c r="A672" s="12"/>
      <c r="C672" s="12"/>
      <c r="D672" s="13"/>
      <c r="F672" s="14"/>
      <c r="G672" s="14"/>
      <c r="H672" s="14"/>
      <c r="I672" s="14"/>
      <c r="J672" s="14"/>
      <c r="K672" s="12"/>
    </row>
    <row r="673" ht="19.5" customHeight="1">
      <c r="A673" s="12"/>
      <c r="C673" s="12"/>
      <c r="D673" s="13"/>
      <c r="F673" s="14"/>
      <c r="G673" s="14"/>
      <c r="H673" s="14"/>
      <c r="I673" s="14"/>
      <c r="J673" s="14"/>
      <c r="K673" s="12"/>
    </row>
    <row r="674" ht="19.5" customHeight="1">
      <c r="A674" s="12"/>
      <c r="C674" s="12"/>
      <c r="D674" s="13"/>
      <c r="F674" s="14"/>
      <c r="G674" s="14"/>
      <c r="H674" s="14"/>
      <c r="I674" s="14"/>
      <c r="J674" s="14"/>
      <c r="K674" s="12"/>
    </row>
    <row r="675" ht="19.5" customHeight="1">
      <c r="A675" s="12"/>
      <c r="C675" s="12"/>
      <c r="D675" s="13"/>
      <c r="F675" s="14"/>
      <c r="G675" s="14"/>
      <c r="H675" s="14"/>
      <c r="I675" s="14"/>
      <c r="J675" s="14"/>
      <c r="K675" s="12"/>
    </row>
    <row r="676" ht="19.5" customHeight="1">
      <c r="A676" s="12"/>
      <c r="C676" s="12"/>
      <c r="D676" s="13"/>
      <c r="F676" s="14"/>
      <c r="G676" s="14"/>
      <c r="H676" s="14"/>
      <c r="I676" s="14"/>
      <c r="J676" s="14"/>
      <c r="K676" s="12"/>
    </row>
    <row r="677" ht="19.5" customHeight="1">
      <c r="A677" s="12"/>
      <c r="C677" s="12"/>
      <c r="D677" s="13"/>
      <c r="F677" s="14"/>
      <c r="G677" s="14"/>
      <c r="H677" s="14"/>
      <c r="I677" s="14"/>
      <c r="J677" s="14"/>
      <c r="K677" s="12"/>
    </row>
    <row r="678" ht="19.5" customHeight="1">
      <c r="A678" s="12"/>
      <c r="C678" s="12"/>
      <c r="D678" s="13"/>
      <c r="F678" s="14"/>
      <c r="G678" s="14"/>
      <c r="H678" s="14"/>
      <c r="I678" s="14"/>
      <c r="J678" s="14"/>
      <c r="K678" s="12"/>
    </row>
    <row r="679" ht="19.5" customHeight="1">
      <c r="A679" s="12"/>
      <c r="C679" s="12"/>
      <c r="D679" s="13"/>
      <c r="F679" s="14"/>
      <c r="G679" s="14"/>
      <c r="H679" s="14"/>
      <c r="I679" s="14"/>
      <c r="J679" s="14"/>
      <c r="K679" s="12"/>
    </row>
    <row r="680" ht="19.5" customHeight="1">
      <c r="A680" s="12"/>
      <c r="C680" s="12"/>
      <c r="D680" s="13"/>
      <c r="F680" s="14"/>
      <c r="G680" s="14"/>
      <c r="H680" s="14"/>
      <c r="I680" s="14"/>
      <c r="J680" s="14"/>
      <c r="K680" s="12"/>
    </row>
    <row r="681" ht="19.5" customHeight="1">
      <c r="A681" s="12"/>
      <c r="C681" s="12"/>
      <c r="D681" s="13"/>
      <c r="F681" s="14"/>
      <c r="G681" s="14"/>
      <c r="H681" s="14"/>
      <c r="I681" s="14"/>
      <c r="J681" s="14"/>
      <c r="K681" s="12"/>
    </row>
    <row r="682" ht="19.5" customHeight="1">
      <c r="A682" s="12"/>
      <c r="C682" s="12"/>
      <c r="D682" s="13"/>
      <c r="F682" s="14"/>
      <c r="G682" s="14"/>
      <c r="H682" s="14"/>
      <c r="I682" s="14"/>
      <c r="J682" s="14"/>
      <c r="K682" s="12"/>
    </row>
    <row r="683" ht="19.5" customHeight="1">
      <c r="A683" s="12"/>
      <c r="C683" s="12"/>
      <c r="D683" s="13"/>
      <c r="F683" s="14"/>
      <c r="G683" s="14"/>
      <c r="H683" s="14"/>
      <c r="I683" s="14"/>
      <c r="J683" s="14"/>
      <c r="K683" s="12"/>
    </row>
    <row r="684" ht="19.5" customHeight="1">
      <c r="A684" s="12"/>
      <c r="C684" s="12"/>
      <c r="D684" s="13"/>
      <c r="F684" s="14"/>
      <c r="G684" s="14"/>
      <c r="H684" s="14"/>
      <c r="I684" s="14"/>
      <c r="J684" s="14"/>
      <c r="K684" s="12"/>
    </row>
    <row r="685" ht="19.5" customHeight="1">
      <c r="A685" s="12"/>
      <c r="C685" s="12"/>
      <c r="D685" s="13"/>
      <c r="F685" s="14"/>
      <c r="G685" s="14"/>
      <c r="H685" s="14"/>
      <c r="I685" s="14"/>
      <c r="J685" s="14"/>
      <c r="K685" s="12"/>
    </row>
    <row r="686" ht="19.5" customHeight="1">
      <c r="A686" s="12"/>
      <c r="C686" s="12"/>
      <c r="D686" s="13"/>
      <c r="F686" s="14"/>
      <c r="G686" s="14"/>
      <c r="H686" s="14"/>
      <c r="I686" s="14"/>
      <c r="J686" s="14"/>
      <c r="K686" s="12"/>
    </row>
    <row r="687" ht="19.5" customHeight="1">
      <c r="A687" s="12"/>
      <c r="C687" s="12"/>
      <c r="D687" s="13"/>
      <c r="F687" s="14"/>
      <c r="G687" s="14"/>
      <c r="H687" s="14"/>
      <c r="I687" s="14"/>
      <c r="J687" s="14"/>
      <c r="K687" s="12"/>
    </row>
    <row r="688" ht="19.5" customHeight="1">
      <c r="A688" s="12"/>
      <c r="C688" s="12"/>
      <c r="D688" s="13"/>
      <c r="F688" s="14"/>
      <c r="G688" s="14"/>
      <c r="H688" s="14"/>
      <c r="I688" s="14"/>
      <c r="J688" s="14"/>
      <c r="K688" s="12"/>
    </row>
    <row r="689" ht="19.5" customHeight="1">
      <c r="A689" s="12"/>
      <c r="C689" s="12"/>
      <c r="D689" s="13"/>
      <c r="F689" s="14"/>
      <c r="G689" s="14"/>
      <c r="H689" s="14"/>
      <c r="I689" s="14"/>
      <c r="J689" s="14"/>
      <c r="K689" s="12"/>
    </row>
    <row r="690" ht="19.5" customHeight="1">
      <c r="A690" s="12"/>
      <c r="C690" s="12"/>
      <c r="D690" s="13"/>
      <c r="F690" s="14"/>
      <c r="G690" s="14"/>
      <c r="H690" s="14"/>
      <c r="I690" s="14"/>
      <c r="J690" s="14"/>
      <c r="K690" s="12"/>
    </row>
    <row r="691" ht="19.5" customHeight="1">
      <c r="A691" s="12"/>
      <c r="C691" s="12"/>
      <c r="D691" s="13"/>
      <c r="F691" s="14"/>
      <c r="G691" s="14"/>
      <c r="H691" s="14"/>
      <c r="I691" s="14"/>
      <c r="J691" s="14"/>
      <c r="K691" s="12"/>
    </row>
    <row r="692" ht="19.5" customHeight="1">
      <c r="A692" s="12"/>
      <c r="C692" s="12"/>
      <c r="D692" s="13"/>
      <c r="F692" s="14"/>
      <c r="G692" s="14"/>
      <c r="H692" s="14"/>
      <c r="I692" s="14"/>
      <c r="J692" s="14"/>
      <c r="K692" s="12"/>
    </row>
    <row r="693" ht="19.5" customHeight="1">
      <c r="A693" s="12"/>
      <c r="C693" s="12"/>
      <c r="D693" s="13"/>
      <c r="F693" s="14"/>
      <c r="G693" s="14"/>
      <c r="H693" s="14"/>
      <c r="I693" s="14"/>
      <c r="J693" s="14"/>
      <c r="K693" s="12"/>
    </row>
    <row r="694" ht="19.5" customHeight="1">
      <c r="A694" s="12"/>
      <c r="C694" s="12"/>
      <c r="D694" s="13"/>
      <c r="F694" s="14"/>
      <c r="G694" s="14"/>
      <c r="H694" s="14"/>
      <c r="I694" s="14"/>
      <c r="J694" s="14"/>
      <c r="K694" s="12"/>
    </row>
    <row r="695" ht="19.5" customHeight="1">
      <c r="A695" s="12"/>
      <c r="C695" s="12"/>
      <c r="D695" s="13"/>
      <c r="F695" s="14"/>
      <c r="G695" s="14"/>
      <c r="H695" s="14"/>
      <c r="I695" s="14"/>
      <c r="J695" s="14"/>
      <c r="K695" s="12"/>
    </row>
    <row r="696" ht="19.5" customHeight="1">
      <c r="A696" s="12"/>
      <c r="C696" s="12"/>
      <c r="D696" s="13"/>
      <c r="F696" s="14"/>
      <c r="G696" s="14"/>
      <c r="H696" s="14"/>
      <c r="I696" s="14"/>
      <c r="J696" s="14"/>
      <c r="K696" s="12"/>
    </row>
    <row r="697" ht="19.5" customHeight="1">
      <c r="A697" s="12"/>
      <c r="C697" s="12"/>
      <c r="D697" s="13"/>
      <c r="F697" s="14"/>
      <c r="G697" s="14"/>
      <c r="H697" s="14"/>
      <c r="I697" s="14"/>
      <c r="J697" s="14"/>
      <c r="K697" s="12"/>
    </row>
    <row r="698" ht="19.5" customHeight="1">
      <c r="A698" s="12"/>
      <c r="C698" s="12"/>
      <c r="D698" s="13"/>
      <c r="F698" s="14"/>
      <c r="G698" s="14"/>
      <c r="H698" s="14"/>
      <c r="I698" s="14"/>
      <c r="J698" s="14"/>
      <c r="K698" s="12"/>
    </row>
    <row r="699" ht="19.5" customHeight="1">
      <c r="A699" s="12"/>
      <c r="C699" s="12"/>
      <c r="D699" s="13"/>
      <c r="F699" s="14"/>
      <c r="G699" s="14"/>
      <c r="H699" s="14"/>
      <c r="I699" s="14"/>
      <c r="J699" s="14"/>
      <c r="K699" s="12"/>
    </row>
    <row r="700" ht="19.5" customHeight="1">
      <c r="A700" s="12"/>
      <c r="C700" s="12"/>
      <c r="D700" s="13"/>
      <c r="F700" s="14"/>
      <c r="G700" s="14"/>
      <c r="H700" s="14"/>
      <c r="I700" s="14"/>
      <c r="J700" s="14"/>
      <c r="K700" s="12"/>
    </row>
    <row r="701" ht="19.5" customHeight="1">
      <c r="A701" s="12"/>
      <c r="C701" s="12"/>
      <c r="D701" s="13"/>
      <c r="F701" s="14"/>
      <c r="G701" s="14"/>
      <c r="H701" s="14"/>
      <c r="I701" s="14"/>
      <c r="J701" s="14"/>
      <c r="K701" s="12"/>
    </row>
    <row r="702" ht="19.5" customHeight="1">
      <c r="A702" s="12"/>
      <c r="C702" s="12"/>
      <c r="D702" s="13"/>
      <c r="F702" s="14"/>
      <c r="G702" s="14"/>
      <c r="H702" s="14"/>
      <c r="I702" s="14"/>
      <c r="J702" s="14"/>
      <c r="K702" s="12"/>
    </row>
    <row r="703" ht="19.5" customHeight="1">
      <c r="A703" s="12"/>
      <c r="C703" s="12"/>
      <c r="D703" s="13"/>
      <c r="F703" s="14"/>
      <c r="G703" s="14"/>
      <c r="H703" s="14"/>
      <c r="I703" s="14"/>
      <c r="J703" s="14"/>
      <c r="K703" s="12"/>
    </row>
    <row r="704" ht="19.5" customHeight="1">
      <c r="A704" s="12"/>
      <c r="C704" s="12"/>
      <c r="D704" s="13"/>
      <c r="F704" s="14"/>
      <c r="G704" s="14"/>
      <c r="H704" s="14"/>
      <c r="I704" s="14"/>
      <c r="J704" s="14"/>
      <c r="K704" s="12"/>
    </row>
    <row r="705" ht="19.5" customHeight="1">
      <c r="A705" s="12"/>
      <c r="C705" s="12"/>
      <c r="D705" s="13"/>
      <c r="F705" s="14"/>
      <c r="G705" s="14"/>
      <c r="H705" s="14"/>
      <c r="I705" s="14"/>
      <c r="J705" s="14"/>
      <c r="K705" s="12"/>
    </row>
    <row r="706" ht="19.5" customHeight="1">
      <c r="A706" s="12"/>
      <c r="C706" s="12"/>
      <c r="D706" s="13"/>
      <c r="F706" s="14"/>
      <c r="G706" s="14"/>
      <c r="H706" s="14"/>
      <c r="I706" s="14"/>
      <c r="J706" s="14"/>
      <c r="K706" s="12"/>
    </row>
    <row r="707" ht="19.5" customHeight="1">
      <c r="A707" s="12"/>
      <c r="C707" s="12"/>
      <c r="D707" s="13"/>
      <c r="F707" s="14"/>
      <c r="G707" s="14"/>
      <c r="H707" s="14"/>
      <c r="I707" s="14"/>
      <c r="J707" s="14"/>
      <c r="K707" s="12"/>
    </row>
    <row r="708" ht="19.5" customHeight="1">
      <c r="A708" s="12"/>
      <c r="C708" s="12"/>
      <c r="D708" s="13"/>
      <c r="F708" s="14"/>
      <c r="G708" s="14"/>
      <c r="H708" s="14"/>
      <c r="I708" s="14"/>
      <c r="J708" s="14"/>
      <c r="K708" s="12"/>
    </row>
    <row r="709" ht="19.5" customHeight="1">
      <c r="A709" s="12"/>
      <c r="C709" s="12"/>
      <c r="D709" s="13"/>
      <c r="F709" s="14"/>
      <c r="G709" s="14"/>
      <c r="H709" s="14"/>
      <c r="I709" s="14"/>
      <c r="J709" s="14"/>
      <c r="K709" s="12"/>
    </row>
    <row r="710" ht="19.5" customHeight="1">
      <c r="A710" s="12"/>
      <c r="C710" s="12"/>
      <c r="D710" s="13"/>
      <c r="F710" s="14"/>
      <c r="G710" s="14"/>
      <c r="H710" s="14"/>
      <c r="I710" s="14"/>
      <c r="J710" s="14"/>
      <c r="K710" s="12"/>
    </row>
    <row r="711" ht="19.5" customHeight="1">
      <c r="A711" s="12"/>
      <c r="C711" s="12"/>
      <c r="D711" s="13"/>
      <c r="F711" s="14"/>
      <c r="G711" s="14"/>
      <c r="H711" s="14"/>
      <c r="I711" s="14"/>
      <c r="J711" s="14"/>
      <c r="K711" s="12"/>
    </row>
    <row r="712" ht="19.5" customHeight="1">
      <c r="A712" s="12"/>
      <c r="C712" s="12"/>
      <c r="D712" s="13"/>
      <c r="F712" s="14"/>
      <c r="G712" s="14"/>
      <c r="H712" s="14"/>
      <c r="I712" s="14"/>
      <c r="J712" s="14"/>
      <c r="K712" s="12"/>
    </row>
    <row r="713" ht="19.5" customHeight="1">
      <c r="A713" s="12"/>
      <c r="C713" s="12"/>
      <c r="D713" s="13"/>
      <c r="F713" s="14"/>
      <c r="G713" s="14"/>
      <c r="H713" s="14"/>
      <c r="I713" s="14"/>
      <c r="J713" s="14"/>
      <c r="K713" s="12"/>
    </row>
    <row r="714" ht="19.5" customHeight="1">
      <c r="A714" s="12"/>
      <c r="C714" s="12"/>
      <c r="D714" s="13"/>
      <c r="F714" s="14"/>
      <c r="G714" s="14"/>
      <c r="H714" s="14"/>
      <c r="I714" s="14"/>
      <c r="J714" s="14"/>
      <c r="K714" s="12"/>
    </row>
    <row r="715" ht="19.5" customHeight="1">
      <c r="A715" s="12"/>
      <c r="C715" s="12"/>
      <c r="D715" s="13"/>
      <c r="F715" s="14"/>
      <c r="G715" s="14"/>
      <c r="H715" s="14"/>
      <c r="I715" s="14"/>
      <c r="J715" s="14"/>
      <c r="K715" s="12"/>
    </row>
    <row r="716" ht="19.5" customHeight="1">
      <c r="A716" s="12"/>
      <c r="C716" s="12"/>
      <c r="D716" s="13"/>
      <c r="F716" s="14"/>
      <c r="G716" s="14"/>
      <c r="H716" s="14"/>
      <c r="I716" s="14"/>
      <c r="J716" s="14"/>
      <c r="K716" s="12"/>
    </row>
    <row r="717" ht="19.5" customHeight="1">
      <c r="A717" s="12"/>
      <c r="C717" s="12"/>
      <c r="D717" s="13"/>
      <c r="F717" s="14"/>
      <c r="G717" s="14"/>
      <c r="H717" s="14"/>
      <c r="I717" s="14"/>
      <c r="J717" s="14"/>
      <c r="K717" s="12"/>
    </row>
    <row r="718" ht="19.5" customHeight="1">
      <c r="A718" s="12"/>
      <c r="C718" s="12"/>
      <c r="D718" s="13"/>
      <c r="F718" s="14"/>
      <c r="G718" s="14"/>
      <c r="H718" s="14"/>
      <c r="I718" s="14"/>
      <c r="J718" s="14"/>
      <c r="K718" s="12"/>
    </row>
    <row r="719" ht="19.5" customHeight="1">
      <c r="A719" s="12"/>
      <c r="C719" s="12"/>
      <c r="D719" s="13"/>
      <c r="F719" s="14"/>
      <c r="G719" s="14"/>
      <c r="H719" s="14"/>
      <c r="I719" s="14"/>
      <c r="J719" s="14"/>
      <c r="K719" s="12"/>
    </row>
    <row r="720" ht="19.5" customHeight="1">
      <c r="A720" s="12"/>
      <c r="C720" s="12"/>
      <c r="D720" s="13"/>
      <c r="F720" s="14"/>
      <c r="G720" s="14"/>
      <c r="H720" s="14"/>
      <c r="I720" s="14"/>
      <c r="J720" s="14"/>
      <c r="K720" s="12"/>
    </row>
    <row r="721" ht="19.5" customHeight="1">
      <c r="A721" s="12"/>
      <c r="C721" s="12"/>
      <c r="D721" s="13"/>
      <c r="F721" s="14"/>
      <c r="G721" s="14"/>
      <c r="H721" s="14"/>
      <c r="I721" s="14"/>
      <c r="J721" s="14"/>
      <c r="K721" s="12"/>
    </row>
    <row r="722" ht="19.5" customHeight="1">
      <c r="A722" s="12"/>
      <c r="C722" s="12"/>
      <c r="D722" s="13"/>
      <c r="F722" s="14"/>
      <c r="G722" s="14"/>
      <c r="H722" s="14"/>
      <c r="I722" s="14"/>
      <c r="J722" s="14"/>
      <c r="K722" s="12"/>
    </row>
    <row r="723" ht="19.5" customHeight="1">
      <c r="A723" s="12"/>
      <c r="C723" s="12"/>
      <c r="D723" s="13"/>
      <c r="F723" s="14"/>
      <c r="G723" s="14"/>
      <c r="H723" s="14"/>
      <c r="I723" s="14"/>
      <c r="J723" s="14"/>
      <c r="K723" s="12"/>
    </row>
    <row r="724" ht="19.5" customHeight="1">
      <c r="A724" s="12"/>
      <c r="C724" s="12"/>
      <c r="D724" s="13"/>
      <c r="F724" s="14"/>
      <c r="G724" s="14"/>
      <c r="H724" s="14"/>
      <c r="I724" s="14"/>
      <c r="J724" s="14"/>
      <c r="K724" s="12"/>
    </row>
    <row r="725" ht="19.5" customHeight="1">
      <c r="A725" s="12"/>
      <c r="C725" s="12"/>
      <c r="D725" s="13"/>
      <c r="F725" s="14"/>
      <c r="G725" s="14"/>
      <c r="H725" s="14"/>
      <c r="I725" s="14"/>
      <c r="J725" s="14"/>
      <c r="K725" s="12"/>
    </row>
    <row r="726" ht="19.5" customHeight="1">
      <c r="A726" s="12"/>
      <c r="C726" s="12"/>
      <c r="D726" s="13"/>
      <c r="F726" s="14"/>
      <c r="G726" s="14"/>
      <c r="H726" s="14"/>
      <c r="I726" s="14"/>
      <c r="J726" s="14"/>
      <c r="K726" s="12"/>
    </row>
    <row r="727" ht="19.5" customHeight="1">
      <c r="A727" s="12"/>
      <c r="C727" s="12"/>
      <c r="D727" s="13"/>
      <c r="F727" s="14"/>
      <c r="G727" s="14"/>
      <c r="H727" s="14"/>
      <c r="I727" s="14"/>
      <c r="J727" s="14"/>
      <c r="K727" s="12"/>
    </row>
    <row r="728" ht="19.5" customHeight="1">
      <c r="A728" s="12"/>
      <c r="C728" s="12"/>
      <c r="D728" s="13"/>
      <c r="F728" s="14"/>
      <c r="G728" s="14"/>
      <c r="H728" s="14"/>
      <c r="I728" s="14"/>
      <c r="J728" s="14"/>
      <c r="K728" s="12"/>
    </row>
    <row r="729" ht="19.5" customHeight="1">
      <c r="A729" s="12"/>
      <c r="C729" s="12"/>
      <c r="D729" s="13"/>
      <c r="F729" s="14"/>
      <c r="G729" s="14"/>
      <c r="H729" s="14"/>
      <c r="I729" s="14"/>
      <c r="J729" s="14"/>
      <c r="K729" s="12"/>
    </row>
    <row r="730" ht="19.5" customHeight="1">
      <c r="A730" s="12"/>
      <c r="C730" s="12"/>
      <c r="D730" s="13"/>
      <c r="F730" s="14"/>
      <c r="G730" s="14"/>
      <c r="H730" s="14"/>
      <c r="I730" s="14"/>
      <c r="J730" s="14"/>
      <c r="K730" s="12"/>
    </row>
    <row r="731" ht="19.5" customHeight="1">
      <c r="A731" s="12"/>
      <c r="C731" s="12"/>
      <c r="D731" s="13"/>
      <c r="F731" s="14"/>
      <c r="G731" s="14"/>
      <c r="H731" s="14"/>
      <c r="I731" s="14"/>
      <c r="J731" s="14"/>
      <c r="K731" s="12"/>
    </row>
    <row r="732" ht="19.5" customHeight="1">
      <c r="A732" s="12"/>
      <c r="C732" s="12"/>
      <c r="D732" s="13"/>
      <c r="F732" s="14"/>
      <c r="G732" s="14"/>
      <c r="H732" s="14"/>
      <c r="I732" s="14"/>
      <c r="J732" s="14"/>
      <c r="K732" s="12"/>
    </row>
    <row r="733" ht="19.5" customHeight="1">
      <c r="A733" s="12"/>
      <c r="C733" s="12"/>
      <c r="D733" s="13"/>
      <c r="F733" s="14"/>
      <c r="G733" s="14"/>
      <c r="H733" s="14"/>
      <c r="I733" s="14"/>
      <c r="J733" s="14"/>
      <c r="K733" s="12"/>
    </row>
    <row r="734" ht="19.5" customHeight="1">
      <c r="A734" s="12"/>
      <c r="C734" s="12"/>
      <c r="D734" s="13"/>
      <c r="F734" s="14"/>
      <c r="G734" s="14"/>
      <c r="H734" s="14"/>
      <c r="I734" s="14"/>
      <c r="J734" s="14"/>
      <c r="K734" s="12"/>
    </row>
    <row r="735" ht="19.5" customHeight="1">
      <c r="A735" s="12"/>
      <c r="C735" s="12"/>
      <c r="D735" s="13"/>
      <c r="F735" s="14"/>
      <c r="G735" s="14"/>
      <c r="H735" s="14"/>
      <c r="I735" s="14"/>
      <c r="J735" s="14"/>
      <c r="K735" s="12"/>
    </row>
    <row r="736" ht="19.5" customHeight="1">
      <c r="A736" s="12"/>
      <c r="C736" s="12"/>
      <c r="D736" s="13"/>
      <c r="F736" s="14"/>
      <c r="G736" s="14"/>
      <c r="H736" s="14"/>
      <c r="I736" s="14"/>
      <c r="J736" s="14"/>
      <c r="K736" s="12"/>
    </row>
    <row r="737" ht="19.5" customHeight="1">
      <c r="A737" s="12"/>
      <c r="C737" s="12"/>
      <c r="D737" s="13"/>
      <c r="F737" s="14"/>
      <c r="G737" s="14"/>
      <c r="H737" s="14"/>
      <c r="I737" s="14"/>
      <c r="J737" s="14"/>
      <c r="K737" s="12"/>
    </row>
    <row r="738" ht="19.5" customHeight="1">
      <c r="A738" s="12"/>
      <c r="C738" s="12"/>
      <c r="D738" s="13"/>
      <c r="F738" s="14"/>
      <c r="G738" s="14"/>
      <c r="H738" s="14"/>
      <c r="I738" s="14"/>
      <c r="J738" s="14"/>
      <c r="K738" s="12"/>
    </row>
    <row r="739" ht="19.5" customHeight="1">
      <c r="A739" s="12"/>
      <c r="C739" s="12"/>
      <c r="D739" s="13"/>
      <c r="F739" s="14"/>
      <c r="G739" s="14"/>
      <c r="H739" s="14"/>
      <c r="I739" s="14"/>
      <c r="J739" s="14"/>
      <c r="K739" s="12"/>
    </row>
    <row r="740" ht="19.5" customHeight="1">
      <c r="A740" s="12"/>
      <c r="C740" s="12"/>
      <c r="D740" s="13"/>
      <c r="F740" s="14"/>
      <c r="G740" s="14"/>
      <c r="H740" s="14"/>
      <c r="I740" s="14"/>
      <c r="J740" s="14"/>
      <c r="K740" s="12"/>
    </row>
    <row r="741" ht="19.5" customHeight="1">
      <c r="A741" s="12"/>
      <c r="C741" s="12"/>
      <c r="D741" s="13"/>
      <c r="F741" s="14"/>
      <c r="G741" s="14"/>
      <c r="H741" s="14"/>
      <c r="I741" s="14"/>
      <c r="J741" s="14"/>
      <c r="K741" s="12"/>
    </row>
    <row r="742" ht="19.5" customHeight="1">
      <c r="A742" s="12"/>
      <c r="C742" s="12"/>
      <c r="D742" s="13"/>
      <c r="F742" s="14"/>
      <c r="G742" s="14"/>
      <c r="H742" s="14"/>
      <c r="I742" s="14"/>
      <c r="J742" s="14"/>
      <c r="K742" s="12"/>
    </row>
    <row r="743" ht="19.5" customHeight="1">
      <c r="A743" s="12"/>
      <c r="C743" s="12"/>
      <c r="D743" s="13"/>
      <c r="F743" s="14"/>
      <c r="G743" s="14"/>
      <c r="H743" s="14"/>
      <c r="I743" s="14"/>
      <c r="J743" s="14"/>
      <c r="K743" s="12"/>
    </row>
    <row r="744" ht="19.5" customHeight="1">
      <c r="A744" s="12"/>
      <c r="C744" s="12"/>
      <c r="D744" s="13"/>
      <c r="F744" s="14"/>
      <c r="G744" s="14"/>
      <c r="H744" s="14"/>
      <c r="I744" s="14"/>
      <c r="J744" s="14"/>
      <c r="K744" s="12"/>
    </row>
    <row r="745" ht="19.5" customHeight="1">
      <c r="A745" s="12"/>
      <c r="C745" s="12"/>
      <c r="D745" s="13"/>
      <c r="F745" s="14"/>
      <c r="G745" s="14"/>
      <c r="H745" s="14"/>
      <c r="I745" s="14"/>
      <c r="J745" s="14"/>
      <c r="K745" s="12"/>
    </row>
    <row r="746" ht="19.5" customHeight="1">
      <c r="A746" s="12"/>
      <c r="C746" s="12"/>
      <c r="D746" s="13"/>
      <c r="F746" s="14"/>
      <c r="G746" s="14"/>
      <c r="H746" s="14"/>
      <c r="I746" s="14"/>
      <c r="J746" s="14"/>
      <c r="K746" s="12"/>
    </row>
    <row r="747" ht="19.5" customHeight="1">
      <c r="A747" s="12"/>
      <c r="C747" s="12"/>
      <c r="D747" s="13"/>
      <c r="F747" s="14"/>
      <c r="G747" s="14"/>
      <c r="H747" s="14"/>
      <c r="I747" s="14"/>
      <c r="J747" s="14"/>
      <c r="K747" s="12"/>
    </row>
    <row r="748" ht="19.5" customHeight="1">
      <c r="A748" s="12"/>
      <c r="C748" s="12"/>
      <c r="D748" s="13"/>
      <c r="F748" s="14"/>
      <c r="G748" s="14"/>
      <c r="H748" s="14"/>
      <c r="I748" s="14"/>
      <c r="J748" s="14"/>
      <c r="K748" s="12"/>
    </row>
    <row r="749" ht="19.5" customHeight="1">
      <c r="A749" s="12"/>
      <c r="C749" s="12"/>
      <c r="D749" s="13"/>
      <c r="F749" s="14"/>
      <c r="G749" s="14"/>
      <c r="H749" s="14"/>
      <c r="I749" s="14"/>
      <c r="J749" s="14"/>
      <c r="K749" s="12"/>
    </row>
    <row r="750" ht="19.5" customHeight="1">
      <c r="A750" s="12"/>
      <c r="C750" s="12"/>
      <c r="D750" s="13"/>
      <c r="F750" s="14"/>
      <c r="G750" s="14"/>
      <c r="H750" s="14"/>
      <c r="I750" s="14"/>
      <c r="J750" s="14"/>
      <c r="K750" s="12"/>
    </row>
    <row r="751" ht="19.5" customHeight="1">
      <c r="A751" s="12"/>
      <c r="C751" s="12"/>
      <c r="D751" s="13"/>
      <c r="F751" s="14"/>
      <c r="G751" s="14"/>
      <c r="H751" s="14"/>
      <c r="I751" s="14"/>
      <c r="J751" s="14"/>
      <c r="K751" s="12"/>
    </row>
    <row r="752" ht="19.5" customHeight="1">
      <c r="A752" s="12"/>
      <c r="C752" s="12"/>
      <c r="D752" s="13"/>
      <c r="F752" s="14"/>
      <c r="G752" s="14"/>
      <c r="H752" s="14"/>
      <c r="I752" s="14"/>
      <c r="J752" s="14"/>
      <c r="K752" s="12"/>
    </row>
    <row r="753" ht="19.5" customHeight="1">
      <c r="A753" s="12"/>
      <c r="C753" s="12"/>
      <c r="D753" s="13"/>
      <c r="F753" s="14"/>
      <c r="G753" s="14"/>
      <c r="H753" s="14"/>
      <c r="I753" s="14"/>
      <c r="J753" s="14"/>
      <c r="K753" s="12"/>
    </row>
    <row r="754" ht="19.5" customHeight="1">
      <c r="A754" s="12"/>
      <c r="C754" s="12"/>
      <c r="D754" s="13"/>
      <c r="F754" s="14"/>
      <c r="G754" s="14"/>
      <c r="H754" s="14"/>
      <c r="I754" s="14"/>
      <c r="J754" s="14"/>
      <c r="K754" s="12"/>
    </row>
    <row r="755" ht="19.5" customHeight="1">
      <c r="A755" s="12"/>
      <c r="C755" s="12"/>
      <c r="D755" s="13"/>
      <c r="F755" s="14"/>
      <c r="G755" s="14"/>
      <c r="H755" s="14"/>
      <c r="I755" s="14"/>
      <c r="J755" s="14"/>
      <c r="K755" s="12"/>
    </row>
    <row r="756" ht="19.5" customHeight="1">
      <c r="A756" s="12"/>
      <c r="C756" s="12"/>
      <c r="D756" s="13"/>
      <c r="F756" s="14"/>
      <c r="G756" s="14"/>
      <c r="H756" s="14"/>
      <c r="I756" s="14"/>
      <c r="J756" s="14"/>
      <c r="K756" s="12"/>
    </row>
    <row r="757" ht="19.5" customHeight="1">
      <c r="A757" s="12"/>
      <c r="C757" s="12"/>
      <c r="D757" s="13"/>
      <c r="F757" s="14"/>
      <c r="G757" s="14"/>
      <c r="H757" s="14"/>
      <c r="I757" s="14"/>
      <c r="J757" s="14"/>
      <c r="K757" s="12"/>
    </row>
    <row r="758" ht="19.5" customHeight="1">
      <c r="A758" s="12"/>
      <c r="C758" s="12"/>
      <c r="D758" s="13"/>
      <c r="F758" s="14"/>
      <c r="G758" s="14"/>
      <c r="H758" s="14"/>
      <c r="I758" s="14"/>
      <c r="J758" s="14"/>
      <c r="K758" s="12"/>
    </row>
    <row r="759" ht="19.5" customHeight="1">
      <c r="A759" s="12"/>
      <c r="C759" s="12"/>
      <c r="D759" s="13"/>
      <c r="F759" s="14"/>
      <c r="G759" s="14"/>
      <c r="H759" s="14"/>
      <c r="I759" s="14"/>
      <c r="J759" s="14"/>
      <c r="K759" s="12"/>
    </row>
    <row r="760" ht="19.5" customHeight="1">
      <c r="A760" s="12"/>
      <c r="C760" s="12"/>
      <c r="D760" s="13"/>
      <c r="F760" s="14"/>
      <c r="G760" s="14"/>
      <c r="H760" s="14"/>
      <c r="I760" s="14"/>
      <c r="J760" s="14"/>
      <c r="K760" s="12"/>
    </row>
    <row r="761" ht="19.5" customHeight="1">
      <c r="A761" s="12"/>
      <c r="C761" s="12"/>
      <c r="D761" s="13"/>
      <c r="F761" s="14"/>
      <c r="G761" s="14"/>
      <c r="H761" s="14"/>
      <c r="I761" s="14"/>
      <c r="J761" s="14"/>
      <c r="K761" s="12"/>
    </row>
    <row r="762" ht="19.5" customHeight="1">
      <c r="A762" s="12"/>
      <c r="C762" s="12"/>
      <c r="D762" s="13"/>
      <c r="F762" s="14"/>
      <c r="G762" s="14"/>
      <c r="H762" s="14"/>
      <c r="I762" s="14"/>
      <c r="J762" s="14"/>
      <c r="K762" s="12"/>
    </row>
    <row r="763" ht="19.5" customHeight="1">
      <c r="A763" s="12"/>
      <c r="C763" s="12"/>
      <c r="D763" s="13"/>
      <c r="F763" s="14"/>
      <c r="G763" s="14"/>
      <c r="H763" s="14"/>
      <c r="I763" s="14"/>
      <c r="J763" s="14"/>
      <c r="K763" s="12"/>
    </row>
    <row r="764" ht="19.5" customHeight="1">
      <c r="A764" s="12"/>
      <c r="C764" s="12"/>
      <c r="D764" s="13"/>
      <c r="F764" s="14"/>
      <c r="G764" s="14"/>
      <c r="H764" s="14"/>
      <c r="I764" s="14"/>
      <c r="J764" s="14"/>
      <c r="K764" s="12"/>
    </row>
    <row r="765" ht="19.5" customHeight="1">
      <c r="A765" s="12"/>
      <c r="C765" s="12"/>
      <c r="D765" s="13"/>
      <c r="F765" s="14"/>
      <c r="G765" s="14"/>
      <c r="H765" s="14"/>
      <c r="I765" s="14"/>
      <c r="J765" s="14"/>
      <c r="K765" s="12"/>
    </row>
    <row r="766" ht="19.5" customHeight="1">
      <c r="A766" s="12"/>
      <c r="C766" s="12"/>
      <c r="D766" s="13"/>
      <c r="F766" s="14"/>
      <c r="G766" s="14"/>
      <c r="H766" s="14"/>
      <c r="I766" s="14"/>
      <c r="J766" s="14"/>
      <c r="K766" s="12"/>
    </row>
    <row r="767" ht="19.5" customHeight="1">
      <c r="A767" s="12"/>
      <c r="C767" s="12"/>
      <c r="D767" s="13"/>
      <c r="F767" s="14"/>
      <c r="G767" s="14"/>
      <c r="H767" s="14"/>
      <c r="I767" s="14"/>
      <c r="J767" s="14"/>
      <c r="K767" s="12"/>
    </row>
    <row r="768" ht="19.5" customHeight="1">
      <c r="A768" s="12"/>
      <c r="C768" s="12"/>
      <c r="D768" s="13"/>
      <c r="F768" s="14"/>
      <c r="G768" s="14"/>
      <c r="H768" s="14"/>
      <c r="I768" s="14"/>
      <c r="J768" s="14"/>
      <c r="K768" s="12"/>
    </row>
    <row r="769" ht="19.5" customHeight="1">
      <c r="A769" s="12"/>
      <c r="C769" s="12"/>
      <c r="D769" s="13"/>
      <c r="F769" s="14"/>
      <c r="G769" s="14"/>
      <c r="H769" s="14"/>
      <c r="I769" s="14"/>
      <c r="J769" s="14"/>
      <c r="K769" s="12"/>
    </row>
    <row r="770" ht="19.5" customHeight="1">
      <c r="A770" s="12"/>
      <c r="C770" s="12"/>
      <c r="D770" s="13"/>
      <c r="F770" s="14"/>
      <c r="G770" s="14"/>
      <c r="H770" s="14"/>
      <c r="I770" s="14"/>
      <c r="J770" s="14"/>
      <c r="K770" s="12"/>
    </row>
    <row r="771" ht="19.5" customHeight="1">
      <c r="A771" s="12"/>
      <c r="C771" s="12"/>
      <c r="D771" s="13"/>
      <c r="F771" s="14"/>
      <c r="G771" s="14"/>
      <c r="H771" s="14"/>
      <c r="I771" s="14"/>
      <c r="J771" s="14"/>
      <c r="K771" s="12"/>
    </row>
    <row r="772" ht="19.5" customHeight="1">
      <c r="A772" s="12"/>
      <c r="C772" s="12"/>
      <c r="D772" s="13"/>
      <c r="F772" s="14"/>
      <c r="G772" s="14"/>
      <c r="H772" s="14"/>
      <c r="I772" s="14"/>
      <c r="J772" s="14"/>
      <c r="K772" s="12"/>
    </row>
    <row r="773" ht="19.5" customHeight="1">
      <c r="A773" s="12"/>
      <c r="C773" s="12"/>
      <c r="D773" s="13"/>
      <c r="F773" s="14"/>
      <c r="G773" s="14"/>
      <c r="H773" s="14"/>
      <c r="I773" s="14"/>
      <c r="J773" s="14"/>
      <c r="K773" s="12"/>
    </row>
    <row r="774" ht="19.5" customHeight="1">
      <c r="A774" s="12"/>
      <c r="C774" s="12"/>
      <c r="D774" s="13"/>
      <c r="F774" s="14"/>
      <c r="G774" s="14"/>
      <c r="H774" s="14"/>
      <c r="I774" s="14"/>
      <c r="J774" s="14"/>
      <c r="K774" s="12"/>
    </row>
    <row r="775" ht="19.5" customHeight="1">
      <c r="A775" s="12"/>
      <c r="C775" s="12"/>
      <c r="D775" s="13"/>
      <c r="F775" s="14"/>
      <c r="G775" s="14"/>
      <c r="H775" s="14"/>
      <c r="I775" s="14"/>
      <c r="J775" s="14"/>
      <c r="K775" s="12"/>
    </row>
    <row r="776" ht="19.5" customHeight="1">
      <c r="A776" s="12"/>
      <c r="C776" s="12"/>
      <c r="D776" s="13"/>
      <c r="F776" s="14"/>
      <c r="G776" s="14"/>
      <c r="H776" s="14"/>
      <c r="I776" s="14"/>
      <c r="J776" s="14"/>
      <c r="K776" s="12"/>
    </row>
    <row r="777" ht="19.5" customHeight="1">
      <c r="A777" s="12"/>
      <c r="C777" s="12"/>
      <c r="D777" s="13"/>
      <c r="F777" s="14"/>
      <c r="G777" s="14"/>
      <c r="H777" s="14"/>
      <c r="I777" s="14"/>
      <c r="J777" s="14"/>
      <c r="K777" s="12"/>
    </row>
    <row r="778" ht="19.5" customHeight="1">
      <c r="A778" s="12"/>
      <c r="C778" s="12"/>
      <c r="D778" s="13"/>
      <c r="F778" s="14"/>
      <c r="G778" s="14"/>
      <c r="H778" s="14"/>
      <c r="I778" s="14"/>
      <c r="J778" s="14"/>
      <c r="K778" s="12"/>
    </row>
    <row r="779" ht="19.5" customHeight="1">
      <c r="A779" s="12"/>
      <c r="C779" s="12"/>
      <c r="D779" s="13"/>
      <c r="F779" s="14"/>
      <c r="G779" s="14"/>
      <c r="H779" s="14"/>
      <c r="I779" s="14"/>
      <c r="J779" s="14"/>
      <c r="K779" s="12"/>
    </row>
    <row r="780" ht="19.5" customHeight="1">
      <c r="A780" s="12"/>
      <c r="C780" s="12"/>
      <c r="D780" s="13"/>
      <c r="F780" s="14"/>
      <c r="G780" s="14"/>
      <c r="H780" s="14"/>
      <c r="I780" s="14"/>
      <c r="J780" s="14"/>
      <c r="K780" s="12"/>
    </row>
    <row r="781" ht="19.5" customHeight="1">
      <c r="A781" s="12"/>
      <c r="C781" s="12"/>
      <c r="D781" s="13"/>
      <c r="F781" s="14"/>
      <c r="G781" s="14"/>
      <c r="H781" s="14"/>
      <c r="I781" s="14"/>
      <c r="J781" s="14"/>
      <c r="K781" s="12"/>
    </row>
    <row r="782" ht="19.5" customHeight="1">
      <c r="A782" s="12"/>
      <c r="C782" s="12"/>
      <c r="D782" s="13"/>
      <c r="F782" s="14"/>
      <c r="G782" s="14"/>
      <c r="H782" s="14"/>
      <c r="I782" s="14"/>
      <c r="J782" s="14"/>
      <c r="K782" s="12"/>
    </row>
    <row r="783" ht="19.5" customHeight="1">
      <c r="A783" s="12"/>
      <c r="C783" s="12"/>
      <c r="D783" s="13"/>
      <c r="F783" s="14"/>
      <c r="G783" s="14"/>
      <c r="H783" s="14"/>
      <c r="I783" s="14"/>
      <c r="J783" s="14"/>
      <c r="K783" s="12"/>
    </row>
    <row r="784" ht="19.5" customHeight="1">
      <c r="A784" s="12"/>
      <c r="C784" s="12"/>
      <c r="D784" s="13"/>
      <c r="F784" s="14"/>
      <c r="G784" s="14"/>
      <c r="H784" s="14"/>
      <c r="I784" s="14"/>
      <c r="J784" s="14"/>
      <c r="K784" s="12"/>
    </row>
    <row r="785" ht="19.5" customHeight="1">
      <c r="A785" s="12"/>
      <c r="C785" s="12"/>
      <c r="D785" s="13"/>
      <c r="F785" s="14"/>
      <c r="G785" s="14"/>
      <c r="H785" s="14"/>
      <c r="I785" s="14"/>
      <c r="J785" s="14"/>
      <c r="K785" s="12"/>
    </row>
    <row r="786" ht="19.5" customHeight="1">
      <c r="A786" s="12"/>
      <c r="C786" s="12"/>
      <c r="D786" s="13"/>
      <c r="F786" s="14"/>
      <c r="G786" s="14"/>
      <c r="H786" s="14"/>
      <c r="I786" s="14"/>
      <c r="J786" s="14"/>
      <c r="K786" s="12"/>
    </row>
    <row r="787" ht="19.5" customHeight="1">
      <c r="A787" s="12"/>
      <c r="C787" s="12"/>
      <c r="D787" s="13"/>
      <c r="F787" s="14"/>
      <c r="G787" s="14"/>
      <c r="H787" s="14"/>
      <c r="I787" s="14"/>
      <c r="J787" s="14"/>
      <c r="K787" s="12"/>
    </row>
    <row r="788" ht="19.5" customHeight="1">
      <c r="A788" s="12"/>
      <c r="C788" s="12"/>
      <c r="D788" s="13"/>
      <c r="F788" s="14"/>
      <c r="G788" s="14"/>
      <c r="H788" s="14"/>
      <c r="I788" s="14"/>
      <c r="J788" s="14"/>
      <c r="K788" s="12"/>
    </row>
    <row r="789" ht="19.5" customHeight="1">
      <c r="A789" s="12"/>
      <c r="C789" s="12"/>
      <c r="D789" s="13"/>
      <c r="F789" s="14"/>
      <c r="G789" s="14"/>
      <c r="H789" s="14"/>
      <c r="I789" s="14"/>
      <c r="J789" s="14"/>
      <c r="K789" s="12"/>
    </row>
    <row r="790" ht="19.5" customHeight="1">
      <c r="A790" s="12"/>
      <c r="C790" s="12"/>
      <c r="D790" s="13"/>
      <c r="F790" s="14"/>
      <c r="G790" s="14"/>
      <c r="H790" s="14"/>
      <c r="I790" s="14"/>
      <c r="J790" s="14"/>
      <c r="K790" s="12"/>
    </row>
    <row r="791" ht="19.5" customHeight="1">
      <c r="A791" s="12"/>
      <c r="C791" s="12"/>
      <c r="D791" s="13"/>
      <c r="F791" s="14"/>
      <c r="G791" s="14"/>
      <c r="H791" s="14"/>
      <c r="I791" s="14"/>
      <c r="J791" s="14"/>
      <c r="K791" s="12"/>
    </row>
    <row r="792" ht="19.5" customHeight="1">
      <c r="A792" s="12"/>
      <c r="C792" s="12"/>
      <c r="D792" s="13"/>
      <c r="F792" s="14"/>
      <c r="G792" s="14"/>
      <c r="H792" s="14"/>
      <c r="I792" s="14"/>
      <c r="J792" s="14"/>
      <c r="K792" s="12"/>
    </row>
    <row r="793" ht="19.5" customHeight="1">
      <c r="A793" s="12"/>
      <c r="C793" s="12"/>
      <c r="D793" s="13"/>
      <c r="F793" s="14"/>
      <c r="G793" s="14"/>
      <c r="H793" s="14"/>
      <c r="I793" s="14"/>
      <c r="J793" s="14"/>
      <c r="K793" s="12"/>
    </row>
    <row r="794" ht="19.5" customHeight="1">
      <c r="A794" s="12"/>
      <c r="C794" s="12"/>
      <c r="D794" s="13"/>
      <c r="F794" s="14"/>
      <c r="G794" s="14"/>
      <c r="H794" s="14"/>
      <c r="I794" s="14"/>
      <c r="J794" s="14"/>
      <c r="K794" s="12"/>
    </row>
    <row r="795" ht="19.5" customHeight="1">
      <c r="A795" s="12"/>
      <c r="C795" s="12"/>
      <c r="D795" s="13"/>
      <c r="F795" s="14"/>
      <c r="G795" s="14"/>
      <c r="H795" s="14"/>
      <c r="I795" s="14"/>
      <c r="J795" s="14"/>
      <c r="K795" s="12"/>
    </row>
    <row r="796" ht="19.5" customHeight="1">
      <c r="A796" s="12"/>
      <c r="C796" s="12"/>
      <c r="D796" s="13"/>
      <c r="F796" s="14"/>
      <c r="G796" s="14"/>
      <c r="H796" s="14"/>
      <c r="I796" s="14"/>
      <c r="J796" s="14"/>
      <c r="K796" s="12"/>
    </row>
    <row r="797" ht="19.5" customHeight="1">
      <c r="A797" s="12"/>
      <c r="C797" s="12"/>
      <c r="D797" s="13"/>
      <c r="F797" s="14"/>
      <c r="G797" s="14"/>
      <c r="H797" s="14"/>
      <c r="I797" s="14"/>
      <c r="J797" s="14"/>
      <c r="K797" s="12"/>
    </row>
    <row r="798" ht="19.5" customHeight="1">
      <c r="A798" s="12"/>
      <c r="C798" s="12"/>
      <c r="D798" s="13"/>
      <c r="F798" s="14"/>
      <c r="G798" s="14"/>
      <c r="H798" s="14"/>
      <c r="I798" s="14"/>
      <c r="J798" s="14"/>
      <c r="K798" s="12"/>
    </row>
    <row r="799" ht="19.5" customHeight="1">
      <c r="A799" s="12"/>
      <c r="C799" s="12"/>
      <c r="D799" s="13"/>
      <c r="F799" s="14"/>
      <c r="G799" s="14"/>
      <c r="H799" s="14"/>
      <c r="I799" s="14"/>
      <c r="J799" s="14"/>
      <c r="K799" s="12"/>
    </row>
    <row r="800" ht="19.5" customHeight="1">
      <c r="A800" s="12"/>
      <c r="C800" s="12"/>
      <c r="D800" s="13"/>
      <c r="F800" s="14"/>
      <c r="G800" s="14"/>
      <c r="H800" s="14"/>
      <c r="I800" s="14"/>
      <c r="J800" s="14"/>
      <c r="K800" s="12"/>
    </row>
    <row r="801" ht="19.5" customHeight="1">
      <c r="A801" s="12"/>
      <c r="C801" s="12"/>
      <c r="D801" s="13"/>
      <c r="F801" s="14"/>
      <c r="G801" s="14"/>
      <c r="H801" s="14"/>
      <c r="I801" s="14"/>
      <c r="J801" s="14"/>
      <c r="K801" s="12"/>
    </row>
    <row r="802" ht="19.5" customHeight="1">
      <c r="A802" s="12"/>
      <c r="C802" s="12"/>
      <c r="D802" s="13"/>
      <c r="F802" s="14"/>
      <c r="G802" s="14"/>
      <c r="H802" s="14"/>
      <c r="I802" s="14"/>
      <c r="J802" s="14"/>
      <c r="K802" s="12"/>
    </row>
    <row r="803" ht="19.5" customHeight="1">
      <c r="A803" s="12"/>
      <c r="C803" s="12"/>
      <c r="D803" s="13"/>
      <c r="F803" s="14"/>
      <c r="G803" s="14"/>
      <c r="H803" s="14"/>
      <c r="I803" s="14"/>
      <c r="J803" s="14"/>
      <c r="K803" s="12"/>
    </row>
    <row r="804" ht="19.5" customHeight="1">
      <c r="A804" s="12"/>
      <c r="C804" s="12"/>
      <c r="D804" s="13"/>
      <c r="F804" s="14"/>
      <c r="G804" s="14"/>
      <c r="H804" s="14"/>
      <c r="I804" s="14"/>
      <c r="J804" s="14"/>
      <c r="K804" s="12"/>
    </row>
    <row r="805" ht="19.5" customHeight="1">
      <c r="A805" s="12"/>
      <c r="C805" s="12"/>
      <c r="D805" s="13"/>
      <c r="F805" s="14"/>
      <c r="G805" s="14"/>
      <c r="H805" s="14"/>
      <c r="I805" s="14"/>
      <c r="J805" s="14"/>
      <c r="K805" s="12"/>
    </row>
    <row r="806" ht="19.5" customHeight="1">
      <c r="A806" s="12"/>
      <c r="C806" s="12"/>
      <c r="D806" s="13"/>
      <c r="F806" s="14"/>
      <c r="G806" s="14"/>
      <c r="H806" s="14"/>
      <c r="I806" s="14"/>
      <c r="J806" s="14"/>
      <c r="K806" s="12"/>
    </row>
    <row r="807" ht="19.5" customHeight="1">
      <c r="A807" s="12"/>
      <c r="C807" s="12"/>
      <c r="D807" s="13"/>
      <c r="F807" s="14"/>
      <c r="G807" s="14"/>
      <c r="H807" s="14"/>
      <c r="I807" s="14"/>
      <c r="J807" s="14"/>
      <c r="K807" s="12"/>
    </row>
    <row r="808" ht="19.5" customHeight="1">
      <c r="A808" s="12"/>
      <c r="C808" s="12"/>
      <c r="D808" s="13"/>
      <c r="F808" s="14"/>
      <c r="G808" s="14"/>
      <c r="H808" s="14"/>
      <c r="I808" s="14"/>
      <c r="J808" s="14"/>
      <c r="K808" s="12"/>
    </row>
    <row r="809" ht="19.5" customHeight="1">
      <c r="A809" s="12"/>
      <c r="C809" s="12"/>
      <c r="D809" s="13"/>
      <c r="F809" s="14"/>
      <c r="G809" s="14"/>
      <c r="H809" s="14"/>
      <c r="I809" s="14"/>
      <c r="J809" s="14"/>
      <c r="K809" s="12"/>
    </row>
    <row r="810" ht="19.5" customHeight="1">
      <c r="A810" s="12"/>
      <c r="C810" s="12"/>
      <c r="D810" s="13"/>
      <c r="F810" s="14"/>
      <c r="G810" s="14"/>
      <c r="H810" s="14"/>
      <c r="I810" s="14"/>
      <c r="J810" s="14"/>
      <c r="K810" s="12"/>
    </row>
    <row r="811" ht="19.5" customHeight="1">
      <c r="A811" s="12"/>
      <c r="C811" s="12"/>
      <c r="D811" s="13"/>
      <c r="F811" s="14"/>
      <c r="G811" s="14"/>
      <c r="H811" s="14"/>
      <c r="I811" s="14"/>
      <c r="J811" s="14"/>
      <c r="K811" s="12"/>
    </row>
    <row r="812" ht="19.5" customHeight="1">
      <c r="A812" s="12"/>
      <c r="C812" s="12"/>
      <c r="D812" s="13"/>
      <c r="F812" s="14"/>
      <c r="G812" s="14"/>
      <c r="H812" s="14"/>
      <c r="I812" s="14"/>
      <c r="J812" s="14"/>
      <c r="K812" s="12"/>
    </row>
    <row r="813" ht="19.5" customHeight="1">
      <c r="A813" s="12"/>
      <c r="C813" s="12"/>
      <c r="D813" s="13"/>
      <c r="F813" s="14"/>
      <c r="G813" s="14"/>
      <c r="H813" s="14"/>
      <c r="I813" s="14"/>
      <c r="J813" s="14"/>
      <c r="K813" s="12"/>
    </row>
    <row r="814" ht="19.5" customHeight="1">
      <c r="A814" s="12"/>
      <c r="C814" s="12"/>
      <c r="D814" s="13"/>
      <c r="F814" s="14"/>
      <c r="G814" s="14"/>
      <c r="H814" s="14"/>
      <c r="I814" s="14"/>
      <c r="J814" s="14"/>
      <c r="K814" s="12"/>
    </row>
    <row r="815" ht="19.5" customHeight="1">
      <c r="A815" s="12"/>
      <c r="C815" s="12"/>
      <c r="D815" s="13"/>
      <c r="F815" s="14"/>
      <c r="G815" s="14"/>
      <c r="H815" s="14"/>
      <c r="I815" s="14"/>
      <c r="J815" s="14"/>
      <c r="K815" s="12"/>
    </row>
    <row r="816" ht="19.5" customHeight="1">
      <c r="A816" s="12"/>
      <c r="C816" s="12"/>
      <c r="D816" s="13"/>
      <c r="F816" s="14"/>
      <c r="G816" s="14"/>
      <c r="H816" s="14"/>
      <c r="I816" s="14"/>
      <c r="J816" s="14"/>
      <c r="K816" s="12"/>
    </row>
    <row r="817" ht="19.5" customHeight="1">
      <c r="A817" s="12"/>
      <c r="C817" s="12"/>
      <c r="D817" s="13"/>
      <c r="F817" s="14"/>
      <c r="G817" s="14"/>
      <c r="H817" s="14"/>
      <c r="I817" s="14"/>
      <c r="J817" s="14"/>
      <c r="K817" s="12"/>
    </row>
    <row r="818" ht="19.5" customHeight="1">
      <c r="A818" s="12"/>
      <c r="C818" s="12"/>
      <c r="D818" s="13"/>
      <c r="F818" s="14"/>
      <c r="G818" s="14"/>
      <c r="H818" s="14"/>
      <c r="I818" s="14"/>
      <c r="J818" s="14"/>
      <c r="K818" s="12"/>
    </row>
    <row r="819" ht="19.5" customHeight="1">
      <c r="A819" s="12"/>
      <c r="C819" s="12"/>
      <c r="D819" s="13"/>
      <c r="F819" s="14"/>
      <c r="G819" s="14"/>
      <c r="H819" s="14"/>
      <c r="I819" s="14"/>
      <c r="J819" s="14"/>
      <c r="K819" s="12"/>
    </row>
    <row r="820" ht="19.5" customHeight="1">
      <c r="A820" s="12"/>
      <c r="C820" s="12"/>
      <c r="D820" s="13"/>
      <c r="F820" s="14"/>
      <c r="G820" s="14"/>
      <c r="H820" s="14"/>
      <c r="I820" s="14"/>
      <c r="J820" s="14"/>
      <c r="K820" s="12"/>
    </row>
    <row r="821" ht="19.5" customHeight="1">
      <c r="A821" s="12"/>
      <c r="C821" s="12"/>
      <c r="D821" s="13"/>
      <c r="F821" s="14"/>
      <c r="G821" s="14"/>
      <c r="H821" s="14"/>
      <c r="I821" s="14"/>
      <c r="J821" s="14"/>
      <c r="K821" s="12"/>
    </row>
    <row r="822" ht="19.5" customHeight="1">
      <c r="A822" s="12"/>
      <c r="C822" s="12"/>
      <c r="D822" s="13"/>
      <c r="F822" s="14"/>
      <c r="G822" s="14"/>
      <c r="H822" s="14"/>
      <c r="I822" s="14"/>
      <c r="J822" s="14"/>
      <c r="K822" s="12"/>
    </row>
    <row r="823" ht="19.5" customHeight="1">
      <c r="A823" s="12"/>
      <c r="C823" s="12"/>
      <c r="D823" s="13"/>
      <c r="F823" s="14"/>
      <c r="G823" s="14"/>
      <c r="H823" s="14"/>
      <c r="I823" s="14"/>
      <c r="J823" s="14"/>
      <c r="K823" s="12"/>
    </row>
    <row r="824" ht="19.5" customHeight="1">
      <c r="A824" s="12"/>
      <c r="C824" s="12"/>
      <c r="D824" s="13"/>
      <c r="F824" s="14"/>
      <c r="G824" s="14"/>
      <c r="H824" s="14"/>
      <c r="I824" s="14"/>
      <c r="J824" s="14"/>
      <c r="K824" s="12"/>
    </row>
    <row r="825" ht="19.5" customHeight="1">
      <c r="A825" s="12"/>
      <c r="C825" s="12"/>
      <c r="D825" s="13"/>
      <c r="F825" s="14"/>
      <c r="G825" s="14"/>
      <c r="H825" s="14"/>
      <c r="I825" s="14"/>
      <c r="J825" s="14"/>
      <c r="K825" s="12"/>
    </row>
    <row r="826" ht="19.5" customHeight="1">
      <c r="A826" s="12"/>
      <c r="C826" s="12"/>
      <c r="D826" s="13"/>
      <c r="F826" s="14"/>
      <c r="G826" s="14"/>
      <c r="H826" s="14"/>
      <c r="I826" s="14"/>
      <c r="J826" s="14"/>
      <c r="K826" s="12"/>
    </row>
    <row r="827" ht="19.5" customHeight="1">
      <c r="A827" s="12"/>
      <c r="C827" s="12"/>
      <c r="D827" s="13"/>
      <c r="F827" s="14"/>
      <c r="G827" s="14"/>
      <c r="H827" s="14"/>
      <c r="I827" s="14"/>
      <c r="J827" s="14"/>
      <c r="K827" s="12"/>
    </row>
    <row r="828" ht="19.5" customHeight="1">
      <c r="A828" s="12"/>
      <c r="C828" s="12"/>
      <c r="D828" s="13"/>
      <c r="F828" s="14"/>
      <c r="G828" s="14"/>
      <c r="H828" s="14"/>
      <c r="I828" s="14"/>
      <c r="J828" s="14"/>
      <c r="K828" s="12"/>
    </row>
    <row r="829" ht="19.5" customHeight="1">
      <c r="A829" s="12"/>
      <c r="C829" s="12"/>
      <c r="D829" s="13"/>
      <c r="F829" s="14"/>
      <c r="G829" s="14"/>
      <c r="H829" s="14"/>
      <c r="I829" s="14"/>
      <c r="J829" s="14"/>
      <c r="K829" s="12"/>
    </row>
    <row r="830" ht="19.5" customHeight="1">
      <c r="A830" s="12"/>
      <c r="C830" s="12"/>
      <c r="D830" s="13"/>
      <c r="F830" s="14"/>
      <c r="G830" s="14"/>
      <c r="H830" s="14"/>
      <c r="I830" s="14"/>
      <c r="J830" s="14"/>
      <c r="K830" s="12"/>
    </row>
    <row r="831" ht="19.5" customHeight="1">
      <c r="A831" s="12"/>
      <c r="C831" s="12"/>
      <c r="D831" s="13"/>
      <c r="F831" s="14"/>
      <c r="G831" s="14"/>
      <c r="H831" s="14"/>
      <c r="I831" s="14"/>
      <c r="J831" s="14"/>
      <c r="K831" s="12"/>
    </row>
    <row r="832" ht="19.5" customHeight="1">
      <c r="A832" s="12"/>
      <c r="C832" s="12"/>
      <c r="D832" s="13"/>
      <c r="F832" s="14"/>
      <c r="G832" s="14"/>
      <c r="H832" s="14"/>
      <c r="I832" s="14"/>
      <c r="J832" s="14"/>
      <c r="K832" s="12"/>
    </row>
    <row r="833" ht="19.5" customHeight="1">
      <c r="A833" s="12"/>
      <c r="C833" s="12"/>
      <c r="D833" s="13"/>
      <c r="F833" s="14"/>
      <c r="G833" s="14"/>
      <c r="H833" s="14"/>
      <c r="I833" s="14"/>
      <c r="J833" s="14"/>
      <c r="K833" s="12"/>
    </row>
    <row r="834" ht="19.5" customHeight="1">
      <c r="A834" s="12"/>
      <c r="C834" s="12"/>
      <c r="D834" s="13"/>
      <c r="F834" s="14"/>
      <c r="G834" s="14"/>
      <c r="H834" s="14"/>
      <c r="I834" s="14"/>
      <c r="J834" s="14"/>
      <c r="K834" s="12"/>
    </row>
    <row r="835" ht="19.5" customHeight="1">
      <c r="A835" s="12"/>
      <c r="C835" s="12"/>
      <c r="D835" s="13"/>
      <c r="F835" s="14"/>
      <c r="G835" s="14"/>
      <c r="H835" s="14"/>
      <c r="I835" s="14"/>
      <c r="J835" s="14"/>
      <c r="K835" s="12"/>
    </row>
    <row r="836" ht="19.5" customHeight="1">
      <c r="A836" s="12"/>
      <c r="C836" s="12"/>
      <c r="D836" s="13"/>
      <c r="F836" s="14"/>
      <c r="G836" s="14"/>
      <c r="H836" s="14"/>
      <c r="I836" s="14"/>
      <c r="J836" s="14"/>
      <c r="K836" s="12"/>
    </row>
    <row r="837" ht="19.5" customHeight="1">
      <c r="A837" s="12"/>
      <c r="C837" s="12"/>
      <c r="D837" s="13"/>
      <c r="F837" s="14"/>
      <c r="G837" s="14"/>
      <c r="H837" s="14"/>
      <c r="I837" s="14"/>
      <c r="J837" s="14"/>
      <c r="K837" s="12"/>
    </row>
    <row r="838" ht="19.5" customHeight="1">
      <c r="A838" s="12"/>
      <c r="C838" s="12"/>
      <c r="D838" s="13"/>
      <c r="F838" s="14"/>
      <c r="G838" s="14"/>
      <c r="H838" s="14"/>
      <c r="I838" s="14"/>
      <c r="J838" s="14"/>
      <c r="K838" s="12"/>
    </row>
    <row r="839" ht="19.5" customHeight="1">
      <c r="A839" s="12"/>
      <c r="C839" s="12"/>
      <c r="D839" s="13"/>
      <c r="F839" s="14"/>
      <c r="G839" s="14"/>
      <c r="H839" s="14"/>
      <c r="I839" s="14"/>
      <c r="J839" s="14"/>
      <c r="K839" s="12"/>
    </row>
    <row r="840" ht="19.5" customHeight="1">
      <c r="A840" s="12"/>
      <c r="C840" s="12"/>
      <c r="D840" s="13"/>
      <c r="F840" s="14"/>
      <c r="G840" s="14"/>
      <c r="H840" s="14"/>
      <c r="I840" s="14"/>
      <c r="J840" s="14"/>
      <c r="K840" s="12"/>
    </row>
    <row r="841" ht="19.5" customHeight="1">
      <c r="A841" s="12"/>
      <c r="C841" s="12"/>
      <c r="D841" s="13"/>
      <c r="F841" s="14"/>
      <c r="G841" s="14"/>
      <c r="H841" s="14"/>
      <c r="I841" s="14"/>
      <c r="J841" s="14"/>
      <c r="K841" s="12"/>
    </row>
    <row r="842" ht="19.5" customHeight="1">
      <c r="A842" s="12"/>
      <c r="C842" s="12"/>
      <c r="D842" s="13"/>
      <c r="F842" s="14"/>
      <c r="G842" s="14"/>
      <c r="H842" s="14"/>
      <c r="I842" s="14"/>
      <c r="J842" s="14"/>
      <c r="K842" s="12"/>
    </row>
    <row r="843" ht="19.5" customHeight="1">
      <c r="A843" s="12"/>
      <c r="C843" s="12"/>
      <c r="D843" s="13"/>
      <c r="F843" s="14"/>
      <c r="G843" s="14"/>
      <c r="H843" s="14"/>
      <c r="I843" s="14"/>
      <c r="J843" s="14"/>
      <c r="K843" s="12"/>
    </row>
    <row r="844" ht="19.5" customHeight="1">
      <c r="A844" s="12"/>
      <c r="C844" s="12"/>
      <c r="D844" s="13"/>
      <c r="F844" s="14"/>
      <c r="G844" s="14"/>
      <c r="H844" s="14"/>
      <c r="I844" s="14"/>
      <c r="J844" s="14"/>
      <c r="K844" s="12"/>
    </row>
    <row r="845" ht="19.5" customHeight="1">
      <c r="A845" s="12"/>
      <c r="C845" s="12"/>
      <c r="D845" s="13"/>
      <c r="F845" s="14"/>
      <c r="G845" s="14"/>
      <c r="H845" s="14"/>
      <c r="I845" s="14"/>
      <c r="J845" s="14"/>
      <c r="K845" s="12"/>
    </row>
    <row r="846" ht="19.5" customHeight="1">
      <c r="A846" s="12"/>
      <c r="C846" s="12"/>
      <c r="D846" s="13"/>
      <c r="F846" s="14"/>
      <c r="G846" s="14"/>
      <c r="H846" s="14"/>
      <c r="I846" s="14"/>
      <c r="J846" s="14"/>
      <c r="K846" s="12"/>
    </row>
    <row r="847" ht="19.5" customHeight="1">
      <c r="A847" s="12"/>
      <c r="C847" s="12"/>
      <c r="D847" s="13"/>
      <c r="F847" s="14"/>
      <c r="G847" s="14"/>
      <c r="H847" s="14"/>
      <c r="I847" s="14"/>
      <c r="J847" s="14"/>
      <c r="K847" s="12"/>
    </row>
    <row r="848" ht="19.5" customHeight="1">
      <c r="A848" s="12"/>
      <c r="C848" s="12"/>
      <c r="D848" s="13"/>
      <c r="F848" s="14"/>
      <c r="G848" s="14"/>
      <c r="H848" s="14"/>
      <c r="I848" s="14"/>
      <c r="J848" s="14"/>
      <c r="K848" s="12"/>
    </row>
    <row r="849" ht="19.5" customHeight="1">
      <c r="A849" s="12"/>
      <c r="C849" s="12"/>
      <c r="D849" s="13"/>
      <c r="F849" s="14"/>
      <c r="G849" s="14"/>
      <c r="H849" s="14"/>
      <c r="I849" s="14"/>
      <c r="J849" s="14"/>
      <c r="K849" s="12"/>
    </row>
    <row r="850" ht="19.5" customHeight="1">
      <c r="A850" s="12"/>
      <c r="C850" s="12"/>
      <c r="D850" s="13"/>
      <c r="F850" s="14"/>
      <c r="G850" s="14"/>
      <c r="H850" s="14"/>
      <c r="I850" s="14"/>
      <c r="J850" s="14"/>
      <c r="K850" s="12"/>
    </row>
    <row r="851" ht="19.5" customHeight="1">
      <c r="A851" s="12"/>
      <c r="C851" s="12"/>
      <c r="D851" s="13"/>
      <c r="F851" s="14"/>
      <c r="G851" s="14"/>
      <c r="H851" s="14"/>
      <c r="I851" s="14"/>
      <c r="J851" s="14"/>
      <c r="K851" s="12"/>
    </row>
    <row r="852" ht="19.5" customHeight="1">
      <c r="A852" s="12"/>
      <c r="C852" s="12"/>
      <c r="D852" s="13"/>
      <c r="F852" s="14"/>
      <c r="G852" s="14"/>
      <c r="H852" s="14"/>
      <c r="I852" s="14"/>
      <c r="J852" s="14"/>
      <c r="K852" s="12"/>
    </row>
    <row r="853" ht="19.5" customHeight="1">
      <c r="A853" s="12"/>
      <c r="C853" s="12"/>
      <c r="D853" s="13"/>
      <c r="F853" s="14"/>
      <c r="G853" s="14"/>
      <c r="H853" s="14"/>
      <c r="I853" s="14"/>
      <c r="J853" s="14"/>
      <c r="K853" s="12"/>
    </row>
    <row r="854" ht="19.5" customHeight="1">
      <c r="A854" s="12"/>
      <c r="C854" s="12"/>
      <c r="D854" s="13"/>
      <c r="F854" s="14"/>
      <c r="G854" s="14"/>
      <c r="H854" s="14"/>
      <c r="I854" s="14"/>
      <c r="J854" s="14"/>
      <c r="K854" s="12"/>
    </row>
    <row r="855" ht="19.5" customHeight="1">
      <c r="A855" s="12"/>
      <c r="C855" s="12"/>
      <c r="D855" s="13"/>
      <c r="F855" s="14"/>
      <c r="G855" s="14"/>
      <c r="H855" s="14"/>
      <c r="I855" s="14"/>
      <c r="J855" s="14"/>
      <c r="K855" s="12"/>
    </row>
    <row r="856" ht="19.5" customHeight="1">
      <c r="A856" s="12"/>
      <c r="C856" s="12"/>
      <c r="D856" s="13"/>
      <c r="F856" s="14"/>
      <c r="G856" s="14"/>
      <c r="H856" s="14"/>
      <c r="I856" s="14"/>
      <c r="J856" s="14"/>
      <c r="K856" s="12"/>
    </row>
    <row r="857" ht="19.5" customHeight="1">
      <c r="A857" s="12"/>
      <c r="C857" s="12"/>
      <c r="D857" s="13"/>
      <c r="F857" s="14"/>
      <c r="G857" s="14"/>
      <c r="H857" s="14"/>
      <c r="I857" s="14"/>
      <c r="J857" s="14"/>
      <c r="K857" s="12"/>
    </row>
    <row r="858" ht="19.5" customHeight="1">
      <c r="A858" s="12"/>
      <c r="C858" s="12"/>
      <c r="D858" s="13"/>
      <c r="F858" s="14"/>
      <c r="G858" s="14"/>
      <c r="H858" s="14"/>
      <c r="I858" s="14"/>
      <c r="J858" s="14"/>
      <c r="K858" s="12"/>
    </row>
    <row r="859" ht="19.5" customHeight="1">
      <c r="A859" s="12"/>
      <c r="C859" s="12"/>
      <c r="D859" s="13"/>
      <c r="F859" s="14"/>
      <c r="G859" s="14"/>
      <c r="H859" s="14"/>
      <c r="I859" s="14"/>
      <c r="J859" s="14"/>
      <c r="K859" s="12"/>
    </row>
    <row r="860" ht="19.5" customHeight="1">
      <c r="A860" s="12"/>
      <c r="C860" s="12"/>
      <c r="D860" s="13"/>
      <c r="F860" s="14"/>
      <c r="G860" s="14"/>
      <c r="H860" s="14"/>
      <c r="I860" s="14"/>
      <c r="J860" s="14"/>
      <c r="K860" s="12"/>
    </row>
    <row r="861" ht="19.5" customHeight="1">
      <c r="A861" s="12"/>
      <c r="C861" s="12"/>
      <c r="D861" s="13"/>
      <c r="F861" s="14"/>
      <c r="G861" s="14"/>
      <c r="H861" s="14"/>
      <c r="I861" s="14"/>
      <c r="J861" s="14"/>
      <c r="K861" s="12"/>
    </row>
    <row r="862" ht="19.5" customHeight="1">
      <c r="A862" s="12"/>
      <c r="C862" s="12"/>
      <c r="D862" s="13"/>
      <c r="F862" s="14"/>
      <c r="G862" s="14"/>
      <c r="H862" s="14"/>
      <c r="I862" s="14"/>
      <c r="J862" s="14"/>
      <c r="K862" s="12"/>
    </row>
    <row r="863" ht="19.5" customHeight="1">
      <c r="A863" s="12"/>
      <c r="C863" s="12"/>
      <c r="D863" s="13"/>
      <c r="F863" s="14"/>
      <c r="G863" s="14"/>
      <c r="H863" s="14"/>
      <c r="I863" s="14"/>
      <c r="J863" s="14"/>
      <c r="K863" s="12"/>
    </row>
    <row r="864" ht="19.5" customHeight="1">
      <c r="A864" s="12"/>
      <c r="C864" s="12"/>
      <c r="D864" s="13"/>
      <c r="F864" s="14"/>
      <c r="G864" s="14"/>
      <c r="H864" s="14"/>
      <c r="I864" s="14"/>
      <c r="J864" s="14"/>
      <c r="K864" s="12"/>
    </row>
    <row r="865" ht="19.5" customHeight="1">
      <c r="A865" s="12"/>
      <c r="C865" s="12"/>
      <c r="D865" s="13"/>
      <c r="F865" s="14"/>
      <c r="G865" s="14"/>
      <c r="H865" s="14"/>
      <c r="I865" s="14"/>
      <c r="J865" s="14"/>
      <c r="K865" s="12"/>
    </row>
    <row r="866" ht="19.5" customHeight="1">
      <c r="A866" s="12"/>
      <c r="C866" s="12"/>
      <c r="D866" s="13"/>
      <c r="F866" s="14"/>
      <c r="G866" s="14"/>
      <c r="H866" s="14"/>
      <c r="I866" s="14"/>
      <c r="J866" s="14"/>
      <c r="K866" s="12"/>
    </row>
    <row r="867" ht="19.5" customHeight="1">
      <c r="A867" s="12"/>
      <c r="C867" s="12"/>
      <c r="D867" s="13"/>
      <c r="F867" s="14"/>
      <c r="G867" s="14"/>
      <c r="H867" s="14"/>
      <c r="I867" s="14"/>
      <c r="J867" s="14"/>
      <c r="K867" s="12"/>
    </row>
    <row r="868" ht="19.5" customHeight="1">
      <c r="A868" s="12"/>
      <c r="C868" s="12"/>
      <c r="D868" s="13"/>
      <c r="F868" s="14"/>
      <c r="G868" s="14"/>
      <c r="H868" s="14"/>
      <c r="I868" s="14"/>
      <c r="J868" s="14"/>
      <c r="K868" s="12"/>
    </row>
    <row r="869" ht="19.5" customHeight="1">
      <c r="A869" s="12"/>
      <c r="C869" s="12"/>
      <c r="D869" s="13"/>
      <c r="F869" s="14"/>
      <c r="G869" s="14"/>
      <c r="H869" s="14"/>
      <c r="I869" s="14"/>
      <c r="J869" s="14"/>
      <c r="K869" s="12"/>
    </row>
    <row r="870" ht="19.5" customHeight="1">
      <c r="A870" s="12"/>
      <c r="C870" s="12"/>
      <c r="D870" s="13"/>
      <c r="F870" s="14"/>
      <c r="G870" s="14"/>
      <c r="H870" s="14"/>
      <c r="I870" s="14"/>
      <c r="J870" s="14"/>
      <c r="K870" s="12"/>
    </row>
    <row r="871" ht="19.5" customHeight="1">
      <c r="A871" s="12"/>
      <c r="C871" s="12"/>
      <c r="D871" s="13"/>
      <c r="F871" s="14"/>
      <c r="G871" s="14"/>
      <c r="H871" s="14"/>
      <c r="I871" s="14"/>
      <c r="J871" s="14"/>
      <c r="K871" s="12"/>
    </row>
    <row r="872" ht="19.5" customHeight="1">
      <c r="A872" s="12"/>
      <c r="C872" s="12"/>
      <c r="D872" s="13"/>
      <c r="F872" s="14"/>
      <c r="G872" s="14"/>
      <c r="H872" s="14"/>
      <c r="I872" s="14"/>
      <c r="J872" s="14"/>
      <c r="K872" s="12"/>
    </row>
    <row r="873" ht="19.5" customHeight="1">
      <c r="A873" s="12"/>
      <c r="C873" s="12"/>
      <c r="D873" s="13"/>
      <c r="F873" s="14"/>
      <c r="G873" s="14"/>
      <c r="H873" s="14"/>
      <c r="I873" s="14"/>
      <c r="J873" s="14"/>
      <c r="K873" s="12"/>
    </row>
    <row r="874" ht="19.5" customHeight="1">
      <c r="A874" s="12"/>
      <c r="C874" s="12"/>
      <c r="D874" s="13"/>
      <c r="F874" s="14"/>
      <c r="G874" s="14"/>
      <c r="H874" s="14"/>
      <c r="I874" s="14"/>
      <c r="J874" s="14"/>
      <c r="K874" s="12"/>
    </row>
    <row r="875" ht="19.5" customHeight="1">
      <c r="A875" s="12"/>
      <c r="C875" s="12"/>
      <c r="D875" s="13"/>
      <c r="F875" s="14"/>
      <c r="G875" s="14"/>
      <c r="H875" s="14"/>
      <c r="I875" s="14"/>
      <c r="J875" s="14"/>
      <c r="K875" s="12"/>
    </row>
    <row r="876" ht="19.5" customHeight="1">
      <c r="A876" s="12"/>
      <c r="C876" s="12"/>
      <c r="D876" s="13"/>
      <c r="F876" s="14"/>
      <c r="G876" s="14"/>
      <c r="H876" s="14"/>
      <c r="I876" s="14"/>
      <c r="J876" s="14"/>
      <c r="K876" s="12"/>
    </row>
    <row r="877" ht="19.5" customHeight="1">
      <c r="A877" s="12"/>
      <c r="C877" s="12"/>
      <c r="D877" s="13"/>
      <c r="F877" s="14"/>
      <c r="G877" s="14"/>
      <c r="H877" s="14"/>
      <c r="I877" s="14"/>
      <c r="J877" s="14"/>
      <c r="K877" s="12"/>
    </row>
    <row r="878" ht="19.5" customHeight="1">
      <c r="A878" s="12"/>
      <c r="C878" s="12"/>
      <c r="D878" s="13"/>
      <c r="F878" s="14"/>
      <c r="G878" s="14"/>
      <c r="H878" s="14"/>
      <c r="I878" s="14"/>
      <c r="J878" s="14"/>
      <c r="K878" s="12"/>
    </row>
    <row r="879" ht="19.5" customHeight="1">
      <c r="A879" s="12"/>
      <c r="C879" s="12"/>
      <c r="D879" s="13"/>
      <c r="F879" s="14"/>
      <c r="G879" s="14"/>
      <c r="H879" s="14"/>
      <c r="I879" s="14"/>
      <c r="J879" s="14"/>
      <c r="K879" s="12"/>
    </row>
    <row r="880" ht="19.5" customHeight="1">
      <c r="A880" s="12"/>
      <c r="C880" s="12"/>
      <c r="D880" s="13"/>
      <c r="F880" s="14"/>
      <c r="G880" s="14"/>
      <c r="H880" s="14"/>
      <c r="I880" s="14"/>
      <c r="J880" s="14"/>
      <c r="K880" s="12"/>
    </row>
    <row r="881" ht="19.5" customHeight="1">
      <c r="A881" s="12"/>
      <c r="C881" s="12"/>
      <c r="D881" s="13"/>
      <c r="F881" s="14"/>
      <c r="G881" s="14"/>
      <c r="H881" s="14"/>
      <c r="I881" s="14"/>
      <c r="J881" s="14"/>
      <c r="K881" s="12"/>
    </row>
    <row r="882" ht="19.5" customHeight="1">
      <c r="A882" s="12"/>
      <c r="C882" s="12"/>
      <c r="D882" s="13"/>
      <c r="F882" s="14"/>
      <c r="G882" s="14"/>
      <c r="H882" s="14"/>
      <c r="I882" s="14"/>
      <c r="J882" s="14"/>
      <c r="K882" s="12"/>
    </row>
    <row r="883" ht="19.5" customHeight="1">
      <c r="A883" s="12"/>
      <c r="C883" s="12"/>
      <c r="D883" s="13"/>
      <c r="F883" s="14"/>
      <c r="G883" s="14"/>
      <c r="H883" s="14"/>
      <c r="I883" s="14"/>
      <c r="J883" s="14"/>
      <c r="K883" s="12"/>
    </row>
    <row r="884" ht="19.5" customHeight="1">
      <c r="A884" s="12"/>
      <c r="C884" s="12"/>
      <c r="D884" s="13"/>
      <c r="F884" s="14"/>
      <c r="G884" s="14"/>
      <c r="H884" s="14"/>
      <c r="I884" s="14"/>
      <c r="J884" s="14"/>
      <c r="K884" s="12"/>
    </row>
    <row r="885" ht="19.5" customHeight="1">
      <c r="A885" s="12"/>
      <c r="C885" s="12"/>
      <c r="D885" s="13"/>
      <c r="F885" s="14"/>
      <c r="G885" s="14"/>
      <c r="H885" s="14"/>
      <c r="I885" s="14"/>
      <c r="J885" s="14"/>
      <c r="K885" s="12"/>
    </row>
    <row r="886" ht="19.5" customHeight="1">
      <c r="A886" s="12"/>
      <c r="C886" s="12"/>
      <c r="D886" s="13"/>
      <c r="F886" s="14"/>
      <c r="G886" s="14"/>
      <c r="H886" s="14"/>
      <c r="I886" s="14"/>
      <c r="J886" s="14"/>
      <c r="K886" s="12"/>
    </row>
    <row r="887" ht="19.5" customHeight="1">
      <c r="A887" s="12"/>
      <c r="C887" s="12"/>
      <c r="D887" s="13"/>
      <c r="F887" s="14"/>
      <c r="G887" s="14"/>
      <c r="H887" s="14"/>
      <c r="I887" s="14"/>
      <c r="J887" s="14"/>
      <c r="K887" s="12"/>
    </row>
    <row r="888" ht="19.5" customHeight="1">
      <c r="A888" s="12"/>
      <c r="C888" s="12"/>
      <c r="D888" s="13"/>
      <c r="F888" s="14"/>
      <c r="G888" s="14"/>
      <c r="H888" s="14"/>
      <c r="I888" s="14"/>
      <c r="J888" s="14"/>
      <c r="K888" s="12"/>
    </row>
    <row r="889" ht="19.5" customHeight="1">
      <c r="A889" s="12"/>
      <c r="C889" s="12"/>
      <c r="D889" s="13"/>
      <c r="F889" s="14"/>
      <c r="G889" s="14"/>
      <c r="H889" s="14"/>
      <c r="I889" s="14"/>
      <c r="J889" s="14"/>
      <c r="K889" s="12"/>
    </row>
    <row r="890" ht="19.5" customHeight="1">
      <c r="A890" s="12"/>
      <c r="C890" s="12"/>
      <c r="D890" s="13"/>
      <c r="F890" s="14"/>
      <c r="G890" s="14"/>
      <c r="H890" s="14"/>
      <c r="I890" s="14"/>
      <c r="J890" s="14"/>
      <c r="K890" s="12"/>
    </row>
    <row r="891" ht="19.5" customHeight="1">
      <c r="A891" s="12"/>
      <c r="C891" s="12"/>
      <c r="D891" s="13"/>
      <c r="F891" s="14"/>
      <c r="G891" s="14"/>
      <c r="H891" s="14"/>
      <c r="I891" s="14"/>
      <c r="J891" s="14"/>
      <c r="K891" s="12"/>
    </row>
    <row r="892" ht="19.5" customHeight="1">
      <c r="A892" s="12"/>
      <c r="C892" s="12"/>
      <c r="D892" s="13"/>
      <c r="F892" s="14"/>
      <c r="G892" s="14"/>
      <c r="H892" s="14"/>
      <c r="I892" s="14"/>
      <c r="J892" s="14"/>
      <c r="K892" s="12"/>
    </row>
    <row r="893" ht="19.5" customHeight="1">
      <c r="A893" s="12"/>
      <c r="C893" s="12"/>
      <c r="D893" s="13"/>
      <c r="F893" s="14"/>
      <c r="G893" s="14"/>
      <c r="H893" s="14"/>
      <c r="I893" s="14"/>
      <c r="J893" s="14"/>
      <c r="K893" s="12"/>
    </row>
    <row r="894" ht="19.5" customHeight="1">
      <c r="A894" s="12"/>
      <c r="C894" s="12"/>
      <c r="D894" s="13"/>
      <c r="F894" s="14"/>
      <c r="G894" s="14"/>
      <c r="H894" s="14"/>
      <c r="I894" s="14"/>
      <c r="J894" s="14"/>
      <c r="K894" s="12"/>
    </row>
    <row r="895" ht="19.5" customHeight="1">
      <c r="A895" s="12"/>
      <c r="C895" s="12"/>
      <c r="D895" s="13"/>
      <c r="F895" s="14"/>
      <c r="G895" s="14"/>
      <c r="H895" s="14"/>
      <c r="I895" s="14"/>
      <c r="J895" s="14"/>
      <c r="K895" s="12"/>
    </row>
    <row r="896" ht="19.5" customHeight="1">
      <c r="A896" s="12"/>
      <c r="C896" s="12"/>
      <c r="D896" s="13"/>
      <c r="F896" s="14"/>
      <c r="G896" s="14"/>
      <c r="H896" s="14"/>
      <c r="I896" s="14"/>
      <c r="J896" s="14"/>
      <c r="K896" s="12"/>
    </row>
    <row r="897" ht="19.5" customHeight="1">
      <c r="A897" s="12"/>
      <c r="C897" s="12"/>
      <c r="D897" s="13"/>
      <c r="F897" s="14"/>
      <c r="G897" s="14"/>
      <c r="H897" s="14"/>
      <c r="I897" s="14"/>
      <c r="J897" s="14"/>
      <c r="K897" s="12"/>
    </row>
    <row r="898" ht="19.5" customHeight="1">
      <c r="A898" s="12"/>
      <c r="C898" s="12"/>
      <c r="D898" s="13"/>
      <c r="F898" s="14"/>
      <c r="G898" s="14"/>
      <c r="H898" s="14"/>
      <c r="I898" s="14"/>
      <c r="J898" s="14"/>
      <c r="K898" s="12"/>
    </row>
    <row r="899" ht="19.5" customHeight="1">
      <c r="A899" s="12"/>
      <c r="C899" s="12"/>
      <c r="D899" s="13"/>
      <c r="F899" s="14"/>
      <c r="G899" s="14"/>
      <c r="H899" s="14"/>
      <c r="I899" s="14"/>
      <c r="J899" s="14"/>
      <c r="K899" s="12"/>
    </row>
    <row r="900" ht="19.5" customHeight="1">
      <c r="A900" s="12"/>
      <c r="C900" s="12"/>
      <c r="D900" s="13"/>
      <c r="F900" s="14"/>
      <c r="G900" s="14"/>
      <c r="H900" s="14"/>
      <c r="I900" s="14"/>
      <c r="J900" s="14"/>
      <c r="K900" s="12"/>
    </row>
    <row r="901" ht="19.5" customHeight="1">
      <c r="A901" s="12"/>
      <c r="C901" s="12"/>
      <c r="D901" s="13"/>
      <c r="F901" s="14"/>
      <c r="G901" s="14"/>
      <c r="H901" s="14"/>
      <c r="I901" s="14"/>
      <c r="J901" s="14"/>
      <c r="K901" s="12"/>
    </row>
    <row r="902" ht="19.5" customHeight="1">
      <c r="A902" s="12"/>
      <c r="C902" s="12"/>
      <c r="D902" s="13"/>
      <c r="F902" s="14"/>
      <c r="G902" s="14"/>
      <c r="H902" s="14"/>
      <c r="I902" s="14"/>
      <c r="J902" s="14"/>
      <c r="K902" s="12"/>
    </row>
    <row r="903" ht="19.5" customHeight="1">
      <c r="A903" s="12"/>
      <c r="C903" s="12"/>
      <c r="D903" s="13"/>
      <c r="F903" s="14"/>
      <c r="G903" s="14"/>
      <c r="H903" s="14"/>
      <c r="I903" s="14"/>
      <c r="J903" s="14"/>
      <c r="K903" s="12"/>
    </row>
    <row r="904" ht="19.5" customHeight="1">
      <c r="A904" s="12"/>
      <c r="C904" s="12"/>
      <c r="D904" s="13"/>
      <c r="F904" s="14"/>
      <c r="G904" s="14"/>
      <c r="H904" s="14"/>
      <c r="I904" s="14"/>
      <c r="J904" s="14"/>
      <c r="K904" s="12"/>
    </row>
    <row r="905" ht="19.5" customHeight="1">
      <c r="A905" s="12"/>
      <c r="C905" s="12"/>
      <c r="D905" s="13"/>
      <c r="F905" s="14"/>
      <c r="G905" s="14"/>
      <c r="H905" s="14"/>
      <c r="I905" s="14"/>
      <c r="J905" s="14"/>
      <c r="K905" s="12"/>
    </row>
    <row r="906" ht="19.5" customHeight="1">
      <c r="A906" s="12"/>
      <c r="C906" s="12"/>
      <c r="D906" s="13"/>
      <c r="F906" s="14"/>
      <c r="G906" s="14"/>
      <c r="H906" s="14"/>
      <c r="I906" s="14"/>
      <c r="J906" s="14"/>
      <c r="K906" s="12"/>
    </row>
    <row r="907" ht="19.5" customHeight="1">
      <c r="A907" s="12"/>
      <c r="C907" s="12"/>
      <c r="D907" s="13"/>
      <c r="F907" s="14"/>
      <c r="G907" s="14"/>
      <c r="H907" s="14"/>
      <c r="I907" s="14"/>
      <c r="J907" s="14"/>
      <c r="K907" s="12"/>
    </row>
    <row r="908" ht="19.5" customHeight="1">
      <c r="A908" s="12"/>
      <c r="C908" s="12"/>
      <c r="D908" s="13"/>
      <c r="F908" s="14"/>
      <c r="G908" s="14"/>
      <c r="H908" s="14"/>
      <c r="I908" s="14"/>
      <c r="J908" s="14"/>
      <c r="K908" s="12"/>
    </row>
    <row r="909" ht="19.5" customHeight="1">
      <c r="A909" s="12"/>
      <c r="C909" s="12"/>
      <c r="D909" s="13"/>
      <c r="F909" s="14"/>
      <c r="G909" s="14"/>
      <c r="H909" s="14"/>
      <c r="I909" s="14"/>
      <c r="J909" s="14"/>
      <c r="K909" s="12"/>
    </row>
    <row r="910" ht="19.5" customHeight="1">
      <c r="A910" s="12"/>
      <c r="C910" s="12"/>
      <c r="D910" s="13"/>
      <c r="F910" s="14"/>
      <c r="G910" s="14"/>
      <c r="H910" s="14"/>
      <c r="I910" s="14"/>
      <c r="J910" s="14"/>
      <c r="K910" s="12"/>
    </row>
    <row r="911" ht="19.5" customHeight="1">
      <c r="A911" s="12"/>
      <c r="C911" s="12"/>
      <c r="D911" s="13"/>
      <c r="F911" s="14"/>
      <c r="G911" s="14"/>
      <c r="H911" s="14"/>
      <c r="I911" s="14"/>
      <c r="J911" s="14"/>
      <c r="K911" s="12"/>
    </row>
    <row r="912" ht="19.5" customHeight="1">
      <c r="A912" s="12"/>
      <c r="C912" s="12"/>
      <c r="D912" s="13"/>
      <c r="F912" s="14"/>
      <c r="G912" s="14"/>
      <c r="H912" s="14"/>
      <c r="I912" s="14"/>
      <c r="J912" s="14"/>
      <c r="K912" s="12"/>
    </row>
    <row r="913" ht="19.5" customHeight="1">
      <c r="A913" s="12"/>
      <c r="C913" s="12"/>
      <c r="D913" s="13"/>
      <c r="F913" s="14"/>
      <c r="G913" s="14"/>
      <c r="H913" s="14"/>
      <c r="I913" s="14"/>
      <c r="J913" s="14"/>
      <c r="K913" s="12"/>
    </row>
    <row r="914" ht="19.5" customHeight="1">
      <c r="A914" s="12"/>
      <c r="C914" s="12"/>
      <c r="D914" s="13"/>
      <c r="F914" s="14"/>
      <c r="G914" s="14"/>
      <c r="H914" s="14"/>
      <c r="I914" s="14"/>
      <c r="J914" s="14"/>
      <c r="K914" s="12"/>
    </row>
    <row r="915" ht="19.5" customHeight="1">
      <c r="A915" s="12"/>
      <c r="C915" s="12"/>
      <c r="D915" s="13"/>
      <c r="F915" s="14"/>
      <c r="G915" s="14"/>
      <c r="H915" s="14"/>
      <c r="I915" s="14"/>
      <c r="J915" s="14"/>
      <c r="K915" s="12"/>
    </row>
    <row r="916" ht="19.5" customHeight="1">
      <c r="A916" s="12"/>
      <c r="C916" s="12"/>
      <c r="D916" s="13"/>
      <c r="F916" s="14"/>
      <c r="G916" s="14"/>
      <c r="H916" s="14"/>
      <c r="I916" s="14"/>
      <c r="J916" s="14"/>
      <c r="K916" s="12"/>
    </row>
    <row r="917" ht="19.5" customHeight="1">
      <c r="A917" s="12"/>
      <c r="C917" s="12"/>
      <c r="D917" s="13"/>
      <c r="F917" s="14"/>
      <c r="G917" s="14"/>
      <c r="H917" s="14"/>
      <c r="I917" s="14"/>
      <c r="J917" s="14"/>
      <c r="K917" s="12"/>
    </row>
    <row r="918" ht="19.5" customHeight="1">
      <c r="A918" s="12"/>
      <c r="C918" s="12"/>
      <c r="D918" s="13"/>
      <c r="F918" s="14"/>
      <c r="G918" s="14"/>
      <c r="H918" s="14"/>
      <c r="I918" s="14"/>
      <c r="J918" s="14"/>
      <c r="K918" s="12"/>
    </row>
    <row r="919" ht="19.5" customHeight="1">
      <c r="A919" s="12"/>
      <c r="C919" s="12"/>
      <c r="D919" s="13"/>
      <c r="F919" s="14"/>
      <c r="G919" s="14"/>
      <c r="H919" s="14"/>
      <c r="I919" s="14"/>
      <c r="J919" s="14"/>
      <c r="K919" s="12"/>
    </row>
    <row r="920" ht="19.5" customHeight="1">
      <c r="A920" s="12"/>
      <c r="C920" s="12"/>
      <c r="D920" s="13"/>
      <c r="F920" s="14"/>
      <c r="G920" s="14"/>
      <c r="H920" s="14"/>
      <c r="I920" s="14"/>
      <c r="J920" s="14"/>
      <c r="K920" s="12"/>
    </row>
    <row r="921" ht="19.5" customHeight="1">
      <c r="A921" s="12"/>
      <c r="C921" s="12"/>
      <c r="D921" s="13"/>
      <c r="F921" s="14"/>
      <c r="G921" s="14"/>
      <c r="H921" s="14"/>
      <c r="I921" s="14"/>
      <c r="J921" s="14"/>
      <c r="K921" s="12"/>
    </row>
    <row r="922" ht="19.5" customHeight="1">
      <c r="A922" s="12"/>
      <c r="C922" s="12"/>
      <c r="D922" s="13"/>
      <c r="F922" s="14"/>
      <c r="G922" s="14"/>
      <c r="H922" s="14"/>
      <c r="I922" s="14"/>
      <c r="J922" s="14"/>
      <c r="K922" s="12"/>
    </row>
    <row r="923" ht="19.5" customHeight="1">
      <c r="A923" s="12"/>
      <c r="C923" s="12"/>
      <c r="D923" s="13"/>
      <c r="F923" s="14"/>
      <c r="G923" s="14"/>
      <c r="H923" s="14"/>
      <c r="I923" s="14"/>
      <c r="J923" s="14"/>
      <c r="K923" s="12"/>
    </row>
    <row r="924" ht="19.5" customHeight="1">
      <c r="A924" s="12"/>
      <c r="C924" s="12"/>
      <c r="D924" s="13"/>
      <c r="F924" s="14"/>
      <c r="G924" s="14"/>
      <c r="H924" s="14"/>
      <c r="I924" s="14"/>
      <c r="J924" s="14"/>
      <c r="K924" s="12"/>
    </row>
    <row r="925" ht="19.5" customHeight="1">
      <c r="A925" s="12"/>
      <c r="C925" s="12"/>
      <c r="D925" s="13"/>
      <c r="F925" s="14"/>
      <c r="G925" s="14"/>
      <c r="H925" s="14"/>
      <c r="I925" s="14"/>
      <c r="J925" s="14"/>
      <c r="K925" s="12"/>
    </row>
    <row r="926" ht="19.5" customHeight="1">
      <c r="A926" s="12"/>
      <c r="C926" s="12"/>
      <c r="D926" s="13"/>
      <c r="F926" s="14"/>
      <c r="G926" s="14"/>
      <c r="H926" s="14"/>
      <c r="I926" s="14"/>
      <c r="J926" s="14"/>
      <c r="K926" s="12"/>
    </row>
    <row r="927" ht="19.5" customHeight="1">
      <c r="A927" s="12"/>
      <c r="C927" s="12"/>
      <c r="D927" s="13"/>
      <c r="F927" s="14"/>
      <c r="G927" s="14"/>
      <c r="H927" s="14"/>
      <c r="I927" s="14"/>
      <c r="J927" s="14"/>
      <c r="K927" s="12"/>
    </row>
    <row r="928" ht="19.5" customHeight="1">
      <c r="A928" s="12"/>
      <c r="C928" s="12"/>
      <c r="D928" s="13"/>
      <c r="F928" s="14"/>
      <c r="G928" s="14"/>
      <c r="H928" s="14"/>
      <c r="I928" s="14"/>
      <c r="J928" s="14"/>
      <c r="K928" s="12"/>
    </row>
    <row r="929" ht="19.5" customHeight="1">
      <c r="A929" s="12"/>
      <c r="C929" s="12"/>
      <c r="D929" s="13"/>
      <c r="F929" s="14"/>
      <c r="G929" s="14"/>
      <c r="H929" s="14"/>
      <c r="I929" s="14"/>
      <c r="J929" s="14"/>
      <c r="K929" s="12"/>
    </row>
    <row r="930" ht="19.5" customHeight="1">
      <c r="A930" s="12"/>
      <c r="C930" s="12"/>
      <c r="D930" s="13"/>
      <c r="F930" s="14"/>
      <c r="G930" s="14"/>
      <c r="H930" s="14"/>
      <c r="I930" s="14"/>
      <c r="J930" s="14"/>
      <c r="K930" s="12"/>
    </row>
    <row r="931" ht="19.5" customHeight="1">
      <c r="A931" s="12"/>
      <c r="C931" s="12"/>
      <c r="D931" s="13"/>
      <c r="F931" s="14"/>
      <c r="G931" s="14"/>
      <c r="H931" s="14"/>
      <c r="I931" s="14"/>
      <c r="J931" s="14"/>
      <c r="K931" s="12"/>
    </row>
    <row r="932" ht="19.5" customHeight="1">
      <c r="A932" s="12"/>
      <c r="C932" s="12"/>
      <c r="D932" s="13"/>
      <c r="F932" s="14"/>
      <c r="G932" s="14"/>
      <c r="H932" s="14"/>
      <c r="I932" s="14"/>
      <c r="J932" s="14"/>
      <c r="K932" s="12"/>
    </row>
    <row r="933" ht="19.5" customHeight="1">
      <c r="A933" s="12"/>
      <c r="C933" s="12"/>
      <c r="D933" s="13"/>
      <c r="F933" s="14"/>
      <c r="G933" s="14"/>
      <c r="H933" s="14"/>
      <c r="I933" s="14"/>
      <c r="J933" s="14"/>
      <c r="K933" s="12"/>
    </row>
    <row r="934" ht="19.5" customHeight="1">
      <c r="A934" s="12"/>
      <c r="C934" s="12"/>
      <c r="D934" s="13"/>
      <c r="F934" s="14"/>
      <c r="G934" s="14"/>
      <c r="H934" s="14"/>
      <c r="I934" s="14"/>
      <c r="J934" s="14"/>
      <c r="K934" s="12"/>
    </row>
    <row r="935" ht="19.5" customHeight="1">
      <c r="A935" s="12"/>
      <c r="C935" s="12"/>
      <c r="D935" s="13"/>
      <c r="F935" s="14"/>
      <c r="G935" s="14"/>
      <c r="H935" s="14"/>
      <c r="I935" s="14"/>
      <c r="J935" s="14"/>
      <c r="K935" s="12"/>
    </row>
    <row r="936" ht="19.5" customHeight="1">
      <c r="A936" s="12"/>
      <c r="C936" s="12"/>
      <c r="D936" s="13"/>
      <c r="F936" s="14"/>
      <c r="G936" s="14"/>
      <c r="H936" s="14"/>
      <c r="I936" s="14"/>
      <c r="J936" s="14"/>
      <c r="K936" s="12"/>
    </row>
    <row r="937" ht="19.5" customHeight="1">
      <c r="A937" s="12"/>
      <c r="C937" s="12"/>
      <c r="D937" s="13"/>
      <c r="F937" s="14"/>
      <c r="G937" s="14"/>
      <c r="H937" s="14"/>
      <c r="I937" s="14"/>
      <c r="J937" s="14"/>
      <c r="K937" s="12"/>
    </row>
    <row r="938" ht="19.5" customHeight="1">
      <c r="A938" s="12"/>
      <c r="C938" s="12"/>
      <c r="D938" s="13"/>
      <c r="F938" s="14"/>
      <c r="G938" s="14"/>
      <c r="H938" s="14"/>
      <c r="I938" s="14"/>
      <c r="J938" s="14"/>
      <c r="K938" s="12"/>
    </row>
    <row r="939" ht="19.5" customHeight="1">
      <c r="A939" s="12"/>
      <c r="C939" s="12"/>
      <c r="D939" s="13"/>
      <c r="F939" s="14"/>
      <c r="G939" s="14"/>
      <c r="H939" s="14"/>
      <c r="I939" s="14"/>
      <c r="J939" s="14"/>
      <c r="K939" s="12"/>
    </row>
    <row r="940" ht="19.5" customHeight="1">
      <c r="A940" s="12"/>
      <c r="C940" s="12"/>
      <c r="D940" s="13"/>
      <c r="F940" s="14"/>
      <c r="G940" s="14"/>
      <c r="H940" s="14"/>
      <c r="I940" s="14"/>
      <c r="J940" s="14"/>
      <c r="K940" s="12"/>
    </row>
    <row r="941" ht="19.5" customHeight="1">
      <c r="A941" s="12"/>
      <c r="C941" s="12"/>
      <c r="D941" s="13"/>
      <c r="F941" s="14"/>
      <c r="G941" s="14"/>
      <c r="H941" s="14"/>
      <c r="I941" s="14"/>
      <c r="J941" s="14"/>
      <c r="K941" s="12"/>
    </row>
    <row r="942" ht="19.5" customHeight="1">
      <c r="A942" s="12"/>
      <c r="C942" s="12"/>
      <c r="D942" s="13"/>
      <c r="F942" s="14"/>
      <c r="G942" s="14"/>
      <c r="H942" s="14"/>
      <c r="I942" s="14"/>
      <c r="J942" s="14"/>
      <c r="K942" s="12"/>
    </row>
    <row r="943" ht="19.5" customHeight="1">
      <c r="A943" s="12"/>
      <c r="C943" s="12"/>
      <c r="D943" s="13"/>
      <c r="F943" s="14"/>
      <c r="G943" s="14"/>
      <c r="H943" s="14"/>
      <c r="I943" s="14"/>
      <c r="J943" s="14"/>
      <c r="K943" s="12"/>
    </row>
    <row r="944" ht="19.5" customHeight="1">
      <c r="A944" s="12"/>
      <c r="C944" s="12"/>
      <c r="D944" s="13"/>
      <c r="F944" s="14"/>
      <c r="G944" s="14"/>
      <c r="H944" s="14"/>
      <c r="I944" s="14"/>
      <c r="J944" s="14"/>
      <c r="K944" s="12"/>
    </row>
    <row r="945" ht="19.5" customHeight="1">
      <c r="A945" s="12"/>
      <c r="C945" s="12"/>
      <c r="D945" s="13"/>
      <c r="F945" s="14"/>
      <c r="G945" s="14"/>
      <c r="H945" s="14"/>
      <c r="I945" s="14"/>
      <c r="J945" s="14"/>
      <c r="K945" s="12"/>
    </row>
    <row r="946" ht="19.5" customHeight="1">
      <c r="A946" s="12"/>
      <c r="C946" s="12"/>
      <c r="D946" s="13"/>
      <c r="F946" s="14"/>
      <c r="G946" s="14"/>
      <c r="H946" s="14"/>
      <c r="I946" s="14"/>
      <c r="J946" s="14"/>
      <c r="K946" s="12"/>
    </row>
    <row r="947" ht="19.5" customHeight="1">
      <c r="A947" s="12"/>
      <c r="C947" s="12"/>
      <c r="D947" s="13"/>
      <c r="F947" s="14"/>
      <c r="G947" s="14"/>
      <c r="H947" s="14"/>
      <c r="I947" s="14"/>
      <c r="J947" s="14"/>
      <c r="K947" s="12"/>
    </row>
    <row r="948" ht="19.5" customHeight="1">
      <c r="A948" s="12"/>
      <c r="C948" s="12"/>
      <c r="D948" s="13"/>
      <c r="F948" s="14"/>
      <c r="G948" s="14"/>
      <c r="H948" s="14"/>
      <c r="I948" s="14"/>
      <c r="J948" s="14"/>
      <c r="K948" s="12"/>
    </row>
    <row r="949" ht="19.5" customHeight="1">
      <c r="A949" s="12"/>
      <c r="C949" s="12"/>
      <c r="D949" s="13"/>
      <c r="F949" s="14"/>
      <c r="G949" s="14"/>
      <c r="H949" s="14"/>
      <c r="I949" s="14"/>
      <c r="J949" s="14"/>
      <c r="K949" s="12"/>
    </row>
    <row r="950" ht="19.5" customHeight="1">
      <c r="A950" s="12"/>
      <c r="C950" s="12"/>
      <c r="D950" s="13"/>
      <c r="F950" s="14"/>
      <c r="G950" s="14"/>
      <c r="H950" s="14"/>
      <c r="I950" s="14"/>
      <c r="J950" s="14"/>
      <c r="K950" s="12"/>
    </row>
    <row r="951" ht="19.5" customHeight="1">
      <c r="A951" s="12"/>
      <c r="C951" s="12"/>
      <c r="D951" s="13"/>
      <c r="F951" s="14"/>
      <c r="G951" s="14"/>
      <c r="H951" s="14"/>
      <c r="I951" s="14"/>
      <c r="J951" s="14"/>
      <c r="K951" s="12"/>
    </row>
    <row r="952" ht="19.5" customHeight="1">
      <c r="A952" s="12"/>
      <c r="C952" s="12"/>
      <c r="D952" s="13"/>
      <c r="F952" s="14"/>
      <c r="G952" s="14"/>
      <c r="H952" s="14"/>
      <c r="I952" s="14"/>
      <c r="J952" s="14"/>
      <c r="K952" s="12"/>
    </row>
    <row r="953" ht="19.5" customHeight="1">
      <c r="A953" s="12"/>
      <c r="C953" s="12"/>
      <c r="D953" s="13"/>
      <c r="F953" s="14"/>
      <c r="G953" s="14"/>
      <c r="H953" s="14"/>
      <c r="I953" s="14"/>
      <c r="J953" s="14"/>
      <c r="K953" s="12"/>
    </row>
    <row r="954" ht="19.5" customHeight="1">
      <c r="A954" s="12"/>
      <c r="C954" s="12"/>
      <c r="D954" s="13"/>
      <c r="F954" s="14"/>
      <c r="G954" s="14"/>
      <c r="H954" s="14"/>
      <c r="I954" s="14"/>
      <c r="J954" s="14"/>
      <c r="K954" s="12"/>
    </row>
    <row r="955" ht="19.5" customHeight="1">
      <c r="A955" s="12"/>
      <c r="C955" s="12"/>
      <c r="D955" s="13"/>
      <c r="F955" s="14"/>
      <c r="G955" s="14"/>
      <c r="H955" s="14"/>
      <c r="I955" s="14"/>
      <c r="J955" s="14"/>
      <c r="K955" s="12"/>
    </row>
    <row r="956" ht="19.5" customHeight="1">
      <c r="A956" s="12"/>
      <c r="C956" s="12"/>
      <c r="D956" s="13"/>
      <c r="F956" s="14"/>
      <c r="G956" s="14"/>
      <c r="H956" s="14"/>
      <c r="I956" s="14"/>
      <c r="J956" s="14"/>
      <c r="K956" s="12"/>
    </row>
    <row r="957" ht="19.5" customHeight="1">
      <c r="A957" s="12"/>
      <c r="C957" s="12"/>
      <c r="D957" s="13"/>
      <c r="F957" s="14"/>
      <c r="G957" s="14"/>
      <c r="H957" s="14"/>
      <c r="I957" s="14"/>
      <c r="J957" s="14"/>
      <c r="K957" s="12"/>
    </row>
    <row r="958" ht="19.5" customHeight="1">
      <c r="A958" s="12"/>
      <c r="C958" s="12"/>
      <c r="D958" s="13"/>
      <c r="F958" s="14"/>
      <c r="G958" s="14"/>
      <c r="H958" s="14"/>
      <c r="I958" s="14"/>
      <c r="J958" s="14"/>
      <c r="K958" s="12"/>
    </row>
    <row r="959" ht="19.5" customHeight="1">
      <c r="A959" s="12"/>
      <c r="C959" s="12"/>
      <c r="D959" s="13"/>
      <c r="F959" s="14"/>
      <c r="G959" s="14"/>
      <c r="H959" s="14"/>
      <c r="I959" s="14"/>
      <c r="J959" s="14"/>
      <c r="K959" s="12"/>
    </row>
    <row r="960" ht="19.5" customHeight="1">
      <c r="A960" s="12"/>
      <c r="C960" s="12"/>
      <c r="D960" s="13"/>
      <c r="F960" s="14"/>
      <c r="G960" s="14"/>
      <c r="H960" s="14"/>
      <c r="I960" s="14"/>
      <c r="J960" s="14"/>
      <c r="K960" s="12"/>
    </row>
    <row r="961" ht="19.5" customHeight="1">
      <c r="A961" s="12"/>
      <c r="C961" s="12"/>
      <c r="D961" s="13"/>
      <c r="F961" s="14"/>
      <c r="G961" s="14"/>
      <c r="H961" s="14"/>
      <c r="I961" s="14"/>
      <c r="J961" s="14"/>
      <c r="K961" s="12"/>
    </row>
    <row r="962" ht="19.5" customHeight="1">
      <c r="A962" s="12"/>
      <c r="C962" s="12"/>
      <c r="D962" s="13"/>
      <c r="F962" s="14"/>
      <c r="G962" s="14"/>
      <c r="H962" s="14"/>
      <c r="I962" s="14"/>
      <c r="J962" s="14"/>
      <c r="K962" s="12"/>
    </row>
    <row r="963" ht="19.5" customHeight="1">
      <c r="A963" s="12"/>
      <c r="C963" s="12"/>
      <c r="D963" s="13"/>
      <c r="F963" s="14"/>
      <c r="G963" s="14"/>
      <c r="H963" s="14"/>
      <c r="I963" s="14"/>
      <c r="J963" s="14"/>
      <c r="K963" s="12"/>
    </row>
    <row r="964" ht="19.5" customHeight="1">
      <c r="A964" s="12"/>
      <c r="C964" s="12"/>
      <c r="D964" s="13"/>
      <c r="F964" s="14"/>
      <c r="G964" s="14"/>
      <c r="H964" s="14"/>
      <c r="I964" s="14"/>
      <c r="J964" s="14"/>
      <c r="K964" s="12"/>
    </row>
    <row r="965" ht="19.5" customHeight="1">
      <c r="A965" s="12"/>
      <c r="C965" s="12"/>
      <c r="D965" s="13"/>
      <c r="F965" s="14"/>
      <c r="G965" s="14"/>
      <c r="H965" s="14"/>
      <c r="I965" s="14"/>
      <c r="J965" s="14"/>
      <c r="K965" s="12"/>
    </row>
    <row r="966" ht="19.5" customHeight="1">
      <c r="A966" s="12"/>
      <c r="C966" s="12"/>
      <c r="D966" s="13"/>
      <c r="F966" s="14"/>
      <c r="G966" s="14"/>
      <c r="H966" s="14"/>
      <c r="I966" s="14"/>
      <c r="J966" s="14"/>
      <c r="K966" s="12"/>
    </row>
    <row r="967" ht="19.5" customHeight="1">
      <c r="A967" s="12"/>
      <c r="C967" s="12"/>
      <c r="D967" s="13"/>
      <c r="F967" s="14"/>
      <c r="G967" s="14"/>
      <c r="H967" s="14"/>
      <c r="I967" s="14"/>
      <c r="J967" s="14"/>
      <c r="K967" s="12"/>
    </row>
    <row r="968" ht="19.5" customHeight="1">
      <c r="A968" s="12"/>
      <c r="C968" s="12"/>
      <c r="D968" s="13"/>
      <c r="F968" s="14"/>
      <c r="G968" s="14"/>
      <c r="H968" s="14"/>
      <c r="I968" s="14"/>
      <c r="J968" s="14"/>
      <c r="K968" s="12"/>
    </row>
    <row r="969" ht="19.5" customHeight="1">
      <c r="A969" s="12"/>
      <c r="C969" s="12"/>
      <c r="D969" s="13"/>
      <c r="F969" s="14"/>
      <c r="G969" s="14"/>
      <c r="H969" s="14"/>
      <c r="I969" s="14"/>
      <c r="J969" s="14"/>
      <c r="K969" s="12"/>
    </row>
    <row r="970" ht="19.5" customHeight="1">
      <c r="A970" s="12"/>
      <c r="C970" s="12"/>
      <c r="D970" s="13"/>
      <c r="F970" s="14"/>
      <c r="G970" s="14"/>
      <c r="H970" s="14"/>
      <c r="I970" s="14"/>
      <c r="J970" s="14"/>
      <c r="K970" s="12"/>
    </row>
    <row r="971" ht="19.5" customHeight="1">
      <c r="A971" s="12"/>
      <c r="C971" s="12"/>
      <c r="D971" s="13"/>
      <c r="F971" s="14"/>
      <c r="G971" s="14"/>
      <c r="H971" s="14"/>
      <c r="I971" s="14"/>
      <c r="J971" s="14"/>
      <c r="K971" s="12"/>
    </row>
    <row r="972" ht="19.5" customHeight="1">
      <c r="A972" s="12"/>
      <c r="C972" s="12"/>
      <c r="D972" s="13"/>
      <c r="F972" s="14"/>
      <c r="G972" s="14"/>
      <c r="H972" s="14"/>
      <c r="I972" s="14"/>
      <c r="J972" s="14"/>
      <c r="K972" s="12"/>
    </row>
    <row r="973" ht="19.5" customHeight="1">
      <c r="A973" s="12"/>
      <c r="C973" s="12"/>
      <c r="D973" s="13"/>
      <c r="F973" s="14"/>
      <c r="G973" s="14"/>
      <c r="H973" s="14"/>
      <c r="I973" s="14"/>
      <c r="J973" s="14"/>
      <c r="K973" s="12"/>
    </row>
    <row r="974" ht="19.5" customHeight="1">
      <c r="A974" s="12"/>
      <c r="C974" s="12"/>
      <c r="D974" s="13"/>
      <c r="F974" s="14"/>
      <c r="G974" s="14"/>
      <c r="H974" s="14"/>
      <c r="I974" s="14"/>
      <c r="J974" s="14"/>
      <c r="K974" s="12"/>
    </row>
    <row r="975" ht="19.5" customHeight="1">
      <c r="A975" s="12"/>
      <c r="C975" s="12"/>
      <c r="D975" s="13"/>
      <c r="F975" s="14"/>
      <c r="G975" s="14"/>
      <c r="H975" s="14"/>
      <c r="I975" s="14"/>
      <c r="J975" s="14"/>
      <c r="K975" s="12"/>
    </row>
    <row r="976" ht="19.5" customHeight="1">
      <c r="A976" s="12"/>
      <c r="C976" s="12"/>
      <c r="D976" s="13"/>
      <c r="F976" s="14"/>
      <c r="G976" s="14"/>
      <c r="H976" s="14"/>
      <c r="I976" s="14"/>
      <c r="J976" s="14"/>
      <c r="K976" s="12"/>
    </row>
    <row r="977" ht="19.5" customHeight="1">
      <c r="A977" s="12"/>
      <c r="C977" s="12"/>
      <c r="D977" s="13"/>
      <c r="F977" s="14"/>
      <c r="G977" s="14"/>
      <c r="H977" s="14"/>
      <c r="I977" s="14"/>
      <c r="J977" s="14"/>
      <c r="K977" s="12"/>
    </row>
    <row r="978" ht="19.5" customHeight="1">
      <c r="A978" s="12"/>
      <c r="C978" s="12"/>
      <c r="D978" s="13"/>
      <c r="F978" s="14"/>
      <c r="G978" s="14"/>
      <c r="H978" s="14"/>
      <c r="I978" s="14"/>
      <c r="J978" s="14"/>
      <c r="K978" s="12"/>
    </row>
    <row r="979" ht="19.5" customHeight="1">
      <c r="A979" s="12"/>
      <c r="C979" s="12"/>
      <c r="D979" s="13"/>
      <c r="F979" s="14"/>
      <c r="G979" s="14"/>
      <c r="H979" s="14"/>
      <c r="I979" s="14"/>
      <c r="J979" s="14"/>
      <c r="K979" s="12"/>
    </row>
    <row r="980" ht="19.5" customHeight="1">
      <c r="A980" s="12"/>
      <c r="C980" s="12"/>
      <c r="D980" s="13"/>
      <c r="F980" s="14"/>
      <c r="G980" s="14"/>
      <c r="H980" s="14"/>
      <c r="I980" s="14"/>
      <c r="J980" s="14"/>
      <c r="K980" s="12"/>
    </row>
    <row r="981" ht="19.5" customHeight="1">
      <c r="A981" s="12"/>
      <c r="C981" s="12"/>
      <c r="D981" s="13"/>
      <c r="F981" s="14"/>
      <c r="G981" s="14"/>
      <c r="H981" s="14"/>
      <c r="I981" s="14"/>
      <c r="J981" s="14"/>
      <c r="K981" s="12"/>
    </row>
    <row r="982" ht="19.5" customHeight="1">
      <c r="A982" s="12"/>
      <c r="C982" s="12"/>
      <c r="D982" s="13"/>
      <c r="F982" s="14"/>
      <c r="G982" s="14"/>
      <c r="H982" s="14"/>
      <c r="I982" s="14"/>
      <c r="J982" s="14"/>
      <c r="K982" s="12"/>
    </row>
    <row r="983" ht="19.5" customHeight="1">
      <c r="A983" s="12"/>
      <c r="C983" s="12"/>
      <c r="D983" s="13"/>
      <c r="F983" s="14"/>
      <c r="G983" s="14"/>
      <c r="H983" s="14"/>
      <c r="I983" s="14"/>
      <c r="J983" s="14"/>
      <c r="K983" s="12"/>
    </row>
    <row r="984" ht="19.5" customHeight="1">
      <c r="A984" s="12"/>
      <c r="C984" s="12"/>
      <c r="D984" s="13"/>
      <c r="F984" s="14"/>
      <c r="G984" s="14"/>
      <c r="H984" s="14"/>
      <c r="I984" s="14"/>
      <c r="J984" s="14"/>
      <c r="K984" s="12"/>
    </row>
    <row r="985" ht="19.5" customHeight="1">
      <c r="A985" s="12"/>
      <c r="C985" s="12"/>
      <c r="D985" s="13"/>
      <c r="F985" s="14"/>
      <c r="G985" s="14"/>
      <c r="H985" s="14"/>
      <c r="I985" s="14"/>
      <c r="J985" s="14"/>
      <c r="K985" s="12"/>
    </row>
    <row r="986" ht="19.5" customHeight="1">
      <c r="A986" s="12"/>
      <c r="C986" s="12"/>
      <c r="D986" s="13"/>
      <c r="F986" s="14"/>
      <c r="G986" s="14"/>
      <c r="H986" s="14"/>
      <c r="I986" s="14"/>
      <c r="J986" s="14"/>
      <c r="K986" s="12"/>
    </row>
    <row r="987" ht="19.5" customHeight="1">
      <c r="A987" s="12"/>
      <c r="C987" s="12"/>
      <c r="D987" s="13"/>
      <c r="F987" s="14"/>
      <c r="G987" s="14"/>
      <c r="H987" s="14"/>
      <c r="I987" s="14"/>
      <c r="J987" s="14"/>
      <c r="K987" s="12"/>
    </row>
    <row r="988" ht="19.5" customHeight="1">
      <c r="A988" s="12"/>
      <c r="C988" s="12"/>
      <c r="D988" s="13"/>
      <c r="F988" s="14"/>
      <c r="G988" s="14"/>
      <c r="H988" s="14"/>
      <c r="I988" s="14"/>
      <c r="J988" s="14"/>
      <c r="K988" s="12"/>
    </row>
    <row r="989" ht="19.5" customHeight="1">
      <c r="A989" s="12"/>
      <c r="C989" s="12"/>
      <c r="D989" s="13"/>
      <c r="F989" s="14"/>
      <c r="G989" s="14"/>
      <c r="H989" s="14"/>
      <c r="I989" s="14"/>
      <c r="J989" s="14"/>
      <c r="K989" s="12"/>
    </row>
    <row r="990" ht="19.5" customHeight="1">
      <c r="A990" s="12"/>
      <c r="C990" s="12"/>
      <c r="D990" s="13"/>
      <c r="F990" s="14"/>
      <c r="G990" s="14"/>
      <c r="H990" s="14"/>
      <c r="I990" s="14"/>
      <c r="J990" s="14"/>
      <c r="K990" s="12"/>
    </row>
    <row r="991" ht="19.5" customHeight="1">
      <c r="A991" s="12"/>
      <c r="C991" s="12"/>
      <c r="D991" s="13"/>
      <c r="F991" s="14"/>
      <c r="G991" s="14"/>
      <c r="H991" s="14"/>
      <c r="I991" s="14"/>
      <c r="J991" s="14"/>
      <c r="K991" s="12"/>
    </row>
    <row r="992" ht="19.5" customHeight="1">
      <c r="A992" s="12"/>
      <c r="C992" s="12"/>
      <c r="D992" s="13"/>
      <c r="F992" s="14"/>
      <c r="G992" s="14"/>
      <c r="H992" s="14"/>
      <c r="I992" s="14"/>
      <c r="J992" s="14"/>
      <c r="K992" s="12"/>
    </row>
    <row r="993" ht="19.5" customHeight="1">
      <c r="A993" s="12"/>
      <c r="C993" s="12"/>
      <c r="D993" s="13"/>
      <c r="F993" s="14"/>
      <c r="G993" s="14"/>
      <c r="H993" s="14"/>
      <c r="I993" s="14"/>
      <c r="J993" s="14"/>
      <c r="K993" s="12"/>
    </row>
    <row r="994" ht="19.5" customHeight="1">
      <c r="A994" s="12"/>
      <c r="C994" s="12"/>
      <c r="D994" s="13"/>
      <c r="F994" s="14"/>
      <c r="G994" s="14"/>
      <c r="H994" s="14"/>
      <c r="I994" s="14"/>
      <c r="J994" s="14"/>
      <c r="K994" s="12"/>
    </row>
    <row r="995" ht="19.5" customHeight="1">
      <c r="A995" s="12"/>
      <c r="C995" s="12"/>
      <c r="D995" s="13"/>
      <c r="F995" s="14"/>
      <c r="G995" s="14"/>
      <c r="H995" s="14"/>
      <c r="I995" s="14"/>
      <c r="J995" s="14"/>
      <c r="K995" s="12"/>
    </row>
    <row r="996" ht="19.5" customHeight="1">
      <c r="A996" s="12"/>
      <c r="C996" s="12"/>
      <c r="D996" s="13"/>
      <c r="F996" s="14"/>
      <c r="G996" s="14"/>
      <c r="H996" s="14"/>
      <c r="I996" s="14"/>
      <c r="J996" s="14"/>
      <c r="K996" s="12"/>
    </row>
    <row r="997" ht="19.5" customHeight="1">
      <c r="A997" s="12"/>
      <c r="C997" s="12"/>
      <c r="D997" s="13"/>
      <c r="F997" s="14"/>
      <c r="G997" s="14"/>
      <c r="H997" s="14"/>
      <c r="I997" s="14"/>
      <c r="J997" s="14"/>
      <c r="K997" s="12"/>
    </row>
    <row r="998" ht="19.5" customHeight="1">
      <c r="A998" s="12"/>
      <c r="C998" s="12"/>
      <c r="D998" s="13"/>
      <c r="F998" s="14"/>
      <c r="G998" s="14"/>
      <c r="H998" s="14"/>
      <c r="I998" s="14"/>
      <c r="J998" s="14"/>
      <c r="K998" s="12"/>
    </row>
    <row r="999" ht="19.5" customHeight="1">
      <c r="A999" s="12"/>
      <c r="C999" s="12"/>
      <c r="D999" s="13"/>
      <c r="F999" s="14"/>
      <c r="G999" s="14"/>
      <c r="H999" s="14"/>
      <c r="I999" s="14"/>
      <c r="J999" s="14"/>
      <c r="K999" s="12"/>
    </row>
    <row r="1000" ht="19.5" customHeight="1">
      <c r="A1000" s="12"/>
      <c r="C1000" s="12"/>
      <c r="D1000" s="13"/>
      <c r="F1000" s="14"/>
      <c r="G1000" s="14"/>
      <c r="H1000" s="14"/>
      <c r="I1000" s="14"/>
      <c r="J1000" s="14"/>
      <c r="K1000" s="12"/>
    </row>
    <row r="1001" ht="19.5" customHeight="1">
      <c r="A1001" s="12"/>
      <c r="C1001" s="12"/>
      <c r="D1001" s="13"/>
      <c r="F1001" s="14"/>
      <c r="G1001" s="14"/>
      <c r="H1001" s="14"/>
      <c r="I1001" s="14"/>
      <c r="J1001" s="14"/>
      <c r="K1001" s="12"/>
    </row>
    <row r="1002" ht="19.5" customHeight="1">
      <c r="A1002" s="12"/>
      <c r="C1002" s="12"/>
      <c r="D1002" s="13"/>
      <c r="F1002" s="14"/>
      <c r="G1002" s="14"/>
      <c r="H1002" s="14"/>
      <c r="I1002" s="14"/>
      <c r="J1002" s="14"/>
      <c r="K1002" s="12"/>
    </row>
    <row r="1003" ht="19.5" customHeight="1">
      <c r="A1003" s="12"/>
      <c r="C1003" s="12"/>
      <c r="D1003" s="13"/>
      <c r="F1003" s="14"/>
      <c r="G1003" s="14"/>
      <c r="H1003" s="14"/>
      <c r="I1003" s="14"/>
      <c r="J1003" s="14"/>
      <c r="K1003" s="12"/>
    </row>
    <row r="1004" ht="19.5" customHeight="1">
      <c r="A1004" s="12"/>
      <c r="C1004" s="12"/>
      <c r="D1004" s="13"/>
      <c r="F1004" s="14"/>
      <c r="G1004" s="14"/>
      <c r="H1004" s="14"/>
      <c r="I1004" s="14"/>
      <c r="J1004" s="14"/>
      <c r="K1004" s="12"/>
    </row>
    <row r="1005" ht="19.5" customHeight="1">
      <c r="A1005" s="12"/>
      <c r="C1005" s="12"/>
      <c r="D1005" s="13"/>
      <c r="F1005" s="14"/>
      <c r="G1005" s="14"/>
      <c r="H1005" s="14"/>
      <c r="I1005" s="14"/>
      <c r="J1005" s="14"/>
      <c r="K1005" s="12"/>
    </row>
  </sheetData>
  <mergeCells count="10">
    <mergeCell ref="E9:G9"/>
    <mergeCell ref="J9:J10"/>
    <mergeCell ref="A6:K6"/>
    <mergeCell ref="A7:K7"/>
    <mergeCell ref="A8:K8"/>
    <mergeCell ref="A9:A10"/>
    <mergeCell ref="B9:B10"/>
    <mergeCell ref="C9:C10"/>
    <mergeCell ref="D9:D10"/>
    <mergeCell ref="K9:K10"/>
  </mergeCells>
  <printOptions/>
  <pageMargins bottom="0.787401575" footer="0.0" header="0.0" left="0.511811024" right="0.511811024" top="0.787401575"/>
  <pageSetup paperSize="9" scale="60" orientation="landscape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42.13"/>
    <col customWidth="1" min="3" max="3" width="9.13"/>
    <col customWidth="1" min="4" max="4" width="16.25"/>
    <col customWidth="1" min="5" max="5" width="19.13"/>
    <col customWidth="1" min="6" max="6" width="17.75"/>
    <col customWidth="1" min="7" max="7" width="21.88"/>
    <col customWidth="1" min="8" max="8" width="20.13"/>
    <col customWidth="1" min="9" max="9" width="16.13"/>
    <col customWidth="1" min="10" max="10" width="18.25"/>
    <col customWidth="1" min="11" max="11" width="32.38"/>
    <col customWidth="1" min="12" max="26" width="8.63"/>
  </cols>
  <sheetData>
    <row r="1" ht="19.5" customHeight="1">
      <c r="A1" s="4"/>
      <c r="B1" s="5"/>
      <c r="C1" s="6"/>
      <c r="D1" s="86"/>
      <c r="E1" s="5"/>
      <c r="F1" s="8"/>
      <c r="G1" s="8"/>
      <c r="H1" s="8"/>
      <c r="I1" s="8"/>
      <c r="J1" s="8"/>
      <c r="K1" s="9"/>
    </row>
    <row r="2" ht="19.5" customHeight="1">
      <c r="A2" s="10" t="s">
        <v>83</v>
      </c>
      <c r="B2" s="11" t="s">
        <v>84</v>
      </c>
      <c r="C2" s="12"/>
      <c r="D2" s="87"/>
      <c r="F2" s="14"/>
      <c r="G2" s="14"/>
      <c r="H2" s="14"/>
      <c r="I2" s="14"/>
      <c r="J2" s="17" t="s">
        <v>144</v>
      </c>
      <c r="K2" s="18"/>
    </row>
    <row r="3" ht="19.5" customHeight="1">
      <c r="A3" s="10" t="s">
        <v>86</v>
      </c>
      <c r="B3" s="11" t="s">
        <v>87</v>
      </c>
      <c r="C3" s="12"/>
      <c r="D3" s="87"/>
      <c r="F3" s="14"/>
      <c r="G3" s="14"/>
      <c r="H3" s="14"/>
      <c r="I3" s="14"/>
      <c r="J3" s="14"/>
      <c r="K3" s="18"/>
    </row>
    <row r="4" ht="19.5" customHeight="1">
      <c r="A4" s="19"/>
      <c r="C4" s="12"/>
      <c r="D4" s="87"/>
      <c r="F4" s="14"/>
      <c r="G4" s="14"/>
      <c r="H4" s="14"/>
      <c r="I4" s="14"/>
      <c r="J4" s="14"/>
      <c r="K4" s="18"/>
    </row>
    <row r="5" ht="19.5" customHeight="1">
      <c r="A5" s="19"/>
      <c r="C5" s="12"/>
      <c r="D5" s="87"/>
      <c r="F5" s="14"/>
      <c r="G5" s="14"/>
      <c r="H5" s="14"/>
      <c r="I5" s="14"/>
      <c r="J5" s="14"/>
      <c r="K5" s="18"/>
    </row>
    <row r="6" ht="200.25" customHeight="1">
      <c r="A6" s="20" t="s">
        <v>1796</v>
      </c>
      <c r="K6" s="21"/>
    </row>
    <row r="7" ht="64.5" customHeight="1">
      <c r="A7" s="22" t="s">
        <v>1797</v>
      </c>
      <c r="K7" s="21"/>
    </row>
    <row r="8" ht="37.5" customHeight="1">
      <c r="A8" s="88" t="s">
        <v>90</v>
      </c>
      <c r="B8" s="24"/>
      <c r="C8" s="24"/>
      <c r="D8" s="24"/>
      <c r="E8" s="24"/>
      <c r="F8" s="24"/>
      <c r="G8" s="24"/>
      <c r="H8" s="24"/>
      <c r="I8" s="24"/>
      <c r="J8" s="24"/>
      <c r="K8" s="25"/>
    </row>
    <row r="9" ht="19.5" customHeight="1">
      <c r="A9" s="26" t="s">
        <v>1</v>
      </c>
      <c r="B9" s="26" t="s">
        <v>91</v>
      </c>
      <c r="C9" s="26" t="s">
        <v>92</v>
      </c>
      <c r="D9" s="31" t="s">
        <v>93</v>
      </c>
      <c r="E9" s="27" t="s">
        <v>94</v>
      </c>
      <c r="F9" s="28"/>
      <c r="G9" s="29"/>
      <c r="H9" s="30"/>
      <c r="I9" s="30"/>
      <c r="J9" s="31" t="s">
        <v>95</v>
      </c>
      <c r="K9" s="26" t="s">
        <v>96</v>
      </c>
    </row>
    <row r="10" ht="19.5" customHeight="1">
      <c r="A10" s="32"/>
      <c r="B10" s="32"/>
      <c r="C10" s="32"/>
      <c r="D10" s="32"/>
      <c r="E10" s="33" t="s">
        <v>97</v>
      </c>
      <c r="F10" s="34" t="s">
        <v>121</v>
      </c>
      <c r="G10" s="34" t="s">
        <v>99</v>
      </c>
      <c r="H10" s="35" t="s">
        <v>100</v>
      </c>
      <c r="I10" s="35" t="s">
        <v>101</v>
      </c>
      <c r="J10" s="32"/>
      <c r="K10" s="32"/>
    </row>
    <row r="11" ht="19.5" customHeight="1">
      <c r="A11" s="46">
        <v>1.0</v>
      </c>
      <c r="B11" s="37" t="s">
        <v>147</v>
      </c>
      <c r="C11" s="46" t="s">
        <v>148</v>
      </c>
      <c r="D11" s="78">
        <v>20.0</v>
      </c>
      <c r="E11" s="37">
        <v>0.8</v>
      </c>
      <c r="F11" s="40">
        <v>0.8</v>
      </c>
      <c r="G11" s="40">
        <v>0.8</v>
      </c>
      <c r="H11" s="40">
        <f>G11*F11*E11*D11</f>
        <v>10.24</v>
      </c>
      <c r="I11" s="42"/>
      <c r="J11" s="43">
        <f>H11-I11</f>
        <v>10.24</v>
      </c>
      <c r="K11" s="46"/>
    </row>
    <row r="12" ht="19.5" customHeight="1">
      <c r="A12" s="74" t="s">
        <v>1</v>
      </c>
      <c r="B12" s="74" t="s">
        <v>91</v>
      </c>
      <c r="C12" s="74" t="s">
        <v>92</v>
      </c>
      <c r="D12" s="76" t="s">
        <v>93</v>
      </c>
      <c r="E12" s="50" t="s">
        <v>97</v>
      </c>
      <c r="F12" s="53" t="s">
        <v>121</v>
      </c>
      <c r="G12" s="53" t="s">
        <v>99</v>
      </c>
      <c r="H12" s="75" t="s">
        <v>100</v>
      </c>
      <c r="I12" s="75" t="s">
        <v>101</v>
      </c>
      <c r="J12" s="76" t="s">
        <v>95</v>
      </c>
      <c r="K12" s="74" t="s">
        <v>96</v>
      </c>
    </row>
    <row r="13" ht="19.5" customHeight="1">
      <c r="A13" s="46">
        <v>1.0</v>
      </c>
      <c r="B13" s="37" t="s">
        <v>150</v>
      </c>
      <c r="C13" s="46" t="s">
        <v>148</v>
      </c>
      <c r="D13" s="78">
        <v>2.0</v>
      </c>
      <c r="E13" s="37"/>
      <c r="F13" s="40">
        <v>17.0</v>
      </c>
      <c r="G13" s="40">
        <v>12.0</v>
      </c>
      <c r="H13" s="40">
        <f>(G13+F13)*D13</f>
        <v>58</v>
      </c>
      <c r="I13" s="42"/>
      <c r="J13" s="64">
        <f>H13</f>
        <v>58</v>
      </c>
      <c r="K13" s="46"/>
    </row>
    <row r="14" ht="19.5" customHeight="1">
      <c r="A14" s="74" t="s">
        <v>1</v>
      </c>
      <c r="B14" s="74" t="s">
        <v>91</v>
      </c>
      <c r="C14" s="74" t="s">
        <v>92</v>
      </c>
      <c r="D14" s="76" t="s">
        <v>93</v>
      </c>
      <c r="E14" s="50" t="s">
        <v>97</v>
      </c>
      <c r="F14" s="53" t="s">
        <v>121</v>
      </c>
      <c r="G14" s="53" t="s">
        <v>99</v>
      </c>
      <c r="H14" s="75" t="s">
        <v>100</v>
      </c>
      <c r="I14" s="75" t="s">
        <v>101</v>
      </c>
      <c r="J14" s="76" t="s">
        <v>95</v>
      </c>
      <c r="K14" s="74" t="s">
        <v>96</v>
      </c>
    </row>
    <row r="15" ht="19.5" customHeight="1">
      <c r="A15" s="46">
        <v>1.0</v>
      </c>
      <c r="B15" s="37" t="s">
        <v>332</v>
      </c>
      <c r="C15" s="46" t="s">
        <v>148</v>
      </c>
      <c r="D15" s="78">
        <f>D11</f>
        <v>20</v>
      </c>
      <c r="E15" s="37"/>
      <c r="F15" s="40">
        <f t="shared" ref="F15:G15" si="1">F11</f>
        <v>0.8</v>
      </c>
      <c r="G15" s="40">
        <f t="shared" si="1"/>
        <v>0.8</v>
      </c>
      <c r="H15" s="40">
        <f>G15*F15*D15</f>
        <v>12.8</v>
      </c>
      <c r="I15" s="42"/>
      <c r="J15" s="64">
        <f>H15</f>
        <v>12.8</v>
      </c>
      <c r="K15" s="46"/>
    </row>
    <row r="16" ht="19.5" customHeight="1">
      <c r="A16" s="74" t="s">
        <v>1</v>
      </c>
      <c r="B16" s="74" t="s">
        <v>91</v>
      </c>
      <c r="C16" s="74" t="s">
        <v>92</v>
      </c>
      <c r="D16" s="76" t="s">
        <v>93</v>
      </c>
      <c r="E16" s="50" t="s">
        <v>97</v>
      </c>
      <c r="F16" s="53" t="s">
        <v>121</v>
      </c>
      <c r="G16" s="53" t="s">
        <v>99</v>
      </c>
      <c r="H16" s="75">
        <v>8.0</v>
      </c>
      <c r="I16" s="75" t="s">
        <v>101</v>
      </c>
      <c r="J16" s="76" t="s">
        <v>95</v>
      </c>
      <c r="K16" s="74" t="s">
        <v>96</v>
      </c>
    </row>
    <row r="17" ht="19.5" customHeight="1">
      <c r="A17" s="46">
        <v>1.0</v>
      </c>
      <c r="B17" s="37" t="s">
        <v>333</v>
      </c>
      <c r="C17" s="46" t="s">
        <v>148</v>
      </c>
      <c r="D17" s="78">
        <f>D15</f>
        <v>20</v>
      </c>
      <c r="E17" s="37">
        <v>0.05</v>
      </c>
      <c r="F17" s="40">
        <f t="shared" ref="F17:G17" si="2">F15</f>
        <v>0.8</v>
      </c>
      <c r="G17" s="40">
        <f t="shared" si="2"/>
        <v>0.8</v>
      </c>
      <c r="H17" s="40">
        <f>G17*F17*E17*D17</f>
        <v>0.64</v>
      </c>
      <c r="I17" s="42"/>
      <c r="J17" s="64">
        <f>H17</f>
        <v>0.64</v>
      </c>
      <c r="K17" s="46"/>
    </row>
    <row r="18" ht="19.5" customHeight="1">
      <c r="A18" s="74" t="s">
        <v>1</v>
      </c>
      <c r="B18" s="74" t="s">
        <v>91</v>
      </c>
      <c r="C18" s="74" t="s">
        <v>92</v>
      </c>
      <c r="D18" s="76" t="s">
        <v>93</v>
      </c>
      <c r="E18" s="50" t="s">
        <v>97</v>
      </c>
      <c r="F18" s="53" t="s">
        <v>121</v>
      </c>
      <c r="G18" s="53" t="s">
        <v>99</v>
      </c>
      <c r="H18" s="75" t="s">
        <v>100</v>
      </c>
      <c r="I18" s="75" t="s">
        <v>101</v>
      </c>
      <c r="J18" s="76" t="s">
        <v>95</v>
      </c>
      <c r="K18" s="74" t="s">
        <v>96</v>
      </c>
    </row>
    <row r="19" ht="19.5" customHeight="1">
      <c r="A19" s="46">
        <v>1.0</v>
      </c>
      <c r="B19" s="37" t="s">
        <v>334</v>
      </c>
      <c r="C19" s="46" t="s">
        <v>148</v>
      </c>
      <c r="D19" s="78">
        <f>D17</f>
        <v>20</v>
      </c>
      <c r="E19" s="37">
        <v>1.0</v>
      </c>
      <c r="F19" s="40">
        <v>0.25</v>
      </c>
      <c r="G19" s="40">
        <v>0.3</v>
      </c>
      <c r="H19" s="40">
        <f>G19*F19*E19*D19</f>
        <v>1.5</v>
      </c>
      <c r="I19" s="42"/>
      <c r="J19" s="43">
        <f>H19-I19</f>
        <v>1.5</v>
      </c>
      <c r="K19" s="46"/>
    </row>
    <row r="20" ht="19.5" customHeight="1">
      <c r="A20" s="74" t="s">
        <v>1</v>
      </c>
      <c r="B20" s="74" t="s">
        <v>91</v>
      </c>
      <c r="C20" s="74" t="s">
        <v>92</v>
      </c>
      <c r="D20" s="76" t="s">
        <v>93</v>
      </c>
      <c r="E20" s="50" t="s">
        <v>97</v>
      </c>
      <c r="F20" s="53" t="s">
        <v>121</v>
      </c>
      <c r="G20" s="53" t="s">
        <v>99</v>
      </c>
      <c r="H20" s="75" t="s">
        <v>100</v>
      </c>
      <c r="I20" s="75" t="s">
        <v>101</v>
      </c>
      <c r="J20" s="76" t="s">
        <v>95</v>
      </c>
      <c r="K20" s="74" t="s">
        <v>96</v>
      </c>
    </row>
    <row r="21" ht="19.5" customHeight="1">
      <c r="A21" s="46">
        <v>1.0</v>
      </c>
      <c r="B21" s="37" t="s">
        <v>335</v>
      </c>
      <c r="C21" s="46" t="s">
        <v>148</v>
      </c>
      <c r="D21" s="78">
        <f>D15</f>
        <v>20</v>
      </c>
      <c r="E21" s="37">
        <v>5.0</v>
      </c>
      <c r="F21" s="40">
        <v>0.25</v>
      </c>
      <c r="G21" s="40">
        <v>0.3</v>
      </c>
      <c r="H21" s="40">
        <f>G21*F21*E21*D21</f>
        <v>7.5</v>
      </c>
      <c r="I21" s="42"/>
      <c r="J21" s="107"/>
      <c r="K21" s="46"/>
    </row>
    <row r="22" ht="19.5" customHeight="1">
      <c r="A22" s="46"/>
      <c r="B22" s="37"/>
      <c r="C22" s="46"/>
      <c r="D22" s="78"/>
      <c r="E22" s="37"/>
      <c r="F22" s="40"/>
      <c r="G22" s="40"/>
      <c r="H22" s="40"/>
      <c r="I22" s="42"/>
      <c r="J22" s="96">
        <f>SUM(H21:H22)</f>
        <v>7.5</v>
      </c>
      <c r="K22" s="79"/>
    </row>
    <row r="23" ht="19.5" customHeight="1">
      <c r="A23" s="74" t="s">
        <v>1</v>
      </c>
      <c r="B23" s="74" t="s">
        <v>91</v>
      </c>
      <c r="C23" s="74" t="s">
        <v>92</v>
      </c>
      <c r="D23" s="76" t="s">
        <v>93</v>
      </c>
      <c r="E23" s="50" t="s">
        <v>97</v>
      </c>
      <c r="F23" s="53" t="s">
        <v>121</v>
      </c>
      <c r="G23" s="53" t="s">
        <v>99</v>
      </c>
      <c r="H23" s="75" t="s">
        <v>100</v>
      </c>
      <c r="I23" s="75" t="s">
        <v>101</v>
      </c>
      <c r="J23" s="76" t="s">
        <v>95</v>
      </c>
      <c r="K23" s="74" t="s">
        <v>96</v>
      </c>
    </row>
    <row r="24" ht="19.5" customHeight="1">
      <c r="A24" s="46">
        <v>1.0</v>
      </c>
      <c r="B24" s="37" t="s">
        <v>337</v>
      </c>
      <c r="C24" s="46" t="s">
        <v>148</v>
      </c>
      <c r="D24" s="78">
        <f>D19</f>
        <v>20</v>
      </c>
      <c r="E24" s="37">
        <v>0.25</v>
      </c>
      <c r="F24" s="40">
        <f t="shared" ref="F24:G24" si="3">F17</f>
        <v>0.8</v>
      </c>
      <c r="G24" s="40">
        <f t="shared" si="3"/>
        <v>0.8</v>
      </c>
      <c r="H24" s="40">
        <f>G24*F24*E24*D24</f>
        <v>3.2</v>
      </c>
      <c r="I24" s="42"/>
      <c r="J24" s="40"/>
      <c r="K24" s="46"/>
    </row>
    <row r="25" ht="19.5" customHeight="1">
      <c r="A25" s="46">
        <v>2.0</v>
      </c>
      <c r="B25" s="37" t="s">
        <v>337</v>
      </c>
      <c r="C25" s="46" t="s">
        <v>148</v>
      </c>
      <c r="D25" s="78"/>
      <c r="E25" s="37"/>
      <c r="F25" s="40"/>
      <c r="G25" s="40"/>
      <c r="H25" s="40"/>
      <c r="I25" s="42"/>
      <c r="J25" s="43">
        <f>SUM(H24:H25)</f>
        <v>3.2</v>
      </c>
      <c r="K25" s="79"/>
    </row>
    <row r="26" ht="19.5" customHeight="1">
      <c r="A26" s="74" t="s">
        <v>1</v>
      </c>
      <c r="B26" s="74" t="s">
        <v>91</v>
      </c>
      <c r="C26" s="74" t="s">
        <v>92</v>
      </c>
      <c r="D26" s="76" t="s">
        <v>93</v>
      </c>
      <c r="E26" s="50" t="s">
        <v>97</v>
      </c>
      <c r="F26" s="53" t="s">
        <v>121</v>
      </c>
      <c r="G26" s="53" t="s">
        <v>99</v>
      </c>
      <c r="H26" s="75" t="s">
        <v>100</v>
      </c>
      <c r="I26" s="75" t="s">
        <v>101</v>
      </c>
      <c r="J26" s="76" t="s">
        <v>95</v>
      </c>
      <c r="K26" s="74" t="s">
        <v>96</v>
      </c>
    </row>
    <row r="27" ht="19.5" customHeight="1">
      <c r="A27" s="46">
        <v>1.0</v>
      </c>
      <c r="B27" s="37" t="s">
        <v>338</v>
      </c>
      <c r="C27" s="46" t="s">
        <v>148</v>
      </c>
      <c r="D27" s="78">
        <v>5.0</v>
      </c>
      <c r="E27" s="37">
        <v>0.3</v>
      </c>
      <c r="F27" s="78">
        <v>15.0</v>
      </c>
      <c r="G27" s="40">
        <v>0.14</v>
      </c>
      <c r="H27" s="40">
        <f>G27*F27*E27*D27</f>
        <v>3.15</v>
      </c>
      <c r="I27" s="42"/>
      <c r="J27" s="40"/>
      <c r="K27" s="46"/>
    </row>
    <row r="28" ht="19.5" customHeight="1">
      <c r="A28" s="46"/>
      <c r="B28" s="37"/>
      <c r="C28" s="46"/>
      <c r="D28" s="78"/>
      <c r="E28" s="37"/>
      <c r="F28" s="78"/>
      <c r="G28" s="40"/>
      <c r="H28" s="40"/>
      <c r="I28" s="42"/>
      <c r="J28" s="43">
        <f>SUM(H27:H28)</f>
        <v>3.15</v>
      </c>
      <c r="K28" s="79"/>
      <c r="L28" s="14">
        <f>J28+J19</f>
        <v>4.65</v>
      </c>
    </row>
    <row r="29" ht="19.5" customHeight="1">
      <c r="A29" s="74" t="s">
        <v>1</v>
      </c>
      <c r="B29" s="74" t="s">
        <v>91</v>
      </c>
      <c r="C29" s="74" t="s">
        <v>92</v>
      </c>
      <c r="D29" s="76" t="s">
        <v>93</v>
      </c>
      <c r="E29" s="50" t="s">
        <v>97</v>
      </c>
      <c r="F29" s="53" t="s">
        <v>121</v>
      </c>
      <c r="G29" s="53" t="s">
        <v>99</v>
      </c>
      <c r="H29" s="75" t="s">
        <v>100</v>
      </c>
      <c r="I29" s="75" t="s">
        <v>101</v>
      </c>
      <c r="J29" s="76" t="s">
        <v>95</v>
      </c>
      <c r="K29" s="74" t="s">
        <v>96</v>
      </c>
    </row>
    <row r="30" ht="19.5" customHeight="1">
      <c r="A30" s="46">
        <v>1.0</v>
      </c>
      <c r="B30" s="37" t="s">
        <v>339</v>
      </c>
      <c r="C30" s="46" t="s">
        <v>148</v>
      </c>
      <c r="D30" s="78">
        <f>H11</f>
        <v>10.24</v>
      </c>
      <c r="E30" s="37"/>
      <c r="F30" s="78"/>
      <c r="G30" s="40"/>
      <c r="H30" s="40">
        <f>D30</f>
        <v>10.24</v>
      </c>
      <c r="I30" s="42"/>
      <c r="J30" s="43">
        <f>H30</f>
        <v>10.24</v>
      </c>
      <c r="K30" s="46"/>
    </row>
    <row r="31" ht="19.5" customHeight="1">
      <c r="A31" s="46">
        <v>2.0</v>
      </c>
      <c r="B31" s="37" t="s">
        <v>340</v>
      </c>
      <c r="C31" s="46" t="s">
        <v>148</v>
      </c>
      <c r="D31" s="78"/>
      <c r="E31" s="37"/>
      <c r="F31" s="78"/>
      <c r="G31" s="40"/>
      <c r="H31" s="40"/>
      <c r="I31" s="42"/>
      <c r="J31" s="43">
        <f>H31*1.5</f>
        <v>0</v>
      </c>
      <c r="K31" s="46" t="s">
        <v>341</v>
      </c>
    </row>
    <row r="32" ht="19.5" customHeight="1">
      <c r="A32" s="74" t="s">
        <v>1</v>
      </c>
      <c r="B32" s="74" t="s">
        <v>91</v>
      </c>
      <c r="C32" s="74" t="s">
        <v>92</v>
      </c>
      <c r="D32" s="76" t="s">
        <v>93</v>
      </c>
      <c r="E32" s="50" t="s">
        <v>97</v>
      </c>
      <c r="F32" s="53" t="s">
        <v>121</v>
      </c>
      <c r="G32" s="53" t="s">
        <v>99</v>
      </c>
      <c r="H32" s="75" t="s">
        <v>100</v>
      </c>
      <c r="I32" s="75" t="s">
        <v>101</v>
      </c>
      <c r="J32" s="76" t="s">
        <v>95</v>
      </c>
      <c r="K32" s="74" t="s">
        <v>96</v>
      </c>
      <c r="L32" s="14">
        <f>J21+J41</f>
        <v>3.675</v>
      </c>
    </row>
    <row r="33" ht="19.5" customHeight="1">
      <c r="A33" s="46">
        <v>1.0</v>
      </c>
      <c r="B33" s="37" t="s">
        <v>172</v>
      </c>
      <c r="C33" s="46" t="s">
        <v>148</v>
      </c>
      <c r="D33" s="78"/>
      <c r="E33" s="37"/>
      <c r="F33" s="78" t="str">
        <f t="shared" ref="F33:G33" si="4">F31</f>
        <v/>
      </c>
      <c r="G33" s="40" t="str">
        <f t="shared" si="4"/>
        <v/>
      </c>
      <c r="H33" s="40">
        <f>G33*F33*E33*D33</f>
        <v>0</v>
      </c>
      <c r="I33" s="42"/>
      <c r="J33" s="107">
        <f>H33</f>
        <v>0</v>
      </c>
      <c r="K33" s="46"/>
    </row>
    <row r="34" ht="19.5" customHeight="1">
      <c r="A34" s="46">
        <v>2.0</v>
      </c>
      <c r="B34" s="37" t="s">
        <v>342</v>
      </c>
      <c r="C34" s="46" t="s">
        <v>103</v>
      </c>
      <c r="D34" s="39">
        <v>1.0</v>
      </c>
      <c r="E34" s="37"/>
      <c r="F34" s="39">
        <v>13.97</v>
      </c>
      <c r="G34" s="39">
        <v>8.96</v>
      </c>
      <c r="H34" s="40">
        <f t="shared" ref="H34:H35" si="6">G34*F34*D34</f>
        <v>125.1712</v>
      </c>
      <c r="I34" s="42">
        <f t="shared" ref="I34:I35" si="7">(11.8*0.32)*3</f>
        <v>11.328</v>
      </c>
      <c r="J34" s="43">
        <f t="shared" ref="J34:J35" si="8">H34-I34</f>
        <v>113.8432</v>
      </c>
      <c r="K34" s="46"/>
    </row>
    <row r="35" ht="19.5" customHeight="1">
      <c r="A35" s="46">
        <v>3.0</v>
      </c>
      <c r="B35" s="49" t="s">
        <v>1360</v>
      </c>
      <c r="C35" s="46" t="s">
        <v>103</v>
      </c>
      <c r="D35" s="39">
        <v>1.0</v>
      </c>
      <c r="E35" s="37"/>
      <c r="F35" s="78">
        <f t="shared" ref="F35:G35" si="5">F34</f>
        <v>13.97</v>
      </c>
      <c r="G35" s="78">
        <f t="shared" si="5"/>
        <v>8.96</v>
      </c>
      <c r="H35" s="40">
        <f t="shared" si="6"/>
        <v>125.1712</v>
      </c>
      <c r="I35" s="42">
        <f t="shared" si="7"/>
        <v>11.328</v>
      </c>
      <c r="J35" s="43">
        <f t="shared" si="8"/>
        <v>113.8432</v>
      </c>
      <c r="K35" s="46" t="s">
        <v>344</v>
      </c>
    </row>
    <row r="36" ht="19.5" customHeight="1">
      <c r="A36" s="74" t="s">
        <v>1</v>
      </c>
      <c r="B36" s="74" t="s">
        <v>91</v>
      </c>
      <c r="C36" s="74" t="s">
        <v>92</v>
      </c>
      <c r="D36" s="76" t="s">
        <v>93</v>
      </c>
      <c r="E36" s="50" t="s">
        <v>97</v>
      </c>
      <c r="F36" s="53" t="s">
        <v>121</v>
      </c>
      <c r="G36" s="53" t="s">
        <v>99</v>
      </c>
      <c r="H36" s="75" t="s">
        <v>100</v>
      </c>
      <c r="I36" s="75" t="s">
        <v>101</v>
      </c>
      <c r="J36" s="76" t="s">
        <v>95</v>
      </c>
      <c r="K36" s="74" t="s">
        <v>96</v>
      </c>
    </row>
    <row r="37" ht="19.5" customHeight="1">
      <c r="A37" s="36">
        <v>37117.0</v>
      </c>
      <c r="B37" s="37" t="s">
        <v>345</v>
      </c>
      <c r="C37" s="38" t="s">
        <v>103</v>
      </c>
      <c r="D37" s="78">
        <v>3.0</v>
      </c>
      <c r="E37" s="37">
        <v>0.3</v>
      </c>
      <c r="F37" s="78">
        <v>15.0</v>
      </c>
      <c r="G37" s="40">
        <v>0.14</v>
      </c>
      <c r="H37" s="40">
        <f t="shared" ref="H37:H38" si="9">F37*E37*D37</f>
        <v>13.5</v>
      </c>
      <c r="I37" s="42"/>
      <c r="J37" s="40"/>
      <c r="K37" s="46"/>
    </row>
    <row r="38" ht="19.5" customHeight="1">
      <c r="A38" s="36">
        <v>37117.0</v>
      </c>
      <c r="B38" s="37" t="s">
        <v>345</v>
      </c>
      <c r="C38" s="38" t="s">
        <v>103</v>
      </c>
      <c r="D38" s="78">
        <v>2.0</v>
      </c>
      <c r="E38" s="37">
        <v>0.3</v>
      </c>
      <c r="F38" s="78">
        <v>10.0</v>
      </c>
      <c r="G38" s="40">
        <v>0.14</v>
      </c>
      <c r="H38" s="40">
        <f t="shared" si="9"/>
        <v>6</v>
      </c>
      <c r="I38" s="42"/>
      <c r="J38" s="43">
        <f>SUM(H37:H38)</f>
        <v>19.5</v>
      </c>
      <c r="K38" s="79"/>
    </row>
    <row r="39" ht="19.5" customHeight="1">
      <c r="A39" s="74" t="s">
        <v>1</v>
      </c>
      <c r="B39" s="74" t="s">
        <v>91</v>
      </c>
      <c r="C39" s="74" t="s">
        <v>92</v>
      </c>
      <c r="D39" s="76" t="s">
        <v>93</v>
      </c>
      <c r="E39" s="50" t="s">
        <v>97</v>
      </c>
      <c r="F39" s="53" t="s">
        <v>121</v>
      </c>
      <c r="G39" s="53" t="s">
        <v>99</v>
      </c>
      <c r="H39" s="75" t="s">
        <v>100</v>
      </c>
      <c r="I39" s="75" t="s">
        <v>101</v>
      </c>
      <c r="J39" s="76" t="s">
        <v>95</v>
      </c>
      <c r="K39" s="74" t="s">
        <v>96</v>
      </c>
    </row>
    <row r="40" ht="19.5" customHeight="1">
      <c r="A40" s="46">
        <v>1.0</v>
      </c>
      <c r="B40" s="37" t="s">
        <v>346</v>
      </c>
      <c r="C40" s="38" t="s">
        <v>103</v>
      </c>
      <c r="D40" s="78">
        <v>5.0</v>
      </c>
      <c r="E40" s="37">
        <v>0.25</v>
      </c>
      <c r="F40" s="40">
        <f t="shared" ref="F40:F41" si="10">F37</f>
        <v>15</v>
      </c>
      <c r="G40" s="40">
        <v>0.14</v>
      </c>
      <c r="H40" s="40">
        <f t="shared" ref="H40:H41" si="11">G40*F40*E40*D40</f>
        <v>2.625</v>
      </c>
      <c r="I40" s="42"/>
      <c r="J40" s="40"/>
      <c r="K40" s="46"/>
    </row>
    <row r="41" ht="19.5" customHeight="1">
      <c r="A41" s="46">
        <v>6.0</v>
      </c>
      <c r="B41" s="37" t="s">
        <v>346</v>
      </c>
      <c r="C41" s="38" t="s">
        <v>103</v>
      </c>
      <c r="D41" s="78">
        <v>3.0</v>
      </c>
      <c r="E41" s="37">
        <v>0.25</v>
      </c>
      <c r="F41" s="40">
        <f t="shared" si="10"/>
        <v>10</v>
      </c>
      <c r="G41" s="40">
        <v>0.14</v>
      </c>
      <c r="H41" s="40">
        <f t="shared" si="11"/>
        <v>1.05</v>
      </c>
      <c r="I41" s="42"/>
      <c r="J41" s="96">
        <f>SUM(H40:H41)</f>
        <v>3.675</v>
      </c>
      <c r="K41" s="79"/>
      <c r="L41" s="14"/>
    </row>
    <row r="42" ht="19.5" customHeight="1">
      <c r="A42" s="74" t="s">
        <v>1</v>
      </c>
      <c r="B42" s="74" t="s">
        <v>91</v>
      </c>
      <c r="C42" s="74" t="s">
        <v>92</v>
      </c>
      <c r="D42" s="76" t="s">
        <v>93</v>
      </c>
      <c r="E42" s="50" t="s">
        <v>97</v>
      </c>
      <c r="F42" s="53" t="s">
        <v>121</v>
      </c>
      <c r="G42" s="53" t="s">
        <v>99</v>
      </c>
      <c r="H42" s="75" t="s">
        <v>100</v>
      </c>
      <c r="I42" s="75" t="s">
        <v>101</v>
      </c>
      <c r="J42" s="76" t="s">
        <v>95</v>
      </c>
      <c r="K42" s="74" t="s">
        <v>96</v>
      </c>
    </row>
    <row r="43" ht="19.5" customHeight="1">
      <c r="A43" s="46">
        <v>1.0</v>
      </c>
      <c r="B43" s="49" t="s">
        <v>1798</v>
      </c>
      <c r="C43" s="46" t="s">
        <v>103</v>
      </c>
      <c r="D43" s="78">
        <v>4.0</v>
      </c>
      <c r="E43" s="37">
        <v>0.15</v>
      </c>
      <c r="F43" s="40">
        <v>15.0</v>
      </c>
      <c r="G43" s="40">
        <v>2.0</v>
      </c>
      <c r="H43" s="40">
        <f t="shared" ref="H43:H44" si="12">G43*F43*D43</f>
        <v>120</v>
      </c>
      <c r="I43" s="42"/>
      <c r="J43" s="43">
        <f t="shared" ref="J43:J44" si="13">H43</f>
        <v>120</v>
      </c>
      <c r="K43" s="47"/>
    </row>
    <row r="44" ht="19.5" customHeight="1">
      <c r="A44" s="79"/>
      <c r="B44" s="114" t="s">
        <v>1799</v>
      </c>
      <c r="C44" s="46" t="s">
        <v>103</v>
      </c>
      <c r="D44" s="39">
        <v>1.0</v>
      </c>
      <c r="E44" s="37">
        <v>0.15</v>
      </c>
      <c r="F44" s="41">
        <v>14.3</v>
      </c>
      <c r="G44" s="41">
        <v>9.6</v>
      </c>
      <c r="H44" s="40">
        <f t="shared" si="12"/>
        <v>137.28</v>
      </c>
      <c r="I44" s="82"/>
      <c r="J44" s="43">
        <f t="shared" si="13"/>
        <v>137.28</v>
      </c>
      <c r="K44" s="132"/>
    </row>
    <row r="45" ht="19.5" customHeight="1">
      <c r="A45" s="79"/>
      <c r="B45" s="114"/>
      <c r="C45" s="79"/>
      <c r="D45" s="115"/>
      <c r="E45" s="37"/>
      <c r="F45" s="41"/>
      <c r="G45" s="41"/>
      <c r="H45" s="59"/>
      <c r="I45" s="82"/>
      <c r="J45" s="143">
        <f>SUM(J43:J44)</f>
        <v>257.28</v>
      </c>
      <c r="K45" s="352" t="s">
        <v>212</v>
      </c>
    </row>
    <row r="46" ht="19.5" customHeight="1">
      <c r="A46" s="74" t="s">
        <v>1</v>
      </c>
      <c r="B46" s="74" t="s">
        <v>91</v>
      </c>
      <c r="C46" s="74" t="s">
        <v>92</v>
      </c>
      <c r="D46" s="76" t="s">
        <v>93</v>
      </c>
      <c r="E46" s="50" t="s">
        <v>148</v>
      </c>
      <c r="F46" s="53" t="s">
        <v>347</v>
      </c>
      <c r="G46" s="53" t="s">
        <v>348</v>
      </c>
      <c r="H46" s="75" t="s">
        <v>100</v>
      </c>
      <c r="I46" s="75" t="s">
        <v>101</v>
      </c>
      <c r="J46" s="76" t="s">
        <v>95</v>
      </c>
      <c r="K46" s="74" t="s">
        <v>96</v>
      </c>
    </row>
    <row r="47" ht="20.25" customHeight="1">
      <c r="A47" s="38">
        <v>1.0</v>
      </c>
      <c r="B47" s="574" t="s">
        <v>349</v>
      </c>
      <c r="C47" s="46" t="s">
        <v>103</v>
      </c>
      <c r="D47" s="123">
        <v>1.0</v>
      </c>
      <c r="E47" s="40">
        <f>J25</f>
        <v>3.2</v>
      </c>
      <c r="F47" s="40">
        <v>10.0</v>
      </c>
      <c r="G47" s="40">
        <v>4.0</v>
      </c>
      <c r="H47" s="40">
        <f t="shared" ref="H47:H50" si="14">G47*F47</f>
        <v>40</v>
      </c>
      <c r="I47" s="42"/>
      <c r="J47" s="64">
        <f t="shared" ref="J47:J50" si="15">H47</f>
        <v>40</v>
      </c>
      <c r="K47" s="313" t="s">
        <v>1800</v>
      </c>
    </row>
    <row r="48" ht="18.75" customHeight="1">
      <c r="A48" s="46">
        <v>2.0</v>
      </c>
      <c r="B48" s="574" t="s">
        <v>351</v>
      </c>
      <c r="C48" s="46" t="s">
        <v>103</v>
      </c>
      <c r="D48" s="128">
        <v>1.0</v>
      </c>
      <c r="E48" s="40">
        <f>J19+J28</f>
        <v>4.65</v>
      </c>
      <c r="F48" s="40">
        <v>12.0</v>
      </c>
      <c r="G48" s="40">
        <v>4.0</v>
      </c>
      <c r="H48" s="59">
        <f t="shared" si="14"/>
        <v>48</v>
      </c>
      <c r="I48" s="93"/>
      <c r="J48" s="64">
        <f t="shared" si="15"/>
        <v>48</v>
      </c>
      <c r="K48" s="147"/>
    </row>
    <row r="49" ht="18.0" customHeight="1">
      <c r="A49" s="46">
        <v>3.0</v>
      </c>
      <c r="B49" s="574" t="s">
        <v>352</v>
      </c>
      <c r="C49" s="46" t="s">
        <v>103</v>
      </c>
      <c r="D49" s="128">
        <v>1.0</v>
      </c>
      <c r="E49" s="40">
        <f>J41+J21</f>
        <v>3.675</v>
      </c>
      <c r="F49" s="40">
        <v>12.0</v>
      </c>
      <c r="G49" s="40">
        <v>4.0</v>
      </c>
      <c r="H49" s="59">
        <f t="shared" si="14"/>
        <v>48</v>
      </c>
      <c r="I49" s="93"/>
      <c r="J49" s="64">
        <f t="shared" si="15"/>
        <v>48</v>
      </c>
      <c r="K49" s="32"/>
    </row>
    <row r="50" ht="18.0" customHeight="1">
      <c r="A50" s="46">
        <v>4.0</v>
      </c>
      <c r="B50" s="574" t="s">
        <v>352</v>
      </c>
      <c r="C50" s="46" t="s">
        <v>103</v>
      </c>
      <c r="D50" s="128">
        <v>1.0</v>
      </c>
      <c r="E50" s="40">
        <f>H43*0.15</f>
        <v>18</v>
      </c>
      <c r="F50" s="40">
        <v>13.0</v>
      </c>
      <c r="G50" s="40">
        <v>4.0</v>
      </c>
      <c r="H50" s="59">
        <f t="shared" si="14"/>
        <v>52</v>
      </c>
      <c r="I50" s="93"/>
      <c r="J50" s="64">
        <f t="shared" si="15"/>
        <v>52</v>
      </c>
      <c r="K50" s="313"/>
    </row>
    <row r="51" ht="19.5" customHeight="1">
      <c r="A51" s="74" t="s">
        <v>1</v>
      </c>
      <c r="B51" s="74" t="s">
        <v>91</v>
      </c>
      <c r="C51" s="74" t="s">
        <v>92</v>
      </c>
      <c r="D51" s="76" t="s">
        <v>93</v>
      </c>
      <c r="E51" s="50" t="s">
        <v>97</v>
      </c>
      <c r="F51" s="53" t="s">
        <v>121</v>
      </c>
      <c r="G51" s="53" t="s">
        <v>99</v>
      </c>
      <c r="H51" s="75" t="s">
        <v>100</v>
      </c>
      <c r="I51" s="75" t="s">
        <v>101</v>
      </c>
      <c r="J51" s="76" t="s">
        <v>95</v>
      </c>
      <c r="K51" s="74" t="s">
        <v>96</v>
      </c>
    </row>
    <row r="52" ht="19.5" customHeight="1">
      <c r="A52" s="36">
        <v>37482.0</v>
      </c>
      <c r="B52" s="49" t="s">
        <v>1801</v>
      </c>
      <c r="C52" s="46" t="s">
        <v>103</v>
      </c>
      <c r="D52" s="115">
        <v>2.0</v>
      </c>
      <c r="E52" s="49">
        <v>1.1</v>
      </c>
      <c r="F52" s="78">
        <f>4.31+1.46+4.31</f>
        <v>10.08</v>
      </c>
      <c r="G52" s="40"/>
      <c r="H52" s="59">
        <f t="shared" ref="H52:H57" si="16">F52*E52*D52</f>
        <v>22.176</v>
      </c>
      <c r="I52" s="82"/>
      <c r="J52" s="101"/>
      <c r="K52" s="79"/>
    </row>
    <row r="53" ht="19.5" customHeight="1">
      <c r="A53" s="36">
        <v>37482.0</v>
      </c>
      <c r="B53" s="49" t="s">
        <v>1801</v>
      </c>
      <c r="C53" s="46" t="s">
        <v>103</v>
      </c>
      <c r="D53" s="115">
        <v>4.0</v>
      </c>
      <c r="E53" s="49">
        <v>1.1</v>
      </c>
      <c r="F53" s="39">
        <v>12.12</v>
      </c>
      <c r="G53" s="40"/>
      <c r="H53" s="59">
        <f t="shared" si="16"/>
        <v>53.328</v>
      </c>
      <c r="I53" s="82"/>
      <c r="J53" s="101"/>
      <c r="K53" s="79"/>
    </row>
    <row r="54" ht="19.5" customHeight="1">
      <c r="A54" s="36">
        <v>37482.0</v>
      </c>
      <c r="B54" s="49" t="s">
        <v>1801</v>
      </c>
      <c r="C54" s="46" t="s">
        <v>103</v>
      </c>
      <c r="D54" s="115">
        <v>1.0</v>
      </c>
      <c r="E54" s="49">
        <v>1.1</v>
      </c>
      <c r="F54" s="78">
        <f>2.46+4.46+4.31</f>
        <v>11.23</v>
      </c>
      <c r="G54" s="40"/>
      <c r="H54" s="59">
        <f t="shared" si="16"/>
        <v>12.353</v>
      </c>
      <c r="I54" s="82"/>
      <c r="J54" s="101"/>
      <c r="K54" s="79"/>
    </row>
    <row r="55" ht="19.5" customHeight="1">
      <c r="A55" s="36">
        <v>37482.0</v>
      </c>
      <c r="B55" s="49" t="s">
        <v>1801</v>
      </c>
      <c r="C55" s="46" t="s">
        <v>103</v>
      </c>
      <c r="D55" s="39">
        <v>2.0</v>
      </c>
      <c r="E55" s="49">
        <v>1.1</v>
      </c>
      <c r="F55" s="39">
        <v>4.33</v>
      </c>
      <c r="G55" s="40"/>
      <c r="H55" s="59">
        <f t="shared" si="16"/>
        <v>9.526</v>
      </c>
      <c r="I55" s="42"/>
      <c r="J55" s="40"/>
      <c r="K55" s="46"/>
    </row>
    <row r="56" ht="19.5" customHeight="1">
      <c r="A56" s="36">
        <v>37482.0</v>
      </c>
      <c r="B56" s="49" t="s">
        <v>1801</v>
      </c>
      <c r="C56" s="46" t="s">
        <v>103</v>
      </c>
      <c r="D56" s="39">
        <v>2.0</v>
      </c>
      <c r="E56" s="49">
        <v>1.1</v>
      </c>
      <c r="F56" s="39">
        <v>2.01</v>
      </c>
      <c r="G56" s="40"/>
      <c r="H56" s="59">
        <f t="shared" si="16"/>
        <v>4.422</v>
      </c>
      <c r="I56" s="42"/>
      <c r="J56" s="40"/>
      <c r="K56" s="46"/>
    </row>
    <row r="57" ht="19.5" customHeight="1">
      <c r="A57" s="36">
        <v>37482.0</v>
      </c>
      <c r="B57" s="49" t="s">
        <v>1802</v>
      </c>
      <c r="C57" s="46" t="s">
        <v>103</v>
      </c>
      <c r="D57" s="39">
        <v>1.0</v>
      </c>
      <c r="E57" s="49">
        <v>0.4</v>
      </c>
      <c r="F57" s="39">
        <f>14.27+14.27+9.56</f>
        <v>38.1</v>
      </c>
      <c r="G57" s="40"/>
      <c r="H57" s="59">
        <f t="shared" si="16"/>
        <v>15.24</v>
      </c>
      <c r="I57" s="82"/>
      <c r="J57" s="101"/>
      <c r="K57" s="79"/>
    </row>
    <row r="58" ht="19.5" customHeight="1">
      <c r="A58" s="79"/>
      <c r="B58" s="95"/>
      <c r="C58" s="79"/>
      <c r="D58" s="92"/>
      <c r="E58" s="49"/>
      <c r="F58" s="78"/>
      <c r="G58" s="40"/>
      <c r="H58" s="59"/>
      <c r="I58" s="93"/>
      <c r="J58" s="96">
        <f>SUM(H52:H57)</f>
        <v>117.045</v>
      </c>
      <c r="K58" s="79"/>
    </row>
    <row r="59" ht="19.5" customHeight="1">
      <c r="A59" s="74" t="s">
        <v>1</v>
      </c>
      <c r="B59" s="74" t="s">
        <v>91</v>
      </c>
      <c r="C59" s="74" t="s">
        <v>92</v>
      </c>
      <c r="D59" s="76" t="s">
        <v>93</v>
      </c>
      <c r="E59" s="50" t="s">
        <v>97</v>
      </c>
      <c r="F59" s="53" t="s">
        <v>121</v>
      </c>
      <c r="G59" s="53" t="s">
        <v>99</v>
      </c>
      <c r="H59" s="75" t="s">
        <v>100</v>
      </c>
      <c r="I59" s="75" t="s">
        <v>101</v>
      </c>
      <c r="J59" s="76" t="s">
        <v>95</v>
      </c>
      <c r="K59" s="74" t="s">
        <v>96</v>
      </c>
    </row>
    <row r="60" ht="19.5" customHeight="1">
      <c r="A60" s="46">
        <v>1.0</v>
      </c>
      <c r="B60" s="37" t="s">
        <v>182</v>
      </c>
      <c r="C60" s="46" t="s">
        <v>103</v>
      </c>
      <c r="D60" s="78">
        <f>J43</f>
        <v>120</v>
      </c>
      <c r="E60" s="37"/>
      <c r="F60" s="40"/>
      <c r="G60" s="40"/>
      <c r="H60" s="40"/>
      <c r="I60" s="42"/>
      <c r="J60" s="43">
        <f>D60</f>
        <v>120</v>
      </c>
      <c r="K60" s="46" t="s">
        <v>183</v>
      </c>
    </row>
    <row r="61" ht="19.5" customHeight="1">
      <c r="A61" s="74" t="s">
        <v>1</v>
      </c>
      <c r="B61" s="74" t="s">
        <v>91</v>
      </c>
      <c r="C61" s="74" t="s">
        <v>92</v>
      </c>
      <c r="D61" s="76" t="s">
        <v>93</v>
      </c>
      <c r="E61" s="50" t="s">
        <v>187</v>
      </c>
      <c r="F61" s="53"/>
      <c r="G61" s="53" t="s">
        <v>353</v>
      </c>
      <c r="H61" s="75" t="s">
        <v>100</v>
      </c>
      <c r="I61" s="75" t="s">
        <v>101</v>
      </c>
      <c r="J61" s="76" t="s">
        <v>95</v>
      </c>
      <c r="K61" s="74" t="s">
        <v>96</v>
      </c>
    </row>
    <row r="62" ht="19.5" customHeight="1">
      <c r="A62" s="46">
        <v>1.0</v>
      </c>
      <c r="B62" s="37" t="s">
        <v>354</v>
      </c>
      <c r="C62" s="46" t="s">
        <v>158</v>
      </c>
      <c r="D62" s="78">
        <f>J25</f>
        <v>3.2</v>
      </c>
      <c r="E62" s="37">
        <v>80.0</v>
      </c>
      <c r="F62" s="40"/>
      <c r="G62" s="40">
        <f t="shared" ref="G62:G65" si="17">E62*D62</f>
        <v>256</v>
      </c>
      <c r="H62" s="40">
        <f t="shared" ref="H62:H65" si="18">E62*D62</f>
        <v>256</v>
      </c>
      <c r="I62" s="42"/>
      <c r="J62" s="107"/>
      <c r="K62" s="46" t="s">
        <v>355</v>
      </c>
    </row>
    <row r="63" ht="19.5" customHeight="1">
      <c r="A63" s="46">
        <v>2.0</v>
      </c>
      <c r="B63" s="37" t="s">
        <v>356</v>
      </c>
      <c r="C63" s="46" t="s">
        <v>158</v>
      </c>
      <c r="D63" s="78">
        <f>J19+J28</f>
        <v>4.65</v>
      </c>
      <c r="E63" s="37">
        <v>90.0</v>
      </c>
      <c r="F63" s="40"/>
      <c r="G63" s="40">
        <f t="shared" si="17"/>
        <v>418.5</v>
      </c>
      <c r="H63" s="40">
        <f t="shared" si="18"/>
        <v>418.5</v>
      </c>
      <c r="I63" s="42"/>
      <c r="J63" s="121"/>
      <c r="K63" s="79"/>
    </row>
    <row r="64" ht="19.5" customHeight="1">
      <c r="A64" s="46">
        <v>3.0</v>
      </c>
      <c r="B64" s="37" t="s">
        <v>357</v>
      </c>
      <c r="C64" s="46" t="s">
        <v>158</v>
      </c>
      <c r="D64" s="78">
        <f>J41+J25</f>
        <v>6.875</v>
      </c>
      <c r="E64" s="37">
        <v>100.0</v>
      </c>
      <c r="F64" s="40"/>
      <c r="G64" s="40">
        <f t="shared" si="17"/>
        <v>687.5</v>
      </c>
      <c r="H64" s="40">
        <f t="shared" si="18"/>
        <v>687.5</v>
      </c>
      <c r="I64" s="42"/>
      <c r="J64" s="121"/>
      <c r="K64" s="79"/>
    </row>
    <row r="65" ht="19.5" customHeight="1">
      <c r="A65" s="46">
        <v>4.0</v>
      </c>
      <c r="B65" s="37" t="s">
        <v>358</v>
      </c>
      <c r="C65" s="46" t="s">
        <v>158</v>
      </c>
      <c r="D65" s="78">
        <f>E50</f>
        <v>18</v>
      </c>
      <c r="E65" s="37">
        <v>80.0</v>
      </c>
      <c r="F65" s="40"/>
      <c r="G65" s="40">
        <f t="shared" si="17"/>
        <v>1440</v>
      </c>
      <c r="H65" s="40">
        <f t="shared" si="18"/>
        <v>1440</v>
      </c>
      <c r="I65" s="42"/>
      <c r="J65" s="96">
        <f>SUM(H62:H65)</f>
        <v>2802</v>
      </c>
      <c r="K65" s="79"/>
    </row>
    <row r="66" ht="19.5" customHeight="1">
      <c r="A66" s="74" t="s">
        <v>1</v>
      </c>
      <c r="B66" s="74" t="s">
        <v>91</v>
      </c>
      <c r="C66" s="74" t="s">
        <v>92</v>
      </c>
      <c r="D66" s="76" t="s">
        <v>93</v>
      </c>
      <c r="E66" s="50" t="s">
        <v>97</v>
      </c>
      <c r="F66" s="53" t="s">
        <v>121</v>
      </c>
      <c r="G66" s="53" t="s">
        <v>99</v>
      </c>
      <c r="H66" s="75" t="s">
        <v>100</v>
      </c>
      <c r="I66" s="75" t="s">
        <v>101</v>
      </c>
      <c r="J66" s="76" t="s">
        <v>95</v>
      </c>
      <c r="K66" s="74" t="s">
        <v>96</v>
      </c>
    </row>
    <row r="67" ht="19.5" customHeight="1">
      <c r="A67" s="36">
        <v>37056.0</v>
      </c>
      <c r="B67" s="49" t="s">
        <v>1803</v>
      </c>
      <c r="C67" s="46" t="s">
        <v>108</v>
      </c>
      <c r="D67" s="78">
        <v>1.0</v>
      </c>
      <c r="E67" s="37"/>
      <c r="F67" s="41">
        <v>38.1</v>
      </c>
      <c r="G67" s="40"/>
      <c r="H67" s="40">
        <f>F67*D67</f>
        <v>38.1</v>
      </c>
      <c r="I67" s="42"/>
      <c r="J67" s="77"/>
      <c r="K67" s="46"/>
    </row>
    <row r="68" ht="19.5" customHeight="1">
      <c r="A68" s="46"/>
      <c r="B68" s="37"/>
      <c r="C68" s="46"/>
      <c r="D68" s="78"/>
      <c r="E68" s="37"/>
      <c r="F68" s="40"/>
      <c r="G68" s="40"/>
      <c r="H68" s="40"/>
      <c r="I68" s="42"/>
      <c r="J68" s="43">
        <f>SUM(H67)</f>
        <v>38.1</v>
      </c>
      <c r="K68" s="46" t="s">
        <v>186</v>
      </c>
    </row>
    <row r="69" ht="19.5" customHeight="1">
      <c r="A69" s="74" t="s">
        <v>1</v>
      </c>
      <c r="B69" s="74" t="s">
        <v>91</v>
      </c>
      <c r="C69" s="74" t="s">
        <v>92</v>
      </c>
      <c r="D69" s="76" t="s">
        <v>93</v>
      </c>
      <c r="E69" s="50" t="s">
        <v>187</v>
      </c>
      <c r="F69" s="53" t="s">
        <v>99</v>
      </c>
      <c r="G69" s="53" t="s">
        <v>121</v>
      </c>
      <c r="H69" s="75" t="s">
        <v>100</v>
      </c>
      <c r="I69" s="75" t="s">
        <v>101</v>
      </c>
      <c r="J69" s="76" t="s">
        <v>95</v>
      </c>
      <c r="K69" s="74" t="s">
        <v>96</v>
      </c>
    </row>
    <row r="70" ht="19.5" customHeight="1">
      <c r="A70" s="46">
        <v>1.0</v>
      </c>
      <c r="B70" s="37" t="s">
        <v>188</v>
      </c>
      <c r="C70" s="46" t="s">
        <v>103</v>
      </c>
      <c r="D70" s="78">
        <v>1.0</v>
      </c>
      <c r="E70" s="37">
        <v>12.0</v>
      </c>
      <c r="F70" s="40">
        <v>10.0</v>
      </c>
      <c r="G70" s="40">
        <v>15.0</v>
      </c>
      <c r="H70" s="40">
        <f>G70*F70</f>
        <v>150</v>
      </c>
      <c r="I70" s="42"/>
      <c r="J70" s="43">
        <f>H70-I70</f>
        <v>150</v>
      </c>
      <c r="K70" s="46" t="s">
        <v>359</v>
      </c>
    </row>
    <row r="71" ht="19.5" customHeight="1">
      <c r="A71" s="74" t="s">
        <v>1</v>
      </c>
      <c r="B71" s="74" t="s">
        <v>91</v>
      </c>
      <c r="C71" s="74" t="s">
        <v>92</v>
      </c>
      <c r="D71" s="76" t="s">
        <v>93</v>
      </c>
      <c r="E71" s="50" t="s">
        <v>187</v>
      </c>
      <c r="F71" s="53" t="s">
        <v>99</v>
      </c>
      <c r="G71" s="53" t="s">
        <v>121</v>
      </c>
      <c r="H71" s="75" t="s">
        <v>100</v>
      </c>
      <c r="I71" s="75" t="s">
        <v>101</v>
      </c>
      <c r="J71" s="76" t="s">
        <v>95</v>
      </c>
      <c r="K71" s="74" t="s">
        <v>96</v>
      </c>
    </row>
    <row r="72" ht="19.5" customHeight="1">
      <c r="A72" s="46">
        <v>1.0</v>
      </c>
      <c r="B72" s="37" t="s">
        <v>1804</v>
      </c>
      <c r="C72" s="46" t="s">
        <v>103</v>
      </c>
      <c r="D72" s="78">
        <v>1.0</v>
      </c>
      <c r="E72" s="37">
        <v>2.0</v>
      </c>
      <c r="F72" s="40">
        <v>10.0</v>
      </c>
      <c r="G72" s="40">
        <v>15.0</v>
      </c>
      <c r="H72" s="40">
        <f>G72*F72</f>
        <v>150</v>
      </c>
      <c r="I72" s="42"/>
      <c r="J72" s="43">
        <f>H72-I72</f>
        <v>150</v>
      </c>
      <c r="K72" s="46"/>
    </row>
    <row r="73" ht="19.5" customHeight="1">
      <c r="A73" s="74" t="s">
        <v>1</v>
      </c>
      <c r="B73" s="74" t="s">
        <v>91</v>
      </c>
      <c r="C73" s="74" t="s">
        <v>92</v>
      </c>
      <c r="D73" s="76" t="s">
        <v>93</v>
      </c>
      <c r="E73" s="50" t="s">
        <v>99</v>
      </c>
      <c r="F73" s="53" t="s">
        <v>121</v>
      </c>
      <c r="G73" s="53" t="s">
        <v>97</v>
      </c>
      <c r="H73" s="75" t="s">
        <v>100</v>
      </c>
      <c r="I73" s="75" t="s">
        <v>101</v>
      </c>
      <c r="J73" s="76" t="s">
        <v>95</v>
      </c>
      <c r="K73" s="74" t="s">
        <v>96</v>
      </c>
    </row>
    <row r="74" ht="19.5" customHeight="1">
      <c r="A74" s="46">
        <v>1.0</v>
      </c>
      <c r="B74" s="37" t="s">
        <v>1542</v>
      </c>
      <c r="C74" s="46" t="s">
        <v>103</v>
      </c>
      <c r="D74" s="78">
        <v>1.0</v>
      </c>
      <c r="E74" s="37">
        <v>1.2</v>
      </c>
      <c r="F74" s="40">
        <v>10.0</v>
      </c>
      <c r="G74" s="40">
        <v>0.3</v>
      </c>
      <c r="H74" s="40">
        <f>F74*E74</f>
        <v>12</v>
      </c>
      <c r="I74" s="42"/>
      <c r="J74" s="43">
        <f>H74-I74</f>
        <v>12</v>
      </c>
      <c r="K74" s="46"/>
    </row>
    <row r="75" ht="19.5" customHeight="1">
      <c r="A75" s="74" t="s">
        <v>1</v>
      </c>
      <c r="B75" s="74" t="s">
        <v>91</v>
      </c>
      <c r="C75" s="74" t="s">
        <v>92</v>
      </c>
      <c r="D75" s="76" t="s">
        <v>93</v>
      </c>
      <c r="E75" s="50" t="s">
        <v>193</v>
      </c>
      <c r="F75" s="53" t="s">
        <v>121</v>
      </c>
      <c r="G75" s="53" t="s">
        <v>194</v>
      </c>
      <c r="H75" s="75" t="s">
        <v>100</v>
      </c>
      <c r="I75" s="75" t="s">
        <v>101</v>
      </c>
      <c r="J75" s="76" t="s">
        <v>95</v>
      </c>
      <c r="K75" s="74" t="s">
        <v>96</v>
      </c>
    </row>
    <row r="76" ht="19.5" customHeight="1">
      <c r="A76" s="46">
        <v>1.0</v>
      </c>
      <c r="B76" s="37" t="s">
        <v>361</v>
      </c>
      <c r="C76" s="46" t="s">
        <v>103</v>
      </c>
      <c r="D76" s="78">
        <v>1.0</v>
      </c>
      <c r="E76" s="116">
        <f>(14.27*9.56)+(14.27*0.4)*2+(9.56*0.4)</f>
        <v>151.6612</v>
      </c>
      <c r="F76" s="40"/>
      <c r="G76" s="40"/>
      <c r="H76" s="40">
        <f>E76*D76</f>
        <v>151.6612</v>
      </c>
      <c r="I76" s="42"/>
      <c r="J76" s="107"/>
      <c r="K76" s="46"/>
    </row>
    <row r="77" ht="19.5" customHeight="1">
      <c r="A77" s="46"/>
      <c r="B77" s="37"/>
      <c r="C77" s="46"/>
      <c r="D77" s="78"/>
      <c r="E77" s="37"/>
      <c r="F77" s="40"/>
      <c r="G77" s="40"/>
      <c r="H77" s="40"/>
      <c r="I77" s="42"/>
      <c r="J77" s="121"/>
      <c r="K77" s="79"/>
    </row>
    <row r="78" ht="19.5" customHeight="1">
      <c r="A78" s="46"/>
      <c r="B78" s="37"/>
      <c r="C78" s="46"/>
      <c r="D78" s="78"/>
      <c r="E78" s="37"/>
      <c r="F78" s="40"/>
      <c r="G78" s="40"/>
      <c r="H78" s="40"/>
      <c r="I78" s="42"/>
      <c r="J78" s="96">
        <f>SUM(H76:H77)</f>
        <v>151.6612</v>
      </c>
      <c r="K78" s="79"/>
    </row>
    <row r="79" ht="19.5" customHeight="1">
      <c r="A79" s="74" t="s">
        <v>1</v>
      </c>
      <c r="B79" s="74" t="s">
        <v>91</v>
      </c>
      <c r="C79" s="74" t="s">
        <v>92</v>
      </c>
      <c r="D79" s="76" t="s">
        <v>93</v>
      </c>
      <c r="E79" s="50" t="s">
        <v>161</v>
      </c>
      <c r="F79" s="53" t="s">
        <v>99</v>
      </c>
      <c r="G79" s="53" t="s">
        <v>121</v>
      </c>
      <c r="H79" s="75" t="s">
        <v>100</v>
      </c>
      <c r="I79" s="75" t="s">
        <v>101</v>
      </c>
      <c r="J79" s="76" t="s">
        <v>95</v>
      </c>
      <c r="K79" s="74" t="s">
        <v>96</v>
      </c>
    </row>
    <row r="80" ht="19.5" customHeight="1">
      <c r="A80" s="46">
        <v>1.0</v>
      </c>
      <c r="B80" s="37" t="s">
        <v>197</v>
      </c>
      <c r="C80" s="46" t="s">
        <v>103</v>
      </c>
      <c r="D80" s="78">
        <f>D70</f>
        <v>1</v>
      </c>
      <c r="E80" s="37">
        <v>3.0</v>
      </c>
      <c r="F80" s="40">
        <v>2.0</v>
      </c>
      <c r="G80" s="40">
        <v>15.0</v>
      </c>
      <c r="H80" s="40">
        <f>G80*F80*E80</f>
        <v>90</v>
      </c>
      <c r="I80" s="42"/>
      <c r="J80" s="43">
        <f>H80-I80</f>
        <v>90</v>
      </c>
      <c r="K80" s="46"/>
    </row>
    <row r="81" ht="19.5" customHeight="1">
      <c r="A81" s="74" t="s">
        <v>1</v>
      </c>
      <c r="B81" s="74" t="s">
        <v>91</v>
      </c>
      <c r="C81" s="74" t="s">
        <v>92</v>
      </c>
      <c r="D81" s="76" t="s">
        <v>93</v>
      </c>
      <c r="E81" s="50" t="s">
        <v>97</v>
      </c>
      <c r="F81" s="53" t="s">
        <v>121</v>
      </c>
      <c r="G81" s="53" t="s">
        <v>198</v>
      </c>
      <c r="H81" s="75" t="s">
        <v>100</v>
      </c>
      <c r="I81" s="75" t="s">
        <v>101</v>
      </c>
      <c r="J81" s="76" t="s">
        <v>95</v>
      </c>
      <c r="K81" s="74" t="s">
        <v>96</v>
      </c>
    </row>
    <row r="82" ht="19.5" customHeight="1">
      <c r="A82" s="36">
        <v>36995.0</v>
      </c>
      <c r="B82" s="49" t="s">
        <v>1805</v>
      </c>
      <c r="C82" s="46" t="s">
        <v>103</v>
      </c>
      <c r="D82" s="115">
        <v>2.0</v>
      </c>
      <c r="E82" s="49">
        <v>1.1</v>
      </c>
      <c r="F82" s="78">
        <f>4.31+1.46+4.31</f>
        <v>10.08</v>
      </c>
      <c r="G82" s="41">
        <v>2.0</v>
      </c>
      <c r="H82" s="59">
        <f t="shared" ref="H82:H86" si="19">F82*E82*D82*G82</f>
        <v>44.352</v>
      </c>
      <c r="I82" s="82"/>
      <c r="J82" s="101"/>
      <c r="K82" s="79"/>
    </row>
    <row r="83" ht="19.5" customHeight="1">
      <c r="A83" s="36">
        <v>36995.0</v>
      </c>
      <c r="B83" s="49" t="s">
        <v>1805</v>
      </c>
      <c r="C83" s="46" t="s">
        <v>103</v>
      </c>
      <c r="D83" s="115">
        <v>4.0</v>
      </c>
      <c r="E83" s="49">
        <v>1.1</v>
      </c>
      <c r="F83" s="39">
        <v>12.12</v>
      </c>
      <c r="G83" s="41">
        <v>2.0</v>
      </c>
      <c r="H83" s="59">
        <f t="shared" si="19"/>
        <v>106.656</v>
      </c>
      <c r="I83" s="82"/>
      <c r="J83" s="101"/>
      <c r="K83" s="79"/>
    </row>
    <row r="84" ht="19.5" customHeight="1">
      <c r="A84" s="36">
        <v>36995.0</v>
      </c>
      <c r="B84" s="49" t="s">
        <v>1805</v>
      </c>
      <c r="C84" s="46" t="s">
        <v>103</v>
      </c>
      <c r="D84" s="115">
        <v>1.0</v>
      </c>
      <c r="E84" s="49">
        <v>1.1</v>
      </c>
      <c r="F84" s="78">
        <f>2.46+4.46+4.31</f>
        <v>11.23</v>
      </c>
      <c r="G84" s="41">
        <v>2.0</v>
      </c>
      <c r="H84" s="59">
        <f t="shared" si="19"/>
        <v>24.706</v>
      </c>
      <c r="I84" s="82"/>
      <c r="J84" s="101"/>
      <c r="K84" s="79"/>
    </row>
    <row r="85" ht="19.5" customHeight="1">
      <c r="A85" s="36">
        <v>36995.0</v>
      </c>
      <c r="B85" s="49" t="s">
        <v>1805</v>
      </c>
      <c r="C85" s="46" t="s">
        <v>103</v>
      </c>
      <c r="D85" s="39">
        <v>2.0</v>
      </c>
      <c r="E85" s="49">
        <v>1.1</v>
      </c>
      <c r="F85" s="39">
        <v>4.33</v>
      </c>
      <c r="G85" s="41">
        <v>2.0</v>
      </c>
      <c r="H85" s="59">
        <f t="shared" si="19"/>
        <v>19.052</v>
      </c>
      <c r="I85" s="42"/>
      <c r="J85" s="40"/>
      <c r="K85" s="46"/>
    </row>
    <row r="86" ht="19.5" customHeight="1">
      <c r="A86" s="36">
        <v>36995.0</v>
      </c>
      <c r="B86" s="49" t="s">
        <v>1805</v>
      </c>
      <c r="C86" s="46" t="s">
        <v>103</v>
      </c>
      <c r="D86" s="39">
        <v>2.0</v>
      </c>
      <c r="E86" s="49">
        <v>1.1</v>
      </c>
      <c r="F86" s="39">
        <v>2.01</v>
      </c>
      <c r="G86" s="41">
        <v>2.0</v>
      </c>
      <c r="H86" s="59">
        <f t="shared" si="19"/>
        <v>8.844</v>
      </c>
      <c r="I86" s="42"/>
      <c r="J86" s="40"/>
      <c r="K86" s="46"/>
    </row>
    <row r="87" ht="19.5" customHeight="1">
      <c r="A87" s="36">
        <v>36996.0</v>
      </c>
      <c r="B87" s="49" t="s">
        <v>1806</v>
      </c>
      <c r="C87" s="46" t="s">
        <v>103</v>
      </c>
      <c r="D87" s="39">
        <v>1.0</v>
      </c>
      <c r="E87" s="49">
        <v>0.3</v>
      </c>
      <c r="F87" s="39">
        <f>(11.8*6)+(13.6*2)+8.9+4.6</f>
        <v>111.5</v>
      </c>
      <c r="G87" s="41">
        <v>1.0</v>
      </c>
      <c r="H87" s="59">
        <f>F87*D87*G87*E87</f>
        <v>33.45</v>
      </c>
      <c r="I87" s="82"/>
      <c r="J87" s="101"/>
      <c r="K87" s="79"/>
    </row>
    <row r="88" ht="19.5" customHeight="1">
      <c r="A88" s="36">
        <v>36995.0</v>
      </c>
      <c r="B88" s="49" t="s">
        <v>1807</v>
      </c>
      <c r="C88" s="46" t="s">
        <v>103</v>
      </c>
      <c r="D88" s="39">
        <v>1.0</v>
      </c>
      <c r="E88" s="49">
        <v>0.4</v>
      </c>
      <c r="F88" s="39">
        <f>14.27+14.27+9.56</f>
        <v>38.1</v>
      </c>
      <c r="G88" s="41">
        <v>2.0</v>
      </c>
      <c r="H88" s="59">
        <f>F88*E88*D88</f>
        <v>15.24</v>
      </c>
      <c r="I88" s="82"/>
      <c r="J88" s="121"/>
      <c r="K88" s="83"/>
    </row>
    <row r="89" ht="19.5" customHeight="1">
      <c r="A89" s="36">
        <v>36995.0</v>
      </c>
      <c r="B89" s="49" t="s">
        <v>1808</v>
      </c>
      <c r="C89" s="46" t="s">
        <v>103</v>
      </c>
      <c r="D89" s="39">
        <v>23.0</v>
      </c>
      <c r="E89" s="49">
        <v>6.75</v>
      </c>
      <c r="F89" s="39">
        <v>0.25</v>
      </c>
      <c r="G89" s="41">
        <v>4.0</v>
      </c>
      <c r="H89" s="59">
        <f>F89*E89*D89*G89</f>
        <v>155.25</v>
      </c>
      <c r="I89" s="93"/>
      <c r="J89" s="96">
        <f>SUM(H82:H89)</f>
        <v>407.55</v>
      </c>
      <c r="K89" s="79"/>
    </row>
    <row r="90" ht="19.5" customHeight="1">
      <c r="A90" s="117"/>
      <c r="B90" s="114"/>
      <c r="C90" s="79"/>
      <c r="D90" s="115"/>
      <c r="E90" s="49"/>
      <c r="F90" s="39"/>
      <c r="G90" s="41"/>
      <c r="H90" s="59"/>
      <c r="I90" s="93"/>
      <c r="J90" s="453"/>
      <c r="K90" s="79"/>
    </row>
    <row r="91" ht="19.5" customHeight="1">
      <c r="A91" s="36">
        <v>36995.0</v>
      </c>
      <c r="B91" s="49" t="s">
        <v>1545</v>
      </c>
      <c r="C91" s="46" t="s">
        <v>103</v>
      </c>
      <c r="D91" s="39">
        <v>1.0</v>
      </c>
      <c r="E91" s="37"/>
      <c r="F91" s="39">
        <v>13.97</v>
      </c>
      <c r="G91" s="39">
        <v>8.96</v>
      </c>
      <c r="H91" s="40">
        <f>G91*F91*D91</f>
        <v>125.1712</v>
      </c>
      <c r="I91" s="93"/>
      <c r="J91" s="96">
        <f>H91-I91</f>
        <v>125.1712</v>
      </c>
      <c r="K91" s="79"/>
    </row>
    <row r="92" ht="19.5" customHeight="1">
      <c r="A92" s="74" t="s">
        <v>1</v>
      </c>
      <c r="B92" s="74" t="s">
        <v>91</v>
      </c>
      <c r="C92" s="74" t="s">
        <v>92</v>
      </c>
      <c r="D92" s="76" t="s">
        <v>93</v>
      </c>
      <c r="E92" s="50" t="s">
        <v>97</v>
      </c>
      <c r="F92" s="53" t="s">
        <v>121</v>
      </c>
      <c r="G92" s="53" t="s">
        <v>198</v>
      </c>
      <c r="H92" s="75" t="s">
        <v>100</v>
      </c>
      <c r="I92" s="75" t="s">
        <v>101</v>
      </c>
      <c r="J92" s="76" t="s">
        <v>95</v>
      </c>
      <c r="K92" s="74" t="s">
        <v>96</v>
      </c>
    </row>
    <row r="93" ht="19.5" customHeight="1">
      <c r="A93" s="36">
        <v>37360.0</v>
      </c>
      <c r="B93" s="49" t="s">
        <v>1809</v>
      </c>
      <c r="C93" s="46" t="s">
        <v>103</v>
      </c>
      <c r="D93" s="115">
        <v>2.0</v>
      </c>
      <c r="E93" s="49">
        <v>1.1</v>
      </c>
      <c r="F93" s="78">
        <f>4.31+1.46+4.31</f>
        <v>10.08</v>
      </c>
      <c r="G93" s="41">
        <v>2.0</v>
      </c>
      <c r="H93" s="59">
        <f t="shared" ref="H93:H97" si="20">F93*E93*D93*G93</f>
        <v>44.352</v>
      </c>
      <c r="I93" s="82"/>
      <c r="J93" s="101"/>
      <c r="K93" s="79"/>
    </row>
    <row r="94" ht="19.5" customHeight="1">
      <c r="A94" s="36">
        <v>37360.0</v>
      </c>
      <c r="B94" s="49" t="s">
        <v>1809</v>
      </c>
      <c r="C94" s="46" t="s">
        <v>103</v>
      </c>
      <c r="D94" s="115">
        <v>4.0</v>
      </c>
      <c r="E94" s="49">
        <v>1.1</v>
      </c>
      <c r="F94" s="39">
        <v>12.12</v>
      </c>
      <c r="G94" s="41">
        <v>2.0</v>
      </c>
      <c r="H94" s="59">
        <f t="shared" si="20"/>
        <v>106.656</v>
      </c>
      <c r="I94" s="82"/>
      <c r="J94" s="101"/>
      <c r="K94" s="79"/>
    </row>
    <row r="95" ht="19.5" customHeight="1">
      <c r="A95" s="36">
        <v>37360.0</v>
      </c>
      <c r="B95" s="49" t="s">
        <v>1809</v>
      </c>
      <c r="C95" s="46" t="s">
        <v>103</v>
      </c>
      <c r="D95" s="115">
        <v>1.0</v>
      </c>
      <c r="E95" s="49">
        <v>1.1</v>
      </c>
      <c r="F95" s="78">
        <f>2.46+4.46+4.31</f>
        <v>11.23</v>
      </c>
      <c r="G95" s="41">
        <v>2.0</v>
      </c>
      <c r="H95" s="59">
        <f t="shared" si="20"/>
        <v>24.706</v>
      </c>
      <c r="I95" s="82"/>
      <c r="J95" s="101"/>
      <c r="K95" s="79"/>
    </row>
    <row r="96" ht="19.5" customHeight="1">
      <c r="A96" s="36">
        <v>37360.0</v>
      </c>
      <c r="B96" s="49" t="s">
        <v>1809</v>
      </c>
      <c r="C96" s="46" t="s">
        <v>103</v>
      </c>
      <c r="D96" s="39">
        <v>2.0</v>
      </c>
      <c r="E96" s="49">
        <v>1.1</v>
      </c>
      <c r="F96" s="39">
        <v>4.33</v>
      </c>
      <c r="G96" s="41">
        <v>2.0</v>
      </c>
      <c r="H96" s="59">
        <f t="shared" si="20"/>
        <v>19.052</v>
      </c>
      <c r="I96" s="42"/>
      <c r="J96" s="40"/>
      <c r="K96" s="46"/>
    </row>
    <row r="97" ht="19.5" customHeight="1">
      <c r="A97" s="36">
        <v>37360.0</v>
      </c>
      <c r="B97" s="49" t="s">
        <v>1809</v>
      </c>
      <c r="C97" s="46" t="s">
        <v>103</v>
      </c>
      <c r="D97" s="39">
        <v>2.0</v>
      </c>
      <c r="E97" s="49">
        <v>1.1</v>
      </c>
      <c r="F97" s="39">
        <v>2.01</v>
      </c>
      <c r="G97" s="41">
        <v>2.0</v>
      </c>
      <c r="H97" s="59">
        <f t="shared" si="20"/>
        <v>8.844</v>
      </c>
      <c r="I97" s="42"/>
      <c r="J97" s="40"/>
      <c r="K97" s="46"/>
    </row>
    <row r="98" ht="19.5" customHeight="1">
      <c r="A98" s="36">
        <v>36996.0</v>
      </c>
      <c r="B98" s="49" t="s">
        <v>1810</v>
      </c>
      <c r="C98" s="46" t="s">
        <v>103</v>
      </c>
      <c r="D98" s="39">
        <v>1.0</v>
      </c>
      <c r="E98" s="49">
        <v>0.3</v>
      </c>
      <c r="F98" s="39">
        <f>(11.8*6)+(13.6*2)+8.9+4.6</f>
        <v>111.5</v>
      </c>
      <c r="G98" s="41">
        <v>1.0</v>
      </c>
      <c r="H98" s="59">
        <f>F98*D98*G98*E98</f>
        <v>33.45</v>
      </c>
      <c r="I98" s="82"/>
      <c r="J98" s="101"/>
      <c r="K98" s="79"/>
    </row>
    <row r="99" ht="19.5" customHeight="1">
      <c r="A99" s="36">
        <v>37360.0</v>
      </c>
      <c r="B99" s="49" t="s">
        <v>1811</v>
      </c>
      <c r="C99" s="46" t="s">
        <v>103</v>
      </c>
      <c r="D99" s="39">
        <v>1.0</v>
      </c>
      <c r="E99" s="49">
        <v>0.4</v>
      </c>
      <c r="F99" s="39">
        <f>14.27+14.27+9.56</f>
        <v>38.1</v>
      </c>
      <c r="G99" s="41">
        <v>2.0</v>
      </c>
      <c r="H99" s="59">
        <f>F99*E99*D99</f>
        <v>15.24</v>
      </c>
      <c r="I99" s="82"/>
      <c r="J99" s="121"/>
      <c r="K99" s="79"/>
    </row>
    <row r="100" ht="19.5" customHeight="1">
      <c r="A100" s="36">
        <v>37360.0</v>
      </c>
      <c r="B100" s="49" t="s">
        <v>1812</v>
      </c>
      <c r="C100" s="46" t="s">
        <v>103</v>
      </c>
      <c r="D100" s="39">
        <v>23.0</v>
      </c>
      <c r="E100" s="49">
        <v>6.75</v>
      </c>
      <c r="F100" s="39">
        <v>0.25</v>
      </c>
      <c r="G100" s="41">
        <v>4.0</v>
      </c>
      <c r="H100" s="59">
        <f>F100*E100*D100*G100</f>
        <v>155.25</v>
      </c>
      <c r="I100" s="93"/>
      <c r="J100" s="96">
        <f>SUM(H93:H100)</f>
        <v>407.55</v>
      </c>
      <c r="K100" s="46"/>
    </row>
    <row r="101" ht="19.5" customHeight="1">
      <c r="A101" s="117"/>
      <c r="B101" s="114"/>
      <c r="C101" s="79"/>
      <c r="D101" s="115"/>
      <c r="E101" s="49"/>
      <c r="F101" s="39"/>
      <c r="G101" s="41"/>
      <c r="H101" s="59"/>
      <c r="I101" s="93"/>
      <c r="J101" s="453"/>
      <c r="K101" s="79"/>
    </row>
    <row r="102" ht="19.5" customHeight="1">
      <c r="A102" s="36">
        <v>37360.0</v>
      </c>
      <c r="B102" s="49" t="s">
        <v>1547</v>
      </c>
      <c r="C102" s="46" t="s">
        <v>103</v>
      </c>
      <c r="D102" s="39">
        <v>1.0</v>
      </c>
      <c r="E102" s="37"/>
      <c r="F102" s="39">
        <v>13.97</v>
      </c>
      <c r="G102" s="39">
        <v>8.96</v>
      </c>
      <c r="H102" s="40">
        <f>G102*F102*D102</f>
        <v>125.1712</v>
      </c>
      <c r="I102" s="42"/>
      <c r="J102" s="96">
        <f>H102-I102</f>
        <v>125.1712</v>
      </c>
      <c r="K102" s="79"/>
    </row>
    <row r="103" ht="19.5" customHeight="1">
      <c r="A103" s="74" t="s">
        <v>1</v>
      </c>
      <c r="B103" s="74" t="s">
        <v>91</v>
      </c>
      <c r="C103" s="74" t="s">
        <v>92</v>
      </c>
      <c r="D103" s="76" t="s">
        <v>93</v>
      </c>
      <c r="E103" s="50" t="s">
        <v>97</v>
      </c>
      <c r="F103" s="53" t="s">
        <v>121</v>
      </c>
      <c r="G103" s="53" t="s">
        <v>198</v>
      </c>
      <c r="H103" s="75" t="s">
        <v>100</v>
      </c>
      <c r="I103" s="75" t="s">
        <v>101</v>
      </c>
      <c r="J103" s="76" t="s">
        <v>95</v>
      </c>
      <c r="K103" s="74" t="s">
        <v>96</v>
      </c>
    </row>
    <row r="104" ht="19.5" customHeight="1">
      <c r="A104" s="36">
        <v>37086.0</v>
      </c>
      <c r="B104" s="49" t="s">
        <v>1813</v>
      </c>
      <c r="C104" s="46" t="s">
        <v>103</v>
      </c>
      <c r="D104" s="39">
        <v>1.0</v>
      </c>
      <c r="E104" s="37"/>
      <c r="F104" s="39">
        <v>13.97</v>
      </c>
      <c r="G104" s="39">
        <v>8.96</v>
      </c>
      <c r="H104" s="40">
        <f t="shared" ref="H104:H106" si="21">G104*F104*D104</f>
        <v>125.1712</v>
      </c>
      <c r="I104" s="42"/>
      <c r="J104" s="96">
        <f t="shared" ref="J104:J106" si="22">H104-I104</f>
        <v>125.1712</v>
      </c>
      <c r="K104" s="131"/>
    </row>
    <row r="105" ht="19.5" customHeight="1">
      <c r="A105" s="36">
        <v>37451.0</v>
      </c>
      <c r="B105" s="49" t="s">
        <v>1814</v>
      </c>
      <c r="C105" s="46" t="s">
        <v>103</v>
      </c>
      <c r="D105" s="39">
        <v>1.0</v>
      </c>
      <c r="E105" s="37"/>
      <c r="F105" s="39">
        <v>13.97</v>
      </c>
      <c r="G105" s="39">
        <v>8.96</v>
      </c>
      <c r="H105" s="40">
        <f t="shared" si="21"/>
        <v>125.1712</v>
      </c>
      <c r="I105" s="42"/>
      <c r="J105" s="96">
        <f t="shared" si="22"/>
        <v>125.1712</v>
      </c>
      <c r="K105" s="46"/>
    </row>
    <row r="106" ht="19.5" customHeight="1">
      <c r="A106" s="36">
        <v>37816.0</v>
      </c>
      <c r="B106" s="49" t="s">
        <v>1549</v>
      </c>
      <c r="C106" s="46" t="s">
        <v>103</v>
      </c>
      <c r="D106" s="39">
        <v>1.0</v>
      </c>
      <c r="E106" s="37"/>
      <c r="F106" s="39">
        <v>13.97</v>
      </c>
      <c r="G106" s="39">
        <v>8.96</v>
      </c>
      <c r="H106" s="40">
        <f t="shared" si="21"/>
        <v>125.1712</v>
      </c>
      <c r="I106" s="42"/>
      <c r="J106" s="96">
        <f t="shared" si="22"/>
        <v>125.1712</v>
      </c>
      <c r="K106" s="132"/>
    </row>
    <row r="107" ht="19.5" customHeight="1">
      <c r="A107" s="74" t="s">
        <v>1</v>
      </c>
      <c r="B107" s="74" t="s">
        <v>91</v>
      </c>
      <c r="C107" s="74" t="s">
        <v>92</v>
      </c>
      <c r="D107" s="76" t="s">
        <v>93</v>
      </c>
      <c r="E107" s="50" t="s">
        <v>97</v>
      </c>
      <c r="F107" s="53" t="s">
        <v>121</v>
      </c>
      <c r="G107" s="53" t="s">
        <v>206</v>
      </c>
      <c r="H107" s="75" t="s">
        <v>100</v>
      </c>
      <c r="I107" s="75" t="s">
        <v>101</v>
      </c>
      <c r="J107" s="76" t="s">
        <v>95</v>
      </c>
      <c r="K107" s="74" t="s">
        <v>96</v>
      </c>
    </row>
    <row r="108" ht="19.5" customHeight="1">
      <c r="A108" s="36">
        <v>37725.0</v>
      </c>
      <c r="B108" s="49" t="s">
        <v>1815</v>
      </c>
      <c r="C108" s="46" t="s">
        <v>103</v>
      </c>
      <c r="D108" s="78">
        <f>SUM(H93:H99)+H100</f>
        <v>407.55</v>
      </c>
      <c r="E108" s="37"/>
      <c r="F108" s="78"/>
      <c r="G108" s="40"/>
      <c r="H108" s="40">
        <f>D108</f>
        <v>407.55</v>
      </c>
      <c r="I108" s="42"/>
      <c r="J108" s="64">
        <f t="shared" ref="J108:J109" si="23">H108</f>
        <v>407.55</v>
      </c>
      <c r="K108" s="46"/>
    </row>
    <row r="109" ht="19.5" customHeight="1">
      <c r="A109" s="79"/>
      <c r="B109" s="114"/>
      <c r="C109" s="46"/>
      <c r="D109" s="92"/>
      <c r="E109" s="37"/>
      <c r="F109" s="78"/>
      <c r="G109" s="40"/>
      <c r="H109" s="59"/>
      <c r="I109" s="93"/>
      <c r="J109" s="107" t="str">
        <f t="shared" si="23"/>
        <v/>
      </c>
      <c r="K109" s="79"/>
    </row>
    <row r="110" ht="19.5" customHeight="1">
      <c r="A110" s="74" t="s">
        <v>1</v>
      </c>
      <c r="B110" s="74" t="s">
        <v>91</v>
      </c>
      <c r="C110" s="74" t="s">
        <v>92</v>
      </c>
      <c r="D110" s="76" t="s">
        <v>93</v>
      </c>
      <c r="E110" s="50" t="s">
        <v>97</v>
      </c>
      <c r="F110" s="53" t="s">
        <v>121</v>
      </c>
      <c r="G110" s="53" t="s">
        <v>99</v>
      </c>
      <c r="H110" s="75" t="s">
        <v>100</v>
      </c>
      <c r="I110" s="75" t="s">
        <v>101</v>
      </c>
      <c r="J110" s="76" t="s">
        <v>95</v>
      </c>
      <c r="K110" s="74" t="s">
        <v>96</v>
      </c>
    </row>
    <row r="111" ht="19.5" customHeight="1">
      <c r="A111" s="46">
        <v>1.0</v>
      </c>
      <c r="B111" s="37" t="s">
        <v>367</v>
      </c>
      <c r="C111" s="46" t="s">
        <v>103</v>
      </c>
      <c r="D111" s="78"/>
      <c r="E111" s="37"/>
      <c r="F111" s="78"/>
      <c r="G111" s="40"/>
      <c r="H111" s="40"/>
      <c r="I111" s="42"/>
      <c r="J111" s="64">
        <f>SUM(H111:H112)</f>
        <v>0</v>
      </c>
      <c r="K111" s="46"/>
    </row>
    <row r="112" ht="19.5" customHeight="1">
      <c r="A112" s="46">
        <v>3.0</v>
      </c>
      <c r="B112" s="37" t="s">
        <v>1816</v>
      </c>
      <c r="C112" s="46" t="s">
        <v>103</v>
      </c>
      <c r="D112" s="78"/>
      <c r="E112" s="37"/>
      <c r="F112" s="78"/>
      <c r="G112" s="40"/>
      <c r="H112" s="40"/>
      <c r="I112" s="42"/>
      <c r="J112" s="14"/>
      <c r="K112" s="46"/>
    </row>
    <row r="113" ht="19.5" customHeight="1">
      <c r="A113" s="46">
        <v>6.0</v>
      </c>
      <c r="B113" s="37" t="s">
        <v>1817</v>
      </c>
      <c r="C113" s="46" t="s">
        <v>103</v>
      </c>
      <c r="D113" s="78"/>
      <c r="E113" s="37"/>
      <c r="F113" s="78"/>
      <c r="G113" s="40"/>
      <c r="H113" s="40"/>
      <c r="I113" s="42"/>
      <c r="J113" s="64" t="str">
        <f>H113</f>
        <v/>
      </c>
      <c r="K113" s="46"/>
    </row>
    <row r="114" ht="19.5" customHeight="1">
      <c r="A114" s="46">
        <v>7.0</v>
      </c>
      <c r="B114" s="37" t="s">
        <v>373</v>
      </c>
      <c r="C114" s="46" t="s">
        <v>103</v>
      </c>
      <c r="D114" s="78"/>
      <c r="E114" s="37"/>
      <c r="F114" s="78"/>
      <c r="G114" s="40"/>
      <c r="H114" s="40"/>
      <c r="I114" s="42"/>
      <c r="J114" s="64" t="str">
        <f>J113</f>
        <v/>
      </c>
      <c r="K114" s="79"/>
    </row>
    <row r="115" ht="19.5" customHeight="1">
      <c r="A115" s="74" t="s">
        <v>1</v>
      </c>
      <c r="B115" s="74" t="s">
        <v>91</v>
      </c>
      <c r="C115" s="74" t="s">
        <v>92</v>
      </c>
      <c r="D115" s="76" t="s">
        <v>93</v>
      </c>
      <c r="E115" s="50" t="s">
        <v>161</v>
      </c>
      <c r="F115" s="53" t="s">
        <v>121</v>
      </c>
      <c r="G115" s="53" t="s">
        <v>99</v>
      </c>
      <c r="H115" s="75" t="s">
        <v>100</v>
      </c>
      <c r="I115" s="75" t="s">
        <v>101</v>
      </c>
      <c r="J115" s="76" t="s">
        <v>95</v>
      </c>
      <c r="K115" s="74" t="s">
        <v>96</v>
      </c>
    </row>
    <row r="116" ht="19.5" customHeight="1">
      <c r="A116" s="46">
        <v>1.0</v>
      </c>
      <c r="B116" s="49" t="s">
        <v>886</v>
      </c>
      <c r="C116" s="38" t="s">
        <v>108</v>
      </c>
      <c r="D116" s="39">
        <v>1.0</v>
      </c>
      <c r="E116" s="37"/>
      <c r="F116" s="78">
        <f>(14.3*2)+(12.15*6)+(4.15*3)</f>
        <v>113.95</v>
      </c>
      <c r="G116" s="40"/>
      <c r="H116" s="40">
        <f>F116*D116</f>
        <v>113.95</v>
      </c>
      <c r="I116" s="42"/>
      <c r="J116" s="40"/>
      <c r="K116" s="46"/>
    </row>
    <row r="117" ht="19.5" customHeight="1">
      <c r="A117" s="46"/>
      <c r="B117" s="37"/>
      <c r="C117" s="46"/>
      <c r="D117" s="78"/>
      <c r="E117" s="37"/>
      <c r="F117" s="78"/>
      <c r="G117" s="40"/>
      <c r="H117" s="40"/>
      <c r="I117" s="42"/>
      <c r="J117" s="64">
        <f>SUM(H116:H117)</f>
        <v>113.95</v>
      </c>
      <c r="K117" s="46"/>
    </row>
    <row r="118" ht="19.5" customHeight="1">
      <c r="A118" s="74" t="s">
        <v>1</v>
      </c>
      <c r="B118" s="74" t="s">
        <v>91</v>
      </c>
      <c r="C118" s="74" t="s">
        <v>92</v>
      </c>
      <c r="D118" s="76" t="s">
        <v>93</v>
      </c>
      <c r="E118" s="50" t="s">
        <v>161</v>
      </c>
      <c r="F118" s="53" t="s">
        <v>121</v>
      </c>
      <c r="G118" s="53" t="s">
        <v>99</v>
      </c>
      <c r="H118" s="75" t="s">
        <v>100</v>
      </c>
      <c r="I118" s="75" t="s">
        <v>101</v>
      </c>
      <c r="J118" s="76" t="s">
        <v>95</v>
      </c>
      <c r="K118" s="74" t="s">
        <v>96</v>
      </c>
    </row>
    <row r="119" ht="19.5" customHeight="1">
      <c r="A119" s="46">
        <v>1.0</v>
      </c>
      <c r="B119" s="37" t="s">
        <v>1557</v>
      </c>
      <c r="C119" s="46" t="s">
        <v>106</v>
      </c>
      <c r="D119" s="78"/>
      <c r="E119" s="37"/>
      <c r="F119" s="78"/>
      <c r="G119" s="40"/>
      <c r="H119" s="40"/>
      <c r="I119" s="42"/>
      <c r="J119" s="40"/>
      <c r="K119" s="46"/>
    </row>
    <row r="120" ht="19.5" customHeight="1">
      <c r="A120" s="46"/>
      <c r="B120" s="37"/>
      <c r="C120" s="46"/>
      <c r="D120" s="78"/>
      <c r="E120" s="37"/>
      <c r="F120" s="78"/>
      <c r="G120" s="40"/>
      <c r="H120" s="40"/>
      <c r="I120" s="42"/>
      <c r="J120" s="64">
        <f>SUM(H119:H120)</f>
        <v>0</v>
      </c>
      <c r="K120" s="46"/>
    </row>
    <row r="121" ht="19.5" customHeight="1">
      <c r="A121" s="46">
        <v>3.0</v>
      </c>
      <c r="B121" s="37" t="s">
        <v>376</v>
      </c>
      <c r="C121" s="46" t="s">
        <v>106</v>
      </c>
      <c r="D121" s="78"/>
      <c r="E121" s="37"/>
      <c r="F121" s="78"/>
      <c r="G121" s="40"/>
      <c r="H121" s="40"/>
      <c r="I121" s="42"/>
      <c r="J121" s="64" t="str">
        <f>H121</f>
        <v/>
      </c>
      <c r="K121" s="79"/>
    </row>
    <row r="122" ht="19.5" customHeight="1">
      <c r="A122" s="74" t="s">
        <v>1</v>
      </c>
      <c r="B122" s="74" t="s">
        <v>91</v>
      </c>
      <c r="C122" s="74" t="s">
        <v>92</v>
      </c>
      <c r="D122" s="76" t="s">
        <v>93</v>
      </c>
      <c r="E122" s="50" t="s">
        <v>161</v>
      </c>
      <c r="F122" s="53" t="s">
        <v>121</v>
      </c>
      <c r="G122" s="53" t="s">
        <v>99</v>
      </c>
      <c r="H122" s="75" t="s">
        <v>100</v>
      </c>
      <c r="I122" s="75" t="s">
        <v>101</v>
      </c>
      <c r="J122" s="76" t="s">
        <v>95</v>
      </c>
      <c r="K122" s="74" t="s">
        <v>96</v>
      </c>
    </row>
    <row r="123" ht="19.5" customHeight="1">
      <c r="A123" s="46">
        <v>1.0</v>
      </c>
      <c r="B123" s="37" t="s">
        <v>856</v>
      </c>
      <c r="C123" s="46" t="s">
        <v>103</v>
      </c>
      <c r="D123" s="78"/>
      <c r="E123" s="37"/>
      <c r="F123" s="78"/>
      <c r="G123" s="40"/>
      <c r="H123" s="40"/>
      <c r="I123" s="42"/>
      <c r="J123" s="40"/>
      <c r="K123" s="46"/>
    </row>
    <row r="124" ht="19.5" customHeight="1">
      <c r="A124" s="46">
        <v>2.0</v>
      </c>
      <c r="B124" s="37" t="s">
        <v>856</v>
      </c>
      <c r="C124" s="46" t="s">
        <v>103</v>
      </c>
      <c r="D124" s="78"/>
      <c r="E124" s="37"/>
      <c r="F124" s="78"/>
      <c r="G124" s="40"/>
      <c r="H124" s="40"/>
      <c r="I124" s="42"/>
      <c r="J124" s="40"/>
      <c r="K124" s="46"/>
    </row>
    <row r="125" ht="19.5" customHeight="1">
      <c r="A125" s="46"/>
      <c r="B125" s="37"/>
      <c r="C125" s="46"/>
      <c r="D125" s="78"/>
      <c r="E125" s="37"/>
      <c r="F125" s="78"/>
      <c r="G125" s="40"/>
      <c r="H125" s="40"/>
      <c r="I125" s="93"/>
      <c r="J125" s="64">
        <f>SUM(H123:H125)</f>
        <v>0</v>
      </c>
      <c r="K125" s="79"/>
    </row>
    <row r="126" ht="19.5" customHeight="1">
      <c r="A126" s="74" t="s">
        <v>1</v>
      </c>
      <c r="B126" s="74" t="s">
        <v>91</v>
      </c>
      <c r="C126" s="74" t="s">
        <v>92</v>
      </c>
      <c r="D126" s="76" t="s">
        <v>93</v>
      </c>
      <c r="E126" s="50" t="s">
        <v>161</v>
      </c>
      <c r="F126" s="53" t="s">
        <v>121</v>
      </c>
      <c r="G126" s="53" t="s">
        <v>97</v>
      </c>
      <c r="H126" s="75" t="s">
        <v>100</v>
      </c>
      <c r="I126" s="75" t="s">
        <v>101</v>
      </c>
      <c r="J126" s="76" t="s">
        <v>95</v>
      </c>
      <c r="K126" s="74" t="s">
        <v>96</v>
      </c>
    </row>
    <row r="127" ht="19.5" customHeight="1">
      <c r="A127" s="46">
        <v>1.0</v>
      </c>
      <c r="B127" s="37" t="s">
        <v>244</v>
      </c>
      <c r="C127" s="46" t="s">
        <v>103</v>
      </c>
      <c r="D127" s="78"/>
      <c r="E127" s="37"/>
      <c r="F127" s="78"/>
      <c r="G127" s="40"/>
      <c r="H127" s="40"/>
      <c r="I127" s="42"/>
      <c r="J127" s="40"/>
      <c r="K127" s="46"/>
    </row>
    <row r="128" ht="19.5" customHeight="1">
      <c r="A128" s="46">
        <v>2.0</v>
      </c>
      <c r="B128" s="37" t="s">
        <v>244</v>
      </c>
      <c r="C128" s="46" t="s">
        <v>103</v>
      </c>
      <c r="D128" s="78"/>
      <c r="E128" s="37"/>
      <c r="F128" s="78"/>
      <c r="G128" s="40"/>
      <c r="H128" s="40"/>
      <c r="I128" s="42"/>
      <c r="J128" s="64">
        <f>SUM(H127:H128)</f>
        <v>0</v>
      </c>
      <c r="K128" s="46"/>
    </row>
    <row r="129" ht="19.5" customHeight="1">
      <c r="A129" s="74" t="s">
        <v>1</v>
      </c>
      <c r="B129" s="74" t="s">
        <v>91</v>
      </c>
      <c r="C129" s="74" t="s">
        <v>92</v>
      </c>
      <c r="D129" s="76" t="s">
        <v>93</v>
      </c>
      <c r="E129" s="50" t="s">
        <v>161</v>
      </c>
      <c r="F129" s="53"/>
      <c r="G129" s="53"/>
      <c r="H129" s="75" t="s">
        <v>100</v>
      </c>
      <c r="I129" s="75" t="s">
        <v>101</v>
      </c>
      <c r="J129" s="76" t="s">
        <v>95</v>
      </c>
      <c r="K129" s="74" t="s">
        <v>96</v>
      </c>
    </row>
    <row r="130" ht="19.5" customHeight="1">
      <c r="A130" s="46">
        <v>1.0</v>
      </c>
      <c r="B130" s="37" t="s">
        <v>245</v>
      </c>
      <c r="C130" s="46" t="s">
        <v>106</v>
      </c>
      <c r="D130" s="78">
        <v>30.0</v>
      </c>
      <c r="E130" s="37">
        <v>1.0</v>
      </c>
      <c r="F130" s="78"/>
      <c r="G130" s="40"/>
      <c r="H130" s="40">
        <f>E130*D130+6</f>
        <v>36</v>
      </c>
      <c r="I130" s="42"/>
      <c r="J130" s="64">
        <f t="shared" ref="J130:J138" si="24">H130</f>
        <v>36</v>
      </c>
      <c r="K130" s="46"/>
    </row>
    <row r="131" ht="19.5" customHeight="1">
      <c r="A131" s="46">
        <v>2.0</v>
      </c>
      <c r="B131" s="37" t="s">
        <v>245</v>
      </c>
      <c r="C131" s="46" t="s">
        <v>106</v>
      </c>
      <c r="D131" s="78"/>
      <c r="E131" s="37"/>
      <c r="F131" s="78"/>
      <c r="G131" s="40"/>
      <c r="H131" s="40"/>
      <c r="I131" s="42"/>
      <c r="J131" s="64" t="str">
        <f t="shared" si="24"/>
        <v/>
      </c>
      <c r="K131" s="46"/>
    </row>
    <row r="132" ht="19.5" customHeight="1">
      <c r="A132" s="46">
        <v>3.0</v>
      </c>
      <c r="B132" s="37" t="s">
        <v>246</v>
      </c>
      <c r="C132" s="46" t="s">
        <v>106</v>
      </c>
      <c r="D132" s="78"/>
      <c r="E132" s="37"/>
      <c r="F132" s="78"/>
      <c r="G132" s="40"/>
      <c r="H132" s="40"/>
      <c r="I132" s="42"/>
      <c r="J132" s="64" t="str">
        <f t="shared" si="24"/>
        <v/>
      </c>
      <c r="K132" s="46"/>
    </row>
    <row r="133" ht="19.5" customHeight="1">
      <c r="A133" s="46">
        <v>4.0</v>
      </c>
      <c r="B133" s="37" t="s">
        <v>246</v>
      </c>
      <c r="C133" s="46" t="s">
        <v>106</v>
      </c>
      <c r="D133" s="78"/>
      <c r="E133" s="37"/>
      <c r="F133" s="78"/>
      <c r="G133" s="40"/>
      <c r="H133" s="40"/>
      <c r="I133" s="42"/>
      <c r="J133" s="64" t="str">
        <f t="shared" si="24"/>
        <v/>
      </c>
      <c r="K133" s="46"/>
    </row>
    <row r="134" ht="19.5" customHeight="1">
      <c r="A134" s="46">
        <v>5.0</v>
      </c>
      <c r="B134" s="37" t="s">
        <v>247</v>
      </c>
      <c r="C134" s="46" t="s">
        <v>106</v>
      </c>
      <c r="D134" s="78"/>
      <c r="E134" s="37"/>
      <c r="F134" s="78"/>
      <c r="G134" s="40"/>
      <c r="H134" s="40"/>
      <c r="I134" s="42"/>
      <c r="J134" s="64" t="str">
        <f t="shared" si="24"/>
        <v/>
      </c>
      <c r="K134" s="46"/>
    </row>
    <row r="135" ht="19.5" customHeight="1">
      <c r="A135" s="46">
        <v>6.0</v>
      </c>
      <c r="B135" s="37" t="s">
        <v>248</v>
      </c>
      <c r="C135" s="46" t="s">
        <v>106</v>
      </c>
      <c r="D135" s="78">
        <v>4.0</v>
      </c>
      <c r="E135" s="37">
        <v>1.0</v>
      </c>
      <c r="F135" s="78"/>
      <c r="G135" s="40"/>
      <c r="H135" s="40">
        <f t="shared" ref="H135:H138" si="25">E135*D135</f>
        <v>4</v>
      </c>
      <c r="I135" s="42"/>
      <c r="J135" s="64">
        <f t="shared" si="24"/>
        <v>4</v>
      </c>
      <c r="K135" s="46"/>
    </row>
    <row r="136" ht="19.5" customHeight="1">
      <c r="A136" s="46">
        <v>7.0</v>
      </c>
      <c r="B136" s="37" t="s">
        <v>249</v>
      </c>
      <c r="C136" s="46" t="s">
        <v>106</v>
      </c>
      <c r="D136" s="78"/>
      <c r="E136" s="37"/>
      <c r="F136" s="78"/>
      <c r="G136" s="40"/>
      <c r="H136" s="40">
        <f t="shared" si="25"/>
        <v>0</v>
      </c>
      <c r="I136" s="42"/>
      <c r="J136" s="64">
        <f t="shared" si="24"/>
        <v>0</v>
      </c>
      <c r="K136" s="46"/>
    </row>
    <row r="137" ht="19.5" customHeight="1">
      <c r="A137" s="46">
        <v>8.0</v>
      </c>
      <c r="B137" s="37" t="s">
        <v>250</v>
      </c>
      <c r="C137" s="46" t="s">
        <v>106</v>
      </c>
      <c r="D137" s="123">
        <f>H136+H135+H134+H133+H132</f>
        <v>4</v>
      </c>
      <c r="E137" s="37">
        <v>1.0</v>
      </c>
      <c r="F137" s="40"/>
      <c r="G137" s="40"/>
      <c r="H137" s="40">
        <f t="shared" si="25"/>
        <v>4</v>
      </c>
      <c r="I137" s="40"/>
      <c r="J137" s="64">
        <f t="shared" si="24"/>
        <v>4</v>
      </c>
      <c r="K137" s="46"/>
    </row>
    <row r="138" ht="19.5" customHeight="1">
      <c r="A138" s="46">
        <v>9.0</v>
      </c>
      <c r="B138" s="37" t="s">
        <v>251</v>
      </c>
      <c r="C138" s="46" t="s">
        <v>106</v>
      </c>
      <c r="D138" s="123">
        <f>H131+H130</f>
        <v>36</v>
      </c>
      <c r="E138" s="37">
        <v>1.0</v>
      </c>
      <c r="F138" s="40"/>
      <c r="G138" s="40"/>
      <c r="H138" s="40">
        <f t="shared" si="25"/>
        <v>36</v>
      </c>
      <c r="I138" s="40"/>
      <c r="J138" s="64">
        <f t="shared" si="24"/>
        <v>36</v>
      </c>
      <c r="K138" s="46"/>
    </row>
    <row r="139" ht="19.5" customHeight="1">
      <c r="A139" s="46">
        <v>10.0</v>
      </c>
      <c r="B139" s="37" t="s">
        <v>252</v>
      </c>
      <c r="C139" s="46" t="s">
        <v>108</v>
      </c>
      <c r="D139" s="123"/>
      <c r="E139" s="37"/>
      <c r="F139" s="40"/>
      <c r="G139" s="40"/>
      <c r="H139" s="40"/>
      <c r="I139" s="40"/>
      <c r="J139" s="64"/>
      <c r="K139" s="46"/>
    </row>
    <row r="140" ht="19.5" customHeight="1">
      <c r="A140" s="46">
        <v>11.0</v>
      </c>
      <c r="B140" s="37" t="s">
        <v>641</v>
      </c>
      <c r="C140" s="46" t="s">
        <v>108</v>
      </c>
      <c r="D140" s="123"/>
      <c r="E140" s="37"/>
      <c r="F140" s="40"/>
      <c r="G140" s="40"/>
      <c r="H140" s="40"/>
      <c r="I140" s="40"/>
      <c r="J140" s="64"/>
      <c r="K140" s="46"/>
    </row>
    <row r="141" ht="19.5" customHeight="1">
      <c r="A141" s="46">
        <v>12.0</v>
      </c>
      <c r="B141" s="37" t="s">
        <v>254</v>
      </c>
      <c r="C141" s="46" t="s">
        <v>108</v>
      </c>
      <c r="D141" s="123">
        <v>80.0</v>
      </c>
      <c r="E141" s="37">
        <v>1.0</v>
      </c>
      <c r="F141" s="40"/>
      <c r="G141" s="40"/>
      <c r="H141" s="40">
        <f t="shared" ref="H141:H145" si="26">E141*D141</f>
        <v>80</v>
      </c>
      <c r="I141" s="40"/>
      <c r="J141" s="64">
        <f t="shared" ref="J141:J148" si="27">H141</f>
        <v>80</v>
      </c>
      <c r="K141" s="46"/>
    </row>
    <row r="142" ht="19.5" customHeight="1">
      <c r="A142" s="46">
        <f t="shared" ref="A142:A148" si="28">A141+1</f>
        <v>13</v>
      </c>
      <c r="B142" s="37" t="s">
        <v>255</v>
      </c>
      <c r="C142" s="46" t="s">
        <v>108</v>
      </c>
      <c r="D142" s="123">
        <v>12.0</v>
      </c>
      <c r="E142" s="37">
        <v>19.0</v>
      </c>
      <c r="F142" s="40"/>
      <c r="G142" s="40"/>
      <c r="H142" s="40">
        <f t="shared" si="26"/>
        <v>228</v>
      </c>
      <c r="I142" s="40"/>
      <c r="J142" s="64">
        <f t="shared" si="27"/>
        <v>228</v>
      </c>
      <c r="K142" s="46"/>
    </row>
    <row r="143" ht="19.5" customHeight="1">
      <c r="A143" s="46">
        <f t="shared" si="28"/>
        <v>14</v>
      </c>
      <c r="B143" s="37" t="s">
        <v>256</v>
      </c>
      <c r="C143" s="46" t="s">
        <v>108</v>
      </c>
      <c r="D143" s="123">
        <v>20.0</v>
      </c>
      <c r="E143" s="37">
        <v>1.0</v>
      </c>
      <c r="F143" s="40"/>
      <c r="G143" s="40"/>
      <c r="H143" s="40">
        <f t="shared" si="26"/>
        <v>20</v>
      </c>
      <c r="I143" s="40"/>
      <c r="J143" s="64">
        <f t="shared" si="27"/>
        <v>20</v>
      </c>
      <c r="K143" s="46"/>
    </row>
    <row r="144" ht="19.5" customHeight="1">
      <c r="A144" s="46">
        <f t="shared" si="28"/>
        <v>15</v>
      </c>
      <c r="B144" s="37" t="s">
        <v>1301</v>
      </c>
      <c r="C144" s="46" t="s">
        <v>106</v>
      </c>
      <c r="D144" s="123">
        <v>1.0</v>
      </c>
      <c r="E144" s="37">
        <v>1.0</v>
      </c>
      <c r="F144" s="40"/>
      <c r="G144" s="40"/>
      <c r="H144" s="40">
        <f t="shared" si="26"/>
        <v>1</v>
      </c>
      <c r="I144" s="40"/>
      <c r="J144" s="64">
        <f t="shared" si="27"/>
        <v>1</v>
      </c>
      <c r="K144" s="46"/>
    </row>
    <row r="145" ht="19.5" customHeight="1">
      <c r="A145" s="46">
        <f t="shared" si="28"/>
        <v>16</v>
      </c>
      <c r="B145" s="37" t="s">
        <v>258</v>
      </c>
      <c r="C145" s="46" t="s">
        <v>106</v>
      </c>
      <c r="D145" s="123">
        <v>3.0</v>
      </c>
      <c r="E145" s="37">
        <v>1.0</v>
      </c>
      <c r="F145" s="40"/>
      <c r="G145" s="40"/>
      <c r="H145" s="40">
        <f t="shared" si="26"/>
        <v>3</v>
      </c>
      <c r="I145" s="40"/>
      <c r="J145" s="64">
        <f t="shared" si="27"/>
        <v>3</v>
      </c>
      <c r="K145" s="46"/>
    </row>
    <row r="146" ht="19.5" customHeight="1">
      <c r="A146" s="46">
        <f t="shared" si="28"/>
        <v>17</v>
      </c>
      <c r="B146" s="37" t="s">
        <v>259</v>
      </c>
      <c r="C146" s="46" t="s">
        <v>108</v>
      </c>
      <c r="D146" s="123"/>
      <c r="E146" s="37"/>
      <c r="F146" s="40"/>
      <c r="G146" s="40"/>
      <c r="H146" s="40"/>
      <c r="I146" s="40"/>
      <c r="J146" s="64" t="str">
        <f t="shared" si="27"/>
        <v/>
      </c>
      <c r="K146" s="46"/>
    </row>
    <row r="147" ht="19.5" customHeight="1">
      <c r="A147" s="46">
        <f t="shared" si="28"/>
        <v>18</v>
      </c>
      <c r="B147" s="37" t="s">
        <v>260</v>
      </c>
      <c r="C147" s="46" t="s">
        <v>108</v>
      </c>
      <c r="D147" s="123"/>
      <c r="E147" s="37"/>
      <c r="F147" s="40"/>
      <c r="G147" s="40"/>
      <c r="H147" s="40"/>
      <c r="I147" s="40"/>
      <c r="J147" s="64" t="str">
        <f t="shared" si="27"/>
        <v/>
      </c>
      <c r="K147" s="46"/>
    </row>
    <row r="148" ht="19.5" customHeight="1">
      <c r="A148" s="46">
        <f t="shared" si="28"/>
        <v>19</v>
      </c>
      <c r="B148" s="37" t="s">
        <v>261</v>
      </c>
      <c r="C148" s="46" t="s">
        <v>106</v>
      </c>
      <c r="D148" s="123"/>
      <c r="E148" s="37"/>
      <c r="F148" s="40"/>
      <c r="G148" s="40"/>
      <c r="H148" s="40"/>
      <c r="I148" s="40"/>
      <c r="J148" s="64" t="str">
        <f t="shared" si="27"/>
        <v/>
      </c>
      <c r="K148" s="46"/>
    </row>
    <row r="149" ht="19.5" customHeight="1">
      <c r="A149" s="12"/>
      <c r="C149" s="12"/>
      <c r="D149" s="87"/>
      <c r="F149" s="14"/>
      <c r="G149" s="14"/>
      <c r="H149" s="14"/>
      <c r="I149" s="14"/>
      <c r="J149" s="14"/>
      <c r="K149" s="12"/>
    </row>
    <row r="150" ht="19.5" customHeight="1">
      <c r="A150" s="74" t="s">
        <v>1</v>
      </c>
      <c r="B150" s="74" t="s">
        <v>91</v>
      </c>
      <c r="C150" s="74" t="s">
        <v>92</v>
      </c>
      <c r="D150" s="76" t="s">
        <v>93</v>
      </c>
      <c r="E150" s="50" t="s">
        <v>161</v>
      </c>
      <c r="F150" s="53" t="s">
        <v>121</v>
      </c>
      <c r="G150" s="53" t="s">
        <v>99</v>
      </c>
      <c r="H150" s="53" t="s">
        <v>100</v>
      </c>
      <c r="I150" s="53" t="s">
        <v>101</v>
      </c>
      <c r="J150" s="76" t="s">
        <v>95</v>
      </c>
      <c r="K150" s="74" t="s">
        <v>96</v>
      </c>
    </row>
    <row r="151" ht="19.5" customHeight="1">
      <c r="A151" s="46">
        <v>1.0</v>
      </c>
      <c r="B151" s="37" t="s">
        <v>262</v>
      </c>
      <c r="C151" s="46" t="s">
        <v>108</v>
      </c>
      <c r="D151" s="78"/>
      <c r="E151" s="37"/>
      <c r="F151" s="78"/>
      <c r="G151" s="40"/>
      <c r="H151" s="40"/>
      <c r="I151" s="42"/>
      <c r="J151" s="107"/>
      <c r="K151" s="46"/>
    </row>
    <row r="152" ht="19.5" customHeight="1">
      <c r="A152" s="46">
        <f t="shared" ref="A152:A174" si="29">A151+1</f>
        <v>2</v>
      </c>
      <c r="B152" s="37" t="s">
        <v>263</v>
      </c>
      <c r="C152" s="46" t="s">
        <v>108</v>
      </c>
      <c r="D152" s="123"/>
      <c r="E152" s="37"/>
      <c r="F152" s="40"/>
      <c r="G152" s="40"/>
      <c r="H152" s="40"/>
      <c r="I152" s="40"/>
      <c r="J152" s="107"/>
      <c r="K152" s="46"/>
    </row>
    <row r="153" ht="19.5" customHeight="1">
      <c r="A153" s="46">
        <f t="shared" si="29"/>
        <v>3</v>
      </c>
      <c r="B153" s="37" t="s">
        <v>264</v>
      </c>
      <c r="C153" s="46" t="s">
        <v>108</v>
      </c>
      <c r="D153" s="123"/>
      <c r="E153" s="37"/>
      <c r="F153" s="40"/>
      <c r="G153" s="40"/>
      <c r="H153" s="40"/>
      <c r="I153" s="40"/>
      <c r="J153" s="107"/>
      <c r="K153" s="46"/>
    </row>
    <row r="154" ht="19.5" customHeight="1">
      <c r="A154" s="46">
        <f t="shared" si="29"/>
        <v>4</v>
      </c>
      <c r="B154" s="37" t="s">
        <v>265</v>
      </c>
      <c r="C154" s="46" t="s">
        <v>106</v>
      </c>
      <c r="D154" s="123"/>
      <c r="E154" s="37"/>
      <c r="F154" s="40"/>
      <c r="G154" s="40"/>
      <c r="H154" s="40"/>
      <c r="I154" s="40"/>
      <c r="J154" s="107"/>
      <c r="K154" s="46"/>
    </row>
    <row r="155" ht="19.5" customHeight="1">
      <c r="A155" s="46">
        <f t="shared" si="29"/>
        <v>5</v>
      </c>
      <c r="B155" s="37" t="s">
        <v>266</v>
      </c>
      <c r="C155" s="46" t="s">
        <v>106</v>
      </c>
      <c r="D155" s="123"/>
      <c r="E155" s="37"/>
      <c r="F155" s="40"/>
      <c r="G155" s="40"/>
      <c r="H155" s="40"/>
      <c r="I155" s="40"/>
      <c r="J155" s="107"/>
      <c r="K155" s="46"/>
    </row>
    <row r="156" ht="19.5" customHeight="1">
      <c r="A156" s="46">
        <f t="shared" si="29"/>
        <v>6</v>
      </c>
      <c r="B156" s="37" t="s">
        <v>267</v>
      </c>
      <c r="C156" s="46" t="s">
        <v>106</v>
      </c>
      <c r="D156" s="123"/>
      <c r="E156" s="37"/>
      <c r="F156" s="40"/>
      <c r="G156" s="40"/>
      <c r="H156" s="40"/>
      <c r="I156" s="40"/>
      <c r="J156" s="107"/>
      <c r="K156" s="46"/>
    </row>
    <row r="157" ht="19.5" customHeight="1">
      <c r="A157" s="46">
        <f t="shared" si="29"/>
        <v>7</v>
      </c>
      <c r="B157" s="37" t="s">
        <v>268</v>
      </c>
      <c r="C157" s="46" t="s">
        <v>106</v>
      </c>
      <c r="D157" s="123"/>
      <c r="E157" s="37"/>
      <c r="F157" s="40"/>
      <c r="G157" s="40"/>
      <c r="H157" s="40"/>
      <c r="I157" s="40"/>
      <c r="J157" s="107"/>
      <c r="K157" s="46"/>
    </row>
    <row r="158" ht="19.5" customHeight="1">
      <c r="A158" s="46">
        <f t="shared" si="29"/>
        <v>8</v>
      </c>
      <c r="B158" s="37" t="s">
        <v>269</v>
      </c>
      <c r="C158" s="46" t="s">
        <v>106</v>
      </c>
      <c r="D158" s="123"/>
      <c r="E158" s="37"/>
      <c r="F158" s="40"/>
      <c r="G158" s="40"/>
      <c r="H158" s="40"/>
      <c r="I158" s="40"/>
      <c r="J158" s="107"/>
      <c r="K158" s="46"/>
    </row>
    <row r="159" ht="19.5" customHeight="1">
      <c r="A159" s="46">
        <f t="shared" si="29"/>
        <v>9</v>
      </c>
      <c r="B159" s="37" t="s">
        <v>270</v>
      </c>
      <c r="C159" s="46" t="s">
        <v>106</v>
      </c>
      <c r="D159" s="123"/>
      <c r="E159" s="37"/>
      <c r="F159" s="40"/>
      <c r="G159" s="40"/>
      <c r="H159" s="40"/>
      <c r="I159" s="40"/>
      <c r="J159" s="107"/>
      <c r="K159" s="46"/>
    </row>
    <row r="160" ht="19.5" customHeight="1">
      <c r="A160" s="46">
        <f t="shared" si="29"/>
        <v>10</v>
      </c>
      <c r="B160" s="37" t="s">
        <v>271</v>
      </c>
      <c r="C160" s="46" t="s">
        <v>106</v>
      </c>
      <c r="D160" s="123"/>
      <c r="E160" s="37"/>
      <c r="F160" s="40"/>
      <c r="G160" s="40"/>
      <c r="H160" s="40"/>
      <c r="I160" s="40"/>
      <c r="J160" s="107"/>
      <c r="K160" s="46"/>
    </row>
    <row r="161" ht="19.5" customHeight="1">
      <c r="A161" s="46">
        <f t="shared" si="29"/>
        <v>11</v>
      </c>
      <c r="B161" s="37" t="s">
        <v>272</v>
      </c>
      <c r="C161" s="46" t="s">
        <v>106</v>
      </c>
      <c r="D161" s="123"/>
      <c r="E161" s="37"/>
      <c r="F161" s="40"/>
      <c r="G161" s="40"/>
      <c r="H161" s="40"/>
      <c r="I161" s="40"/>
      <c r="J161" s="107"/>
      <c r="K161" s="46"/>
    </row>
    <row r="162" ht="19.5" customHeight="1">
      <c r="A162" s="46">
        <f t="shared" si="29"/>
        <v>12</v>
      </c>
      <c r="B162" s="37" t="s">
        <v>273</v>
      </c>
      <c r="C162" s="46" t="s">
        <v>106</v>
      </c>
      <c r="D162" s="123"/>
      <c r="E162" s="37"/>
      <c r="F162" s="40"/>
      <c r="G162" s="40"/>
      <c r="H162" s="40"/>
      <c r="I162" s="40"/>
      <c r="J162" s="107"/>
      <c r="K162" s="46"/>
    </row>
    <row r="163" ht="19.5" customHeight="1">
      <c r="A163" s="46">
        <f t="shared" si="29"/>
        <v>13</v>
      </c>
      <c r="B163" s="37" t="s">
        <v>274</v>
      </c>
      <c r="C163" s="46" t="s">
        <v>106</v>
      </c>
      <c r="D163" s="123"/>
      <c r="E163" s="37"/>
      <c r="F163" s="40"/>
      <c r="G163" s="40"/>
      <c r="H163" s="40"/>
      <c r="I163" s="40"/>
      <c r="J163" s="107"/>
      <c r="K163" s="46"/>
    </row>
    <row r="164" ht="19.5" customHeight="1">
      <c r="A164" s="46">
        <f t="shared" si="29"/>
        <v>14</v>
      </c>
      <c r="B164" s="37" t="s">
        <v>275</v>
      </c>
      <c r="C164" s="46" t="s">
        <v>106</v>
      </c>
      <c r="D164" s="123"/>
      <c r="E164" s="37"/>
      <c r="F164" s="40"/>
      <c r="G164" s="40"/>
      <c r="H164" s="40"/>
      <c r="I164" s="40"/>
      <c r="J164" s="107"/>
      <c r="K164" s="46"/>
    </row>
    <row r="165" ht="19.5" customHeight="1">
      <c r="A165" s="46">
        <f t="shared" si="29"/>
        <v>15</v>
      </c>
      <c r="B165" s="37" t="s">
        <v>276</v>
      </c>
      <c r="C165" s="46" t="s">
        <v>106</v>
      </c>
      <c r="D165" s="123"/>
      <c r="E165" s="37"/>
      <c r="F165" s="40"/>
      <c r="G165" s="40"/>
      <c r="H165" s="40"/>
      <c r="I165" s="40"/>
      <c r="J165" s="107"/>
      <c r="K165" s="46"/>
    </row>
    <row r="166" ht="19.5" customHeight="1">
      <c r="A166" s="46">
        <f t="shared" si="29"/>
        <v>16</v>
      </c>
      <c r="B166" s="37" t="s">
        <v>277</v>
      </c>
      <c r="C166" s="46" t="s">
        <v>106</v>
      </c>
      <c r="D166" s="123"/>
      <c r="E166" s="37"/>
      <c r="F166" s="40"/>
      <c r="G166" s="40"/>
      <c r="H166" s="40"/>
      <c r="I166" s="40"/>
      <c r="J166" s="107"/>
      <c r="K166" s="46"/>
    </row>
    <row r="167" ht="19.5" customHeight="1">
      <c r="A167" s="46">
        <f t="shared" si="29"/>
        <v>17</v>
      </c>
      <c r="B167" s="37" t="s">
        <v>278</v>
      </c>
      <c r="C167" s="46" t="s">
        <v>106</v>
      </c>
      <c r="D167" s="123"/>
      <c r="E167" s="37"/>
      <c r="F167" s="40"/>
      <c r="G167" s="40"/>
      <c r="H167" s="40"/>
      <c r="I167" s="40"/>
      <c r="J167" s="107"/>
      <c r="K167" s="46"/>
    </row>
    <row r="168" ht="19.5" customHeight="1">
      <c r="A168" s="46">
        <f t="shared" si="29"/>
        <v>18</v>
      </c>
      <c r="B168" s="37" t="s">
        <v>279</v>
      </c>
      <c r="C168" s="46" t="s">
        <v>106</v>
      </c>
      <c r="D168" s="123"/>
      <c r="E168" s="37"/>
      <c r="F168" s="40"/>
      <c r="G168" s="40"/>
      <c r="H168" s="40"/>
      <c r="I168" s="40"/>
      <c r="J168" s="107"/>
      <c r="K168" s="46"/>
    </row>
    <row r="169" ht="19.5" customHeight="1">
      <c r="A169" s="46">
        <f t="shared" si="29"/>
        <v>19</v>
      </c>
      <c r="B169" s="37" t="s">
        <v>280</v>
      </c>
      <c r="C169" s="46" t="s">
        <v>106</v>
      </c>
      <c r="D169" s="123"/>
      <c r="E169" s="37"/>
      <c r="F169" s="40"/>
      <c r="G169" s="40"/>
      <c r="H169" s="40"/>
      <c r="I169" s="40"/>
      <c r="J169" s="107"/>
      <c r="K169" s="46"/>
    </row>
    <row r="170" ht="19.5" customHeight="1">
      <c r="A170" s="46">
        <f t="shared" si="29"/>
        <v>20</v>
      </c>
      <c r="B170" s="37" t="s">
        <v>281</v>
      </c>
      <c r="C170" s="46" t="s">
        <v>106</v>
      </c>
      <c r="D170" s="123"/>
      <c r="E170" s="37"/>
      <c r="F170" s="40"/>
      <c r="G170" s="40"/>
      <c r="H170" s="40"/>
      <c r="I170" s="40"/>
      <c r="J170" s="107"/>
      <c r="K170" s="46"/>
    </row>
    <row r="171" ht="19.5" customHeight="1">
      <c r="A171" s="46">
        <f t="shared" si="29"/>
        <v>21</v>
      </c>
      <c r="B171" s="37" t="s">
        <v>378</v>
      </c>
      <c r="C171" s="46" t="s">
        <v>106</v>
      </c>
      <c r="D171" s="123"/>
      <c r="E171" s="37"/>
      <c r="F171" s="40"/>
      <c r="G171" s="40"/>
      <c r="H171" s="40"/>
      <c r="I171" s="40"/>
      <c r="J171" s="107"/>
      <c r="K171" s="46"/>
    </row>
    <row r="172" ht="19.5" customHeight="1">
      <c r="A172" s="46">
        <f t="shared" si="29"/>
        <v>22</v>
      </c>
      <c r="B172" s="37" t="s">
        <v>284</v>
      </c>
      <c r="C172" s="46" t="s">
        <v>106</v>
      </c>
      <c r="D172" s="123"/>
      <c r="E172" s="37"/>
      <c r="F172" s="40"/>
      <c r="G172" s="40"/>
      <c r="H172" s="40"/>
      <c r="I172" s="40"/>
      <c r="J172" s="107"/>
      <c r="K172" s="46"/>
    </row>
    <row r="173" ht="19.5" customHeight="1">
      <c r="A173" s="46">
        <f t="shared" si="29"/>
        <v>23</v>
      </c>
      <c r="B173" s="37" t="s">
        <v>285</v>
      </c>
      <c r="C173" s="46" t="s">
        <v>106</v>
      </c>
      <c r="D173" s="123"/>
      <c r="E173" s="37"/>
      <c r="F173" s="40"/>
      <c r="G173" s="40"/>
      <c r="H173" s="40"/>
      <c r="I173" s="40"/>
      <c r="J173" s="107"/>
      <c r="K173" s="79"/>
    </row>
    <row r="174" ht="19.5" customHeight="1">
      <c r="A174" s="46">
        <f t="shared" si="29"/>
        <v>24</v>
      </c>
      <c r="B174" s="37" t="s">
        <v>286</v>
      </c>
      <c r="C174" s="46" t="s">
        <v>106</v>
      </c>
      <c r="D174" s="123"/>
      <c r="E174" s="37"/>
      <c r="F174" s="40"/>
      <c r="G174" s="40"/>
      <c r="H174" s="40"/>
      <c r="I174" s="40"/>
      <c r="J174" s="107"/>
      <c r="K174" s="79"/>
    </row>
    <row r="175" ht="19.5" customHeight="1">
      <c r="A175" s="74" t="s">
        <v>1</v>
      </c>
      <c r="B175" s="74" t="s">
        <v>91</v>
      </c>
      <c r="C175" s="74" t="s">
        <v>92</v>
      </c>
      <c r="D175" s="76" t="s">
        <v>93</v>
      </c>
      <c r="E175" s="50" t="s">
        <v>161</v>
      </c>
      <c r="F175" s="53" t="s">
        <v>121</v>
      </c>
      <c r="G175" s="53" t="s">
        <v>99</v>
      </c>
      <c r="H175" s="53" t="s">
        <v>100</v>
      </c>
      <c r="I175" s="53" t="s">
        <v>101</v>
      </c>
      <c r="J175" s="140" t="s">
        <v>95</v>
      </c>
      <c r="K175" s="74" t="s">
        <v>96</v>
      </c>
    </row>
    <row r="176" ht="19.5" customHeight="1">
      <c r="A176" s="46">
        <v>1.0</v>
      </c>
      <c r="B176" s="37" t="s">
        <v>287</v>
      </c>
      <c r="C176" s="46" t="s">
        <v>108</v>
      </c>
      <c r="D176" s="78"/>
      <c r="E176" s="37"/>
      <c r="F176" s="78"/>
      <c r="G176" s="40"/>
      <c r="H176" s="40"/>
      <c r="I176" s="42"/>
      <c r="J176" s="107"/>
      <c r="K176" s="46"/>
    </row>
    <row r="177" ht="19.5" customHeight="1">
      <c r="A177" s="46">
        <f t="shared" ref="A177:A216" si="30">A176+1</f>
        <v>2</v>
      </c>
      <c r="B177" s="37" t="s">
        <v>288</v>
      </c>
      <c r="C177" s="46" t="s">
        <v>108</v>
      </c>
      <c r="D177" s="78"/>
      <c r="E177" s="37"/>
      <c r="F177" s="78"/>
      <c r="G177" s="40"/>
      <c r="H177" s="40"/>
      <c r="I177" s="42"/>
      <c r="J177" s="107"/>
      <c r="K177" s="46"/>
    </row>
    <row r="178" ht="19.5" customHeight="1">
      <c r="A178" s="46">
        <f t="shared" si="30"/>
        <v>3</v>
      </c>
      <c r="B178" s="37" t="s">
        <v>289</v>
      </c>
      <c r="C178" s="46" t="s">
        <v>108</v>
      </c>
      <c r="D178" s="78"/>
      <c r="E178" s="37"/>
      <c r="F178" s="78"/>
      <c r="G178" s="40"/>
      <c r="H178" s="40"/>
      <c r="I178" s="42"/>
      <c r="J178" s="107"/>
      <c r="K178" s="46"/>
    </row>
    <row r="179" ht="19.5" customHeight="1">
      <c r="A179" s="46">
        <f t="shared" si="30"/>
        <v>4</v>
      </c>
      <c r="B179" s="37" t="s">
        <v>263</v>
      </c>
      <c r="C179" s="46" t="s">
        <v>108</v>
      </c>
      <c r="D179" s="78"/>
      <c r="E179" s="37"/>
      <c r="F179" s="78"/>
      <c r="G179" s="40"/>
      <c r="H179" s="40"/>
      <c r="I179" s="42"/>
      <c r="J179" s="107"/>
      <c r="K179" s="46"/>
    </row>
    <row r="180" ht="19.5" customHeight="1">
      <c r="A180" s="46">
        <f t="shared" si="30"/>
        <v>5</v>
      </c>
      <c r="B180" s="37" t="s">
        <v>264</v>
      </c>
      <c r="C180" s="46" t="s">
        <v>108</v>
      </c>
      <c r="D180" s="123"/>
      <c r="E180" s="37"/>
      <c r="F180" s="40"/>
      <c r="G180" s="40"/>
      <c r="H180" s="40"/>
      <c r="I180" s="40"/>
      <c r="J180" s="107"/>
      <c r="K180" s="46"/>
    </row>
    <row r="181" ht="19.5" customHeight="1">
      <c r="A181" s="46">
        <f t="shared" si="30"/>
        <v>6</v>
      </c>
      <c r="B181" s="37" t="s">
        <v>290</v>
      </c>
      <c r="C181" s="46" t="s">
        <v>108</v>
      </c>
      <c r="D181" s="123"/>
      <c r="E181" s="37"/>
      <c r="F181" s="40"/>
      <c r="G181" s="40"/>
      <c r="H181" s="40"/>
      <c r="I181" s="40"/>
      <c r="J181" s="107"/>
      <c r="K181" s="46"/>
    </row>
    <row r="182" ht="19.5" customHeight="1">
      <c r="A182" s="46">
        <f t="shared" si="30"/>
        <v>7</v>
      </c>
      <c r="B182" s="37" t="s">
        <v>291</v>
      </c>
      <c r="C182" s="46" t="s">
        <v>108</v>
      </c>
      <c r="D182" s="123"/>
      <c r="E182" s="37"/>
      <c r="F182" s="40"/>
      <c r="G182" s="40"/>
      <c r="H182" s="40"/>
      <c r="I182" s="40"/>
      <c r="J182" s="107"/>
      <c r="K182" s="46"/>
    </row>
    <row r="183" ht="19.5" customHeight="1">
      <c r="A183" s="46">
        <f t="shared" si="30"/>
        <v>8</v>
      </c>
      <c r="B183" s="37" t="s">
        <v>292</v>
      </c>
      <c r="C183" s="46" t="s">
        <v>106</v>
      </c>
      <c r="D183" s="123"/>
      <c r="E183" s="37"/>
      <c r="F183" s="40"/>
      <c r="G183" s="40"/>
      <c r="H183" s="40"/>
      <c r="I183" s="40"/>
      <c r="J183" s="107"/>
      <c r="K183" s="46"/>
    </row>
    <row r="184" ht="19.5" customHeight="1">
      <c r="A184" s="46">
        <f t="shared" si="30"/>
        <v>9</v>
      </c>
      <c r="B184" s="37" t="s">
        <v>293</v>
      </c>
      <c r="C184" s="46" t="s">
        <v>106</v>
      </c>
      <c r="D184" s="123"/>
      <c r="E184" s="37"/>
      <c r="F184" s="40"/>
      <c r="G184" s="40"/>
      <c r="H184" s="40"/>
      <c r="I184" s="40"/>
      <c r="J184" s="107"/>
      <c r="K184" s="46"/>
    </row>
    <row r="185" ht="19.5" customHeight="1">
      <c r="A185" s="46">
        <f t="shared" si="30"/>
        <v>10</v>
      </c>
      <c r="B185" s="37" t="s">
        <v>294</v>
      </c>
      <c r="C185" s="46" t="s">
        <v>106</v>
      </c>
      <c r="D185" s="123"/>
      <c r="E185" s="37"/>
      <c r="F185" s="40"/>
      <c r="G185" s="40"/>
      <c r="H185" s="40"/>
      <c r="I185" s="40"/>
      <c r="J185" s="107"/>
      <c r="K185" s="46"/>
    </row>
    <row r="186" ht="19.5" customHeight="1">
      <c r="A186" s="46">
        <f t="shared" si="30"/>
        <v>11</v>
      </c>
      <c r="B186" s="37" t="s">
        <v>295</v>
      </c>
      <c r="C186" s="46" t="s">
        <v>106</v>
      </c>
      <c r="D186" s="123"/>
      <c r="E186" s="37"/>
      <c r="F186" s="40"/>
      <c r="G186" s="40"/>
      <c r="H186" s="40"/>
      <c r="I186" s="40"/>
      <c r="J186" s="107"/>
      <c r="K186" s="46"/>
    </row>
    <row r="187" ht="19.5" customHeight="1">
      <c r="A187" s="46">
        <f t="shared" si="30"/>
        <v>12</v>
      </c>
      <c r="B187" s="37" t="s">
        <v>270</v>
      </c>
      <c r="C187" s="46" t="s">
        <v>106</v>
      </c>
      <c r="D187" s="123"/>
      <c r="E187" s="37"/>
      <c r="F187" s="40"/>
      <c r="G187" s="40"/>
      <c r="H187" s="40"/>
      <c r="I187" s="40"/>
      <c r="J187" s="107"/>
      <c r="K187" s="46"/>
    </row>
    <row r="188" ht="19.5" customHeight="1">
      <c r="A188" s="46">
        <f t="shared" si="30"/>
        <v>13</v>
      </c>
      <c r="B188" s="37" t="s">
        <v>296</v>
      </c>
      <c r="C188" s="46" t="s">
        <v>106</v>
      </c>
      <c r="D188" s="123"/>
      <c r="E188" s="37"/>
      <c r="F188" s="40"/>
      <c r="G188" s="40"/>
      <c r="H188" s="40"/>
      <c r="I188" s="40"/>
      <c r="J188" s="107"/>
      <c r="K188" s="46"/>
    </row>
    <row r="189" ht="19.5" customHeight="1">
      <c r="A189" s="46">
        <f t="shared" si="30"/>
        <v>14</v>
      </c>
      <c r="B189" s="37" t="s">
        <v>297</v>
      </c>
      <c r="C189" s="46" t="s">
        <v>106</v>
      </c>
      <c r="D189" s="123"/>
      <c r="E189" s="37"/>
      <c r="F189" s="40"/>
      <c r="G189" s="40"/>
      <c r="H189" s="40"/>
      <c r="I189" s="40"/>
      <c r="J189" s="107"/>
      <c r="K189" s="46"/>
    </row>
    <row r="190" ht="19.5" customHeight="1">
      <c r="A190" s="46">
        <f t="shared" si="30"/>
        <v>15</v>
      </c>
      <c r="B190" s="37" t="s">
        <v>298</v>
      </c>
      <c r="C190" s="46" t="s">
        <v>106</v>
      </c>
      <c r="D190" s="123"/>
      <c r="E190" s="37"/>
      <c r="F190" s="40"/>
      <c r="G190" s="40"/>
      <c r="H190" s="40"/>
      <c r="I190" s="40"/>
      <c r="J190" s="107"/>
      <c r="K190" s="46"/>
    </row>
    <row r="191" ht="19.5" customHeight="1">
      <c r="A191" s="46">
        <f t="shared" si="30"/>
        <v>16</v>
      </c>
      <c r="B191" s="37" t="s">
        <v>299</v>
      </c>
      <c r="C191" s="46" t="s">
        <v>106</v>
      </c>
      <c r="D191" s="123"/>
      <c r="E191" s="37"/>
      <c r="F191" s="40"/>
      <c r="G191" s="40"/>
      <c r="H191" s="40"/>
      <c r="I191" s="40"/>
      <c r="J191" s="107"/>
      <c r="K191" s="46"/>
    </row>
    <row r="192" ht="19.5" customHeight="1">
      <c r="A192" s="46">
        <f t="shared" si="30"/>
        <v>17</v>
      </c>
      <c r="B192" s="37" t="s">
        <v>300</v>
      </c>
      <c r="C192" s="46" t="s">
        <v>106</v>
      </c>
      <c r="D192" s="123"/>
      <c r="E192" s="37"/>
      <c r="F192" s="40"/>
      <c r="G192" s="40"/>
      <c r="H192" s="40"/>
      <c r="I192" s="40"/>
      <c r="J192" s="107"/>
      <c r="K192" s="46"/>
    </row>
    <row r="193" ht="19.5" customHeight="1">
      <c r="A193" s="46">
        <f t="shared" si="30"/>
        <v>18</v>
      </c>
      <c r="B193" s="37" t="s">
        <v>301</v>
      </c>
      <c r="C193" s="46" t="s">
        <v>106</v>
      </c>
      <c r="D193" s="123"/>
      <c r="E193" s="37"/>
      <c r="F193" s="40"/>
      <c r="G193" s="40"/>
      <c r="H193" s="40"/>
      <c r="I193" s="40"/>
      <c r="J193" s="107"/>
      <c r="K193" s="46"/>
    </row>
    <row r="194" ht="19.5" customHeight="1">
      <c r="A194" s="46">
        <f t="shared" si="30"/>
        <v>19</v>
      </c>
      <c r="B194" s="37" t="s">
        <v>302</v>
      </c>
      <c r="C194" s="46" t="s">
        <v>106</v>
      </c>
      <c r="D194" s="123"/>
      <c r="E194" s="37"/>
      <c r="F194" s="40"/>
      <c r="G194" s="40"/>
      <c r="H194" s="40"/>
      <c r="I194" s="40"/>
      <c r="J194" s="107"/>
      <c r="K194" s="46"/>
    </row>
    <row r="195" ht="19.5" customHeight="1">
      <c r="A195" s="46">
        <f t="shared" si="30"/>
        <v>20</v>
      </c>
      <c r="B195" s="37" t="s">
        <v>303</v>
      </c>
      <c r="C195" s="46" t="s">
        <v>106</v>
      </c>
      <c r="D195" s="123"/>
      <c r="E195" s="37"/>
      <c r="F195" s="40"/>
      <c r="G195" s="40"/>
      <c r="H195" s="40"/>
      <c r="I195" s="40"/>
      <c r="J195" s="107"/>
      <c r="K195" s="46"/>
    </row>
    <row r="196" ht="19.5" customHeight="1">
      <c r="A196" s="46">
        <f t="shared" si="30"/>
        <v>21</v>
      </c>
      <c r="B196" s="37" t="s">
        <v>304</v>
      </c>
      <c r="C196" s="46" t="s">
        <v>106</v>
      </c>
      <c r="D196" s="123"/>
      <c r="E196" s="37"/>
      <c r="F196" s="40"/>
      <c r="G196" s="40"/>
      <c r="H196" s="40"/>
      <c r="I196" s="40"/>
      <c r="J196" s="107"/>
      <c r="K196" s="46"/>
    </row>
    <row r="197" ht="19.5" customHeight="1">
      <c r="A197" s="46">
        <f t="shared" si="30"/>
        <v>22</v>
      </c>
      <c r="B197" s="37" t="s">
        <v>305</v>
      </c>
      <c r="C197" s="46" t="s">
        <v>106</v>
      </c>
      <c r="D197" s="123"/>
      <c r="E197" s="37"/>
      <c r="F197" s="40"/>
      <c r="G197" s="40"/>
      <c r="H197" s="40"/>
      <c r="I197" s="40"/>
      <c r="J197" s="107"/>
      <c r="K197" s="46"/>
    </row>
    <row r="198" ht="19.5" customHeight="1">
      <c r="A198" s="46">
        <f t="shared" si="30"/>
        <v>23</v>
      </c>
      <c r="B198" s="37" t="s">
        <v>306</v>
      </c>
      <c r="C198" s="46" t="s">
        <v>106</v>
      </c>
      <c r="D198" s="123"/>
      <c r="E198" s="37"/>
      <c r="F198" s="40"/>
      <c r="G198" s="40"/>
      <c r="H198" s="40"/>
      <c r="I198" s="40"/>
      <c r="J198" s="107"/>
      <c r="K198" s="46"/>
    </row>
    <row r="199" ht="19.5" customHeight="1">
      <c r="A199" s="46">
        <f t="shared" si="30"/>
        <v>24</v>
      </c>
      <c r="B199" s="37" t="s">
        <v>307</v>
      </c>
      <c r="C199" s="46" t="s">
        <v>106</v>
      </c>
      <c r="D199" s="123"/>
      <c r="E199" s="37"/>
      <c r="F199" s="40"/>
      <c r="G199" s="40"/>
      <c r="H199" s="40"/>
      <c r="I199" s="40"/>
      <c r="J199" s="107"/>
      <c r="K199" s="46"/>
    </row>
    <row r="200" ht="19.5" customHeight="1">
      <c r="A200" s="46">
        <f t="shared" si="30"/>
        <v>25</v>
      </c>
      <c r="B200" s="37" t="s">
        <v>308</v>
      </c>
      <c r="C200" s="46" t="s">
        <v>106</v>
      </c>
      <c r="D200" s="123"/>
      <c r="E200" s="37"/>
      <c r="F200" s="40"/>
      <c r="G200" s="40"/>
      <c r="H200" s="40"/>
      <c r="I200" s="40"/>
      <c r="J200" s="107"/>
      <c r="K200" s="46"/>
    </row>
    <row r="201" ht="19.5" customHeight="1">
      <c r="A201" s="46">
        <f t="shared" si="30"/>
        <v>26</v>
      </c>
      <c r="B201" s="37" t="s">
        <v>309</v>
      </c>
      <c r="C201" s="46" t="s">
        <v>106</v>
      </c>
      <c r="D201" s="123"/>
      <c r="E201" s="37"/>
      <c r="F201" s="40"/>
      <c r="G201" s="40"/>
      <c r="H201" s="40"/>
      <c r="I201" s="40"/>
      <c r="J201" s="107"/>
      <c r="K201" s="46"/>
    </row>
    <row r="202" ht="19.5" customHeight="1">
      <c r="A202" s="46">
        <f t="shared" si="30"/>
        <v>27</v>
      </c>
      <c r="B202" s="37" t="s">
        <v>310</v>
      </c>
      <c r="C202" s="46" t="s">
        <v>106</v>
      </c>
      <c r="D202" s="123"/>
      <c r="E202" s="37"/>
      <c r="F202" s="40"/>
      <c r="G202" s="40"/>
      <c r="H202" s="40"/>
      <c r="I202" s="40"/>
      <c r="J202" s="107"/>
      <c r="K202" s="46"/>
    </row>
    <row r="203" ht="19.5" customHeight="1">
      <c r="A203" s="46">
        <f t="shared" si="30"/>
        <v>28</v>
      </c>
      <c r="B203" s="37" t="s">
        <v>311</v>
      </c>
      <c r="C203" s="46" t="s">
        <v>106</v>
      </c>
      <c r="D203" s="123"/>
      <c r="E203" s="37"/>
      <c r="F203" s="40"/>
      <c r="G203" s="40"/>
      <c r="H203" s="40"/>
      <c r="I203" s="40"/>
      <c r="J203" s="107"/>
      <c r="K203" s="46"/>
    </row>
    <row r="204" ht="19.5" customHeight="1">
      <c r="A204" s="46">
        <f t="shared" si="30"/>
        <v>29</v>
      </c>
      <c r="B204" s="37" t="s">
        <v>312</v>
      </c>
      <c r="C204" s="46" t="s">
        <v>106</v>
      </c>
      <c r="D204" s="123"/>
      <c r="E204" s="37"/>
      <c r="F204" s="40"/>
      <c r="G204" s="40"/>
      <c r="H204" s="40"/>
      <c r="I204" s="40"/>
      <c r="J204" s="107"/>
      <c r="K204" s="46"/>
    </row>
    <row r="205" ht="19.5" customHeight="1">
      <c r="A205" s="46">
        <f t="shared" si="30"/>
        <v>30</v>
      </c>
      <c r="B205" s="37" t="s">
        <v>313</v>
      </c>
      <c r="C205" s="46" t="s">
        <v>106</v>
      </c>
      <c r="D205" s="123"/>
      <c r="E205" s="37"/>
      <c r="F205" s="40"/>
      <c r="G205" s="40"/>
      <c r="H205" s="40"/>
      <c r="I205" s="40"/>
      <c r="J205" s="107"/>
      <c r="K205" s="46"/>
    </row>
    <row r="206" ht="19.5" customHeight="1">
      <c r="A206" s="46">
        <f t="shared" si="30"/>
        <v>31</v>
      </c>
      <c r="B206" s="37" t="s">
        <v>314</v>
      </c>
      <c r="C206" s="46" t="s">
        <v>106</v>
      </c>
      <c r="D206" s="123"/>
      <c r="E206" s="37"/>
      <c r="F206" s="40"/>
      <c r="G206" s="40"/>
      <c r="H206" s="40"/>
      <c r="I206" s="40"/>
      <c r="J206" s="107"/>
      <c r="K206" s="46"/>
    </row>
    <row r="207" ht="19.5" customHeight="1">
      <c r="A207" s="46">
        <f t="shared" si="30"/>
        <v>32</v>
      </c>
      <c r="B207" s="37" t="s">
        <v>315</v>
      </c>
      <c r="C207" s="46" t="s">
        <v>106</v>
      </c>
      <c r="D207" s="123"/>
      <c r="E207" s="37"/>
      <c r="F207" s="40"/>
      <c r="G207" s="40"/>
      <c r="H207" s="40"/>
      <c r="I207" s="40"/>
      <c r="J207" s="107"/>
      <c r="K207" s="46"/>
    </row>
    <row r="208" ht="19.5" customHeight="1">
      <c r="A208" s="46">
        <f t="shared" si="30"/>
        <v>33</v>
      </c>
      <c r="B208" s="37" t="s">
        <v>316</v>
      </c>
      <c r="C208" s="46" t="s">
        <v>106</v>
      </c>
      <c r="D208" s="123"/>
      <c r="E208" s="37"/>
      <c r="F208" s="40"/>
      <c r="G208" s="40"/>
      <c r="H208" s="40"/>
      <c r="I208" s="40"/>
      <c r="J208" s="107"/>
      <c r="K208" s="46"/>
    </row>
    <row r="209" ht="19.5" customHeight="1">
      <c r="A209" s="46">
        <f t="shared" si="30"/>
        <v>34</v>
      </c>
      <c r="B209" s="37" t="s">
        <v>317</v>
      </c>
      <c r="C209" s="46" t="s">
        <v>106</v>
      </c>
      <c r="D209" s="123"/>
      <c r="E209" s="37"/>
      <c r="F209" s="40"/>
      <c r="G209" s="40"/>
      <c r="H209" s="40"/>
      <c r="I209" s="40"/>
      <c r="J209" s="107"/>
      <c r="K209" s="46"/>
    </row>
    <row r="210" ht="19.5" customHeight="1">
      <c r="A210" s="46">
        <f t="shared" si="30"/>
        <v>35</v>
      </c>
      <c r="B210" s="37" t="s">
        <v>1563</v>
      </c>
      <c r="C210" s="46" t="s">
        <v>106</v>
      </c>
      <c r="D210" s="123"/>
      <c r="E210" s="37"/>
      <c r="F210" s="40"/>
      <c r="G210" s="40"/>
      <c r="H210" s="40"/>
      <c r="I210" s="40"/>
      <c r="J210" s="107"/>
      <c r="K210" s="46"/>
    </row>
    <row r="211" ht="19.5" customHeight="1">
      <c r="A211" s="46">
        <f t="shared" si="30"/>
        <v>36</v>
      </c>
      <c r="B211" s="37" t="s">
        <v>319</v>
      </c>
      <c r="C211" s="46" t="s">
        <v>106</v>
      </c>
      <c r="D211" s="123"/>
      <c r="E211" s="37"/>
      <c r="F211" s="40"/>
      <c r="G211" s="40"/>
      <c r="H211" s="40"/>
      <c r="I211" s="40"/>
      <c r="J211" s="107"/>
      <c r="K211" s="46"/>
    </row>
    <row r="212" ht="19.5" customHeight="1">
      <c r="A212" s="46">
        <f t="shared" si="30"/>
        <v>37</v>
      </c>
      <c r="B212" s="37" t="s">
        <v>320</v>
      </c>
      <c r="C212" s="46" t="s">
        <v>106</v>
      </c>
      <c r="D212" s="123"/>
      <c r="E212" s="37"/>
      <c r="F212" s="40"/>
      <c r="G212" s="40"/>
      <c r="H212" s="40"/>
      <c r="I212" s="40"/>
      <c r="J212" s="107"/>
      <c r="K212" s="46"/>
    </row>
    <row r="213" ht="19.5" customHeight="1">
      <c r="A213" s="46">
        <f t="shared" si="30"/>
        <v>38</v>
      </c>
      <c r="B213" s="37" t="s">
        <v>321</v>
      </c>
      <c r="C213" s="46" t="s">
        <v>106</v>
      </c>
      <c r="D213" s="123"/>
      <c r="E213" s="37"/>
      <c r="F213" s="40"/>
      <c r="G213" s="40"/>
      <c r="H213" s="40"/>
      <c r="I213" s="40"/>
      <c r="J213" s="107"/>
      <c r="K213" s="46"/>
    </row>
    <row r="214" ht="19.5" customHeight="1">
      <c r="A214" s="46">
        <f t="shared" si="30"/>
        <v>39</v>
      </c>
      <c r="B214" s="37" t="s">
        <v>322</v>
      </c>
      <c r="C214" s="46" t="s">
        <v>106</v>
      </c>
      <c r="D214" s="123"/>
      <c r="E214" s="37"/>
      <c r="F214" s="40"/>
      <c r="G214" s="40"/>
      <c r="H214" s="40"/>
      <c r="I214" s="40"/>
      <c r="J214" s="107"/>
      <c r="K214" s="46"/>
    </row>
    <row r="215" ht="19.5" customHeight="1">
      <c r="A215" s="46">
        <f t="shared" si="30"/>
        <v>40</v>
      </c>
      <c r="B215" s="37" t="s">
        <v>323</v>
      </c>
      <c r="C215" s="46" t="s">
        <v>108</v>
      </c>
      <c r="D215" s="123"/>
      <c r="E215" s="37"/>
      <c r="F215" s="40"/>
      <c r="G215" s="40"/>
      <c r="H215" s="40"/>
      <c r="I215" s="40"/>
      <c r="J215" s="107"/>
      <c r="K215" s="46"/>
    </row>
    <row r="216" ht="19.5" customHeight="1">
      <c r="A216" s="46">
        <f t="shared" si="30"/>
        <v>41</v>
      </c>
      <c r="B216" s="37" t="s">
        <v>324</v>
      </c>
      <c r="C216" s="46" t="s">
        <v>325</v>
      </c>
      <c r="D216" s="123"/>
      <c r="E216" s="37"/>
      <c r="F216" s="40"/>
      <c r="G216" s="40"/>
      <c r="H216" s="40"/>
      <c r="I216" s="40"/>
      <c r="J216" s="107"/>
      <c r="K216" s="46"/>
    </row>
    <row r="217" ht="19.5" customHeight="1">
      <c r="A217" s="12"/>
      <c r="C217" s="12"/>
      <c r="D217" s="87"/>
      <c r="F217" s="14"/>
      <c r="G217" s="14"/>
      <c r="H217" s="14"/>
      <c r="I217" s="14"/>
      <c r="J217" s="14"/>
      <c r="K217" s="12"/>
    </row>
    <row r="218" ht="19.5" customHeight="1">
      <c r="A218" s="74" t="s">
        <v>1</v>
      </c>
      <c r="B218" s="74" t="s">
        <v>91</v>
      </c>
      <c r="C218" s="74" t="s">
        <v>92</v>
      </c>
      <c r="D218" s="76" t="s">
        <v>93</v>
      </c>
      <c r="E218" s="50" t="s">
        <v>161</v>
      </c>
      <c r="F218" s="53" t="s">
        <v>121</v>
      </c>
      <c r="G218" s="53" t="s">
        <v>99</v>
      </c>
      <c r="H218" s="53" t="s">
        <v>100</v>
      </c>
      <c r="I218" s="53" t="s">
        <v>101</v>
      </c>
      <c r="J218" s="140" t="s">
        <v>95</v>
      </c>
      <c r="K218" s="74" t="s">
        <v>96</v>
      </c>
    </row>
    <row r="219" ht="19.5" customHeight="1">
      <c r="A219" s="46">
        <v>1.0</v>
      </c>
      <c r="B219" s="37" t="s">
        <v>326</v>
      </c>
      <c r="C219" s="46" t="s">
        <v>106</v>
      </c>
      <c r="D219" s="78"/>
      <c r="E219" s="37"/>
      <c r="F219" s="78"/>
      <c r="G219" s="40"/>
      <c r="H219" s="40"/>
      <c r="I219" s="42"/>
      <c r="J219" s="107"/>
      <c r="K219" s="46"/>
    </row>
    <row r="220" ht="19.5" customHeight="1">
      <c r="A220" s="46">
        <v>2.0</v>
      </c>
      <c r="B220" s="37" t="s">
        <v>327</v>
      </c>
      <c r="C220" s="46" t="s">
        <v>106</v>
      </c>
      <c r="D220" s="123"/>
      <c r="E220" s="37"/>
      <c r="F220" s="40"/>
      <c r="G220" s="40"/>
      <c r="H220" s="40"/>
      <c r="I220" s="40"/>
      <c r="J220" s="107"/>
      <c r="K220" s="46"/>
    </row>
    <row r="221" ht="19.5" customHeight="1">
      <c r="A221" s="46">
        <v>3.0</v>
      </c>
      <c r="B221" s="37" t="s">
        <v>379</v>
      </c>
      <c r="C221" s="46" t="s">
        <v>106</v>
      </c>
      <c r="D221" s="123"/>
      <c r="E221" s="37"/>
      <c r="F221" s="40"/>
      <c r="G221" s="40"/>
      <c r="H221" s="40"/>
      <c r="I221" s="40"/>
      <c r="J221" s="107"/>
      <c r="K221" s="46"/>
    </row>
    <row r="222" ht="19.5" customHeight="1">
      <c r="A222" s="46">
        <v>4.0</v>
      </c>
      <c r="B222" s="37" t="s">
        <v>330</v>
      </c>
      <c r="C222" s="46" t="s">
        <v>103</v>
      </c>
      <c r="D222" s="123"/>
      <c r="E222" s="37"/>
      <c r="F222" s="40"/>
      <c r="G222" s="40"/>
      <c r="H222" s="40"/>
      <c r="I222" s="40"/>
      <c r="J222" s="107"/>
      <c r="K222" s="46"/>
    </row>
    <row r="223" ht="19.5" customHeight="1">
      <c r="A223" s="12"/>
      <c r="C223" s="12"/>
      <c r="D223" s="87"/>
      <c r="F223" s="14"/>
      <c r="G223" s="14"/>
      <c r="H223" s="14"/>
      <c r="I223" s="14"/>
      <c r="J223" s="14"/>
      <c r="K223" s="12"/>
    </row>
    <row r="224" ht="19.5" customHeight="1">
      <c r="A224" s="12"/>
      <c r="C224" s="12"/>
      <c r="D224" s="87"/>
      <c r="F224" s="14"/>
      <c r="G224" s="14"/>
      <c r="H224" s="14"/>
      <c r="I224" s="14"/>
      <c r="J224" s="14"/>
      <c r="K224" s="12"/>
    </row>
    <row r="225" ht="19.5" customHeight="1">
      <c r="A225" s="12"/>
      <c r="C225" s="12"/>
      <c r="D225" s="87"/>
      <c r="F225" s="14"/>
      <c r="G225" s="14"/>
      <c r="H225" s="14"/>
      <c r="I225" s="14"/>
      <c r="J225" s="14"/>
      <c r="K225" s="12"/>
    </row>
    <row r="226" ht="19.5" customHeight="1">
      <c r="A226" s="12"/>
      <c r="C226" s="12"/>
      <c r="D226" s="87"/>
      <c r="F226" s="14"/>
      <c r="G226" s="14"/>
      <c r="H226" s="14"/>
      <c r="I226" s="14"/>
      <c r="J226" s="14"/>
      <c r="K226" s="12"/>
    </row>
    <row r="227" ht="19.5" customHeight="1">
      <c r="A227" s="12"/>
      <c r="C227" s="12"/>
      <c r="D227" s="87"/>
      <c r="F227" s="14"/>
      <c r="G227" s="14"/>
      <c r="H227" s="14"/>
      <c r="I227" s="14"/>
      <c r="J227" s="14"/>
      <c r="K227" s="12"/>
    </row>
    <row r="228" ht="19.5" customHeight="1">
      <c r="A228" s="12"/>
      <c r="C228" s="12"/>
      <c r="D228" s="87"/>
      <c r="F228" s="14"/>
      <c r="G228" s="14"/>
      <c r="H228" s="14"/>
      <c r="I228" s="14"/>
      <c r="J228" s="14"/>
      <c r="K228" s="12"/>
    </row>
    <row r="229" ht="19.5" customHeight="1">
      <c r="A229" s="12"/>
      <c r="C229" s="12"/>
      <c r="D229" s="87"/>
      <c r="F229" s="14"/>
      <c r="G229" s="14"/>
      <c r="H229" s="14"/>
      <c r="I229" s="14"/>
      <c r="J229" s="14"/>
      <c r="K229" s="12"/>
    </row>
    <row r="230" ht="19.5" customHeight="1">
      <c r="A230" s="12"/>
      <c r="C230" s="12"/>
      <c r="D230" s="87"/>
      <c r="F230" s="14"/>
      <c r="G230" s="14"/>
      <c r="H230" s="14"/>
      <c r="I230" s="14"/>
      <c r="J230" s="14"/>
      <c r="K230" s="12"/>
    </row>
    <row r="231" ht="19.5" customHeight="1">
      <c r="A231" s="12"/>
      <c r="C231" s="12"/>
      <c r="D231" s="87"/>
      <c r="F231" s="14"/>
      <c r="G231" s="14"/>
      <c r="H231" s="14"/>
      <c r="I231" s="14"/>
      <c r="J231" s="14"/>
      <c r="K231" s="12"/>
    </row>
    <row r="232" ht="19.5" customHeight="1">
      <c r="A232" s="12"/>
      <c r="C232" s="12"/>
      <c r="D232" s="87"/>
      <c r="F232" s="14"/>
      <c r="G232" s="14"/>
      <c r="H232" s="14"/>
      <c r="I232" s="14"/>
      <c r="J232" s="14"/>
      <c r="K232" s="12"/>
    </row>
    <row r="233" ht="19.5" customHeight="1">
      <c r="A233" s="12"/>
      <c r="C233" s="12"/>
      <c r="D233" s="87"/>
      <c r="F233" s="14"/>
      <c r="G233" s="14"/>
      <c r="H233" s="14"/>
      <c r="I233" s="14"/>
      <c r="J233" s="14"/>
      <c r="K233" s="12"/>
    </row>
    <row r="234" ht="19.5" customHeight="1">
      <c r="A234" s="12"/>
      <c r="C234" s="12"/>
      <c r="D234" s="87"/>
      <c r="F234" s="14"/>
      <c r="G234" s="14"/>
      <c r="H234" s="14"/>
      <c r="I234" s="14"/>
      <c r="J234" s="14"/>
      <c r="K234" s="12"/>
    </row>
    <row r="235" ht="19.5" customHeight="1">
      <c r="A235" s="12"/>
      <c r="C235" s="12"/>
      <c r="D235" s="87"/>
      <c r="F235" s="14"/>
      <c r="G235" s="14"/>
      <c r="H235" s="14"/>
      <c r="I235" s="14"/>
      <c r="J235" s="14"/>
      <c r="K235" s="12"/>
    </row>
    <row r="236" ht="19.5" customHeight="1">
      <c r="A236" s="12"/>
      <c r="C236" s="12"/>
      <c r="D236" s="87"/>
      <c r="F236" s="14"/>
      <c r="G236" s="14"/>
      <c r="H236" s="14"/>
      <c r="I236" s="14"/>
      <c r="J236" s="14"/>
      <c r="K236" s="12"/>
    </row>
    <row r="237" ht="19.5" customHeight="1">
      <c r="A237" s="12"/>
      <c r="C237" s="12"/>
      <c r="D237" s="87"/>
      <c r="F237" s="14"/>
      <c r="G237" s="14"/>
      <c r="H237" s="14"/>
      <c r="I237" s="14"/>
      <c r="J237" s="14"/>
      <c r="K237" s="12"/>
    </row>
    <row r="238" ht="19.5" customHeight="1">
      <c r="A238" s="12"/>
      <c r="C238" s="12"/>
      <c r="D238" s="87"/>
      <c r="F238" s="14"/>
      <c r="G238" s="14"/>
      <c r="H238" s="14"/>
      <c r="I238" s="14"/>
      <c r="J238" s="14"/>
      <c r="K238" s="12"/>
    </row>
    <row r="239" ht="19.5" customHeight="1">
      <c r="A239" s="12"/>
      <c r="C239" s="12"/>
      <c r="D239" s="87"/>
      <c r="F239" s="14"/>
      <c r="G239" s="14"/>
      <c r="H239" s="14"/>
      <c r="I239" s="14"/>
      <c r="J239" s="14"/>
      <c r="K239" s="12"/>
    </row>
    <row r="240" ht="19.5" customHeight="1">
      <c r="A240" s="12"/>
      <c r="C240" s="12"/>
      <c r="D240" s="87"/>
      <c r="F240" s="14"/>
      <c r="G240" s="14"/>
      <c r="H240" s="14"/>
      <c r="I240" s="14"/>
      <c r="J240" s="14"/>
      <c r="K240" s="12"/>
    </row>
    <row r="241" ht="19.5" customHeight="1">
      <c r="A241" s="12"/>
      <c r="C241" s="12"/>
      <c r="D241" s="87"/>
      <c r="F241" s="14"/>
      <c r="G241" s="14"/>
      <c r="H241" s="14"/>
      <c r="I241" s="14"/>
      <c r="J241" s="14"/>
      <c r="K241" s="12"/>
    </row>
    <row r="242" ht="19.5" customHeight="1">
      <c r="A242" s="12"/>
      <c r="C242" s="12"/>
      <c r="D242" s="87"/>
      <c r="F242" s="14"/>
      <c r="G242" s="14"/>
      <c r="H242" s="14"/>
      <c r="I242" s="14"/>
      <c r="J242" s="14"/>
      <c r="K242" s="12"/>
    </row>
    <row r="243" ht="19.5" customHeight="1">
      <c r="A243" s="12"/>
      <c r="C243" s="12"/>
      <c r="D243" s="87"/>
      <c r="F243" s="14"/>
      <c r="G243" s="14"/>
      <c r="H243" s="14"/>
      <c r="I243" s="14"/>
      <c r="J243" s="14"/>
      <c r="K243" s="12"/>
    </row>
    <row r="244" ht="19.5" customHeight="1">
      <c r="A244" s="12"/>
      <c r="C244" s="12"/>
      <c r="D244" s="87"/>
      <c r="F244" s="14"/>
      <c r="G244" s="14"/>
      <c r="H244" s="14"/>
      <c r="I244" s="14"/>
      <c r="J244" s="14"/>
      <c r="K244" s="12"/>
    </row>
    <row r="245" ht="19.5" customHeight="1">
      <c r="A245" s="12"/>
      <c r="C245" s="12"/>
      <c r="D245" s="87"/>
      <c r="F245" s="14"/>
      <c r="G245" s="14"/>
      <c r="H245" s="14"/>
      <c r="I245" s="14"/>
      <c r="J245" s="14"/>
      <c r="K245" s="12"/>
    </row>
    <row r="246" ht="19.5" customHeight="1">
      <c r="A246" s="12"/>
      <c r="C246" s="12"/>
      <c r="D246" s="87"/>
      <c r="F246" s="14"/>
      <c r="G246" s="14"/>
      <c r="H246" s="14"/>
      <c r="I246" s="14"/>
      <c r="J246" s="14"/>
      <c r="K246" s="12"/>
    </row>
    <row r="247" ht="19.5" customHeight="1">
      <c r="A247" s="12"/>
      <c r="C247" s="12"/>
      <c r="D247" s="87"/>
      <c r="F247" s="14"/>
      <c r="G247" s="14"/>
      <c r="H247" s="14"/>
      <c r="I247" s="14"/>
      <c r="J247" s="14"/>
      <c r="K247" s="12"/>
    </row>
    <row r="248" ht="19.5" customHeight="1">
      <c r="A248" s="12"/>
      <c r="C248" s="12"/>
      <c r="D248" s="87"/>
      <c r="F248" s="14"/>
      <c r="G248" s="14"/>
      <c r="H248" s="14"/>
      <c r="I248" s="14"/>
      <c r="J248" s="14"/>
      <c r="K248" s="12"/>
    </row>
    <row r="249" ht="19.5" customHeight="1">
      <c r="A249" s="12"/>
      <c r="C249" s="12"/>
      <c r="D249" s="87"/>
      <c r="F249" s="14"/>
      <c r="G249" s="14"/>
      <c r="H249" s="14"/>
      <c r="I249" s="14"/>
      <c r="J249" s="14"/>
      <c r="K249" s="12"/>
    </row>
    <row r="250" ht="19.5" customHeight="1">
      <c r="A250" s="12"/>
      <c r="C250" s="12"/>
      <c r="D250" s="87"/>
      <c r="F250" s="14"/>
      <c r="G250" s="14"/>
      <c r="H250" s="14"/>
      <c r="I250" s="14"/>
      <c r="J250" s="14"/>
      <c r="K250" s="12"/>
    </row>
    <row r="251" ht="19.5" customHeight="1">
      <c r="A251" s="12"/>
      <c r="C251" s="12"/>
      <c r="D251" s="87"/>
      <c r="F251" s="14"/>
      <c r="G251" s="14"/>
      <c r="H251" s="14"/>
      <c r="I251" s="14"/>
      <c r="J251" s="14"/>
      <c r="K251" s="12"/>
    </row>
    <row r="252" ht="19.5" customHeight="1">
      <c r="A252" s="12"/>
      <c r="C252" s="12"/>
      <c r="D252" s="87"/>
      <c r="F252" s="14"/>
      <c r="G252" s="14"/>
      <c r="H252" s="14"/>
      <c r="I252" s="14"/>
      <c r="J252" s="14"/>
      <c r="K252" s="12"/>
    </row>
    <row r="253" ht="19.5" customHeight="1">
      <c r="A253" s="12"/>
      <c r="C253" s="12"/>
      <c r="D253" s="87"/>
      <c r="F253" s="14"/>
      <c r="G253" s="14"/>
      <c r="H253" s="14"/>
      <c r="I253" s="14"/>
      <c r="J253" s="14"/>
      <c r="K253" s="12"/>
    </row>
    <row r="254" ht="19.5" customHeight="1">
      <c r="A254" s="12"/>
      <c r="C254" s="12"/>
      <c r="D254" s="87"/>
      <c r="F254" s="14"/>
      <c r="G254" s="14"/>
      <c r="H254" s="14"/>
      <c r="I254" s="14"/>
      <c r="J254" s="14"/>
      <c r="K254" s="12"/>
    </row>
    <row r="255" ht="19.5" customHeight="1">
      <c r="A255" s="12"/>
      <c r="C255" s="12"/>
      <c r="D255" s="87"/>
      <c r="F255" s="14"/>
      <c r="G255" s="14"/>
      <c r="H255" s="14"/>
      <c r="I255" s="14"/>
      <c r="J255" s="14"/>
      <c r="K255" s="12"/>
    </row>
    <row r="256" ht="19.5" customHeight="1">
      <c r="A256" s="12"/>
      <c r="C256" s="12"/>
      <c r="D256" s="87"/>
      <c r="F256" s="14"/>
      <c r="G256" s="14"/>
      <c r="H256" s="14"/>
      <c r="I256" s="14"/>
      <c r="J256" s="14"/>
      <c r="K256" s="12"/>
    </row>
    <row r="257" ht="19.5" customHeight="1">
      <c r="A257" s="12"/>
      <c r="C257" s="12"/>
      <c r="D257" s="87"/>
      <c r="F257" s="14"/>
      <c r="G257" s="14"/>
      <c r="H257" s="14"/>
      <c r="I257" s="14"/>
      <c r="J257" s="14"/>
      <c r="K257" s="12"/>
    </row>
    <row r="258" ht="19.5" customHeight="1">
      <c r="A258" s="12"/>
      <c r="C258" s="12"/>
      <c r="D258" s="87"/>
      <c r="F258" s="14"/>
      <c r="G258" s="14"/>
      <c r="H258" s="14"/>
      <c r="I258" s="14"/>
      <c r="J258" s="14"/>
      <c r="K258" s="12"/>
    </row>
    <row r="259" ht="19.5" customHeight="1">
      <c r="A259" s="12"/>
      <c r="C259" s="12"/>
      <c r="D259" s="87"/>
      <c r="F259" s="14"/>
      <c r="G259" s="14"/>
      <c r="H259" s="14"/>
      <c r="I259" s="14"/>
      <c r="J259" s="14"/>
      <c r="K259" s="12"/>
    </row>
    <row r="260" ht="19.5" customHeight="1">
      <c r="A260" s="12"/>
      <c r="C260" s="12"/>
      <c r="D260" s="87"/>
      <c r="F260" s="14"/>
      <c r="G260" s="14"/>
      <c r="H260" s="14"/>
      <c r="I260" s="14"/>
      <c r="J260" s="14"/>
      <c r="K260" s="12"/>
    </row>
    <row r="261" ht="19.5" customHeight="1">
      <c r="A261" s="12"/>
      <c r="C261" s="12"/>
      <c r="D261" s="87"/>
      <c r="F261" s="14"/>
      <c r="G261" s="14"/>
      <c r="H261" s="14"/>
      <c r="I261" s="14"/>
      <c r="J261" s="14"/>
      <c r="K261" s="12"/>
    </row>
    <row r="262" ht="19.5" customHeight="1">
      <c r="A262" s="12"/>
      <c r="C262" s="12"/>
      <c r="D262" s="87"/>
      <c r="F262" s="14"/>
      <c r="G262" s="14"/>
      <c r="H262" s="14"/>
      <c r="I262" s="14"/>
      <c r="J262" s="14"/>
      <c r="K262" s="12"/>
    </row>
    <row r="263" ht="19.5" customHeight="1">
      <c r="A263" s="12"/>
      <c r="C263" s="12"/>
      <c r="D263" s="87"/>
      <c r="F263" s="14"/>
      <c r="G263" s="14"/>
      <c r="H263" s="14"/>
      <c r="I263" s="14"/>
      <c r="J263" s="14"/>
      <c r="K263" s="12"/>
    </row>
    <row r="264" ht="19.5" customHeight="1">
      <c r="A264" s="12"/>
      <c r="C264" s="12"/>
      <c r="D264" s="87"/>
      <c r="F264" s="14"/>
      <c r="G264" s="14"/>
      <c r="H264" s="14"/>
      <c r="I264" s="14"/>
      <c r="J264" s="14"/>
      <c r="K264" s="12"/>
    </row>
    <row r="265" ht="19.5" customHeight="1">
      <c r="A265" s="12"/>
      <c r="C265" s="12"/>
      <c r="D265" s="87"/>
      <c r="F265" s="14"/>
      <c r="G265" s="14"/>
      <c r="H265" s="14"/>
      <c r="I265" s="14"/>
      <c r="J265" s="14"/>
      <c r="K265" s="12"/>
    </row>
    <row r="266" ht="19.5" customHeight="1">
      <c r="A266" s="12"/>
      <c r="C266" s="12"/>
      <c r="D266" s="87"/>
      <c r="F266" s="14"/>
      <c r="G266" s="14"/>
      <c r="H266" s="14"/>
      <c r="I266" s="14"/>
      <c r="J266" s="14"/>
      <c r="K266" s="12"/>
    </row>
    <row r="267" ht="19.5" customHeight="1">
      <c r="A267" s="12"/>
      <c r="C267" s="12"/>
      <c r="D267" s="87"/>
      <c r="F267" s="14"/>
      <c r="G267" s="14"/>
      <c r="H267" s="14"/>
      <c r="I267" s="14"/>
      <c r="J267" s="14"/>
      <c r="K267" s="12"/>
    </row>
    <row r="268" ht="19.5" customHeight="1">
      <c r="A268" s="12"/>
      <c r="C268" s="12"/>
      <c r="D268" s="87"/>
      <c r="F268" s="14"/>
      <c r="G268" s="14"/>
      <c r="H268" s="14"/>
      <c r="I268" s="14"/>
      <c r="J268" s="14"/>
      <c r="K268" s="12"/>
    </row>
    <row r="269" ht="19.5" customHeight="1">
      <c r="A269" s="12"/>
      <c r="C269" s="12"/>
      <c r="D269" s="87"/>
      <c r="F269" s="14"/>
      <c r="G269" s="14"/>
      <c r="H269" s="14"/>
      <c r="I269" s="14"/>
      <c r="J269" s="14"/>
      <c r="K269" s="12"/>
    </row>
    <row r="270" ht="19.5" customHeight="1">
      <c r="A270" s="12"/>
      <c r="C270" s="12"/>
      <c r="D270" s="87"/>
      <c r="F270" s="14"/>
      <c r="G270" s="14"/>
      <c r="H270" s="14"/>
      <c r="I270" s="14"/>
      <c r="J270" s="14"/>
      <c r="K270" s="12"/>
    </row>
    <row r="271" ht="19.5" customHeight="1">
      <c r="A271" s="12"/>
      <c r="C271" s="12"/>
      <c r="D271" s="87"/>
      <c r="F271" s="14"/>
      <c r="G271" s="14"/>
      <c r="H271" s="14"/>
      <c r="I271" s="14"/>
      <c r="J271" s="14"/>
      <c r="K271" s="12"/>
    </row>
    <row r="272" ht="19.5" customHeight="1">
      <c r="A272" s="12"/>
      <c r="C272" s="12"/>
      <c r="D272" s="87"/>
      <c r="F272" s="14"/>
      <c r="G272" s="14"/>
      <c r="H272" s="14"/>
      <c r="I272" s="14"/>
      <c r="J272" s="14"/>
      <c r="K272" s="12"/>
    </row>
    <row r="273" ht="19.5" customHeight="1">
      <c r="A273" s="12"/>
      <c r="C273" s="12"/>
      <c r="D273" s="87"/>
      <c r="F273" s="14"/>
      <c r="G273" s="14"/>
      <c r="H273" s="14"/>
      <c r="I273" s="14"/>
      <c r="J273" s="14"/>
      <c r="K273" s="12"/>
    </row>
    <row r="274" ht="19.5" customHeight="1">
      <c r="A274" s="12"/>
      <c r="C274" s="12"/>
      <c r="D274" s="87"/>
      <c r="F274" s="14"/>
      <c r="G274" s="14"/>
      <c r="H274" s="14"/>
      <c r="I274" s="14"/>
      <c r="J274" s="14"/>
      <c r="K274" s="12"/>
    </row>
    <row r="275" ht="19.5" customHeight="1">
      <c r="A275" s="12"/>
      <c r="C275" s="12"/>
      <c r="D275" s="87"/>
      <c r="F275" s="14"/>
      <c r="G275" s="14"/>
      <c r="H275" s="14"/>
      <c r="I275" s="14"/>
      <c r="J275" s="14"/>
      <c r="K275" s="12"/>
    </row>
    <row r="276" ht="19.5" customHeight="1">
      <c r="A276" s="12"/>
      <c r="C276" s="12"/>
      <c r="D276" s="87"/>
      <c r="F276" s="14"/>
      <c r="G276" s="14"/>
      <c r="H276" s="14"/>
      <c r="I276" s="14"/>
      <c r="J276" s="14"/>
      <c r="K276" s="12"/>
    </row>
    <row r="277" ht="19.5" customHeight="1">
      <c r="A277" s="12"/>
      <c r="C277" s="12"/>
      <c r="D277" s="87"/>
      <c r="F277" s="14"/>
      <c r="G277" s="14"/>
      <c r="H277" s="14"/>
      <c r="I277" s="14"/>
      <c r="J277" s="14"/>
      <c r="K277" s="12"/>
    </row>
    <row r="278" ht="19.5" customHeight="1">
      <c r="A278" s="12"/>
      <c r="C278" s="12"/>
      <c r="D278" s="87"/>
      <c r="F278" s="14"/>
      <c r="G278" s="14"/>
      <c r="H278" s="14"/>
      <c r="I278" s="14"/>
      <c r="J278" s="14"/>
      <c r="K278" s="12"/>
    </row>
    <row r="279" ht="19.5" customHeight="1">
      <c r="A279" s="12"/>
      <c r="C279" s="12"/>
      <c r="D279" s="87"/>
      <c r="F279" s="14"/>
      <c r="G279" s="14"/>
      <c r="H279" s="14"/>
      <c r="I279" s="14"/>
      <c r="J279" s="14"/>
      <c r="K279" s="12"/>
    </row>
    <row r="280" ht="19.5" customHeight="1">
      <c r="A280" s="12"/>
      <c r="C280" s="12"/>
      <c r="D280" s="87"/>
      <c r="F280" s="14"/>
      <c r="G280" s="14"/>
      <c r="H280" s="14"/>
      <c r="I280" s="14"/>
      <c r="J280" s="14"/>
      <c r="K280" s="12"/>
    </row>
    <row r="281" ht="19.5" customHeight="1">
      <c r="A281" s="12"/>
      <c r="C281" s="12"/>
      <c r="D281" s="87"/>
      <c r="F281" s="14"/>
      <c r="G281" s="14"/>
      <c r="H281" s="14"/>
      <c r="I281" s="14"/>
      <c r="J281" s="14"/>
      <c r="K281" s="12"/>
    </row>
    <row r="282" ht="19.5" customHeight="1">
      <c r="A282" s="12"/>
      <c r="C282" s="12"/>
      <c r="D282" s="87"/>
      <c r="F282" s="14"/>
      <c r="G282" s="14"/>
      <c r="H282" s="14"/>
      <c r="I282" s="14"/>
      <c r="J282" s="14"/>
      <c r="K282" s="12"/>
    </row>
    <row r="283" ht="19.5" customHeight="1">
      <c r="A283" s="12"/>
      <c r="C283" s="12"/>
      <c r="D283" s="87"/>
      <c r="F283" s="14"/>
      <c r="G283" s="14"/>
      <c r="H283" s="14"/>
      <c r="I283" s="14"/>
      <c r="J283" s="14"/>
      <c r="K283" s="12"/>
    </row>
    <row r="284" ht="19.5" customHeight="1">
      <c r="A284" s="12"/>
      <c r="C284" s="12"/>
      <c r="D284" s="87"/>
      <c r="F284" s="14"/>
      <c r="G284" s="14"/>
      <c r="H284" s="14"/>
      <c r="I284" s="14"/>
      <c r="J284" s="14"/>
      <c r="K284" s="12"/>
    </row>
    <row r="285" ht="19.5" customHeight="1">
      <c r="A285" s="12"/>
      <c r="C285" s="12"/>
      <c r="D285" s="87"/>
      <c r="F285" s="14"/>
      <c r="G285" s="14"/>
      <c r="H285" s="14"/>
      <c r="I285" s="14"/>
      <c r="J285" s="14"/>
      <c r="K285" s="12"/>
    </row>
    <row r="286" ht="19.5" customHeight="1">
      <c r="A286" s="12"/>
      <c r="C286" s="12"/>
      <c r="D286" s="87"/>
      <c r="F286" s="14"/>
      <c r="G286" s="14"/>
      <c r="H286" s="14"/>
      <c r="I286" s="14"/>
      <c r="J286" s="14"/>
      <c r="K286" s="12"/>
    </row>
    <row r="287" ht="19.5" customHeight="1">
      <c r="A287" s="12"/>
      <c r="C287" s="12"/>
      <c r="D287" s="87"/>
      <c r="F287" s="14"/>
      <c r="G287" s="14"/>
      <c r="H287" s="14"/>
      <c r="I287" s="14"/>
      <c r="J287" s="14"/>
      <c r="K287" s="12"/>
    </row>
    <row r="288" ht="19.5" customHeight="1">
      <c r="A288" s="12"/>
      <c r="C288" s="12"/>
      <c r="D288" s="87"/>
      <c r="F288" s="14"/>
      <c r="G288" s="14"/>
      <c r="H288" s="14"/>
      <c r="I288" s="14"/>
      <c r="J288" s="14"/>
      <c r="K288" s="12"/>
    </row>
    <row r="289" ht="19.5" customHeight="1">
      <c r="A289" s="12"/>
      <c r="C289" s="12"/>
      <c r="D289" s="87"/>
      <c r="F289" s="14"/>
      <c r="G289" s="14"/>
      <c r="H289" s="14"/>
      <c r="I289" s="14"/>
      <c r="J289" s="14"/>
      <c r="K289" s="12"/>
    </row>
    <row r="290" ht="19.5" customHeight="1">
      <c r="A290" s="12"/>
      <c r="C290" s="12"/>
      <c r="D290" s="87"/>
      <c r="F290" s="14"/>
      <c r="G290" s="14"/>
      <c r="H290" s="14"/>
      <c r="I290" s="14"/>
      <c r="J290" s="14"/>
      <c r="K290" s="12"/>
    </row>
    <row r="291" ht="19.5" customHeight="1">
      <c r="A291" s="12"/>
      <c r="C291" s="12"/>
      <c r="D291" s="87"/>
      <c r="F291" s="14"/>
      <c r="G291" s="14"/>
      <c r="H291" s="14"/>
      <c r="I291" s="14"/>
      <c r="J291" s="14"/>
      <c r="K291" s="12"/>
    </row>
    <row r="292" ht="19.5" customHeight="1">
      <c r="A292" s="12"/>
      <c r="C292" s="12"/>
      <c r="D292" s="87"/>
      <c r="F292" s="14"/>
      <c r="G292" s="14"/>
      <c r="H292" s="14"/>
      <c r="I292" s="14"/>
      <c r="J292" s="14"/>
      <c r="K292" s="12"/>
    </row>
    <row r="293" ht="19.5" customHeight="1">
      <c r="A293" s="12"/>
      <c r="C293" s="12"/>
      <c r="D293" s="87"/>
      <c r="F293" s="14"/>
      <c r="G293" s="14"/>
      <c r="H293" s="14"/>
      <c r="I293" s="14"/>
      <c r="J293" s="14"/>
      <c r="K293" s="12"/>
    </row>
    <row r="294" ht="19.5" customHeight="1">
      <c r="A294" s="12"/>
      <c r="C294" s="12"/>
      <c r="D294" s="87"/>
      <c r="F294" s="14"/>
      <c r="G294" s="14"/>
      <c r="H294" s="14"/>
      <c r="I294" s="14"/>
      <c r="J294" s="14"/>
      <c r="K294" s="12"/>
    </row>
    <row r="295" ht="19.5" customHeight="1">
      <c r="A295" s="12"/>
      <c r="C295" s="12"/>
      <c r="D295" s="87"/>
      <c r="F295" s="14"/>
      <c r="G295" s="14"/>
      <c r="H295" s="14"/>
      <c r="I295" s="14"/>
      <c r="J295" s="14"/>
      <c r="K295" s="12"/>
    </row>
    <row r="296" ht="19.5" customHeight="1">
      <c r="A296" s="12"/>
      <c r="C296" s="12"/>
      <c r="D296" s="87"/>
      <c r="F296" s="14"/>
      <c r="G296" s="14"/>
      <c r="H296" s="14"/>
      <c r="I296" s="14"/>
      <c r="J296" s="14"/>
      <c r="K296" s="12"/>
    </row>
    <row r="297" ht="19.5" customHeight="1">
      <c r="A297" s="12"/>
      <c r="C297" s="12"/>
      <c r="D297" s="87"/>
      <c r="F297" s="14"/>
      <c r="G297" s="14"/>
      <c r="H297" s="14"/>
      <c r="I297" s="14"/>
      <c r="J297" s="14"/>
      <c r="K297" s="12"/>
    </row>
    <row r="298" ht="19.5" customHeight="1">
      <c r="A298" s="12"/>
      <c r="C298" s="12"/>
      <c r="D298" s="87"/>
      <c r="F298" s="14"/>
      <c r="G298" s="14"/>
      <c r="H298" s="14"/>
      <c r="I298" s="14"/>
      <c r="J298" s="14"/>
      <c r="K298" s="12"/>
    </row>
    <row r="299" ht="19.5" customHeight="1">
      <c r="A299" s="12"/>
      <c r="C299" s="12"/>
      <c r="D299" s="87"/>
      <c r="F299" s="14"/>
      <c r="G299" s="14"/>
      <c r="H299" s="14"/>
      <c r="I299" s="14"/>
      <c r="J299" s="14"/>
      <c r="K299" s="12"/>
    </row>
    <row r="300" ht="19.5" customHeight="1">
      <c r="A300" s="12"/>
      <c r="C300" s="12"/>
      <c r="D300" s="87"/>
      <c r="F300" s="14"/>
      <c r="G300" s="14"/>
      <c r="H300" s="14"/>
      <c r="I300" s="14"/>
      <c r="J300" s="14"/>
      <c r="K300" s="12"/>
    </row>
    <row r="301" ht="19.5" customHeight="1">
      <c r="A301" s="12"/>
      <c r="C301" s="12"/>
      <c r="D301" s="87"/>
      <c r="F301" s="14"/>
      <c r="G301" s="14"/>
      <c r="H301" s="14"/>
      <c r="I301" s="14"/>
      <c r="J301" s="14"/>
      <c r="K301" s="12"/>
    </row>
    <row r="302" ht="19.5" customHeight="1">
      <c r="A302" s="12"/>
      <c r="C302" s="12"/>
      <c r="D302" s="87"/>
      <c r="F302" s="14"/>
      <c r="G302" s="14"/>
      <c r="H302" s="14"/>
      <c r="I302" s="14"/>
      <c r="J302" s="14"/>
      <c r="K302" s="12"/>
    </row>
    <row r="303" ht="19.5" customHeight="1">
      <c r="A303" s="12"/>
      <c r="C303" s="12"/>
      <c r="D303" s="87"/>
      <c r="F303" s="14"/>
      <c r="G303" s="14"/>
      <c r="H303" s="14"/>
      <c r="I303" s="14"/>
      <c r="J303" s="14"/>
      <c r="K303" s="12"/>
    </row>
    <row r="304" ht="19.5" customHeight="1">
      <c r="A304" s="12"/>
      <c r="C304" s="12"/>
      <c r="D304" s="87"/>
      <c r="F304" s="14"/>
      <c r="G304" s="14"/>
      <c r="H304" s="14"/>
      <c r="I304" s="14"/>
      <c r="J304" s="14"/>
      <c r="K304" s="12"/>
    </row>
    <row r="305" ht="19.5" customHeight="1">
      <c r="A305" s="12"/>
      <c r="C305" s="12"/>
      <c r="D305" s="87"/>
      <c r="F305" s="14"/>
      <c r="G305" s="14"/>
      <c r="H305" s="14"/>
      <c r="I305" s="14"/>
      <c r="J305" s="14"/>
      <c r="K305" s="12"/>
    </row>
    <row r="306" ht="19.5" customHeight="1">
      <c r="A306" s="12"/>
      <c r="C306" s="12"/>
      <c r="D306" s="87"/>
      <c r="F306" s="14"/>
      <c r="G306" s="14"/>
      <c r="H306" s="14"/>
      <c r="I306" s="14"/>
      <c r="J306" s="14"/>
      <c r="K306" s="12"/>
    </row>
    <row r="307" ht="19.5" customHeight="1">
      <c r="A307" s="12"/>
      <c r="C307" s="12"/>
      <c r="D307" s="87"/>
      <c r="F307" s="14"/>
      <c r="G307" s="14"/>
      <c r="H307" s="14"/>
      <c r="I307" s="14"/>
      <c r="J307" s="14"/>
      <c r="K307" s="12"/>
    </row>
    <row r="308" ht="19.5" customHeight="1">
      <c r="A308" s="12"/>
      <c r="C308" s="12"/>
      <c r="D308" s="87"/>
      <c r="F308" s="14"/>
      <c r="G308" s="14"/>
      <c r="H308" s="14"/>
      <c r="I308" s="14"/>
      <c r="J308" s="14"/>
      <c r="K308" s="12"/>
    </row>
    <row r="309" ht="19.5" customHeight="1">
      <c r="A309" s="12"/>
      <c r="C309" s="12"/>
      <c r="D309" s="87"/>
      <c r="F309" s="14"/>
      <c r="G309" s="14"/>
      <c r="H309" s="14"/>
      <c r="I309" s="14"/>
      <c r="J309" s="14"/>
      <c r="K309" s="12"/>
    </row>
    <row r="310" ht="19.5" customHeight="1">
      <c r="A310" s="12"/>
      <c r="C310" s="12"/>
      <c r="D310" s="87"/>
      <c r="F310" s="14"/>
      <c r="G310" s="14"/>
      <c r="H310" s="14"/>
      <c r="I310" s="14"/>
      <c r="J310" s="14"/>
      <c r="K310" s="12"/>
    </row>
    <row r="311" ht="19.5" customHeight="1">
      <c r="A311" s="12"/>
      <c r="C311" s="12"/>
      <c r="D311" s="87"/>
      <c r="F311" s="14"/>
      <c r="G311" s="14"/>
      <c r="H311" s="14"/>
      <c r="I311" s="14"/>
      <c r="J311" s="14"/>
      <c r="K311" s="12"/>
    </row>
    <row r="312" ht="19.5" customHeight="1">
      <c r="A312" s="12"/>
      <c r="C312" s="12"/>
      <c r="D312" s="87"/>
      <c r="F312" s="14"/>
      <c r="G312" s="14"/>
      <c r="H312" s="14"/>
      <c r="I312" s="14"/>
      <c r="J312" s="14"/>
      <c r="K312" s="12"/>
    </row>
    <row r="313" ht="19.5" customHeight="1">
      <c r="A313" s="12"/>
      <c r="C313" s="12"/>
      <c r="D313" s="87"/>
      <c r="F313" s="14"/>
      <c r="G313" s="14"/>
      <c r="H313" s="14"/>
      <c r="I313" s="14"/>
      <c r="J313" s="14"/>
      <c r="K313" s="12"/>
    </row>
    <row r="314" ht="19.5" customHeight="1">
      <c r="A314" s="12"/>
      <c r="C314" s="12"/>
      <c r="D314" s="87"/>
      <c r="F314" s="14"/>
      <c r="G314" s="14"/>
      <c r="H314" s="14"/>
      <c r="I314" s="14"/>
      <c r="J314" s="14"/>
      <c r="K314" s="12"/>
    </row>
    <row r="315" ht="19.5" customHeight="1">
      <c r="A315" s="12"/>
      <c r="C315" s="12"/>
      <c r="D315" s="87"/>
      <c r="F315" s="14"/>
      <c r="G315" s="14"/>
      <c r="H315" s="14"/>
      <c r="I315" s="14"/>
      <c r="J315" s="14"/>
      <c r="K315" s="12"/>
    </row>
    <row r="316" ht="19.5" customHeight="1">
      <c r="A316" s="12"/>
      <c r="C316" s="12"/>
      <c r="D316" s="87"/>
      <c r="F316" s="14"/>
      <c r="G316" s="14"/>
      <c r="H316" s="14"/>
      <c r="I316" s="14"/>
      <c r="J316" s="14"/>
      <c r="K316" s="12"/>
    </row>
    <row r="317" ht="19.5" customHeight="1">
      <c r="A317" s="12"/>
      <c r="C317" s="12"/>
      <c r="D317" s="87"/>
      <c r="F317" s="14"/>
      <c r="G317" s="14"/>
      <c r="H317" s="14"/>
      <c r="I317" s="14"/>
      <c r="J317" s="14"/>
      <c r="K317" s="12"/>
    </row>
    <row r="318" ht="19.5" customHeight="1">
      <c r="A318" s="12"/>
      <c r="C318" s="12"/>
      <c r="D318" s="87"/>
      <c r="F318" s="14"/>
      <c r="G318" s="14"/>
      <c r="H318" s="14"/>
      <c r="I318" s="14"/>
      <c r="J318" s="14"/>
      <c r="K318" s="12"/>
    </row>
    <row r="319" ht="19.5" customHeight="1">
      <c r="A319" s="12"/>
      <c r="C319" s="12"/>
      <c r="D319" s="87"/>
      <c r="F319" s="14"/>
      <c r="G319" s="14"/>
      <c r="H319" s="14"/>
      <c r="I319" s="14"/>
      <c r="J319" s="14"/>
      <c r="K319" s="12"/>
    </row>
    <row r="320" ht="19.5" customHeight="1">
      <c r="A320" s="12"/>
      <c r="C320" s="12"/>
      <c r="D320" s="87"/>
      <c r="F320" s="14"/>
      <c r="G320" s="14"/>
      <c r="H320" s="14"/>
      <c r="I320" s="14"/>
      <c r="J320" s="14"/>
      <c r="K320" s="12"/>
    </row>
    <row r="321" ht="19.5" customHeight="1">
      <c r="A321" s="12"/>
      <c r="C321" s="12"/>
      <c r="D321" s="87"/>
      <c r="F321" s="14"/>
      <c r="G321" s="14"/>
      <c r="H321" s="14"/>
      <c r="I321" s="14"/>
      <c r="J321" s="14"/>
      <c r="K321" s="12"/>
    </row>
    <row r="322" ht="19.5" customHeight="1">
      <c r="A322" s="12"/>
      <c r="C322" s="12"/>
      <c r="D322" s="87"/>
      <c r="F322" s="14"/>
      <c r="G322" s="14"/>
      <c r="H322" s="14"/>
      <c r="I322" s="14"/>
      <c r="J322" s="14"/>
      <c r="K322" s="12"/>
    </row>
    <row r="323" ht="19.5" customHeight="1">
      <c r="A323" s="12"/>
      <c r="C323" s="12"/>
      <c r="D323" s="87"/>
      <c r="F323" s="14"/>
      <c r="G323" s="14"/>
      <c r="H323" s="14"/>
      <c r="I323" s="14"/>
      <c r="J323" s="14"/>
      <c r="K323" s="12"/>
    </row>
    <row r="324" ht="19.5" customHeight="1">
      <c r="A324" s="12"/>
      <c r="C324" s="12"/>
      <c r="D324" s="87"/>
      <c r="F324" s="14"/>
      <c r="G324" s="14"/>
      <c r="H324" s="14"/>
      <c r="I324" s="14"/>
      <c r="J324" s="14"/>
      <c r="K324" s="12"/>
    </row>
    <row r="325" ht="19.5" customHeight="1">
      <c r="A325" s="12"/>
      <c r="C325" s="12"/>
      <c r="D325" s="87"/>
      <c r="F325" s="14"/>
      <c r="G325" s="14"/>
      <c r="H325" s="14"/>
      <c r="I325" s="14"/>
      <c r="J325" s="14"/>
      <c r="K325" s="12"/>
    </row>
    <row r="326" ht="19.5" customHeight="1">
      <c r="A326" s="12"/>
      <c r="C326" s="12"/>
      <c r="D326" s="87"/>
      <c r="F326" s="14"/>
      <c r="G326" s="14"/>
      <c r="H326" s="14"/>
      <c r="I326" s="14"/>
      <c r="J326" s="14"/>
      <c r="K326" s="12"/>
    </row>
    <row r="327" ht="19.5" customHeight="1">
      <c r="A327" s="12"/>
      <c r="C327" s="12"/>
      <c r="D327" s="87"/>
      <c r="F327" s="14"/>
      <c r="G327" s="14"/>
      <c r="H327" s="14"/>
      <c r="I327" s="14"/>
      <c r="J327" s="14"/>
      <c r="K327" s="12"/>
    </row>
    <row r="328" ht="19.5" customHeight="1">
      <c r="A328" s="12"/>
      <c r="C328" s="12"/>
      <c r="D328" s="87"/>
      <c r="F328" s="14"/>
      <c r="G328" s="14"/>
      <c r="H328" s="14"/>
      <c r="I328" s="14"/>
      <c r="J328" s="14"/>
      <c r="K328" s="12"/>
    </row>
    <row r="329" ht="19.5" customHeight="1">
      <c r="A329" s="12"/>
      <c r="C329" s="12"/>
      <c r="D329" s="87"/>
      <c r="F329" s="14"/>
      <c r="G329" s="14"/>
      <c r="H329" s="14"/>
      <c r="I329" s="14"/>
      <c r="J329" s="14"/>
      <c r="K329" s="12"/>
    </row>
    <row r="330" ht="19.5" customHeight="1">
      <c r="A330" s="12"/>
      <c r="C330" s="12"/>
      <c r="D330" s="87"/>
      <c r="F330" s="14"/>
      <c r="G330" s="14"/>
      <c r="H330" s="14"/>
      <c r="I330" s="14"/>
      <c r="J330" s="14"/>
      <c r="K330" s="12"/>
    </row>
    <row r="331" ht="19.5" customHeight="1">
      <c r="A331" s="12"/>
      <c r="C331" s="12"/>
      <c r="D331" s="87"/>
      <c r="F331" s="14"/>
      <c r="G331" s="14"/>
      <c r="H331" s="14"/>
      <c r="I331" s="14"/>
      <c r="J331" s="14"/>
      <c r="K331" s="12"/>
    </row>
    <row r="332" ht="19.5" customHeight="1">
      <c r="A332" s="12"/>
      <c r="C332" s="12"/>
      <c r="D332" s="87"/>
      <c r="F332" s="14"/>
      <c r="G332" s="14"/>
      <c r="H332" s="14"/>
      <c r="I332" s="14"/>
      <c r="J332" s="14"/>
      <c r="K332" s="12"/>
    </row>
    <row r="333" ht="19.5" customHeight="1">
      <c r="A333" s="12"/>
      <c r="C333" s="12"/>
      <c r="D333" s="87"/>
      <c r="F333" s="14"/>
      <c r="G333" s="14"/>
      <c r="H333" s="14"/>
      <c r="I333" s="14"/>
      <c r="J333" s="14"/>
      <c r="K333" s="12"/>
    </row>
    <row r="334" ht="19.5" customHeight="1">
      <c r="A334" s="12"/>
      <c r="C334" s="12"/>
      <c r="D334" s="87"/>
      <c r="F334" s="14"/>
      <c r="G334" s="14"/>
      <c r="H334" s="14"/>
      <c r="I334" s="14"/>
      <c r="J334" s="14"/>
      <c r="K334" s="12"/>
    </row>
    <row r="335" ht="19.5" customHeight="1">
      <c r="A335" s="12"/>
      <c r="C335" s="12"/>
      <c r="D335" s="87"/>
      <c r="F335" s="14"/>
      <c r="G335" s="14"/>
      <c r="H335" s="14"/>
      <c r="I335" s="14"/>
      <c r="J335" s="14"/>
      <c r="K335" s="12"/>
    </row>
    <row r="336" ht="19.5" customHeight="1">
      <c r="A336" s="12"/>
      <c r="C336" s="12"/>
      <c r="D336" s="87"/>
      <c r="F336" s="14"/>
      <c r="G336" s="14"/>
      <c r="H336" s="14"/>
      <c r="I336" s="14"/>
      <c r="J336" s="14"/>
      <c r="K336" s="12"/>
    </row>
    <row r="337" ht="19.5" customHeight="1">
      <c r="A337" s="12"/>
      <c r="C337" s="12"/>
      <c r="D337" s="87"/>
      <c r="F337" s="14"/>
      <c r="G337" s="14"/>
      <c r="H337" s="14"/>
      <c r="I337" s="14"/>
      <c r="J337" s="14"/>
      <c r="K337" s="12"/>
    </row>
    <row r="338" ht="19.5" customHeight="1">
      <c r="A338" s="12"/>
      <c r="C338" s="12"/>
      <c r="D338" s="87"/>
      <c r="F338" s="14"/>
      <c r="G338" s="14"/>
      <c r="H338" s="14"/>
      <c r="I338" s="14"/>
      <c r="J338" s="14"/>
      <c r="K338" s="12"/>
    </row>
    <row r="339" ht="19.5" customHeight="1">
      <c r="A339" s="12"/>
      <c r="C339" s="12"/>
      <c r="D339" s="87"/>
      <c r="F339" s="14"/>
      <c r="G339" s="14"/>
      <c r="H339" s="14"/>
      <c r="I339" s="14"/>
      <c r="J339" s="14"/>
      <c r="K339" s="12"/>
    </row>
    <row r="340" ht="19.5" customHeight="1">
      <c r="A340" s="12"/>
      <c r="C340" s="12"/>
      <c r="D340" s="87"/>
      <c r="F340" s="14"/>
      <c r="G340" s="14"/>
      <c r="H340" s="14"/>
      <c r="I340" s="14"/>
      <c r="J340" s="14"/>
      <c r="K340" s="12"/>
    </row>
    <row r="341" ht="19.5" customHeight="1">
      <c r="A341" s="12"/>
      <c r="C341" s="12"/>
      <c r="D341" s="87"/>
      <c r="F341" s="14"/>
      <c r="G341" s="14"/>
      <c r="H341" s="14"/>
      <c r="I341" s="14"/>
      <c r="J341" s="14"/>
      <c r="K341" s="12"/>
    </row>
    <row r="342" ht="19.5" customHeight="1">
      <c r="A342" s="12"/>
      <c r="C342" s="12"/>
      <c r="D342" s="87"/>
      <c r="F342" s="14"/>
      <c r="G342" s="14"/>
      <c r="H342" s="14"/>
      <c r="I342" s="14"/>
      <c r="J342" s="14"/>
      <c r="K342" s="12"/>
    </row>
    <row r="343" ht="19.5" customHeight="1">
      <c r="A343" s="12"/>
      <c r="C343" s="12"/>
      <c r="D343" s="87"/>
      <c r="F343" s="14"/>
      <c r="G343" s="14"/>
      <c r="H343" s="14"/>
      <c r="I343" s="14"/>
      <c r="J343" s="14"/>
      <c r="K343" s="12"/>
    </row>
    <row r="344" ht="19.5" customHeight="1">
      <c r="A344" s="12"/>
      <c r="C344" s="12"/>
      <c r="D344" s="87"/>
      <c r="F344" s="14"/>
      <c r="G344" s="14"/>
      <c r="H344" s="14"/>
      <c r="I344" s="14"/>
      <c r="J344" s="14"/>
      <c r="K344" s="12"/>
    </row>
    <row r="345" ht="19.5" customHeight="1">
      <c r="A345" s="12"/>
      <c r="C345" s="12"/>
      <c r="D345" s="87"/>
      <c r="F345" s="14"/>
      <c r="G345" s="14"/>
      <c r="H345" s="14"/>
      <c r="I345" s="14"/>
      <c r="J345" s="14"/>
      <c r="K345" s="12"/>
    </row>
    <row r="346" ht="19.5" customHeight="1">
      <c r="A346" s="12"/>
      <c r="C346" s="12"/>
      <c r="D346" s="87"/>
      <c r="F346" s="14"/>
      <c r="G346" s="14"/>
      <c r="H346" s="14"/>
      <c r="I346" s="14"/>
      <c r="J346" s="14"/>
      <c r="K346" s="12"/>
    </row>
    <row r="347" ht="19.5" customHeight="1">
      <c r="A347" s="12"/>
      <c r="C347" s="12"/>
      <c r="D347" s="87"/>
      <c r="F347" s="14"/>
      <c r="G347" s="14"/>
      <c r="H347" s="14"/>
      <c r="I347" s="14"/>
      <c r="J347" s="14"/>
      <c r="K347" s="12"/>
    </row>
    <row r="348" ht="19.5" customHeight="1">
      <c r="A348" s="12"/>
      <c r="C348" s="12"/>
      <c r="D348" s="87"/>
      <c r="F348" s="14"/>
      <c r="G348" s="14"/>
      <c r="H348" s="14"/>
      <c r="I348" s="14"/>
      <c r="J348" s="14"/>
      <c r="K348" s="12"/>
    </row>
    <row r="349" ht="19.5" customHeight="1">
      <c r="A349" s="12"/>
      <c r="C349" s="12"/>
      <c r="D349" s="87"/>
      <c r="F349" s="14"/>
      <c r="G349" s="14"/>
      <c r="H349" s="14"/>
      <c r="I349" s="14"/>
      <c r="J349" s="14"/>
      <c r="K349" s="12"/>
    </row>
    <row r="350" ht="19.5" customHeight="1">
      <c r="A350" s="12"/>
      <c r="C350" s="12"/>
      <c r="D350" s="87"/>
      <c r="F350" s="14"/>
      <c r="G350" s="14"/>
      <c r="H350" s="14"/>
      <c r="I350" s="14"/>
      <c r="J350" s="14"/>
      <c r="K350" s="12"/>
    </row>
    <row r="351" ht="19.5" customHeight="1">
      <c r="A351" s="12"/>
      <c r="C351" s="12"/>
      <c r="D351" s="87"/>
      <c r="F351" s="14"/>
      <c r="G351" s="14"/>
      <c r="H351" s="14"/>
      <c r="I351" s="14"/>
      <c r="J351" s="14"/>
      <c r="K351" s="12"/>
    </row>
    <row r="352" ht="19.5" customHeight="1">
      <c r="A352" s="12"/>
      <c r="C352" s="12"/>
      <c r="D352" s="87"/>
      <c r="F352" s="14"/>
      <c r="G352" s="14"/>
      <c r="H352" s="14"/>
      <c r="I352" s="14"/>
      <c r="J352" s="14"/>
      <c r="K352" s="12"/>
    </row>
    <row r="353" ht="19.5" customHeight="1">
      <c r="A353" s="12"/>
      <c r="C353" s="12"/>
      <c r="D353" s="87"/>
      <c r="F353" s="14"/>
      <c r="G353" s="14"/>
      <c r="H353" s="14"/>
      <c r="I353" s="14"/>
      <c r="J353" s="14"/>
      <c r="K353" s="12"/>
    </row>
    <row r="354" ht="19.5" customHeight="1">
      <c r="A354" s="12"/>
      <c r="C354" s="12"/>
      <c r="D354" s="87"/>
      <c r="F354" s="14"/>
      <c r="G354" s="14"/>
      <c r="H354" s="14"/>
      <c r="I354" s="14"/>
      <c r="J354" s="14"/>
      <c r="K354" s="12"/>
    </row>
    <row r="355" ht="19.5" customHeight="1">
      <c r="A355" s="12"/>
      <c r="C355" s="12"/>
      <c r="D355" s="87"/>
      <c r="F355" s="14"/>
      <c r="G355" s="14"/>
      <c r="H355" s="14"/>
      <c r="I355" s="14"/>
      <c r="J355" s="14"/>
      <c r="K355" s="12"/>
    </row>
    <row r="356" ht="19.5" customHeight="1">
      <c r="A356" s="12"/>
      <c r="C356" s="12"/>
      <c r="D356" s="87"/>
      <c r="F356" s="14"/>
      <c r="G356" s="14"/>
      <c r="H356" s="14"/>
      <c r="I356" s="14"/>
      <c r="J356" s="14"/>
      <c r="K356" s="12"/>
    </row>
    <row r="357" ht="19.5" customHeight="1">
      <c r="A357" s="12"/>
      <c r="C357" s="12"/>
      <c r="D357" s="87"/>
      <c r="F357" s="14"/>
      <c r="G357" s="14"/>
      <c r="H357" s="14"/>
      <c r="I357" s="14"/>
      <c r="J357" s="14"/>
      <c r="K357" s="12"/>
    </row>
    <row r="358" ht="19.5" customHeight="1">
      <c r="A358" s="12"/>
      <c r="C358" s="12"/>
      <c r="D358" s="87"/>
      <c r="F358" s="14"/>
      <c r="G358" s="14"/>
      <c r="H358" s="14"/>
      <c r="I358" s="14"/>
      <c r="J358" s="14"/>
      <c r="K358" s="12"/>
    </row>
    <row r="359" ht="19.5" customHeight="1">
      <c r="A359" s="12"/>
      <c r="C359" s="12"/>
      <c r="D359" s="87"/>
      <c r="F359" s="14"/>
      <c r="G359" s="14"/>
      <c r="H359" s="14"/>
      <c r="I359" s="14"/>
      <c r="J359" s="14"/>
      <c r="K359" s="12"/>
    </row>
    <row r="360" ht="19.5" customHeight="1">
      <c r="A360" s="12"/>
      <c r="C360" s="12"/>
      <c r="D360" s="87"/>
      <c r="F360" s="14"/>
      <c r="G360" s="14"/>
      <c r="H360" s="14"/>
      <c r="I360" s="14"/>
      <c r="J360" s="14"/>
      <c r="K360" s="12"/>
    </row>
    <row r="361" ht="19.5" customHeight="1">
      <c r="A361" s="12"/>
      <c r="C361" s="12"/>
      <c r="D361" s="87"/>
      <c r="F361" s="14"/>
      <c r="G361" s="14"/>
      <c r="H361" s="14"/>
      <c r="I361" s="14"/>
      <c r="J361" s="14"/>
      <c r="K361" s="12"/>
    </row>
    <row r="362" ht="19.5" customHeight="1">
      <c r="A362" s="12"/>
      <c r="C362" s="12"/>
      <c r="D362" s="87"/>
      <c r="F362" s="14"/>
      <c r="G362" s="14"/>
      <c r="H362" s="14"/>
      <c r="I362" s="14"/>
      <c r="J362" s="14"/>
      <c r="K362" s="12"/>
    </row>
    <row r="363" ht="19.5" customHeight="1">
      <c r="A363" s="12"/>
      <c r="C363" s="12"/>
      <c r="D363" s="87"/>
      <c r="F363" s="14"/>
      <c r="G363" s="14"/>
      <c r="H363" s="14"/>
      <c r="I363" s="14"/>
      <c r="J363" s="14"/>
      <c r="K363" s="12"/>
    </row>
    <row r="364" ht="19.5" customHeight="1">
      <c r="A364" s="12"/>
      <c r="C364" s="12"/>
      <c r="D364" s="87"/>
      <c r="F364" s="14"/>
      <c r="G364" s="14"/>
      <c r="H364" s="14"/>
      <c r="I364" s="14"/>
      <c r="J364" s="14"/>
      <c r="K364" s="12"/>
    </row>
    <row r="365" ht="19.5" customHeight="1">
      <c r="A365" s="12"/>
      <c r="C365" s="12"/>
      <c r="D365" s="87"/>
      <c r="F365" s="14"/>
      <c r="G365" s="14"/>
      <c r="H365" s="14"/>
      <c r="I365" s="14"/>
      <c r="J365" s="14"/>
      <c r="K365" s="12"/>
    </row>
    <row r="366" ht="19.5" customHeight="1">
      <c r="A366" s="12"/>
      <c r="C366" s="12"/>
      <c r="D366" s="87"/>
      <c r="F366" s="14"/>
      <c r="G366" s="14"/>
      <c r="H366" s="14"/>
      <c r="I366" s="14"/>
      <c r="J366" s="14"/>
      <c r="K366" s="12"/>
    </row>
    <row r="367" ht="19.5" customHeight="1">
      <c r="A367" s="12"/>
      <c r="C367" s="12"/>
      <c r="D367" s="87"/>
      <c r="F367" s="14"/>
      <c r="G367" s="14"/>
      <c r="H367" s="14"/>
      <c r="I367" s="14"/>
      <c r="J367" s="14"/>
      <c r="K367" s="12"/>
    </row>
    <row r="368" ht="19.5" customHeight="1">
      <c r="A368" s="12"/>
      <c r="C368" s="12"/>
      <c r="D368" s="87"/>
      <c r="F368" s="14"/>
      <c r="G368" s="14"/>
      <c r="H368" s="14"/>
      <c r="I368" s="14"/>
      <c r="J368" s="14"/>
      <c r="K368" s="12"/>
    </row>
    <row r="369" ht="19.5" customHeight="1">
      <c r="A369" s="12"/>
      <c r="C369" s="12"/>
      <c r="D369" s="87"/>
      <c r="F369" s="14"/>
      <c r="G369" s="14"/>
      <c r="H369" s="14"/>
      <c r="I369" s="14"/>
      <c r="J369" s="14"/>
      <c r="K369" s="12"/>
    </row>
    <row r="370" ht="19.5" customHeight="1">
      <c r="A370" s="12"/>
      <c r="C370" s="12"/>
      <c r="D370" s="87"/>
      <c r="F370" s="14"/>
      <c r="G370" s="14"/>
      <c r="H370" s="14"/>
      <c r="I370" s="14"/>
      <c r="J370" s="14"/>
      <c r="K370" s="12"/>
    </row>
    <row r="371" ht="19.5" customHeight="1">
      <c r="A371" s="12"/>
      <c r="C371" s="12"/>
      <c r="D371" s="87"/>
      <c r="F371" s="14"/>
      <c r="G371" s="14"/>
      <c r="H371" s="14"/>
      <c r="I371" s="14"/>
      <c r="J371" s="14"/>
      <c r="K371" s="12"/>
    </row>
    <row r="372" ht="19.5" customHeight="1">
      <c r="A372" s="12"/>
      <c r="C372" s="12"/>
      <c r="D372" s="87"/>
      <c r="F372" s="14"/>
      <c r="G372" s="14"/>
      <c r="H372" s="14"/>
      <c r="I372" s="14"/>
      <c r="J372" s="14"/>
      <c r="K372" s="12"/>
    </row>
    <row r="373" ht="19.5" customHeight="1">
      <c r="A373" s="12"/>
      <c r="C373" s="12"/>
      <c r="D373" s="87"/>
      <c r="F373" s="14"/>
      <c r="G373" s="14"/>
      <c r="H373" s="14"/>
      <c r="I373" s="14"/>
      <c r="J373" s="14"/>
      <c r="K373" s="12"/>
    </row>
    <row r="374" ht="19.5" customHeight="1">
      <c r="A374" s="12"/>
      <c r="C374" s="12"/>
      <c r="D374" s="87"/>
      <c r="F374" s="14"/>
      <c r="G374" s="14"/>
      <c r="H374" s="14"/>
      <c r="I374" s="14"/>
      <c r="J374" s="14"/>
      <c r="K374" s="12"/>
    </row>
    <row r="375" ht="19.5" customHeight="1">
      <c r="A375" s="12"/>
      <c r="C375" s="12"/>
      <c r="D375" s="87"/>
      <c r="F375" s="14"/>
      <c r="G375" s="14"/>
      <c r="H375" s="14"/>
      <c r="I375" s="14"/>
      <c r="J375" s="14"/>
      <c r="K375" s="12"/>
    </row>
    <row r="376" ht="19.5" customHeight="1">
      <c r="A376" s="12"/>
      <c r="C376" s="12"/>
      <c r="D376" s="87"/>
      <c r="F376" s="14"/>
      <c r="G376" s="14"/>
      <c r="H376" s="14"/>
      <c r="I376" s="14"/>
      <c r="J376" s="14"/>
      <c r="K376" s="12"/>
    </row>
    <row r="377" ht="19.5" customHeight="1">
      <c r="A377" s="12"/>
      <c r="C377" s="12"/>
      <c r="D377" s="87"/>
      <c r="F377" s="14"/>
      <c r="G377" s="14"/>
      <c r="H377" s="14"/>
      <c r="I377" s="14"/>
      <c r="J377" s="14"/>
      <c r="K377" s="12"/>
    </row>
    <row r="378" ht="19.5" customHeight="1">
      <c r="A378" s="12"/>
      <c r="C378" s="12"/>
      <c r="D378" s="87"/>
      <c r="F378" s="14"/>
      <c r="G378" s="14"/>
      <c r="H378" s="14"/>
      <c r="I378" s="14"/>
      <c r="J378" s="14"/>
      <c r="K378" s="12"/>
    </row>
    <row r="379" ht="19.5" customHeight="1">
      <c r="A379" s="12"/>
      <c r="C379" s="12"/>
      <c r="D379" s="87"/>
      <c r="F379" s="14"/>
      <c r="G379" s="14"/>
      <c r="H379" s="14"/>
      <c r="I379" s="14"/>
      <c r="J379" s="14"/>
      <c r="K379" s="12"/>
    </row>
    <row r="380" ht="19.5" customHeight="1">
      <c r="A380" s="12"/>
      <c r="C380" s="12"/>
      <c r="D380" s="87"/>
      <c r="F380" s="14"/>
      <c r="G380" s="14"/>
      <c r="H380" s="14"/>
      <c r="I380" s="14"/>
      <c r="J380" s="14"/>
      <c r="K380" s="12"/>
    </row>
    <row r="381" ht="19.5" customHeight="1">
      <c r="A381" s="12"/>
      <c r="C381" s="12"/>
      <c r="D381" s="87"/>
      <c r="F381" s="14"/>
      <c r="G381" s="14"/>
      <c r="H381" s="14"/>
      <c r="I381" s="14"/>
      <c r="J381" s="14"/>
      <c r="K381" s="12"/>
    </row>
    <row r="382" ht="19.5" customHeight="1">
      <c r="A382" s="12"/>
      <c r="C382" s="12"/>
      <c r="D382" s="87"/>
      <c r="F382" s="14"/>
      <c r="G382" s="14"/>
      <c r="H382" s="14"/>
      <c r="I382" s="14"/>
      <c r="J382" s="14"/>
      <c r="K382" s="12"/>
    </row>
    <row r="383" ht="19.5" customHeight="1">
      <c r="A383" s="12"/>
      <c r="C383" s="12"/>
      <c r="D383" s="87"/>
      <c r="F383" s="14"/>
      <c r="G383" s="14"/>
      <c r="H383" s="14"/>
      <c r="I383" s="14"/>
      <c r="J383" s="14"/>
      <c r="K383" s="12"/>
    </row>
    <row r="384" ht="19.5" customHeight="1">
      <c r="A384" s="12"/>
      <c r="C384" s="12"/>
      <c r="D384" s="87"/>
      <c r="F384" s="14"/>
      <c r="G384" s="14"/>
      <c r="H384" s="14"/>
      <c r="I384" s="14"/>
      <c r="J384" s="14"/>
      <c r="K384" s="12"/>
    </row>
    <row r="385" ht="19.5" customHeight="1">
      <c r="A385" s="12"/>
      <c r="C385" s="12"/>
      <c r="D385" s="87"/>
      <c r="F385" s="14"/>
      <c r="G385" s="14"/>
      <c r="H385" s="14"/>
      <c r="I385" s="14"/>
      <c r="J385" s="14"/>
      <c r="K385" s="12"/>
    </row>
    <row r="386" ht="19.5" customHeight="1">
      <c r="A386" s="12"/>
      <c r="C386" s="12"/>
      <c r="D386" s="87"/>
      <c r="F386" s="14"/>
      <c r="G386" s="14"/>
      <c r="H386" s="14"/>
      <c r="I386" s="14"/>
      <c r="J386" s="14"/>
      <c r="K386" s="12"/>
    </row>
    <row r="387" ht="19.5" customHeight="1">
      <c r="A387" s="12"/>
      <c r="C387" s="12"/>
      <c r="D387" s="87"/>
      <c r="F387" s="14"/>
      <c r="G387" s="14"/>
      <c r="H387" s="14"/>
      <c r="I387" s="14"/>
      <c r="J387" s="14"/>
      <c r="K387" s="12"/>
    </row>
    <row r="388" ht="19.5" customHeight="1">
      <c r="A388" s="12"/>
      <c r="C388" s="12"/>
      <c r="D388" s="87"/>
      <c r="F388" s="14"/>
      <c r="G388" s="14"/>
      <c r="H388" s="14"/>
      <c r="I388" s="14"/>
      <c r="J388" s="14"/>
      <c r="K388" s="12"/>
    </row>
    <row r="389" ht="19.5" customHeight="1">
      <c r="A389" s="12"/>
      <c r="C389" s="12"/>
      <c r="D389" s="87"/>
      <c r="F389" s="14"/>
      <c r="G389" s="14"/>
      <c r="H389" s="14"/>
      <c r="I389" s="14"/>
      <c r="J389" s="14"/>
      <c r="K389" s="12"/>
    </row>
    <row r="390" ht="19.5" customHeight="1">
      <c r="A390" s="12"/>
      <c r="C390" s="12"/>
      <c r="D390" s="87"/>
      <c r="F390" s="14"/>
      <c r="G390" s="14"/>
      <c r="H390" s="14"/>
      <c r="I390" s="14"/>
      <c r="J390" s="14"/>
      <c r="K390" s="12"/>
    </row>
    <row r="391" ht="19.5" customHeight="1">
      <c r="A391" s="12"/>
      <c r="C391" s="12"/>
      <c r="D391" s="87"/>
      <c r="F391" s="14"/>
      <c r="G391" s="14"/>
      <c r="H391" s="14"/>
      <c r="I391" s="14"/>
      <c r="J391" s="14"/>
      <c r="K391" s="12"/>
    </row>
    <row r="392" ht="19.5" customHeight="1">
      <c r="A392" s="12"/>
      <c r="C392" s="12"/>
      <c r="D392" s="87"/>
      <c r="F392" s="14"/>
      <c r="G392" s="14"/>
      <c r="H392" s="14"/>
      <c r="I392" s="14"/>
      <c r="J392" s="14"/>
      <c r="K392" s="12"/>
    </row>
    <row r="393" ht="19.5" customHeight="1">
      <c r="A393" s="12"/>
      <c r="C393" s="12"/>
      <c r="D393" s="87"/>
      <c r="F393" s="14"/>
      <c r="G393" s="14"/>
      <c r="H393" s="14"/>
      <c r="I393" s="14"/>
      <c r="J393" s="14"/>
      <c r="K393" s="12"/>
    </row>
    <row r="394" ht="19.5" customHeight="1">
      <c r="A394" s="12"/>
      <c r="C394" s="12"/>
      <c r="D394" s="87"/>
      <c r="F394" s="14"/>
      <c r="G394" s="14"/>
      <c r="H394" s="14"/>
      <c r="I394" s="14"/>
      <c r="J394" s="14"/>
      <c r="K394" s="12"/>
    </row>
    <row r="395" ht="19.5" customHeight="1">
      <c r="A395" s="12"/>
      <c r="C395" s="12"/>
      <c r="D395" s="87"/>
      <c r="F395" s="14"/>
      <c r="G395" s="14"/>
      <c r="H395" s="14"/>
      <c r="I395" s="14"/>
      <c r="J395" s="14"/>
      <c r="K395" s="12"/>
    </row>
    <row r="396" ht="19.5" customHeight="1">
      <c r="A396" s="12"/>
      <c r="C396" s="12"/>
      <c r="D396" s="87"/>
      <c r="F396" s="14"/>
      <c r="G396" s="14"/>
      <c r="H396" s="14"/>
      <c r="I396" s="14"/>
      <c r="J396" s="14"/>
      <c r="K396" s="12"/>
    </row>
    <row r="397" ht="19.5" customHeight="1">
      <c r="A397" s="12"/>
      <c r="C397" s="12"/>
      <c r="D397" s="87"/>
      <c r="F397" s="14"/>
      <c r="G397" s="14"/>
      <c r="H397" s="14"/>
      <c r="I397" s="14"/>
      <c r="J397" s="14"/>
      <c r="K397" s="12"/>
    </row>
    <row r="398" ht="19.5" customHeight="1">
      <c r="A398" s="12"/>
      <c r="C398" s="12"/>
      <c r="D398" s="87"/>
      <c r="F398" s="14"/>
      <c r="G398" s="14"/>
      <c r="H398" s="14"/>
      <c r="I398" s="14"/>
      <c r="J398" s="14"/>
      <c r="K398" s="12"/>
    </row>
    <row r="399" ht="19.5" customHeight="1">
      <c r="A399" s="12"/>
      <c r="C399" s="12"/>
      <c r="D399" s="87"/>
      <c r="F399" s="14"/>
      <c r="G399" s="14"/>
      <c r="H399" s="14"/>
      <c r="I399" s="14"/>
      <c r="J399" s="14"/>
      <c r="K399" s="12"/>
    </row>
    <row r="400" ht="19.5" customHeight="1">
      <c r="A400" s="12"/>
      <c r="C400" s="12"/>
      <c r="D400" s="87"/>
      <c r="F400" s="14"/>
      <c r="G400" s="14"/>
      <c r="H400" s="14"/>
      <c r="I400" s="14"/>
      <c r="J400" s="14"/>
      <c r="K400" s="12"/>
    </row>
    <row r="401" ht="19.5" customHeight="1">
      <c r="A401" s="12"/>
      <c r="C401" s="12"/>
      <c r="D401" s="87"/>
      <c r="F401" s="14"/>
      <c r="G401" s="14"/>
      <c r="H401" s="14"/>
      <c r="I401" s="14"/>
      <c r="J401" s="14"/>
      <c r="K401" s="12"/>
    </row>
    <row r="402" ht="19.5" customHeight="1">
      <c r="A402" s="12"/>
      <c r="C402" s="12"/>
      <c r="D402" s="87"/>
      <c r="F402" s="14"/>
      <c r="G402" s="14"/>
      <c r="H402" s="14"/>
      <c r="I402" s="14"/>
      <c r="J402" s="14"/>
      <c r="K402" s="12"/>
    </row>
    <row r="403" ht="19.5" customHeight="1">
      <c r="A403" s="12"/>
      <c r="C403" s="12"/>
      <c r="D403" s="87"/>
      <c r="F403" s="14"/>
      <c r="G403" s="14"/>
      <c r="H403" s="14"/>
      <c r="I403" s="14"/>
      <c r="J403" s="14"/>
      <c r="K403" s="12"/>
    </row>
    <row r="404" ht="19.5" customHeight="1">
      <c r="A404" s="12"/>
      <c r="C404" s="12"/>
      <c r="D404" s="87"/>
      <c r="F404" s="14"/>
      <c r="G404" s="14"/>
      <c r="H404" s="14"/>
      <c r="I404" s="14"/>
      <c r="J404" s="14"/>
      <c r="K404" s="12"/>
    </row>
    <row r="405" ht="19.5" customHeight="1">
      <c r="A405" s="12"/>
      <c r="C405" s="12"/>
      <c r="D405" s="87"/>
      <c r="F405" s="14"/>
      <c r="G405" s="14"/>
      <c r="H405" s="14"/>
      <c r="I405" s="14"/>
      <c r="J405" s="14"/>
      <c r="K405" s="12"/>
    </row>
    <row r="406" ht="19.5" customHeight="1">
      <c r="A406" s="12"/>
      <c r="C406" s="12"/>
      <c r="D406" s="87"/>
      <c r="F406" s="14"/>
      <c r="G406" s="14"/>
      <c r="H406" s="14"/>
      <c r="I406" s="14"/>
      <c r="J406" s="14"/>
      <c r="K406" s="12"/>
    </row>
    <row r="407" ht="19.5" customHeight="1">
      <c r="A407" s="12"/>
      <c r="C407" s="12"/>
      <c r="D407" s="87"/>
      <c r="F407" s="14"/>
      <c r="G407" s="14"/>
      <c r="H407" s="14"/>
      <c r="I407" s="14"/>
      <c r="J407" s="14"/>
      <c r="K407" s="12"/>
    </row>
    <row r="408" ht="19.5" customHeight="1">
      <c r="A408" s="12"/>
      <c r="C408" s="12"/>
      <c r="D408" s="87"/>
      <c r="F408" s="14"/>
      <c r="G408" s="14"/>
      <c r="H408" s="14"/>
      <c r="I408" s="14"/>
      <c r="J408" s="14"/>
      <c r="K408" s="12"/>
    </row>
    <row r="409" ht="19.5" customHeight="1">
      <c r="A409" s="12"/>
      <c r="C409" s="12"/>
      <c r="D409" s="87"/>
      <c r="F409" s="14"/>
      <c r="G409" s="14"/>
      <c r="H409" s="14"/>
      <c r="I409" s="14"/>
      <c r="J409" s="14"/>
      <c r="K409" s="12"/>
    </row>
    <row r="410" ht="19.5" customHeight="1">
      <c r="A410" s="12"/>
      <c r="C410" s="12"/>
      <c r="D410" s="87"/>
      <c r="F410" s="14"/>
      <c r="G410" s="14"/>
      <c r="H410" s="14"/>
      <c r="I410" s="14"/>
      <c r="J410" s="14"/>
      <c r="K410" s="12"/>
    </row>
    <row r="411" ht="19.5" customHeight="1">
      <c r="A411" s="12"/>
      <c r="C411" s="12"/>
      <c r="D411" s="87"/>
      <c r="F411" s="14"/>
      <c r="G411" s="14"/>
      <c r="H411" s="14"/>
      <c r="I411" s="14"/>
      <c r="J411" s="14"/>
      <c r="K411" s="12"/>
    </row>
    <row r="412" ht="19.5" customHeight="1">
      <c r="A412" s="12"/>
      <c r="C412" s="12"/>
      <c r="D412" s="87"/>
      <c r="F412" s="14"/>
      <c r="G412" s="14"/>
      <c r="H412" s="14"/>
      <c r="I412" s="14"/>
      <c r="J412" s="14"/>
      <c r="K412" s="12"/>
    </row>
    <row r="413" ht="19.5" customHeight="1">
      <c r="A413" s="12"/>
      <c r="C413" s="12"/>
      <c r="D413" s="87"/>
      <c r="F413" s="14"/>
      <c r="G413" s="14"/>
      <c r="H413" s="14"/>
      <c r="I413" s="14"/>
      <c r="J413" s="14"/>
      <c r="K413" s="12"/>
    </row>
    <row r="414" ht="19.5" customHeight="1">
      <c r="A414" s="12"/>
      <c r="C414" s="12"/>
      <c r="D414" s="87"/>
      <c r="F414" s="14"/>
      <c r="G414" s="14"/>
      <c r="H414" s="14"/>
      <c r="I414" s="14"/>
      <c r="J414" s="14"/>
      <c r="K414" s="12"/>
    </row>
    <row r="415" ht="19.5" customHeight="1">
      <c r="A415" s="12"/>
      <c r="C415" s="12"/>
      <c r="D415" s="87"/>
      <c r="F415" s="14"/>
      <c r="G415" s="14"/>
      <c r="H415" s="14"/>
      <c r="I415" s="14"/>
      <c r="J415" s="14"/>
      <c r="K415" s="12"/>
    </row>
    <row r="416" ht="19.5" customHeight="1">
      <c r="A416" s="12"/>
      <c r="C416" s="12"/>
      <c r="D416" s="87"/>
      <c r="F416" s="14"/>
      <c r="G416" s="14"/>
      <c r="H416" s="14"/>
      <c r="I416" s="14"/>
      <c r="J416" s="14"/>
      <c r="K416" s="12"/>
    </row>
    <row r="417" ht="19.5" customHeight="1">
      <c r="A417" s="12"/>
      <c r="C417" s="12"/>
      <c r="D417" s="87"/>
      <c r="F417" s="14"/>
      <c r="G417" s="14"/>
      <c r="H417" s="14"/>
      <c r="I417" s="14"/>
      <c r="J417" s="14"/>
      <c r="K417" s="12"/>
    </row>
    <row r="418" ht="19.5" customHeight="1">
      <c r="A418" s="12"/>
      <c r="C418" s="12"/>
      <c r="D418" s="87"/>
      <c r="F418" s="14"/>
      <c r="G418" s="14"/>
      <c r="H418" s="14"/>
      <c r="I418" s="14"/>
      <c r="J418" s="14"/>
      <c r="K418" s="12"/>
    </row>
    <row r="419" ht="19.5" customHeight="1">
      <c r="A419" s="12"/>
      <c r="C419" s="12"/>
      <c r="D419" s="87"/>
      <c r="F419" s="14"/>
      <c r="G419" s="14"/>
      <c r="H419" s="14"/>
      <c r="I419" s="14"/>
      <c r="J419" s="14"/>
      <c r="K419" s="12"/>
    </row>
    <row r="420" ht="19.5" customHeight="1">
      <c r="A420" s="12"/>
      <c r="C420" s="12"/>
      <c r="D420" s="87"/>
      <c r="F420" s="14"/>
      <c r="G420" s="14"/>
      <c r="H420" s="14"/>
      <c r="I420" s="14"/>
      <c r="J420" s="14"/>
      <c r="K420" s="12"/>
    </row>
    <row r="421" ht="19.5" customHeight="1">
      <c r="A421" s="12"/>
      <c r="C421" s="12"/>
      <c r="D421" s="87"/>
      <c r="F421" s="14"/>
      <c r="G421" s="14"/>
      <c r="H421" s="14"/>
      <c r="I421" s="14"/>
      <c r="J421" s="14"/>
      <c r="K421" s="12"/>
    </row>
    <row r="422" ht="19.5" customHeight="1">
      <c r="A422" s="12"/>
      <c r="C422" s="12"/>
      <c r="D422" s="87"/>
      <c r="F422" s="14"/>
      <c r="G422" s="14"/>
      <c r="H422" s="14"/>
      <c r="I422" s="14"/>
      <c r="J422" s="14"/>
      <c r="K422" s="12"/>
    </row>
    <row r="423" ht="19.5" customHeight="1">
      <c r="A423" s="12"/>
      <c r="C423" s="12"/>
      <c r="D423" s="87"/>
      <c r="F423" s="14"/>
      <c r="G423" s="14"/>
      <c r="H423" s="14"/>
      <c r="I423" s="14"/>
      <c r="J423" s="14"/>
      <c r="K423" s="12"/>
    </row>
    <row r="424" ht="19.5" customHeight="1">
      <c r="A424" s="12"/>
      <c r="C424" s="12"/>
      <c r="D424" s="87"/>
      <c r="F424" s="14"/>
      <c r="G424" s="14"/>
      <c r="H424" s="14"/>
      <c r="I424" s="14"/>
      <c r="J424" s="14"/>
      <c r="K424" s="12"/>
    </row>
    <row r="425" ht="19.5" customHeight="1">
      <c r="A425" s="12"/>
      <c r="C425" s="12"/>
      <c r="D425" s="87"/>
      <c r="F425" s="14"/>
      <c r="G425" s="14"/>
      <c r="H425" s="14"/>
      <c r="I425" s="14"/>
      <c r="J425" s="14"/>
      <c r="K425" s="12"/>
    </row>
    <row r="426" ht="19.5" customHeight="1">
      <c r="A426" s="12"/>
      <c r="C426" s="12"/>
      <c r="D426" s="87"/>
      <c r="F426" s="14"/>
      <c r="G426" s="14"/>
      <c r="H426" s="14"/>
      <c r="I426" s="14"/>
      <c r="J426" s="14"/>
      <c r="K426" s="12"/>
    </row>
    <row r="427" ht="19.5" customHeight="1">
      <c r="A427" s="12"/>
      <c r="C427" s="12"/>
      <c r="D427" s="87"/>
      <c r="F427" s="14"/>
      <c r="G427" s="14"/>
      <c r="H427" s="14"/>
      <c r="I427" s="14"/>
      <c r="J427" s="14"/>
      <c r="K427" s="12"/>
    </row>
    <row r="428" ht="19.5" customHeight="1">
      <c r="A428" s="12"/>
      <c r="C428" s="12"/>
      <c r="D428" s="87"/>
      <c r="F428" s="14"/>
      <c r="G428" s="14"/>
      <c r="H428" s="14"/>
      <c r="I428" s="14"/>
      <c r="J428" s="14"/>
      <c r="K428" s="12"/>
    </row>
    <row r="429" ht="19.5" customHeight="1">
      <c r="A429" s="12"/>
      <c r="C429" s="12"/>
      <c r="D429" s="87"/>
      <c r="F429" s="14"/>
      <c r="G429" s="14"/>
      <c r="H429" s="14"/>
      <c r="I429" s="14"/>
      <c r="J429" s="14"/>
      <c r="K429" s="12"/>
    </row>
    <row r="430" ht="19.5" customHeight="1">
      <c r="A430" s="12"/>
      <c r="C430" s="12"/>
      <c r="D430" s="87"/>
      <c r="F430" s="14"/>
      <c r="G430" s="14"/>
      <c r="H430" s="14"/>
      <c r="I430" s="14"/>
      <c r="J430" s="14"/>
      <c r="K430" s="12"/>
    </row>
    <row r="431" ht="19.5" customHeight="1">
      <c r="A431" s="12"/>
      <c r="C431" s="12"/>
      <c r="D431" s="87"/>
      <c r="F431" s="14"/>
      <c r="G431" s="14"/>
      <c r="H431" s="14"/>
      <c r="I431" s="14"/>
      <c r="J431" s="14"/>
      <c r="K431" s="12"/>
    </row>
    <row r="432" ht="19.5" customHeight="1">
      <c r="A432" s="12"/>
      <c r="C432" s="12"/>
      <c r="D432" s="87"/>
      <c r="F432" s="14"/>
      <c r="G432" s="14"/>
      <c r="H432" s="14"/>
      <c r="I432" s="14"/>
      <c r="J432" s="14"/>
      <c r="K432" s="12"/>
    </row>
    <row r="433" ht="19.5" customHeight="1">
      <c r="A433" s="12"/>
      <c r="C433" s="12"/>
      <c r="D433" s="87"/>
      <c r="F433" s="14"/>
      <c r="G433" s="14"/>
      <c r="H433" s="14"/>
      <c r="I433" s="14"/>
      <c r="J433" s="14"/>
      <c r="K433" s="12"/>
    </row>
    <row r="434" ht="19.5" customHeight="1">
      <c r="A434" s="12"/>
      <c r="C434" s="12"/>
      <c r="D434" s="87"/>
      <c r="F434" s="14"/>
      <c r="G434" s="14"/>
      <c r="H434" s="14"/>
      <c r="I434" s="14"/>
      <c r="J434" s="14"/>
      <c r="K434" s="12"/>
    </row>
    <row r="435" ht="19.5" customHeight="1">
      <c r="A435" s="12"/>
      <c r="C435" s="12"/>
      <c r="D435" s="87"/>
      <c r="F435" s="14"/>
      <c r="G435" s="14"/>
      <c r="H435" s="14"/>
      <c r="I435" s="14"/>
      <c r="J435" s="14"/>
      <c r="K435" s="12"/>
    </row>
    <row r="436" ht="19.5" customHeight="1">
      <c r="A436" s="12"/>
      <c r="C436" s="12"/>
      <c r="D436" s="87"/>
      <c r="F436" s="14"/>
      <c r="G436" s="14"/>
      <c r="H436" s="14"/>
      <c r="I436" s="14"/>
      <c r="J436" s="14"/>
      <c r="K436" s="12"/>
    </row>
    <row r="437" ht="19.5" customHeight="1">
      <c r="A437" s="12"/>
      <c r="C437" s="12"/>
      <c r="D437" s="87"/>
      <c r="F437" s="14"/>
      <c r="G437" s="14"/>
      <c r="H437" s="14"/>
      <c r="I437" s="14"/>
      <c r="J437" s="14"/>
      <c r="K437" s="12"/>
    </row>
    <row r="438" ht="19.5" customHeight="1">
      <c r="A438" s="12"/>
      <c r="C438" s="12"/>
      <c r="D438" s="87"/>
      <c r="F438" s="14"/>
      <c r="G438" s="14"/>
      <c r="H438" s="14"/>
      <c r="I438" s="14"/>
      <c r="J438" s="14"/>
      <c r="K438" s="12"/>
    </row>
    <row r="439" ht="19.5" customHeight="1">
      <c r="A439" s="12"/>
      <c r="C439" s="12"/>
      <c r="D439" s="87"/>
      <c r="F439" s="14"/>
      <c r="G439" s="14"/>
      <c r="H439" s="14"/>
      <c r="I439" s="14"/>
      <c r="J439" s="14"/>
      <c r="K439" s="12"/>
    </row>
    <row r="440" ht="19.5" customHeight="1">
      <c r="A440" s="12"/>
      <c r="C440" s="12"/>
      <c r="D440" s="87"/>
      <c r="F440" s="14"/>
      <c r="G440" s="14"/>
      <c r="H440" s="14"/>
      <c r="I440" s="14"/>
      <c r="J440" s="14"/>
      <c r="K440" s="12"/>
    </row>
    <row r="441" ht="19.5" customHeight="1">
      <c r="A441" s="12"/>
      <c r="C441" s="12"/>
      <c r="D441" s="87"/>
      <c r="F441" s="14"/>
      <c r="G441" s="14"/>
      <c r="H441" s="14"/>
      <c r="I441" s="14"/>
      <c r="J441" s="14"/>
      <c r="K441" s="12"/>
    </row>
    <row r="442" ht="19.5" customHeight="1">
      <c r="A442" s="12"/>
      <c r="C442" s="12"/>
      <c r="D442" s="87"/>
      <c r="F442" s="14"/>
      <c r="G442" s="14"/>
      <c r="H442" s="14"/>
      <c r="I442" s="14"/>
      <c r="J442" s="14"/>
      <c r="K442" s="12"/>
    </row>
    <row r="443" ht="19.5" customHeight="1">
      <c r="A443" s="12"/>
      <c r="C443" s="12"/>
      <c r="D443" s="87"/>
      <c r="F443" s="14"/>
      <c r="G443" s="14"/>
      <c r="H443" s="14"/>
      <c r="I443" s="14"/>
      <c r="J443" s="14"/>
      <c r="K443" s="12"/>
    </row>
    <row r="444" ht="19.5" customHeight="1">
      <c r="A444" s="12"/>
      <c r="C444" s="12"/>
      <c r="D444" s="87"/>
      <c r="F444" s="14"/>
      <c r="G444" s="14"/>
      <c r="H444" s="14"/>
      <c r="I444" s="14"/>
      <c r="J444" s="14"/>
      <c r="K444" s="12"/>
    </row>
    <row r="445" ht="19.5" customHeight="1">
      <c r="A445" s="12"/>
      <c r="C445" s="12"/>
      <c r="D445" s="87"/>
      <c r="F445" s="14"/>
      <c r="G445" s="14"/>
      <c r="H445" s="14"/>
      <c r="I445" s="14"/>
      <c r="J445" s="14"/>
      <c r="K445" s="12"/>
    </row>
    <row r="446" ht="19.5" customHeight="1">
      <c r="A446" s="12"/>
      <c r="C446" s="12"/>
      <c r="D446" s="87"/>
      <c r="F446" s="14"/>
      <c r="G446" s="14"/>
      <c r="H446" s="14"/>
      <c r="I446" s="14"/>
      <c r="J446" s="14"/>
      <c r="K446" s="12"/>
    </row>
    <row r="447" ht="19.5" customHeight="1">
      <c r="A447" s="12"/>
      <c r="C447" s="12"/>
      <c r="D447" s="87"/>
      <c r="F447" s="14"/>
      <c r="G447" s="14"/>
      <c r="H447" s="14"/>
      <c r="I447" s="14"/>
      <c r="J447" s="14"/>
      <c r="K447" s="12"/>
    </row>
    <row r="448" ht="19.5" customHeight="1">
      <c r="A448" s="12"/>
      <c r="C448" s="12"/>
      <c r="D448" s="87"/>
      <c r="F448" s="14"/>
      <c r="G448" s="14"/>
      <c r="H448" s="14"/>
      <c r="I448" s="14"/>
      <c r="J448" s="14"/>
      <c r="K448" s="12"/>
    </row>
    <row r="449" ht="19.5" customHeight="1">
      <c r="A449" s="12"/>
      <c r="C449" s="12"/>
      <c r="D449" s="87"/>
      <c r="F449" s="14"/>
      <c r="G449" s="14"/>
      <c r="H449" s="14"/>
      <c r="I449" s="14"/>
      <c r="J449" s="14"/>
      <c r="K449" s="12"/>
    </row>
    <row r="450" ht="19.5" customHeight="1">
      <c r="A450" s="12"/>
      <c r="C450" s="12"/>
      <c r="D450" s="87"/>
      <c r="F450" s="14"/>
      <c r="G450" s="14"/>
      <c r="H450" s="14"/>
      <c r="I450" s="14"/>
      <c r="J450" s="14"/>
      <c r="K450" s="12"/>
    </row>
    <row r="451" ht="19.5" customHeight="1">
      <c r="A451" s="12"/>
      <c r="C451" s="12"/>
      <c r="D451" s="87"/>
      <c r="F451" s="14"/>
      <c r="G451" s="14"/>
      <c r="H451" s="14"/>
      <c r="I451" s="14"/>
      <c r="J451" s="14"/>
      <c r="K451" s="12"/>
    </row>
    <row r="452" ht="19.5" customHeight="1">
      <c r="A452" s="12"/>
      <c r="C452" s="12"/>
      <c r="D452" s="87"/>
      <c r="F452" s="14"/>
      <c r="G452" s="14"/>
      <c r="H452" s="14"/>
      <c r="I452" s="14"/>
      <c r="J452" s="14"/>
      <c r="K452" s="12"/>
    </row>
    <row r="453" ht="19.5" customHeight="1">
      <c r="A453" s="12"/>
      <c r="C453" s="12"/>
      <c r="D453" s="87"/>
      <c r="F453" s="14"/>
      <c r="G453" s="14"/>
      <c r="H453" s="14"/>
      <c r="I453" s="14"/>
      <c r="J453" s="14"/>
      <c r="K453" s="12"/>
    </row>
    <row r="454" ht="19.5" customHeight="1">
      <c r="A454" s="12"/>
      <c r="C454" s="12"/>
      <c r="D454" s="87"/>
      <c r="F454" s="14"/>
      <c r="G454" s="14"/>
      <c r="H454" s="14"/>
      <c r="I454" s="14"/>
      <c r="J454" s="14"/>
      <c r="K454" s="12"/>
    </row>
    <row r="455" ht="19.5" customHeight="1">
      <c r="A455" s="12"/>
      <c r="C455" s="12"/>
      <c r="D455" s="87"/>
      <c r="F455" s="14"/>
      <c r="G455" s="14"/>
      <c r="H455" s="14"/>
      <c r="I455" s="14"/>
      <c r="J455" s="14"/>
      <c r="K455" s="12"/>
    </row>
    <row r="456" ht="19.5" customHeight="1">
      <c r="A456" s="12"/>
      <c r="C456" s="12"/>
      <c r="D456" s="87"/>
      <c r="F456" s="14"/>
      <c r="G456" s="14"/>
      <c r="H456" s="14"/>
      <c r="I456" s="14"/>
      <c r="J456" s="14"/>
      <c r="K456" s="12"/>
    </row>
    <row r="457" ht="19.5" customHeight="1">
      <c r="A457" s="12"/>
      <c r="C457" s="12"/>
      <c r="D457" s="87"/>
      <c r="F457" s="14"/>
      <c r="G457" s="14"/>
      <c r="H457" s="14"/>
      <c r="I457" s="14"/>
      <c r="J457" s="14"/>
      <c r="K457" s="12"/>
    </row>
    <row r="458" ht="19.5" customHeight="1">
      <c r="A458" s="12"/>
      <c r="C458" s="12"/>
      <c r="D458" s="87"/>
      <c r="F458" s="14"/>
      <c r="G458" s="14"/>
      <c r="H458" s="14"/>
      <c r="I458" s="14"/>
      <c r="J458" s="14"/>
      <c r="K458" s="12"/>
    </row>
    <row r="459" ht="19.5" customHeight="1">
      <c r="A459" s="12"/>
      <c r="C459" s="12"/>
      <c r="D459" s="87"/>
      <c r="F459" s="14"/>
      <c r="G459" s="14"/>
      <c r="H459" s="14"/>
      <c r="I459" s="14"/>
      <c r="J459" s="14"/>
      <c r="K459" s="12"/>
    </row>
    <row r="460" ht="19.5" customHeight="1">
      <c r="A460" s="12"/>
      <c r="C460" s="12"/>
      <c r="D460" s="87"/>
      <c r="F460" s="14"/>
      <c r="G460" s="14"/>
      <c r="H460" s="14"/>
      <c r="I460" s="14"/>
      <c r="J460" s="14"/>
      <c r="K460" s="12"/>
    </row>
    <row r="461" ht="19.5" customHeight="1">
      <c r="A461" s="12"/>
      <c r="C461" s="12"/>
      <c r="D461" s="87"/>
      <c r="F461" s="14"/>
      <c r="G461" s="14"/>
      <c r="H461" s="14"/>
      <c r="I461" s="14"/>
      <c r="J461" s="14"/>
      <c r="K461" s="12"/>
    </row>
    <row r="462" ht="19.5" customHeight="1">
      <c r="A462" s="12"/>
      <c r="C462" s="12"/>
      <c r="D462" s="87"/>
      <c r="F462" s="14"/>
      <c r="G462" s="14"/>
      <c r="H462" s="14"/>
      <c r="I462" s="14"/>
      <c r="J462" s="14"/>
      <c r="K462" s="12"/>
    </row>
    <row r="463" ht="19.5" customHeight="1">
      <c r="A463" s="12"/>
      <c r="C463" s="12"/>
      <c r="D463" s="87"/>
      <c r="F463" s="14"/>
      <c r="G463" s="14"/>
      <c r="H463" s="14"/>
      <c r="I463" s="14"/>
      <c r="J463" s="14"/>
      <c r="K463" s="12"/>
    </row>
    <row r="464" ht="19.5" customHeight="1">
      <c r="A464" s="12"/>
      <c r="C464" s="12"/>
      <c r="D464" s="87"/>
      <c r="F464" s="14"/>
      <c r="G464" s="14"/>
      <c r="H464" s="14"/>
      <c r="I464" s="14"/>
      <c r="J464" s="14"/>
      <c r="K464" s="12"/>
    </row>
    <row r="465" ht="19.5" customHeight="1">
      <c r="A465" s="12"/>
      <c r="C465" s="12"/>
      <c r="D465" s="87"/>
      <c r="F465" s="14"/>
      <c r="G465" s="14"/>
      <c r="H465" s="14"/>
      <c r="I465" s="14"/>
      <c r="J465" s="14"/>
      <c r="K465" s="12"/>
    </row>
    <row r="466" ht="19.5" customHeight="1">
      <c r="A466" s="12"/>
      <c r="C466" s="12"/>
      <c r="D466" s="87"/>
      <c r="F466" s="14"/>
      <c r="G466" s="14"/>
      <c r="H466" s="14"/>
      <c r="I466" s="14"/>
      <c r="J466" s="14"/>
      <c r="K466" s="12"/>
    </row>
    <row r="467" ht="19.5" customHeight="1">
      <c r="A467" s="12"/>
      <c r="C467" s="12"/>
      <c r="D467" s="87"/>
      <c r="F467" s="14"/>
      <c r="G467" s="14"/>
      <c r="H467" s="14"/>
      <c r="I467" s="14"/>
      <c r="J467" s="14"/>
      <c r="K467" s="12"/>
    </row>
    <row r="468" ht="19.5" customHeight="1">
      <c r="A468" s="12"/>
      <c r="C468" s="12"/>
      <c r="D468" s="87"/>
      <c r="F468" s="14"/>
      <c r="G468" s="14"/>
      <c r="H468" s="14"/>
      <c r="I468" s="14"/>
      <c r="J468" s="14"/>
      <c r="K468" s="12"/>
    </row>
    <row r="469" ht="19.5" customHeight="1">
      <c r="A469" s="12"/>
      <c r="C469" s="12"/>
      <c r="D469" s="87"/>
      <c r="F469" s="14"/>
      <c r="G469" s="14"/>
      <c r="H469" s="14"/>
      <c r="I469" s="14"/>
      <c r="J469" s="14"/>
      <c r="K469" s="12"/>
    </row>
    <row r="470" ht="19.5" customHeight="1">
      <c r="A470" s="12"/>
      <c r="C470" s="12"/>
      <c r="D470" s="87"/>
      <c r="F470" s="14"/>
      <c r="G470" s="14"/>
      <c r="H470" s="14"/>
      <c r="I470" s="14"/>
      <c r="J470" s="14"/>
      <c r="K470" s="12"/>
    </row>
    <row r="471" ht="19.5" customHeight="1">
      <c r="A471" s="12"/>
      <c r="C471" s="12"/>
      <c r="D471" s="87"/>
      <c r="F471" s="14"/>
      <c r="G471" s="14"/>
      <c r="H471" s="14"/>
      <c r="I471" s="14"/>
      <c r="J471" s="14"/>
      <c r="K471" s="12"/>
    </row>
    <row r="472" ht="19.5" customHeight="1">
      <c r="A472" s="12"/>
      <c r="C472" s="12"/>
      <c r="D472" s="87"/>
      <c r="F472" s="14"/>
      <c r="G472" s="14"/>
      <c r="H472" s="14"/>
      <c r="I472" s="14"/>
      <c r="J472" s="14"/>
      <c r="K472" s="12"/>
    </row>
    <row r="473" ht="19.5" customHeight="1">
      <c r="A473" s="12"/>
      <c r="C473" s="12"/>
      <c r="D473" s="87"/>
      <c r="F473" s="14"/>
      <c r="G473" s="14"/>
      <c r="H473" s="14"/>
      <c r="I473" s="14"/>
      <c r="J473" s="14"/>
      <c r="K473" s="12"/>
    </row>
    <row r="474" ht="19.5" customHeight="1">
      <c r="A474" s="12"/>
      <c r="C474" s="12"/>
      <c r="D474" s="87"/>
      <c r="F474" s="14"/>
      <c r="G474" s="14"/>
      <c r="H474" s="14"/>
      <c r="I474" s="14"/>
      <c r="J474" s="14"/>
      <c r="K474" s="12"/>
    </row>
    <row r="475" ht="19.5" customHeight="1">
      <c r="A475" s="12"/>
      <c r="C475" s="12"/>
      <c r="D475" s="87"/>
      <c r="F475" s="14"/>
      <c r="G475" s="14"/>
      <c r="H475" s="14"/>
      <c r="I475" s="14"/>
      <c r="J475" s="14"/>
      <c r="K475" s="12"/>
    </row>
    <row r="476" ht="19.5" customHeight="1">
      <c r="A476" s="12"/>
      <c r="C476" s="12"/>
      <c r="D476" s="87"/>
      <c r="F476" s="14"/>
      <c r="G476" s="14"/>
      <c r="H476" s="14"/>
      <c r="I476" s="14"/>
      <c r="J476" s="14"/>
      <c r="K476" s="12"/>
    </row>
    <row r="477" ht="19.5" customHeight="1">
      <c r="A477" s="12"/>
      <c r="C477" s="12"/>
      <c r="D477" s="87"/>
      <c r="F477" s="14"/>
      <c r="G477" s="14"/>
      <c r="H477" s="14"/>
      <c r="I477" s="14"/>
      <c r="J477" s="14"/>
      <c r="K477" s="12"/>
    </row>
    <row r="478" ht="19.5" customHeight="1">
      <c r="A478" s="12"/>
      <c r="C478" s="12"/>
      <c r="D478" s="87"/>
      <c r="F478" s="14"/>
      <c r="G478" s="14"/>
      <c r="H478" s="14"/>
      <c r="I478" s="14"/>
      <c r="J478" s="14"/>
      <c r="K478" s="12"/>
    </row>
    <row r="479" ht="19.5" customHeight="1">
      <c r="A479" s="12"/>
      <c r="C479" s="12"/>
      <c r="D479" s="87"/>
      <c r="F479" s="14"/>
      <c r="G479" s="14"/>
      <c r="H479" s="14"/>
      <c r="I479" s="14"/>
      <c r="J479" s="14"/>
      <c r="K479" s="12"/>
    </row>
    <row r="480" ht="19.5" customHeight="1">
      <c r="A480" s="12"/>
      <c r="C480" s="12"/>
      <c r="D480" s="87"/>
      <c r="F480" s="14"/>
      <c r="G480" s="14"/>
      <c r="H480" s="14"/>
      <c r="I480" s="14"/>
      <c r="J480" s="14"/>
      <c r="K480" s="12"/>
    </row>
    <row r="481" ht="19.5" customHeight="1">
      <c r="A481" s="12"/>
      <c r="C481" s="12"/>
      <c r="D481" s="87"/>
      <c r="F481" s="14"/>
      <c r="G481" s="14"/>
      <c r="H481" s="14"/>
      <c r="I481" s="14"/>
      <c r="J481" s="14"/>
      <c r="K481" s="12"/>
    </row>
    <row r="482" ht="19.5" customHeight="1">
      <c r="A482" s="12"/>
      <c r="C482" s="12"/>
      <c r="D482" s="87"/>
      <c r="F482" s="14"/>
      <c r="G482" s="14"/>
      <c r="H482" s="14"/>
      <c r="I482" s="14"/>
      <c r="J482" s="14"/>
      <c r="K482" s="12"/>
    </row>
    <row r="483" ht="19.5" customHeight="1">
      <c r="A483" s="12"/>
      <c r="C483" s="12"/>
      <c r="D483" s="87"/>
      <c r="F483" s="14"/>
      <c r="G483" s="14"/>
      <c r="H483" s="14"/>
      <c r="I483" s="14"/>
      <c r="J483" s="14"/>
      <c r="K483" s="12"/>
    </row>
    <row r="484" ht="19.5" customHeight="1">
      <c r="A484" s="12"/>
      <c r="C484" s="12"/>
      <c r="D484" s="87"/>
      <c r="F484" s="14"/>
      <c r="G484" s="14"/>
      <c r="H484" s="14"/>
      <c r="I484" s="14"/>
      <c r="J484" s="14"/>
      <c r="K484" s="12"/>
    </row>
    <row r="485" ht="19.5" customHeight="1">
      <c r="A485" s="12"/>
      <c r="C485" s="12"/>
      <c r="D485" s="87"/>
      <c r="F485" s="14"/>
      <c r="G485" s="14"/>
      <c r="H485" s="14"/>
      <c r="I485" s="14"/>
      <c r="J485" s="14"/>
      <c r="K485" s="12"/>
    </row>
    <row r="486" ht="19.5" customHeight="1">
      <c r="A486" s="12"/>
      <c r="C486" s="12"/>
      <c r="D486" s="87"/>
      <c r="F486" s="14"/>
      <c r="G486" s="14"/>
      <c r="H486" s="14"/>
      <c r="I486" s="14"/>
      <c r="J486" s="14"/>
      <c r="K486" s="12"/>
    </row>
    <row r="487" ht="19.5" customHeight="1">
      <c r="A487" s="12"/>
      <c r="C487" s="12"/>
      <c r="D487" s="87"/>
      <c r="F487" s="14"/>
      <c r="G487" s="14"/>
      <c r="H487" s="14"/>
      <c r="I487" s="14"/>
      <c r="J487" s="14"/>
      <c r="K487" s="12"/>
    </row>
    <row r="488" ht="19.5" customHeight="1">
      <c r="A488" s="12"/>
      <c r="C488" s="12"/>
      <c r="D488" s="87"/>
      <c r="F488" s="14"/>
      <c r="G488" s="14"/>
      <c r="H488" s="14"/>
      <c r="I488" s="14"/>
      <c r="J488" s="14"/>
      <c r="K488" s="12"/>
    </row>
    <row r="489" ht="19.5" customHeight="1">
      <c r="A489" s="12"/>
      <c r="C489" s="12"/>
      <c r="D489" s="87"/>
      <c r="F489" s="14"/>
      <c r="G489" s="14"/>
      <c r="H489" s="14"/>
      <c r="I489" s="14"/>
      <c r="J489" s="14"/>
      <c r="K489" s="12"/>
    </row>
    <row r="490" ht="19.5" customHeight="1">
      <c r="A490" s="12"/>
      <c r="C490" s="12"/>
      <c r="D490" s="87"/>
      <c r="F490" s="14"/>
      <c r="G490" s="14"/>
      <c r="H490" s="14"/>
      <c r="I490" s="14"/>
      <c r="J490" s="14"/>
      <c r="K490" s="12"/>
    </row>
    <row r="491" ht="19.5" customHeight="1">
      <c r="A491" s="12"/>
      <c r="C491" s="12"/>
      <c r="D491" s="87"/>
      <c r="F491" s="14"/>
      <c r="G491" s="14"/>
      <c r="H491" s="14"/>
      <c r="I491" s="14"/>
      <c r="J491" s="14"/>
      <c r="K491" s="12"/>
    </row>
    <row r="492" ht="19.5" customHeight="1">
      <c r="A492" s="12"/>
      <c r="C492" s="12"/>
      <c r="D492" s="87"/>
      <c r="F492" s="14"/>
      <c r="G492" s="14"/>
      <c r="H492" s="14"/>
      <c r="I492" s="14"/>
      <c r="J492" s="14"/>
      <c r="K492" s="12"/>
    </row>
    <row r="493" ht="19.5" customHeight="1">
      <c r="A493" s="12"/>
      <c r="C493" s="12"/>
      <c r="D493" s="87"/>
      <c r="F493" s="14"/>
      <c r="G493" s="14"/>
      <c r="H493" s="14"/>
      <c r="I493" s="14"/>
      <c r="J493" s="14"/>
      <c r="K493" s="12"/>
    </row>
    <row r="494" ht="19.5" customHeight="1">
      <c r="A494" s="12"/>
      <c r="C494" s="12"/>
      <c r="D494" s="87"/>
      <c r="F494" s="14"/>
      <c r="G494" s="14"/>
      <c r="H494" s="14"/>
      <c r="I494" s="14"/>
      <c r="J494" s="14"/>
      <c r="K494" s="12"/>
    </row>
    <row r="495" ht="19.5" customHeight="1">
      <c r="A495" s="12"/>
      <c r="C495" s="12"/>
      <c r="D495" s="87"/>
      <c r="F495" s="14"/>
      <c r="G495" s="14"/>
      <c r="H495" s="14"/>
      <c r="I495" s="14"/>
      <c r="J495" s="14"/>
      <c r="K495" s="12"/>
    </row>
    <row r="496" ht="19.5" customHeight="1">
      <c r="A496" s="12"/>
      <c r="C496" s="12"/>
      <c r="D496" s="87"/>
      <c r="F496" s="14"/>
      <c r="G496" s="14"/>
      <c r="H496" s="14"/>
      <c r="I496" s="14"/>
      <c r="J496" s="14"/>
      <c r="K496" s="12"/>
    </row>
    <row r="497" ht="19.5" customHeight="1">
      <c r="A497" s="12"/>
      <c r="C497" s="12"/>
      <c r="D497" s="87"/>
      <c r="F497" s="14"/>
      <c r="G497" s="14"/>
      <c r="H497" s="14"/>
      <c r="I497" s="14"/>
      <c r="J497" s="14"/>
      <c r="K497" s="12"/>
    </row>
    <row r="498" ht="19.5" customHeight="1">
      <c r="A498" s="12"/>
      <c r="C498" s="12"/>
      <c r="D498" s="87"/>
      <c r="F498" s="14"/>
      <c r="G498" s="14"/>
      <c r="H498" s="14"/>
      <c r="I498" s="14"/>
      <c r="J498" s="14"/>
      <c r="K498" s="12"/>
    </row>
    <row r="499" ht="19.5" customHeight="1">
      <c r="A499" s="12"/>
      <c r="C499" s="12"/>
      <c r="D499" s="87"/>
      <c r="F499" s="14"/>
      <c r="G499" s="14"/>
      <c r="H499" s="14"/>
      <c r="I499" s="14"/>
      <c r="J499" s="14"/>
      <c r="K499" s="12"/>
    </row>
    <row r="500" ht="19.5" customHeight="1">
      <c r="A500" s="12"/>
      <c r="C500" s="12"/>
      <c r="D500" s="87"/>
      <c r="F500" s="14"/>
      <c r="G500" s="14"/>
      <c r="H500" s="14"/>
      <c r="I500" s="14"/>
      <c r="J500" s="14"/>
      <c r="K500" s="12"/>
    </row>
    <row r="501" ht="19.5" customHeight="1">
      <c r="A501" s="12"/>
      <c r="C501" s="12"/>
      <c r="D501" s="87"/>
      <c r="F501" s="14"/>
      <c r="G501" s="14"/>
      <c r="H501" s="14"/>
      <c r="I501" s="14"/>
      <c r="J501" s="14"/>
      <c r="K501" s="12"/>
    </row>
    <row r="502" ht="19.5" customHeight="1">
      <c r="A502" s="12"/>
      <c r="C502" s="12"/>
      <c r="D502" s="87"/>
      <c r="F502" s="14"/>
      <c r="G502" s="14"/>
      <c r="H502" s="14"/>
      <c r="I502" s="14"/>
      <c r="J502" s="14"/>
      <c r="K502" s="12"/>
    </row>
    <row r="503" ht="19.5" customHeight="1">
      <c r="A503" s="12"/>
      <c r="C503" s="12"/>
      <c r="D503" s="87"/>
      <c r="F503" s="14"/>
      <c r="G503" s="14"/>
      <c r="H503" s="14"/>
      <c r="I503" s="14"/>
      <c r="J503" s="14"/>
      <c r="K503" s="12"/>
    </row>
    <row r="504" ht="19.5" customHeight="1">
      <c r="A504" s="12"/>
      <c r="C504" s="12"/>
      <c r="D504" s="87"/>
      <c r="F504" s="14"/>
      <c r="G504" s="14"/>
      <c r="H504" s="14"/>
      <c r="I504" s="14"/>
      <c r="J504" s="14"/>
      <c r="K504" s="12"/>
    </row>
    <row r="505" ht="19.5" customHeight="1">
      <c r="A505" s="12"/>
      <c r="C505" s="12"/>
      <c r="D505" s="87"/>
      <c r="F505" s="14"/>
      <c r="G505" s="14"/>
      <c r="H505" s="14"/>
      <c r="I505" s="14"/>
      <c r="J505" s="14"/>
      <c r="K505" s="12"/>
    </row>
    <row r="506" ht="19.5" customHeight="1">
      <c r="A506" s="12"/>
      <c r="C506" s="12"/>
      <c r="D506" s="87"/>
      <c r="F506" s="14"/>
      <c r="G506" s="14"/>
      <c r="H506" s="14"/>
      <c r="I506" s="14"/>
      <c r="J506" s="14"/>
      <c r="K506" s="12"/>
    </row>
    <row r="507" ht="19.5" customHeight="1">
      <c r="A507" s="12"/>
      <c r="C507" s="12"/>
      <c r="D507" s="87"/>
      <c r="F507" s="14"/>
      <c r="G507" s="14"/>
      <c r="H507" s="14"/>
      <c r="I507" s="14"/>
      <c r="J507" s="14"/>
      <c r="K507" s="12"/>
    </row>
    <row r="508" ht="19.5" customHeight="1">
      <c r="A508" s="12"/>
      <c r="C508" s="12"/>
      <c r="D508" s="87"/>
      <c r="F508" s="14"/>
      <c r="G508" s="14"/>
      <c r="H508" s="14"/>
      <c r="I508" s="14"/>
      <c r="J508" s="14"/>
      <c r="K508" s="12"/>
    </row>
    <row r="509" ht="19.5" customHeight="1">
      <c r="A509" s="12"/>
      <c r="C509" s="12"/>
      <c r="D509" s="87"/>
      <c r="F509" s="14"/>
      <c r="G509" s="14"/>
      <c r="H509" s="14"/>
      <c r="I509" s="14"/>
      <c r="J509" s="14"/>
      <c r="K509" s="12"/>
    </row>
    <row r="510" ht="19.5" customHeight="1">
      <c r="A510" s="12"/>
      <c r="C510" s="12"/>
      <c r="D510" s="87"/>
      <c r="F510" s="14"/>
      <c r="G510" s="14"/>
      <c r="H510" s="14"/>
      <c r="I510" s="14"/>
      <c r="J510" s="14"/>
      <c r="K510" s="12"/>
    </row>
    <row r="511" ht="19.5" customHeight="1">
      <c r="A511" s="12"/>
      <c r="C511" s="12"/>
      <c r="D511" s="87"/>
      <c r="F511" s="14"/>
      <c r="G511" s="14"/>
      <c r="H511" s="14"/>
      <c r="I511" s="14"/>
      <c r="J511" s="14"/>
      <c r="K511" s="12"/>
    </row>
    <row r="512" ht="19.5" customHeight="1">
      <c r="A512" s="12"/>
      <c r="C512" s="12"/>
      <c r="D512" s="87"/>
      <c r="F512" s="14"/>
      <c r="G512" s="14"/>
      <c r="H512" s="14"/>
      <c r="I512" s="14"/>
      <c r="J512" s="14"/>
      <c r="K512" s="12"/>
    </row>
    <row r="513" ht="19.5" customHeight="1">
      <c r="A513" s="12"/>
      <c r="C513" s="12"/>
      <c r="D513" s="87"/>
      <c r="F513" s="14"/>
      <c r="G513" s="14"/>
      <c r="H513" s="14"/>
      <c r="I513" s="14"/>
      <c r="J513" s="14"/>
      <c r="K513" s="12"/>
    </row>
    <row r="514" ht="19.5" customHeight="1">
      <c r="A514" s="12"/>
      <c r="C514" s="12"/>
      <c r="D514" s="87"/>
      <c r="F514" s="14"/>
      <c r="G514" s="14"/>
      <c r="H514" s="14"/>
      <c r="I514" s="14"/>
      <c r="J514" s="14"/>
      <c r="K514" s="12"/>
    </row>
    <row r="515" ht="19.5" customHeight="1">
      <c r="A515" s="12"/>
      <c r="C515" s="12"/>
      <c r="D515" s="87"/>
      <c r="F515" s="14"/>
      <c r="G515" s="14"/>
      <c r="H515" s="14"/>
      <c r="I515" s="14"/>
      <c r="J515" s="14"/>
      <c r="K515" s="12"/>
    </row>
    <row r="516" ht="19.5" customHeight="1">
      <c r="A516" s="12"/>
      <c r="C516" s="12"/>
      <c r="D516" s="87"/>
      <c r="F516" s="14"/>
      <c r="G516" s="14"/>
      <c r="H516" s="14"/>
      <c r="I516" s="14"/>
      <c r="J516" s="14"/>
      <c r="K516" s="12"/>
    </row>
    <row r="517" ht="19.5" customHeight="1">
      <c r="A517" s="12"/>
      <c r="C517" s="12"/>
      <c r="D517" s="87"/>
      <c r="F517" s="14"/>
      <c r="G517" s="14"/>
      <c r="H517" s="14"/>
      <c r="I517" s="14"/>
      <c r="J517" s="14"/>
      <c r="K517" s="12"/>
    </row>
    <row r="518" ht="19.5" customHeight="1">
      <c r="A518" s="12"/>
      <c r="C518" s="12"/>
      <c r="D518" s="87"/>
      <c r="F518" s="14"/>
      <c r="G518" s="14"/>
      <c r="H518" s="14"/>
      <c r="I518" s="14"/>
      <c r="J518" s="14"/>
      <c r="K518" s="12"/>
    </row>
    <row r="519" ht="19.5" customHeight="1">
      <c r="A519" s="12"/>
      <c r="C519" s="12"/>
      <c r="D519" s="87"/>
      <c r="F519" s="14"/>
      <c r="G519" s="14"/>
      <c r="H519" s="14"/>
      <c r="I519" s="14"/>
      <c r="J519" s="14"/>
      <c r="K519" s="12"/>
    </row>
    <row r="520" ht="19.5" customHeight="1">
      <c r="A520" s="12"/>
      <c r="C520" s="12"/>
      <c r="D520" s="87"/>
      <c r="F520" s="14"/>
      <c r="G520" s="14"/>
      <c r="H520" s="14"/>
      <c r="I520" s="14"/>
      <c r="J520" s="14"/>
      <c r="K520" s="12"/>
    </row>
    <row r="521" ht="19.5" customHeight="1">
      <c r="A521" s="12"/>
      <c r="C521" s="12"/>
      <c r="D521" s="87"/>
      <c r="F521" s="14"/>
      <c r="G521" s="14"/>
      <c r="H521" s="14"/>
      <c r="I521" s="14"/>
      <c r="J521" s="14"/>
      <c r="K521" s="12"/>
    </row>
    <row r="522" ht="19.5" customHeight="1">
      <c r="A522" s="12"/>
      <c r="C522" s="12"/>
      <c r="D522" s="87"/>
      <c r="F522" s="14"/>
      <c r="G522" s="14"/>
      <c r="H522" s="14"/>
      <c r="I522" s="14"/>
      <c r="J522" s="14"/>
      <c r="K522" s="12"/>
    </row>
    <row r="523" ht="19.5" customHeight="1">
      <c r="A523" s="12"/>
      <c r="C523" s="12"/>
      <c r="D523" s="87"/>
      <c r="F523" s="14"/>
      <c r="G523" s="14"/>
      <c r="H523" s="14"/>
      <c r="I523" s="14"/>
      <c r="J523" s="14"/>
      <c r="K523" s="12"/>
    </row>
    <row r="524" ht="19.5" customHeight="1">
      <c r="A524" s="12"/>
      <c r="C524" s="12"/>
      <c r="D524" s="87"/>
      <c r="F524" s="14"/>
      <c r="G524" s="14"/>
      <c r="H524" s="14"/>
      <c r="I524" s="14"/>
      <c r="J524" s="14"/>
      <c r="K524" s="12"/>
    </row>
    <row r="525" ht="19.5" customHeight="1">
      <c r="A525" s="12"/>
      <c r="C525" s="12"/>
      <c r="D525" s="87"/>
      <c r="F525" s="14"/>
      <c r="G525" s="14"/>
      <c r="H525" s="14"/>
      <c r="I525" s="14"/>
      <c r="J525" s="14"/>
      <c r="K525" s="12"/>
    </row>
    <row r="526" ht="19.5" customHeight="1">
      <c r="A526" s="12"/>
      <c r="C526" s="12"/>
      <c r="D526" s="87"/>
      <c r="F526" s="14"/>
      <c r="G526" s="14"/>
      <c r="H526" s="14"/>
      <c r="I526" s="14"/>
      <c r="J526" s="14"/>
      <c r="K526" s="12"/>
    </row>
    <row r="527" ht="19.5" customHeight="1">
      <c r="A527" s="12"/>
      <c r="C527" s="12"/>
      <c r="D527" s="87"/>
      <c r="F527" s="14"/>
      <c r="G527" s="14"/>
      <c r="H527" s="14"/>
      <c r="I527" s="14"/>
      <c r="J527" s="14"/>
      <c r="K527" s="12"/>
    </row>
    <row r="528" ht="19.5" customHeight="1">
      <c r="A528" s="12"/>
      <c r="C528" s="12"/>
      <c r="D528" s="87"/>
      <c r="F528" s="14"/>
      <c r="G528" s="14"/>
      <c r="H528" s="14"/>
      <c r="I528" s="14"/>
      <c r="J528" s="14"/>
      <c r="K528" s="12"/>
    </row>
    <row r="529" ht="19.5" customHeight="1">
      <c r="A529" s="12"/>
      <c r="C529" s="12"/>
      <c r="D529" s="87"/>
      <c r="F529" s="14"/>
      <c r="G529" s="14"/>
      <c r="H529" s="14"/>
      <c r="I529" s="14"/>
      <c r="J529" s="14"/>
      <c r="K529" s="12"/>
    </row>
    <row r="530" ht="19.5" customHeight="1">
      <c r="A530" s="12"/>
      <c r="C530" s="12"/>
      <c r="D530" s="87"/>
      <c r="F530" s="14"/>
      <c r="G530" s="14"/>
      <c r="H530" s="14"/>
      <c r="I530" s="14"/>
      <c r="J530" s="14"/>
      <c r="K530" s="12"/>
    </row>
    <row r="531" ht="19.5" customHeight="1">
      <c r="A531" s="12"/>
      <c r="C531" s="12"/>
      <c r="D531" s="87"/>
      <c r="F531" s="14"/>
      <c r="G531" s="14"/>
      <c r="H531" s="14"/>
      <c r="I531" s="14"/>
      <c r="J531" s="14"/>
      <c r="K531" s="12"/>
    </row>
    <row r="532" ht="19.5" customHeight="1">
      <c r="A532" s="12"/>
      <c r="C532" s="12"/>
      <c r="D532" s="87"/>
      <c r="F532" s="14"/>
      <c r="G532" s="14"/>
      <c r="H532" s="14"/>
      <c r="I532" s="14"/>
      <c r="J532" s="14"/>
      <c r="K532" s="12"/>
    </row>
    <row r="533" ht="19.5" customHeight="1">
      <c r="A533" s="12"/>
      <c r="C533" s="12"/>
      <c r="D533" s="87"/>
      <c r="F533" s="14"/>
      <c r="G533" s="14"/>
      <c r="H533" s="14"/>
      <c r="I533" s="14"/>
      <c r="J533" s="14"/>
      <c r="K533" s="12"/>
    </row>
    <row r="534" ht="19.5" customHeight="1">
      <c r="A534" s="12"/>
      <c r="C534" s="12"/>
      <c r="D534" s="87"/>
      <c r="F534" s="14"/>
      <c r="G534" s="14"/>
      <c r="H534" s="14"/>
      <c r="I534" s="14"/>
      <c r="J534" s="14"/>
      <c r="K534" s="12"/>
    </row>
    <row r="535" ht="19.5" customHeight="1">
      <c r="A535" s="12"/>
      <c r="C535" s="12"/>
      <c r="D535" s="87"/>
      <c r="F535" s="14"/>
      <c r="G535" s="14"/>
      <c r="H535" s="14"/>
      <c r="I535" s="14"/>
      <c r="J535" s="14"/>
      <c r="K535" s="12"/>
    </row>
    <row r="536" ht="19.5" customHeight="1">
      <c r="A536" s="12"/>
      <c r="C536" s="12"/>
      <c r="D536" s="87"/>
      <c r="F536" s="14"/>
      <c r="G536" s="14"/>
      <c r="H536" s="14"/>
      <c r="I536" s="14"/>
      <c r="J536" s="14"/>
      <c r="K536" s="12"/>
    </row>
    <row r="537" ht="19.5" customHeight="1">
      <c r="A537" s="12"/>
      <c r="C537" s="12"/>
      <c r="D537" s="87"/>
      <c r="F537" s="14"/>
      <c r="G537" s="14"/>
      <c r="H537" s="14"/>
      <c r="I537" s="14"/>
      <c r="J537" s="14"/>
      <c r="K537" s="12"/>
    </row>
    <row r="538" ht="19.5" customHeight="1">
      <c r="A538" s="12"/>
      <c r="C538" s="12"/>
      <c r="D538" s="87"/>
      <c r="F538" s="14"/>
      <c r="G538" s="14"/>
      <c r="H538" s="14"/>
      <c r="I538" s="14"/>
      <c r="J538" s="14"/>
      <c r="K538" s="12"/>
    </row>
    <row r="539" ht="19.5" customHeight="1">
      <c r="A539" s="12"/>
      <c r="C539" s="12"/>
      <c r="D539" s="87"/>
      <c r="F539" s="14"/>
      <c r="G539" s="14"/>
      <c r="H539" s="14"/>
      <c r="I539" s="14"/>
      <c r="J539" s="14"/>
      <c r="K539" s="12"/>
    </row>
    <row r="540" ht="19.5" customHeight="1">
      <c r="A540" s="12"/>
      <c r="C540" s="12"/>
      <c r="D540" s="87"/>
      <c r="F540" s="14"/>
      <c r="G540" s="14"/>
      <c r="H540" s="14"/>
      <c r="I540" s="14"/>
      <c r="J540" s="14"/>
      <c r="K540" s="12"/>
    </row>
    <row r="541" ht="19.5" customHeight="1">
      <c r="A541" s="12"/>
      <c r="C541" s="12"/>
      <c r="D541" s="87"/>
      <c r="F541" s="14"/>
      <c r="G541" s="14"/>
      <c r="H541" s="14"/>
      <c r="I541" s="14"/>
      <c r="J541" s="14"/>
      <c r="K541" s="12"/>
    </row>
    <row r="542" ht="19.5" customHeight="1">
      <c r="A542" s="12"/>
      <c r="C542" s="12"/>
      <c r="D542" s="87"/>
      <c r="F542" s="14"/>
      <c r="G542" s="14"/>
      <c r="H542" s="14"/>
      <c r="I542" s="14"/>
      <c r="J542" s="14"/>
      <c r="K542" s="12"/>
    </row>
    <row r="543" ht="19.5" customHeight="1">
      <c r="A543" s="12"/>
      <c r="C543" s="12"/>
      <c r="D543" s="87"/>
      <c r="F543" s="14"/>
      <c r="G543" s="14"/>
      <c r="H543" s="14"/>
      <c r="I543" s="14"/>
      <c r="J543" s="14"/>
      <c r="K543" s="12"/>
    </row>
    <row r="544" ht="19.5" customHeight="1">
      <c r="A544" s="12"/>
      <c r="C544" s="12"/>
      <c r="D544" s="87"/>
      <c r="F544" s="14"/>
      <c r="G544" s="14"/>
      <c r="H544" s="14"/>
      <c r="I544" s="14"/>
      <c r="J544" s="14"/>
      <c r="K544" s="12"/>
    </row>
    <row r="545" ht="19.5" customHeight="1">
      <c r="A545" s="12"/>
      <c r="C545" s="12"/>
      <c r="D545" s="87"/>
      <c r="F545" s="14"/>
      <c r="G545" s="14"/>
      <c r="H545" s="14"/>
      <c r="I545" s="14"/>
      <c r="J545" s="14"/>
      <c r="K545" s="12"/>
    </row>
    <row r="546" ht="19.5" customHeight="1">
      <c r="A546" s="12"/>
      <c r="C546" s="12"/>
      <c r="D546" s="87"/>
      <c r="F546" s="14"/>
      <c r="G546" s="14"/>
      <c r="H546" s="14"/>
      <c r="I546" s="14"/>
      <c r="J546" s="14"/>
      <c r="K546" s="12"/>
    </row>
    <row r="547" ht="19.5" customHeight="1">
      <c r="A547" s="12"/>
      <c r="C547" s="12"/>
      <c r="D547" s="87"/>
      <c r="F547" s="14"/>
      <c r="G547" s="14"/>
      <c r="H547" s="14"/>
      <c r="I547" s="14"/>
      <c r="J547" s="14"/>
      <c r="K547" s="12"/>
    </row>
    <row r="548" ht="19.5" customHeight="1">
      <c r="A548" s="12"/>
      <c r="C548" s="12"/>
      <c r="D548" s="87"/>
      <c r="F548" s="14"/>
      <c r="G548" s="14"/>
      <c r="H548" s="14"/>
      <c r="I548" s="14"/>
      <c r="J548" s="14"/>
      <c r="K548" s="12"/>
    </row>
    <row r="549" ht="19.5" customHeight="1">
      <c r="A549" s="12"/>
      <c r="C549" s="12"/>
      <c r="D549" s="87"/>
      <c r="F549" s="14"/>
      <c r="G549" s="14"/>
      <c r="H549" s="14"/>
      <c r="I549" s="14"/>
      <c r="J549" s="14"/>
      <c r="K549" s="12"/>
    </row>
    <row r="550" ht="19.5" customHeight="1">
      <c r="A550" s="12"/>
      <c r="C550" s="12"/>
      <c r="D550" s="87"/>
      <c r="F550" s="14"/>
      <c r="G550" s="14"/>
      <c r="H550" s="14"/>
      <c r="I550" s="14"/>
      <c r="J550" s="14"/>
      <c r="K550" s="12"/>
    </row>
    <row r="551" ht="19.5" customHeight="1">
      <c r="A551" s="12"/>
      <c r="C551" s="12"/>
      <c r="D551" s="87"/>
      <c r="F551" s="14"/>
      <c r="G551" s="14"/>
      <c r="H551" s="14"/>
      <c r="I551" s="14"/>
      <c r="J551" s="14"/>
      <c r="K551" s="12"/>
    </row>
    <row r="552" ht="19.5" customHeight="1">
      <c r="A552" s="12"/>
      <c r="C552" s="12"/>
      <c r="D552" s="87"/>
      <c r="F552" s="14"/>
      <c r="G552" s="14"/>
      <c r="H552" s="14"/>
      <c r="I552" s="14"/>
      <c r="J552" s="14"/>
      <c r="K552" s="12"/>
    </row>
    <row r="553" ht="19.5" customHeight="1">
      <c r="A553" s="12"/>
      <c r="C553" s="12"/>
      <c r="D553" s="87"/>
      <c r="F553" s="14"/>
      <c r="G553" s="14"/>
      <c r="H553" s="14"/>
      <c r="I553" s="14"/>
      <c r="J553" s="14"/>
      <c r="K553" s="12"/>
    </row>
    <row r="554" ht="19.5" customHeight="1">
      <c r="A554" s="12"/>
      <c r="C554" s="12"/>
      <c r="D554" s="87"/>
      <c r="F554" s="14"/>
      <c r="G554" s="14"/>
      <c r="H554" s="14"/>
      <c r="I554" s="14"/>
      <c r="J554" s="14"/>
      <c r="K554" s="12"/>
    </row>
    <row r="555" ht="19.5" customHeight="1">
      <c r="A555" s="12"/>
      <c r="C555" s="12"/>
      <c r="D555" s="87"/>
      <c r="F555" s="14"/>
      <c r="G555" s="14"/>
      <c r="H555" s="14"/>
      <c r="I555" s="14"/>
      <c r="J555" s="14"/>
      <c r="K555" s="12"/>
    </row>
    <row r="556" ht="19.5" customHeight="1">
      <c r="A556" s="12"/>
      <c r="C556" s="12"/>
      <c r="D556" s="87"/>
      <c r="F556" s="14"/>
      <c r="G556" s="14"/>
      <c r="H556" s="14"/>
      <c r="I556" s="14"/>
      <c r="J556" s="14"/>
      <c r="K556" s="12"/>
    </row>
    <row r="557" ht="19.5" customHeight="1">
      <c r="A557" s="12"/>
      <c r="C557" s="12"/>
      <c r="D557" s="87"/>
      <c r="F557" s="14"/>
      <c r="G557" s="14"/>
      <c r="H557" s="14"/>
      <c r="I557" s="14"/>
      <c r="J557" s="14"/>
      <c r="K557" s="12"/>
    </row>
    <row r="558" ht="19.5" customHeight="1">
      <c r="A558" s="12"/>
      <c r="C558" s="12"/>
      <c r="D558" s="87"/>
      <c r="F558" s="14"/>
      <c r="G558" s="14"/>
      <c r="H558" s="14"/>
      <c r="I558" s="14"/>
      <c r="J558" s="14"/>
      <c r="K558" s="12"/>
    </row>
    <row r="559" ht="19.5" customHeight="1">
      <c r="A559" s="12"/>
      <c r="C559" s="12"/>
      <c r="D559" s="87"/>
      <c r="F559" s="14"/>
      <c r="G559" s="14"/>
      <c r="H559" s="14"/>
      <c r="I559" s="14"/>
      <c r="J559" s="14"/>
      <c r="K559" s="12"/>
    </row>
    <row r="560" ht="19.5" customHeight="1">
      <c r="A560" s="12"/>
      <c r="C560" s="12"/>
      <c r="D560" s="87"/>
      <c r="F560" s="14"/>
      <c r="G560" s="14"/>
      <c r="H560" s="14"/>
      <c r="I560" s="14"/>
      <c r="J560" s="14"/>
      <c r="K560" s="12"/>
    </row>
    <row r="561" ht="19.5" customHeight="1">
      <c r="A561" s="12"/>
      <c r="C561" s="12"/>
      <c r="D561" s="87"/>
      <c r="F561" s="14"/>
      <c r="G561" s="14"/>
      <c r="H561" s="14"/>
      <c r="I561" s="14"/>
      <c r="J561" s="14"/>
      <c r="K561" s="12"/>
    </row>
    <row r="562" ht="19.5" customHeight="1">
      <c r="A562" s="12"/>
      <c r="C562" s="12"/>
      <c r="D562" s="87"/>
      <c r="F562" s="14"/>
      <c r="G562" s="14"/>
      <c r="H562" s="14"/>
      <c r="I562" s="14"/>
      <c r="J562" s="14"/>
      <c r="K562" s="12"/>
    </row>
    <row r="563" ht="19.5" customHeight="1">
      <c r="A563" s="12"/>
      <c r="C563" s="12"/>
      <c r="D563" s="87"/>
      <c r="F563" s="14"/>
      <c r="G563" s="14"/>
      <c r="H563" s="14"/>
      <c r="I563" s="14"/>
      <c r="J563" s="14"/>
      <c r="K563" s="12"/>
    </row>
    <row r="564" ht="19.5" customHeight="1">
      <c r="A564" s="12"/>
      <c r="C564" s="12"/>
      <c r="D564" s="87"/>
      <c r="F564" s="14"/>
      <c r="G564" s="14"/>
      <c r="H564" s="14"/>
      <c r="I564" s="14"/>
      <c r="J564" s="14"/>
      <c r="K564" s="12"/>
    </row>
    <row r="565" ht="19.5" customHeight="1">
      <c r="A565" s="12"/>
      <c r="C565" s="12"/>
      <c r="D565" s="87"/>
      <c r="F565" s="14"/>
      <c r="G565" s="14"/>
      <c r="H565" s="14"/>
      <c r="I565" s="14"/>
      <c r="J565" s="14"/>
      <c r="K565" s="12"/>
    </row>
    <row r="566" ht="19.5" customHeight="1">
      <c r="A566" s="12"/>
      <c r="C566" s="12"/>
      <c r="D566" s="87"/>
      <c r="F566" s="14"/>
      <c r="G566" s="14"/>
      <c r="H566" s="14"/>
      <c r="I566" s="14"/>
      <c r="J566" s="14"/>
      <c r="K566" s="12"/>
    </row>
    <row r="567" ht="19.5" customHeight="1">
      <c r="A567" s="12"/>
      <c r="C567" s="12"/>
      <c r="D567" s="87"/>
      <c r="F567" s="14"/>
      <c r="G567" s="14"/>
      <c r="H567" s="14"/>
      <c r="I567" s="14"/>
      <c r="J567" s="14"/>
      <c r="K567" s="12"/>
    </row>
    <row r="568" ht="19.5" customHeight="1">
      <c r="A568" s="12"/>
      <c r="C568" s="12"/>
      <c r="D568" s="87"/>
      <c r="F568" s="14"/>
      <c r="G568" s="14"/>
      <c r="H568" s="14"/>
      <c r="I568" s="14"/>
      <c r="J568" s="14"/>
      <c r="K568" s="12"/>
    </row>
    <row r="569" ht="19.5" customHeight="1">
      <c r="A569" s="12"/>
      <c r="C569" s="12"/>
      <c r="D569" s="87"/>
      <c r="F569" s="14"/>
      <c r="G569" s="14"/>
      <c r="H569" s="14"/>
      <c r="I569" s="14"/>
      <c r="J569" s="14"/>
      <c r="K569" s="12"/>
    </row>
    <row r="570" ht="19.5" customHeight="1">
      <c r="A570" s="12"/>
      <c r="C570" s="12"/>
      <c r="D570" s="87"/>
      <c r="F570" s="14"/>
      <c r="G570" s="14"/>
      <c r="H570" s="14"/>
      <c r="I570" s="14"/>
      <c r="J570" s="14"/>
      <c r="K570" s="12"/>
    </row>
    <row r="571" ht="19.5" customHeight="1">
      <c r="A571" s="12"/>
      <c r="C571" s="12"/>
      <c r="D571" s="87"/>
      <c r="F571" s="14"/>
      <c r="G571" s="14"/>
      <c r="H571" s="14"/>
      <c r="I571" s="14"/>
      <c r="J571" s="14"/>
      <c r="K571" s="12"/>
    </row>
    <row r="572" ht="19.5" customHeight="1">
      <c r="A572" s="12"/>
      <c r="C572" s="12"/>
      <c r="D572" s="87"/>
      <c r="F572" s="14"/>
      <c r="G572" s="14"/>
      <c r="H572" s="14"/>
      <c r="I572" s="14"/>
      <c r="J572" s="14"/>
      <c r="K572" s="12"/>
    </row>
    <row r="573" ht="19.5" customHeight="1">
      <c r="A573" s="12"/>
      <c r="C573" s="12"/>
      <c r="D573" s="87"/>
      <c r="F573" s="14"/>
      <c r="G573" s="14"/>
      <c r="H573" s="14"/>
      <c r="I573" s="14"/>
      <c r="J573" s="14"/>
      <c r="K573" s="12"/>
    </row>
    <row r="574" ht="19.5" customHeight="1">
      <c r="A574" s="12"/>
      <c r="C574" s="12"/>
      <c r="D574" s="87"/>
      <c r="F574" s="14"/>
      <c r="G574" s="14"/>
      <c r="H574" s="14"/>
      <c r="I574" s="14"/>
      <c r="J574" s="14"/>
      <c r="K574" s="12"/>
    </row>
    <row r="575" ht="19.5" customHeight="1">
      <c r="A575" s="12"/>
      <c r="C575" s="12"/>
      <c r="D575" s="87"/>
      <c r="F575" s="14"/>
      <c r="G575" s="14"/>
      <c r="H575" s="14"/>
      <c r="I575" s="14"/>
      <c r="J575" s="14"/>
      <c r="K575" s="12"/>
    </row>
    <row r="576" ht="19.5" customHeight="1">
      <c r="A576" s="12"/>
      <c r="C576" s="12"/>
      <c r="D576" s="87"/>
      <c r="F576" s="14"/>
      <c r="G576" s="14"/>
      <c r="H576" s="14"/>
      <c r="I576" s="14"/>
      <c r="J576" s="14"/>
      <c r="K576" s="12"/>
    </row>
    <row r="577" ht="19.5" customHeight="1">
      <c r="A577" s="12"/>
      <c r="C577" s="12"/>
      <c r="D577" s="87"/>
      <c r="F577" s="14"/>
      <c r="G577" s="14"/>
      <c r="H577" s="14"/>
      <c r="I577" s="14"/>
      <c r="J577" s="14"/>
      <c r="K577" s="12"/>
    </row>
    <row r="578" ht="19.5" customHeight="1">
      <c r="A578" s="12"/>
      <c r="C578" s="12"/>
      <c r="D578" s="87"/>
      <c r="F578" s="14"/>
      <c r="G578" s="14"/>
      <c r="H578" s="14"/>
      <c r="I578" s="14"/>
      <c r="J578" s="14"/>
      <c r="K578" s="12"/>
    </row>
    <row r="579" ht="19.5" customHeight="1">
      <c r="A579" s="12"/>
      <c r="C579" s="12"/>
      <c r="D579" s="87"/>
      <c r="F579" s="14"/>
      <c r="G579" s="14"/>
      <c r="H579" s="14"/>
      <c r="I579" s="14"/>
      <c r="J579" s="14"/>
      <c r="K579" s="12"/>
    </row>
    <row r="580" ht="19.5" customHeight="1">
      <c r="A580" s="12"/>
      <c r="C580" s="12"/>
      <c r="D580" s="87"/>
      <c r="F580" s="14"/>
      <c r="G580" s="14"/>
      <c r="H580" s="14"/>
      <c r="I580" s="14"/>
      <c r="J580" s="14"/>
      <c r="K580" s="12"/>
    </row>
    <row r="581" ht="19.5" customHeight="1">
      <c r="A581" s="12"/>
      <c r="C581" s="12"/>
      <c r="D581" s="87"/>
      <c r="F581" s="14"/>
      <c r="G581" s="14"/>
      <c r="H581" s="14"/>
      <c r="I581" s="14"/>
      <c r="J581" s="14"/>
      <c r="K581" s="12"/>
    </row>
    <row r="582" ht="19.5" customHeight="1">
      <c r="A582" s="12"/>
      <c r="C582" s="12"/>
      <c r="D582" s="87"/>
      <c r="F582" s="14"/>
      <c r="G582" s="14"/>
      <c r="H582" s="14"/>
      <c r="I582" s="14"/>
      <c r="J582" s="14"/>
      <c r="K582" s="12"/>
    </row>
    <row r="583" ht="19.5" customHeight="1">
      <c r="A583" s="12"/>
      <c r="C583" s="12"/>
      <c r="D583" s="87"/>
      <c r="F583" s="14"/>
      <c r="G583" s="14"/>
      <c r="H583" s="14"/>
      <c r="I583" s="14"/>
      <c r="J583" s="14"/>
      <c r="K583" s="12"/>
    </row>
    <row r="584" ht="19.5" customHeight="1">
      <c r="A584" s="12"/>
      <c r="C584" s="12"/>
      <c r="D584" s="87"/>
      <c r="F584" s="14"/>
      <c r="G584" s="14"/>
      <c r="H584" s="14"/>
      <c r="I584" s="14"/>
      <c r="J584" s="14"/>
      <c r="K584" s="12"/>
    </row>
    <row r="585" ht="19.5" customHeight="1">
      <c r="A585" s="12"/>
      <c r="C585" s="12"/>
      <c r="D585" s="87"/>
      <c r="F585" s="14"/>
      <c r="G585" s="14"/>
      <c r="H585" s="14"/>
      <c r="I585" s="14"/>
      <c r="J585" s="14"/>
      <c r="K585" s="12"/>
    </row>
    <row r="586" ht="19.5" customHeight="1">
      <c r="A586" s="12"/>
      <c r="C586" s="12"/>
      <c r="D586" s="87"/>
      <c r="F586" s="14"/>
      <c r="G586" s="14"/>
      <c r="H586" s="14"/>
      <c r="I586" s="14"/>
      <c r="J586" s="14"/>
      <c r="K586" s="12"/>
    </row>
    <row r="587" ht="19.5" customHeight="1">
      <c r="A587" s="12"/>
      <c r="C587" s="12"/>
      <c r="D587" s="87"/>
      <c r="F587" s="14"/>
      <c r="G587" s="14"/>
      <c r="H587" s="14"/>
      <c r="I587" s="14"/>
      <c r="J587" s="14"/>
      <c r="K587" s="12"/>
    </row>
    <row r="588" ht="19.5" customHeight="1">
      <c r="A588" s="12"/>
      <c r="C588" s="12"/>
      <c r="D588" s="87"/>
      <c r="F588" s="14"/>
      <c r="G588" s="14"/>
      <c r="H588" s="14"/>
      <c r="I588" s="14"/>
      <c r="J588" s="14"/>
      <c r="K588" s="12"/>
    </row>
    <row r="589" ht="19.5" customHeight="1">
      <c r="A589" s="12"/>
      <c r="C589" s="12"/>
      <c r="D589" s="87"/>
      <c r="F589" s="14"/>
      <c r="G589" s="14"/>
      <c r="H589" s="14"/>
      <c r="I589" s="14"/>
      <c r="J589" s="14"/>
      <c r="K589" s="12"/>
    </row>
    <row r="590" ht="19.5" customHeight="1">
      <c r="A590" s="12"/>
      <c r="C590" s="12"/>
      <c r="D590" s="87"/>
      <c r="F590" s="14"/>
      <c r="G590" s="14"/>
      <c r="H590" s="14"/>
      <c r="I590" s="14"/>
      <c r="J590" s="14"/>
      <c r="K590" s="12"/>
    </row>
    <row r="591" ht="19.5" customHeight="1">
      <c r="A591" s="12"/>
      <c r="C591" s="12"/>
      <c r="D591" s="87"/>
      <c r="F591" s="14"/>
      <c r="G591" s="14"/>
      <c r="H591" s="14"/>
      <c r="I591" s="14"/>
      <c r="J591" s="14"/>
      <c r="K591" s="12"/>
    </row>
    <row r="592" ht="19.5" customHeight="1">
      <c r="A592" s="12"/>
      <c r="C592" s="12"/>
      <c r="D592" s="87"/>
      <c r="F592" s="14"/>
      <c r="G592" s="14"/>
      <c r="H592" s="14"/>
      <c r="I592" s="14"/>
      <c r="J592" s="14"/>
      <c r="K592" s="12"/>
    </row>
    <row r="593" ht="19.5" customHeight="1">
      <c r="A593" s="12"/>
      <c r="C593" s="12"/>
      <c r="D593" s="87"/>
      <c r="F593" s="14"/>
      <c r="G593" s="14"/>
      <c r="H593" s="14"/>
      <c r="I593" s="14"/>
      <c r="J593" s="14"/>
      <c r="K593" s="12"/>
    </row>
    <row r="594" ht="19.5" customHeight="1">
      <c r="A594" s="12"/>
      <c r="C594" s="12"/>
      <c r="D594" s="87"/>
      <c r="F594" s="14"/>
      <c r="G594" s="14"/>
      <c r="H594" s="14"/>
      <c r="I594" s="14"/>
      <c r="J594" s="14"/>
      <c r="K594" s="12"/>
    </row>
    <row r="595" ht="19.5" customHeight="1">
      <c r="A595" s="12"/>
      <c r="C595" s="12"/>
      <c r="D595" s="87"/>
      <c r="F595" s="14"/>
      <c r="G595" s="14"/>
      <c r="H595" s="14"/>
      <c r="I595" s="14"/>
      <c r="J595" s="14"/>
      <c r="K595" s="12"/>
    </row>
    <row r="596" ht="19.5" customHeight="1">
      <c r="A596" s="12"/>
      <c r="C596" s="12"/>
      <c r="D596" s="87"/>
      <c r="F596" s="14"/>
      <c r="G596" s="14"/>
      <c r="H596" s="14"/>
      <c r="I596" s="14"/>
      <c r="J596" s="14"/>
      <c r="K596" s="12"/>
    </row>
    <row r="597" ht="19.5" customHeight="1">
      <c r="A597" s="12"/>
      <c r="C597" s="12"/>
      <c r="D597" s="87"/>
      <c r="F597" s="14"/>
      <c r="G597" s="14"/>
      <c r="H597" s="14"/>
      <c r="I597" s="14"/>
      <c r="J597" s="14"/>
      <c r="K597" s="12"/>
    </row>
    <row r="598" ht="19.5" customHeight="1">
      <c r="A598" s="12"/>
      <c r="C598" s="12"/>
      <c r="D598" s="87"/>
      <c r="F598" s="14"/>
      <c r="G598" s="14"/>
      <c r="H598" s="14"/>
      <c r="I598" s="14"/>
      <c r="J598" s="14"/>
      <c r="K598" s="12"/>
    </row>
    <row r="599" ht="19.5" customHeight="1">
      <c r="A599" s="12"/>
      <c r="C599" s="12"/>
      <c r="D599" s="87"/>
      <c r="F599" s="14"/>
      <c r="G599" s="14"/>
      <c r="H599" s="14"/>
      <c r="I599" s="14"/>
      <c r="J599" s="14"/>
      <c r="K599" s="12"/>
    </row>
    <row r="600" ht="19.5" customHeight="1">
      <c r="A600" s="12"/>
      <c r="C600" s="12"/>
      <c r="D600" s="87"/>
      <c r="F600" s="14"/>
      <c r="G600" s="14"/>
      <c r="H600" s="14"/>
      <c r="I600" s="14"/>
      <c r="J600" s="14"/>
      <c r="K600" s="12"/>
    </row>
    <row r="601" ht="19.5" customHeight="1">
      <c r="A601" s="12"/>
      <c r="C601" s="12"/>
      <c r="D601" s="87"/>
      <c r="F601" s="14"/>
      <c r="G601" s="14"/>
      <c r="H601" s="14"/>
      <c r="I601" s="14"/>
      <c r="J601" s="14"/>
      <c r="K601" s="12"/>
    </row>
    <row r="602" ht="19.5" customHeight="1">
      <c r="A602" s="12"/>
      <c r="C602" s="12"/>
      <c r="D602" s="87"/>
      <c r="F602" s="14"/>
      <c r="G602" s="14"/>
      <c r="H602" s="14"/>
      <c r="I602" s="14"/>
      <c r="J602" s="14"/>
      <c r="K602" s="12"/>
    </row>
    <row r="603" ht="19.5" customHeight="1">
      <c r="A603" s="12"/>
      <c r="C603" s="12"/>
      <c r="D603" s="87"/>
      <c r="F603" s="14"/>
      <c r="G603" s="14"/>
      <c r="H603" s="14"/>
      <c r="I603" s="14"/>
      <c r="J603" s="14"/>
      <c r="K603" s="12"/>
    </row>
    <row r="604" ht="19.5" customHeight="1">
      <c r="A604" s="12"/>
      <c r="C604" s="12"/>
      <c r="D604" s="87"/>
      <c r="F604" s="14"/>
      <c r="G604" s="14"/>
      <c r="H604" s="14"/>
      <c r="I604" s="14"/>
      <c r="J604" s="14"/>
      <c r="K604" s="12"/>
    </row>
    <row r="605" ht="19.5" customHeight="1">
      <c r="A605" s="12"/>
      <c r="C605" s="12"/>
      <c r="D605" s="87"/>
      <c r="F605" s="14"/>
      <c r="G605" s="14"/>
      <c r="H605" s="14"/>
      <c r="I605" s="14"/>
      <c r="J605" s="14"/>
      <c r="K605" s="12"/>
    </row>
    <row r="606" ht="19.5" customHeight="1">
      <c r="A606" s="12"/>
      <c r="C606" s="12"/>
      <c r="D606" s="87"/>
      <c r="F606" s="14"/>
      <c r="G606" s="14"/>
      <c r="H606" s="14"/>
      <c r="I606" s="14"/>
      <c r="J606" s="14"/>
      <c r="K606" s="12"/>
    </row>
    <row r="607" ht="19.5" customHeight="1">
      <c r="A607" s="12"/>
      <c r="C607" s="12"/>
      <c r="D607" s="87"/>
      <c r="F607" s="14"/>
      <c r="G607" s="14"/>
      <c r="H607" s="14"/>
      <c r="I607" s="14"/>
      <c r="J607" s="14"/>
      <c r="K607" s="12"/>
    </row>
    <row r="608" ht="19.5" customHeight="1">
      <c r="A608" s="12"/>
      <c r="C608" s="12"/>
      <c r="D608" s="87"/>
      <c r="F608" s="14"/>
      <c r="G608" s="14"/>
      <c r="H608" s="14"/>
      <c r="I608" s="14"/>
      <c r="J608" s="14"/>
      <c r="K608" s="12"/>
    </row>
    <row r="609" ht="19.5" customHeight="1">
      <c r="A609" s="12"/>
      <c r="C609" s="12"/>
      <c r="D609" s="87"/>
      <c r="F609" s="14"/>
      <c r="G609" s="14"/>
      <c r="H609" s="14"/>
      <c r="I609" s="14"/>
      <c r="J609" s="14"/>
      <c r="K609" s="12"/>
    </row>
    <row r="610" ht="19.5" customHeight="1">
      <c r="A610" s="12"/>
      <c r="C610" s="12"/>
      <c r="D610" s="87"/>
      <c r="F610" s="14"/>
      <c r="G610" s="14"/>
      <c r="H610" s="14"/>
      <c r="I610" s="14"/>
      <c r="J610" s="14"/>
      <c r="K610" s="12"/>
    </row>
    <row r="611" ht="19.5" customHeight="1">
      <c r="A611" s="12"/>
      <c r="C611" s="12"/>
      <c r="D611" s="87"/>
      <c r="F611" s="14"/>
      <c r="G611" s="14"/>
      <c r="H611" s="14"/>
      <c r="I611" s="14"/>
      <c r="J611" s="14"/>
      <c r="K611" s="12"/>
    </row>
    <row r="612" ht="19.5" customHeight="1">
      <c r="A612" s="12"/>
      <c r="C612" s="12"/>
      <c r="D612" s="87"/>
      <c r="F612" s="14"/>
      <c r="G612" s="14"/>
      <c r="H612" s="14"/>
      <c r="I612" s="14"/>
      <c r="J612" s="14"/>
      <c r="K612" s="12"/>
    </row>
    <row r="613" ht="19.5" customHeight="1">
      <c r="A613" s="12"/>
      <c r="C613" s="12"/>
      <c r="D613" s="87"/>
      <c r="F613" s="14"/>
      <c r="G613" s="14"/>
      <c r="H613" s="14"/>
      <c r="I613" s="14"/>
      <c r="J613" s="14"/>
      <c r="K613" s="12"/>
    </row>
    <row r="614" ht="19.5" customHeight="1">
      <c r="A614" s="12"/>
      <c r="C614" s="12"/>
      <c r="D614" s="87"/>
      <c r="F614" s="14"/>
      <c r="G614" s="14"/>
      <c r="H614" s="14"/>
      <c r="I614" s="14"/>
      <c r="J614" s="14"/>
      <c r="K614" s="12"/>
    </row>
    <row r="615" ht="19.5" customHeight="1">
      <c r="A615" s="12"/>
      <c r="C615" s="12"/>
      <c r="D615" s="87"/>
      <c r="F615" s="14"/>
      <c r="G615" s="14"/>
      <c r="H615" s="14"/>
      <c r="I615" s="14"/>
      <c r="J615" s="14"/>
      <c r="K615" s="12"/>
    </row>
    <row r="616" ht="19.5" customHeight="1">
      <c r="A616" s="12"/>
      <c r="C616" s="12"/>
      <c r="D616" s="87"/>
      <c r="F616" s="14"/>
      <c r="G616" s="14"/>
      <c r="H616" s="14"/>
      <c r="I616" s="14"/>
      <c r="J616" s="14"/>
      <c r="K616" s="12"/>
    </row>
    <row r="617" ht="19.5" customHeight="1">
      <c r="A617" s="12"/>
      <c r="C617" s="12"/>
      <c r="D617" s="87"/>
      <c r="F617" s="14"/>
      <c r="G617" s="14"/>
      <c r="H617" s="14"/>
      <c r="I617" s="14"/>
      <c r="J617" s="14"/>
      <c r="K617" s="12"/>
    </row>
    <row r="618" ht="19.5" customHeight="1">
      <c r="A618" s="12"/>
      <c r="C618" s="12"/>
      <c r="D618" s="87"/>
      <c r="F618" s="14"/>
      <c r="G618" s="14"/>
      <c r="H618" s="14"/>
      <c r="I618" s="14"/>
      <c r="J618" s="14"/>
      <c r="K618" s="12"/>
    </row>
    <row r="619" ht="19.5" customHeight="1">
      <c r="A619" s="12"/>
      <c r="C619" s="12"/>
      <c r="D619" s="87"/>
      <c r="F619" s="14"/>
      <c r="G619" s="14"/>
      <c r="H619" s="14"/>
      <c r="I619" s="14"/>
      <c r="J619" s="14"/>
      <c r="K619" s="12"/>
    </row>
    <row r="620" ht="19.5" customHeight="1">
      <c r="A620" s="12"/>
      <c r="C620" s="12"/>
      <c r="D620" s="87"/>
      <c r="F620" s="14"/>
      <c r="G620" s="14"/>
      <c r="H620" s="14"/>
      <c r="I620" s="14"/>
      <c r="J620" s="14"/>
      <c r="K620" s="12"/>
    </row>
    <row r="621" ht="19.5" customHeight="1">
      <c r="A621" s="12"/>
      <c r="C621" s="12"/>
      <c r="D621" s="87"/>
      <c r="F621" s="14"/>
      <c r="G621" s="14"/>
      <c r="H621" s="14"/>
      <c r="I621" s="14"/>
      <c r="J621" s="14"/>
      <c r="K621" s="12"/>
    </row>
    <row r="622" ht="19.5" customHeight="1">
      <c r="A622" s="12"/>
      <c r="C622" s="12"/>
      <c r="D622" s="87"/>
      <c r="F622" s="14"/>
      <c r="G622" s="14"/>
      <c r="H622" s="14"/>
      <c r="I622" s="14"/>
      <c r="J622" s="14"/>
      <c r="K622" s="12"/>
    </row>
    <row r="623" ht="19.5" customHeight="1">
      <c r="A623" s="12"/>
      <c r="C623" s="12"/>
      <c r="D623" s="87"/>
      <c r="F623" s="14"/>
      <c r="G623" s="14"/>
      <c r="H623" s="14"/>
      <c r="I623" s="14"/>
      <c r="J623" s="14"/>
      <c r="K623" s="12"/>
    </row>
    <row r="624" ht="19.5" customHeight="1">
      <c r="A624" s="12"/>
      <c r="C624" s="12"/>
      <c r="D624" s="87"/>
      <c r="F624" s="14"/>
      <c r="G624" s="14"/>
      <c r="H624" s="14"/>
      <c r="I624" s="14"/>
      <c r="J624" s="14"/>
      <c r="K624" s="12"/>
    </row>
    <row r="625" ht="19.5" customHeight="1">
      <c r="A625" s="12"/>
      <c r="C625" s="12"/>
      <c r="D625" s="87"/>
      <c r="F625" s="14"/>
      <c r="G625" s="14"/>
      <c r="H625" s="14"/>
      <c r="I625" s="14"/>
      <c r="J625" s="14"/>
      <c r="K625" s="12"/>
    </row>
    <row r="626" ht="19.5" customHeight="1">
      <c r="A626" s="12"/>
      <c r="C626" s="12"/>
      <c r="D626" s="87"/>
      <c r="F626" s="14"/>
      <c r="G626" s="14"/>
      <c r="H626" s="14"/>
      <c r="I626" s="14"/>
      <c r="J626" s="14"/>
      <c r="K626" s="12"/>
    </row>
    <row r="627" ht="19.5" customHeight="1">
      <c r="A627" s="12"/>
      <c r="C627" s="12"/>
      <c r="D627" s="87"/>
      <c r="F627" s="14"/>
      <c r="G627" s="14"/>
      <c r="H627" s="14"/>
      <c r="I627" s="14"/>
      <c r="J627" s="14"/>
      <c r="K627" s="12"/>
    </row>
    <row r="628" ht="19.5" customHeight="1">
      <c r="A628" s="12"/>
      <c r="C628" s="12"/>
      <c r="D628" s="87"/>
      <c r="F628" s="14"/>
      <c r="G628" s="14"/>
      <c r="H628" s="14"/>
      <c r="I628" s="14"/>
      <c r="J628" s="14"/>
      <c r="K628" s="12"/>
    </row>
    <row r="629" ht="19.5" customHeight="1">
      <c r="A629" s="12"/>
      <c r="C629" s="12"/>
      <c r="D629" s="87"/>
      <c r="F629" s="14"/>
      <c r="G629" s="14"/>
      <c r="H629" s="14"/>
      <c r="I629" s="14"/>
      <c r="J629" s="14"/>
      <c r="K629" s="12"/>
    </row>
    <row r="630" ht="19.5" customHeight="1">
      <c r="A630" s="12"/>
      <c r="C630" s="12"/>
      <c r="D630" s="87"/>
      <c r="F630" s="14"/>
      <c r="G630" s="14"/>
      <c r="H630" s="14"/>
      <c r="I630" s="14"/>
      <c r="J630" s="14"/>
      <c r="K630" s="12"/>
    </row>
    <row r="631" ht="19.5" customHeight="1">
      <c r="A631" s="12"/>
      <c r="C631" s="12"/>
      <c r="D631" s="87"/>
      <c r="F631" s="14"/>
      <c r="G631" s="14"/>
      <c r="H631" s="14"/>
      <c r="I631" s="14"/>
      <c r="J631" s="14"/>
      <c r="K631" s="12"/>
    </row>
    <row r="632" ht="19.5" customHeight="1">
      <c r="A632" s="12"/>
      <c r="C632" s="12"/>
      <c r="D632" s="87"/>
      <c r="F632" s="14"/>
      <c r="G632" s="14"/>
      <c r="H632" s="14"/>
      <c r="I632" s="14"/>
      <c r="J632" s="14"/>
      <c r="K632" s="12"/>
    </row>
    <row r="633" ht="19.5" customHeight="1">
      <c r="A633" s="12"/>
      <c r="C633" s="12"/>
      <c r="D633" s="87"/>
      <c r="F633" s="14"/>
      <c r="G633" s="14"/>
      <c r="H633" s="14"/>
      <c r="I633" s="14"/>
      <c r="J633" s="14"/>
      <c r="K633" s="12"/>
    </row>
    <row r="634" ht="19.5" customHeight="1">
      <c r="A634" s="12"/>
      <c r="C634" s="12"/>
      <c r="D634" s="87"/>
      <c r="F634" s="14"/>
      <c r="G634" s="14"/>
      <c r="H634" s="14"/>
      <c r="I634" s="14"/>
      <c r="J634" s="14"/>
      <c r="K634" s="12"/>
    </row>
    <row r="635" ht="19.5" customHeight="1">
      <c r="A635" s="12"/>
      <c r="C635" s="12"/>
      <c r="D635" s="87"/>
      <c r="F635" s="14"/>
      <c r="G635" s="14"/>
      <c r="H635" s="14"/>
      <c r="I635" s="14"/>
      <c r="J635" s="14"/>
      <c r="K635" s="12"/>
    </row>
    <row r="636" ht="19.5" customHeight="1">
      <c r="A636" s="12"/>
      <c r="C636" s="12"/>
      <c r="D636" s="87"/>
      <c r="F636" s="14"/>
      <c r="G636" s="14"/>
      <c r="H636" s="14"/>
      <c r="I636" s="14"/>
      <c r="J636" s="14"/>
      <c r="K636" s="12"/>
    </row>
    <row r="637" ht="19.5" customHeight="1">
      <c r="A637" s="12"/>
      <c r="C637" s="12"/>
      <c r="D637" s="87"/>
      <c r="F637" s="14"/>
      <c r="G637" s="14"/>
      <c r="H637" s="14"/>
      <c r="I637" s="14"/>
      <c r="J637" s="14"/>
      <c r="K637" s="12"/>
    </row>
    <row r="638" ht="19.5" customHeight="1">
      <c r="A638" s="12"/>
      <c r="C638" s="12"/>
      <c r="D638" s="87"/>
      <c r="F638" s="14"/>
      <c r="G638" s="14"/>
      <c r="H638" s="14"/>
      <c r="I638" s="14"/>
      <c r="J638" s="14"/>
      <c r="K638" s="12"/>
    </row>
    <row r="639" ht="19.5" customHeight="1">
      <c r="A639" s="12"/>
      <c r="C639" s="12"/>
      <c r="D639" s="87"/>
      <c r="F639" s="14"/>
      <c r="G639" s="14"/>
      <c r="H639" s="14"/>
      <c r="I639" s="14"/>
      <c r="J639" s="14"/>
      <c r="K639" s="12"/>
    </row>
    <row r="640" ht="19.5" customHeight="1">
      <c r="A640" s="12"/>
      <c r="C640" s="12"/>
      <c r="D640" s="87"/>
      <c r="F640" s="14"/>
      <c r="G640" s="14"/>
      <c r="H640" s="14"/>
      <c r="I640" s="14"/>
      <c r="J640" s="14"/>
      <c r="K640" s="12"/>
    </row>
    <row r="641" ht="19.5" customHeight="1">
      <c r="A641" s="12"/>
      <c r="C641" s="12"/>
      <c r="D641" s="87"/>
      <c r="F641" s="14"/>
      <c r="G641" s="14"/>
      <c r="H641" s="14"/>
      <c r="I641" s="14"/>
      <c r="J641" s="14"/>
      <c r="K641" s="12"/>
    </row>
    <row r="642" ht="19.5" customHeight="1">
      <c r="A642" s="12"/>
      <c r="C642" s="12"/>
      <c r="D642" s="87"/>
      <c r="F642" s="14"/>
      <c r="G642" s="14"/>
      <c r="H642" s="14"/>
      <c r="I642" s="14"/>
      <c r="J642" s="14"/>
      <c r="K642" s="12"/>
    </row>
    <row r="643" ht="19.5" customHeight="1">
      <c r="A643" s="12"/>
      <c r="C643" s="12"/>
      <c r="D643" s="87"/>
      <c r="F643" s="14"/>
      <c r="G643" s="14"/>
      <c r="H643" s="14"/>
      <c r="I643" s="14"/>
      <c r="J643" s="14"/>
      <c r="K643" s="12"/>
    </row>
    <row r="644" ht="19.5" customHeight="1">
      <c r="A644" s="12"/>
      <c r="C644" s="12"/>
      <c r="D644" s="87"/>
      <c r="F644" s="14"/>
      <c r="G644" s="14"/>
      <c r="H644" s="14"/>
      <c r="I644" s="14"/>
      <c r="J644" s="14"/>
      <c r="K644" s="12"/>
    </row>
    <row r="645" ht="19.5" customHeight="1">
      <c r="A645" s="12"/>
      <c r="C645" s="12"/>
      <c r="D645" s="87"/>
      <c r="F645" s="14"/>
      <c r="G645" s="14"/>
      <c r="H645" s="14"/>
      <c r="I645" s="14"/>
      <c r="J645" s="14"/>
      <c r="K645" s="12"/>
    </row>
    <row r="646" ht="19.5" customHeight="1">
      <c r="A646" s="12"/>
      <c r="C646" s="12"/>
      <c r="D646" s="87"/>
      <c r="F646" s="14"/>
      <c r="G646" s="14"/>
      <c r="H646" s="14"/>
      <c r="I646" s="14"/>
      <c r="J646" s="14"/>
      <c r="K646" s="12"/>
    </row>
    <row r="647" ht="19.5" customHeight="1">
      <c r="A647" s="12"/>
      <c r="C647" s="12"/>
      <c r="D647" s="87"/>
      <c r="F647" s="14"/>
      <c r="G647" s="14"/>
      <c r="H647" s="14"/>
      <c r="I647" s="14"/>
      <c r="J647" s="14"/>
      <c r="K647" s="12"/>
    </row>
    <row r="648" ht="19.5" customHeight="1">
      <c r="A648" s="12"/>
      <c r="C648" s="12"/>
      <c r="D648" s="87"/>
      <c r="F648" s="14"/>
      <c r="G648" s="14"/>
      <c r="H648" s="14"/>
      <c r="I648" s="14"/>
      <c r="J648" s="14"/>
      <c r="K648" s="12"/>
    </row>
    <row r="649" ht="19.5" customHeight="1">
      <c r="A649" s="12"/>
      <c r="C649" s="12"/>
      <c r="D649" s="87"/>
      <c r="F649" s="14"/>
      <c r="G649" s="14"/>
      <c r="H649" s="14"/>
      <c r="I649" s="14"/>
      <c r="J649" s="14"/>
      <c r="K649" s="12"/>
    </row>
    <row r="650" ht="19.5" customHeight="1">
      <c r="A650" s="12"/>
      <c r="C650" s="12"/>
      <c r="D650" s="87"/>
      <c r="F650" s="14"/>
      <c r="G650" s="14"/>
      <c r="H650" s="14"/>
      <c r="I650" s="14"/>
      <c r="J650" s="14"/>
      <c r="K650" s="12"/>
    </row>
    <row r="651" ht="19.5" customHeight="1">
      <c r="A651" s="12"/>
      <c r="C651" s="12"/>
      <c r="D651" s="87"/>
      <c r="F651" s="14"/>
      <c r="G651" s="14"/>
      <c r="H651" s="14"/>
      <c r="I651" s="14"/>
      <c r="J651" s="14"/>
      <c r="K651" s="12"/>
    </row>
    <row r="652" ht="19.5" customHeight="1">
      <c r="A652" s="12"/>
      <c r="C652" s="12"/>
      <c r="D652" s="87"/>
      <c r="F652" s="14"/>
      <c r="G652" s="14"/>
      <c r="H652" s="14"/>
      <c r="I652" s="14"/>
      <c r="J652" s="14"/>
      <c r="K652" s="12"/>
    </row>
    <row r="653" ht="19.5" customHeight="1">
      <c r="A653" s="12"/>
      <c r="C653" s="12"/>
      <c r="D653" s="87"/>
      <c r="F653" s="14"/>
      <c r="G653" s="14"/>
      <c r="H653" s="14"/>
      <c r="I653" s="14"/>
      <c r="J653" s="14"/>
      <c r="K653" s="12"/>
    </row>
    <row r="654" ht="19.5" customHeight="1">
      <c r="A654" s="12"/>
      <c r="C654" s="12"/>
      <c r="D654" s="87"/>
      <c r="F654" s="14"/>
      <c r="G654" s="14"/>
      <c r="H654" s="14"/>
      <c r="I654" s="14"/>
      <c r="J654" s="14"/>
      <c r="K654" s="12"/>
    </row>
    <row r="655" ht="19.5" customHeight="1">
      <c r="A655" s="12"/>
      <c r="C655" s="12"/>
      <c r="D655" s="87"/>
      <c r="F655" s="14"/>
      <c r="G655" s="14"/>
      <c r="H655" s="14"/>
      <c r="I655" s="14"/>
      <c r="J655" s="14"/>
      <c r="K655" s="12"/>
    </row>
    <row r="656" ht="19.5" customHeight="1">
      <c r="A656" s="12"/>
      <c r="C656" s="12"/>
      <c r="D656" s="87"/>
      <c r="F656" s="14"/>
      <c r="G656" s="14"/>
      <c r="H656" s="14"/>
      <c r="I656" s="14"/>
      <c r="J656" s="14"/>
      <c r="K656" s="12"/>
    </row>
    <row r="657" ht="19.5" customHeight="1">
      <c r="A657" s="12"/>
      <c r="C657" s="12"/>
      <c r="D657" s="87"/>
      <c r="F657" s="14"/>
      <c r="G657" s="14"/>
      <c r="H657" s="14"/>
      <c r="I657" s="14"/>
      <c r="J657" s="14"/>
      <c r="K657" s="12"/>
    </row>
    <row r="658" ht="19.5" customHeight="1">
      <c r="A658" s="12"/>
      <c r="C658" s="12"/>
      <c r="D658" s="87"/>
      <c r="F658" s="14"/>
      <c r="G658" s="14"/>
      <c r="H658" s="14"/>
      <c r="I658" s="14"/>
      <c r="J658" s="14"/>
      <c r="K658" s="12"/>
    </row>
    <row r="659" ht="19.5" customHeight="1">
      <c r="A659" s="12"/>
      <c r="C659" s="12"/>
      <c r="D659" s="87"/>
      <c r="F659" s="14"/>
      <c r="G659" s="14"/>
      <c r="H659" s="14"/>
      <c r="I659" s="14"/>
      <c r="J659" s="14"/>
      <c r="K659" s="12"/>
    </row>
    <row r="660" ht="19.5" customHeight="1">
      <c r="A660" s="12"/>
      <c r="C660" s="12"/>
      <c r="D660" s="87"/>
      <c r="F660" s="14"/>
      <c r="G660" s="14"/>
      <c r="H660" s="14"/>
      <c r="I660" s="14"/>
      <c r="J660" s="14"/>
      <c r="K660" s="12"/>
    </row>
    <row r="661" ht="19.5" customHeight="1">
      <c r="A661" s="12"/>
      <c r="C661" s="12"/>
      <c r="D661" s="87"/>
      <c r="F661" s="14"/>
      <c r="G661" s="14"/>
      <c r="H661" s="14"/>
      <c r="I661" s="14"/>
      <c r="J661" s="14"/>
      <c r="K661" s="12"/>
    </row>
    <row r="662" ht="19.5" customHeight="1">
      <c r="A662" s="12"/>
      <c r="C662" s="12"/>
      <c r="D662" s="87"/>
      <c r="F662" s="14"/>
      <c r="G662" s="14"/>
      <c r="H662" s="14"/>
      <c r="I662" s="14"/>
      <c r="J662" s="14"/>
      <c r="K662" s="12"/>
    </row>
    <row r="663" ht="19.5" customHeight="1">
      <c r="A663" s="12"/>
      <c r="C663" s="12"/>
      <c r="D663" s="87"/>
      <c r="F663" s="14"/>
      <c r="G663" s="14"/>
      <c r="H663" s="14"/>
      <c r="I663" s="14"/>
      <c r="J663" s="14"/>
      <c r="K663" s="12"/>
    </row>
    <row r="664" ht="19.5" customHeight="1">
      <c r="A664" s="12"/>
      <c r="C664" s="12"/>
      <c r="D664" s="87"/>
      <c r="F664" s="14"/>
      <c r="G664" s="14"/>
      <c r="H664" s="14"/>
      <c r="I664" s="14"/>
      <c r="J664" s="14"/>
      <c r="K664" s="12"/>
    </row>
    <row r="665" ht="19.5" customHeight="1">
      <c r="A665" s="12"/>
      <c r="C665" s="12"/>
      <c r="D665" s="87"/>
      <c r="F665" s="14"/>
      <c r="G665" s="14"/>
      <c r="H665" s="14"/>
      <c r="I665" s="14"/>
      <c r="J665" s="14"/>
      <c r="K665" s="12"/>
    </row>
    <row r="666" ht="19.5" customHeight="1">
      <c r="A666" s="12"/>
      <c r="C666" s="12"/>
      <c r="D666" s="87"/>
      <c r="F666" s="14"/>
      <c r="G666" s="14"/>
      <c r="H666" s="14"/>
      <c r="I666" s="14"/>
      <c r="J666" s="14"/>
      <c r="K666" s="12"/>
    </row>
    <row r="667" ht="19.5" customHeight="1">
      <c r="A667" s="12"/>
      <c r="C667" s="12"/>
      <c r="D667" s="87"/>
      <c r="F667" s="14"/>
      <c r="G667" s="14"/>
      <c r="H667" s="14"/>
      <c r="I667" s="14"/>
      <c r="J667" s="14"/>
      <c r="K667" s="12"/>
    </row>
    <row r="668" ht="19.5" customHeight="1">
      <c r="A668" s="12"/>
      <c r="C668" s="12"/>
      <c r="D668" s="87"/>
      <c r="F668" s="14"/>
      <c r="G668" s="14"/>
      <c r="H668" s="14"/>
      <c r="I668" s="14"/>
      <c r="J668" s="14"/>
      <c r="K668" s="12"/>
    </row>
    <row r="669" ht="19.5" customHeight="1">
      <c r="A669" s="12"/>
      <c r="C669" s="12"/>
      <c r="D669" s="87"/>
      <c r="F669" s="14"/>
      <c r="G669" s="14"/>
      <c r="H669" s="14"/>
      <c r="I669" s="14"/>
      <c r="J669" s="14"/>
      <c r="K669" s="12"/>
    </row>
    <row r="670" ht="19.5" customHeight="1">
      <c r="A670" s="12"/>
      <c r="C670" s="12"/>
      <c r="D670" s="87"/>
      <c r="F670" s="14"/>
      <c r="G670" s="14"/>
      <c r="H670" s="14"/>
      <c r="I670" s="14"/>
      <c r="J670" s="14"/>
      <c r="K670" s="12"/>
    </row>
    <row r="671" ht="19.5" customHeight="1">
      <c r="A671" s="12"/>
      <c r="C671" s="12"/>
      <c r="D671" s="87"/>
      <c r="F671" s="14"/>
      <c r="G671" s="14"/>
      <c r="H671" s="14"/>
      <c r="I671" s="14"/>
      <c r="J671" s="14"/>
      <c r="K671" s="12"/>
    </row>
    <row r="672" ht="19.5" customHeight="1">
      <c r="A672" s="12"/>
      <c r="C672" s="12"/>
      <c r="D672" s="87"/>
      <c r="F672" s="14"/>
      <c r="G672" s="14"/>
      <c r="H672" s="14"/>
      <c r="I672" s="14"/>
      <c r="J672" s="14"/>
      <c r="K672" s="12"/>
    </row>
    <row r="673" ht="19.5" customHeight="1">
      <c r="A673" s="12"/>
      <c r="C673" s="12"/>
      <c r="D673" s="87"/>
      <c r="F673" s="14"/>
      <c r="G673" s="14"/>
      <c r="H673" s="14"/>
      <c r="I673" s="14"/>
      <c r="J673" s="14"/>
      <c r="K673" s="12"/>
    </row>
    <row r="674" ht="19.5" customHeight="1">
      <c r="A674" s="12"/>
      <c r="C674" s="12"/>
      <c r="D674" s="87"/>
      <c r="F674" s="14"/>
      <c r="G674" s="14"/>
      <c r="H674" s="14"/>
      <c r="I674" s="14"/>
      <c r="J674" s="14"/>
      <c r="K674" s="12"/>
    </row>
    <row r="675" ht="19.5" customHeight="1">
      <c r="A675" s="12"/>
      <c r="C675" s="12"/>
      <c r="D675" s="87"/>
      <c r="F675" s="14"/>
      <c r="G675" s="14"/>
      <c r="H675" s="14"/>
      <c r="I675" s="14"/>
      <c r="J675" s="14"/>
      <c r="K675" s="12"/>
    </row>
    <row r="676" ht="19.5" customHeight="1">
      <c r="A676" s="12"/>
      <c r="C676" s="12"/>
      <c r="D676" s="87"/>
      <c r="F676" s="14"/>
      <c r="G676" s="14"/>
      <c r="H676" s="14"/>
      <c r="I676" s="14"/>
      <c r="J676" s="14"/>
      <c r="K676" s="12"/>
    </row>
    <row r="677" ht="19.5" customHeight="1">
      <c r="A677" s="12"/>
      <c r="C677" s="12"/>
      <c r="D677" s="87"/>
      <c r="F677" s="14"/>
      <c r="G677" s="14"/>
      <c r="H677" s="14"/>
      <c r="I677" s="14"/>
      <c r="J677" s="14"/>
      <c r="K677" s="12"/>
    </row>
    <row r="678" ht="19.5" customHeight="1">
      <c r="A678" s="12"/>
      <c r="C678" s="12"/>
      <c r="D678" s="87"/>
      <c r="F678" s="14"/>
      <c r="G678" s="14"/>
      <c r="H678" s="14"/>
      <c r="I678" s="14"/>
      <c r="J678" s="14"/>
      <c r="K678" s="12"/>
    </row>
    <row r="679" ht="19.5" customHeight="1">
      <c r="A679" s="12"/>
      <c r="C679" s="12"/>
      <c r="D679" s="87"/>
      <c r="F679" s="14"/>
      <c r="G679" s="14"/>
      <c r="H679" s="14"/>
      <c r="I679" s="14"/>
      <c r="J679" s="14"/>
      <c r="K679" s="12"/>
    </row>
    <row r="680" ht="19.5" customHeight="1">
      <c r="A680" s="12"/>
      <c r="C680" s="12"/>
      <c r="D680" s="87"/>
      <c r="F680" s="14"/>
      <c r="G680" s="14"/>
      <c r="H680" s="14"/>
      <c r="I680" s="14"/>
      <c r="J680" s="14"/>
      <c r="K680" s="12"/>
    </row>
    <row r="681" ht="19.5" customHeight="1">
      <c r="A681" s="12"/>
      <c r="C681" s="12"/>
      <c r="D681" s="87"/>
      <c r="F681" s="14"/>
      <c r="G681" s="14"/>
      <c r="H681" s="14"/>
      <c r="I681" s="14"/>
      <c r="J681" s="14"/>
      <c r="K681" s="12"/>
    </row>
    <row r="682" ht="19.5" customHeight="1">
      <c r="A682" s="12"/>
      <c r="C682" s="12"/>
      <c r="D682" s="87"/>
      <c r="F682" s="14"/>
      <c r="G682" s="14"/>
      <c r="H682" s="14"/>
      <c r="I682" s="14"/>
      <c r="J682" s="14"/>
      <c r="K682" s="12"/>
    </row>
    <row r="683" ht="19.5" customHeight="1">
      <c r="A683" s="12"/>
      <c r="C683" s="12"/>
      <c r="D683" s="87"/>
      <c r="F683" s="14"/>
      <c r="G683" s="14"/>
      <c r="H683" s="14"/>
      <c r="I683" s="14"/>
      <c r="J683" s="14"/>
      <c r="K683" s="12"/>
    </row>
    <row r="684" ht="19.5" customHeight="1">
      <c r="A684" s="12"/>
      <c r="C684" s="12"/>
      <c r="D684" s="87"/>
      <c r="F684" s="14"/>
      <c r="G684" s="14"/>
      <c r="H684" s="14"/>
      <c r="I684" s="14"/>
      <c r="J684" s="14"/>
      <c r="K684" s="12"/>
    </row>
    <row r="685" ht="19.5" customHeight="1">
      <c r="A685" s="12"/>
      <c r="C685" s="12"/>
      <c r="D685" s="87"/>
      <c r="F685" s="14"/>
      <c r="G685" s="14"/>
      <c r="H685" s="14"/>
      <c r="I685" s="14"/>
      <c r="J685" s="14"/>
      <c r="K685" s="12"/>
    </row>
    <row r="686" ht="19.5" customHeight="1">
      <c r="A686" s="12"/>
      <c r="C686" s="12"/>
      <c r="D686" s="87"/>
      <c r="F686" s="14"/>
      <c r="G686" s="14"/>
      <c r="H686" s="14"/>
      <c r="I686" s="14"/>
      <c r="J686" s="14"/>
      <c r="K686" s="12"/>
    </row>
    <row r="687" ht="19.5" customHeight="1">
      <c r="A687" s="12"/>
      <c r="C687" s="12"/>
      <c r="D687" s="87"/>
      <c r="F687" s="14"/>
      <c r="G687" s="14"/>
      <c r="H687" s="14"/>
      <c r="I687" s="14"/>
      <c r="J687" s="14"/>
      <c r="K687" s="12"/>
    </row>
    <row r="688" ht="19.5" customHeight="1">
      <c r="A688" s="12"/>
      <c r="C688" s="12"/>
      <c r="D688" s="87"/>
      <c r="F688" s="14"/>
      <c r="G688" s="14"/>
      <c r="H688" s="14"/>
      <c r="I688" s="14"/>
      <c r="J688" s="14"/>
      <c r="K688" s="12"/>
    </row>
    <row r="689" ht="19.5" customHeight="1">
      <c r="A689" s="12"/>
      <c r="C689" s="12"/>
      <c r="D689" s="87"/>
      <c r="F689" s="14"/>
      <c r="G689" s="14"/>
      <c r="H689" s="14"/>
      <c r="I689" s="14"/>
      <c r="J689" s="14"/>
      <c r="K689" s="12"/>
    </row>
    <row r="690" ht="19.5" customHeight="1">
      <c r="A690" s="12"/>
      <c r="C690" s="12"/>
      <c r="D690" s="87"/>
      <c r="F690" s="14"/>
      <c r="G690" s="14"/>
      <c r="H690" s="14"/>
      <c r="I690" s="14"/>
      <c r="J690" s="14"/>
      <c r="K690" s="12"/>
    </row>
    <row r="691" ht="19.5" customHeight="1">
      <c r="A691" s="12"/>
      <c r="C691" s="12"/>
      <c r="D691" s="87"/>
      <c r="F691" s="14"/>
      <c r="G691" s="14"/>
      <c r="H691" s="14"/>
      <c r="I691" s="14"/>
      <c r="J691" s="14"/>
      <c r="K691" s="12"/>
    </row>
    <row r="692" ht="19.5" customHeight="1">
      <c r="A692" s="12"/>
      <c r="C692" s="12"/>
      <c r="D692" s="87"/>
      <c r="F692" s="14"/>
      <c r="G692" s="14"/>
      <c r="H692" s="14"/>
      <c r="I692" s="14"/>
      <c r="J692" s="14"/>
      <c r="K692" s="12"/>
    </row>
    <row r="693" ht="19.5" customHeight="1">
      <c r="A693" s="12"/>
      <c r="C693" s="12"/>
      <c r="D693" s="87"/>
      <c r="F693" s="14"/>
      <c r="G693" s="14"/>
      <c r="H693" s="14"/>
      <c r="I693" s="14"/>
      <c r="J693" s="14"/>
      <c r="K693" s="12"/>
    </row>
    <row r="694" ht="19.5" customHeight="1">
      <c r="A694" s="12"/>
      <c r="C694" s="12"/>
      <c r="D694" s="87"/>
      <c r="F694" s="14"/>
      <c r="G694" s="14"/>
      <c r="H694" s="14"/>
      <c r="I694" s="14"/>
      <c r="J694" s="14"/>
      <c r="K694" s="12"/>
    </row>
    <row r="695" ht="19.5" customHeight="1">
      <c r="A695" s="12"/>
      <c r="C695" s="12"/>
      <c r="D695" s="87"/>
      <c r="F695" s="14"/>
      <c r="G695" s="14"/>
      <c r="H695" s="14"/>
      <c r="I695" s="14"/>
      <c r="J695" s="14"/>
      <c r="K695" s="12"/>
    </row>
    <row r="696" ht="19.5" customHeight="1">
      <c r="A696" s="12"/>
      <c r="C696" s="12"/>
      <c r="D696" s="87"/>
      <c r="F696" s="14"/>
      <c r="G696" s="14"/>
      <c r="H696" s="14"/>
      <c r="I696" s="14"/>
      <c r="J696" s="14"/>
      <c r="K696" s="12"/>
    </row>
    <row r="697" ht="19.5" customHeight="1">
      <c r="A697" s="12"/>
      <c r="C697" s="12"/>
      <c r="D697" s="87"/>
      <c r="F697" s="14"/>
      <c r="G697" s="14"/>
      <c r="H697" s="14"/>
      <c r="I697" s="14"/>
      <c r="J697" s="14"/>
      <c r="K697" s="12"/>
    </row>
    <row r="698" ht="19.5" customHeight="1">
      <c r="A698" s="12"/>
      <c r="C698" s="12"/>
      <c r="D698" s="87"/>
      <c r="F698" s="14"/>
      <c r="G698" s="14"/>
      <c r="H698" s="14"/>
      <c r="I698" s="14"/>
      <c r="J698" s="14"/>
      <c r="K698" s="12"/>
    </row>
    <row r="699" ht="19.5" customHeight="1">
      <c r="A699" s="12"/>
      <c r="C699" s="12"/>
      <c r="D699" s="87"/>
      <c r="F699" s="14"/>
      <c r="G699" s="14"/>
      <c r="H699" s="14"/>
      <c r="I699" s="14"/>
      <c r="J699" s="14"/>
      <c r="K699" s="12"/>
    </row>
    <row r="700" ht="19.5" customHeight="1">
      <c r="A700" s="12"/>
      <c r="C700" s="12"/>
      <c r="D700" s="87"/>
      <c r="F700" s="14"/>
      <c r="G700" s="14"/>
      <c r="H700" s="14"/>
      <c r="I700" s="14"/>
      <c r="J700" s="14"/>
      <c r="K700" s="12"/>
    </row>
    <row r="701" ht="19.5" customHeight="1">
      <c r="A701" s="12"/>
      <c r="C701" s="12"/>
      <c r="D701" s="87"/>
      <c r="F701" s="14"/>
      <c r="G701" s="14"/>
      <c r="H701" s="14"/>
      <c r="I701" s="14"/>
      <c r="J701" s="14"/>
      <c r="K701" s="12"/>
    </row>
    <row r="702" ht="19.5" customHeight="1">
      <c r="A702" s="12"/>
      <c r="C702" s="12"/>
      <c r="D702" s="87"/>
      <c r="F702" s="14"/>
      <c r="G702" s="14"/>
      <c r="H702" s="14"/>
      <c r="I702" s="14"/>
      <c r="J702" s="14"/>
      <c r="K702" s="12"/>
    </row>
    <row r="703" ht="19.5" customHeight="1">
      <c r="A703" s="12"/>
      <c r="C703" s="12"/>
      <c r="D703" s="87"/>
      <c r="F703" s="14"/>
      <c r="G703" s="14"/>
      <c r="H703" s="14"/>
      <c r="I703" s="14"/>
      <c r="J703" s="14"/>
      <c r="K703" s="12"/>
    </row>
    <row r="704" ht="19.5" customHeight="1">
      <c r="A704" s="12"/>
      <c r="C704" s="12"/>
      <c r="D704" s="87"/>
      <c r="F704" s="14"/>
      <c r="G704" s="14"/>
      <c r="H704" s="14"/>
      <c r="I704" s="14"/>
      <c r="J704" s="14"/>
      <c r="K704" s="12"/>
    </row>
    <row r="705" ht="19.5" customHeight="1">
      <c r="A705" s="12"/>
      <c r="C705" s="12"/>
      <c r="D705" s="87"/>
      <c r="F705" s="14"/>
      <c r="G705" s="14"/>
      <c r="H705" s="14"/>
      <c r="I705" s="14"/>
      <c r="J705" s="14"/>
      <c r="K705" s="12"/>
    </row>
    <row r="706" ht="19.5" customHeight="1">
      <c r="A706" s="12"/>
      <c r="C706" s="12"/>
      <c r="D706" s="87"/>
      <c r="F706" s="14"/>
      <c r="G706" s="14"/>
      <c r="H706" s="14"/>
      <c r="I706" s="14"/>
      <c r="J706" s="14"/>
      <c r="K706" s="12"/>
    </row>
    <row r="707" ht="19.5" customHeight="1">
      <c r="A707" s="12"/>
      <c r="C707" s="12"/>
      <c r="D707" s="87"/>
      <c r="F707" s="14"/>
      <c r="G707" s="14"/>
      <c r="H707" s="14"/>
      <c r="I707" s="14"/>
      <c r="J707" s="14"/>
      <c r="K707" s="12"/>
    </row>
    <row r="708" ht="19.5" customHeight="1">
      <c r="A708" s="12"/>
      <c r="C708" s="12"/>
      <c r="D708" s="87"/>
      <c r="F708" s="14"/>
      <c r="G708" s="14"/>
      <c r="H708" s="14"/>
      <c r="I708" s="14"/>
      <c r="J708" s="14"/>
      <c r="K708" s="12"/>
    </row>
    <row r="709" ht="19.5" customHeight="1">
      <c r="A709" s="12"/>
      <c r="C709" s="12"/>
      <c r="D709" s="87"/>
      <c r="F709" s="14"/>
      <c r="G709" s="14"/>
      <c r="H709" s="14"/>
      <c r="I709" s="14"/>
      <c r="J709" s="14"/>
      <c r="K709" s="12"/>
    </row>
    <row r="710" ht="19.5" customHeight="1">
      <c r="A710" s="12"/>
      <c r="C710" s="12"/>
      <c r="D710" s="87"/>
      <c r="F710" s="14"/>
      <c r="G710" s="14"/>
      <c r="H710" s="14"/>
      <c r="I710" s="14"/>
      <c r="J710" s="14"/>
      <c r="K710" s="12"/>
    </row>
    <row r="711" ht="19.5" customHeight="1">
      <c r="A711" s="12"/>
      <c r="C711" s="12"/>
      <c r="D711" s="87"/>
      <c r="F711" s="14"/>
      <c r="G711" s="14"/>
      <c r="H711" s="14"/>
      <c r="I711" s="14"/>
      <c r="J711" s="14"/>
      <c r="K711" s="12"/>
    </row>
    <row r="712" ht="19.5" customHeight="1">
      <c r="A712" s="12"/>
      <c r="C712" s="12"/>
      <c r="D712" s="87"/>
      <c r="F712" s="14"/>
      <c r="G712" s="14"/>
      <c r="H712" s="14"/>
      <c r="I712" s="14"/>
      <c r="J712" s="14"/>
      <c r="K712" s="12"/>
    </row>
    <row r="713" ht="19.5" customHeight="1">
      <c r="A713" s="12"/>
      <c r="C713" s="12"/>
      <c r="D713" s="87"/>
      <c r="F713" s="14"/>
      <c r="G713" s="14"/>
      <c r="H713" s="14"/>
      <c r="I713" s="14"/>
      <c r="J713" s="14"/>
      <c r="K713" s="12"/>
    </row>
    <row r="714" ht="19.5" customHeight="1">
      <c r="A714" s="12"/>
      <c r="C714" s="12"/>
      <c r="D714" s="87"/>
      <c r="F714" s="14"/>
      <c r="G714" s="14"/>
      <c r="H714" s="14"/>
      <c r="I714" s="14"/>
      <c r="J714" s="14"/>
      <c r="K714" s="12"/>
    </row>
    <row r="715" ht="19.5" customHeight="1">
      <c r="A715" s="12"/>
      <c r="C715" s="12"/>
      <c r="D715" s="87"/>
      <c r="F715" s="14"/>
      <c r="G715" s="14"/>
      <c r="H715" s="14"/>
      <c r="I715" s="14"/>
      <c r="J715" s="14"/>
      <c r="K715" s="12"/>
    </row>
    <row r="716" ht="19.5" customHeight="1">
      <c r="A716" s="12"/>
      <c r="C716" s="12"/>
      <c r="D716" s="87"/>
      <c r="F716" s="14"/>
      <c r="G716" s="14"/>
      <c r="H716" s="14"/>
      <c r="I716" s="14"/>
      <c r="J716" s="14"/>
      <c r="K716" s="12"/>
    </row>
    <row r="717" ht="19.5" customHeight="1">
      <c r="A717" s="12"/>
      <c r="C717" s="12"/>
      <c r="D717" s="87"/>
      <c r="F717" s="14"/>
      <c r="G717" s="14"/>
      <c r="H717" s="14"/>
      <c r="I717" s="14"/>
      <c r="J717" s="14"/>
      <c r="K717" s="12"/>
    </row>
    <row r="718" ht="19.5" customHeight="1">
      <c r="A718" s="12"/>
      <c r="C718" s="12"/>
      <c r="D718" s="87"/>
      <c r="F718" s="14"/>
      <c r="G718" s="14"/>
      <c r="H718" s="14"/>
      <c r="I718" s="14"/>
      <c r="J718" s="14"/>
      <c r="K718" s="12"/>
    </row>
    <row r="719" ht="19.5" customHeight="1">
      <c r="A719" s="12"/>
      <c r="C719" s="12"/>
      <c r="D719" s="87"/>
      <c r="F719" s="14"/>
      <c r="G719" s="14"/>
      <c r="H719" s="14"/>
      <c r="I719" s="14"/>
      <c r="J719" s="14"/>
      <c r="K719" s="12"/>
    </row>
    <row r="720" ht="19.5" customHeight="1">
      <c r="A720" s="12"/>
      <c r="C720" s="12"/>
      <c r="D720" s="87"/>
      <c r="F720" s="14"/>
      <c r="G720" s="14"/>
      <c r="H720" s="14"/>
      <c r="I720" s="14"/>
      <c r="J720" s="14"/>
      <c r="K720" s="12"/>
    </row>
    <row r="721" ht="19.5" customHeight="1">
      <c r="A721" s="12"/>
      <c r="C721" s="12"/>
      <c r="D721" s="87"/>
      <c r="F721" s="14"/>
      <c r="G721" s="14"/>
      <c r="H721" s="14"/>
      <c r="I721" s="14"/>
      <c r="J721" s="14"/>
      <c r="K721" s="12"/>
    </row>
    <row r="722" ht="19.5" customHeight="1">
      <c r="A722" s="12"/>
      <c r="C722" s="12"/>
      <c r="D722" s="87"/>
      <c r="F722" s="14"/>
      <c r="G722" s="14"/>
      <c r="H722" s="14"/>
      <c r="I722" s="14"/>
      <c r="J722" s="14"/>
      <c r="K722" s="12"/>
    </row>
    <row r="723" ht="19.5" customHeight="1">
      <c r="A723" s="12"/>
      <c r="C723" s="12"/>
      <c r="D723" s="87"/>
      <c r="F723" s="14"/>
      <c r="G723" s="14"/>
      <c r="H723" s="14"/>
      <c r="I723" s="14"/>
      <c r="J723" s="14"/>
      <c r="K723" s="12"/>
    </row>
    <row r="724" ht="19.5" customHeight="1">
      <c r="A724" s="12"/>
      <c r="C724" s="12"/>
      <c r="D724" s="87"/>
      <c r="F724" s="14"/>
      <c r="G724" s="14"/>
      <c r="H724" s="14"/>
      <c r="I724" s="14"/>
      <c r="J724" s="14"/>
      <c r="K724" s="12"/>
    </row>
    <row r="725" ht="19.5" customHeight="1">
      <c r="A725" s="12"/>
      <c r="C725" s="12"/>
      <c r="D725" s="87"/>
      <c r="F725" s="14"/>
      <c r="G725" s="14"/>
      <c r="H725" s="14"/>
      <c r="I725" s="14"/>
      <c r="J725" s="14"/>
      <c r="K725" s="12"/>
    </row>
    <row r="726" ht="19.5" customHeight="1">
      <c r="A726" s="12"/>
      <c r="C726" s="12"/>
      <c r="D726" s="87"/>
      <c r="F726" s="14"/>
      <c r="G726" s="14"/>
      <c r="H726" s="14"/>
      <c r="I726" s="14"/>
      <c r="J726" s="14"/>
      <c r="K726" s="12"/>
    </row>
    <row r="727" ht="19.5" customHeight="1">
      <c r="A727" s="12"/>
      <c r="C727" s="12"/>
      <c r="D727" s="87"/>
      <c r="F727" s="14"/>
      <c r="G727" s="14"/>
      <c r="H727" s="14"/>
      <c r="I727" s="14"/>
      <c r="J727" s="14"/>
      <c r="K727" s="12"/>
    </row>
    <row r="728" ht="19.5" customHeight="1">
      <c r="A728" s="12"/>
      <c r="C728" s="12"/>
      <c r="D728" s="87"/>
      <c r="F728" s="14"/>
      <c r="G728" s="14"/>
      <c r="H728" s="14"/>
      <c r="I728" s="14"/>
      <c r="J728" s="14"/>
      <c r="K728" s="12"/>
    </row>
    <row r="729" ht="19.5" customHeight="1">
      <c r="A729" s="12"/>
      <c r="C729" s="12"/>
      <c r="D729" s="87"/>
      <c r="F729" s="14"/>
      <c r="G729" s="14"/>
      <c r="H729" s="14"/>
      <c r="I729" s="14"/>
      <c r="J729" s="14"/>
      <c r="K729" s="12"/>
    </row>
    <row r="730" ht="19.5" customHeight="1">
      <c r="A730" s="12"/>
      <c r="C730" s="12"/>
      <c r="D730" s="87"/>
      <c r="F730" s="14"/>
      <c r="G730" s="14"/>
      <c r="H730" s="14"/>
      <c r="I730" s="14"/>
      <c r="J730" s="14"/>
      <c r="K730" s="12"/>
    </row>
    <row r="731" ht="19.5" customHeight="1">
      <c r="A731" s="12"/>
      <c r="C731" s="12"/>
      <c r="D731" s="87"/>
      <c r="F731" s="14"/>
      <c r="G731" s="14"/>
      <c r="H731" s="14"/>
      <c r="I731" s="14"/>
      <c r="J731" s="14"/>
      <c r="K731" s="12"/>
    </row>
    <row r="732" ht="19.5" customHeight="1">
      <c r="A732" s="12"/>
      <c r="C732" s="12"/>
      <c r="D732" s="87"/>
      <c r="F732" s="14"/>
      <c r="G732" s="14"/>
      <c r="H732" s="14"/>
      <c r="I732" s="14"/>
      <c r="J732" s="14"/>
      <c r="K732" s="12"/>
    </row>
    <row r="733" ht="19.5" customHeight="1">
      <c r="A733" s="12"/>
      <c r="C733" s="12"/>
      <c r="D733" s="87"/>
      <c r="F733" s="14"/>
      <c r="G733" s="14"/>
      <c r="H733" s="14"/>
      <c r="I733" s="14"/>
      <c r="J733" s="14"/>
      <c r="K733" s="12"/>
    </row>
    <row r="734" ht="19.5" customHeight="1">
      <c r="A734" s="12"/>
      <c r="C734" s="12"/>
      <c r="D734" s="87"/>
      <c r="F734" s="14"/>
      <c r="G734" s="14"/>
      <c r="H734" s="14"/>
      <c r="I734" s="14"/>
      <c r="J734" s="14"/>
      <c r="K734" s="12"/>
    </row>
    <row r="735" ht="19.5" customHeight="1">
      <c r="A735" s="12"/>
      <c r="C735" s="12"/>
      <c r="D735" s="87"/>
      <c r="F735" s="14"/>
      <c r="G735" s="14"/>
      <c r="H735" s="14"/>
      <c r="I735" s="14"/>
      <c r="J735" s="14"/>
      <c r="K735" s="12"/>
    </row>
    <row r="736" ht="19.5" customHeight="1">
      <c r="A736" s="12"/>
      <c r="C736" s="12"/>
      <c r="D736" s="87"/>
      <c r="F736" s="14"/>
      <c r="G736" s="14"/>
      <c r="H736" s="14"/>
      <c r="I736" s="14"/>
      <c r="J736" s="14"/>
      <c r="K736" s="12"/>
    </row>
    <row r="737" ht="19.5" customHeight="1">
      <c r="A737" s="12"/>
      <c r="C737" s="12"/>
      <c r="D737" s="87"/>
      <c r="F737" s="14"/>
      <c r="G737" s="14"/>
      <c r="H737" s="14"/>
      <c r="I737" s="14"/>
      <c r="J737" s="14"/>
      <c r="K737" s="12"/>
    </row>
    <row r="738" ht="19.5" customHeight="1">
      <c r="A738" s="12"/>
      <c r="C738" s="12"/>
      <c r="D738" s="87"/>
      <c r="F738" s="14"/>
      <c r="G738" s="14"/>
      <c r="H738" s="14"/>
      <c r="I738" s="14"/>
      <c r="J738" s="14"/>
      <c r="K738" s="12"/>
    </row>
    <row r="739" ht="19.5" customHeight="1">
      <c r="A739" s="12"/>
      <c r="C739" s="12"/>
      <c r="D739" s="87"/>
      <c r="F739" s="14"/>
      <c r="G739" s="14"/>
      <c r="H739" s="14"/>
      <c r="I739" s="14"/>
      <c r="J739" s="14"/>
      <c r="K739" s="12"/>
    </row>
    <row r="740" ht="19.5" customHeight="1">
      <c r="A740" s="12"/>
      <c r="C740" s="12"/>
      <c r="D740" s="87"/>
      <c r="F740" s="14"/>
      <c r="G740" s="14"/>
      <c r="H740" s="14"/>
      <c r="I740" s="14"/>
      <c r="J740" s="14"/>
      <c r="K740" s="12"/>
    </row>
    <row r="741" ht="19.5" customHeight="1">
      <c r="A741" s="12"/>
      <c r="C741" s="12"/>
      <c r="D741" s="87"/>
      <c r="F741" s="14"/>
      <c r="G741" s="14"/>
      <c r="H741" s="14"/>
      <c r="I741" s="14"/>
      <c r="J741" s="14"/>
      <c r="K741" s="12"/>
    </row>
    <row r="742" ht="19.5" customHeight="1">
      <c r="A742" s="12"/>
      <c r="C742" s="12"/>
      <c r="D742" s="87"/>
      <c r="F742" s="14"/>
      <c r="G742" s="14"/>
      <c r="H742" s="14"/>
      <c r="I742" s="14"/>
      <c r="J742" s="14"/>
      <c r="K742" s="12"/>
    </row>
    <row r="743" ht="19.5" customHeight="1">
      <c r="A743" s="12"/>
      <c r="C743" s="12"/>
      <c r="D743" s="87"/>
      <c r="F743" s="14"/>
      <c r="G743" s="14"/>
      <c r="H743" s="14"/>
      <c r="I743" s="14"/>
      <c r="J743" s="14"/>
      <c r="K743" s="12"/>
    </row>
    <row r="744" ht="19.5" customHeight="1">
      <c r="A744" s="12"/>
      <c r="C744" s="12"/>
      <c r="D744" s="87"/>
      <c r="F744" s="14"/>
      <c r="G744" s="14"/>
      <c r="H744" s="14"/>
      <c r="I744" s="14"/>
      <c r="J744" s="14"/>
      <c r="K744" s="12"/>
    </row>
    <row r="745" ht="19.5" customHeight="1">
      <c r="A745" s="12"/>
      <c r="C745" s="12"/>
      <c r="D745" s="87"/>
      <c r="F745" s="14"/>
      <c r="G745" s="14"/>
      <c r="H745" s="14"/>
      <c r="I745" s="14"/>
      <c r="J745" s="14"/>
      <c r="K745" s="12"/>
    </row>
    <row r="746" ht="19.5" customHeight="1">
      <c r="A746" s="12"/>
      <c r="C746" s="12"/>
      <c r="D746" s="87"/>
      <c r="F746" s="14"/>
      <c r="G746" s="14"/>
      <c r="H746" s="14"/>
      <c r="I746" s="14"/>
      <c r="J746" s="14"/>
      <c r="K746" s="12"/>
    </row>
    <row r="747" ht="19.5" customHeight="1">
      <c r="A747" s="12"/>
      <c r="C747" s="12"/>
      <c r="D747" s="87"/>
      <c r="F747" s="14"/>
      <c r="G747" s="14"/>
      <c r="H747" s="14"/>
      <c r="I747" s="14"/>
      <c r="J747" s="14"/>
      <c r="K747" s="12"/>
    </row>
    <row r="748" ht="19.5" customHeight="1">
      <c r="A748" s="12"/>
      <c r="C748" s="12"/>
      <c r="D748" s="87"/>
      <c r="F748" s="14"/>
      <c r="G748" s="14"/>
      <c r="H748" s="14"/>
      <c r="I748" s="14"/>
      <c r="J748" s="14"/>
      <c r="K748" s="12"/>
    </row>
    <row r="749" ht="19.5" customHeight="1">
      <c r="A749" s="12"/>
      <c r="C749" s="12"/>
      <c r="D749" s="87"/>
      <c r="F749" s="14"/>
      <c r="G749" s="14"/>
      <c r="H749" s="14"/>
      <c r="I749" s="14"/>
      <c r="J749" s="14"/>
      <c r="K749" s="12"/>
    </row>
    <row r="750" ht="19.5" customHeight="1">
      <c r="A750" s="12"/>
      <c r="C750" s="12"/>
      <c r="D750" s="87"/>
      <c r="F750" s="14"/>
      <c r="G750" s="14"/>
      <c r="H750" s="14"/>
      <c r="I750" s="14"/>
      <c r="J750" s="14"/>
      <c r="K750" s="12"/>
    </row>
    <row r="751" ht="19.5" customHeight="1">
      <c r="A751" s="12"/>
      <c r="C751" s="12"/>
      <c r="D751" s="87"/>
      <c r="F751" s="14"/>
      <c r="G751" s="14"/>
      <c r="H751" s="14"/>
      <c r="I751" s="14"/>
      <c r="J751" s="14"/>
      <c r="K751" s="12"/>
    </row>
    <row r="752" ht="19.5" customHeight="1">
      <c r="A752" s="12"/>
      <c r="C752" s="12"/>
      <c r="D752" s="87"/>
      <c r="F752" s="14"/>
      <c r="G752" s="14"/>
      <c r="H752" s="14"/>
      <c r="I752" s="14"/>
      <c r="J752" s="14"/>
      <c r="K752" s="12"/>
    </row>
    <row r="753" ht="19.5" customHeight="1">
      <c r="A753" s="12"/>
      <c r="C753" s="12"/>
      <c r="D753" s="87"/>
      <c r="F753" s="14"/>
      <c r="G753" s="14"/>
      <c r="H753" s="14"/>
      <c r="I753" s="14"/>
      <c r="J753" s="14"/>
      <c r="K753" s="12"/>
    </row>
    <row r="754" ht="19.5" customHeight="1">
      <c r="A754" s="12"/>
      <c r="C754" s="12"/>
      <c r="D754" s="87"/>
      <c r="F754" s="14"/>
      <c r="G754" s="14"/>
      <c r="H754" s="14"/>
      <c r="I754" s="14"/>
      <c r="J754" s="14"/>
      <c r="K754" s="12"/>
    </row>
    <row r="755" ht="19.5" customHeight="1">
      <c r="A755" s="12"/>
      <c r="C755" s="12"/>
      <c r="D755" s="87"/>
      <c r="F755" s="14"/>
      <c r="G755" s="14"/>
      <c r="H755" s="14"/>
      <c r="I755" s="14"/>
      <c r="J755" s="14"/>
      <c r="K755" s="12"/>
    </row>
    <row r="756" ht="19.5" customHeight="1">
      <c r="A756" s="12"/>
      <c r="C756" s="12"/>
      <c r="D756" s="87"/>
      <c r="F756" s="14"/>
      <c r="G756" s="14"/>
      <c r="H756" s="14"/>
      <c r="I756" s="14"/>
      <c r="J756" s="14"/>
      <c r="K756" s="12"/>
    </row>
    <row r="757" ht="19.5" customHeight="1">
      <c r="A757" s="12"/>
      <c r="C757" s="12"/>
      <c r="D757" s="87"/>
      <c r="F757" s="14"/>
      <c r="G757" s="14"/>
      <c r="H757" s="14"/>
      <c r="I757" s="14"/>
      <c r="J757" s="14"/>
      <c r="K757" s="12"/>
    </row>
    <row r="758" ht="19.5" customHeight="1">
      <c r="A758" s="12"/>
      <c r="C758" s="12"/>
      <c r="D758" s="87"/>
      <c r="F758" s="14"/>
      <c r="G758" s="14"/>
      <c r="H758" s="14"/>
      <c r="I758" s="14"/>
      <c r="J758" s="14"/>
      <c r="K758" s="12"/>
    </row>
    <row r="759" ht="19.5" customHeight="1">
      <c r="A759" s="12"/>
      <c r="C759" s="12"/>
      <c r="D759" s="87"/>
      <c r="F759" s="14"/>
      <c r="G759" s="14"/>
      <c r="H759" s="14"/>
      <c r="I759" s="14"/>
      <c r="J759" s="14"/>
      <c r="K759" s="12"/>
    </row>
    <row r="760" ht="19.5" customHeight="1">
      <c r="A760" s="12"/>
      <c r="C760" s="12"/>
      <c r="D760" s="87"/>
      <c r="F760" s="14"/>
      <c r="G760" s="14"/>
      <c r="H760" s="14"/>
      <c r="I760" s="14"/>
      <c r="J760" s="14"/>
      <c r="K760" s="12"/>
    </row>
    <row r="761" ht="19.5" customHeight="1">
      <c r="A761" s="12"/>
      <c r="C761" s="12"/>
      <c r="D761" s="87"/>
      <c r="F761" s="14"/>
      <c r="G761" s="14"/>
      <c r="H761" s="14"/>
      <c r="I761" s="14"/>
      <c r="J761" s="14"/>
      <c r="K761" s="12"/>
    </row>
    <row r="762" ht="19.5" customHeight="1">
      <c r="A762" s="12"/>
      <c r="C762" s="12"/>
      <c r="D762" s="87"/>
      <c r="F762" s="14"/>
      <c r="G762" s="14"/>
      <c r="H762" s="14"/>
      <c r="I762" s="14"/>
      <c r="J762" s="14"/>
      <c r="K762" s="12"/>
    </row>
    <row r="763" ht="19.5" customHeight="1">
      <c r="A763" s="12"/>
      <c r="C763" s="12"/>
      <c r="D763" s="87"/>
      <c r="F763" s="14"/>
      <c r="G763" s="14"/>
      <c r="H763" s="14"/>
      <c r="I763" s="14"/>
      <c r="J763" s="14"/>
      <c r="K763" s="12"/>
    </row>
    <row r="764" ht="19.5" customHeight="1">
      <c r="A764" s="12"/>
      <c r="C764" s="12"/>
      <c r="D764" s="87"/>
      <c r="F764" s="14"/>
      <c r="G764" s="14"/>
      <c r="H764" s="14"/>
      <c r="I764" s="14"/>
      <c r="J764" s="14"/>
      <c r="K764" s="12"/>
    </row>
    <row r="765" ht="19.5" customHeight="1">
      <c r="A765" s="12"/>
      <c r="C765" s="12"/>
      <c r="D765" s="87"/>
      <c r="F765" s="14"/>
      <c r="G765" s="14"/>
      <c r="H765" s="14"/>
      <c r="I765" s="14"/>
      <c r="J765" s="14"/>
      <c r="K765" s="12"/>
    </row>
    <row r="766" ht="19.5" customHeight="1">
      <c r="A766" s="12"/>
      <c r="C766" s="12"/>
      <c r="D766" s="87"/>
      <c r="F766" s="14"/>
      <c r="G766" s="14"/>
      <c r="H766" s="14"/>
      <c r="I766" s="14"/>
      <c r="J766" s="14"/>
      <c r="K766" s="12"/>
    </row>
    <row r="767" ht="19.5" customHeight="1">
      <c r="A767" s="12"/>
      <c r="C767" s="12"/>
      <c r="D767" s="87"/>
      <c r="F767" s="14"/>
      <c r="G767" s="14"/>
      <c r="H767" s="14"/>
      <c r="I767" s="14"/>
      <c r="J767" s="14"/>
      <c r="K767" s="12"/>
    </row>
    <row r="768" ht="19.5" customHeight="1">
      <c r="A768" s="12"/>
      <c r="C768" s="12"/>
      <c r="D768" s="87"/>
      <c r="F768" s="14"/>
      <c r="G768" s="14"/>
      <c r="H768" s="14"/>
      <c r="I768" s="14"/>
      <c r="J768" s="14"/>
      <c r="K768" s="12"/>
    </row>
    <row r="769" ht="19.5" customHeight="1">
      <c r="A769" s="12"/>
      <c r="C769" s="12"/>
      <c r="D769" s="87"/>
      <c r="F769" s="14"/>
      <c r="G769" s="14"/>
      <c r="H769" s="14"/>
      <c r="I769" s="14"/>
      <c r="J769" s="14"/>
      <c r="K769" s="12"/>
    </row>
    <row r="770" ht="19.5" customHeight="1">
      <c r="A770" s="12"/>
      <c r="C770" s="12"/>
      <c r="D770" s="87"/>
      <c r="F770" s="14"/>
      <c r="G770" s="14"/>
      <c r="H770" s="14"/>
      <c r="I770" s="14"/>
      <c r="J770" s="14"/>
      <c r="K770" s="12"/>
    </row>
    <row r="771" ht="19.5" customHeight="1">
      <c r="A771" s="12"/>
      <c r="C771" s="12"/>
      <c r="D771" s="87"/>
      <c r="F771" s="14"/>
      <c r="G771" s="14"/>
      <c r="H771" s="14"/>
      <c r="I771" s="14"/>
      <c r="J771" s="14"/>
      <c r="K771" s="12"/>
    </row>
    <row r="772" ht="19.5" customHeight="1">
      <c r="A772" s="12"/>
      <c r="C772" s="12"/>
      <c r="D772" s="87"/>
      <c r="F772" s="14"/>
      <c r="G772" s="14"/>
      <c r="H772" s="14"/>
      <c r="I772" s="14"/>
      <c r="J772" s="14"/>
      <c r="K772" s="12"/>
    </row>
    <row r="773" ht="19.5" customHeight="1">
      <c r="A773" s="12"/>
      <c r="C773" s="12"/>
      <c r="D773" s="87"/>
      <c r="F773" s="14"/>
      <c r="G773" s="14"/>
      <c r="H773" s="14"/>
      <c r="I773" s="14"/>
      <c r="J773" s="14"/>
      <c r="K773" s="12"/>
    </row>
    <row r="774" ht="19.5" customHeight="1">
      <c r="A774" s="12"/>
      <c r="C774" s="12"/>
      <c r="D774" s="87"/>
      <c r="F774" s="14"/>
      <c r="G774" s="14"/>
      <c r="H774" s="14"/>
      <c r="I774" s="14"/>
      <c r="J774" s="14"/>
      <c r="K774" s="12"/>
    </row>
    <row r="775" ht="19.5" customHeight="1">
      <c r="A775" s="12"/>
      <c r="C775" s="12"/>
      <c r="D775" s="87"/>
      <c r="F775" s="14"/>
      <c r="G775" s="14"/>
      <c r="H775" s="14"/>
      <c r="I775" s="14"/>
      <c r="J775" s="14"/>
      <c r="K775" s="12"/>
    </row>
    <row r="776" ht="19.5" customHeight="1">
      <c r="A776" s="12"/>
      <c r="C776" s="12"/>
      <c r="D776" s="87"/>
      <c r="F776" s="14"/>
      <c r="G776" s="14"/>
      <c r="H776" s="14"/>
      <c r="I776" s="14"/>
      <c r="J776" s="14"/>
      <c r="K776" s="12"/>
    </row>
    <row r="777" ht="19.5" customHeight="1">
      <c r="A777" s="12"/>
      <c r="C777" s="12"/>
      <c r="D777" s="87"/>
      <c r="F777" s="14"/>
      <c r="G777" s="14"/>
      <c r="H777" s="14"/>
      <c r="I777" s="14"/>
      <c r="J777" s="14"/>
      <c r="K777" s="12"/>
    </row>
    <row r="778" ht="19.5" customHeight="1">
      <c r="A778" s="12"/>
      <c r="C778" s="12"/>
      <c r="D778" s="87"/>
      <c r="F778" s="14"/>
      <c r="G778" s="14"/>
      <c r="H778" s="14"/>
      <c r="I778" s="14"/>
      <c r="J778" s="14"/>
      <c r="K778" s="12"/>
    </row>
    <row r="779" ht="19.5" customHeight="1">
      <c r="A779" s="12"/>
      <c r="C779" s="12"/>
      <c r="D779" s="87"/>
      <c r="F779" s="14"/>
      <c r="G779" s="14"/>
      <c r="H779" s="14"/>
      <c r="I779" s="14"/>
      <c r="J779" s="14"/>
      <c r="K779" s="12"/>
    </row>
    <row r="780" ht="19.5" customHeight="1">
      <c r="A780" s="12"/>
      <c r="C780" s="12"/>
      <c r="D780" s="87"/>
      <c r="F780" s="14"/>
      <c r="G780" s="14"/>
      <c r="H780" s="14"/>
      <c r="I780" s="14"/>
      <c r="J780" s="14"/>
      <c r="K780" s="12"/>
    </row>
    <row r="781" ht="19.5" customHeight="1">
      <c r="A781" s="12"/>
      <c r="C781" s="12"/>
      <c r="D781" s="87"/>
      <c r="F781" s="14"/>
      <c r="G781" s="14"/>
      <c r="H781" s="14"/>
      <c r="I781" s="14"/>
      <c r="J781" s="14"/>
      <c r="K781" s="12"/>
    </row>
    <row r="782" ht="19.5" customHeight="1">
      <c r="A782" s="12"/>
      <c r="C782" s="12"/>
      <c r="D782" s="87"/>
      <c r="F782" s="14"/>
      <c r="G782" s="14"/>
      <c r="H782" s="14"/>
      <c r="I782" s="14"/>
      <c r="J782" s="14"/>
      <c r="K782" s="12"/>
    </row>
    <row r="783" ht="19.5" customHeight="1">
      <c r="A783" s="12"/>
      <c r="C783" s="12"/>
      <c r="D783" s="87"/>
      <c r="F783" s="14"/>
      <c r="G783" s="14"/>
      <c r="H783" s="14"/>
      <c r="I783" s="14"/>
      <c r="J783" s="14"/>
      <c r="K783" s="12"/>
    </row>
    <row r="784" ht="19.5" customHeight="1">
      <c r="A784" s="12"/>
      <c r="C784" s="12"/>
      <c r="D784" s="87"/>
      <c r="F784" s="14"/>
      <c r="G784" s="14"/>
      <c r="H784" s="14"/>
      <c r="I784" s="14"/>
      <c r="J784" s="14"/>
      <c r="K784" s="12"/>
    </row>
    <row r="785" ht="19.5" customHeight="1">
      <c r="A785" s="12"/>
      <c r="C785" s="12"/>
      <c r="D785" s="87"/>
      <c r="F785" s="14"/>
      <c r="G785" s="14"/>
      <c r="H785" s="14"/>
      <c r="I785" s="14"/>
      <c r="J785" s="14"/>
      <c r="K785" s="12"/>
    </row>
    <row r="786" ht="19.5" customHeight="1">
      <c r="A786" s="12"/>
      <c r="C786" s="12"/>
      <c r="D786" s="87"/>
      <c r="F786" s="14"/>
      <c r="G786" s="14"/>
      <c r="H786" s="14"/>
      <c r="I786" s="14"/>
      <c r="J786" s="14"/>
      <c r="K786" s="12"/>
    </row>
    <row r="787" ht="19.5" customHeight="1">
      <c r="A787" s="12"/>
      <c r="C787" s="12"/>
      <c r="D787" s="87"/>
      <c r="F787" s="14"/>
      <c r="G787" s="14"/>
      <c r="H787" s="14"/>
      <c r="I787" s="14"/>
      <c r="J787" s="14"/>
      <c r="K787" s="12"/>
    </row>
    <row r="788" ht="19.5" customHeight="1">
      <c r="A788" s="12"/>
      <c r="C788" s="12"/>
      <c r="D788" s="87"/>
      <c r="F788" s="14"/>
      <c r="G788" s="14"/>
      <c r="H788" s="14"/>
      <c r="I788" s="14"/>
      <c r="J788" s="14"/>
      <c r="K788" s="12"/>
    </row>
    <row r="789" ht="19.5" customHeight="1">
      <c r="A789" s="12"/>
      <c r="C789" s="12"/>
      <c r="D789" s="87"/>
      <c r="F789" s="14"/>
      <c r="G789" s="14"/>
      <c r="H789" s="14"/>
      <c r="I789" s="14"/>
      <c r="J789" s="14"/>
      <c r="K789" s="12"/>
    </row>
    <row r="790" ht="19.5" customHeight="1">
      <c r="A790" s="12"/>
      <c r="C790" s="12"/>
      <c r="D790" s="87"/>
      <c r="F790" s="14"/>
      <c r="G790" s="14"/>
      <c r="H790" s="14"/>
      <c r="I790" s="14"/>
      <c r="J790" s="14"/>
      <c r="K790" s="12"/>
    </row>
    <row r="791" ht="19.5" customHeight="1">
      <c r="A791" s="12"/>
      <c r="C791" s="12"/>
      <c r="D791" s="87"/>
      <c r="F791" s="14"/>
      <c r="G791" s="14"/>
      <c r="H791" s="14"/>
      <c r="I791" s="14"/>
      <c r="J791" s="14"/>
      <c r="K791" s="12"/>
    </row>
    <row r="792" ht="19.5" customHeight="1">
      <c r="A792" s="12"/>
      <c r="C792" s="12"/>
      <c r="D792" s="87"/>
      <c r="F792" s="14"/>
      <c r="G792" s="14"/>
      <c r="H792" s="14"/>
      <c r="I792" s="14"/>
      <c r="J792" s="14"/>
      <c r="K792" s="12"/>
    </row>
    <row r="793" ht="19.5" customHeight="1">
      <c r="A793" s="12"/>
      <c r="C793" s="12"/>
      <c r="D793" s="87"/>
      <c r="F793" s="14"/>
      <c r="G793" s="14"/>
      <c r="H793" s="14"/>
      <c r="I793" s="14"/>
      <c r="J793" s="14"/>
      <c r="K793" s="12"/>
    </row>
    <row r="794" ht="19.5" customHeight="1">
      <c r="A794" s="12"/>
      <c r="C794" s="12"/>
      <c r="D794" s="87"/>
      <c r="F794" s="14"/>
      <c r="G794" s="14"/>
      <c r="H794" s="14"/>
      <c r="I794" s="14"/>
      <c r="J794" s="14"/>
      <c r="K794" s="12"/>
    </row>
    <row r="795" ht="19.5" customHeight="1">
      <c r="A795" s="12"/>
      <c r="C795" s="12"/>
      <c r="D795" s="87"/>
      <c r="F795" s="14"/>
      <c r="G795" s="14"/>
      <c r="H795" s="14"/>
      <c r="I795" s="14"/>
      <c r="J795" s="14"/>
      <c r="K795" s="12"/>
    </row>
    <row r="796" ht="19.5" customHeight="1">
      <c r="A796" s="12"/>
      <c r="C796" s="12"/>
      <c r="D796" s="87"/>
      <c r="F796" s="14"/>
      <c r="G796" s="14"/>
      <c r="H796" s="14"/>
      <c r="I796" s="14"/>
      <c r="J796" s="14"/>
      <c r="K796" s="12"/>
    </row>
    <row r="797" ht="19.5" customHeight="1">
      <c r="A797" s="12"/>
      <c r="C797" s="12"/>
      <c r="D797" s="87"/>
      <c r="F797" s="14"/>
      <c r="G797" s="14"/>
      <c r="H797" s="14"/>
      <c r="I797" s="14"/>
      <c r="J797" s="14"/>
      <c r="K797" s="12"/>
    </row>
    <row r="798" ht="19.5" customHeight="1">
      <c r="A798" s="12"/>
      <c r="C798" s="12"/>
      <c r="D798" s="87"/>
      <c r="F798" s="14"/>
      <c r="G798" s="14"/>
      <c r="H798" s="14"/>
      <c r="I798" s="14"/>
      <c r="J798" s="14"/>
      <c r="K798" s="12"/>
    </row>
    <row r="799" ht="19.5" customHeight="1">
      <c r="A799" s="12"/>
      <c r="C799" s="12"/>
      <c r="D799" s="87"/>
      <c r="F799" s="14"/>
      <c r="G799" s="14"/>
      <c r="H799" s="14"/>
      <c r="I799" s="14"/>
      <c r="J799" s="14"/>
      <c r="K799" s="12"/>
    </row>
    <row r="800" ht="19.5" customHeight="1">
      <c r="A800" s="12"/>
      <c r="C800" s="12"/>
      <c r="D800" s="87"/>
      <c r="F800" s="14"/>
      <c r="G800" s="14"/>
      <c r="H800" s="14"/>
      <c r="I800" s="14"/>
      <c r="J800" s="14"/>
      <c r="K800" s="12"/>
    </row>
    <row r="801" ht="19.5" customHeight="1">
      <c r="A801" s="12"/>
      <c r="C801" s="12"/>
      <c r="D801" s="87"/>
      <c r="F801" s="14"/>
      <c r="G801" s="14"/>
      <c r="H801" s="14"/>
      <c r="I801" s="14"/>
      <c r="J801" s="14"/>
      <c r="K801" s="12"/>
    </row>
    <row r="802" ht="19.5" customHeight="1">
      <c r="A802" s="12"/>
      <c r="C802" s="12"/>
      <c r="D802" s="87"/>
      <c r="F802" s="14"/>
      <c r="G802" s="14"/>
      <c r="H802" s="14"/>
      <c r="I802" s="14"/>
      <c r="J802" s="14"/>
      <c r="K802" s="12"/>
    </row>
    <row r="803" ht="19.5" customHeight="1">
      <c r="A803" s="12"/>
      <c r="C803" s="12"/>
      <c r="D803" s="87"/>
      <c r="F803" s="14"/>
      <c r="G803" s="14"/>
      <c r="H803" s="14"/>
      <c r="I803" s="14"/>
      <c r="J803" s="14"/>
      <c r="K803" s="12"/>
    </row>
    <row r="804" ht="19.5" customHeight="1">
      <c r="A804" s="12"/>
      <c r="C804" s="12"/>
      <c r="D804" s="87"/>
      <c r="F804" s="14"/>
      <c r="G804" s="14"/>
      <c r="H804" s="14"/>
      <c r="I804" s="14"/>
      <c r="J804" s="14"/>
      <c r="K804" s="12"/>
    </row>
    <row r="805" ht="19.5" customHeight="1">
      <c r="A805" s="12"/>
      <c r="C805" s="12"/>
      <c r="D805" s="87"/>
      <c r="F805" s="14"/>
      <c r="G805" s="14"/>
      <c r="H805" s="14"/>
      <c r="I805" s="14"/>
      <c r="J805" s="14"/>
      <c r="K805" s="12"/>
    </row>
    <row r="806" ht="19.5" customHeight="1">
      <c r="A806" s="12"/>
      <c r="C806" s="12"/>
      <c r="D806" s="87"/>
      <c r="F806" s="14"/>
      <c r="G806" s="14"/>
      <c r="H806" s="14"/>
      <c r="I806" s="14"/>
      <c r="J806" s="14"/>
      <c r="K806" s="12"/>
    </row>
    <row r="807" ht="19.5" customHeight="1">
      <c r="A807" s="12"/>
      <c r="C807" s="12"/>
      <c r="D807" s="87"/>
      <c r="F807" s="14"/>
      <c r="G807" s="14"/>
      <c r="H807" s="14"/>
      <c r="I807" s="14"/>
      <c r="J807" s="14"/>
      <c r="K807" s="12"/>
    </row>
    <row r="808" ht="19.5" customHeight="1">
      <c r="A808" s="12"/>
      <c r="C808" s="12"/>
      <c r="D808" s="87"/>
      <c r="F808" s="14"/>
      <c r="G808" s="14"/>
      <c r="H808" s="14"/>
      <c r="I808" s="14"/>
      <c r="J808" s="14"/>
      <c r="K808" s="12"/>
    </row>
    <row r="809" ht="19.5" customHeight="1">
      <c r="A809" s="12"/>
      <c r="C809" s="12"/>
      <c r="D809" s="87"/>
      <c r="F809" s="14"/>
      <c r="G809" s="14"/>
      <c r="H809" s="14"/>
      <c r="I809" s="14"/>
      <c r="J809" s="14"/>
      <c r="K809" s="12"/>
    </row>
    <row r="810" ht="19.5" customHeight="1">
      <c r="A810" s="12"/>
      <c r="C810" s="12"/>
      <c r="D810" s="87"/>
      <c r="F810" s="14"/>
      <c r="G810" s="14"/>
      <c r="H810" s="14"/>
      <c r="I810" s="14"/>
      <c r="J810" s="14"/>
      <c r="K810" s="12"/>
    </row>
    <row r="811" ht="19.5" customHeight="1">
      <c r="A811" s="12"/>
      <c r="C811" s="12"/>
      <c r="D811" s="87"/>
      <c r="F811" s="14"/>
      <c r="G811" s="14"/>
      <c r="H811" s="14"/>
      <c r="I811" s="14"/>
      <c r="J811" s="14"/>
      <c r="K811" s="12"/>
    </row>
    <row r="812" ht="19.5" customHeight="1">
      <c r="A812" s="12"/>
      <c r="C812" s="12"/>
      <c r="D812" s="87"/>
      <c r="F812" s="14"/>
      <c r="G812" s="14"/>
      <c r="H812" s="14"/>
      <c r="I812" s="14"/>
      <c r="J812" s="14"/>
      <c r="K812" s="12"/>
    </row>
    <row r="813" ht="19.5" customHeight="1">
      <c r="A813" s="12"/>
      <c r="C813" s="12"/>
      <c r="D813" s="87"/>
      <c r="F813" s="14"/>
      <c r="G813" s="14"/>
      <c r="H813" s="14"/>
      <c r="I813" s="14"/>
      <c r="J813" s="14"/>
      <c r="K813" s="12"/>
    </row>
    <row r="814" ht="19.5" customHeight="1">
      <c r="A814" s="12"/>
      <c r="C814" s="12"/>
      <c r="D814" s="87"/>
      <c r="F814" s="14"/>
      <c r="G814" s="14"/>
      <c r="H814" s="14"/>
      <c r="I814" s="14"/>
      <c r="J814" s="14"/>
      <c r="K814" s="12"/>
    </row>
    <row r="815" ht="19.5" customHeight="1">
      <c r="A815" s="12"/>
      <c r="C815" s="12"/>
      <c r="D815" s="87"/>
      <c r="F815" s="14"/>
      <c r="G815" s="14"/>
      <c r="H815" s="14"/>
      <c r="I815" s="14"/>
      <c r="J815" s="14"/>
      <c r="K815" s="12"/>
    </row>
    <row r="816" ht="19.5" customHeight="1">
      <c r="A816" s="12"/>
      <c r="C816" s="12"/>
      <c r="D816" s="87"/>
      <c r="F816" s="14"/>
      <c r="G816" s="14"/>
      <c r="H816" s="14"/>
      <c r="I816" s="14"/>
      <c r="J816" s="14"/>
      <c r="K816" s="12"/>
    </row>
    <row r="817" ht="19.5" customHeight="1">
      <c r="A817" s="12"/>
      <c r="C817" s="12"/>
      <c r="D817" s="87"/>
      <c r="F817" s="14"/>
      <c r="G817" s="14"/>
      <c r="H817" s="14"/>
      <c r="I817" s="14"/>
      <c r="J817" s="14"/>
      <c r="K817" s="12"/>
    </row>
    <row r="818" ht="19.5" customHeight="1">
      <c r="A818" s="12"/>
      <c r="C818" s="12"/>
      <c r="D818" s="87"/>
      <c r="F818" s="14"/>
      <c r="G818" s="14"/>
      <c r="H818" s="14"/>
      <c r="I818" s="14"/>
      <c r="J818" s="14"/>
      <c r="K818" s="12"/>
    </row>
    <row r="819" ht="19.5" customHeight="1">
      <c r="A819" s="12"/>
      <c r="C819" s="12"/>
      <c r="D819" s="87"/>
      <c r="F819" s="14"/>
      <c r="G819" s="14"/>
      <c r="H819" s="14"/>
      <c r="I819" s="14"/>
      <c r="J819" s="14"/>
      <c r="K819" s="12"/>
    </row>
    <row r="820" ht="19.5" customHeight="1">
      <c r="A820" s="12"/>
      <c r="C820" s="12"/>
      <c r="D820" s="87"/>
      <c r="F820" s="14"/>
      <c r="G820" s="14"/>
      <c r="H820" s="14"/>
      <c r="I820" s="14"/>
      <c r="J820" s="14"/>
      <c r="K820" s="12"/>
    </row>
    <row r="821" ht="19.5" customHeight="1">
      <c r="A821" s="12"/>
      <c r="C821" s="12"/>
      <c r="D821" s="87"/>
      <c r="F821" s="14"/>
      <c r="G821" s="14"/>
      <c r="H821" s="14"/>
      <c r="I821" s="14"/>
      <c r="J821" s="14"/>
      <c r="K821" s="12"/>
    </row>
    <row r="822" ht="19.5" customHeight="1">
      <c r="A822" s="12"/>
      <c r="C822" s="12"/>
      <c r="D822" s="87"/>
      <c r="F822" s="14"/>
      <c r="G822" s="14"/>
      <c r="H822" s="14"/>
      <c r="I822" s="14"/>
      <c r="J822" s="14"/>
      <c r="K822" s="12"/>
    </row>
    <row r="823" ht="19.5" customHeight="1">
      <c r="A823" s="12"/>
      <c r="C823" s="12"/>
      <c r="D823" s="87"/>
      <c r="F823" s="14"/>
      <c r="G823" s="14"/>
      <c r="H823" s="14"/>
      <c r="I823" s="14"/>
      <c r="J823" s="14"/>
      <c r="K823" s="12"/>
    </row>
    <row r="824" ht="19.5" customHeight="1">
      <c r="A824" s="12"/>
      <c r="C824" s="12"/>
      <c r="D824" s="87"/>
      <c r="F824" s="14"/>
      <c r="G824" s="14"/>
      <c r="H824" s="14"/>
      <c r="I824" s="14"/>
      <c r="J824" s="14"/>
      <c r="K824" s="12"/>
    </row>
    <row r="825" ht="19.5" customHeight="1">
      <c r="A825" s="12"/>
      <c r="C825" s="12"/>
      <c r="D825" s="87"/>
      <c r="F825" s="14"/>
      <c r="G825" s="14"/>
      <c r="H825" s="14"/>
      <c r="I825" s="14"/>
      <c r="J825" s="14"/>
      <c r="K825" s="12"/>
    </row>
    <row r="826" ht="19.5" customHeight="1">
      <c r="A826" s="12"/>
      <c r="C826" s="12"/>
      <c r="D826" s="87"/>
      <c r="F826" s="14"/>
      <c r="G826" s="14"/>
      <c r="H826" s="14"/>
      <c r="I826" s="14"/>
      <c r="J826" s="14"/>
      <c r="K826" s="12"/>
    </row>
    <row r="827" ht="19.5" customHeight="1">
      <c r="A827" s="12"/>
      <c r="C827" s="12"/>
      <c r="D827" s="87"/>
      <c r="F827" s="14"/>
      <c r="G827" s="14"/>
      <c r="H827" s="14"/>
      <c r="I827" s="14"/>
      <c r="J827" s="14"/>
      <c r="K827" s="12"/>
    </row>
    <row r="828" ht="19.5" customHeight="1">
      <c r="A828" s="12"/>
      <c r="C828" s="12"/>
      <c r="D828" s="87"/>
      <c r="F828" s="14"/>
      <c r="G828" s="14"/>
      <c r="H828" s="14"/>
      <c r="I828" s="14"/>
      <c r="J828" s="14"/>
      <c r="K828" s="12"/>
    </row>
    <row r="829" ht="19.5" customHeight="1">
      <c r="A829" s="12"/>
      <c r="C829" s="12"/>
      <c r="D829" s="87"/>
      <c r="F829" s="14"/>
      <c r="G829" s="14"/>
      <c r="H829" s="14"/>
      <c r="I829" s="14"/>
      <c r="J829" s="14"/>
      <c r="K829" s="12"/>
    </row>
    <row r="830" ht="19.5" customHeight="1">
      <c r="A830" s="12"/>
      <c r="C830" s="12"/>
      <c r="D830" s="87"/>
      <c r="F830" s="14"/>
      <c r="G830" s="14"/>
      <c r="H830" s="14"/>
      <c r="I830" s="14"/>
      <c r="J830" s="14"/>
      <c r="K830" s="12"/>
    </row>
    <row r="831" ht="19.5" customHeight="1">
      <c r="A831" s="12"/>
      <c r="C831" s="12"/>
      <c r="D831" s="87"/>
      <c r="F831" s="14"/>
      <c r="G831" s="14"/>
      <c r="H831" s="14"/>
      <c r="I831" s="14"/>
      <c r="J831" s="14"/>
      <c r="K831" s="12"/>
    </row>
    <row r="832" ht="19.5" customHeight="1">
      <c r="A832" s="12"/>
      <c r="C832" s="12"/>
      <c r="D832" s="87"/>
      <c r="F832" s="14"/>
      <c r="G832" s="14"/>
      <c r="H832" s="14"/>
      <c r="I832" s="14"/>
      <c r="J832" s="14"/>
      <c r="K832" s="12"/>
    </row>
    <row r="833" ht="19.5" customHeight="1">
      <c r="A833" s="12"/>
      <c r="C833" s="12"/>
      <c r="D833" s="87"/>
      <c r="F833" s="14"/>
      <c r="G833" s="14"/>
      <c r="H833" s="14"/>
      <c r="I833" s="14"/>
      <c r="J833" s="14"/>
      <c r="K833" s="12"/>
    </row>
    <row r="834" ht="19.5" customHeight="1">
      <c r="A834" s="12"/>
      <c r="C834" s="12"/>
      <c r="D834" s="87"/>
      <c r="F834" s="14"/>
      <c r="G834" s="14"/>
      <c r="H834" s="14"/>
      <c r="I834" s="14"/>
      <c r="J834" s="14"/>
      <c r="K834" s="12"/>
    </row>
    <row r="835" ht="19.5" customHeight="1">
      <c r="A835" s="12"/>
      <c r="C835" s="12"/>
      <c r="D835" s="87"/>
      <c r="F835" s="14"/>
      <c r="G835" s="14"/>
      <c r="H835" s="14"/>
      <c r="I835" s="14"/>
      <c r="J835" s="14"/>
      <c r="K835" s="12"/>
    </row>
    <row r="836" ht="19.5" customHeight="1">
      <c r="A836" s="12"/>
      <c r="C836" s="12"/>
      <c r="D836" s="87"/>
      <c r="F836" s="14"/>
      <c r="G836" s="14"/>
      <c r="H836" s="14"/>
      <c r="I836" s="14"/>
      <c r="J836" s="14"/>
      <c r="K836" s="12"/>
    </row>
    <row r="837" ht="19.5" customHeight="1">
      <c r="A837" s="12"/>
      <c r="C837" s="12"/>
      <c r="D837" s="87"/>
      <c r="F837" s="14"/>
      <c r="G837" s="14"/>
      <c r="H837" s="14"/>
      <c r="I837" s="14"/>
      <c r="J837" s="14"/>
      <c r="K837" s="12"/>
    </row>
    <row r="838" ht="19.5" customHeight="1">
      <c r="A838" s="12"/>
      <c r="C838" s="12"/>
      <c r="D838" s="87"/>
      <c r="F838" s="14"/>
      <c r="G838" s="14"/>
      <c r="H838" s="14"/>
      <c r="I838" s="14"/>
      <c r="J838" s="14"/>
      <c r="K838" s="12"/>
    </row>
    <row r="839" ht="19.5" customHeight="1">
      <c r="A839" s="12"/>
      <c r="C839" s="12"/>
      <c r="D839" s="87"/>
      <c r="F839" s="14"/>
      <c r="G839" s="14"/>
      <c r="H839" s="14"/>
      <c r="I839" s="14"/>
      <c r="J839" s="14"/>
      <c r="K839" s="12"/>
    </row>
    <row r="840" ht="19.5" customHeight="1">
      <c r="A840" s="12"/>
      <c r="C840" s="12"/>
      <c r="D840" s="87"/>
      <c r="F840" s="14"/>
      <c r="G840" s="14"/>
      <c r="H840" s="14"/>
      <c r="I840" s="14"/>
      <c r="J840" s="14"/>
      <c r="K840" s="12"/>
    </row>
    <row r="841" ht="19.5" customHeight="1">
      <c r="A841" s="12"/>
      <c r="C841" s="12"/>
      <c r="D841" s="87"/>
      <c r="F841" s="14"/>
      <c r="G841" s="14"/>
      <c r="H841" s="14"/>
      <c r="I841" s="14"/>
      <c r="J841" s="14"/>
      <c r="K841" s="12"/>
    </row>
    <row r="842" ht="19.5" customHeight="1">
      <c r="A842" s="12"/>
      <c r="C842" s="12"/>
      <c r="D842" s="87"/>
      <c r="F842" s="14"/>
      <c r="G842" s="14"/>
      <c r="H842" s="14"/>
      <c r="I842" s="14"/>
      <c r="J842" s="14"/>
      <c r="K842" s="12"/>
    </row>
    <row r="843" ht="19.5" customHeight="1">
      <c r="A843" s="12"/>
      <c r="C843" s="12"/>
      <c r="D843" s="87"/>
      <c r="F843" s="14"/>
      <c r="G843" s="14"/>
      <c r="H843" s="14"/>
      <c r="I843" s="14"/>
      <c r="J843" s="14"/>
      <c r="K843" s="12"/>
    </row>
    <row r="844" ht="19.5" customHeight="1">
      <c r="A844" s="12"/>
      <c r="C844" s="12"/>
      <c r="D844" s="87"/>
      <c r="F844" s="14"/>
      <c r="G844" s="14"/>
      <c r="H844" s="14"/>
      <c r="I844" s="14"/>
      <c r="J844" s="14"/>
      <c r="K844" s="12"/>
    </row>
    <row r="845" ht="19.5" customHeight="1">
      <c r="A845" s="12"/>
      <c r="C845" s="12"/>
      <c r="D845" s="87"/>
      <c r="F845" s="14"/>
      <c r="G845" s="14"/>
      <c r="H845" s="14"/>
      <c r="I845" s="14"/>
      <c r="J845" s="14"/>
      <c r="K845" s="12"/>
    </row>
    <row r="846" ht="19.5" customHeight="1">
      <c r="A846" s="12"/>
      <c r="C846" s="12"/>
      <c r="D846" s="87"/>
      <c r="F846" s="14"/>
      <c r="G846" s="14"/>
      <c r="H846" s="14"/>
      <c r="I846" s="14"/>
      <c r="J846" s="14"/>
      <c r="K846" s="12"/>
    </row>
    <row r="847" ht="19.5" customHeight="1">
      <c r="A847" s="12"/>
      <c r="C847" s="12"/>
      <c r="D847" s="87"/>
      <c r="F847" s="14"/>
      <c r="G847" s="14"/>
      <c r="H847" s="14"/>
      <c r="I847" s="14"/>
      <c r="J847" s="14"/>
      <c r="K847" s="12"/>
    </row>
    <row r="848" ht="19.5" customHeight="1">
      <c r="A848" s="12"/>
      <c r="C848" s="12"/>
      <c r="D848" s="87"/>
      <c r="F848" s="14"/>
      <c r="G848" s="14"/>
      <c r="H848" s="14"/>
      <c r="I848" s="14"/>
      <c r="J848" s="14"/>
      <c r="K848" s="12"/>
    </row>
    <row r="849" ht="19.5" customHeight="1">
      <c r="A849" s="12"/>
      <c r="C849" s="12"/>
      <c r="D849" s="87"/>
      <c r="F849" s="14"/>
      <c r="G849" s="14"/>
      <c r="H849" s="14"/>
      <c r="I849" s="14"/>
      <c r="J849" s="14"/>
      <c r="K849" s="12"/>
    </row>
    <row r="850" ht="19.5" customHeight="1">
      <c r="A850" s="12"/>
      <c r="C850" s="12"/>
      <c r="D850" s="87"/>
      <c r="F850" s="14"/>
      <c r="G850" s="14"/>
      <c r="H850" s="14"/>
      <c r="I850" s="14"/>
      <c r="J850" s="14"/>
      <c r="K850" s="12"/>
    </row>
    <row r="851" ht="19.5" customHeight="1">
      <c r="A851" s="12"/>
      <c r="C851" s="12"/>
      <c r="D851" s="87"/>
      <c r="F851" s="14"/>
      <c r="G851" s="14"/>
      <c r="H851" s="14"/>
      <c r="I851" s="14"/>
      <c r="J851" s="14"/>
      <c r="K851" s="12"/>
    </row>
    <row r="852" ht="19.5" customHeight="1">
      <c r="A852" s="12"/>
      <c r="C852" s="12"/>
      <c r="D852" s="87"/>
      <c r="F852" s="14"/>
      <c r="G852" s="14"/>
      <c r="H852" s="14"/>
      <c r="I852" s="14"/>
      <c r="J852" s="14"/>
      <c r="K852" s="12"/>
    </row>
    <row r="853" ht="19.5" customHeight="1">
      <c r="A853" s="12"/>
      <c r="C853" s="12"/>
      <c r="D853" s="87"/>
      <c r="F853" s="14"/>
      <c r="G853" s="14"/>
      <c r="H853" s="14"/>
      <c r="I853" s="14"/>
      <c r="J853" s="14"/>
      <c r="K853" s="12"/>
    </row>
    <row r="854" ht="19.5" customHeight="1">
      <c r="A854" s="12"/>
      <c r="C854" s="12"/>
      <c r="D854" s="87"/>
      <c r="F854" s="14"/>
      <c r="G854" s="14"/>
      <c r="H854" s="14"/>
      <c r="I854" s="14"/>
      <c r="J854" s="14"/>
      <c r="K854" s="12"/>
    </row>
    <row r="855" ht="19.5" customHeight="1">
      <c r="A855" s="12"/>
      <c r="C855" s="12"/>
      <c r="D855" s="87"/>
      <c r="F855" s="14"/>
      <c r="G855" s="14"/>
      <c r="H855" s="14"/>
      <c r="I855" s="14"/>
      <c r="J855" s="14"/>
      <c r="K855" s="12"/>
    </row>
    <row r="856" ht="19.5" customHeight="1">
      <c r="A856" s="12"/>
      <c r="C856" s="12"/>
      <c r="D856" s="87"/>
      <c r="F856" s="14"/>
      <c r="G856" s="14"/>
      <c r="H856" s="14"/>
      <c r="I856" s="14"/>
      <c r="J856" s="14"/>
      <c r="K856" s="12"/>
    </row>
    <row r="857" ht="19.5" customHeight="1">
      <c r="A857" s="12"/>
      <c r="C857" s="12"/>
      <c r="D857" s="87"/>
      <c r="F857" s="14"/>
      <c r="G857" s="14"/>
      <c r="H857" s="14"/>
      <c r="I857" s="14"/>
      <c r="J857" s="14"/>
      <c r="K857" s="12"/>
    </row>
    <row r="858" ht="19.5" customHeight="1">
      <c r="A858" s="12"/>
      <c r="C858" s="12"/>
      <c r="D858" s="87"/>
      <c r="F858" s="14"/>
      <c r="G858" s="14"/>
      <c r="H858" s="14"/>
      <c r="I858" s="14"/>
      <c r="J858" s="14"/>
      <c r="K858" s="12"/>
    </row>
    <row r="859" ht="19.5" customHeight="1">
      <c r="A859" s="12"/>
      <c r="C859" s="12"/>
      <c r="D859" s="87"/>
      <c r="F859" s="14"/>
      <c r="G859" s="14"/>
      <c r="H859" s="14"/>
      <c r="I859" s="14"/>
      <c r="J859" s="14"/>
      <c r="K859" s="12"/>
    </row>
    <row r="860" ht="19.5" customHeight="1">
      <c r="A860" s="12"/>
      <c r="C860" s="12"/>
      <c r="D860" s="87"/>
      <c r="F860" s="14"/>
      <c r="G860" s="14"/>
      <c r="H860" s="14"/>
      <c r="I860" s="14"/>
      <c r="J860" s="14"/>
      <c r="K860" s="12"/>
    </row>
    <row r="861" ht="19.5" customHeight="1">
      <c r="A861" s="12"/>
      <c r="C861" s="12"/>
      <c r="D861" s="87"/>
      <c r="F861" s="14"/>
      <c r="G861" s="14"/>
      <c r="H861" s="14"/>
      <c r="I861" s="14"/>
      <c r="J861" s="14"/>
      <c r="K861" s="12"/>
    </row>
    <row r="862" ht="19.5" customHeight="1">
      <c r="A862" s="12"/>
      <c r="C862" s="12"/>
      <c r="D862" s="87"/>
      <c r="F862" s="14"/>
      <c r="G862" s="14"/>
      <c r="H862" s="14"/>
      <c r="I862" s="14"/>
      <c r="J862" s="14"/>
      <c r="K862" s="12"/>
    </row>
    <row r="863" ht="19.5" customHeight="1">
      <c r="A863" s="12"/>
      <c r="C863" s="12"/>
      <c r="D863" s="87"/>
      <c r="F863" s="14"/>
      <c r="G863" s="14"/>
      <c r="H863" s="14"/>
      <c r="I863" s="14"/>
      <c r="J863" s="14"/>
      <c r="K863" s="12"/>
    </row>
    <row r="864" ht="19.5" customHeight="1">
      <c r="A864" s="12"/>
      <c r="C864" s="12"/>
      <c r="D864" s="87"/>
      <c r="F864" s="14"/>
      <c r="G864" s="14"/>
      <c r="H864" s="14"/>
      <c r="I864" s="14"/>
      <c r="J864" s="14"/>
      <c r="K864" s="12"/>
    </row>
    <row r="865" ht="19.5" customHeight="1">
      <c r="A865" s="12"/>
      <c r="C865" s="12"/>
      <c r="D865" s="87"/>
      <c r="F865" s="14"/>
      <c r="G865" s="14"/>
      <c r="H865" s="14"/>
      <c r="I865" s="14"/>
      <c r="J865" s="14"/>
      <c r="K865" s="12"/>
    </row>
    <row r="866" ht="19.5" customHeight="1">
      <c r="A866" s="12"/>
      <c r="C866" s="12"/>
      <c r="D866" s="87"/>
      <c r="F866" s="14"/>
      <c r="G866" s="14"/>
      <c r="H866" s="14"/>
      <c r="I866" s="14"/>
      <c r="J866" s="14"/>
      <c r="K866" s="12"/>
    </row>
    <row r="867" ht="19.5" customHeight="1">
      <c r="A867" s="12"/>
      <c r="C867" s="12"/>
      <c r="D867" s="87"/>
      <c r="F867" s="14"/>
      <c r="G867" s="14"/>
      <c r="H867" s="14"/>
      <c r="I867" s="14"/>
      <c r="J867" s="14"/>
      <c r="K867" s="12"/>
    </row>
    <row r="868" ht="19.5" customHeight="1">
      <c r="A868" s="12"/>
      <c r="C868" s="12"/>
      <c r="D868" s="87"/>
      <c r="F868" s="14"/>
      <c r="G868" s="14"/>
      <c r="H868" s="14"/>
      <c r="I868" s="14"/>
      <c r="J868" s="14"/>
      <c r="K868" s="12"/>
    </row>
    <row r="869" ht="19.5" customHeight="1">
      <c r="A869" s="12"/>
      <c r="C869" s="12"/>
      <c r="D869" s="87"/>
      <c r="F869" s="14"/>
      <c r="G869" s="14"/>
      <c r="H869" s="14"/>
      <c r="I869" s="14"/>
      <c r="J869" s="14"/>
      <c r="K869" s="12"/>
    </row>
    <row r="870" ht="19.5" customHeight="1">
      <c r="A870" s="12"/>
      <c r="C870" s="12"/>
      <c r="D870" s="87"/>
      <c r="F870" s="14"/>
      <c r="G870" s="14"/>
      <c r="H870" s="14"/>
      <c r="I870" s="14"/>
      <c r="J870" s="14"/>
      <c r="K870" s="12"/>
    </row>
    <row r="871" ht="19.5" customHeight="1">
      <c r="A871" s="12"/>
      <c r="C871" s="12"/>
      <c r="D871" s="87"/>
      <c r="F871" s="14"/>
      <c r="G871" s="14"/>
      <c r="H871" s="14"/>
      <c r="I871" s="14"/>
      <c r="J871" s="14"/>
      <c r="K871" s="12"/>
    </row>
    <row r="872" ht="19.5" customHeight="1">
      <c r="A872" s="12"/>
      <c r="C872" s="12"/>
      <c r="D872" s="87"/>
      <c r="F872" s="14"/>
      <c r="G872" s="14"/>
      <c r="H872" s="14"/>
      <c r="I872" s="14"/>
      <c r="J872" s="14"/>
      <c r="K872" s="12"/>
    </row>
    <row r="873" ht="19.5" customHeight="1">
      <c r="A873" s="12"/>
      <c r="C873" s="12"/>
      <c r="D873" s="87"/>
      <c r="F873" s="14"/>
      <c r="G873" s="14"/>
      <c r="H873" s="14"/>
      <c r="I873" s="14"/>
      <c r="J873" s="14"/>
      <c r="K873" s="12"/>
    </row>
    <row r="874" ht="19.5" customHeight="1">
      <c r="A874" s="12"/>
      <c r="C874" s="12"/>
      <c r="D874" s="87"/>
      <c r="F874" s="14"/>
      <c r="G874" s="14"/>
      <c r="H874" s="14"/>
      <c r="I874" s="14"/>
      <c r="J874" s="14"/>
      <c r="K874" s="12"/>
    </row>
    <row r="875" ht="19.5" customHeight="1">
      <c r="A875" s="12"/>
      <c r="C875" s="12"/>
      <c r="D875" s="87"/>
      <c r="F875" s="14"/>
      <c r="G875" s="14"/>
      <c r="H875" s="14"/>
      <c r="I875" s="14"/>
      <c r="J875" s="14"/>
      <c r="K875" s="12"/>
    </row>
    <row r="876" ht="19.5" customHeight="1">
      <c r="A876" s="12"/>
      <c r="C876" s="12"/>
      <c r="D876" s="87"/>
      <c r="F876" s="14"/>
      <c r="G876" s="14"/>
      <c r="H876" s="14"/>
      <c r="I876" s="14"/>
      <c r="J876" s="14"/>
      <c r="K876" s="12"/>
    </row>
    <row r="877" ht="19.5" customHeight="1">
      <c r="A877" s="12"/>
      <c r="C877" s="12"/>
      <c r="D877" s="87"/>
      <c r="F877" s="14"/>
      <c r="G877" s="14"/>
      <c r="H877" s="14"/>
      <c r="I877" s="14"/>
      <c r="J877" s="14"/>
      <c r="K877" s="12"/>
    </row>
    <row r="878" ht="19.5" customHeight="1">
      <c r="A878" s="12"/>
      <c r="C878" s="12"/>
      <c r="D878" s="87"/>
      <c r="F878" s="14"/>
      <c r="G878" s="14"/>
      <c r="H878" s="14"/>
      <c r="I878" s="14"/>
      <c r="J878" s="14"/>
      <c r="K878" s="12"/>
    </row>
    <row r="879" ht="19.5" customHeight="1">
      <c r="A879" s="12"/>
      <c r="C879" s="12"/>
      <c r="D879" s="87"/>
      <c r="F879" s="14"/>
      <c r="G879" s="14"/>
      <c r="H879" s="14"/>
      <c r="I879" s="14"/>
      <c r="J879" s="14"/>
      <c r="K879" s="12"/>
    </row>
    <row r="880" ht="19.5" customHeight="1">
      <c r="A880" s="12"/>
      <c r="C880" s="12"/>
      <c r="D880" s="87"/>
      <c r="F880" s="14"/>
      <c r="G880" s="14"/>
      <c r="H880" s="14"/>
      <c r="I880" s="14"/>
      <c r="J880" s="14"/>
      <c r="K880" s="12"/>
    </row>
    <row r="881" ht="19.5" customHeight="1">
      <c r="A881" s="12"/>
      <c r="C881" s="12"/>
      <c r="D881" s="87"/>
      <c r="F881" s="14"/>
      <c r="G881" s="14"/>
      <c r="H881" s="14"/>
      <c r="I881" s="14"/>
      <c r="J881" s="14"/>
      <c r="K881" s="12"/>
    </row>
    <row r="882" ht="19.5" customHeight="1">
      <c r="A882" s="12"/>
      <c r="C882" s="12"/>
      <c r="D882" s="87"/>
      <c r="F882" s="14"/>
      <c r="G882" s="14"/>
      <c r="H882" s="14"/>
      <c r="I882" s="14"/>
      <c r="J882" s="14"/>
      <c r="K882" s="12"/>
    </row>
    <row r="883" ht="19.5" customHeight="1">
      <c r="A883" s="12"/>
      <c r="C883" s="12"/>
      <c r="D883" s="87"/>
      <c r="F883" s="14"/>
      <c r="G883" s="14"/>
      <c r="H883" s="14"/>
      <c r="I883" s="14"/>
      <c r="J883" s="14"/>
      <c r="K883" s="12"/>
    </row>
    <row r="884" ht="19.5" customHeight="1">
      <c r="A884" s="12"/>
      <c r="C884" s="12"/>
      <c r="D884" s="87"/>
      <c r="F884" s="14"/>
      <c r="G884" s="14"/>
      <c r="H884" s="14"/>
      <c r="I884" s="14"/>
      <c r="J884" s="14"/>
      <c r="K884" s="12"/>
    </row>
    <row r="885" ht="19.5" customHeight="1">
      <c r="A885" s="12"/>
      <c r="C885" s="12"/>
      <c r="D885" s="87"/>
      <c r="F885" s="14"/>
      <c r="G885" s="14"/>
      <c r="H885" s="14"/>
      <c r="I885" s="14"/>
      <c r="J885" s="14"/>
      <c r="K885" s="12"/>
    </row>
    <row r="886" ht="19.5" customHeight="1">
      <c r="A886" s="12"/>
      <c r="C886" s="12"/>
      <c r="D886" s="87"/>
      <c r="F886" s="14"/>
      <c r="G886" s="14"/>
      <c r="H886" s="14"/>
      <c r="I886" s="14"/>
      <c r="J886" s="14"/>
      <c r="K886" s="12"/>
    </row>
    <row r="887" ht="19.5" customHeight="1">
      <c r="A887" s="12"/>
      <c r="C887" s="12"/>
      <c r="D887" s="87"/>
      <c r="F887" s="14"/>
      <c r="G887" s="14"/>
      <c r="H887" s="14"/>
      <c r="I887" s="14"/>
      <c r="J887" s="14"/>
      <c r="K887" s="12"/>
    </row>
    <row r="888" ht="19.5" customHeight="1">
      <c r="A888" s="12"/>
      <c r="C888" s="12"/>
      <c r="D888" s="87"/>
      <c r="F888" s="14"/>
      <c r="G888" s="14"/>
      <c r="H888" s="14"/>
      <c r="I888" s="14"/>
      <c r="J888" s="14"/>
      <c r="K888" s="12"/>
    </row>
    <row r="889" ht="19.5" customHeight="1">
      <c r="A889" s="12"/>
      <c r="C889" s="12"/>
      <c r="D889" s="87"/>
      <c r="F889" s="14"/>
      <c r="G889" s="14"/>
      <c r="H889" s="14"/>
      <c r="I889" s="14"/>
      <c r="J889" s="14"/>
      <c r="K889" s="12"/>
    </row>
    <row r="890" ht="19.5" customHeight="1">
      <c r="A890" s="12"/>
      <c r="C890" s="12"/>
      <c r="D890" s="87"/>
      <c r="F890" s="14"/>
      <c r="G890" s="14"/>
      <c r="H890" s="14"/>
      <c r="I890" s="14"/>
      <c r="J890" s="14"/>
      <c r="K890" s="12"/>
    </row>
    <row r="891" ht="19.5" customHeight="1">
      <c r="A891" s="12"/>
      <c r="C891" s="12"/>
      <c r="D891" s="87"/>
      <c r="F891" s="14"/>
      <c r="G891" s="14"/>
      <c r="H891" s="14"/>
      <c r="I891" s="14"/>
      <c r="J891" s="14"/>
      <c r="K891" s="12"/>
    </row>
    <row r="892" ht="19.5" customHeight="1">
      <c r="A892" s="12"/>
      <c r="C892" s="12"/>
      <c r="D892" s="87"/>
      <c r="F892" s="14"/>
      <c r="G892" s="14"/>
      <c r="H892" s="14"/>
      <c r="I892" s="14"/>
      <c r="J892" s="14"/>
      <c r="K892" s="12"/>
    </row>
    <row r="893" ht="19.5" customHeight="1">
      <c r="A893" s="12"/>
      <c r="C893" s="12"/>
      <c r="D893" s="87"/>
      <c r="F893" s="14"/>
      <c r="G893" s="14"/>
      <c r="H893" s="14"/>
      <c r="I893" s="14"/>
      <c r="J893" s="14"/>
      <c r="K893" s="12"/>
    </row>
    <row r="894" ht="19.5" customHeight="1">
      <c r="A894" s="12"/>
      <c r="C894" s="12"/>
      <c r="D894" s="87"/>
      <c r="F894" s="14"/>
      <c r="G894" s="14"/>
      <c r="H894" s="14"/>
      <c r="I894" s="14"/>
      <c r="J894" s="14"/>
      <c r="K894" s="12"/>
    </row>
    <row r="895" ht="19.5" customHeight="1">
      <c r="A895" s="12"/>
      <c r="C895" s="12"/>
      <c r="D895" s="87"/>
      <c r="F895" s="14"/>
      <c r="G895" s="14"/>
      <c r="H895" s="14"/>
      <c r="I895" s="14"/>
      <c r="J895" s="14"/>
      <c r="K895" s="12"/>
    </row>
    <row r="896" ht="19.5" customHeight="1">
      <c r="A896" s="12"/>
      <c r="C896" s="12"/>
      <c r="D896" s="87"/>
      <c r="F896" s="14"/>
      <c r="G896" s="14"/>
      <c r="H896" s="14"/>
      <c r="I896" s="14"/>
      <c r="J896" s="14"/>
      <c r="K896" s="12"/>
    </row>
    <row r="897" ht="19.5" customHeight="1">
      <c r="A897" s="12"/>
      <c r="C897" s="12"/>
      <c r="D897" s="87"/>
      <c r="F897" s="14"/>
      <c r="G897" s="14"/>
      <c r="H897" s="14"/>
      <c r="I897" s="14"/>
      <c r="J897" s="14"/>
      <c r="K897" s="12"/>
    </row>
    <row r="898" ht="19.5" customHeight="1">
      <c r="A898" s="12"/>
      <c r="C898" s="12"/>
      <c r="D898" s="87"/>
      <c r="F898" s="14"/>
      <c r="G898" s="14"/>
      <c r="H898" s="14"/>
      <c r="I898" s="14"/>
      <c r="J898" s="14"/>
      <c r="K898" s="12"/>
    </row>
    <row r="899" ht="19.5" customHeight="1">
      <c r="A899" s="12"/>
      <c r="C899" s="12"/>
      <c r="D899" s="87"/>
      <c r="F899" s="14"/>
      <c r="G899" s="14"/>
      <c r="H899" s="14"/>
      <c r="I899" s="14"/>
      <c r="J899" s="14"/>
      <c r="K899" s="12"/>
    </row>
    <row r="900" ht="19.5" customHeight="1">
      <c r="A900" s="12"/>
      <c r="C900" s="12"/>
      <c r="D900" s="87"/>
      <c r="F900" s="14"/>
      <c r="G900" s="14"/>
      <c r="H900" s="14"/>
      <c r="I900" s="14"/>
      <c r="J900" s="14"/>
      <c r="K900" s="12"/>
    </row>
    <row r="901" ht="19.5" customHeight="1">
      <c r="A901" s="12"/>
      <c r="C901" s="12"/>
      <c r="D901" s="87"/>
      <c r="F901" s="14"/>
      <c r="G901" s="14"/>
      <c r="H901" s="14"/>
      <c r="I901" s="14"/>
      <c r="J901" s="14"/>
      <c r="K901" s="12"/>
    </row>
    <row r="902" ht="19.5" customHeight="1">
      <c r="A902" s="12"/>
      <c r="C902" s="12"/>
      <c r="D902" s="87"/>
      <c r="F902" s="14"/>
      <c r="G902" s="14"/>
      <c r="H902" s="14"/>
      <c r="I902" s="14"/>
      <c r="J902" s="14"/>
      <c r="K902" s="12"/>
    </row>
    <row r="903" ht="19.5" customHeight="1">
      <c r="A903" s="12"/>
      <c r="C903" s="12"/>
      <c r="D903" s="87"/>
      <c r="F903" s="14"/>
      <c r="G903" s="14"/>
      <c r="H903" s="14"/>
      <c r="I903" s="14"/>
      <c r="J903" s="14"/>
      <c r="K903" s="12"/>
    </row>
    <row r="904" ht="19.5" customHeight="1">
      <c r="A904" s="12"/>
      <c r="C904" s="12"/>
      <c r="D904" s="87"/>
      <c r="F904" s="14"/>
      <c r="G904" s="14"/>
      <c r="H904" s="14"/>
      <c r="I904" s="14"/>
      <c r="J904" s="14"/>
      <c r="K904" s="12"/>
    </row>
    <row r="905" ht="19.5" customHeight="1">
      <c r="A905" s="12"/>
      <c r="C905" s="12"/>
      <c r="D905" s="87"/>
      <c r="F905" s="14"/>
      <c r="G905" s="14"/>
      <c r="H905" s="14"/>
      <c r="I905" s="14"/>
      <c r="J905" s="14"/>
      <c r="K905" s="12"/>
    </row>
    <row r="906" ht="19.5" customHeight="1">
      <c r="A906" s="12"/>
      <c r="C906" s="12"/>
      <c r="D906" s="87"/>
      <c r="F906" s="14"/>
      <c r="G906" s="14"/>
      <c r="H906" s="14"/>
      <c r="I906" s="14"/>
      <c r="J906" s="14"/>
      <c r="K906" s="12"/>
    </row>
    <row r="907" ht="19.5" customHeight="1">
      <c r="A907" s="12"/>
      <c r="C907" s="12"/>
      <c r="D907" s="87"/>
      <c r="F907" s="14"/>
      <c r="G907" s="14"/>
      <c r="H907" s="14"/>
      <c r="I907" s="14"/>
      <c r="J907" s="14"/>
      <c r="K907" s="12"/>
    </row>
    <row r="908" ht="19.5" customHeight="1">
      <c r="A908" s="12"/>
      <c r="C908" s="12"/>
      <c r="D908" s="87"/>
      <c r="F908" s="14"/>
      <c r="G908" s="14"/>
      <c r="H908" s="14"/>
      <c r="I908" s="14"/>
      <c r="J908" s="14"/>
      <c r="K908" s="12"/>
    </row>
    <row r="909" ht="19.5" customHeight="1">
      <c r="A909" s="12"/>
      <c r="C909" s="12"/>
      <c r="D909" s="87"/>
      <c r="F909" s="14"/>
      <c r="G909" s="14"/>
      <c r="H909" s="14"/>
      <c r="I909" s="14"/>
      <c r="J909" s="14"/>
      <c r="K909" s="12"/>
    </row>
    <row r="910" ht="19.5" customHeight="1">
      <c r="A910" s="12"/>
      <c r="C910" s="12"/>
      <c r="D910" s="87"/>
      <c r="F910" s="14"/>
      <c r="G910" s="14"/>
      <c r="H910" s="14"/>
      <c r="I910" s="14"/>
      <c r="J910" s="14"/>
      <c r="K910" s="12"/>
    </row>
    <row r="911" ht="19.5" customHeight="1">
      <c r="A911" s="12"/>
      <c r="C911" s="12"/>
      <c r="D911" s="87"/>
      <c r="F911" s="14"/>
      <c r="G911" s="14"/>
      <c r="H911" s="14"/>
      <c r="I911" s="14"/>
      <c r="J911" s="14"/>
      <c r="K911" s="12"/>
    </row>
    <row r="912" ht="19.5" customHeight="1">
      <c r="A912" s="12"/>
      <c r="C912" s="12"/>
      <c r="D912" s="87"/>
      <c r="F912" s="14"/>
      <c r="G912" s="14"/>
      <c r="H912" s="14"/>
      <c r="I912" s="14"/>
      <c r="J912" s="14"/>
      <c r="K912" s="12"/>
    </row>
    <row r="913" ht="19.5" customHeight="1">
      <c r="A913" s="12"/>
      <c r="C913" s="12"/>
      <c r="D913" s="87"/>
      <c r="F913" s="14"/>
      <c r="G913" s="14"/>
      <c r="H913" s="14"/>
      <c r="I913" s="14"/>
      <c r="J913" s="14"/>
      <c r="K913" s="12"/>
    </row>
    <row r="914" ht="19.5" customHeight="1">
      <c r="A914" s="12"/>
      <c r="C914" s="12"/>
      <c r="D914" s="87"/>
      <c r="F914" s="14"/>
      <c r="G914" s="14"/>
      <c r="H914" s="14"/>
      <c r="I914" s="14"/>
      <c r="J914" s="14"/>
      <c r="K914" s="12"/>
    </row>
    <row r="915" ht="19.5" customHeight="1">
      <c r="A915" s="12"/>
      <c r="C915" s="12"/>
      <c r="D915" s="87"/>
      <c r="F915" s="14"/>
      <c r="G915" s="14"/>
      <c r="H915" s="14"/>
      <c r="I915" s="14"/>
      <c r="J915" s="14"/>
      <c r="K915" s="12"/>
    </row>
    <row r="916" ht="19.5" customHeight="1">
      <c r="A916" s="12"/>
      <c r="C916" s="12"/>
      <c r="D916" s="87"/>
      <c r="F916" s="14"/>
      <c r="G916" s="14"/>
      <c r="H916" s="14"/>
      <c r="I916" s="14"/>
      <c r="J916" s="14"/>
      <c r="K916" s="12"/>
    </row>
    <row r="917" ht="19.5" customHeight="1">
      <c r="A917" s="12"/>
      <c r="C917" s="12"/>
      <c r="D917" s="87"/>
      <c r="F917" s="14"/>
      <c r="G917" s="14"/>
      <c r="H917" s="14"/>
      <c r="I917" s="14"/>
      <c r="J917" s="14"/>
      <c r="K917" s="12"/>
    </row>
    <row r="918" ht="19.5" customHeight="1">
      <c r="A918" s="12"/>
      <c r="C918" s="12"/>
      <c r="D918" s="87"/>
      <c r="F918" s="14"/>
      <c r="G918" s="14"/>
      <c r="H918" s="14"/>
      <c r="I918" s="14"/>
      <c r="J918" s="14"/>
      <c r="K918" s="12"/>
    </row>
    <row r="919" ht="19.5" customHeight="1">
      <c r="A919" s="12"/>
      <c r="C919" s="12"/>
      <c r="D919" s="87"/>
      <c r="F919" s="14"/>
      <c r="G919" s="14"/>
      <c r="H919" s="14"/>
      <c r="I919" s="14"/>
      <c r="J919" s="14"/>
      <c r="K919" s="12"/>
    </row>
    <row r="920" ht="19.5" customHeight="1">
      <c r="A920" s="12"/>
      <c r="C920" s="12"/>
      <c r="D920" s="87"/>
      <c r="F920" s="14"/>
      <c r="G920" s="14"/>
      <c r="H920" s="14"/>
      <c r="I920" s="14"/>
      <c r="J920" s="14"/>
      <c r="K920" s="12"/>
    </row>
    <row r="921" ht="19.5" customHeight="1">
      <c r="A921" s="12"/>
      <c r="C921" s="12"/>
      <c r="D921" s="87"/>
      <c r="F921" s="14"/>
      <c r="G921" s="14"/>
      <c r="H921" s="14"/>
      <c r="I921" s="14"/>
      <c r="J921" s="14"/>
      <c r="K921" s="12"/>
    </row>
    <row r="922" ht="19.5" customHeight="1">
      <c r="A922" s="12"/>
      <c r="C922" s="12"/>
      <c r="D922" s="87"/>
      <c r="F922" s="14"/>
      <c r="G922" s="14"/>
      <c r="H922" s="14"/>
      <c r="I922" s="14"/>
      <c r="J922" s="14"/>
      <c r="K922" s="12"/>
    </row>
    <row r="923" ht="19.5" customHeight="1">
      <c r="A923" s="12"/>
      <c r="C923" s="12"/>
      <c r="D923" s="87"/>
      <c r="F923" s="14"/>
      <c r="G923" s="14"/>
      <c r="H923" s="14"/>
      <c r="I923" s="14"/>
      <c r="J923" s="14"/>
      <c r="K923" s="12"/>
    </row>
    <row r="924" ht="19.5" customHeight="1">
      <c r="A924" s="12"/>
      <c r="C924" s="12"/>
      <c r="D924" s="87"/>
      <c r="F924" s="14"/>
      <c r="G924" s="14"/>
      <c r="H924" s="14"/>
      <c r="I924" s="14"/>
      <c r="J924" s="14"/>
      <c r="K924" s="12"/>
    </row>
    <row r="925" ht="19.5" customHeight="1">
      <c r="A925" s="12"/>
      <c r="C925" s="12"/>
      <c r="D925" s="87"/>
      <c r="F925" s="14"/>
      <c r="G925" s="14"/>
      <c r="H925" s="14"/>
      <c r="I925" s="14"/>
      <c r="J925" s="14"/>
      <c r="K925" s="12"/>
    </row>
    <row r="926" ht="19.5" customHeight="1">
      <c r="A926" s="12"/>
      <c r="C926" s="12"/>
      <c r="D926" s="87"/>
      <c r="F926" s="14"/>
      <c r="G926" s="14"/>
      <c r="H926" s="14"/>
      <c r="I926" s="14"/>
      <c r="J926" s="14"/>
      <c r="K926" s="12"/>
    </row>
    <row r="927" ht="19.5" customHeight="1">
      <c r="A927" s="12"/>
      <c r="C927" s="12"/>
      <c r="D927" s="87"/>
      <c r="F927" s="14"/>
      <c r="G927" s="14"/>
      <c r="H927" s="14"/>
      <c r="I927" s="14"/>
      <c r="J927" s="14"/>
      <c r="K927" s="12"/>
    </row>
    <row r="928" ht="19.5" customHeight="1">
      <c r="A928" s="12"/>
      <c r="C928" s="12"/>
      <c r="D928" s="87"/>
      <c r="F928" s="14"/>
      <c r="G928" s="14"/>
      <c r="H928" s="14"/>
      <c r="I928" s="14"/>
      <c r="J928" s="14"/>
      <c r="K928" s="12"/>
    </row>
    <row r="929" ht="19.5" customHeight="1">
      <c r="A929" s="12"/>
      <c r="C929" s="12"/>
      <c r="D929" s="87"/>
      <c r="F929" s="14"/>
      <c r="G929" s="14"/>
      <c r="H929" s="14"/>
      <c r="I929" s="14"/>
      <c r="J929" s="14"/>
      <c r="K929" s="12"/>
    </row>
    <row r="930" ht="19.5" customHeight="1">
      <c r="A930" s="12"/>
      <c r="C930" s="12"/>
      <c r="D930" s="87"/>
      <c r="F930" s="14"/>
      <c r="G930" s="14"/>
      <c r="H930" s="14"/>
      <c r="I930" s="14"/>
      <c r="J930" s="14"/>
      <c r="K930" s="12"/>
    </row>
    <row r="931" ht="19.5" customHeight="1">
      <c r="A931" s="12"/>
      <c r="C931" s="12"/>
      <c r="D931" s="87"/>
      <c r="F931" s="14"/>
      <c r="G931" s="14"/>
      <c r="H931" s="14"/>
      <c r="I931" s="14"/>
      <c r="J931" s="14"/>
      <c r="K931" s="12"/>
    </row>
    <row r="932" ht="19.5" customHeight="1">
      <c r="A932" s="12"/>
      <c r="C932" s="12"/>
      <c r="D932" s="87"/>
      <c r="F932" s="14"/>
      <c r="G932" s="14"/>
      <c r="H932" s="14"/>
      <c r="I932" s="14"/>
      <c r="J932" s="14"/>
      <c r="K932" s="12"/>
    </row>
    <row r="933" ht="19.5" customHeight="1">
      <c r="A933" s="12"/>
      <c r="C933" s="12"/>
      <c r="D933" s="87"/>
      <c r="F933" s="14"/>
      <c r="G933" s="14"/>
      <c r="H933" s="14"/>
      <c r="I933" s="14"/>
      <c r="J933" s="14"/>
      <c r="K933" s="12"/>
    </row>
    <row r="934" ht="19.5" customHeight="1">
      <c r="A934" s="12"/>
      <c r="C934" s="12"/>
      <c r="D934" s="87"/>
      <c r="F934" s="14"/>
      <c r="G934" s="14"/>
      <c r="H934" s="14"/>
      <c r="I934" s="14"/>
      <c r="J934" s="14"/>
      <c r="K934" s="12"/>
    </row>
    <row r="935" ht="19.5" customHeight="1">
      <c r="A935" s="12"/>
      <c r="C935" s="12"/>
      <c r="D935" s="87"/>
      <c r="F935" s="14"/>
      <c r="G935" s="14"/>
      <c r="H935" s="14"/>
      <c r="I935" s="14"/>
      <c r="J935" s="14"/>
      <c r="K935" s="12"/>
    </row>
    <row r="936" ht="19.5" customHeight="1">
      <c r="A936" s="12"/>
      <c r="C936" s="12"/>
      <c r="D936" s="87"/>
      <c r="F936" s="14"/>
      <c r="G936" s="14"/>
      <c r="H936" s="14"/>
      <c r="I936" s="14"/>
      <c r="J936" s="14"/>
      <c r="K936" s="12"/>
    </row>
    <row r="937" ht="19.5" customHeight="1">
      <c r="A937" s="12"/>
      <c r="C937" s="12"/>
      <c r="D937" s="87"/>
      <c r="F937" s="14"/>
      <c r="G937" s="14"/>
      <c r="H937" s="14"/>
      <c r="I937" s="14"/>
      <c r="J937" s="14"/>
      <c r="K937" s="12"/>
    </row>
    <row r="938" ht="19.5" customHeight="1">
      <c r="A938" s="12"/>
      <c r="C938" s="12"/>
      <c r="D938" s="87"/>
      <c r="F938" s="14"/>
      <c r="G938" s="14"/>
      <c r="H938" s="14"/>
      <c r="I938" s="14"/>
      <c r="J938" s="14"/>
      <c r="K938" s="12"/>
    </row>
    <row r="939" ht="19.5" customHeight="1">
      <c r="A939" s="12"/>
      <c r="C939" s="12"/>
      <c r="D939" s="87"/>
      <c r="F939" s="14"/>
      <c r="G939" s="14"/>
      <c r="H939" s="14"/>
      <c r="I939" s="14"/>
      <c r="J939" s="14"/>
      <c r="K939" s="12"/>
    </row>
    <row r="940" ht="19.5" customHeight="1">
      <c r="A940" s="12"/>
      <c r="C940" s="12"/>
      <c r="D940" s="87"/>
      <c r="F940" s="14"/>
      <c r="G940" s="14"/>
      <c r="H940" s="14"/>
      <c r="I940" s="14"/>
      <c r="J940" s="14"/>
      <c r="K940" s="12"/>
    </row>
    <row r="941" ht="19.5" customHeight="1">
      <c r="A941" s="12"/>
      <c r="C941" s="12"/>
      <c r="D941" s="87"/>
      <c r="F941" s="14"/>
      <c r="G941" s="14"/>
      <c r="H941" s="14"/>
      <c r="I941" s="14"/>
      <c r="J941" s="14"/>
      <c r="K941" s="12"/>
    </row>
    <row r="942" ht="19.5" customHeight="1">
      <c r="A942" s="12"/>
      <c r="C942" s="12"/>
      <c r="D942" s="87"/>
      <c r="F942" s="14"/>
      <c r="G942" s="14"/>
      <c r="H942" s="14"/>
      <c r="I942" s="14"/>
      <c r="J942" s="14"/>
      <c r="K942" s="12"/>
    </row>
    <row r="943" ht="19.5" customHeight="1">
      <c r="A943" s="12"/>
      <c r="C943" s="12"/>
      <c r="D943" s="87"/>
      <c r="F943" s="14"/>
      <c r="G943" s="14"/>
      <c r="H943" s="14"/>
      <c r="I943" s="14"/>
      <c r="J943" s="14"/>
      <c r="K943" s="12"/>
    </row>
    <row r="944" ht="19.5" customHeight="1">
      <c r="A944" s="12"/>
      <c r="C944" s="12"/>
      <c r="D944" s="87"/>
      <c r="F944" s="14"/>
      <c r="G944" s="14"/>
      <c r="H944" s="14"/>
      <c r="I944" s="14"/>
      <c r="J944" s="14"/>
      <c r="K944" s="12"/>
    </row>
    <row r="945" ht="19.5" customHeight="1">
      <c r="A945" s="12"/>
      <c r="C945" s="12"/>
      <c r="D945" s="87"/>
      <c r="F945" s="14"/>
      <c r="G945" s="14"/>
      <c r="H945" s="14"/>
      <c r="I945" s="14"/>
      <c r="J945" s="14"/>
      <c r="K945" s="12"/>
    </row>
    <row r="946" ht="19.5" customHeight="1">
      <c r="A946" s="12"/>
      <c r="C946" s="12"/>
      <c r="D946" s="87"/>
      <c r="F946" s="14"/>
      <c r="G946" s="14"/>
      <c r="H946" s="14"/>
      <c r="I946" s="14"/>
      <c r="J946" s="14"/>
      <c r="K946" s="12"/>
    </row>
    <row r="947" ht="19.5" customHeight="1">
      <c r="A947" s="12"/>
      <c r="C947" s="12"/>
      <c r="D947" s="87"/>
      <c r="F947" s="14"/>
      <c r="G947" s="14"/>
      <c r="H947" s="14"/>
      <c r="I947" s="14"/>
      <c r="J947" s="14"/>
      <c r="K947" s="12"/>
    </row>
    <row r="948" ht="19.5" customHeight="1">
      <c r="A948" s="12"/>
      <c r="C948" s="12"/>
      <c r="D948" s="87"/>
      <c r="F948" s="14"/>
      <c r="G948" s="14"/>
      <c r="H948" s="14"/>
      <c r="I948" s="14"/>
      <c r="J948" s="14"/>
      <c r="K948" s="12"/>
    </row>
    <row r="949" ht="19.5" customHeight="1">
      <c r="A949" s="12"/>
      <c r="C949" s="12"/>
      <c r="D949" s="87"/>
      <c r="F949" s="14"/>
      <c r="G949" s="14"/>
      <c r="H949" s="14"/>
      <c r="I949" s="14"/>
      <c r="J949" s="14"/>
      <c r="K949" s="12"/>
    </row>
    <row r="950" ht="19.5" customHeight="1">
      <c r="A950" s="12"/>
      <c r="C950" s="12"/>
      <c r="D950" s="87"/>
      <c r="F950" s="14"/>
      <c r="G950" s="14"/>
      <c r="H950" s="14"/>
      <c r="I950" s="14"/>
      <c r="J950" s="14"/>
      <c r="K950" s="12"/>
    </row>
    <row r="951" ht="19.5" customHeight="1">
      <c r="A951" s="12"/>
      <c r="C951" s="12"/>
      <c r="D951" s="87"/>
      <c r="F951" s="14"/>
      <c r="G951" s="14"/>
      <c r="H951" s="14"/>
      <c r="I951" s="14"/>
      <c r="J951" s="14"/>
      <c r="K951" s="12"/>
    </row>
    <row r="952" ht="19.5" customHeight="1">
      <c r="A952" s="12"/>
      <c r="C952" s="12"/>
      <c r="D952" s="87"/>
      <c r="F952" s="14"/>
      <c r="G952" s="14"/>
      <c r="H952" s="14"/>
      <c r="I952" s="14"/>
      <c r="J952" s="14"/>
      <c r="K952" s="12"/>
    </row>
    <row r="953" ht="19.5" customHeight="1">
      <c r="A953" s="12"/>
      <c r="C953" s="12"/>
      <c r="D953" s="87"/>
      <c r="F953" s="14"/>
      <c r="G953" s="14"/>
      <c r="H953" s="14"/>
      <c r="I953" s="14"/>
      <c r="J953" s="14"/>
      <c r="K953" s="12"/>
    </row>
    <row r="954" ht="19.5" customHeight="1">
      <c r="A954" s="12"/>
      <c r="C954" s="12"/>
      <c r="D954" s="87"/>
      <c r="F954" s="14"/>
      <c r="G954" s="14"/>
      <c r="H954" s="14"/>
      <c r="I954" s="14"/>
      <c r="J954" s="14"/>
      <c r="K954" s="12"/>
    </row>
    <row r="955" ht="19.5" customHeight="1">
      <c r="A955" s="12"/>
      <c r="C955" s="12"/>
      <c r="D955" s="87"/>
      <c r="F955" s="14"/>
      <c r="G955" s="14"/>
      <c r="H955" s="14"/>
      <c r="I955" s="14"/>
      <c r="J955" s="14"/>
      <c r="K955" s="12"/>
    </row>
    <row r="956" ht="19.5" customHeight="1">
      <c r="A956" s="12"/>
      <c r="C956" s="12"/>
      <c r="D956" s="87"/>
      <c r="F956" s="14"/>
      <c r="G956" s="14"/>
      <c r="H956" s="14"/>
      <c r="I956" s="14"/>
      <c r="J956" s="14"/>
      <c r="K956" s="12"/>
    </row>
    <row r="957" ht="19.5" customHeight="1">
      <c r="A957" s="12"/>
      <c r="C957" s="12"/>
      <c r="D957" s="87"/>
      <c r="F957" s="14"/>
      <c r="G957" s="14"/>
      <c r="H957" s="14"/>
      <c r="I957" s="14"/>
      <c r="J957" s="14"/>
      <c r="K957" s="12"/>
    </row>
    <row r="958" ht="19.5" customHeight="1">
      <c r="A958" s="12"/>
      <c r="C958" s="12"/>
      <c r="D958" s="87"/>
      <c r="F958" s="14"/>
      <c r="G958" s="14"/>
      <c r="H958" s="14"/>
      <c r="I958" s="14"/>
      <c r="J958" s="14"/>
      <c r="K958" s="12"/>
    </row>
    <row r="959" ht="19.5" customHeight="1">
      <c r="A959" s="12"/>
      <c r="C959" s="12"/>
      <c r="D959" s="87"/>
      <c r="F959" s="14"/>
      <c r="G959" s="14"/>
      <c r="H959" s="14"/>
      <c r="I959" s="14"/>
      <c r="J959" s="14"/>
      <c r="K959" s="12"/>
    </row>
    <row r="960" ht="19.5" customHeight="1">
      <c r="A960" s="12"/>
      <c r="C960" s="12"/>
      <c r="D960" s="87"/>
      <c r="F960" s="14"/>
      <c r="G960" s="14"/>
      <c r="H960" s="14"/>
      <c r="I960" s="14"/>
      <c r="J960" s="14"/>
      <c r="K960" s="12"/>
    </row>
    <row r="961" ht="19.5" customHeight="1">
      <c r="A961" s="12"/>
      <c r="C961" s="12"/>
      <c r="D961" s="87"/>
      <c r="F961" s="14"/>
      <c r="G961" s="14"/>
      <c r="H961" s="14"/>
      <c r="I961" s="14"/>
      <c r="J961" s="14"/>
      <c r="K961" s="12"/>
    </row>
    <row r="962" ht="19.5" customHeight="1">
      <c r="A962" s="12"/>
      <c r="C962" s="12"/>
      <c r="D962" s="87"/>
      <c r="F962" s="14"/>
      <c r="G962" s="14"/>
      <c r="H962" s="14"/>
      <c r="I962" s="14"/>
      <c r="J962" s="14"/>
      <c r="K962" s="12"/>
    </row>
    <row r="963" ht="19.5" customHeight="1">
      <c r="A963" s="12"/>
      <c r="C963" s="12"/>
      <c r="D963" s="87"/>
      <c r="F963" s="14"/>
      <c r="G963" s="14"/>
      <c r="H963" s="14"/>
      <c r="I963" s="14"/>
      <c r="J963" s="14"/>
      <c r="K963" s="12"/>
    </row>
    <row r="964" ht="19.5" customHeight="1">
      <c r="A964" s="12"/>
      <c r="C964" s="12"/>
      <c r="D964" s="87"/>
      <c r="F964" s="14"/>
      <c r="G964" s="14"/>
      <c r="H964" s="14"/>
      <c r="I964" s="14"/>
      <c r="J964" s="14"/>
      <c r="K964" s="12"/>
    </row>
    <row r="965" ht="19.5" customHeight="1">
      <c r="A965" s="12"/>
      <c r="C965" s="12"/>
      <c r="D965" s="87"/>
      <c r="F965" s="14"/>
      <c r="G965" s="14"/>
      <c r="H965" s="14"/>
      <c r="I965" s="14"/>
      <c r="J965" s="14"/>
      <c r="K965" s="12"/>
    </row>
    <row r="966" ht="19.5" customHeight="1">
      <c r="A966" s="12"/>
      <c r="C966" s="12"/>
      <c r="D966" s="87"/>
      <c r="F966" s="14"/>
      <c r="G966" s="14"/>
      <c r="H966" s="14"/>
      <c r="I966" s="14"/>
      <c r="J966" s="14"/>
      <c r="K966" s="12"/>
    </row>
    <row r="967" ht="19.5" customHeight="1">
      <c r="A967" s="12"/>
      <c r="C967" s="12"/>
      <c r="D967" s="87"/>
      <c r="F967" s="14"/>
      <c r="G967" s="14"/>
      <c r="H967" s="14"/>
      <c r="I967" s="14"/>
      <c r="J967" s="14"/>
      <c r="K967" s="12"/>
    </row>
    <row r="968" ht="19.5" customHeight="1">
      <c r="A968" s="12"/>
      <c r="C968" s="12"/>
      <c r="D968" s="87"/>
      <c r="F968" s="14"/>
      <c r="G968" s="14"/>
      <c r="H968" s="14"/>
      <c r="I968" s="14"/>
      <c r="J968" s="14"/>
      <c r="K968" s="12"/>
    </row>
    <row r="969" ht="19.5" customHeight="1">
      <c r="A969" s="12"/>
      <c r="C969" s="12"/>
      <c r="D969" s="87"/>
      <c r="F969" s="14"/>
      <c r="G969" s="14"/>
      <c r="H969" s="14"/>
      <c r="I969" s="14"/>
      <c r="J969" s="14"/>
      <c r="K969" s="12"/>
    </row>
    <row r="970" ht="19.5" customHeight="1">
      <c r="A970" s="12"/>
      <c r="C970" s="12"/>
      <c r="D970" s="87"/>
      <c r="F970" s="14"/>
      <c r="G970" s="14"/>
      <c r="H970" s="14"/>
      <c r="I970" s="14"/>
      <c r="J970" s="14"/>
      <c r="K970" s="12"/>
    </row>
    <row r="971" ht="19.5" customHeight="1">
      <c r="A971" s="12"/>
      <c r="C971" s="12"/>
      <c r="D971" s="87"/>
      <c r="F971" s="14"/>
      <c r="G971" s="14"/>
      <c r="H971" s="14"/>
      <c r="I971" s="14"/>
      <c r="J971" s="14"/>
      <c r="K971" s="12"/>
    </row>
    <row r="972" ht="19.5" customHeight="1">
      <c r="A972" s="12"/>
      <c r="C972" s="12"/>
      <c r="D972" s="87"/>
      <c r="F972" s="14"/>
      <c r="G972" s="14"/>
      <c r="H972" s="14"/>
      <c r="I972" s="14"/>
      <c r="J972" s="14"/>
      <c r="K972" s="12"/>
    </row>
    <row r="973" ht="19.5" customHeight="1">
      <c r="A973" s="12"/>
      <c r="C973" s="12"/>
      <c r="D973" s="87"/>
      <c r="F973" s="14"/>
      <c r="G973" s="14"/>
      <c r="H973" s="14"/>
      <c r="I973" s="14"/>
      <c r="J973" s="14"/>
      <c r="K973" s="12"/>
    </row>
    <row r="974" ht="19.5" customHeight="1">
      <c r="A974" s="12"/>
      <c r="C974" s="12"/>
      <c r="D974" s="87"/>
      <c r="F974" s="14"/>
      <c r="G974" s="14"/>
      <c r="H974" s="14"/>
      <c r="I974" s="14"/>
      <c r="J974" s="14"/>
      <c r="K974" s="12"/>
    </row>
    <row r="975" ht="19.5" customHeight="1">
      <c r="A975" s="12"/>
      <c r="C975" s="12"/>
      <c r="D975" s="87"/>
      <c r="F975" s="14"/>
      <c r="G975" s="14"/>
      <c r="H975" s="14"/>
      <c r="I975" s="14"/>
      <c r="J975" s="14"/>
      <c r="K975" s="12"/>
    </row>
    <row r="976" ht="19.5" customHeight="1">
      <c r="A976" s="12"/>
      <c r="C976" s="12"/>
      <c r="D976" s="87"/>
      <c r="F976" s="14"/>
      <c r="G976" s="14"/>
      <c r="H976" s="14"/>
      <c r="I976" s="14"/>
      <c r="J976" s="14"/>
      <c r="K976" s="12"/>
    </row>
    <row r="977" ht="19.5" customHeight="1">
      <c r="A977" s="12"/>
      <c r="C977" s="12"/>
      <c r="D977" s="87"/>
      <c r="F977" s="14"/>
      <c r="G977" s="14"/>
      <c r="H977" s="14"/>
      <c r="I977" s="14"/>
      <c r="J977" s="14"/>
      <c r="K977" s="12"/>
    </row>
    <row r="978" ht="19.5" customHeight="1">
      <c r="A978" s="12"/>
      <c r="C978" s="12"/>
      <c r="D978" s="87"/>
      <c r="F978" s="14"/>
      <c r="G978" s="14"/>
      <c r="H978" s="14"/>
      <c r="I978" s="14"/>
      <c r="J978" s="14"/>
      <c r="K978" s="12"/>
    </row>
    <row r="979" ht="19.5" customHeight="1">
      <c r="A979" s="12"/>
      <c r="C979" s="12"/>
      <c r="D979" s="87"/>
      <c r="F979" s="14"/>
      <c r="G979" s="14"/>
      <c r="H979" s="14"/>
      <c r="I979" s="14"/>
      <c r="J979" s="14"/>
      <c r="K979" s="12"/>
    </row>
    <row r="980" ht="19.5" customHeight="1">
      <c r="A980" s="12"/>
      <c r="C980" s="12"/>
      <c r="D980" s="87"/>
      <c r="F980" s="14"/>
      <c r="G980" s="14"/>
      <c r="H980" s="14"/>
      <c r="I980" s="14"/>
      <c r="J980" s="14"/>
      <c r="K980" s="12"/>
    </row>
    <row r="981" ht="19.5" customHeight="1">
      <c r="A981" s="12"/>
      <c r="C981" s="12"/>
      <c r="D981" s="87"/>
      <c r="F981" s="14"/>
      <c r="G981" s="14"/>
      <c r="H981" s="14"/>
      <c r="I981" s="14"/>
      <c r="J981" s="14"/>
      <c r="K981" s="12"/>
    </row>
    <row r="982" ht="19.5" customHeight="1">
      <c r="A982" s="12"/>
      <c r="C982" s="12"/>
      <c r="D982" s="87"/>
      <c r="F982" s="14"/>
      <c r="G982" s="14"/>
      <c r="H982" s="14"/>
      <c r="I982" s="14"/>
      <c r="J982" s="14"/>
      <c r="K982" s="12"/>
    </row>
    <row r="983" ht="19.5" customHeight="1">
      <c r="A983" s="12"/>
      <c r="C983" s="12"/>
      <c r="D983" s="87"/>
      <c r="F983" s="14"/>
      <c r="G983" s="14"/>
      <c r="H983" s="14"/>
      <c r="I983" s="14"/>
      <c r="J983" s="14"/>
      <c r="K983" s="12"/>
    </row>
    <row r="984" ht="19.5" customHeight="1">
      <c r="A984" s="12"/>
      <c r="C984" s="12"/>
      <c r="D984" s="87"/>
      <c r="F984" s="14"/>
      <c r="G984" s="14"/>
      <c r="H984" s="14"/>
      <c r="I984" s="14"/>
      <c r="J984" s="14"/>
      <c r="K984" s="12"/>
    </row>
    <row r="985" ht="19.5" customHeight="1">
      <c r="A985" s="12"/>
      <c r="C985" s="12"/>
      <c r="D985" s="87"/>
      <c r="F985" s="14"/>
      <c r="G985" s="14"/>
      <c r="H985" s="14"/>
      <c r="I985" s="14"/>
      <c r="J985" s="14"/>
      <c r="K985" s="12"/>
    </row>
    <row r="986" ht="19.5" customHeight="1">
      <c r="A986" s="12"/>
      <c r="C986" s="12"/>
      <c r="D986" s="87"/>
      <c r="F986" s="14"/>
      <c r="G986" s="14"/>
      <c r="H986" s="14"/>
      <c r="I986" s="14"/>
      <c r="J986" s="14"/>
      <c r="K986" s="12"/>
    </row>
    <row r="987" ht="19.5" customHeight="1">
      <c r="A987" s="12"/>
      <c r="C987" s="12"/>
      <c r="D987" s="87"/>
      <c r="F987" s="14"/>
      <c r="G987" s="14"/>
      <c r="H987" s="14"/>
      <c r="I987" s="14"/>
      <c r="J987" s="14"/>
      <c r="K987" s="12"/>
    </row>
    <row r="988" ht="19.5" customHeight="1">
      <c r="A988" s="12"/>
      <c r="C988" s="12"/>
      <c r="D988" s="87"/>
      <c r="F988" s="14"/>
      <c r="G988" s="14"/>
      <c r="H988" s="14"/>
      <c r="I988" s="14"/>
      <c r="J988" s="14"/>
      <c r="K988" s="12"/>
    </row>
    <row r="989" ht="19.5" customHeight="1">
      <c r="A989" s="12"/>
      <c r="C989" s="12"/>
      <c r="D989" s="87"/>
      <c r="F989" s="14"/>
      <c r="G989" s="14"/>
      <c r="H989" s="14"/>
      <c r="I989" s="14"/>
      <c r="J989" s="14"/>
      <c r="K989" s="12"/>
    </row>
    <row r="990" ht="19.5" customHeight="1">
      <c r="A990" s="12"/>
      <c r="C990" s="12"/>
      <c r="D990" s="87"/>
      <c r="F990" s="14"/>
      <c r="G990" s="14"/>
      <c r="H990" s="14"/>
      <c r="I990" s="14"/>
      <c r="J990" s="14"/>
      <c r="K990" s="12"/>
    </row>
    <row r="991" ht="19.5" customHeight="1">
      <c r="A991" s="12"/>
      <c r="C991" s="12"/>
      <c r="D991" s="87"/>
      <c r="F991" s="14"/>
      <c r="G991" s="14"/>
      <c r="H991" s="14"/>
      <c r="I991" s="14"/>
      <c r="J991" s="14"/>
      <c r="K991" s="12"/>
    </row>
    <row r="992" ht="19.5" customHeight="1">
      <c r="A992" s="12"/>
      <c r="C992" s="12"/>
      <c r="D992" s="87"/>
      <c r="F992" s="14"/>
      <c r="G992" s="14"/>
      <c r="H992" s="14"/>
      <c r="I992" s="14"/>
      <c r="J992" s="14"/>
      <c r="K992" s="12"/>
    </row>
    <row r="993" ht="19.5" customHeight="1">
      <c r="A993" s="12"/>
      <c r="C993" s="12"/>
      <c r="D993" s="87"/>
      <c r="F993" s="14"/>
      <c r="G993" s="14"/>
      <c r="H993" s="14"/>
      <c r="I993" s="14"/>
      <c r="J993" s="14"/>
      <c r="K993" s="12"/>
    </row>
    <row r="994" ht="19.5" customHeight="1">
      <c r="A994" s="12"/>
      <c r="C994" s="12"/>
      <c r="D994" s="87"/>
      <c r="F994" s="14"/>
      <c r="G994" s="14"/>
      <c r="H994" s="14"/>
      <c r="I994" s="14"/>
      <c r="J994" s="14"/>
      <c r="K994" s="12"/>
    </row>
    <row r="995" ht="19.5" customHeight="1">
      <c r="A995" s="12"/>
      <c r="C995" s="12"/>
      <c r="D995" s="87"/>
      <c r="F995" s="14"/>
      <c r="G995" s="14"/>
      <c r="H995" s="14"/>
      <c r="I995" s="14"/>
      <c r="J995" s="14"/>
      <c r="K995" s="12"/>
    </row>
    <row r="996" ht="19.5" customHeight="1">
      <c r="A996" s="12"/>
      <c r="C996" s="12"/>
      <c r="D996" s="87"/>
      <c r="F996" s="14"/>
      <c r="G996" s="14"/>
      <c r="H996" s="14"/>
      <c r="I996" s="14"/>
      <c r="J996" s="14"/>
      <c r="K996" s="12"/>
    </row>
    <row r="997" ht="19.5" customHeight="1">
      <c r="A997" s="12"/>
      <c r="C997" s="12"/>
      <c r="D997" s="87"/>
      <c r="F997" s="14"/>
      <c r="G997" s="14"/>
      <c r="H997" s="14"/>
      <c r="I997" s="14"/>
      <c r="J997" s="14"/>
      <c r="K997" s="12"/>
    </row>
    <row r="998" ht="19.5" customHeight="1">
      <c r="A998" s="12"/>
      <c r="C998" s="12"/>
      <c r="D998" s="87"/>
      <c r="F998" s="14"/>
      <c r="G998" s="14"/>
      <c r="H998" s="14"/>
      <c r="I998" s="14"/>
      <c r="J998" s="14"/>
      <c r="K998" s="12"/>
    </row>
    <row r="999" ht="19.5" customHeight="1">
      <c r="A999" s="12"/>
      <c r="C999" s="12"/>
      <c r="D999" s="87"/>
      <c r="F999" s="14"/>
      <c r="G999" s="14"/>
      <c r="H999" s="14"/>
      <c r="I999" s="14"/>
      <c r="J999" s="14"/>
      <c r="K999" s="12"/>
    </row>
    <row r="1000" ht="19.5" customHeight="1">
      <c r="A1000" s="12"/>
      <c r="C1000" s="12"/>
      <c r="D1000" s="87"/>
      <c r="F1000" s="14"/>
      <c r="G1000" s="14"/>
      <c r="H1000" s="14"/>
      <c r="I1000" s="14"/>
      <c r="J1000" s="14"/>
      <c r="K1000" s="12"/>
    </row>
    <row r="1001" ht="19.5" customHeight="1">
      <c r="A1001" s="12"/>
      <c r="C1001" s="12"/>
      <c r="D1001" s="87"/>
      <c r="F1001" s="14"/>
      <c r="G1001" s="14"/>
      <c r="H1001" s="14"/>
      <c r="I1001" s="14"/>
      <c r="J1001" s="14"/>
      <c r="K1001" s="12"/>
    </row>
    <row r="1002" ht="19.5" customHeight="1">
      <c r="A1002" s="12"/>
      <c r="C1002" s="12"/>
      <c r="D1002" s="87"/>
      <c r="F1002" s="14"/>
      <c r="G1002" s="14"/>
      <c r="H1002" s="14"/>
      <c r="I1002" s="14"/>
      <c r="J1002" s="14"/>
      <c r="K1002" s="12"/>
    </row>
    <row r="1003" ht="19.5" customHeight="1">
      <c r="A1003" s="12"/>
      <c r="C1003" s="12"/>
      <c r="D1003" s="87"/>
      <c r="F1003" s="14"/>
      <c r="G1003" s="14"/>
      <c r="H1003" s="14"/>
      <c r="I1003" s="14"/>
      <c r="J1003" s="14"/>
      <c r="K1003" s="12"/>
    </row>
    <row r="1004" ht="19.5" customHeight="1">
      <c r="A1004" s="12"/>
      <c r="C1004" s="12"/>
      <c r="D1004" s="87"/>
      <c r="F1004" s="14"/>
      <c r="G1004" s="14"/>
      <c r="H1004" s="14"/>
      <c r="I1004" s="14"/>
      <c r="J1004" s="14"/>
      <c r="K1004" s="12"/>
    </row>
    <row r="1005" ht="19.5" customHeight="1">
      <c r="A1005" s="12"/>
      <c r="C1005" s="12"/>
      <c r="D1005" s="87"/>
      <c r="F1005" s="14"/>
      <c r="G1005" s="14"/>
      <c r="H1005" s="14"/>
      <c r="I1005" s="14"/>
      <c r="J1005" s="14"/>
      <c r="K1005" s="12"/>
    </row>
    <row r="1006" ht="19.5" customHeight="1">
      <c r="A1006" s="12"/>
      <c r="C1006" s="12"/>
      <c r="D1006" s="87"/>
      <c r="F1006" s="14"/>
      <c r="G1006" s="14"/>
      <c r="H1006" s="14"/>
      <c r="I1006" s="14"/>
      <c r="J1006" s="14"/>
      <c r="K1006" s="12"/>
    </row>
    <row r="1007" ht="19.5" customHeight="1">
      <c r="A1007" s="12"/>
      <c r="C1007" s="12"/>
      <c r="D1007" s="87"/>
      <c r="F1007" s="14"/>
      <c r="G1007" s="14"/>
      <c r="H1007" s="14"/>
      <c r="I1007" s="14"/>
      <c r="J1007" s="14"/>
      <c r="K1007" s="12"/>
    </row>
    <row r="1008" ht="19.5" customHeight="1">
      <c r="A1008" s="12"/>
      <c r="C1008" s="12"/>
      <c r="D1008" s="87"/>
      <c r="F1008" s="14"/>
      <c r="G1008" s="14"/>
      <c r="H1008" s="14"/>
      <c r="I1008" s="14"/>
      <c r="J1008" s="14"/>
      <c r="K1008" s="12"/>
    </row>
    <row r="1009" ht="19.5" customHeight="1">
      <c r="A1009" s="12"/>
      <c r="C1009" s="12"/>
      <c r="D1009" s="87"/>
      <c r="F1009" s="14"/>
      <c r="G1009" s="14"/>
      <c r="H1009" s="14"/>
      <c r="I1009" s="14"/>
      <c r="J1009" s="14"/>
      <c r="K1009" s="12"/>
    </row>
    <row r="1010" ht="19.5" customHeight="1">
      <c r="A1010" s="12"/>
      <c r="C1010" s="12"/>
      <c r="D1010" s="87"/>
      <c r="F1010" s="14"/>
      <c r="G1010" s="14"/>
      <c r="H1010" s="14"/>
      <c r="I1010" s="14"/>
      <c r="J1010" s="14"/>
      <c r="K1010" s="12"/>
    </row>
    <row r="1011" ht="19.5" customHeight="1">
      <c r="A1011" s="12"/>
      <c r="C1011" s="12"/>
      <c r="D1011" s="87"/>
      <c r="F1011" s="14"/>
      <c r="G1011" s="14"/>
      <c r="H1011" s="14"/>
      <c r="I1011" s="14"/>
      <c r="J1011" s="14"/>
      <c r="K1011" s="12"/>
    </row>
    <row r="1012" ht="19.5" customHeight="1">
      <c r="A1012" s="12"/>
      <c r="C1012" s="12"/>
      <c r="D1012" s="87"/>
      <c r="F1012" s="14"/>
      <c r="G1012" s="14"/>
      <c r="H1012" s="14"/>
      <c r="I1012" s="14"/>
      <c r="J1012" s="14"/>
      <c r="K1012" s="12"/>
    </row>
    <row r="1013" ht="19.5" customHeight="1">
      <c r="A1013" s="12"/>
      <c r="C1013" s="12"/>
      <c r="D1013" s="87"/>
      <c r="F1013" s="14"/>
      <c r="G1013" s="14"/>
      <c r="H1013" s="14"/>
      <c r="I1013" s="14"/>
      <c r="J1013" s="14"/>
      <c r="K1013" s="12"/>
    </row>
    <row r="1014" ht="19.5" customHeight="1">
      <c r="A1014" s="12"/>
      <c r="C1014" s="12"/>
      <c r="D1014" s="87"/>
      <c r="F1014" s="14"/>
      <c r="G1014" s="14"/>
      <c r="H1014" s="14"/>
      <c r="I1014" s="14"/>
      <c r="J1014" s="14"/>
      <c r="K1014" s="12"/>
    </row>
    <row r="1015" ht="19.5" customHeight="1">
      <c r="A1015" s="12"/>
      <c r="C1015" s="12"/>
      <c r="D1015" s="87"/>
      <c r="F1015" s="14"/>
      <c r="G1015" s="14"/>
      <c r="H1015" s="14"/>
      <c r="I1015" s="14"/>
      <c r="J1015" s="14"/>
      <c r="K1015" s="12"/>
    </row>
    <row r="1016" ht="19.5" customHeight="1">
      <c r="A1016" s="12"/>
      <c r="C1016" s="12"/>
      <c r="D1016" s="87"/>
      <c r="F1016" s="14"/>
      <c r="G1016" s="14"/>
      <c r="H1016" s="14"/>
      <c r="I1016" s="14"/>
      <c r="J1016" s="14"/>
      <c r="K1016" s="12"/>
    </row>
    <row r="1017" ht="19.5" customHeight="1">
      <c r="A1017" s="12"/>
      <c r="C1017" s="12"/>
      <c r="D1017" s="87"/>
      <c r="F1017" s="14"/>
      <c r="G1017" s="14"/>
      <c r="H1017" s="14"/>
      <c r="I1017" s="14"/>
      <c r="J1017" s="14"/>
      <c r="K1017" s="12"/>
    </row>
    <row r="1018" ht="19.5" customHeight="1">
      <c r="A1018" s="12"/>
      <c r="C1018" s="12"/>
      <c r="D1018" s="87"/>
      <c r="F1018" s="14"/>
      <c r="G1018" s="14"/>
      <c r="H1018" s="14"/>
      <c r="I1018" s="14"/>
      <c r="J1018" s="14"/>
      <c r="K1018" s="12"/>
    </row>
  </sheetData>
  <mergeCells count="11">
    <mergeCell ref="E9:G9"/>
    <mergeCell ref="J9:J10"/>
    <mergeCell ref="K47:K49"/>
    <mergeCell ref="A6:K6"/>
    <mergeCell ref="A7:K7"/>
    <mergeCell ref="A8:K8"/>
    <mergeCell ref="A9:A10"/>
    <mergeCell ref="B9:B10"/>
    <mergeCell ref="C9:C10"/>
    <mergeCell ref="D9:D10"/>
    <mergeCell ref="K9:K10"/>
  </mergeCells>
  <printOptions/>
  <pageMargins bottom="0.787401575" footer="0.0" header="0.0" left="0.511811024" right="0.511811024" top="0.787401575"/>
  <pageSetup paperSize="9" scale="60" orientation="landscape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42.13"/>
    <col customWidth="1" min="3" max="3" width="9.13"/>
    <col customWidth="1" min="4" max="4" width="16.25"/>
    <col customWidth="1" min="5" max="5" width="19.13"/>
    <col customWidth="1" min="6" max="6" width="17.75"/>
    <col customWidth="1" min="7" max="7" width="21.88"/>
    <col customWidth="1" min="8" max="8" width="20.13"/>
    <col customWidth="1" min="9" max="9" width="16.13"/>
    <col customWidth="1" min="10" max="10" width="18.25"/>
    <col customWidth="1" min="11" max="11" width="32.38"/>
    <col customWidth="1" min="12" max="26" width="8.63"/>
  </cols>
  <sheetData>
    <row r="1" ht="19.5" customHeight="1">
      <c r="A1" s="4"/>
      <c r="B1" s="5"/>
      <c r="C1" s="6"/>
      <c r="D1" s="86"/>
      <c r="E1" s="5"/>
      <c r="F1" s="8"/>
      <c r="G1" s="8"/>
      <c r="H1" s="8"/>
      <c r="I1" s="8"/>
      <c r="J1" s="8"/>
      <c r="K1" s="9"/>
    </row>
    <row r="2" ht="19.5" customHeight="1">
      <c r="A2" s="10" t="s">
        <v>83</v>
      </c>
      <c r="B2" s="11" t="s">
        <v>84</v>
      </c>
      <c r="C2" s="12"/>
      <c r="D2" s="87"/>
      <c r="F2" s="14"/>
      <c r="G2" s="14"/>
      <c r="H2" s="14"/>
      <c r="I2" s="14"/>
      <c r="J2" s="17" t="s">
        <v>144</v>
      </c>
      <c r="K2" s="18"/>
    </row>
    <row r="3" ht="19.5" customHeight="1">
      <c r="A3" s="10" t="s">
        <v>86</v>
      </c>
      <c r="B3" s="11" t="s">
        <v>87</v>
      </c>
      <c r="C3" s="12"/>
      <c r="D3" s="87"/>
      <c r="F3" s="14"/>
      <c r="G3" s="14"/>
      <c r="H3" s="14"/>
      <c r="I3" s="14"/>
      <c r="J3" s="14"/>
      <c r="K3" s="18"/>
    </row>
    <row r="4" ht="19.5" customHeight="1">
      <c r="A4" s="19"/>
      <c r="C4" s="12"/>
      <c r="D4" s="87"/>
      <c r="F4" s="14"/>
      <c r="G4" s="14"/>
      <c r="H4" s="14"/>
      <c r="I4" s="14"/>
      <c r="J4" s="14"/>
      <c r="K4" s="18"/>
    </row>
    <row r="5" ht="19.5" customHeight="1">
      <c r="A5" s="19"/>
      <c r="C5" s="12"/>
      <c r="D5" s="87"/>
      <c r="F5" s="14"/>
      <c r="G5" s="14"/>
      <c r="H5" s="14"/>
      <c r="I5" s="14"/>
      <c r="J5" s="14"/>
      <c r="K5" s="18"/>
    </row>
    <row r="6" ht="200.25" customHeight="1">
      <c r="A6" s="20" t="s">
        <v>1796</v>
      </c>
      <c r="K6" s="21"/>
    </row>
    <row r="7" ht="64.5" customHeight="1">
      <c r="A7" s="358" t="s">
        <v>1818</v>
      </c>
      <c r="K7" s="21"/>
    </row>
    <row r="8" ht="37.5" customHeight="1">
      <c r="A8" s="88" t="s">
        <v>90</v>
      </c>
      <c r="B8" s="24"/>
      <c r="C8" s="24"/>
      <c r="D8" s="24"/>
      <c r="E8" s="24"/>
      <c r="F8" s="24"/>
      <c r="G8" s="24"/>
      <c r="H8" s="24"/>
      <c r="I8" s="24"/>
      <c r="J8" s="24"/>
      <c r="K8" s="25"/>
    </row>
    <row r="9" ht="19.5" customHeight="1">
      <c r="A9" s="26" t="s">
        <v>1</v>
      </c>
      <c r="B9" s="26" t="s">
        <v>91</v>
      </c>
      <c r="C9" s="26" t="s">
        <v>92</v>
      </c>
      <c r="D9" s="31" t="s">
        <v>93</v>
      </c>
      <c r="E9" s="27" t="s">
        <v>94</v>
      </c>
      <c r="F9" s="28"/>
      <c r="G9" s="29"/>
      <c r="H9" s="30"/>
      <c r="I9" s="30"/>
      <c r="J9" s="31" t="s">
        <v>95</v>
      </c>
      <c r="K9" s="26" t="s">
        <v>96</v>
      </c>
    </row>
    <row r="10" ht="19.5" customHeight="1">
      <c r="A10" s="32"/>
      <c r="B10" s="32"/>
      <c r="C10" s="32"/>
      <c r="D10" s="32"/>
      <c r="E10" s="33" t="s">
        <v>97</v>
      </c>
      <c r="F10" s="34" t="s">
        <v>121</v>
      </c>
      <c r="G10" s="34" t="s">
        <v>99</v>
      </c>
      <c r="H10" s="35" t="s">
        <v>100</v>
      </c>
      <c r="I10" s="35" t="s">
        <v>101</v>
      </c>
      <c r="J10" s="32"/>
      <c r="K10" s="32"/>
    </row>
    <row r="11" ht="19.5" customHeight="1">
      <c r="A11" s="46">
        <v>1.0</v>
      </c>
      <c r="B11" s="37" t="s">
        <v>332</v>
      </c>
      <c r="C11" s="46" t="s">
        <v>148</v>
      </c>
      <c r="D11" s="39">
        <v>1.0</v>
      </c>
      <c r="E11" s="37"/>
      <c r="F11" s="40">
        <f>24.75*2+111.6</f>
        <v>161.1</v>
      </c>
      <c r="G11" s="41">
        <v>2.3</v>
      </c>
      <c r="H11" s="40">
        <f>G11*F11*D11</f>
        <v>370.53</v>
      </c>
      <c r="I11" s="42"/>
      <c r="J11" s="64">
        <f>H11</f>
        <v>370.53</v>
      </c>
      <c r="K11" s="46"/>
    </row>
    <row r="12" ht="19.5" customHeight="1">
      <c r="A12" s="74" t="s">
        <v>1</v>
      </c>
      <c r="B12" s="74" t="s">
        <v>91</v>
      </c>
      <c r="C12" s="74" t="s">
        <v>92</v>
      </c>
      <c r="D12" s="76" t="s">
        <v>93</v>
      </c>
      <c r="E12" s="50" t="s">
        <v>97</v>
      </c>
      <c r="F12" s="53" t="s">
        <v>121</v>
      </c>
      <c r="G12" s="53" t="s">
        <v>99</v>
      </c>
      <c r="H12" s="75">
        <v>8.0</v>
      </c>
      <c r="I12" s="75" t="s">
        <v>101</v>
      </c>
      <c r="J12" s="76" t="s">
        <v>95</v>
      </c>
      <c r="K12" s="74" t="s">
        <v>96</v>
      </c>
    </row>
    <row r="13" ht="19.5" customHeight="1">
      <c r="A13" s="46">
        <v>1.0</v>
      </c>
      <c r="B13" s="37" t="s">
        <v>333</v>
      </c>
      <c r="C13" s="46" t="s">
        <v>148</v>
      </c>
      <c r="D13" s="78">
        <f>D11</f>
        <v>1</v>
      </c>
      <c r="E13" s="37">
        <v>0.05</v>
      </c>
      <c r="F13" s="40">
        <f t="shared" ref="F13:G13" si="1">F11</f>
        <v>161.1</v>
      </c>
      <c r="G13" s="40">
        <f t="shared" si="1"/>
        <v>2.3</v>
      </c>
      <c r="H13" s="40">
        <f>G13*F13*E13*D13</f>
        <v>18.5265</v>
      </c>
      <c r="I13" s="42"/>
      <c r="J13" s="64">
        <f>H13</f>
        <v>18.5265</v>
      </c>
      <c r="K13" s="46"/>
    </row>
    <row r="14" ht="19.5" customHeight="1">
      <c r="A14" s="74" t="s">
        <v>1</v>
      </c>
      <c r="B14" s="74" t="s">
        <v>91</v>
      </c>
      <c r="C14" s="74" t="s">
        <v>92</v>
      </c>
      <c r="D14" s="76" t="s">
        <v>93</v>
      </c>
      <c r="E14" s="50" t="s">
        <v>187</v>
      </c>
      <c r="F14" s="53" t="s">
        <v>99</v>
      </c>
      <c r="G14" s="53" t="s">
        <v>121</v>
      </c>
      <c r="H14" s="75" t="s">
        <v>100</v>
      </c>
      <c r="I14" s="75" t="s">
        <v>101</v>
      </c>
      <c r="J14" s="76" t="s">
        <v>95</v>
      </c>
      <c r="K14" s="74" t="s">
        <v>96</v>
      </c>
    </row>
    <row r="15" ht="19.5" customHeight="1">
      <c r="A15" s="46">
        <v>1.0</v>
      </c>
      <c r="B15" s="37" t="s">
        <v>1804</v>
      </c>
      <c r="C15" s="46" t="s">
        <v>103</v>
      </c>
      <c r="D15" s="78">
        <v>1.0</v>
      </c>
      <c r="E15" s="37">
        <v>2.0</v>
      </c>
      <c r="F15" s="41">
        <v>3.3</v>
      </c>
      <c r="G15" s="41">
        <v>161.1</v>
      </c>
      <c r="H15" s="40">
        <f>G15*F15</f>
        <v>531.63</v>
      </c>
      <c r="I15" s="42"/>
      <c r="J15" s="43">
        <f>H15-I15</f>
        <v>531.63</v>
      </c>
      <c r="K15" s="46"/>
    </row>
    <row r="16" ht="19.5" customHeight="1">
      <c r="A16" s="74" t="s">
        <v>1</v>
      </c>
      <c r="B16" s="74" t="s">
        <v>91</v>
      </c>
      <c r="C16" s="74" t="s">
        <v>92</v>
      </c>
      <c r="D16" s="76" t="s">
        <v>93</v>
      </c>
      <c r="E16" s="50" t="s">
        <v>97</v>
      </c>
      <c r="F16" s="53" t="s">
        <v>121</v>
      </c>
      <c r="G16" s="53" t="s">
        <v>198</v>
      </c>
      <c r="H16" s="75" t="s">
        <v>100</v>
      </c>
      <c r="I16" s="75" t="s">
        <v>101</v>
      </c>
      <c r="J16" s="76" t="s">
        <v>95</v>
      </c>
      <c r="K16" s="74" t="s">
        <v>96</v>
      </c>
    </row>
    <row r="17" ht="19.5" customHeight="1">
      <c r="A17" s="46">
        <v>1.0</v>
      </c>
      <c r="B17" s="49" t="s">
        <v>199</v>
      </c>
      <c r="C17" s="46" t="s">
        <v>103</v>
      </c>
      <c r="D17" s="39">
        <v>8.0</v>
      </c>
      <c r="E17" s="49">
        <v>3.2</v>
      </c>
      <c r="F17" s="39">
        <v>0.2</v>
      </c>
      <c r="G17" s="41">
        <v>4.0</v>
      </c>
      <c r="H17" s="40">
        <f t="shared" ref="H17:H19" si="2">D17*E17*F17*G17</f>
        <v>20.48</v>
      </c>
      <c r="I17" s="42"/>
      <c r="J17" s="40"/>
      <c r="K17" s="46"/>
    </row>
    <row r="18" ht="19.5" customHeight="1">
      <c r="A18" s="46">
        <v>2.0</v>
      </c>
      <c r="B18" s="49" t="s">
        <v>199</v>
      </c>
      <c r="C18" s="46" t="s">
        <v>103</v>
      </c>
      <c r="D18" s="39">
        <v>36.0</v>
      </c>
      <c r="E18" s="49">
        <v>3.2</v>
      </c>
      <c r="F18" s="39">
        <v>0.3</v>
      </c>
      <c r="G18" s="41">
        <v>4.0</v>
      </c>
      <c r="H18" s="40">
        <f t="shared" si="2"/>
        <v>138.24</v>
      </c>
      <c r="I18" s="42"/>
      <c r="J18" s="40"/>
      <c r="K18" s="46"/>
    </row>
    <row r="19" ht="19.5" customHeight="1">
      <c r="A19" s="83">
        <v>3.0</v>
      </c>
      <c r="B19" s="49" t="s">
        <v>199</v>
      </c>
      <c r="C19" s="46" t="s">
        <v>103</v>
      </c>
      <c r="D19" s="39">
        <v>18.0</v>
      </c>
      <c r="E19" s="49">
        <v>3.2</v>
      </c>
      <c r="F19" s="39">
        <v>0.3</v>
      </c>
      <c r="G19" s="41">
        <v>4.0</v>
      </c>
      <c r="H19" s="40">
        <f t="shared" si="2"/>
        <v>69.12</v>
      </c>
      <c r="I19" s="93"/>
      <c r="J19" s="96">
        <f>SUM(H17:H19)</f>
        <v>227.84</v>
      </c>
      <c r="K19" s="79"/>
    </row>
    <row r="20" ht="19.5" customHeight="1">
      <c r="A20" s="74" t="s">
        <v>1</v>
      </c>
      <c r="B20" s="74" t="s">
        <v>91</v>
      </c>
      <c r="C20" s="74" t="s">
        <v>92</v>
      </c>
      <c r="D20" s="76" t="s">
        <v>93</v>
      </c>
      <c r="E20" s="50" t="s">
        <v>97</v>
      </c>
      <c r="F20" s="53" t="s">
        <v>121</v>
      </c>
      <c r="G20" s="53" t="s">
        <v>198</v>
      </c>
      <c r="H20" s="75" t="s">
        <v>100</v>
      </c>
      <c r="I20" s="75" t="s">
        <v>101</v>
      </c>
      <c r="J20" s="76" t="s">
        <v>95</v>
      </c>
      <c r="K20" s="74" t="s">
        <v>96</v>
      </c>
    </row>
    <row r="21" ht="19.5" customHeight="1">
      <c r="A21" s="46">
        <v>1.0</v>
      </c>
      <c r="B21" s="49" t="s">
        <v>1038</v>
      </c>
      <c r="C21" s="46" t="s">
        <v>103</v>
      </c>
      <c r="D21" s="39">
        <v>8.0</v>
      </c>
      <c r="E21" s="49">
        <v>3.2</v>
      </c>
      <c r="F21" s="39">
        <v>0.2</v>
      </c>
      <c r="G21" s="41">
        <v>4.0</v>
      </c>
      <c r="H21" s="40">
        <f t="shared" ref="H21:H23" si="3">D21*E21*F21*G21</f>
        <v>20.48</v>
      </c>
      <c r="I21" s="42"/>
      <c r="J21" s="40"/>
      <c r="K21" s="46"/>
    </row>
    <row r="22" ht="19.5" customHeight="1">
      <c r="A22" s="46">
        <v>2.0</v>
      </c>
      <c r="B22" s="49" t="s">
        <v>1038</v>
      </c>
      <c r="C22" s="46" t="s">
        <v>103</v>
      </c>
      <c r="D22" s="39">
        <v>36.0</v>
      </c>
      <c r="E22" s="49">
        <v>3.2</v>
      </c>
      <c r="F22" s="39">
        <v>0.3</v>
      </c>
      <c r="G22" s="41">
        <v>4.0</v>
      </c>
      <c r="H22" s="40">
        <f t="shared" si="3"/>
        <v>138.24</v>
      </c>
      <c r="I22" s="42"/>
      <c r="J22" s="40"/>
      <c r="K22" s="46"/>
    </row>
    <row r="23" ht="19.5" customHeight="1">
      <c r="A23" s="38">
        <v>3.0</v>
      </c>
      <c r="B23" s="49" t="s">
        <v>1038</v>
      </c>
      <c r="C23" s="46" t="s">
        <v>103</v>
      </c>
      <c r="D23" s="39">
        <v>18.0</v>
      </c>
      <c r="E23" s="49">
        <v>3.2</v>
      </c>
      <c r="F23" s="39">
        <v>0.3</v>
      </c>
      <c r="G23" s="41">
        <v>4.0</v>
      </c>
      <c r="H23" s="40">
        <f t="shared" si="3"/>
        <v>69.12</v>
      </c>
      <c r="I23" s="93"/>
      <c r="J23" s="96">
        <f>SUM(H21:H23)</f>
        <v>227.84</v>
      </c>
      <c r="K23" s="46"/>
    </row>
    <row r="24" ht="19.5" customHeight="1">
      <c r="A24" s="74" t="s">
        <v>1</v>
      </c>
      <c r="B24" s="74" t="s">
        <v>91</v>
      </c>
      <c r="C24" s="74" t="s">
        <v>92</v>
      </c>
      <c r="D24" s="76" t="s">
        <v>93</v>
      </c>
      <c r="E24" s="50" t="s">
        <v>97</v>
      </c>
      <c r="F24" s="53" t="s">
        <v>121</v>
      </c>
      <c r="G24" s="53" t="s">
        <v>198</v>
      </c>
      <c r="H24" s="75" t="s">
        <v>100</v>
      </c>
      <c r="I24" s="75" t="s">
        <v>101</v>
      </c>
      <c r="J24" s="76" t="s">
        <v>95</v>
      </c>
      <c r="K24" s="74" t="s">
        <v>96</v>
      </c>
    </row>
    <row r="25" ht="19.5" customHeight="1">
      <c r="A25" s="46">
        <v>1.0</v>
      </c>
      <c r="B25" s="49" t="s">
        <v>1493</v>
      </c>
      <c r="C25" s="46" t="s">
        <v>103</v>
      </c>
      <c r="D25" s="39">
        <v>8.0</v>
      </c>
      <c r="E25" s="49">
        <v>3.2</v>
      </c>
      <c r="F25" s="39">
        <v>0.2</v>
      </c>
      <c r="G25" s="41">
        <v>4.0</v>
      </c>
      <c r="H25" s="40">
        <f t="shared" ref="H25:H27" si="4">D25*E25*F25*G25</f>
        <v>20.48</v>
      </c>
      <c r="I25" s="42"/>
      <c r="J25" s="40"/>
      <c r="K25" s="131"/>
    </row>
    <row r="26" ht="19.5" customHeight="1">
      <c r="A26" s="46">
        <v>2.0</v>
      </c>
      <c r="B26" s="49" t="s">
        <v>1493</v>
      </c>
      <c r="C26" s="46" t="s">
        <v>103</v>
      </c>
      <c r="D26" s="39">
        <v>36.0</v>
      </c>
      <c r="E26" s="49">
        <v>3.2</v>
      </c>
      <c r="F26" s="39">
        <v>0.3</v>
      </c>
      <c r="G26" s="41">
        <v>4.0</v>
      </c>
      <c r="H26" s="40">
        <f t="shared" si="4"/>
        <v>138.24</v>
      </c>
      <c r="I26" s="42"/>
      <c r="J26" s="40"/>
      <c r="K26" s="46"/>
    </row>
    <row r="27" ht="19.5" customHeight="1">
      <c r="A27" s="38">
        <v>3.0</v>
      </c>
      <c r="B27" s="49" t="s">
        <v>1493</v>
      </c>
      <c r="C27" s="46"/>
      <c r="D27" s="39">
        <v>18.0</v>
      </c>
      <c r="E27" s="49">
        <v>3.2</v>
      </c>
      <c r="F27" s="39">
        <v>0.3</v>
      </c>
      <c r="G27" s="41">
        <v>4.0</v>
      </c>
      <c r="H27" s="40">
        <f t="shared" si="4"/>
        <v>69.12</v>
      </c>
      <c r="I27" s="93"/>
      <c r="J27" s="96">
        <f>SUM(H25:H27)</f>
        <v>227.84</v>
      </c>
      <c r="K27" s="132">
        <f>J27+J26</f>
        <v>227.84</v>
      </c>
    </row>
    <row r="28" ht="19.5" customHeight="1">
      <c r="A28" s="74" t="s">
        <v>1</v>
      </c>
      <c r="B28" s="74" t="s">
        <v>91</v>
      </c>
      <c r="C28" s="74" t="s">
        <v>92</v>
      </c>
      <c r="D28" s="76" t="s">
        <v>93</v>
      </c>
      <c r="E28" s="50" t="s">
        <v>161</v>
      </c>
      <c r="F28" s="53"/>
      <c r="G28" s="53"/>
      <c r="H28" s="75" t="s">
        <v>100</v>
      </c>
      <c r="I28" s="75" t="s">
        <v>101</v>
      </c>
      <c r="J28" s="76" t="s">
        <v>95</v>
      </c>
      <c r="K28" s="74" t="s">
        <v>96</v>
      </c>
    </row>
    <row r="29" ht="19.5" customHeight="1">
      <c r="A29" s="46">
        <v>1.0</v>
      </c>
      <c r="B29" s="37" t="s">
        <v>245</v>
      </c>
      <c r="C29" s="46" t="s">
        <v>106</v>
      </c>
      <c r="D29" s="78">
        <v>70.0</v>
      </c>
      <c r="E29" s="37">
        <v>1.0</v>
      </c>
      <c r="F29" s="78"/>
      <c r="G29" s="40"/>
      <c r="H29" s="40">
        <f>E29*D29+6</f>
        <v>76</v>
      </c>
      <c r="I29" s="42"/>
      <c r="J29" s="64">
        <f t="shared" ref="J29:J37" si="5">H29</f>
        <v>76</v>
      </c>
      <c r="K29" s="46"/>
    </row>
    <row r="30" ht="19.5" customHeight="1">
      <c r="A30" s="46">
        <v>2.0</v>
      </c>
      <c r="B30" s="37" t="s">
        <v>245</v>
      </c>
      <c r="C30" s="46" t="s">
        <v>106</v>
      </c>
      <c r="D30" s="78"/>
      <c r="E30" s="37"/>
      <c r="F30" s="78"/>
      <c r="G30" s="40"/>
      <c r="H30" s="40"/>
      <c r="I30" s="42"/>
      <c r="J30" s="64" t="str">
        <f t="shared" si="5"/>
        <v/>
      </c>
      <c r="K30" s="46"/>
    </row>
    <row r="31" ht="19.5" customHeight="1">
      <c r="A31" s="46">
        <v>3.0</v>
      </c>
      <c r="B31" s="37" t="s">
        <v>246</v>
      </c>
      <c r="C31" s="46" t="s">
        <v>106</v>
      </c>
      <c r="D31" s="78"/>
      <c r="E31" s="37"/>
      <c r="F31" s="78"/>
      <c r="G31" s="40"/>
      <c r="H31" s="40"/>
      <c r="I31" s="42"/>
      <c r="J31" s="64" t="str">
        <f t="shared" si="5"/>
        <v/>
      </c>
      <c r="K31" s="46"/>
    </row>
    <row r="32" ht="19.5" customHeight="1">
      <c r="A32" s="46">
        <v>4.0</v>
      </c>
      <c r="B32" s="37" t="s">
        <v>246</v>
      </c>
      <c r="C32" s="46" t="s">
        <v>106</v>
      </c>
      <c r="D32" s="78"/>
      <c r="E32" s="37"/>
      <c r="F32" s="78"/>
      <c r="G32" s="40"/>
      <c r="H32" s="40"/>
      <c r="I32" s="42"/>
      <c r="J32" s="64" t="str">
        <f t="shared" si="5"/>
        <v/>
      </c>
      <c r="K32" s="46"/>
    </row>
    <row r="33" ht="19.5" customHeight="1">
      <c r="A33" s="46">
        <v>5.0</v>
      </c>
      <c r="B33" s="37" t="s">
        <v>247</v>
      </c>
      <c r="C33" s="46" t="s">
        <v>106</v>
      </c>
      <c r="D33" s="78"/>
      <c r="E33" s="37"/>
      <c r="F33" s="78"/>
      <c r="G33" s="40"/>
      <c r="H33" s="40"/>
      <c r="I33" s="42"/>
      <c r="J33" s="64" t="str">
        <f t="shared" si="5"/>
        <v/>
      </c>
      <c r="K33" s="46"/>
    </row>
    <row r="34" ht="19.5" customHeight="1">
      <c r="A34" s="46">
        <v>6.0</v>
      </c>
      <c r="B34" s="37" t="s">
        <v>248</v>
      </c>
      <c r="C34" s="46" t="s">
        <v>106</v>
      </c>
      <c r="D34" s="78">
        <v>6.0</v>
      </c>
      <c r="E34" s="37">
        <v>1.0</v>
      </c>
      <c r="F34" s="78"/>
      <c r="G34" s="40"/>
      <c r="H34" s="40">
        <f t="shared" ref="H34:H37" si="6">E34*D34</f>
        <v>6</v>
      </c>
      <c r="I34" s="42"/>
      <c r="J34" s="64">
        <f t="shared" si="5"/>
        <v>6</v>
      </c>
      <c r="K34" s="46"/>
    </row>
    <row r="35" ht="19.5" customHeight="1">
      <c r="A35" s="46">
        <v>7.0</v>
      </c>
      <c r="B35" s="37" t="s">
        <v>249</v>
      </c>
      <c r="C35" s="46" t="s">
        <v>106</v>
      </c>
      <c r="D35" s="78"/>
      <c r="E35" s="37"/>
      <c r="F35" s="78"/>
      <c r="G35" s="40"/>
      <c r="H35" s="40">
        <f t="shared" si="6"/>
        <v>0</v>
      </c>
      <c r="I35" s="42"/>
      <c r="J35" s="64">
        <f t="shared" si="5"/>
        <v>0</v>
      </c>
      <c r="K35" s="46"/>
    </row>
    <row r="36" ht="19.5" customHeight="1">
      <c r="A36" s="46">
        <v>8.0</v>
      </c>
      <c r="B36" s="37" t="s">
        <v>250</v>
      </c>
      <c r="C36" s="46" t="s">
        <v>106</v>
      </c>
      <c r="D36" s="123">
        <f>H35+H34+H33+H32+H31</f>
        <v>6</v>
      </c>
      <c r="E36" s="37">
        <v>1.0</v>
      </c>
      <c r="F36" s="40"/>
      <c r="G36" s="40"/>
      <c r="H36" s="40">
        <f t="shared" si="6"/>
        <v>6</v>
      </c>
      <c r="I36" s="40"/>
      <c r="J36" s="64">
        <f t="shared" si="5"/>
        <v>6</v>
      </c>
      <c r="K36" s="46"/>
    </row>
    <row r="37" ht="19.5" customHeight="1">
      <c r="A37" s="46">
        <v>9.0</v>
      </c>
      <c r="B37" s="37" t="s">
        <v>1507</v>
      </c>
      <c r="C37" s="46" t="s">
        <v>106</v>
      </c>
      <c r="D37" s="123"/>
      <c r="E37" s="37">
        <v>1.0</v>
      </c>
      <c r="F37" s="40"/>
      <c r="G37" s="40"/>
      <c r="H37" s="40">
        <f t="shared" si="6"/>
        <v>0</v>
      </c>
      <c r="I37" s="40"/>
      <c r="J37" s="64">
        <f t="shared" si="5"/>
        <v>0</v>
      </c>
      <c r="K37" s="46"/>
    </row>
    <row r="38" ht="19.5" customHeight="1">
      <c r="A38" s="46">
        <v>10.0</v>
      </c>
      <c r="B38" s="37" t="s">
        <v>252</v>
      </c>
      <c r="C38" s="46" t="s">
        <v>108</v>
      </c>
      <c r="D38" s="123"/>
      <c r="E38" s="37"/>
      <c r="F38" s="40"/>
      <c r="G38" s="40"/>
      <c r="H38" s="40"/>
      <c r="I38" s="40"/>
      <c r="J38" s="64"/>
      <c r="K38" s="46"/>
    </row>
    <row r="39" ht="19.5" customHeight="1">
      <c r="A39" s="46">
        <v>11.0</v>
      </c>
      <c r="B39" s="37" t="s">
        <v>641</v>
      </c>
      <c r="C39" s="46" t="s">
        <v>108</v>
      </c>
      <c r="D39" s="123"/>
      <c r="E39" s="37"/>
      <c r="F39" s="40"/>
      <c r="G39" s="40"/>
      <c r="H39" s="40"/>
      <c r="I39" s="40"/>
      <c r="J39" s="64"/>
      <c r="K39" s="46"/>
    </row>
    <row r="40" ht="19.5" customHeight="1">
      <c r="A40" s="46">
        <v>12.0</v>
      </c>
      <c r="B40" s="37" t="s">
        <v>254</v>
      </c>
      <c r="C40" s="46" t="s">
        <v>108</v>
      </c>
      <c r="D40" s="123">
        <v>400.0</v>
      </c>
      <c r="E40" s="37">
        <v>1.0</v>
      </c>
      <c r="F40" s="40"/>
      <c r="G40" s="40"/>
      <c r="H40" s="40">
        <f t="shared" ref="H40:H44" si="7">E40*D40</f>
        <v>400</v>
      </c>
      <c r="I40" s="40"/>
      <c r="J40" s="64">
        <f t="shared" ref="J40:J47" si="8">H40</f>
        <v>400</v>
      </c>
      <c r="K40" s="46"/>
    </row>
    <row r="41" ht="19.5" customHeight="1">
      <c r="A41" s="46">
        <f t="shared" ref="A41:A47" si="9">A40+1</f>
        <v>13</v>
      </c>
      <c r="B41" s="37" t="s">
        <v>864</v>
      </c>
      <c r="C41" s="46" t="s">
        <v>108</v>
      </c>
      <c r="D41" s="123">
        <v>200.0</v>
      </c>
      <c r="E41" s="37">
        <v>19.0</v>
      </c>
      <c r="F41" s="40"/>
      <c r="G41" s="40"/>
      <c r="H41" s="40">
        <f t="shared" si="7"/>
        <v>3800</v>
      </c>
      <c r="I41" s="40"/>
      <c r="J41" s="64">
        <f t="shared" si="8"/>
        <v>3800</v>
      </c>
      <c r="K41" s="46"/>
    </row>
    <row r="42" ht="19.5" customHeight="1">
      <c r="A42" s="46">
        <f t="shared" si="9"/>
        <v>14</v>
      </c>
      <c r="B42" s="37" t="s">
        <v>256</v>
      </c>
      <c r="C42" s="46" t="s">
        <v>108</v>
      </c>
      <c r="D42" s="123"/>
      <c r="E42" s="37">
        <v>1.0</v>
      </c>
      <c r="F42" s="40"/>
      <c r="G42" s="40"/>
      <c r="H42" s="40">
        <f t="shared" si="7"/>
        <v>0</v>
      </c>
      <c r="I42" s="40"/>
      <c r="J42" s="64">
        <f t="shared" si="8"/>
        <v>0</v>
      </c>
      <c r="K42" s="46"/>
    </row>
    <row r="43" ht="19.5" customHeight="1">
      <c r="A43" s="46">
        <f t="shared" si="9"/>
        <v>15</v>
      </c>
      <c r="B43" s="37" t="s">
        <v>1301</v>
      </c>
      <c r="C43" s="46" t="s">
        <v>106</v>
      </c>
      <c r="D43" s="123"/>
      <c r="E43" s="37">
        <v>1.0</v>
      </c>
      <c r="F43" s="40"/>
      <c r="G43" s="40"/>
      <c r="H43" s="40">
        <f t="shared" si="7"/>
        <v>0</v>
      </c>
      <c r="I43" s="40"/>
      <c r="J43" s="64">
        <f t="shared" si="8"/>
        <v>0</v>
      </c>
      <c r="K43" s="46"/>
    </row>
    <row r="44" ht="19.5" customHeight="1">
      <c r="A44" s="46">
        <f t="shared" si="9"/>
        <v>16</v>
      </c>
      <c r="B44" s="37" t="s">
        <v>258</v>
      </c>
      <c r="C44" s="46" t="s">
        <v>106</v>
      </c>
      <c r="D44" s="123"/>
      <c r="E44" s="37">
        <v>1.0</v>
      </c>
      <c r="F44" s="40"/>
      <c r="G44" s="40"/>
      <c r="H44" s="40">
        <f t="shared" si="7"/>
        <v>0</v>
      </c>
      <c r="I44" s="40"/>
      <c r="J44" s="64">
        <f t="shared" si="8"/>
        <v>0</v>
      </c>
      <c r="K44" s="46"/>
    </row>
    <row r="45" ht="19.5" customHeight="1">
      <c r="A45" s="46">
        <f t="shared" si="9"/>
        <v>17</v>
      </c>
      <c r="B45" s="37" t="s">
        <v>259</v>
      </c>
      <c r="C45" s="46" t="s">
        <v>108</v>
      </c>
      <c r="D45" s="123"/>
      <c r="E45" s="37"/>
      <c r="F45" s="40"/>
      <c r="G45" s="40"/>
      <c r="H45" s="40"/>
      <c r="I45" s="40"/>
      <c r="J45" s="64" t="str">
        <f t="shared" si="8"/>
        <v/>
      </c>
      <c r="K45" s="46"/>
    </row>
    <row r="46" ht="19.5" customHeight="1">
      <c r="A46" s="46">
        <f t="shared" si="9"/>
        <v>18</v>
      </c>
      <c r="B46" s="37" t="s">
        <v>260</v>
      </c>
      <c r="C46" s="46" t="s">
        <v>108</v>
      </c>
      <c r="D46" s="123"/>
      <c r="E46" s="37"/>
      <c r="F46" s="40"/>
      <c r="G46" s="40"/>
      <c r="H46" s="40"/>
      <c r="I46" s="40"/>
      <c r="J46" s="64" t="str">
        <f t="shared" si="8"/>
        <v/>
      </c>
      <c r="K46" s="46"/>
    </row>
    <row r="47" ht="19.5" customHeight="1">
      <c r="A47" s="46">
        <f t="shared" si="9"/>
        <v>19</v>
      </c>
      <c r="B47" s="37" t="s">
        <v>261</v>
      </c>
      <c r="C47" s="46" t="s">
        <v>106</v>
      </c>
      <c r="D47" s="123"/>
      <c r="E47" s="37"/>
      <c r="F47" s="40"/>
      <c r="G47" s="40"/>
      <c r="H47" s="40"/>
      <c r="I47" s="40"/>
      <c r="J47" s="64" t="str">
        <f t="shared" si="8"/>
        <v/>
      </c>
      <c r="K47" s="46"/>
    </row>
    <row r="48" ht="19.5" customHeight="1">
      <c r="A48" s="12"/>
      <c r="C48" s="12"/>
      <c r="D48" s="87"/>
      <c r="F48" s="14"/>
      <c r="G48" s="14"/>
      <c r="H48" s="14"/>
      <c r="I48" s="14"/>
      <c r="J48" s="14"/>
      <c r="K48" s="12"/>
    </row>
    <row r="49" ht="19.5" customHeight="1">
      <c r="A49" s="12"/>
      <c r="C49" s="12"/>
      <c r="D49" s="87"/>
      <c r="F49" s="14"/>
      <c r="G49" s="14"/>
      <c r="H49" s="14"/>
      <c r="I49" s="14"/>
      <c r="J49" s="14"/>
      <c r="K49" s="12"/>
    </row>
    <row r="50" ht="19.5" customHeight="1">
      <c r="A50" s="12"/>
      <c r="C50" s="12"/>
      <c r="D50" s="87"/>
      <c r="F50" s="14"/>
      <c r="G50" s="14"/>
      <c r="H50" s="14"/>
      <c r="I50" s="14"/>
      <c r="J50" s="14"/>
      <c r="K50" s="12"/>
    </row>
    <row r="51" ht="19.5" customHeight="1">
      <c r="A51" s="12"/>
      <c r="C51" s="12"/>
      <c r="D51" s="87"/>
      <c r="F51" s="14"/>
      <c r="G51" s="14"/>
      <c r="H51" s="14"/>
      <c r="I51" s="14"/>
      <c r="J51" s="14"/>
      <c r="K51" s="12"/>
    </row>
    <row r="52" ht="19.5" customHeight="1">
      <c r="A52" s="12"/>
      <c r="C52" s="12"/>
      <c r="D52" s="87"/>
      <c r="F52" s="14"/>
      <c r="G52" s="14"/>
      <c r="H52" s="14"/>
      <c r="I52" s="14"/>
      <c r="J52" s="14"/>
      <c r="K52" s="12"/>
    </row>
    <row r="53" ht="19.5" customHeight="1">
      <c r="A53" s="12"/>
      <c r="C53" s="12"/>
      <c r="D53" s="87"/>
      <c r="F53" s="14"/>
      <c r="G53" s="14"/>
      <c r="H53" s="14"/>
      <c r="I53" s="14"/>
      <c r="J53" s="14"/>
      <c r="K53" s="12"/>
    </row>
    <row r="54" ht="19.5" customHeight="1">
      <c r="A54" s="12"/>
      <c r="C54" s="12"/>
      <c r="D54" s="87"/>
      <c r="F54" s="14"/>
      <c r="G54" s="14"/>
      <c r="H54" s="14"/>
      <c r="I54" s="14"/>
      <c r="J54" s="14"/>
      <c r="K54" s="12"/>
    </row>
    <row r="55" ht="19.5" customHeight="1">
      <c r="A55" s="12"/>
      <c r="C55" s="12"/>
      <c r="D55" s="87"/>
      <c r="F55" s="14"/>
      <c r="G55" s="14"/>
      <c r="H55" s="14"/>
      <c r="I55" s="14"/>
      <c r="J55" s="14"/>
      <c r="K55" s="12"/>
    </row>
    <row r="56" ht="19.5" customHeight="1">
      <c r="A56" s="12"/>
      <c r="C56" s="12"/>
      <c r="D56" s="87"/>
      <c r="F56" s="14"/>
      <c r="G56" s="14"/>
      <c r="H56" s="14"/>
      <c r="I56" s="14"/>
      <c r="J56" s="14"/>
      <c r="K56" s="12"/>
    </row>
    <row r="57" ht="19.5" customHeight="1">
      <c r="A57" s="12"/>
      <c r="C57" s="12"/>
      <c r="D57" s="87"/>
      <c r="F57" s="14"/>
      <c r="G57" s="14"/>
      <c r="H57" s="14"/>
      <c r="I57" s="14"/>
      <c r="J57" s="14"/>
      <c r="K57" s="12"/>
    </row>
    <row r="58" ht="19.5" customHeight="1">
      <c r="A58" s="12"/>
      <c r="C58" s="12"/>
      <c r="D58" s="87"/>
      <c r="F58" s="14"/>
      <c r="G58" s="14"/>
      <c r="H58" s="14"/>
      <c r="I58" s="14"/>
      <c r="J58" s="14"/>
      <c r="K58" s="12"/>
    </row>
    <row r="59" ht="19.5" customHeight="1">
      <c r="A59" s="12"/>
      <c r="C59" s="12"/>
      <c r="D59" s="87"/>
      <c r="F59" s="14"/>
      <c r="G59" s="14"/>
      <c r="H59" s="14"/>
      <c r="I59" s="14"/>
      <c r="J59" s="14"/>
      <c r="K59" s="12"/>
    </row>
    <row r="60" ht="19.5" customHeight="1">
      <c r="A60" s="12"/>
      <c r="C60" s="12"/>
      <c r="D60" s="87"/>
      <c r="F60" s="14"/>
      <c r="G60" s="14"/>
      <c r="H60" s="14"/>
      <c r="I60" s="14"/>
      <c r="J60" s="14"/>
      <c r="K60" s="12"/>
    </row>
    <row r="61" ht="19.5" customHeight="1">
      <c r="A61" s="12"/>
      <c r="C61" s="12"/>
      <c r="D61" s="87"/>
      <c r="F61" s="14"/>
      <c r="G61" s="14"/>
      <c r="H61" s="14"/>
      <c r="I61" s="14"/>
      <c r="J61" s="14"/>
      <c r="K61" s="12"/>
    </row>
    <row r="62" ht="19.5" customHeight="1">
      <c r="A62" s="12"/>
      <c r="C62" s="12"/>
      <c r="D62" s="87"/>
      <c r="F62" s="14"/>
      <c r="G62" s="14"/>
      <c r="H62" s="14"/>
      <c r="I62" s="14"/>
      <c r="J62" s="14"/>
      <c r="K62" s="12"/>
    </row>
    <row r="63" ht="19.5" customHeight="1">
      <c r="A63" s="12"/>
      <c r="C63" s="12"/>
      <c r="D63" s="87"/>
      <c r="F63" s="14"/>
      <c r="G63" s="14"/>
      <c r="H63" s="14"/>
      <c r="I63" s="14"/>
      <c r="J63" s="14"/>
      <c r="K63" s="12"/>
    </row>
    <row r="64" ht="19.5" customHeight="1">
      <c r="A64" s="12"/>
      <c r="C64" s="12"/>
      <c r="D64" s="87"/>
      <c r="F64" s="14"/>
      <c r="G64" s="14"/>
      <c r="H64" s="14"/>
      <c r="I64" s="14"/>
      <c r="J64" s="14"/>
      <c r="K64" s="12"/>
    </row>
    <row r="65" ht="19.5" customHeight="1">
      <c r="A65" s="12"/>
      <c r="C65" s="12"/>
      <c r="D65" s="87"/>
      <c r="F65" s="14"/>
      <c r="G65" s="14"/>
      <c r="H65" s="14"/>
      <c r="I65" s="14"/>
      <c r="J65" s="14"/>
      <c r="K65" s="12"/>
    </row>
    <row r="66" ht="19.5" customHeight="1">
      <c r="A66" s="12"/>
      <c r="C66" s="12"/>
      <c r="D66" s="87"/>
      <c r="F66" s="14"/>
      <c r="G66" s="14"/>
      <c r="H66" s="14"/>
      <c r="I66" s="14"/>
      <c r="J66" s="14"/>
      <c r="K66" s="12"/>
    </row>
    <row r="67" ht="19.5" customHeight="1">
      <c r="A67" s="12"/>
      <c r="C67" s="12"/>
      <c r="D67" s="87"/>
      <c r="F67" s="14"/>
      <c r="G67" s="14"/>
      <c r="H67" s="14"/>
      <c r="I67" s="14"/>
      <c r="J67" s="14"/>
      <c r="K67" s="12"/>
    </row>
    <row r="68" ht="19.5" customHeight="1">
      <c r="A68" s="12"/>
      <c r="C68" s="12"/>
      <c r="D68" s="87"/>
      <c r="F68" s="14"/>
      <c r="G68" s="14"/>
      <c r="H68" s="14"/>
      <c r="I68" s="14"/>
      <c r="J68" s="14"/>
      <c r="K68" s="12"/>
    </row>
    <row r="69" ht="19.5" customHeight="1">
      <c r="A69" s="12"/>
      <c r="C69" s="12"/>
      <c r="D69" s="87"/>
      <c r="F69" s="14"/>
      <c r="G69" s="14"/>
      <c r="H69" s="14"/>
      <c r="I69" s="14"/>
      <c r="J69" s="14"/>
      <c r="K69" s="12"/>
    </row>
    <row r="70" ht="19.5" customHeight="1">
      <c r="A70" s="12"/>
      <c r="C70" s="12"/>
      <c r="D70" s="87"/>
      <c r="F70" s="14"/>
      <c r="G70" s="14"/>
      <c r="H70" s="14"/>
      <c r="I70" s="14"/>
      <c r="J70" s="14"/>
      <c r="K70" s="12"/>
    </row>
    <row r="71" ht="19.5" customHeight="1">
      <c r="A71" s="12"/>
      <c r="C71" s="12"/>
      <c r="D71" s="87"/>
      <c r="F71" s="14"/>
      <c r="G71" s="14"/>
      <c r="H71" s="14"/>
      <c r="I71" s="14"/>
      <c r="J71" s="14"/>
      <c r="K71" s="12"/>
    </row>
    <row r="72" ht="19.5" customHeight="1">
      <c r="A72" s="12"/>
      <c r="C72" s="12"/>
      <c r="D72" s="87"/>
      <c r="F72" s="14"/>
      <c r="G72" s="14"/>
      <c r="H72" s="14"/>
      <c r="I72" s="14"/>
      <c r="J72" s="14"/>
      <c r="K72" s="12"/>
    </row>
    <row r="73" ht="19.5" customHeight="1">
      <c r="A73" s="12"/>
      <c r="C73" s="12"/>
      <c r="D73" s="87"/>
      <c r="F73" s="14"/>
      <c r="G73" s="14"/>
      <c r="H73" s="14"/>
      <c r="I73" s="14"/>
      <c r="J73" s="14"/>
      <c r="K73" s="12"/>
    </row>
    <row r="74" ht="19.5" customHeight="1">
      <c r="A74" s="12"/>
      <c r="C74" s="12"/>
      <c r="D74" s="87"/>
      <c r="F74" s="14"/>
      <c r="G74" s="14"/>
      <c r="H74" s="14"/>
      <c r="I74" s="14"/>
      <c r="J74" s="14"/>
      <c r="K74" s="12"/>
    </row>
    <row r="75" ht="19.5" customHeight="1">
      <c r="A75" s="12"/>
      <c r="C75" s="12"/>
      <c r="D75" s="87"/>
      <c r="F75" s="14"/>
      <c r="G75" s="14"/>
      <c r="H75" s="14"/>
      <c r="I75" s="14"/>
      <c r="J75" s="14"/>
      <c r="K75" s="12"/>
    </row>
    <row r="76" ht="19.5" customHeight="1">
      <c r="A76" s="12"/>
      <c r="C76" s="12"/>
      <c r="D76" s="87"/>
      <c r="F76" s="14"/>
      <c r="G76" s="14"/>
      <c r="H76" s="14"/>
      <c r="I76" s="14"/>
      <c r="J76" s="14"/>
      <c r="K76" s="12"/>
    </row>
    <row r="77" ht="19.5" customHeight="1">
      <c r="A77" s="12"/>
      <c r="C77" s="12"/>
      <c r="D77" s="87"/>
      <c r="F77" s="14"/>
      <c r="G77" s="14"/>
      <c r="H77" s="14"/>
      <c r="I77" s="14"/>
      <c r="J77" s="14"/>
      <c r="K77" s="12"/>
    </row>
    <row r="78" ht="19.5" customHeight="1">
      <c r="A78" s="12"/>
      <c r="C78" s="12"/>
      <c r="D78" s="87"/>
      <c r="F78" s="14"/>
      <c r="G78" s="14"/>
      <c r="H78" s="14"/>
      <c r="I78" s="14"/>
      <c r="J78" s="14"/>
      <c r="K78" s="12"/>
    </row>
    <row r="79" ht="19.5" customHeight="1">
      <c r="A79" s="12"/>
      <c r="C79" s="12"/>
      <c r="D79" s="87"/>
      <c r="F79" s="14"/>
      <c r="G79" s="14"/>
      <c r="H79" s="14"/>
      <c r="I79" s="14"/>
      <c r="J79" s="14"/>
      <c r="K79" s="12"/>
    </row>
    <row r="80" ht="19.5" customHeight="1">
      <c r="A80" s="12"/>
      <c r="C80" s="12"/>
      <c r="D80" s="87"/>
      <c r="F80" s="14"/>
      <c r="G80" s="14"/>
      <c r="H80" s="14"/>
      <c r="I80" s="14"/>
      <c r="J80" s="14"/>
      <c r="K80" s="12"/>
    </row>
    <row r="81" ht="19.5" customHeight="1">
      <c r="A81" s="12"/>
      <c r="C81" s="12"/>
      <c r="D81" s="87"/>
      <c r="F81" s="14"/>
      <c r="G81" s="14"/>
      <c r="H81" s="14"/>
      <c r="I81" s="14"/>
      <c r="J81" s="14"/>
      <c r="K81" s="12"/>
    </row>
    <row r="82" ht="19.5" customHeight="1">
      <c r="A82" s="12"/>
      <c r="C82" s="12"/>
      <c r="D82" s="87"/>
      <c r="F82" s="14"/>
      <c r="G82" s="14"/>
      <c r="H82" s="14"/>
      <c r="I82" s="14"/>
      <c r="J82" s="14"/>
      <c r="K82" s="12"/>
    </row>
    <row r="83" ht="19.5" customHeight="1">
      <c r="A83" s="12"/>
      <c r="C83" s="12"/>
      <c r="D83" s="87"/>
      <c r="F83" s="14"/>
      <c r="G83" s="14"/>
      <c r="H83" s="14"/>
      <c r="I83" s="14"/>
      <c r="J83" s="14"/>
      <c r="K83" s="12"/>
    </row>
    <row r="84" ht="19.5" customHeight="1">
      <c r="A84" s="12"/>
      <c r="C84" s="12"/>
      <c r="D84" s="87"/>
      <c r="F84" s="14"/>
      <c r="G84" s="14"/>
      <c r="H84" s="14"/>
      <c r="I84" s="14"/>
      <c r="J84" s="14"/>
      <c r="K84" s="12"/>
    </row>
    <row r="85" ht="19.5" customHeight="1">
      <c r="A85" s="12"/>
      <c r="C85" s="12"/>
      <c r="D85" s="87"/>
      <c r="F85" s="14"/>
      <c r="G85" s="14"/>
      <c r="H85" s="14"/>
      <c r="I85" s="14"/>
      <c r="J85" s="14"/>
      <c r="K85" s="12"/>
    </row>
    <row r="86" ht="19.5" customHeight="1">
      <c r="A86" s="12"/>
      <c r="C86" s="12"/>
      <c r="D86" s="87"/>
      <c r="F86" s="14"/>
      <c r="G86" s="14"/>
      <c r="H86" s="14"/>
      <c r="I86" s="14"/>
      <c r="J86" s="14"/>
      <c r="K86" s="12"/>
    </row>
    <row r="87" ht="19.5" customHeight="1">
      <c r="A87" s="12"/>
      <c r="C87" s="12"/>
      <c r="D87" s="87"/>
      <c r="F87" s="14"/>
      <c r="G87" s="14"/>
      <c r="H87" s="14"/>
      <c r="I87" s="14"/>
      <c r="J87" s="14"/>
      <c r="K87" s="12"/>
    </row>
    <row r="88" ht="19.5" customHeight="1">
      <c r="A88" s="12"/>
      <c r="C88" s="12"/>
      <c r="D88" s="87"/>
      <c r="F88" s="14"/>
      <c r="G88" s="14"/>
      <c r="H88" s="14"/>
      <c r="I88" s="14"/>
      <c r="J88" s="14"/>
      <c r="K88" s="12"/>
    </row>
    <row r="89" ht="19.5" customHeight="1">
      <c r="A89" s="12"/>
      <c r="C89" s="12"/>
      <c r="D89" s="87"/>
      <c r="F89" s="14"/>
      <c r="G89" s="14"/>
      <c r="H89" s="14"/>
      <c r="I89" s="14"/>
      <c r="J89" s="14"/>
      <c r="K89" s="12"/>
    </row>
    <row r="90" ht="19.5" customHeight="1">
      <c r="A90" s="12"/>
      <c r="C90" s="12"/>
      <c r="D90" s="87"/>
      <c r="F90" s="14"/>
      <c r="G90" s="14"/>
      <c r="H90" s="14"/>
      <c r="I90" s="14"/>
      <c r="J90" s="14"/>
      <c r="K90" s="12"/>
    </row>
    <row r="91" ht="19.5" customHeight="1">
      <c r="A91" s="12"/>
      <c r="C91" s="12"/>
      <c r="D91" s="87"/>
      <c r="F91" s="14"/>
      <c r="G91" s="14"/>
      <c r="H91" s="14"/>
      <c r="I91" s="14"/>
      <c r="J91" s="14"/>
      <c r="K91" s="12"/>
    </row>
    <row r="92" ht="19.5" customHeight="1">
      <c r="A92" s="12"/>
      <c r="C92" s="12"/>
      <c r="D92" s="87"/>
      <c r="F92" s="14"/>
      <c r="G92" s="14"/>
      <c r="H92" s="14"/>
      <c r="I92" s="14"/>
      <c r="J92" s="14"/>
      <c r="K92" s="12"/>
    </row>
    <row r="93" ht="19.5" customHeight="1">
      <c r="A93" s="12"/>
      <c r="C93" s="12"/>
      <c r="D93" s="87"/>
      <c r="F93" s="14"/>
      <c r="G93" s="14"/>
      <c r="H93" s="14"/>
      <c r="I93" s="14"/>
      <c r="J93" s="14"/>
      <c r="K93" s="12"/>
    </row>
    <row r="94" ht="19.5" customHeight="1">
      <c r="A94" s="12"/>
      <c r="C94" s="12"/>
      <c r="D94" s="87"/>
      <c r="F94" s="14"/>
      <c r="G94" s="14"/>
      <c r="H94" s="14"/>
      <c r="I94" s="14"/>
      <c r="J94" s="14"/>
      <c r="K94" s="12"/>
    </row>
    <row r="95" ht="19.5" customHeight="1">
      <c r="A95" s="12"/>
      <c r="C95" s="12"/>
      <c r="D95" s="87"/>
      <c r="F95" s="14"/>
      <c r="G95" s="14"/>
      <c r="H95" s="14"/>
      <c r="I95" s="14"/>
      <c r="J95" s="14"/>
      <c r="K95" s="12"/>
    </row>
    <row r="96" ht="19.5" customHeight="1">
      <c r="A96" s="12"/>
      <c r="C96" s="12"/>
      <c r="D96" s="87"/>
      <c r="F96" s="14"/>
      <c r="G96" s="14"/>
      <c r="H96" s="14"/>
      <c r="I96" s="14"/>
      <c r="J96" s="14"/>
      <c r="K96" s="12"/>
    </row>
    <row r="97" ht="19.5" customHeight="1">
      <c r="A97" s="12"/>
      <c r="C97" s="12"/>
      <c r="D97" s="87"/>
      <c r="F97" s="14"/>
      <c r="G97" s="14"/>
      <c r="H97" s="14"/>
      <c r="I97" s="14"/>
      <c r="J97" s="14"/>
      <c r="K97" s="12"/>
    </row>
    <row r="98" ht="19.5" customHeight="1">
      <c r="A98" s="12"/>
      <c r="C98" s="12"/>
      <c r="D98" s="87"/>
      <c r="F98" s="14"/>
      <c r="G98" s="14"/>
      <c r="H98" s="14"/>
      <c r="I98" s="14"/>
      <c r="J98" s="14"/>
      <c r="K98" s="12"/>
    </row>
    <row r="99" ht="19.5" customHeight="1">
      <c r="A99" s="12"/>
      <c r="C99" s="12"/>
      <c r="D99" s="87"/>
      <c r="F99" s="14"/>
      <c r="G99" s="14"/>
      <c r="H99" s="14"/>
      <c r="I99" s="14"/>
      <c r="J99" s="14"/>
      <c r="K99" s="12"/>
    </row>
    <row r="100" ht="19.5" customHeight="1">
      <c r="A100" s="12"/>
      <c r="C100" s="12"/>
      <c r="D100" s="87"/>
      <c r="F100" s="14"/>
      <c r="G100" s="14"/>
      <c r="H100" s="14"/>
      <c r="I100" s="14"/>
      <c r="J100" s="14"/>
      <c r="K100" s="12"/>
    </row>
    <row r="101" ht="19.5" customHeight="1">
      <c r="A101" s="12"/>
      <c r="C101" s="12"/>
      <c r="D101" s="87"/>
      <c r="F101" s="14"/>
      <c r="G101" s="14"/>
      <c r="H101" s="14"/>
      <c r="I101" s="14"/>
      <c r="J101" s="14"/>
      <c r="K101" s="12"/>
    </row>
    <row r="102" ht="19.5" customHeight="1">
      <c r="A102" s="12"/>
      <c r="C102" s="12"/>
      <c r="D102" s="87"/>
      <c r="F102" s="14"/>
      <c r="G102" s="14"/>
      <c r="H102" s="14"/>
      <c r="I102" s="14"/>
      <c r="J102" s="14"/>
      <c r="K102" s="12"/>
    </row>
    <row r="103" ht="19.5" customHeight="1">
      <c r="A103" s="12"/>
      <c r="C103" s="12"/>
      <c r="D103" s="87"/>
      <c r="F103" s="14"/>
      <c r="G103" s="14"/>
      <c r="H103" s="14"/>
      <c r="I103" s="14"/>
      <c r="J103" s="14"/>
      <c r="K103" s="12"/>
    </row>
    <row r="104" ht="19.5" customHeight="1">
      <c r="A104" s="12"/>
      <c r="C104" s="12"/>
      <c r="D104" s="87"/>
      <c r="F104" s="14"/>
      <c r="G104" s="14"/>
      <c r="H104" s="14"/>
      <c r="I104" s="14"/>
      <c r="J104" s="14"/>
      <c r="K104" s="12"/>
    </row>
    <row r="105" ht="19.5" customHeight="1">
      <c r="A105" s="12"/>
      <c r="C105" s="12"/>
      <c r="D105" s="87"/>
      <c r="F105" s="14"/>
      <c r="G105" s="14"/>
      <c r="H105" s="14"/>
      <c r="I105" s="14"/>
      <c r="J105" s="14"/>
      <c r="K105" s="12"/>
    </row>
    <row r="106" ht="19.5" customHeight="1">
      <c r="A106" s="12"/>
      <c r="C106" s="12"/>
      <c r="D106" s="87"/>
      <c r="F106" s="14"/>
      <c r="G106" s="14"/>
      <c r="H106" s="14"/>
      <c r="I106" s="14"/>
      <c r="J106" s="14"/>
      <c r="K106" s="12"/>
    </row>
    <row r="107" ht="19.5" customHeight="1">
      <c r="A107" s="12"/>
      <c r="C107" s="12"/>
      <c r="D107" s="87"/>
      <c r="F107" s="14"/>
      <c r="G107" s="14"/>
      <c r="H107" s="14"/>
      <c r="I107" s="14"/>
      <c r="J107" s="14"/>
      <c r="K107" s="12"/>
    </row>
    <row r="108" ht="19.5" customHeight="1">
      <c r="A108" s="12"/>
      <c r="C108" s="12"/>
      <c r="D108" s="87"/>
      <c r="F108" s="14"/>
      <c r="G108" s="14"/>
      <c r="H108" s="14"/>
      <c r="I108" s="14"/>
      <c r="J108" s="14"/>
      <c r="K108" s="12"/>
    </row>
    <row r="109" ht="19.5" customHeight="1">
      <c r="A109" s="12"/>
      <c r="C109" s="12"/>
      <c r="D109" s="87"/>
      <c r="F109" s="14"/>
      <c r="G109" s="14"/>
      <c r="H109" s="14"/>
      <c r="I109" s="14"/>
      <c r="J109" s="14"/>
      <c r="K109" s="12"/>
    </row>
    <row r="110" ht="19.5" customHeight="1">
      <c r="A110" s="12"/>
      <c r="C110" s="12"/>
      <c r="D110" s="87"/>
      <c r="F110" s="14"/>
      <c r="G110" s="14"/>
      <c r="H110" s="14"/>
      <c r="I110" s="14"/>
      <c r="J110" s="14"/>
      <c r="K110" s="12"/>
    </row>
    <row r="111" ht="19.5" customHeight="1">
      <c r="A111" s="12"/>
      <c r="C111" s="12"/>
      <c r="D111" s="87"/>
      <c r="F111" s="14"/>
      <c r="G111" s="14"/>
      <c r="H111" s="14"/>
      <c r="I111" s="14"/>
      <c r="J111" s="14"/>
      <c r="K111" s="12"/>
    </row>
    <row r="112" ht="19.5" customHeight="1">
      <c r="A112" s="12"/>
      <c r="C112" s="12"/>
      <c r="D112" s="87"/>
      <c r="F112" s="14"/>
      <c r="G112" s="14"/>
      <c r="H112" s="14"/>
      <c r="I112" s="14"/>
      <c r="J112" s="14"/>
      <c r="K112" s="12"/>
    </row>
    <row r="113" ht="19.5" customHeight="1">
      <c r="A113" s="12"/>
      <c r="C113" s="12"/>
      <c r="D113" s="87"/>
      <c r="F113" s="14"/>
      <c r="G113" s="14"/>
      <c r="H113" s="14"/>
      <c r="I113" s="14"/>
      <c r="J113" s="14"/>
      <c r="K113" s="12"/>
    </row>
    <row r="114" ht="19.5" customHeight="1">
      <c r="A114" s="12"/>
      <c r="C114" s="12"/>
      <c r="D114" s="87"/>
      <c r="F114" s="14"/>
      <c r="G114" s="14"/>
      <c r="H114" s="14"/>
      <c r="I114" s="14"/>
      <c r="J114" s="14"/>
      <c r="K114" s="12"/>
    </row>
    <row r="115" ht="19.5" customHeight="1">
      <c r="A115" s="12"/>
      <c r="C115" s="12"/>
      <c r="D115" s="87"/>
      <c r="F115" s="14"/>
      <c r="G115" s="14"/>
      <c r="H115" s="14"/>
      <c r="I115" s="14"/>
      <c r="J115" s="14"/>
      <c r="K115" s="12"/>
    </row>
    <row r="116" ht="19.5" customHeight="1">
      <c r="A116" s="12"/>
      <c r="C116" s="12"/>
      <c r="D116" s="87"/>
      <c r="F116" s="14"/>
      <c r="G116" s="14"/>
      <c r="H116" s="14"/>
      <c r="I116" s="14"/>
      <c r="J116" s="14"/>
      <c r="K116" s="12"/>
    </row>
    <row r="117" ht="19.5" customHeight="1">
      <c r="A117" s="12"/>
      <c r="C117" s="12"/>
      <c r="D117" s="87"/>
      <c r="F117" s="14"/>
      <c r="G117" s="14"/>
      <c r="H117" s="14"/>
      <c r="I117" s="14"/>
      <c r="J117" s="14"/>
      <c r="K117" s="12"/>
    </row>
    <row r="118" ht="19.5" customHeight="1">
      <c r="A118" s="12"/>
      <c r="C118" s="12"/>
      <c r="D118" s="87"/>
      <c r="F118" s="14"/>
      <c r="G118" s="14"/>
      <c r="H118" s="14"/>
      <c r="I118" s="14"/>
      <c r="J118" s="14"/>
      <c r="K118" s="12"/>
    </row>
    <row r="119" ht="19.5" customHeight="1">
      <c r="A119" s="12"/>
      <c r="C119" s="12"/>
      <c r="D119" s="87"/>
      <c r="F119" s="14"/>
      <c r="G119" s="14"/>
      <c r="H119" s="14"/>
      <c r="I119" s="14"/>
      <c r="J119" s="14"/>
      <c r="K119" s="12"/>
    </row>
    <row r="120" ht="19.5" customHeight="1">
      <c r="A120" s="12"/>
      <c r="C120" s="12"/>
      <c r="D120" s="87"/>
      <c r="F120" s="14"/>
      <c r="G120" s="14"/>
      <c r="H120" s="14"/>
      <c r="I120" s="14"/>
      <c r="J120" s="14"/>
      <c r="K120" s="12"/>
    </row>
    <row r="121" ht="19.5" customHeight="1">
      <c r="A121" s="12"/>
      <c r="C121" s="12"/>
      <c r="D121" s="87"/>
      <c r="F121" s="14"/>
      <c r="G121" s="14"/>
      <c r="H121" s="14"/>
      <c r="I121" s="14"/>
      <c r="J121" s="14"/>
      <c r="K121" s="12"/>
    </row>
    <row r="122" ht="19.5" customHeight="1">
      <c r="A122" s="12"/>
      <c r="C122" s="12"/>
      <c r="D122" s="87"/>
      <c r="F122" s="14"/>
      <c r="G122" s="14"/>
      <c r="H122" s="14"/>
      <c r="I122" s="14"/>
      <c r="J122" s="14"/>
      <c r="K122" s="12"/>
    </row>
    <row r="123" ht="19.5" customHeight="1">
      <c r="A123" s="12"/>
      <c r="C123" s="12"/>
      <c r="D123" s="87"/>
      <c r="F123" s="14"/>
      <c r="G123" s="14"/>
      <c r="H123" s="14"/>
      <c r="I123" s="14"/>
      <c r="J123" s="14"/>
      <c r="K123" s="12"/>
    </row>
    <row r="124" ht="19.5" customHeight="1">
      <c r="A124" s="12"/>
      <c r="C124" s="12"/>
      <c r="D124" s="87"/>
      <c r="F124" s="14"/>
      <c r="G124" s="14"/>
      <c r="H124" s="14"/>
      <c r="I124" s="14"/>
      <c r="J124" s="14"/>
      <c r="K124" s="12"/>
    </row>
    <row r="125" ht="19.5" customHeight="1">
      <c r="A125" s="12"/>
      <c r="C125" s="12"/>
      <c r="D125" s="87"/>
      <c r="F125" s="14"/>
      <c r="G125" s="14"/>
      <c r="H125" s="14"/>
      <c r="I125" s="14"/>
      <c r="J125" s="14"/>
      <c r="K125" s="12"/>
    </row>
    <row r="126" ht="19.5" customHeight="1">
      <c r="A126" s="12"/>
      <c r="C126" s="12"/>
      <c r="D126" s="87"/>
      <c r="F126" s="14"/>
      <c r="G126" s="14"/>
      <c r="H126" s="14"/>
      <c r="I126" s="14"/>
      <c r="J126" s="14"/>
      <c r="K126" s="12"/>
    </row>
    <row r="127" ht="19.5" customHeight="1">
      <c r="A127" s="12"/>
      <c r="C127" s="12"/>
      <c r="D127" s="87"/>
      <c r="F127" s="14"/>
      <c r="G127" s="14"/>
      <c r="H127" s="14"/>
      <c r="I127" s="14"/>
      <c r="J127" s="14"/>
      <c r="K127" s="12"/>
    </row>
    <row r="128" ht="19.5" customHeight="1">
      <c r="A128" s="12"/>
      <c r="C128" s="12"/>
      <c r="D128" s="87"/>
      <c r="F128" s="14"/>
      <c r="G128" s="14"/>
      <c r="H128" s="14"/>
      <c r="I128" s="14"/>
      <c r="J128" s="14"/>
      <c r="K128" s="12"/>
    </row>
    <row r="129" ht="19.5" customHeight="1">
      <c r="A129" s="12"/>
      <c r="C129" s="12"/>
      <c r="D129" s="87"/>
      <c r="F129" s="14"/>
      <c r="G129" s="14"/>
      <c r="H129" s="14"/>
      <c r="I129" s="14"/>
      <c r="J129" s="14"/>
      <c r="K129" s="12"/>
    </row>
    <row r="130" ht="19.5" customHeight="1">
      <c r="A130" s="12"/>
      <c r="C130" s="12"/>
      <c r="D130" s="87"/>
      <c r="F130" s="14"/>
      <c r="G130" s="14"/>
      <c r="H130" s="14"/>
      <c r="I130" s="14"/>
      <c r="J130" s="14"/>
      <c r="K130" s="12"/>
    </row>
    <row r="131" ht="19.5" customHeight="1">
      <c r="A131" s="12"/>
      <c r="C131" s="12"/>
      <c r="D131" s="87"/>
      <c r="F131" s="14"/>
      <c r="G131" s="14"/>
      <c r="H131" s="14"/>
      <c r="I131" s="14"/>
      <c r="J131" s="14"/>
      <c r="K131" s="12"/>
    </row>
    <row r="132" ht="19.5" customHeight="1">
      <c r="A132" s="12"/>
      <c r="C132" s="12"/>
      <c r="D132" s="87"/>
      <c r="F132" s="14"/>
      <c r="G132" s="14"/>
      <c r="H132" s="14"/>
      <c r="I132" s="14"/>
      <c r="J132" s="14"/>
      <c r="K132" s="12"/>
    </row>
    <row r="133" ht="19.5" customHeight="1">
      <c r="A133" s="12"/>
      <c r="C133" s="12"/>
      <c r="D133" s="87"/>
      <c r="F133" s="14"/>
      <c r="G133" s="14"/>
      <c r="H133" s="14"/>
      <c r="I133" s="14"/>
      <c r="J133" s="14"/>
      <c r="K133" s="12"/>
    </row>
    <row r="134" ht="19.5" customHeight="1">
      <c r="A134" s="12"/>
      <c r="C134" s="12"/>
      <c r="D134" s="87"/>
      <c r="F134" s="14"/>
      <c r="G134" s="14"/>
      <c r="H134" s="14"/>
      <c r="I134" s="14"/>
      <c r="J134" s="14"/>
      <c r="K134" s="12"/>
    </row>
    <row r="135" ht="19.5" customHeight="1">
      <c r="A135" s="12"/>
      <c r="C135" s="12"/>
      <c r="D135" s="87"/>
      <c r="F135" s="14"/>
      <c r="G135" s="14"/>
      <c r="H135" s="14"/>
      <c r="I135" s="14"/>
      <c r="J135" s="14"/>
      <c r="K135" s="12"/>
    </row>
    <row r="136" ht="19.5" customHeight="1">
      <c r="A136" s="12"/>
      <c r="C136" s="12"/>
      <c r="D136" s="87"/>
      <c r="F136" s="14"/>
      <c r="G136" s="14"/>
      <c r="H136" s="14"/>
      <c r="I136" s="14"/>
      <c r="J136" s="14"/>
      <c r="K136" s="12"/>
    </row>
    <row r="137" ht="19.5" customHeight="1">
      <c r="A137" s="12"/>
      <c r="C137" s="12"/>
      <c r="D137" s="87"/>
      <c r="F137" s="14"/>
      <c r="G137" s="14"/>
      <c r="H137" s="14"/>
      <c r="I137" s="14"/>
      <c r="J137" s="14"/>
      <c r="K137" s="12"/>
    </row>
    <row r="138" ht="19.5" customHeight="1">
      <c r="A138" s="12"/>
      <c r="C138" s="12"/>
      <c r="D138" s="87"/>
      <c r="F138" s="14"/>
      <c r="G138" s="14"/>
      <c r="H138" s="14"/>
      <c r="I138" s="14"/>
      <c r="J138" s="14"/>
      <c r="K138" s="12"/>
    </row>
    <row r="139" ht="19.5" customHeight="1">
      <c r="A139" s="12"/>
      <c r="C139" s="12"/>
      <c r="D139" s="87"/>
      <c r="F139" s="14"/>
      <c r="G139" s="14"/>
      <c r="H139" s="14"/>
      <c r="I139" s="14"/>
      <c r="J139" s="14"/>
      <c r="K139" s="12"/>
    </row>
    <row r="140" ht="19.5" customHeight="1">
      <c r="A140" s="12"/>
      <c r="C140" s="12"/>
      <c r="D140" s="87"/>
      <c r="F140" s="14"/>
      <c r="G140" s="14"/>
      <c r="H140" s="14"/>
      <c r="I140" s="14"/>
      <c r="J140" s="14"/>
      <c r="K140" s="12"/>
    </row>
    <row r="141" ht="19.5" customHeight="1">
      <c r="A141" s="12"/>
      <c r="C141" s="12"/>
      <c r="D141" s="87"/>
      <c r="F141" s="14"/>
      <c r="G141" s="14"/>
      <c r="H141" s="14"/>
      <c r="I141" s="14"/>
      <c r="J141" s="14"/>
      <c r="K141" s="12"/>
    </row>
    <row r="142" ht="19.5" customHeight="1">
      <c r="A142" s="12"/>
      <c r="C142" s="12"/>
      <c r="D142" s="87"/>
      <c r="F142" s="14"/>
      <c r="G142" s="14"/>
      <c r="H142" s="14"/>
      <c r="I142" s="14"/>
      <c r="J142" s="14"/>
      <c r="K142" s="12"/>
    </row>
    <row r="143" ht="19.5" customHeight="1">
      <c r="A143" s="12"/>
      <c r="C143" s="12"/>
      <c r="D143" s="87"/>
      <c r="F143" s="14"/>
      <c r="G143" s="14"/>
      <c r="H143" s="14"/>
      <c r="I143" s="14"/>
      <c r="J143" s="14"/>
      <c r="K143" s="12"/>
    </row>
    <row r="144" ht="19.5" customHeight="1">
      <c r="A144" s="12"/>
      <c r="C144" s="12"/>
      <c r="D144" s="87"/>
      <c r="F144" s="14"/>
      <c r="G144" s="14"/>
      <c r="H144" s="14"/>
      <c r="I144" s="14"/>
      <c r="J144" s="14"/>
      <c r="K144" s="12"/>
    </row>
    <row r="145" ht="19.5" customHeight="1">
      <c r="A145" s="12"/>
      <c r="C145" s="12"/>
      <c r="D145" s="87"/>
      <c r="F145" s="14"/>
      <c r="G145" s="14"/>
      <c r="H145" s="14"/>
      <c r="I145" s="14"/>
      <c r="J145" s="14"/>
      <c r="K145" s="12"/>
    </row>
    <row r="146" ht="19.5" customHeight="1">
      <c r="A146" s="12"/>
      <c r="C146" s="12"/>
      <c r="D146" s="87"/>
      <c r="F146" s="14"/>
      <c r="G146" s="14"/>
      <c r="H146" s="14"/>
      <c r="I146" s="14"/>
      <c r="J146" s="14"/>
      <c r="K146" s="12"/>
    </row>
    <row r="147" ht="19.5" customHeight="1">
      <c r="A147" s="12"/>
      <c r="C147" s="12"/>
      <c r="D147" s="87"/>
      <c r="F147" s="14"/>
      <c r="G147" s="14"/>
      <c r="H147" s="14"/>
      <c r="I147" s="14"/>
      <c r="J147" s="14"/>
      <c r="K147" s="12"/>
    </row>
    <row r="148" ht="19.5" customHeight="1">
      <c r="A148" s="12"/>
      <c r="C148" s="12"/>
      <c r="D148" s="87"/>
      <c r="F148" s="14"/>
      <c r="G148" s="14"/>
      <c r="H148" s="14"/>
      <c r="I148" s="14"/>
      <c r="J148" s="14"/>
      <c r="K148" s="12"/>
    </row>
    <row r="149" ht="19.5" customHeight="1">
      <c r="A149" s="12"/>
      <c r="C149" s="12"/>
      <c r="D149" s="87"/>
      <c r="F149" s="14"/>
      <c r="G149" s="14"/>
      <c r="H149" s="14"/>
      <c r="I149" s="14"/>
      <c r="J149" s="14"/>
      <c r="K149" s="12"/>
    </row>
    <row r="150" ht="19.5" customHeight="1">
      <c r="A150" s="12"/>
      <c r="C150" s="12"/>
      <c r="D150" s="87"/>
      <c r="F150" s="14"/>
      <c r="G150" s="14"/>
      <c r="H150" s="14"/>
      <c r="I150" s="14"/>
      <c r="J150" s="14"/>
      <c r="K150" s="12"/>
    </row>
    <row r="151" ht="19.5" customHeight="1">
      <c r="A151" s="12"/>
      <c r="C151" s="12"/>
      <c r="D151" s="87"/>
      <c r="F151" s="14"/>
      <c r="G151" s="14"/>
      <c r="H151" s="14"/>
      <c r="I151" s="14"/>
      <c r="J151" s="14"/>
      <c r="K151" s="12"/>
    </row>
    <row r="152" ht="19.5" customHeight="1">
      <c r="A152" s="12"/>
      <c r="C152" s="12"/>
      <c r="D152" s="87"/>
      <c r="F152" s="14"/>
      <c r="G152" s="14"/>
      <c r="H152" s="14"/>
      <c r="I152" s="14"/>
      <c r="J152" s="14"/>
      <c r="K152" s="12"/>
    </row>
    <row r="153" ht="19.5" customHeight="1">
      <c r="A153" s="12"/>
      <c r="C153" s="12"/>
      <c r="D153" s="87"/>
      <c r="F153" s="14"/>
      <c r="G153" s="14"/>
      <c r="H153" s="14"/>
      <c r="I153" s="14"/>
      <c r="J153" s="14"/>
      <c r="K153" s="12"/>
    </row>
    <row r="154" ht="19.5" customHeight="1">
      <c r="A154" s="12"/>
      <c r="C154" s="12"/>
      <c r="D154" s="87"/>
      <c r="F154" s="14"/>
      <c r="G154" s="14"/>
      <c r="H154" s="14"/>
      <c r="I154" s="14"/>
      <c r="J154" s="14"/>
      <c r="K154" s="12"/>
    </row>
    <row r="155" ht="19.5" customHeight="1">
      <c r="A155" s="12"/>
      <c r="C155" s="12"/>
      <c r="D155" s="87"/>
      <c r="F155" s="14"/>
      <c r="G155" s="14"/>
      <c r="H155" s="14"/>
      <c r="I155" s="14"/>
      <c r="J155" s="14"/>
      <c r="K155" s="12"/>
    </row>
    <row r="156" ht="19.5" customHeight="1">
      <c r="A156" s="12"/>
      <c r="C156" s="12"/>
      <c r="D156" s="87"/>
      <c r="F156" s="14"/>
      <c r="G156" s="14"/>
      <c r="H156" s="14"/>
      <c r="I156" s="14"/>
      <c r="J156" s="14"/>
      <c r="K156" s="12"/>
    </row>
    <row r="157" ht="19.5" customHeight="1">
      <c r="A157" s="12"/>
      <c r="C157" s="12"/>
      <c r="D157" s="87"/>
      <c r="F157" s="14"/>
      <c r="G157" s="14"/>
      <c r="H157" s="14"/>
      <c r="I157" s="14"/>
      <c r="J157" s="14"/>
      <c r="K157" s="12"/>
    </row>
    <row r="158" ht="19.5" customHeight="1">
      <c r="A158" s="12"/>
      <c r="C158" s="12"/>
      <c r="D158" s="87"/>
      <c r="F158" s="14"/>
      <c r="G158" s="14"/>
      <c r="H158" s="14"/>
      <c r="I158" s="14"/>
      <c r="J158" s="14"/>
      <c r="K158" s="12"/>
    </row>
    <row r="159" ht="19.5" customHeight="1">
      <c r="A159" s="12"/>
      <c r="C159" s="12"/>
      <c r="D159" s="87"/>
      <c r="F159" s="14"/>
      <c r="G159" s="14"/>
      <c r="H159" s="14"/>
      <c r="I159" s="14"/>
      <c r="J159" s="14"/>
      <c r="K159" s="12"/>
    </row>
    <row r="160" ht="19.5" customHeight="1">
      <c r="A160" s="12"/>
      <c r="C160" s="12"/>
      <c r="D160" s="87"/>
      <c r="F160" s="14"/>
      <c r="G160" s="14"/>
      <c r="H160" s="14"/>
      <c r="I160" s="14"/>
      <c r="J160" s="14"/>
      <c r="K160" s="12"/>
    </row>
    <row r="161" ht="19.5" customHeight="1">
      <c r="A161" s="12"/>
      <c r="C161" s="12"/>
      <c r="D161" s="87"/>
      <c r="F161" s="14"/>
      <c r="G161" s="14"/>
      <c r="H161" s="14"/>
      <c r="I161" s="14"/>
      <c r="J161" s="14"/>
      <c r="K161" s="12"/>
    </row>
    <row r="162" ht="19.5" customHeight="1">
      <c r="A162" s="12"/>
      <c r="C162" s="12"/>
      <c r="D162" s="87"/>
      <c r="F162" s="14"/>
      <c r="G162" s="14"/>
      <c r="H162" s="14"/>
      <c r="I162" s="14"/>
      <c r="J162" s="14"/>
      <c r="K162" s="12"/>
    </row>
    <row r="163" ht="19.5" customHeight="1">
      <c r="A163" s="12"/>
      <c r="C163" s="12"/>
      <c r="D163" s="87"/>
      <c r="F163" s="14"/>
      <c r="G163" s="14"/>
      <c r="H163" s="14"/>
      <c r="I163" s="14"/>
      <c r="J163" s="14"/>
      <c r="K163" s="12"/>
    </row>
    <row r="164" ht="19.5" customHeight="1">
      <c r="A164" s="12"/>
      <c r="C164" s="12"/>
      <c r="D164" s="87"/>
      <c r="F164" s="14"/>
      <c r="G164" s="14"/>
      <c r="H164" s="14"/>
      <c r="I164" s="14"/>
      <c r="J164" s="14"/>
      <c r="K164" s="12"/>
    </row>
    <row r="165" ht="19.5" customHeight="1">
      <c r="A165" s="12"/>
      <c r="C165" s="12"/>
      <c r="D165" s="87"/>
      <c r="F165" s="14"/>
      <c r="G165" s="14"/>
      <c r="H165" s="14"/>
      <c r="I165" s="14"/>
      <c r="J165" s="14"/>
      <c r="K165" s="12"/>
    </row>
    <row r="166" ht="19.5" customHeight="1">
      <c r="A166" s="12"/>
      <c r="C166" s="12"/>
      <c r="D166" s="87"/>
      <c r="F166" s="14"/>
      <c r="G166" s="14"/>
      <c r="H166" s="14"/>
      <c r="I166" s="14"/>
      <c r="J166" s="14"/>
      <c r="K166" s="12"/>
    </row>
    <row r="167" ht="19.5" customHeight="1">
      <c r="A167" s="12"/>
      <c r="C167" s="12"/>
      <c r="D167" s="87"/>
      <c r="F167" s="14"/>
      <c r="G167" s="14"/>
      <c r="H167" s="14"/>
      <c r="I167" s="14"/>
      <c r="J167" s="14"/>
      <c r="K167" s="12"/>
    </row>
    <row r="168" ht="19.5" customHeight="1">
      <c r="A168" s="12"/>
      <c r="C168" s="12"/>
      <c r="D168" s="87"/>
      <c r="F168" s="14"/>
      <c r="G168" s="14"/>
      <c r="H168" s="14"/>
      <c r="I168" s="14"/>
      <c r="J168" s="14"/>
      <c r="K168" s="12"/>
    </row>
    <row r="169" ht="19.5" customHeight="1">
      <c r="A169" s="12"/>
      <c r="C169" s="12"/>
      <c r="D169" s="87"/>
      <c r="F169" s="14"/>
      <c r="G169" s="14"/>
      <c r="H169" s="14"/>
      <c r="I169" s="14"/>
      <c r="J169" s="14"/>
      <c r="K169" s="12"/>
    </row>
    <row r="170" ht="19.5" customHeight="1">
      <c r="A170" s="12"/>
      <c r="C170" s="12"/>
      <c r="D170" s="87"/>
      <c r="F170" s="14"/>
      <c r="G170" s="14"/>
      <c r="H170" s="14"/>
      <c r="I170" s="14"/>
      <c r="J170" s="14"/>
      <c r="K170" s="12"/>
    </row>
    <row r="171" ht="19.5" customHeight="1">
      <c r="A171" s="12"/>
      <c r="C171" s="12"/>
      <c r="D171" s="87"/>
      <c r="F171" s="14"/>
      <c r="G171" s="14"/>
      <c r="H171" s="14"/>
      <c r="I171" s="14"/>
      <c r="J171" s="14"/>
      <c r="K171" s="12"/>
    </row>
    <row r="172" ht="19.5" customHeight="1">
      <c r="A172" s="12"/>
      <c r="C172" s="12"/>
      <c r="D172" s="87"/>
      <c r="F172" s="14"/>
      <c r="G172" s="14"/>
      <c r="H172" s="14"/>
      <c r="I172" s="14"/>
      <c r="J172" s="14"/>
      <c r="K172" s="12"/>
    </row>
    <row r="173" ht="19.5" customHeight="1">
      <c r="A173" s="12"/>
      <c r="C173" s="12"/>
      <c r="D173" s="87"/>
      <c r="F173" s="14"/>
      <c r="G173" s="14"/>
      <c r="H173" s="14"/>
      <c r="I173" s="14"/>
      <c r="J173" s="14"/>
      <c r="K173" s="12"/>
    </row>
    <row r="174" ht="19.5" customHeight="1">
      <c r="A174" s="12"/>
      <c r="C174" s="12"/>
      <c r="D174" s="87"/>
      <c r="F174" s="14"/>
      <c r="G174" s="14"/>
      <c r="H174" s="14"/>
      <c r="I174" s="14"/>
      <c r="J174" s="14"/>
      <c r="K174" s="12"/>
    </row>
    <row r="175" ht="19.5" customHeight="1">
      <c r="A175" s="12"/>
      <c r="C175" s="12"/>
      <c r="D175" s="87"/>
      <c r="F175" s="14"/>
      <c r="G175" s="14"/>
      <c r="H175" s="14"/>
      <c r="I175" s="14"/>
      <c r="J175" s="14"/>
      <c r="K175" s="12"/>
    </row>
    <row r="176" ht="19.5" customHeight="1">
      <c r="A176" s="12"/>
      <c r="C176" s="12"/>
      <c r="D176" s="87"/>
      <c r="F176" s="14"/>
      <c r="G176" s="14"/>
      <c r="H176" s="14"/>
      <c r="I176" s="14"/>
      <c r="J176" s="14"/>
      <c r="K176" s="12"/>
    </row>
    <row r="177" ht="19.5" customHeight="1">
      <c r="A177" s="12"/>
      <c r="C177" s="12"/>
      <c r="D177" s="87"/>
      <c r="F177" s="14"/>
      <c r="G177" s="14"/>
      <c r="H177" s="14"/>
      <c r="I177" s="14"/>
      <c r="J177" s="14"/>
      <c r="K177" s="12"/>
    </row>
    <row r="178" ht="19.5" customHeight="1">
      <c r="A178" s="12"/>
      <c r="C178" s="12"/>
      <c r="D178" s="87"/>
      <c r="F178" s="14"/>
      <c r="G178" s="14"/>
      <c r="H178" s="14"/>
      <c r="I178" s="14"/>
      <c r="J178" s="14"/>
      <c r="K178" s="12"/>
    </row>
    <row r="179" ht="19.5" customHeight="1">
      <c r="A179" s="12"/>
      <c r="C179" s="12"/>
      <c r="D179" s="87"/>
      <c r="F179" s="14"/>
      <c r="G179" s="14"/>
      <c r="H179" s="14"/>
      <c r="I179" s="14"/>
      <c r="J179" s="14"/>
      <c r="K179" s="12"/>
    </row>
    <row r="180" ht="19.5" customHeight="1">
      <c r="A180" s="12"/>
      <c r="C180" s="12"/>
      <c r="D180" s="87"/>
      <c r="F180" s="14"/>
      <c r="G180" s="14"/>
      <c r="H180" s="14"/>
      <c r="I180" s="14"/>
      <c r="J180" s="14"/>
      <c r="K180" s="12"/>
    </row>
    <row r="181" ht="19.5" customHeight="1">
      <c r="A181" s="12"/>
      <c r="C181" s="12"/>
      <c r="D181" s="87"/>
      <c r="F181" s="14"/>
      <c r="G181" s="14"/>
      <c r="H181" s="14"/>
      <c r="I181" s="14"/>
      <c r="J181" s="14"/>
      <c r="K181" s="12"/>
    </row>
    <row r="182" ht="19.5" customHeight="1">
      <c r="A182" s="12"/>
      <c r="C182" s="12"/>
      <c r="D182" s="87"/>
      <c r="F182" s="14"/>
      <c r="G182" s="14"/>
      <c r="H182" s="14"/>
      <c r="I182" s="14"/>
      <c r="J182" s="14"/>
      <c r="K182" s="12"/>
    </row>
    <row r="183" ht="19.5" customHeight="1">
      <c r="A183" s="12"/>
      <c r="C183" s="12"/>
      <c r="D183" s="87"/>
      <c r="F183" s="14"/>
      <c r="G183" s="14"/>
      <c r="H183" s="14"/>
      <c r="I183" s="14"/>
      <c r="J183" s="14"/>
      <c r="K183" s="12"/>
    </row>
    <row r="184" ht="19.5" customHeight="1">
      <c r="A184" s="12"/>
      <c r="C184" s="12"/>
      <c r="D184" s="87"/>
      <c r="F184" s="14"/>
      <c r="G184" s="14"/>
      <c r="H184" s="14"/>
      <c r="I184" s="14"/>
      <c r="J184" s="14"/>
      <c r="K184" s="12"/>
    </row>
    <row r="185" ht="19.5" customHeight="1">
      <c r="A185" s="12"/>
      <c r="C185" s="12"/>
      <c r="D185" s="87"/>
      <c r="F185" s="14"/>
      <c r="G185" s="14"/>
      <c r="H185" s="14"/>
      <c r="I185" s="14"/>
      <c r="J185" s="14"/>
      <c r="K185" s="12"/>
    </row>
    <row r="186" ht="19.5" customHeight="1">
      <c r="A186" s="12"/>
      <c r="C186" s="12"/>
      <c r="D186" s="87"/>
      <c r="F186" s="14"/>
      <c r="G186" s="14"/>
      <c r="H186" s="14"/>
      <c r="I186" s="14"/>
      <c r="J186" s="14"/>
      <c r="K186" s="12"/>
    </row>
    <row r="187" ht="19.5" customHeight="1">
      <c r="A187" s="12"/>
      <c r="C187" s="12"/>
      <c r="D187" s="87"/>
      <c r="F187" s="14"/>
      <c r="G187" s="14"/>
      <c r="H187" s="14"/>
      <c r="I187" s="14"/>
      <c r="J187" s="14"/>
      <c r="K187" s="12"/>
    </row>
    <row r="188" ht="19.5" customHeight="1">
      <c r="A188" s="12"/>
      <c r="C188" s="12"/>
      <c r="D188" s="87"/>
      <c r="F188" s="14"/>
      <c r="G188" s="14"/>
      <c r="H188" s="14"/>
      <c r="I188" s="14"/>
      <c r="J188" s="14"/>
      <c r="K188" s="12"/>
    </row>
    <row r="189" ht="19.5" customHeight="1">
      <c r="A189" s="12"/>
      <c r="C189" s="12"/>
      <c r="D189" s="87"/>
      <c r="F189" s="14"/>
      <c r="G189" s="14"/>
      <c r="H189" s="14"/>
      <c r="I189" s="14"/>
      <c r="J189" s="14"/>
      <c r="K189" s="12"/>
    </row>
    <row r="190" ht="19.5" customHeight="1">
      <c r="A190" s="12"/>
      <c r="C190" s="12"/>
      <c r="D190" s="87"/>
      <c r="F190" s="14"/>
      <c r="G190" s="14"/>
      <c r="H190" s="14"/>
      <c r="I190" s="14"/>
      <c r="J190" s="14"/>
      <c r="K190" s="12"/>
    </row>
    <row r="191" ht="19.5" customHeight="1">
      <c r="A191" s="12"/>
      <c r="C191" s="12"/>
      <c r="D191" s="87"/>
      <c r="F191" s="14"/>
      <c r="G191" s="14"/>
      <c r="H191" s="14"/>
      <c r="I191" s="14"/>
      <c r="J191" s="14"/>
      <c r="K191" s="12"/>
    </row>
    <row r="192" ht="19.5" customHeight="1">
      <c r="A192" s="12"/>
      <c r="C192" s="12"/>
      <c r="D192" s="87"/>
      <c r="F192" s="14"/>
      <c r="G192" s="14"/>
      <c r="H192" s="14"/>
      <c r="I192" s="14"/>
      <c r="J192" s="14"/>
      <c r="K192" s="12"/>
    </row>
    <row r="193" ht="19.5" customHeight="1">
      <c r="A193" s="12"/>
      <c r="C193" s="12"/>
      <c r="D193" s="87"/>
      <c r="F193" s="14"/>
      <c r="G193" s="14"/>
      <c r="H193" s="14"/>
      <c r="I193" s="14"/>
      <c r="J193" s="14"/>
      <c r="K193" s="12"/>
    </row>
    <row r="194" ht="19.5" customHeight="1">
      <c r="A194" s="12"/>
      <c r="C194" s="12"/>
      <c r="D194" s="87"/>
      <c r="F194" s="14"/>
      <c r="G194" s="14"/>
      <c r="H194" s="14"/>
      <c r="I194" s="14"/>
      <c r="J194" s="14"/>
      <c r="K194" s="12"/>
    </row>
    <row r="195" ht="19.5" customHeight="1">
      <c r="A195" s="12"/>
      <c r="C195" s="12"/>
      <c r="D195" s="87"/>
      <c r="F195" s="14"/>
      <c r="G195" s="14"/>
      <c r="H195" s="14"/>
      <c r="I195" s="14"/>
      <c r="J195" s="14"/>
      <c r="K195" s="12"/>
    </row>
    <row r="196" ht="19.5" customHeight="1">
      <c r="A196" s="12"/>
      <c r="C196" s="12"/>
      <c r="D196" s="87"/>
      <c r="F196" s="14"/>
      <c r="G196" s="14"/>
      <c r="H196" s="14"/>
      <c r="I196" s="14"/>
      <c r="J196" s="14"/>
      <c r="K196" s="12"/>
    </row>
    <row r="197" ht="19.5" customHeight="1">
      <c r="A197" s="12"/>
      <c r="C197" s="12"/>
      <c r="D197" s="87"/>
      <c r="F197" s="14"/>
      <c r="G197" s="14"/>
      <c r="H197" s="14"/>
      <c r="I197" s="14"/>
      <c r="J197" s="14"/>
      <c r="K197" s="12"/>
    </row>
    <row r="198" ht="19.5" customHeight="1">
      <c r="A198" s="12"/>
      <c r="C198" s="12"/>
      <c r="D198" s="87"/>
      <c r="F198" s="14"/>
      <c r="G198" s="14"/>
      <c r="H198" s="14"/>
      <c r="I198" s="14"/>
      <c r="J198" s="14"/>
      <c r="K198" s="12"/>
    </row>
    <row r="199" ht="19.5" customHeight="1">
      <c r="A199" s="12"/>
      <c r="C199" s="12"/>
      <c r="D199" s="87"/>
      <c r="F199" s="14"/>
      <c r="G199" s="14"/>
      <c r="H199" s="14"/>
      <c r="I199" s="14"/>
      <c r="J199" s="14"/>
      <c r="K199" s="12"/>
    </row>
    <row r="200" ht="19.5" customHeight="1">
      <c r="A200" s="12"/>
      <c r="C200" s="12"/>
      <c r="D200" s="87"/>
      <c r="F200" s="14"/>
      <c r="G200" s="14"/>
      <c r="H200" s="14"/>
      <c r="I200" s="14"/>
      <c r="J200" s="14"/>
      <c r="K200" s="12"/>
    </row>
    <row r="201" ht="19.5" customHeight="1">
      <c r="A201" s="12"/>
      <c r="C201" s="12"/>
      <c r="D201" s="87"/>
      <c r="F201" s="14"/>
      <c r="G201" s="14"/>
      <c r="H201" s="14"/>
      <c r="I201" s="14"/>
      <c r="J201" s="14"/>
      <c r="K201" s="12"/>
    </row>
    <row r="202" ht="19.5" customHeight="1">
      <c r="A202" s="12"/>
      <c r="C202" s="12"/>
      <c r="D202" s="87"/>
      <c r="F202" s="14"/>
      <c r="G202" s="14"/>
      <c r="H202" s="14"/>
      <c r="I202" s="14"/>
      <c r="J202" s="14"/>
      <c r="K202" s="12"/>
    </row>
    <row r="203" ht="19.5" customHeight="1">
      <c r="A203" s="12"/>
      <c r="C203" s="12"/>
      <c r="D203" s="87"/>
      <c r="F203" s="14"/>
      <c r="G203" s="14"/>
      <c r="H203" s="14"/>
      <c r="I203" s="14"/>
      <c r="J203" s="14"/>
      <c r="K203" s="12"/>
    </row>
    <row r="204" ht="19.5" customHeight="1">
      <c r="A204" s="12"/>
      <c r="C204" s="12"/>
      <c r="D204" s="87"/>
      <c r="F204" s="14"/>
      <c r="G204" s="14"/>
      <c r="H204" s="14"/>
      <c r="I204" s="14"/>
      <c r="J204" s="14"/>
      <c r="K204" s="12"/>
    </row>
    <row r="205" ht="19.5" customHeight="1">
      <c r="A205" s="12"/>
      <c r="C205" s="12"/>
      <c r="D205" s="87"/>
      <c r="F205" s="14"/>
      <c r="G205" s="14"/>
      <c r="H205" s="14"/>
      <c r="I205" s="14"/>
      <c r="J205" s="14"/>
      <c r="K205" s="12"/>
    </row>
    <row r="206" ht="19.5" customHeight="1">
      <c r="A206" s="12"/>
      <c r="C206" s="12"/>
      <c r="D206" s="87"/>
      <c r="F206" s="14"/>
      <c r="G206" s="14"/>
      <c r="H206" s="14"/>
      <c r="I206" s="14"/>
      <c r="J206" s="14"/>
      <c r="K206" s="12"/>
    </row>
    <row r="207" ht="19.5" customHeight="1">
      <c r="A207" s="12"/>
      <c r="C207" s="12"/>
      <c r="D207" s="87"/>
      <c r="F207" s="14"/>
      <c r="G207" s="14"/>
      <c r="H207" s="14"/>
      <c r="I207" s="14"/>
      <c r="J207" s="14"/>
      <c r="K207" s="12"/>
    </row>
    <row r="208" ht="19.5" customHeight="1">
      <c r="A208" s="12"/>
      <c r="C208" s="12"/>
      <c r="D208" s="87"/>
      <c r="F208" s="14"/>
      <c r="G208" s="14"/>
      <c r="H208" s="14"/>
      <c r="I208" s="14"/>
      <c r="J208" s="14"/>
      <c r="K208" s="12"/>
    </row>
    <row r="209" ht="19.5" customHeight="1">
      <c r="A209" s="12"/>
      <c r="C209" s="12"/>
      <c r="D209" s="87"/>
      <c r="F209" s="14"/>
      <c r="G209" s="14"/>
      <c r="H209" s="14"/>
      <c r="I209" s="14"/>
      <c r="J209" s="14"/>
      <c r="K209" s="12"/>
    </row>
    <row r="210" ht="19.5" customHeight="1">
      <c r="A210" s="12"/>
      <c r="C210" s="12"/>
      <c r="D210" s="87"/>
      <c r="F210" s="14"/>
      <c r="G210" s="14"/>
      <c r="H210" s="14"/>
      <c r="I210" s="14"/>
      <c r="J210" s="14"/>
      <c r="K210" s="12"/>
    </row>
    <row r="211" ht="19.5" customHeight="1">
      <c r="A211" s="12"/>
      <c r="C211" s="12"/>
      <c r="D211" s="87"/>
      <c r="F211" s="14"/>
      <c r="G211" s="14"/>
      <c r="H211" s="14"/>
      <c r="I211" s="14"/>
      <c r="J211" s="14"/>
      <c r="K211" s="12"/>
    </row>
    <row r="212" ht="19.5" customHeight="1">
      <c r="A212" s="12"/>
      <c r="C212" s="12"/>
      <c r="D212" s="87"/>
      <c r="F212" s="14"/>
      <c r="G212" s="14"/>
      <c r="H212" s="14"/>
      <c r="I212" s="14"/>
      <c r="J212" s="14"/>
      <c r="K212" s="12"/>
    </row>
    <row r="213" ht="19.5" customHeight="1">
      <c r="A213" s="12"/>
      <c r="C213" s="12"/>
      <c r="D213" s="87"/>
      <c r="F213" s="14"/>
      <c r="G213" s="14"/>
      <c r="H213" s="14"/>
      <c r="I213" s="14"/>
      <c r="J213" s="14"/>
      <c r="K213" s="12"/>
    </row>
    <row r="214" ht="19.5" customHeight="1">
      <c r="A214" s="12"/>
      <c r="C214" s="12"/>
      <c r="D214" s="87"/>
      <c r="F214" s="14"/>
      <c r="G214" s="14"/>
      <c r="H214" s="14"/>
      <c r="I214" s="14"/>
      <c r="J214" s="14"/>
      <c r="K214" s="12"/>
    </row>
    <row r="215" ht="19.5" customHeight="1">
      <c r="A215" s="12"/>
      <c r="C215" s="12"/>
      <c r="D215" s="87"/>
      <c r="F215" s="14"/>
      <c r="G215" s="14"/>
      <c r="H215" s="14"/>
      <c r="I215" s="14"/>
      <c r="J215" s="14"/>
      <c r="K215" s="12"/>
    </row>
    <row r="216" ht="19.5" customHeight="1">
      <c r="A216" s="12"/>
      <c r="C216" s="12"/>
      <c r="D216" s="87"/>
      <c r="F216" s="14"/>
      <c r="G216" s="14"/>
      <c r="H216" s="14"/>
      <c r="I216" s="14"/>
      <c r="J216" s="14"/>
      <c r="K216" s="12"/>
    </row>
    <row r="217" ht="19.5" customHeight="1">
      <c r="A217" s="12"/>
      <c r="C217" s="12"/>
      <c r="D217" s="87"/>
      <c r="F217" s="14"/>
      <c r="G217" s="14"/>
      <c r="H217" s="14"/>
      <c r="I217" s="14"/>
      <c r="J217" s="14"/>
      <c r="K217" s="12"/>
    </row>
    <row r="218" ht="19.5" customHeight="1">
      <c r="A218" s="12"/>
      <c r="C218" s="12"/>
      <c r="D218" s="87"/>
      <c r="F218" s="14"/>
      <c r="G218" s="14"/>
      <c r="H218" s="14"/>
      <c r="I218" s="14"/>
      <c r="J218" s="14"/>
      <c r="K218" s="12"/>
    </row>
    <row r="219" ht="19.5" customHeight="1">
      <c r="A219" s="12"/>
      <c r="C219" s="12"/>
      <c r="D219" s="87"/>
      <c r="F219" s="14"/>
      <c r="G219" s="14"/>
      <c r="H219" s="14"/>
      <c r="I219" s="14"/>
      <c r="J219" s="14"/>
      <c r="K219" s="12"/>
    </row>
    <row r="220" ht="19.5" customHeight="1">
      <c r="A220" s="12"/>
      <c r="C220" s="12"/>
      <c r="D220" s="87"/>
      <c r="F220" s="14"/>
      <c r="G220" s="14"/>
      <c r="H220" s="14"/>
      <c r="I220" s="14"/>
      <c r="J220" s="14"/>
      <c r="K220" s="12"/>
    </row>
    <row r="221" ht="19.5" customHeight="1">
      <c r="A221" s="12"/>
      <c r="C221" s="12"/>
      <c r="D221" s="87"/>
      <c r="F221" s="14"/>
      <c r="G221" s="14"/>
      <c r="H221" s="14"/>
      <c r="I221" s="14"/>
      <c r="J221" s="14"/>
      <c r="K221" s="12"/>
    </row>
    <row r="222" ht="19.5" customHeight="1">
      <c r="A222" s="12"/>
      <c r="C222" s="12"/>
      <c r="D222" s="87"/>
      <c r="F222" s="14"/>
      <c r="G222" s="14"/>
      <c r="H222" s="14"/>
      <c r="I222" s="14"/>
      <c r="J222" s="14"/>
      <c r="K222" s="12"/>
    </row>
    <row r="223" ht="19.5" customHeight="1">
      <c r="A223" s="12"/>
      <c r="C223" s="12"/>
      <c r="D223" s="87"/>
      <c r="F223" s="14"/>
      <c r="G223" s="14"/>
      <c r="H223" s="14"/>
      <c r="I223" s="14"/>
      <c r="J223" s="14"/>
      <c r="K223" s="12"/>
    </row>
    <row r="224" ht="19.5" customHeight="1">
      <c r="A224" s="12"/>
      <c r="C224" s="12"/>
      <c r="D224" s="87"/>
      <c r="F224" s="14"/>
      <c r="G224" s="14"/>
      <c r="H224" s="14"/>
      <c r="I224" s="14"/>
      <c r="J224" s="14"/>
      <c r="K224" s="12"/>
    </row>
    <row r="225" ht="19.5" customHeight="1">
      <c r="A225" s="12"/>
      <c r="C225" s="12"/>
      <c r="D225" s="87"/>
      <c r="F225" s="14"/>
      <c r="G225" s="14"/>
      <c r="H225" s="14"/>
      <c r="I225" s="14"/>
      <c r="J225" s="14"/>
      <c r="K225" s="12"/>
    </row>
    <row r="226" ht="19.5" customHeight="1">
      <c r="A226" s="12"/>
      <c r="C226" s="12"/>
      <c r="D226" s="87"/>
      <c r="F226" s="14"/>
      <c r="G226" s="14"/>
      <c r="H226" s="14"/>
      <c r="I226" s="14"/>
      <c r="J226" s="14"/>
      <c r="K226" s="12"/>
    </row>
    <row r="227" ht="19.5" customHeight="1">
      <c r="A227" s="12"/>
      <c r="C227" s="12"/>
      <c r="D227" s="87"/>
      <c r="F227" s="14"/>
      <c r="G227" s="14"/>
      <c r="H227" s="14"/>
      <c r="I227" s="14"/>
      <c r="J227" s="14"/>
      <c r="K227" s="12"/>
    </row>
    <row r="228" ht="19.5" customHeight="1">
      <c r="A228" s="12"/>
      <c r="C228" s="12"/>
      <c r="D228" s="87"/>
      <c r="F228" s="14"/>
      <c r="G228" s="14"/>
      <c r="H228" s="14"/>
      <c r="I228" s="14"/>
      <c r="J228" s="14"/>
      <c r="K228" s="12"/>
    </row>
    <row r="229" ht="19.5" customHeight="1">
      <c r="A229" s="12"/>
      <c r="C229" s="12"/>
      <c r="D229" s="87"/>
      <c r="F229" s="14"/>
      <c r="G229" s="14"/>
      <c r="H229" s="14"/>
      <c r="I229" s="14"/>
      <c r="J229" s="14"/>
      <c r="K229" s="12"/>
    </row>
    <row r="230" ht="19.5" customHeight="1">
      <c r="A230" s="12"/>
      <c r="C230" s="12"/>
      <c r="D230" s="87"/>
      <c r="F230" s="14"/>
      <c r="G230" s="14"/>
      <c r="H230" s="14"/>
      <c r="I230" s="14"/>
      <c r="J230" s="14"/>
      <c r="K230" s="12"/>
    </row>
    <row r="231" ht="19.5" customHeight="1">
      <c r="A231" s="12"/>
      <c r="C231" s="12"/>
      <c r="D231" s="87"/>
      <c r="F231" s="14"/>
      <c r="G231" s="14"/>
      <c r="H231" s="14"/>
      <c r="I231" s="14"/>
      <c r="J231" s="14"/>
      <c r="K231" s="12"/>
    </row>
    <row r="232" ht="19.5" customHeight="1">
      <c r="A232" s="12"/>
      <c r="C232" s="12"/>
      <c r="D232" s="87"/>
      <c r="F232" s="14"/>
      <c r="G232" s="14"/>
      <c r="H232" s="14"/>
      <c r="I232" s="14"/>
      <c r="J232" s="14"/>
      <c r="K232" s="12"/>
    </row>
    <row r="233" ht="19.5" customHeight="1">
      <c r="A233" s="12"/>
      <c r="C233" s="12"/>
      <c r="D233" s="87"/>
      <c r="F233" s="14"/>
      <c r="G233" s="14"/>
      <c r="H233" s="14"/>
      <c r="I233" s="14"/>
      <c r="J233" s="14"/>
      <c r="K233" s="12"/>
    </row>
    <row r="234" ht="19.5" customHeight="1">
      <c r="A234" s="12"/>
      <c r="C234" s="12"/>
      <c r="D234" s="87"/>
      <c r="F234" s="14"/>
      <c r="G234" s="14"/>
      <c r="H234" s="14"/>
      <c r="I234" s="14"/>
      <c r="J234" s="14"/>
      <c r="K234" s="12"/>
    </row>
    <row r="235" ht="19.5" customHeight="1">
      <c r="A235" s="12"/>
      <c r="C235" s="12"/>
      <c r="D235" s="87"/>
      <c r="F235" s="14"/>
      <c r="G235" s="14"/>
      <c r="H235" s="14"/>
      <c r="I235" s="14"/>
      <c r="J235" s="14"/>
      <c r="K235" s="12"/>
    </row>
    <row r="236" ht="19.5" customHeight="1">
      <c r="A236" s="12"/>
      <c r="C236" s="12"/>
      <c r="D236" s="87"/>
      <c r="F236" s="14"/>
      <c r="G236" s="14"/>
      <c r="H236" s="14"/>
      <c r="I236" s="14"/>
      <c r="J236" s="14"/>
      <c r="K236" s="12"/>
    </row>
    <row r="237" ht="19.5" customHeight="1">
      <c r="A237" s="12"/>
      <c r="C237" s="12"/>
      <c r="D237" s="87"/>
      <c r="F237" s="14"/>
      <c r="G237" s="14"/>
      <c r="H237" s="14"/>
      <c r="I237" s="14"/>
      <c r="J237" s="14"/>
      <c r="K237" s="12"/>
    </row>
    <row r="238" ht="19.5" customHeight="1">
      <c r="A238" s="12"/>
      <c r="C238" s="12"/>
      <c r="D238" s="87"/>
      <c r="F238" s="14"/>
      <c r="G238" s="14"/>
      <c r="H238" s="14"/>
      <c r="I238" s="14"/>
      <c r="J238" s="14"/>
      <c r="K238" s="12"/>
    </row>
    <row r="239" ht="19.5" customHeight="1">
      <c r="A239" s="12"/>
      <c r="C239" s="12"/>
      <c r="D239" s="87"/>
      <c r="F239" s="14"/>
      <c r="G239" s="14"/>
      <c r="H239" s="14"/>
      <c r="I239" s="14"/>
      <c r="J239" s="14"/>
      <c r="K239" s="12"/>
    </row>
    <row r="240" ht="19.5" customHeight="1">
      <c r="A240" s="12"/>
      <c r="C240" s="12"/>
      <c r="D240" s="87"/>
      <c r="F240" s="14"/>
      <c r="G240" s="14"/>
      <c r="H240" s="14"/>
      <c r="I240" s="14"/>
      <c r="J240" s="14"/>
      <c r="K240" s="12"/>
    </row>
    <row r="241" ht="19.5" customHeight="1">
      <c r="A241" s="12"/>
      <c r="C241" s="12"/>
      <c r="D241" s="87"/>
      <c r="F241" s="14"/>
      <c r="G241" s="14"/>
      <c r="H241" s="14"/>
      <c r="I241" s="14"/>
      <c r="J241" s="14"/>
      <c r="K241" s="12"/>
    </row>
    <row r="242" ht="19.5" customHeight="1">
      <c r="A242" s="12"/>
      <c r="C242" s="12"/>
      <c r="D242" s="87"/>
      <c r="F242" s="14"/>
      <c r="G242" s="14"/>
      <c r="H242" s="14"/>
      <c r="I242" s="14"/>
      <c r="J242" s="14"/>
      <c r="K242" s="12"/>
    </row>
    <row r="243" ht="19.5" customHeight="1">
      <c r="A243" s="12"/>
      <c r="C243" s="12"/>
      <c r="D243" s="87"/>
      <c r="F243" s="14"/>
      <c r="G243" s="14"/>
      <c r="H243" s="14"/>
      <c r="I243" s="14"/>
      <c r="J243" s="14"/>
      <c r="K243" s="12"/>
    </row>
    <row r="244" ht="19.5" customHeight="1">
      <c r="A244" s="12"/>
      <c r="C244" s="12"/>
      <c r="D244" s="87"/>
      <c r="F244" s="14"/>
      <c r="G244" s="14"/>
      <c r="H244" s="14"/>
      <c r="I244" s="14"/>
      <c r="J244" s="14"/>
      <c r="K244" s="12"/>
    </row>
    <row r="245" ht="19.5" customHeight="1">
      <c r="A245" s="12"/>
      <c r="C245" s="12"/>
      <c r="D245" s="87"/>
      <c r="F245" s="14"/>
      <c r="G245" s="14"/>
      <c r="H245" s="14"/>
      <c r="I245" s="14"/>
      <c r="J245" s="14"/>
      <c r="K245" s="12"/>
    </row>
    <row r="246" ht="19.5" customHeight="1">
      <c r="A246" s="12"/>
      <c r="C246" s="12"/>
      <c r="D246" s="87"/>
      <c r="F246" s="14"/>
      <c r="G246" s="14"/>
      <c r="H246" s="14"/>
      <c r="I246" s="14"/>
      <c r="J246" s="14"/>
      <c r="K246" s="12"/>
    </row>
    <row r="247" ht="19.5" customHeight="1">
      <c r="A247" s="12"/>
      <c r="C247" s="12"/>
      <c r="D247" s="87"/>
      <c r="F247" s="14"/>
      <c r="G247" s="14"/>
      <c r="H247" s="14"/>
      <c r="I247" s="14"/>
      <c r="J247" s="14"/>
      <c r="K247" s="12"/>
    </row>
    <row r="248" ht="19.5" customHeight="1">
      <c r="A248" s="12"/>
      <c r="C248" s="12"/>
      <c r="D248" s="87"/>
      <c r="F248" s="14"/>
      <c r="G248" s="14"/>
      <c r="H248" s="14"/>
      <c r="I248" s="14"/>
      <c r="J248" s="14"/>
      <c r="K248" s="12"/>
    </row>
    <row r="249" ht="19.5" customHeight="1">
      <c r="A249" s="12"/>
      <c r="C249" s="12"/>
      <c r="D249" s="87"/>
      <c r="F249" s="14"/>
      <c r="G249" s="14"/>
      <c r="H249" s="14"/>
      <c r="I249" s="14"/>
      <c r="J249" s="14"/>
      <c r="K249" s="12"/>
    </row>
    <row r="250" ht="19.5" customHeight="1">
      <c r="A250" s="12"/>
      <c r="C250" s="12"/>
      <c r="D250" s="87"/>
      <c r="F250" s="14"/>
      <c r="G250" s="14"/>
      <c r="H250" s="14"/>
      <c r="I250" s="14"/>
      <c r="J250" s="14"/>
      <c r="K250" s="12"/>
    </row>
    <row r="251" ht="19.5" customHeight="1">
      <c r="A251" s="12"/>
      <c r="C251" s="12"/>
      <c r="D251" s="87"/>
      <c r="F251" s="14"/>
      <c r="G251" s="14"/>
      <c r="H251" s="14"/>
      <c r="I251" s="14"/>
      <c r="J251" s="14"/>
      <c r="K251" s="12"/>
    </row>
    <row r="252" ht="19.5" customHeight="1">
      <c r="A252" s="12"/>
      <c r="C252" s="12"/>
      <c r="D252" s="87"/>
      <c r="F252" s="14"/>
      <c r="G252" s="14"/>
      <c r="H252" s="14"/>
      <c r="I252" s="14"/>
      <c r="J252" s="14"/>
      <c r="K252" s="12"/>
    </row>
    <row r="253" ht="19.5" customHeight="1">
      <c r="A253" s="12"/>
      <c r="C253" s="12"/>
      <c r="D253" s="87"/>
      <c r="F253" s="14"/>
      <c r="G253" s="14"/>
      <c r="H253" s="14"/>
      <c r="I253" s="14"/>
      <c r="J253" s="14"/>
      <c r="K253" s="12"/>
    </row>
    <row r="254" ht="19.5" customHeight="1">
      <c r="A254" s="12"/>
      <c r="C254" s="12"/>
      <c r="D254" s="87"/>
      <c r="F254" s="14"/>
      <c r="G254" s="14"/>
      <c r="H254" s="14"/>
      <c r="I254" s="14"/>
      <c r="J254" s="14"/>
      <c r="K254" s="12"/>
    </row>
    <row r="255" ht="19.5" customHeight="1">
      <c r="A255" s="12"/>
      <c r="C255" s="12"/>
      <c r="D255" s="87"/>
      <c r="F255" s="14"/>
      <c r="G255" s="14"/>
      <c r="H255" s="14"/>
      <c r="I255" s="14"/>
      <c r="J255" s="14"/>
      <c r="K255" s="12"/>
    </row>
    <row r="256" ht="19.5" customHeight="1">
      <c r="A256" s="12"/>
      <c r="C256" s="12"/>
      <c r="D256" s="87"/>
      <c r="F256" s="14"/>
      <c r="G256" s="14"/>
      <c r="H256" s="14"/>
      <c r="I256" s="14"/>
      <c r="J256" s="14"/>
      <c r="K256" s="12"/>
    </row>
    <row r="257" ht="19.5" customHeight="1">
      <c r="A257" s="12"/>
      <c r="C257" s="12"/>
      <c r="D257" s="87"/>
      <c r="F257" s="14"/>
      <c r="G257" s="14"/>
      <c r="H257" s="14"/>
      <c r="I257" s="14"/>
      <c r="J257" s="14"/>
      <c r="K257" s="12"/>
    </row>
    <row r="258" ht="19.5" customHeight="1">
      <c r="A258" s="12"/>
      <c r="C258" s="12"/>
      <c r="D258" s="87"/>
      <c r="F258" s="14"/>
      <c r="G258" s="14"/>
      <c r="H258" s="14"/>
      <c r="I258" s="14"/>
      <c r="J258" s="14"/>
      <c r="K258" s="12"/>
    </row>
    <row r="259" ht="19.5" customHeight="1">
      <c r="A259" s="12"/>
      <c r="C259" s="12"/>
      <c r="D259" s="87"/>
      <c r="F259" s="14"/>
      <c r="G259" s="14"/>
      <c r="H259" s="14"/>
      <c r="I259" s="14"/>
      <c r="J259" s="14"/>
      <c r="K259" s="12"/>
    </row>
    <row r="260" ht="19.5" customHeight="1">
      <c r="A260" s="12"/>
      <c r="C260" s="12"/>
      <c r="D260" s="87"/>
      <c r="F260" s="14"/>
      <c r="G260" s="14"/>
      <c r="H260" s="14"/>
      <c r="I260" s="14"/>
      <c r="J260" s="14"/>
      <c r="K260" s="12"/>
    </row>
    <row r="261" ht="19.5" customHeight="1">
      <c r="A261" s="12"/>
      <c r="C261" s="12"/>
      <c r="D261" s="87"/>
      <c r="F261" s="14"/>
      <c r="G261" s="14"/>
      <c r="H261" s="14"/>
      <c r="I261" s="14"/>
      <c r="J261" s="14"/>
      <c r="K261" s="12"/>
    </row>
    <row r="262" ht="19.5" customHeight="1">
      <c r="A262" s="12"/>
      <c r="C262" s="12"/>
      <c r="D262" s="87"/>
      <c r="F262" s="14"/>
      <c r="G262" s="14"/>
      <c r="H262" s="14"/>
      <c r="I262" s="14"/>
      <c r="J262" s="14"/>
      <c r="K262" s="12"/>
    </row>
    <row r="263" ht="19.5" customHeight="1">
      <c r="A263" s="12"/>
      <c r="C263" s="12"/>
      <c r="D263" s="87"/>
      <c r="F263" s="14"/>
      <c r="G263" s="14"/>
      <c r="H263" s="14"/>
      <c r="I263" s="14"/>
      <c r="J263" s="14"/>
      <c r="K263" s="12"/>
    </row>
    <row r="264" ht="19.5" customHeight="1">
      <c r="A264" s="12"/>
      <c r="C264" s="12"/>
      <c r="D264" s="87"/>
      <c r="F264" s="14"/>
      <c r="G264" s="14"/>
      <c r="H264" s="14"/>
      <c r="I264" s="14"/>
      <c r="J264" s="14"/>
      <c r="K264" s="12"/>
    </row>
    <row r="265" ht="19.5" customHeight="1">
      <c r="A265" s="12"/>
      <c r="C265" s="12"/>
      <c r="D265" s="87"/>
      <c r="F265" s="14"/>
      <c r="G265" s="14"/>
      <c r="H265" s="14"/>
      <c r="I265" s="14"/>
      <c r="J265" s="14"/>
      <c r="K265" s="12"/>
    </row>
    <row r="266" ht="19.5" customHeight="1">
      <c r="A266" s="12"/>
      <c r="C266" s="12"/>
      <c r="D266" s="87"/>
      <c r="F266" s="14"/>
      <c r="G266" s="14"/>
      <c r="H266" s="14"/>
      <c r="I266" s="14"/>
      <c r="J266" s="14"/>
      <c r="K266" s="12"/>
    </row>
    <row r="267" ht="19.5" customHeight="1">
      <c r="A267" s="12"/>
      <c r="C267" s="12"/>
      <c r="D267" s="87"/>
      <c r="F267" s="14"/>
      <c r="G267" s="14"/>
      <c r="H267" s="14"/>
      <c r="I267" s="14"/>
      <c r="J267" s="14"/>
      <c r="K267" s="12"/>
    </row>
    <row r="268" ht="19.5" customHeight="1">
      <c r="A268" s="12"/>
      <c r="C268" s="12"/>
      <c r="D268" s="87"/>
      <c r="F268" s="14"/>
      <c r="G268" s="14"/>
      <c r="H268" s="14"/>
      <c r="I268" s="14"/>
      <c r="J268" s="14"/>
      <c r="K268" s="12"/>
    </row>
    <row r="269" ht="19.5" customHeight="1">
      <c r="A269" s="12"/>
      <c r="C269" s="12"/>
      <c r="D269" s="87"/>
      <c r="F269" s="14"/>
      <c r="G269" s="14"/>
      <c r="H269" s="14"/>
      <c r="I269" s="14"/>
      <c r="J269" s="14"/>
      <c r="K269" s="12"/>
    </row>
    <row r="270" ht="19.5" customHeight="1">
      <c r="A270" s="12"/>
      <c r="C270" s="12"/>
      <c r="D270" s="87"/>
      <c r="F270" s="14"/>
      <c r="G270" s="14"/>
      <c r="H270" s="14"/>
      <c r="I270" s="14"/>
      <c r="J270" s="14"/>
      <c r="K270" s="12"/>
    </row>
    <row r="271" ht="19.5" customHeight="1">
      <c r="A271" s="12"/>
      <c r="C271" s="12"/>
      <c r="D271" s="87"/>
      <c r="F271" s="14"/>
      <c r="G271" s="14"/>
      <c r="H271" s="14"/>
      <c r="I271" s="14"/>
      <c r="J271" s="14"/>
      <c r="K271" s="12"/>
    </row>
    <row r="272" ht="19.5" customHeight="1">
      <c r="A272" s="12"/>
      <c r="C272" s="12"/>
      <c r="D272" s="87"/>
      <c r="F272" s="14"/>
      <c r="G272" s="14"/>
      <c r="H272" s="14"/>
      <c r="I272" s="14"/>
      <c r="J272" s="14"/>
      <c r="K272" s="12"/>
    </row>
    <row r="273" ht="19.5" customHeight="1">
      <c r="A273" s="12"/>
      <c r="C273" s="12"/>
      <c r="D273" s="87"/>
      <c r="F273" s="14"/>
      <c r="G273" s="14"/>
      <c r="H273" s="14"/>
      <c r="I273" s="14"/>
      <c r="J273" s="14"/>
      <c r="K273" s="12"/>
    </row>
    <row r="274" ht="19.5" customHeight="1">
      <c r="A274" s="12"/>
      <c r="C274" s="12"/>
      <c r="D274" s="87"/>
      <c r="F274" s="14"/>
      <c r="G274" s="14"/>
      <c r="H274" s="14"/>
      <c r="I274" s="14"/>
      <c r="J274" s="14"/>
      <c r="K274" s="12"/>
    </row>
    <row r="275" ht="19.5" customHeight="1">
      <c r="A275" s="12"/>
      <c r="C275" s="12"/>
      <c r="D275" s="87"/>
      <c r="F275" s="14"/>
      <c r="G275" s="14"/>
      <c r="H275" s="14"/>
      <c r="I275" s="14"/>
      <c r="J275" s="14"/>
      <c r="K275" s="12"/>
    </row>
    <row r="276" ht="19.5" customHeight="1">
      <c r="A276" s="12"/>
      <c r="C276" s="12"/>
      <c r="D276" s="87"/>
      <c r="F276" s="14"/>
      <c r="G276" s="14"/>
      <c r="H276" s="14"/>
      <c r="I276" s="14"/>
      <c r="J276" s="14"/>
      <c r="K276" s="12"/>
    </row>
    <row r="277" ht="19.5" customHeight="1">
      <c r="A277" s="12"/>
      <c r="C277" s="12"/>
      <c r="D277" s="87"/>
      <c r="F277" s="14"/>
      <c r="G277" s="14"/>
      <c r="H277" s="14"/>
      <c r="I277" s="14"/>
      <c r="J277" s="14"/>
      <c r="K277" s="12"/>
    </row>
    <row r="278" ht="19.5" customHeight="1">
      <c r="A278" s="12"/>
      <c r="C278" s="12"/>
      <c r="D278" s="87"/>
      <c r="F278" s="14"/>
      <c r="G278" s="14"/>
      <c r="H278" s="14"/>
      <c r="I278" s="14"/>
      <c r="J278" s="14"/>
      <c r="K278" s="12"/>
    </row>
    <row r="279" ht="19.5" customHeight="1">
      <c r="A279" s="12"/>
      <c r="C279" s="12"/>
      <c r="D279" s="87"/>
      <c r="F279" s="14"/>
      <c r="G279" s="14"/>
      <c r="H279" s="14"/>
      <c r="I279" s="14"/>
      <c r="J279" s="14"/>
      <c r="K279" s="12"/>
    </row>
    <row r="280" ht="19.5" customHeight="1">
      <c r="A280" s="12"/>
      <c r="C280" s="12"/>
      <c r="D280" s="87"/>
      <c r="F280" s="14"/>
      <c r="G280" s="14"/>
      <c r="H280" s="14"/>
      <c r="I280" s="14"/>
      <c r="J280" s="14"/>
      <c r="K280" s="12"/>
    </row>
    <row r="281" ht="19.5" customHeight="1">
      <c r="A281" s="12"/>
      <c r="C281" s="12"/>
      <c r="D281" s="87"/>
      <c r="F281" s="14"/>
      <c r="G281" s="14"/>
      <c r="H281" s="14"/>
      <c r="I281" s="14"/>
      <c r="J281" s="14"/>
      <c r="K281" s="12"/>
    </row>
    <row r="282" ht="19.5" customHeight="1">
      <c r="A282" s="12"/>
      <c r="C282" s="12"/>
      <c r="D282" s="87"/>
      <c r="F282" s="14"/>
      <c r="G282" s="14"/>
      <c r="H282" s="14"/>
      <c r="I282" s="14"/>
      <c r="J282" s="14"/>
      <c r="K282" s="12"/>
    </row>
    <row r="283" ht="19.5" customHeight="1">
      <c r="A283" s="12"/>
      <c r="C283" s="12"/>
      <c r="D283" s="87"/>
      <c r="F283" s="14"/>
      <c r="G283" s="14"/>
      <c r="H283" s="14"/>
      <c r="I283" s="14"/>
      <c r="J283" s="14"/>
      <c r="K283" s="12"/>
    </row>
    <row r="284" ht="19.5" customHeight="1">
      <c r="A284" s="12"/>
      <c r="C284" s="12"/>
      <c r="D284" s="87"/>
      <c r="F284" s="14"/>
      <c r="G284" s="14"/>
      <c r="H284" s="14"/>
      <c r="I284" s="14"/>
      <c r="J284" s="14"/>
      <c r="K284" s="12"/>
    </row>
    <row r="285" ht="19.5" customHeight="1">
      <c r="A285" s="12"/>
      <c r="C285" s="12"/>
      <c r="D285" s="87"/>
      <c r="F285" s="14"/>
      <c r="G285" s="14"/>
      <c r="H285" s="14"/>
      <c r="I285" s="14"/>
      <c r="J285" s="14"/>
      <c r="K285" s="12"/>
    </row>
    <row r="286" ht="19.5" customHeight="1">
      <c r="A286" s="12"/>
      <c r="C286" s="12"/>
      <c r="D286" s="87"/>
      <c r="F286" s="14"/>
      <c r="G286" s="14"/>
      <c r="H286" s="14"/>
      <c r="I286" s="14"/>
      <c r="J286" s="14"/>
      <c r="K286" s="12"/>
    </row>
    <row r="287" ht="19.5" customHeight="1">
      <c r="A287" s="12"/>
      <c r="C287" s="12"/>
      <c r="D287" s="87"/>
      <c r="F287" s="14"/>
      <c r="G287" s="14"/>
      <c r="H287" s="14"/>
      <c r="I287" s="14"/>
      <c r="J287" s="14"/>
      <c r="K287" s="12"/>
    </row>
    <row r="288" ht="19.5" customHeight="1">
      <c r="A288" s="12"/>
      <c r="C288" s="12"/>
      <c r="D288" s="87"/>
      <c r="F288" s="14"/>
      <c r="G288" s="14"/>
      <c r="H288" s="14"/>
      <c r="I288" s="14"/>
      <c r="J288" s="14"/>
      <c r="K288" s="12"/>
    </row>
    <row r="289" ht="19.5" customHeight="1">
      <c r="A289" s="12"/>
      <c r="C289" s="12"/>
      <c r="D289" s="87"/>
      <c r="F289" s="14"/>
      <c r="G289" s="14"/>
      <c r="H289" s="14"/>
      <c r="I289" s="14"/>
      <c r="J289" s="14"/>
      <c r="K289" s="12"/>
    </row>
    <row r="290" ht="19.5" customHeight="1">
      <c r="A290" s="12"/>
      <c r="C290" s="12"/>
      <c r="D290" s="87"/>
      <c r="F290" s="14"/>
      <c r="G290" s="14"/>
      <c r="H290" s="14"/>
      <c r="I290" s="14"/>
      <c r="J290" s="14"/>
      <c r="K290" s="12"/>
    </row>
    <row r="291" ht="19.5" customHeight="1">
      <c r="A291" s="12"/>
      <c r="C291" s="12"/>
      <c r="D291" s="87"/>
      <c r="F291" s="14"/>
      <c r="G291" s="14"/>
      <c r="H291" s="14"/>
      <c r="I291" s="14"/>
      <c r="J291" s="14"/>
      <c r="K291" s="12"/>
    </row>
    <row r="292" ht="19.5" customHeight="1">
      <c r="A292" s="12"/>
      <c r="C292" s="12"/>
      <c r="D292" s="87"/>
      <c r="F292" s="14"/>
      <c r="G292" s="14"/>
      <c r="H292" s="14"/>
      <c r="I292" s="14"/>
      <c r="J292" s="14"/>
      <c r="K292" s="12"/>
    </row>
    <row r="293" ht="19.5" customHeight="1">
      <c r="A293" s="12"/>
      <c r="C293" s="12"/>
      <c r="D293" s="87"/>
      <c r="F293" s="14"/>
      <c r="G293" s="14"/>
      <c r="H293" s="14"/>
      <c r="I293" s="14"/>
      <c r="J293" s="14"/>
      <c r="K293" s="12"/>
    </row>
    <row r="294" ht="19.5" customHeight="1">
      <c r="A294" s="12"/>
      <c r="C294" s="12"/>
      <c r="D294" s="87"/>
      <c r="F294" s="14"/>
      <c r="G294" s="14"/>
      <c r="H294" s="14"/>
      <c r="I294" s="14"/>
      <c r="J294" s="14"/>
      <c r="K294" s="12"/>
    </row>
    <row r="295" ht="19.5" customHeight="1">
      <c r="A295" s="12"/>
      <c r="C295" s="12"/>
      <c r="D295" s="87"/>
      <c r="F295" s="14"/>
      <c r="G295" s="14"/>
      <c r="H295" s="14"/>
      <c r="I295" s="14"/>
      <c r="J295" s="14"/>
      <c r="K295" s="12"/>
    </row>
    <row r="296" ht="19.5" customHeight="1">
      <c r="A296" s="12"/>
      <c r="C296" s="12"/>
      <c r="D296" s="87"/>
      <c r="F296" s="14"/>
      <c r="G296" s="14"/>
      <c r="H296" s="14"/>
      <c r="I296" s="14"/>
      <c r="J296" s="14"/>
      <c r="K296" s="12"/>
    </row>
    <row r="297" ht="19.5" customHeight="1">
      <c r="A297" s="12"/>
      <c r="C297" s="12"/>
      <c r="D297" s="87"/>
      <c r="F297" s="14"/>
      <c r="G297" s="14"/>
      <c r="H297" s="14"/>
      <c r="I297" s="14"/>
      <c r="J297" s="14"/>
      <c r="K297" s="12"/>
    </row>
    <row r="298" ht="19.5" customHeight="1">
      <c r="A298" s="12"/>
      <c r="C298" s="12"/>
      <c r="D298" s="87"/>
      <c r="F298" s="14"/>
      <c r="G298" s="14"/>
      <c r="H298" s="14"/>
      <c r="I298" s="14"/>
      <c r="J298" s="14"/>
      <c r="K298" s="12"/>
    </row>
    <row r="299" ht="19.5" customHeight="1">
      <c r="A299" s="12"/>
      <c r="C299" s="12"/>
      <c r="D299" s="87"/>
      <c r="F299" s="14"/>
      <c r="G299" s="14"/>
      <c r="H299" s="14"/>
      <c r="I299" s="14"/>
      <c r="J299" s="14"/>
      <c r="K299" s="12"/>
    </row>
    <row r="300" ht="19.5" customHeight="1">
      <c r="A300" s="12"/>
      <c r="C300" s="12"/>
      <c r="D300" s="87"/>
      <c r="F300" s="14"/>
      <c r="G300" s="14"/>
      <c r="H300" s="14"/>
      <c r="I300" s="14"/>
      <c r="J300" s="14"/>
      <c r="K300" s="12"/>
    </row>
    <row r="301" ht="19.5" customHeight="1">
      <c r="A301" s="12"/>
      <c r="C301" s="12"/>
      <c r="D301" s="87"/>
      <c r="F301" s="14"/>
      <c r="G301" s="14"/>
      <c r="H301" s="14"/>
      <c r="I301" s="14"/>
      <c r="J301" s="14"/>
      <c r="K301" s="12"/>
    </row>
    <row r="302" ht="19.5" customHeight="1">
      <c r="A302" s="12"/>
      <c r="C302" s="12"/>
      <c r="D302" s="87"/>
      <c r="F302" s="14"/>
      <c r="G302" s="14"/>
      <c r="H302" s="14"/>
      <c r="I302" s="14"/>
      <c r="J302" s="14"/>
      <c r="K302" s="12"/>
    </row>
    <row r="303" ht="19.5" customHeight="1">
      <c r="A303" s="12"/>
      <c r="C303" s="12"/>
      <c r="D303" s="87"/>
      <c r="F303" s="14"/>
      <c r="G303" s="14"/>
      <c r="H303" s="14"/>
      <c r="I303" s="14"/>
      <c r="J303" s="14"/>
      <c r="K303" s="12"/>
    </row>
    <row r="304" ht="19.5" customHeight="1">
      <c r="A304" s="12"/>
      <c r="C304" s="12"/>
      <c r="D304" s="87"/>
      <c r="F304" s="14"/>
      <c r="G304" s="14"/>
      <c r="H304" s="14"/>
      <c r="I304" s="14"/>
      <c r="J304" s="14"/>
      <c r="K304" s="12"/>
    </row>
    <row r="305" ht="19.5" customHeight="1">
      <c r="A305" s="12"/>
      <c r="C305" s="12"/>
      <c r="D305" s="87"/>
      <c r="F305" s="14"/>
      <c r="G305" s="14"/>
      <c r="H305" s="14"/>
      <c r="I305" s="14"/>
      <c r="J305" s="14"/>
      <c r="K305" s="12"/>
    </row>
    <row r="306" ht="19.5" customHeight="1">
      <c r="A306" s="12"/>
      <c r="C306" s="12"/>
      <c r="D306" s="87"/>
      <c r="F306" s="14"/>
      <c r="G306" s="14"/>
      <c r="H306" s="14"/>
      <c r="I306" s="14"/>
      <c r="J306" s="14"/>
      <c r="K306" s="12"/>
    </row>
    <row r="307" ht="19.5" customHeight="1">
      <c r="A307" s="12"/>
      <c r="C307" s="12"/>
      <c r="D307" s="87"/>
      <c r="F307" s="14"/>
      <c r="G307" s="14"/>
      <c r="H307" s="14"/>
      <c r="I307" s="14"/>
      <c r="J307" s="14"/>
      <c r="K307" s="12"/>
    </row>
    <row r="308" ht="19.5" customHeight="1">
      <c r="A308" s="12"/>
      <c r="C308" s="12"/>
      <c r="D308" s="87"/>
      <c r="F308" s="14"/>
      <c r="G308" s="14"/>
      <c r="H308" s="14"/>
      <c r="I308" s="14"/>
      <c r="J308" s="14"/>
      <c r="K308" s="12"/>
    </row>
    <row r="309" ht="19.5" customHeight="1">
      <c r="A309" s="12"/>
      <c r="C309" s="12"/>
      <c r="D309" s="87"/>
      <c r="F309" s="14"/>
      <c r="G309" s="14"/>
      <c r="H309" s="14"/>
      <c r="I309" s="14"/>
      <c r="J309" s="14"/>
      <c r="K309" s="12"/>
    </row>
    <row r="310" ht="19.5" customHeight="1">
      <c r="A310" s="12"/>
      <c r="C310" s="12"/>
      <c r="D310" s="87"/>
      <c r="F310" s="14"/>
      <c r="G310" s="14"/>
      <c r="H310" s="14"/>
      <c r="I310" s="14"/>
      <c r="J310" s="14"/>
      <c r="K310" s="12"/>
    </row>
    <row r="311" ht="19.5" customHeight="1">
      <c r="A311" s="12"/>
      <c r="C311" s="12"/>
      <c r="D311" s="87"/>
      <c r="F311" s="14"/>
      <c r="G311" s="14"/>
      <c r="H311" s="14"/>
      <c r="I311" s="14"/>
      <c r="J311" s="14"/>
      <c r="K311" s="12"/>
    </row>
    <row r="312" ht="19.5" customHeight="1">
      <c r="A312" s="12"/>
      <c r="C312" s="12"/>
      <c r="D312" s="87"/>
      <c r="F312" s="14"/>
      <c r="G312" s="14"/>
      <c r="H312" s="14"/>
      <c r="I312" s="14"/>
      <c r="J312" s="14"/>
      <c r="K312" s="12"/>
    </row>
    <row r="313" ht="19.5" customHeight="1">
      <c r="A313" s="12"/>
      <c r="C313" s="12"/>
      <c r="D313" s="87"/>
      <c r="F313" s="14"/>
      <c r="G313" s="14"/>
      <c r="H313" s="14"/>
      <c r="I313" s="14"/>
      <c r="J313" s="14"/>
      <c r="K313" s="12"/>
    </row>
    <row r="314" ht="19.5" customHeight="1">
      <c r="A314" s="12"/>
      <c r="C314" s="12"/>
      <c r="D314" s="87"/>
      <c r="F314" s="14"/>
      <c r="G314" s="14"/>
      <c r="H314" s="14"/>
      <c r="I314" s="14"/>
      <c r="J314" s="14"/>
      <c r="K314" s="12"/>
    </row>
    <row r="315" ht="19.5" customHeight="1">
      <c r="A315" s="12"/>
      <c r="C315" s="12"/>
      <c r="D315" s="87"/>
      <c r="F315" s="14"/>
      <c r="G315" s="14"/>
      <c r="H315" s="14"/>
      <c r="I315" s="14"/>
      <c r="J315" s="14"/>
      <c r="K315" s="12"/>
    </row>
    <row r="316" ht="19.5" customHeight="1">
      <c r="A316" s="12"/>
      <c r="C316" s="12"/>
      <c r="D316" s="87"/>
      <c r="F316" s="14"/>
      <c r="G316" s="14"/>
      <c r="H316" s="14"/>
      <c r="I316" s="14"/>
      <c r="J316" s="14"/>
      <c r="K316" s="12"/>
    </row>
    <row r="317" ht="19.5" customHeight="1">
      <c r="A317" s="12"/>
      <c r="C317" s="12"/>
      <c r="D317" s="87"/>
      <c r="F317" s="14"/>
      <c r="G317" s="14"/>
      <c r="H317" s="14"/>
      <c r="I317" s="14"/>
      <c r="J317" s="14"/>
      <c r="K317" s="12"/>
    </row>
    <row r="318" ht="19.5" customHeight="1">
      <c r="A318" s="12"/>
      <c r="C318" s="12"/>
      <c r="D318" s="87"/>
      <c r="F318" s="14"/>
      <c r="G318" s="14"/>
      <c r="H318" s="14"/>
      <c r="I318" s="14"/>
      <c r="J318" s="14"/>
      <c r="K318" s="12"/>
    </row>
    <row r="319" ht="19.5" customHeight="1">
      <c r="A319" s="12"/>
      <c r="C319" s="12"/>
      <c r="D319" s="87"/>
      <c r="F319" s="14"/>
      <c r="G319" s="14"/>
      <c r="H319" s="14"/>
      <c r="I319" s="14"/>
      <c r="J319" s="14"/>
      <c r="K319" s="12"/>
    </row>
    <row r="320" ht="19.5" customHeight="1">
      <c r="A320" s="12"/>
      <c r="C320" s="12"/>
      <c r="D320" s="87"/>
      <c r="F320" s="14"/>
      <c r="G320" s="14"/>
      <c r="H320" s="14"/>
      <c r="I320" s="14"/>
      <c r="J320" s="14"/>
      <c r="K320" s="12"/>
    </row>
    <row r="321" ht="19.5" customHeight="1">
      <c r="A321" s="12"/>
      <c r="C321" s="12"/>
      <c r="D321" s="87"/>
      <c r="F321" s="14"/>
      <c r="G321" s="14"/>
      <c r="H321" s="14"/>
      <c r="I321" s="14"/>
      <c r="J321" s="14"/>
      <c r="K321" s="12"/>
    </row>
    <row r="322" ht="19.5" customHeight="1">
      <c r="A322" s="12"/>
      <c r="C322" s="12"/>
      <c r="D322" s="87"/>
      <c r="F322" s="14"/>
      <c r="G322" s="14"/>
      <c r="H322" s="14"/>
      <c r="I322" s="14"/>
      <c r="J322" s="14"/>
      <c r="K322" s="12"/>
    </row>
    <row r="323" ht="19.5" customHeight="1">
      <c r="A323" s="12"/>
      <c r="C323" s="12"/>
      <c r="D323" s="87"/>
      <c r="F323" s="14"/>
      <c r="G323" s="14"/>
      <c r="H323" s="14"/>
      <c r="I323" s="14"/>
      <c r="J323" s="14"/>
      <c r="K323" s="12"/>
    </row>
    <row r="324" ht="19.5" customHeight="1">
      <c r="A324" s="12"/>
      <c r="C324" s="12"/>
      <c r="D324" s="87"/>
      <c r="F324" s="14"/>
      <c r="G324" s="14"/>
      <c r="H324" s="14"/>
      <c r="I324" s="14"/>
      <c r="J324" s="14"/>
      <c r="K324" s="12"/>
    </row>
    <row r="325" ht="19.5" customHeight="1">
      <c r="A325" s="12"/>
      <c r="C325" s="12"/>
      <c r="D325" s="87"/>
      <c r="F325" s="14"/>
      <c r="G325" s="14"/>
      <c r="H325" s="14"/>
      <c r="I325" s="14"/>
      <c r="J325" s="14"/>
      <c r="K325" s="12"/>
    </row>
    <row r="326" ht="19.5" customHeight="1">
      <c r="A326" s="12"/>
      <c r="C326" s="12"/>
      <c r="D326" s="87"/>
      <c r="F326" s="14"/>
      <c r="G326" s="14"/>
      <c r="H326" s="14"/>
      <c r="I326" s="14"/>
      <c r="J326" s="14"/>
      <c r="K326" s="12"/>
    </row>
    <row r="327" ht="19.5" customHeight="1">
      <c r="A327" s="12"/>
      <c r="C327" s="12"/>
      <c r="D327" s="87"/>
      <c r="F327" s="14"/>
      <c r="G327" s="14"/>
      <c r="H327" s="14"/>
      <c r="I327" s="14"/>
      <c r="J327" s="14"/>
      <c r="K327" s="12"/>
    </row>
    <row r="328" ht="19.5" customHeight="1">
      <c r="A328" s="12"/>
      <c r="C328" s="12"/>
      <c r="D328" s="87"/>
      <c r="F328" s="14"/>
      <c r="G328" s="14"/>
      <c r="H328" s="14"/>
      <c r="I328" s="14"/>
      <c r="J328" s="14"/>
      <c r="K328" s="12"/>
    </row>
    <row r="329" ht="19.5" customHeight="1">
      <c r="A329" s="12"/>
      <c r="C329" s="12"/>
      <c r="D329" s="87"/>
      <c r="F329" s="14"/>
      <c r="G329" s="14"/>
      <c r="H329" s="14"/>
      <c r="I329" s="14"/>
      <c r="J329" s="14"/>
      <c r="K329" s="12"/>
    </row>
    <row r="330" ht="19.5" customHeight="1">
      <c r="A330" s="12"/>
      <c r="C330" s="12"/>
      <c r="D330" s="87"/>
      <c r="F330" s="14"/>
      <c r="G330" s="14"/>
      <c r="H330" s="14"/>
      <c r="I330" s="14"/>
      <c r="J330" s="14"/>
      <c r="K330" s="12"/>
    </row>
    <row r="331" ht="19.5" customHeight="1">
      <c r="A331" s="12"/>
      <c r="C331" s="12"/>
      <c r="D331" s="87"/>
      <c r="F331" s="14"/>
      <c r="G331" s="14"/>
      <c r="H331" s="14"/>
      <c r="I331" s="14"/>
      <c r="J331" s="14"/>
      <c r="K331" s="12"/>
    </row>
    <row r="332" ht="19.5" customHeight="1">
      <c r="A332" s="12"/>
      <c r="C332" s="12"/>
      <c r="D332" s="87"/>
      <c r="F332" s="14"/>
      <c r="G332" s="14"/>
      <c r="H332" s="14"/>
      <c r="I332" s="14"/>
      <c r="J332" s="14"/>
      <c r="K332" s="12"/>
    </row>
    <row r="333" ht="19.5" customHeight="1">
      <c r="A333" s="12"/>
      <c r="C333" s="12"/>
      <c r="D333" s="87"/>
      <c r="F333" s="14"/>
      <c r="G333" s="14"/>
      <c r="H333" s="14"/>
      <c r="I333" s="14"/>
      <c r="J333" s="14"/>
      <c r="K333" s="12"/>
    </row>
    <row r="334" ht="19.5" customHeight="1">
      <c r="A334" s="12"/>
      <c r="C334" s="12"/>
      <c r="D334" s="87"/>
      <c r="F334" s="14"/>
      <c r="G334" s="14"/>
      <c r="H334" s="14"/>
      <c r="I334" s="14"/>
      <c r="J334" s="14"/>
      <c r="K334" s="12"/>
    </row>
    <row r="335" ht="19.5" customHeight="1">
      <c r="A335" s="12"/>
      <c r="C335" s="12"/>
      <c r="D335" s="87"/>
      <c r="F335" s="14"/>
      <c r="G335" s="14"/>
      <c r="H335" s="14"/>
      <c r="I335" s="14"/>
      <c r="J335" s="14"/>
      <c r="K335" s="12"/>
    </row>
    <row r="336" ht="19.5" customHeight="1">
      <c r="A336" s="12"/>
      <c r="C336" s="12"/>
      <c r="D336" s="87"/>
      <c r="F336" s="14"/>
      <c r="G336" s="14"/>
      <c r="H336" s="14"/>
      <c r="I336" s="14"/>
      <c r="J336" s="14"/>
      <c r="K336" s="12"/>
    </row>
    <row r="337" ht="19.5" customHeight="1">
      <c r="A337" s="12"/>
      <c r="C337" s="12"/>
      <c r="D337" s="87"/>
      <c r="F337" s="14"/>
      <c r="G337" s="14"/>
      <c r="H337" s="14"/>
      <c r="I337" s="14"/>
      <c r="J337" s="14"/>
      <c r="K337" s="12"/>
    </row>
    <row r="338" ht="19.5" customHeight="1">
      <c r="A338" s="12"/>
      <c r="C338" s="12"/>
      <c r="D338" s="87"/>
      <c r="F338" s="14"/>
      <c r="G338" s="14"/>
      <c r="H338" s="14"/>
      <c r="I338" s="14"/>
      <c r="J338" s="14"/>
      <c r="K338" s="12"/>
    </row>
    <row r="339" ht="19.5" customHeight="1">
      <c r="A339" s="12"/>
      <c r="C339" s="12"/>
      <c r="D339" s="87"/>
      <c r="F339" s="14"/>
      <c r="G339" s="14"/>
      <c r="H339" s="14"/>
      <c r="I339" s="14"/>
      <c r="J339" s="14"/>
      <c r="K339" s="12"/>
    </row>
    <row r="340" ht="19.5" customHeight="1">
      <c r="A340" s="12"/>
      <c r="C340" s="12"/>
      <c r="D340" s="87"/>
      <c r="F340" s="14"/>
      <c r="G340" s="14"/>
      <c r="H340" s="14"/>
      <c r="I340" s="14"/>
      <c r="J340" s="14"/>
      <c r="K340" s="12"/>
    </row>
    <row r="341" ht="19.5" customHeight="1">
      <c r="A341" s="12"/>
      <c r="C341" s="12"/>
      <c r="D341" s="87"/>
      <c r="F341" s="14"/>
      <c r="G341" s="14"/>
      <c r="H341" s="14"/>
      <c r="I341" s="14"/>
      <c r="J341" s="14"/>
      <c r="K341" s="12"/>
    </row>
    <row r="342" ht="19.5" customHeight="1">
      <c r="A342" s="12"/>
      <c r="C342" s="12"/>
      <c r="D342" s="87"/>
      <c r="F342" s="14"/>
      <c r="G342" s="14"/>
      <c r="H342" s="14"/>
      <c r="I342" s="14"/>
      <c r="J342" s="14"/>
      <c r="K342" s="12"/>
    </row>
    <row r="343" ht="19.5" customHeight="1">
      <c r="A343" s="12"/>
      <c r="C343" s="12"/>
      <c r="D343" s="87"/>
      <c r="F343" s="14"/>
      <c r="G343" s="14"/>
      <c r="H343" s="14"/>
      <c r="I343" s="14"/>
      <c r="J343" s="14"/>
      <c r="K343" s="12"/>
    </row>
    <row r="344" ht="19.5" customHeight="1">
      <c r="A344" s="12"/>
      <c r="C344" s="12"/>
      <c r="D344" s="87"/>
      <c r="F344" s="14"/>
      <c r="G344" s="14"/>
      <c r="H344" s="14"/>
      <c r="I344" s="14"/>
      <c r="J344" s="14"/>
      <c r="K344" s="12"/>
    </row>
    <row r="345" ht="19.5" customHeight="1">
      <c r="A345" s="12"/>
      <c r="C345" s="12"/>
      <c r="D345" s="87"/>
      <c r="F345" s="14"/>
      <c r="G345" s="14"/>
      <c r="H345" s="14"/>
      <c r="I345" s="14"/>
      <c r="J345" s="14"/>
      <c r="K345" s="12"/>
    </row>
    <row r="346" ht="19.5" customHeight="1">
      <c r="A346" s="12"/>
      <c r="C346" s="12"/>
      <c r="D346" s="87"/>
      <c r="F346" s="14"/>
      <c r="G346" s="14"/>
      <c r="H346" s="14"/>
      <c r="I346" s="14"/>
      <c r="J346" s="14"/>
      <c r="K346" s="12"/>
    </row>
    <row r="347" ht="19.5" customHeight="1">
      <c r="A347" s="12"/>
      <c r="C347" s="12"/>
      <c r="D347" s="87"/>
      <c r="F347" s="14"/>
      <c r="G347" s="14"/>
      <c r="H347" s="14"/>
      <c r="I347" s="14"/>
      <c r="J347" s="14"/>
      <c r="K347" s="12"/>
    </row>
    <row r="348" ht="19.5" customHeight="1">
      <c r="A348" s="12"/>
      <c r="C348" s="12"/>
      <c r="D348" s="87"/>
      <c r="F348" s="14"/>
      <c r="G348" s="14"/>
      <c r="H348" s="14"/>
      <c r="I348" s="14"/>
      <c r="J348" s="14"/>
      <c r="K348" s="12"/>
    </row>
    <row r="349" ht="19.5" customHeight="1">
      <c r="A349" s="12"/>
      <c r="C349" s="12"/>
      <c r="D349" s="87"/>
      <c r="F349" s="14"/>
      <c r="G349" s="14"/>
      <c r="H349" s="14"/>
      <c r="I349" s="14"/>
      <c r="J349" s="14"/>
      <c r="K349" s="12"/>
    </row>
    <row r="350" ht="19.5" customHeight="1">
      <c r="A350" s="12"/>
      <c r="C350" s="12"/>
      <c r="D350" s="87"/>
      <c r="F350" s="14"/>
      <c r="G350" s="14"/>
      <c r="H350" s="14"/>
      <c r="I350" s="14"/>
      <c r="J350" s="14"/>
      <c r="K350" s="12"/>
    </row>
    <row r="351" ht="19.5" customHeight="1">
      <c r="A351" s="12"/>
      <c r="C351" s="12"/>
      <c r="D351" s="87"/>
      <c r="F351" s="14"/>
      <c r="G351" s="14"/>
      <c r="H351" s="14"/>
      <c r="I351" s="14"/>
      <c r="J351" s="14"/>
      <c r="K351" s="12"/>
    </row>
    <row r="352" ht="19.5" customHeight="1">
      <c r="A352" s="12"/>
      <c r="C352" s="12"/>
      <c r="D352" s="87"/>
      <c r="F352" s="14"/>
      <c r="G352" s="14"/>
      <c r="H352" s="14"/>
      <c r="I352" s="14"/>
      <c r="J352" s="14"/>
      <c r="K352" s="12"/>
    </row>
    <row r="353" ht="19.5" customHeight="1">
      <c r="A353" s="12"/>
      <c r="C353" s="12"/>
      <c r="D353" s="87"/>
      <c r="F353" s="14"/>
      <c r="G353" s="14"/>
      <c r="H353" s="14"/>
      <c r="I353" s="14"/>
      <c r="J353" s="14"/>
      <c r="K353" s="12"/>
    </row>
    <row r="354" ht="19.5" customHeight="1">
      <c r="A354" s="12"/>
      <c r="C354" s="12"/>
      <c r="D354" s="87"/>
      <c r="F354" s="14"/>
      <c r="G354" s="14"/>
      <c r="H354" s="14"/>
      <c r="I354" s="14"/>
      <c r="J354" s="14"/>
      <c r="K354" s="12"/>
    </row>
    <row r="355" ht="19.5" customHeight="1">
      <c r="A355" s="12"/>
      <c r="C355" s="12"/>
      <c r="D355" s="87"/>
      <c r="F355" s="14"/>
      <c r="G355" s="14"/>
      <c r="H355" s="14"/>
      <c r="I355" s="14"/>
      <c r="J355" s="14"/>
      <c r="K355" s="12"/>
    </row>
    <row r="356" ht="19.5" customHeight="1">
      <c r="A356" s="12"/>
      <c r="C356" s="12"/>
      <c r="D356" s="87"/>
      <c r="F356" s="14"/>
      <c r="G356" s="14"/>
      <c r="H356" s="14"/>
      <c r="I356" s="14"/>
      <c r="J356" s="14"/>
      <c r="K356" s="12"/>
    </row>
    <row r="357" ht="19.5" customHeight="1">
      <c r="A357" s="12"/>
      <c r="C357" s="12"/>
      <c r="D357" s="87"/>
      <c r="F357" s="14"/>
      <c r="G357" s="14"/>
      <c r="H357" s="14"/>
      <c r="I357" s="14"/>
      <c r="J357" s="14"/>
      <c r="K357" s="12"/>
    </row>
    <row r="358" ht="19.5" customHeight="1">
      <c r="A358" s="12"/>
      <c r="C358" s="12"/>
      <c r="D358" s="87"/>
      <c r="F358" s="14"/>
      <c r="G358" s="14"/>
      <c r="H358" s="14"/>
      <c r="I358" s="14"/>
      <c r="J358" s="14"/>
      <c r="K358" s="12"/>
    </row>
    <row r="359" ht="19.5" customHeight="1">
      <c r="A359" s="12"/>
      <c r="C359" s="12"/>
      <c r="D359" s="87"/>
      <c r="F359" s="14"/>
      <c r="G359" s="14"/>
      <c r="H359" s="14"/>
      <c r="I359" s="14"/>
      <c r="J359" s="14"/>
      <c r="K359" s="12"/>
    </row>
    <row r="360" ht="19.5" customHeight="1">
      <c r="A360" s="12"/>
      <c r="C360" s="12"/>
      <c r="D360" s="87"/>
      <c r="F360" s="14"/>
      <c r="G360" s="14"/>
      <c r="H360" s="14"/>
      <c r="I360" s="14"/>
      <c r="J360" s="14"/>
      <c r="K360" s="12"/>
    </row>
    <row r="361" ht="19.5" customHeight="1">
      <c r="A361" s="12"/>
      <c r="C361" s="12"/>
      <c r="D361" s="87"/>
      <c r="F361" s="14"/>
      <c r="G361" s="14"/>
      <c r="H361" s="14"/>
      <c r="I361" s="14"/>
      <c r="J361" s="14"/>
      <c r="K361" s="12"/>
    </row>
    <row r="362" ht="19.5" customHeight="1">
      <c r="A362" s="12"/>
      <c r="C362" s="12"/>
      <c r="D362" s="87"/>
      <c r="F362" s="14"/>
      <c r="G362" s="14"/>
      <c r="H362" s="14"/>
      <c r="I362" s="14"/>
      <c r="J362" s="14"/>
      <c r="K362" s="12"/>
    </row>
    <row r="363" ht="19.5" customHeight="1">
      <c r="A363" s="12"/>
      <c r="C363" s="12"/>
      <c r="D363" s="87"/>
      <c r="F363" s="14"/>
      <c r="G363" s="14"/>
      <c r="H363" s="14"/>
      <c r="I363" s="14"/>
      <c r="J363" s="14"/>
      <c r="K363" s="12"/>
    </row>
    <row r="364" ht="19.5" customHeight="1">
      <c r="A364" s="12"/>
      <c r="C364" s="12"/>
      <c r="D364" s="87"/>
      <c r="F364" s="14"/>
      <c r="G364" s="14"/>
      <c r="H364" s="14"/>
      <c r="I364" s="14"/>
      <c r="J364" s="14"/>
      <c r="K364" s="12"/>
    </row>
    <row r="365" ht="19.5" customHeight="1">
      <c r="A365" s="12"/>
      <c r="C365" s="12"/>
      <c r="D365" s="87"/>
      <c r="F365" s="14"/>
      <c r="G365" s="14"/>
      <c r="H365" s="14"/>
      <c r="I365" s="14"/>
      <c r="J365" s="14"/>
      <c r="K365" s="12"/>
    </row>
    <row r="366" ht="19.5" customHeight="1">
      <c r="A366" s="12"/>
      <c r="C366" s="12"/>
      <c r="D366" s="87"/>
      <c r="F366" s="14"/>
      <c r="G366" s="14"/>
      <c r="H366" s="14"/>
      <c r="I366" s="14"/>
      <c r="J366" s="14"/>
      <c r="K366" s="12"/>
    </row>
    <row r="367" ht="19.5" customHeight="1">
      <c r="A367" s="12"/>
      <c r="C367" s="12"/>
      <c r="D367" s="87"/>
      <c r="F367" s="14"/>
      <c r="G367" s="14"/>
      <c r="H367" s="14"/>
      <c r="I367" s="14"/>
      <c r="J367" s="14"/>
      <c r="K367" s="12"/>
    </row>
    <row r="368" ht="19.5" customHeight="1">
      <c r="A368" s="12"/>
      <c r="C368" s="12"/>
      <c r="D368" s="87"/>
      <c r="F368" s="14"/>
      <c r="G368" s="14"/>
      <c r="H368" s="14"/>
      <c r="I368" s="14"/>
      <c r="J368" s="14"/>
      <c r="K368" s="12"/>
    </row>
    <row r="369" ht="19.5" customHeight="1">
      <c r="A369" s="12"/>
      <c r="C369" s="12"/>
      <c r="D369" s="87"/>
      <c r="F369" s="14"/>
      <c r="G369" s="14"/>
      <c r="H369" s="14"/>
      <c r="I369" s="14"/>
      <c r="J369" s="14"/>
      <c r="K369" s="12"/>
    </row>
    <row r="370" ht="19.5" customHeight="1">
      <c r="A370" s="12"/>
      <c r="C370" s="12"/>
      <c r="D370" s="87"/>
      <c r="F370" s="14"/>
      <c r="G370" s="14"/>
      <c r="H370" s="14"/>
      <c r="I370" s="14"/>
      <c r="J370" s="14"/>
      <c r="K370" s="12"/>
    </row>
    <row r="371" ht="19.5" customHeight="1">
      <c r="A371" s="12"/>
      <c r="C371" s="12"/>
      <c r="D371" s="87"/>
      <c r="F371" s="14"/>
      <c r="G371" s="14"/>
      <c r="H371" s="14"/>
      <c r="I371" s="14"/>
      <c r="J371" s="14"/>
      <c r="K371" s="12"/>
    </row>
    <row r="372" ht="19.5" customHeight="1">
      <c r="A372" s="12"/>
      <c r="C372" s="12"/>
      <c r="D372" s="87"/>
      <c r="F372" s="14"/>
      <c r="G372" s="14"/>
      <c r="H372" s="14"/>
      <c r="I372" s="14"/>
      <c r="J372" s="14"/>
      <c r="K372" s="12"/>
    </row>
    <row r="373" ht="19.5" customHeight="1">
      <c r="A373" s="12"/>
      <c r="C373" s="12"/>
      <c r="D373" s="87"/>
      <c r="F373" s="14"/>
      <c r="G373" s="14"/>
      <c r="H373" s="14"/>
      <c r="I373" s="14"/>
      <c r="J373" s="14"/>
      <c r="K373" s="12"/>
    </row>
    <row r="374" ht="19.5" customHeight="1">
      <c r="A374" s="12"/>
      <c r="C374" s="12"/>
      <c r="D374" s="87"/>
      <c r="F374" s="14"/>
      <c r="G374" s="14"/>
      <c r="H374" s="14"/>
      <c r="I374" s="14"/>
      <c r="J374" s="14"/>
      <c r="K374" s="12"/>
    </row>
    <row r="375" ht="19.5" customHeight="1">
      <c r="A375" s="12"/>
      <c r="C375" s="12"/>
      <c r="D375" s="87"/>
      <c r="F375" s="14"/>
      <c r="G375" s="14"/>
      <c r="H375" s="14"/>
      <c r="I375" s="14"/>
      <c r="J375" s="14"/>
      <c r="K375" s="12"/>
    </row>
    <row r="376" ht="19.5" customHeight="1">
      <c r="A376" s="12"/>
      <c r="C376" s="12"/>
      <c r="D376" s="87"/>
      <c r="F376" s="14"/>
      <c r="G376" s="14"/>
      <c r="H376" s="14"/>
      <c r="I376" s="14"/>
      <c r="J376" s="14"/>
      <c r="K376" s="12"/>
    </row>
    <row r="377" ht="19.5" customHeight="1">
      <c r="A377" s="12"/>
      <c r="C377" s="12"/>
      <c r="D377" s="87"/>
      <c r="F377" s="14"/>
      <c r="G377" s="14"/>
      <c r="H377" s="14"/>
      <c r="I377" s="14"/>
      <c r="J377" s="14"/>
      <c r="K377" s="12"/>
    </row>
    <row r="378" ht="19.5" customHeight="1">
      <c r="A378" s="12"/>
      <c r="C378" s="12"/>
      <c r="D378" s="87"/>
      <c r="F378" s="14"/>
      <c r="G378" s="14"/>
      <c r="H378" s="14"/>
      <c r="I378" s="14"/>
      <c r="J378" s="14"/>
      <c r="K378" s="12"/>
    </row>
    <row r="379" ht="19.5" customHeight="1">
      <c r="A379" s="12"/>
      <c r="C379" s="12"/>
      <c r="D379" s="87"/>
      <c r="F379" s="14"/>
      <c r="G379" s="14"/>
      <c r="H379" s="14"/>
      <c r="I379" s="14"/>
      <c r="J379" s="14"/>
      <c r="K379" s="12"/>
    </row>
    <row r="380" ht="19.5" customHeight="1">
      <c r="A380" s="12"/>
      <c r="C380" s="12"/>
      <c r="D380" s="87"/>
      <c r="F380" s="14"/>
      <c r="G380" s="14"/>
      <c r="H380" s="14"/>
      <c r="I380" s="14"/>
      <c r="J380" s="14"/>
      <c r="K380" s="12"/>
    </row>
    <row r="381" ht="19.5" customHeight="1">
      <c r="A381" s="12"/>
      <c r="C381" s="12"/>
      <c r="D381" s="87"/>
      <c r="F381" s="14"/>
      <c r="G381" s="14"/>
      <c r="H381" s="14"/>
      <c r="I381" s="14"/>
      <c r="J381" s="14"/>
      <c r="K381" s="12"/>
    </row>
    <row r="382" ht="19.5" customHeight="1">
      <c r="A382" s="12"/>
      <c r="C382" s="12"/>
      <c r="D382" s="87"/>
      <c r="F382" s="14"/>
      <c r="G382" s="14"/>
      <c r="H382" s="14"/>
      <c r="I382" s="14"/>
      <c r="J382" s="14"/>
      <c r="K382" s="12"/>
    </row>
    <row r="383" ht="19.5" customHeight="1">
      <c r="A383" s="12"/>
      <c r="C383" s="12"/>
      <c r="D383" s="87"/>
      <c r="F383" s="14"/>
      <c r="G383" s="14"/>
      <c r="H383" s="14"/>
      <c r="I383" s="14"/>
      <c r="J383" s="14"/>
      <c r="K383" s="12"/>
    </row>
    <row r="384" ht="19.5" customHeight="1">
      <c r="A384" s="12"/>
      <c r="C384" s="12"/>
      <c r="D384" s="87"/>
      <c r="F384" s="14"/>
      <c r="G384" s="14"/>
      <c r="H384" s="14"/>
      <c r="I384" s="14"/>
      <c r="J384" s="14"/>
      <c r="K384" s="12"/>
    </row>
    <row r="385" ht="19.5" customHeight="1">
      <c r="A385" s="12"/>
      <c r="C385" s="12"/>
      <c r="D385" s="87"/>
      <c r="F385" s="14"/>
      <c r="G385" s="14"/>
      <c r="H385" s="14"/>
      <c r="I385" s="14"/>
      <c r="J385" s="14"/>
      <c r="K385" s="12"/>
    </row>
    <row r="386" ht="19.5" customHeight="1">
      <c r="A386" s="12"/>
      <c r="C386" s="12"/>
      <c r="D386" s="87"/>
      <c r="F386" s="14"/>
      <c r="G386" s="14"/>
      <c r="H386" s="14"/>
      <c r="I386" s="14"/>
      <c r="J386" s="14"/>
      <c r="K386" s="12"/>
    </row>
    <row r="387" ht="19.5" customHeight="1">
      <c r="A387" s="12"/>
      <c r="C387" s="12"/>
      <c r="D387" s="87"/>
      <c r="F387" s="14"/>
      <c r="G387" s="14"/>
      <c r="H387" s="14"/>
      <c r="I387" s="14"/>
      <c r="J387" s="14"/>
      <c r="K387" s="12"/>
    </row>
    <row r="388" ht="19.5" customHeight="1">
      <c r="A388" s="12"/>
      <c r="C388" s="12"/>
      <c r="D388" s="87"/>
      <c r="F388" s="14"/>
      <c r="G388" s="14"/>
      <c r="H388" s="14"/>
      <c r="I388" s="14"/>
      <c r="J388" s="14"/>
      <c r="K388" s="12"/>
    </row>
    <row r="389" ht="19.5" customHeight="1">
      <c r="A389" s="12"/>
      <c r="C389" s="12"/>
      <c r="D389" s="87"/>
      <c r="F389" s="14"/>
      <c r="G389" s="14"/>
      <c r="H389" s="14"/>
      <c r="I389" s="14"/>
      <c r="J389" s="14"/>
      <c r="K389" s="12"/>
    </row>
    <row r="390" ht="19.5" customHeight="1">
      <c r="A390" s="12"/>
      <c r="C390" s="12"/>
      <c r="D390" s="87"/>
      <c r="F390" s="14"/>
      <c r="G390" s="14"/>
      <c r="H390" s="14"/>
      <c r="I390" s="14"/>
      <c r="J390" s="14"/>
      <c r="K390" s="12"/>
    </row>
    <row r="391" ht="19.5" customHeight="1">
      <c r="A391" s="12"/>
      <c r="C391" s="12"/>
      <c r="D391" s="87"/>
      <c r="F391" s="14"/>
      <c r="G391" s="14"/>
      <c r="H391" s="14"/>
      <c r="I391" s="14"/>
      <c r="J391" s="14"/>
      <c r="K391" s="12"/>
    </row>
    <row r="392" ht="19.5" customHeight="1">
      <c r="A392" s="12"/>
      <c r="C392" s="12"/>
      <c r="D392" s="87"/>
      <c r="F392" s="14"/>
      <c r="G392" s="14"/>
      <c r="H392" s="14"/>
      <c r="I392" s="14"/>
      <c r="J392" s="14"/>
      <c r="K392" s="12"/>
    </row>
    <row r="393" ht="19.5" customHeight="1">
      <c r="A393" s="12"/>
      <c r="C393" s="12"/>
      <c r="D393" s="87"/>
      <c r="F393" s="14"/>
      <c r="G393" s="14"/>
      <c r="H393" s="14"/>
      <c r="I393" s="14"/>
      <c r="J393" s="14"/>
      <c r="K393" s="12"/>
    </row>
    <row r="394" ht="19.5" customHeight="1">
      <c r="A394" s="12"/>
      <c r="C394" s="12"/>
      <c r="D394" s="87"/>
      <c r="F394" s="14"/>
      <c r="G394" s="14"/>
      <c r="H394" s="14"/>
      <c r="I394" s="14"/>
      <c r="J394" s="14"/>
      <c r="K394" s="12"/>
    </row>
    <row r="395" ht="19.5" customHeight="1">
      <c r="A395" s="12"/>
      <c r="C395" s="12"/>
      <c r="D395" s="87"/>
      <c r="F395" s="14"/>
      <c r="G395" s="14"/>
      <c r="H395" s="14"/>
      <c r="I395" s="14"/>
      <c r="J395" s="14"/>
      <c r="K395" s="12"/>
    </row>
    <row r="396" ht="19.5" customHeight="1">
      <c r="A396" s="12"/>
      <c r="C396" s="12"/>
      <c r="D396" s="87"/>
      <c r="F396" s="14"/>
      <c r="G396" s="14"/>
      <c r="H396" s="14"/>
      <c r="I396" s="14"/>
      <c r="J396" s="14"/>
      <c r="K396" s="12"/>
    </row>
    <row r="397" ht="19.5" customHeight="1">
      <c r="A397" s="12"/>
      <c r="C397" s="12"/>
      <c r="D397" s="87"/>
      <c r="F397" s="14"/>
      <c r="G397" s="14"/>
      <c r="H397" s="14"/>
      <c r="I397" s="14"/>
      <c r="J397" s="14"/>
      <c r="K397" s="12"/>
    </row>
    <row r="398" ht="19.5" customHeight="1">
      <c r="A398" s="12"/>
      <c r="C398" s="12"/>
      <c r="D398" s="87"/>
      <c r="F398" s="14"/>
      <c r="G398" s="14"/>
      <c r="H398" s="14"/>
      <c r="I398" s="14"/>
      <c r="J398" s="14"/>
      <c r="K398" s="12"/>
    </row>
    <row r="399" ht="19.5" customHeight="1">
      <c r="A399" s="12"/>
      <c r="C399" s="12"/>
      <c r="D399" s="87"/>
      <c r="F399" s="14"/>
      <c r="G399" s="14"/>
      <c r="H399" s="14"/>
      <c r="I399" s="14"/>
      <c r="J399" s="14"/>
      <c r="K399" s="12"/>
    </row>
    <row r="400" ht="19.5" customHeight="1">
      <c r="A400" s="12"/>
      <c r="C400" s="12"/>
      <c r="D400" s="87"/>
      <c r="F400" s="14"/>
      <c r="G400" s="14"/>
      <c r="H400" s="14"/>
      <c r="I400" s="14"/>
      <c r="J400" s="14"/>
      <c r="K400" s="12"/>
    </row>
    <row r="401" ht="19.5" customHeight="1">
      <c r="A401" s="12"/>
      <c r="C401" s="12"/>
      <c r="D401" s="87"/>
      <c r="F401" s="14"/>
      <c r="G401" s="14"/>
      <c r="H401" s="14"/>
      <c r="I401" s="14"/>
      <c r="J401" s="14"/>
      <c r="K401" s="12"/>
    </row>
    <row r="402" ht="19.5" customHeight="1">
      <c r="A402" s="12"/>
      <c r="C402" s="12"/>
      <c r="D402" s="87"/>
      <c r="F402" s="14"/>
      <c r="G402" s="14"/>
      <c r="H402" s="14"/>
      <c r="I402" s="14"/>
      <c r="J402" s="14"/>
      <c r="K402" s="12"/>
    </row>
    <row r="403" ht="19.5" customHeight="1">
      <c r="A403" s="12"/>
      <c r="C403" s="12"/>
      <c r="D403" s="87"/>
      <c r="F403" s="14"/>
      <c r="G403" s="14"/>
      <c r="H403" s="14"/>
      <c r="I403" s="14"/>
      <c r="J403" s="14"/>
      <c r="K403" s="12"/>
    </row>
    <row r="404" ht="19.5" customHeight="1">
      <c r="A404" s="12"/>
      <c r="C404" s="12"/>
      <c r="D404" s="87"/>
      <c r="F404" s="14"/>
      <c r="G404" s="14"/>
      <c r="H404" s="14"/>
      <c r="I404" s="14"/>
      <c r="J404" s="14"/>
      <c r="K404" s="12"/>
    </row>
    <row r="405" ht="19.5" customHeight="1">
      <c r="A405" s="12"/>
      <c r="C405" s="12"/>
      <c r="D405" s="87"/>
      <c r="F405" s="14"/>
      <c r="G405" s="14"/>
      <c r="H405" s="14"/>
      <c r="I405" s="14"/>
      <c r="J405" s="14"/>
      <c r="K405" s="12"/>
    </row>
    <row r="406" ht="19.5" customHeight="1">
      <c r="A406" s="12"/>
      <c r="C406" s="12"/>
      <c r="D406" s="87"/>
      <c r="F406" s="14"/>
      <c r="G406" s="14"/>
      <c r="H406" s="14"/>
      <c r="I406" s="14"/>
      <c r="J406" s="14"/>
      <c r="K406" s="12"/>
    </row>
    <row r="407" ht="19.5" customHeight="1">
      <c r="A407" s="12"/>
      <c r="C407" s="12"/>
      <c r="D407" s="87"/>
      <c r="F407" s="14"/>
      <c r="G407" s="14"/>
      <c r="H407" s="14"/>
      <c r="I407" s="14"/>
      <c r="J407" s="14"/>
      <c r="K407" s="12"/>
    </row>
    <row r="408" ht="19.5" customHeight="1">
      <c r="A408" s="12"/>
      <c r="C408" s="12"/>
      <c r="D408" s="87"/>
      <c r="F408" s="14"/>
      <c r="G408" s="14"/>
      <c r="H408" s="14"/>
      <c r="I408" s="14"/>
      <c r="J408" s="14"/>
      <c r="K408" s="12"/>
    </row>
    <row r="409" ht="19.5" customHeight="1">
      <c r="A409" s="12"/>
      <c r="C409" s="12"/>
      <c r="D409" s="87"/>
      <c r="F409" s="14"/>
      <c r="G409" s="14"/>
      <c r="H409" s="14"/>
      <c r="I409" s="14"/>
      <c r="J409" s="14"/>
      <c r="K409" s="12"/>
    </row>
    <row r="410" ht="19.5" customHeight="1">
      <c r="A410" s="12"/>
      <c r="C410" s="12"/>
      <c r="D410" s="87"/>
      <c r="F410" s="14"/>
      <c r="G410" s="14"/>
      <c r="H410" s="14"/>
      <c r="I410" s="14"/>
      <c r="J410" s="14"/>
      <c r="K410" s="12"/>
    </row>
    <row r="411" ht="19.5" customHeight="1">
      <c r="A411" s="12"/>
      <c r="C411" s="12"/>
      <c r="D411" s="87"/>
      <c r="F411" s="14"/>
      <c r="G411" s="14"/>
      <c r="H411" s="14"/>
      <c r="I411" s="14"/>
      <c r="J411" s="14"/>
      <c r="K411" s="12"/>
    </row>
    <row r="412" ht="19.5" customHeight="1">
      <c r="A412" s="12"/>
      <c r="C412" s="12"/>
      <c r="D412" s="87"/>
      <c r="F412" s="14"/>
      <c r="G412" s="14"/>
      <c r="H412" s="14"/>
      <c r="I412" s="14"/>
      <c r="J412" s="14"/>
      <c r="K412" s="12"/>
    </row>
    <row r="413" ht="19.5" customHeight="1">
      <c r="A413" s="12"/>
      <c r="C413" s="12"/>
      <c r="D413" s="87"/>
      <c r="F413" s="14"/>
      <c r="G413" s="14"/>
      <c r="H413" s="14"/>
      <c r="I413" s="14"/>
      <c r="J413" s="14"/>
      <c r="K413" s="12"/>
    </row>
    <row r="414" ht="19.5" customHeight="1">
      <c r="A414" s="12"/>
      <c r="C414" s="12"/>
      <c r="D414" s="87"/>
      <c r="F414" s="14"/>
      <c r="G414" s="14"/>
      <c r="H414" s="14"/>
      <c r="I414" s="14"/>
      <c r="J414" s="14"/>
      <c r="K414" s="12"/>
    </row>
    <row r="415" ht="19.5" customHeight="1">
      <c r="A415" s="12"/>
      <c r="C415" s="12"/>
      <c r="D415" s="87"/>
      <c r="F415" s="14"/>
      <c r="G415" s="14"/>
      <c r="H415" s="14"/>
      <c r="I415" s="14"/>
      <c r="J415" s="14"/>
      <c r="K415" s="12"/>
    </row>
    <row r="416" ht="19.5" customHeight="1">
      <c r="A416" s="12"/>
      <c r="C416" s="12"/>
      <c r="D416" s="87"/>
      <c r="F416" s="14"/>
      <c r="G416" s="14"/>
      <c r="H416" s="14"/>
      <c r="I416" s="14"/>
      <c r="J416" s="14"/>
      <c r="K416" s="12"/>
    </row>
    <row r="417" ht="19.5" customHeight="1">
      <c r="A417" s="12"/>
      <c r="C417" s="12"/>
      <c r="D417" s="87"/>
      <c r="F417" s="14"/>
      <c r="G417" s="14"/>
      <c r="H417" s="14"/>
      <c r="I417" s="14"/>
      <c r="J417" s="14"/>
      <c r="K417" s="12"/>
    </row>
    <row r="418" ht="19.5" customHeight="1">
      <c r="A418" s="12"/>
      <c r="C418" s="12"/>
      <c r="D418" s="87"/>
      <c r="F418" s="14"/>
      <c r="G418" s="14"/>
      <c r="H418" s="14"/>
      <c r="I418" s="14"/>
      <c r="J418" s="14"/>
      <c r="K418" s="12"/>
    </row>
    <row r="419" ht="19.5" customHeight="1">
      <c r="A419" s="12"/>
      <c r="C419" s="12"/>
      <c r="D419" s="87"/>
      <c r="F419" s="14"/>
      <c r="G419" s="14"/>
      <c r="H419" s="14"/>
      <c r="I419" s="14"/>
      <c r="J419" s="14"/>
      <c r="K419" s="12"/>
    </row>
    <row r="420" ht="19.5" customHeight="1">
      <c r="A420" s="12"/>
      <c r="C420" s="12"/>
      <c r="D420" s="87"/>
      <c r="F420" s="14"/>
      <c r="G420" s="14"/>
      <c r="H420" s="14"/>
      <c r="I420" s="14"/>
      <c r="J420" s="14"/>
      <c r="K420" s="12"/>
    </row>
    <row r="421" ht="19.5" customHeight="1">
      <c r="A421" s="12"/>
      <c r="C421" s="12"/>
      <c r="D421" s="87"/>
      <c r="F421" s="14"/>
      <c r="G421" s="14"/>
      <c r="H421" s="14"/>
      <c r="I421" s="14"/>
      <c r="J421" s="14"/>
      <c r="K421" s="12"/>
    </row>
    <row r="422" ht="19.5" customHeight="1">
      <c r="A422" s="12"/>
      <c r="C422" s="12"/>
      <c r="D422" s="87"/>
      <c r="F422" s="14"/>
      <c r="G422" s="14"/>
      <c r="H422" s="14"/>
      <c r="I422" s="14"/>
      <c r="J422" s="14"/>
      <c r="K422" s="12"/>
    </row>
    <row r="423" ht="19.5" customHeight="1">
      <c r="A423" s="12"/>
      <c r="C423" s="12"/>
      <c r="D423" s="87"/>
      <c r="F423" s="14"/>
      <c r="G423" s="14"/>
      <c r="H423" s="14"/>
      <c r="I423" s="14"/>
      <c r="J423" s="14"/>
      <c r="K423" s="12"/>
    </row>
    <row r="424" ht="19.5" customHeight="1">
      <c r="A424" s="12"/>
      <c r="C424" s="12"/>
      <c r="D424" s="87"/>
      <c r="F424" s="14"/>
      <c r="G424" s="14"/>
      <c r="H424" s="14"/>
      <c r="I424" s="14"/>
      <c r="J424" s="14"/>
      <c r="K424" s="12"/>
    </row>
    <row r="425" ht="19.5" customHeight="1">
      <c r="A425" s="12"/>
      <c r="C425" s="12"/>
      <c r="D425" s="87"/>
      <c r="F425" s="14"/>
      <c r="G425" s="14"/>
      <c r="H425" s="14"/>
      <c r="I425" s="14"/>
      <c r="J425" s="14"/>
      <c r="K425" s="12"/>
    </row>
    <row r="426" ht="19.5" customHeight="1">
      <c r="A426" s="12"/>
      <c r="C426" s="12"/>
      <c r="D426" s="87"/>
      <c r="F426" s="14"/>
      <c r="G426" s="14"/>
      <c r="H426" s="14"/>
      <c r="I426" s="14"/>
      <c r="J426" s="14"/>
      <c r="K426" s="12"/>
    </row>
    <row r="427" ht="19.5" customHeight="1">
      <c r="A427" s="12"/>
      <c r="C427" s="12"/>
      <c r="D427" s="87"/>
      <c r="F427" s="14"/>
      <c r="G427" s="14"/>
      <c r="H427" s="14"/>
      <c r="I427" s="14"/>
      <c r="J427" s="14"/>
      <c r="K427" s="12"/>
    </row>
    <row r="428" ht="19.5" customHeight="1">
      <c r="A428" s="12"/>
      <c r="C428" s="12"/>
      <c r="D428" s="87"/>
      <c r="F428" s="14"/>
      <c r="G428" s="14"/>
      <c r="H428" s="14"/>
      <c r="I428" s="14"/>
      <c r="J428" s="14"/>
      <c r="K428" s="12"/>
    </row>
    <row r="429" ht="19.5" customHeight="1">
      <c r="A429" s="12"/>
      <c r="C429" s="12"/>
      <c r="D429" s="87"/>
      <c r="F429" s="14"/>
      <c r="G429" s="14"/>
      <c r="H429" s="14"/>
      <c r="I429" s="14"/>
      <c r="J429" s="14"/>
      <c r="K429" s="12"/>
    </row>
    <row r="430" ht="19.5" customHeight="1">
      <c r="A430" s="12"/>
      <c r="C430" s="12"/>
      <c r="D430" s="87"/>
      <c r="F430" s="14"/>
      <c r="G430" s="14"/>
      <c r="H430" s="14"/>
      <c r="I430" s="14"/>
      <c r="J430" s="14"/>
      <c r="K430" s="12"/>
    </row>
    <row r="431" ht="19.5" customHeight="1">
      <c r="A431" s="12"/>
      <c r="C431" s="12"/>
      <c r="D431" s="87"/>
      <c r="F431" s="14"/>
      <c r="G431" s="14"/>
      <c r="H431" s="14"/>
      <c r="I431" s="14"/>
      <c r="J431" s="14"/>
      <c r="K431" s="12"/>
    </row>
    <row r="432" ht="19.5" customHeight="1">
      <c r="A432" s="12"/>
      <c r="C432" s="12"/>
      <c r="D432" s="87"/>
      <c r="F432" s="14"/>
      <c r="G432" s="14"/>
      <c r="H432" s="14"/>
      <c r="I432" s="14"/>
      <c r="J432" s="14"/>
      <c r="K432" s="12"/>
    </row>
    <row r="433" ht="19.5" customHeight="1">
      <c r="A433" s="12"/>
      <c r="C433" s="12"/>
      <c r="D433" s="87"/>
      <c r="F433" s="14"/>
      <c r="G433" s="14"/>
      <c r="H433" s="14"/>
      <c r="I433" s="14"/>
      <c r="J433" s="14"/>
      <c r="K433" s="12"/>
    </row>
    <row r="434" ht="19.5" customHeight="1">
      <c r="A434" s="12"/>
      <c r="C434" s="12"/>
      <c r="D434" s="87"/>
      <c r="F434" s="14"/>
      <c r="G434" s="14"/>
      <c r="H434" s="14"/>
      <c r="I434" s="14"/>
      <c r="J434" s="14"/>
      <c r="K434" s="12"/>
    </row>
    <row r="435" ht="19.5" customHeight="1">
      <c r="A435" s="12"/>
      <c r="C435" s="12"/>
      <c r="D435" s="87"/>
      <c r="F435" s="14"/>
      <c r="G435" s="14"/>
      <c r="H435" s="14"/>
      <c r="I435" s="14"/>
      <c r="J435" s="14"/>
      <c r="K435" s="12"/>
    </row>
    <row r="436" ht="19.5" customHeight="1">
      <c r="A436" s="12"/>
      <c r="C436" s="12"/>
      <c r="D436" s="87"/>
      <c r="F436" s="14"/>
      <c r="G436" s="14"/>
      <c r="H436" s="14"/>
      <c r="I436" s="14"/>
      <c r="J436" s="14"/>
      <c r="K436" s="12"/>
    </row>
    <row r="437" ht="19.5" customHeight="1">
      <c r="A437" s="12"/>
      <c r="C437" s="12"/>
      <c r="D437" s="87"/>
      <c r="F437" s="14"/>
      <c r="G437" s="14"/>
      <c r="H437" s="14"/>
      <c r="I437" s="14"/>
      <c r="J437" s="14"/>
      <c r="K437" s="12"/>
    </row>
    <row r="438" ht="19.5" customHeight="1">
      <c r="A438" s="12"/>
      <c r="C438" s="12"/>
      <c r="D438" s="87"/>
      <c r="F438" s="14"/>
      <c r="G438" s="14"/>
      <c r="H438" s="14"/>
      <c r="I438" s="14"/>
      <c r="J438" s="14"/>
      <c r="K438" s="12"/>
    </row>
    <row r="439" ht="19.5" customHeight="1">
      <c r="A439" s="12"/>
      <c r="C439" s="12"/>
      <c r="D439" s="87"/>
      <c r="F439" s="14"/>
      <c r="G439" s="14"/>
      <c r="H439" s="14"/>
      <c r="I439" s="14"/>
      <c r="J439" s="14"/>
      <c r="K439" s="12"/>
    </row>
    <row r="440" ht="19.5" customHeight="1">
      <c r="A440" s="12"/>
      <c r="C440" s="12"/>
      <c r="D440" s="87"/>
      <c r="F440" s="14"/>
      <c r="G440" s="14"/>
      <c r="H440" s="14"/>
      <c r="I440" s="14"/>
      <c r="J440" s="14"/>
      <c r="K440" s="12"/>
    </row>
    <row r="441" ht="19.5" customHeight="1">
      <c r="A441" s="12"/>
      <c r="C441" s="12"/>
      <c r="D441" s="87"/>
      <c r="F441" s="14"/>
      <c r="G441" s="14"/>
      <c r="H441" s="14"/>
      <c r="I441" s="14"/>
      <c r="J441" s="14"/>
      <c r="K441" s="12"/>
    </row>
    <row r="442" ht="19.5" customHeight="1">
      <c r="A442" s="12"/>
      <c r="C442" s="12"/>
      <c r="D442" s="87"/>
      <c r="F442" s="14"/>
      <c r="G442" s="14"/>
      <c r="H442" s="14"/>
      <c r="I442" s="14"/>
      <c r="J442" s="14"/>
      <c r="K442" s="12"/>
    </row>
    <row r="443" ht="19.5" customHeight="1">
      <c r="A443" s="12"/>
      <c r="C443" s="12"/>
      <c r="D443" s="87"/>
      <c r="F443" s="14"/>
      <c r="G443" s="14"/>
      <c r="H443" s="14"/>
      <c r="I443" s="14"/>
      <c r="J443" s="14"/>
      <c r="K443" s="12"/>
    </row>
    <row r="444" ht="19.5" customHeight="1">
      <c r="A444" s="12"/>
      <c r="C444" s="12"/>
      <c r="D444" s="87"/>
      <c r="F444" s="14"/>
      <c r="G444" s="14"/>
      <c r="H444" s="14"/>
      <c r="I444" s="14"/>
      <c r="J444" s="14"/>
      <c r="K444" s="12"/>
    </row>
    <row r="445" ht="19.5" customHeight="1">
      <c r="A445" s="12"/>
      <c r="C445" s="12"/>
      <c r="D445" s="87"/>
      <c r="F445" s="14"/>
      <c r="G445" s="14"/>
      <c r="H445" s="14"/>
      <c r="I445" s="14"/>
      <c r="J445" s="14"/>
      <c r="K445" s="12"/>
    </row>
    <row r="446" ht="19.5" customHeight="1">
      <c r="A446" s="12"/>
      <c r="C446" s="12"/>
      <c r="D446" s="87"/>
      <c r="F446" s="14"/>
      <c r="G446" s="14"/>
      <c r="H446" s="14"/>
      <c r="I446" s="14"/>
      <c r="J446" s="14"/>
      <c r="K446" s="12"/>
    </row>
    <row r="447" ht="19.5" customHeight="1">
      <c r="A447" s="12"/>
      <c r="C447" s="12"/>
      <c r="D447" s="87"/>
      <c r="F447" s="14"/>
      <c r="G447" s="14"/>
      <c r="H447" s="14"/>
      <c r="I447" s="14"/>
      <c r="J447" s="14"/>
      <c r="K447" s="12"/>
    </row>
    <row r="448" ht="19.5" customHeight="1">
      <c r="A448" s="12"/>
      <c r="C448" s="12"/>
      <c r="D448" s="87"/>
      <c r="F448" s="14"/>
      <c r="G448" s="14"/>
      <c r="H448" s="14"/>
      <c r="I448" s="14"/>
      <c r="J448" s="14"/>
      <c r="K448" s="12"/>
    </row>
    <row r="449" ht="19.5" customHeight="1">
      <c r="A449" s="12"/>
      <c r="C449" s="12"/>
      <c r="D449" s="87"/>
      <c r="F449" s="14"/>
      <c r="G449" s="14"/>
      <c r="H449" s="14"/>
      <c r="I449" s="14"/>
      <c r="J449" s="14"/>
      <c r="K449" s="12"/>
    </row>
    <row r="450" ht="19.5" customHeight="1">
      <c r="A450" s="12"/>
      <c r="C450" s="12"/>
      <c r="D450" s="87"/>
      <c r="F450" s="14"/>
      <c r="G450" s="14"/>
      <c r="H450" s="14"/>
      <c r="I450" s="14"/>
      <c r="J450" s="14"/>
      <c r="K450" s="12"/>
    </row>
    <row r="451" ht="19.5" customHeight="1">
      <c r="A451" s="12"/>
      <c r="C451" s="12"/>
      <c r="D451" s="87"/>
      <c r="F451" s="14"/>
      <c r="G451" s="14"/>
      <c r="H451" s="14"/>
      <c r="I451" s="14"/>
      <c r="J451" s="14"/>
      <c r="K451" s="12"/>
    </row>
    <row r="452" ht="19.5" customHeight="1">
      <c r="A452" s="12"/>
      <c r="C452" s="12"/>
      <c r="D452" s="87"/>
      <c r="F452" s="14"/>
      <c r="G452" s="14"/>
      <c r="H452" s="14"/>
      <c r="I452" s="14"/>
      <c r="J452" s="14"/>
      <c r="K452" s="12"/>
    </row>
    <row r="453" ht="19.5" customHeight="1">
      <c r="A453" s="12"/>
      <c r="C453" s="12"/>
      <c r="D453" s="87"/>
      <c r="F453" s="14"/>
      <c r="G453" s="14"/>
      <c r="H453" s="14"/>
      <c r="I453" s="14"/>
      <c r="J453" s="14"/>
      <c r="K453" s="12"/>
    </row>
    <row r="454" ht="19.5" customHeight="1">
      <c r="A454" s="12"/>
      <c r="C454" s="12"/>
      <c r="D454" s="87"/>
      <c r="F454" s="14"/>
      <c r="G454" s="14"/>
      <c r="H454" s="14"/>
      <c r="I454" s="14"/>
      <c r="J454" s="14"/>
      <c r="K454" s="12"/>
    </row>
    <row r="455" ht="19.5" customHeight="1">
      <c r="A455" s="12"/>
      <c r="C455" s="12"/>
      <c r="D455" s="87"/>
      <c r="F455" s="14"/>
      <c r="G455" s="14"/>
      <c r="H455" s="14"/>
      <c r="I455" s="14"/>
      <c r="J455" s="14"/>
      <c r="K455" s="12"/>
    </row>
    <row r="456" ht="19.5" customHeight="1">
      <c r="A456" s="12"/>
      <c r="C456" s="12"/>
      <c r="D456" s="87"/>
      <c r="F456" s="14"/>
      <c r="G456" s="14"/>
      <c r="H456" s="14"/>
      <c r="I456" s="14"/>
      <c r="J456" s="14"/>
      <c r="K456" s="12"/>
    </row>
    <row r="457" ht="19.5" customHeight="1">
      <c r="A457" s="12"/>
      <c r="C457" s="12"/>
      <c r="D457" s="87"/>
      <c r="F457" s="14"/>
      <c r="G457" s="14"/>
      <c r="H457" s="14"/>
      <c r="I457" s="14"/>
      <c r="J457" s="14"/>
      <c r="K457" s="12"/>
    </row>
    <row r="458" ht="19.5" customHeight="1">
      <c r="A458" s="12"/>
      <c r="C458" s="12"/>
      <c r="D458" s="87"/>
      <c r="F458" s="14"/>
      <c r="G458" s="14"/>
      <c r="H458" s="14"/>
      <c r="I458" s="14"/>
      <c r="J458" s="14"/>
      <c r="K458" s="12"/>
    </row>
    <row r="459" ht="19.5" customHeight="1">
      <c r="A459" s="12"/>
      <c r="C459" s="12"/>
      <c r="D459" s="87"/>
      <c r="F459" s="14"/>
      <c r="G459" s="14"/>
      <c r="H459" s="14"/>
      <c r="I459" s="14"/>
      <c r="J459" s="14"/>
      <c r="K459" s="12"/>
    </row>
    <row r="460" ht="19.5" customHeight="1">
      <c r="A460" s="12"/>
      <c r="C460" s="12"/>
      <c r="D460" s="87"/>
      <c r="F460" s="14"/>
      <c r="G460" s="14"/>
      <c r="H460" s="14"/>
      <c r="I460" s="14"/>
      <c r="J460" s="14"/>
      <c r="K460" s="12"/>
    </row>
    <row r="461" ht="19.5" customHeight="1">
      <c r="A461" s="12"/>
      <c r="C461" s="12"/>
      <c r="D461" s="87"/>
      <c r="F461" s="14"/>
      <c r="G461" s="14"/>
      <c r="H461" s="14"/>
      <c r="I461" s="14"/>
      <c r="J461" s="14"/>
      <c r="K461" s="12"/>
    </row>
    <row r="462" ht="19.5" customHeight="1">
      <c r="A462" s="12"/>
      <c r="C462" s="12"/>
      <c r="D462" s="87"/>
      <c r="F462" s="14"/>
      <c r="G462" s="14"/>
      <c r="H462" s="14"/>
      <c r="I462" s="14"/>
      <c r="J462" s="14"/>
      <c r="K462" s="12"/>
    </row>
    <row r="463" ht="19.5" customHeight="1">
      <c r="A463" s="12"/>
      <c r="C463" s="12"/>
      <c r="D463" s="87"/>
      <c r="F463" s="14"/>
      <c r="G463" s="14"/>
      <c r="H463" s="14"/>
      <c r="I463" s="14"/>
      <c r="J463" s="14"/>
      <c r="K463" s="12"/>
    </row>
    <row r="464" ht="19.5" customHeight="1">
      <c r="A464" s="12"/>
      <c r="C464" s="12"/>
      <c r="D464" s="87"/>
      <c r="F464" s="14"/>
      <c r="G464" s="14"/>
      <c r="H464" s="14"/>
      <c r="I464" s="14"/>
      <c r="J464" s="14"/>
      <c r="K464" s="12"/>
    </row>
    <row r="465" ht="19.5" customHeight="1">
      <c r="A465" s="12"/>
      <c r="C465" s="12"/>
      <c r="D465" s="87"/>
      <c r="F465" s="14"/>
      <c r="G465" s="14"/>
      <c r="H465" s="14"/>
      <c r="I465" s="14"/>
      <c r="J465" s="14"/>
      <c r="K465" s="12"/>
    </row>
    <row r="466" ht="19.5" customHeight="1">
      <c r="A466" s="12"/>
      <c r="C466" s="12"/>
      <c r="D466" s="87"/>
      <c r="F466" s="14"/>
      <c r="G466" s="14"/>
      <c r="H466" s="14"/>
      <c r="I466" s="14"/>
      <c r="J466" s="14"/>
      <c r="K466" s="12"/>
    </row>
    <row r="467" ht="19.5" customHeight="1">
      <c r="A467" s="12"/>
      <c r="C467" s="12"/>
      <c r="D467" s="87"/>
      <c r="F467" s="14"/>
      <c r="G467" s="14"/>
      <c r="H467" s="14"/>
      <c r="I467" s="14"/>
      <c r="J467" s="14"/>
      <c r="K467" s="12"/>
    </row>
    <row r="468" ht="19.5" customHeight="1">
      <c r="A468" s="12"/>
      <c r="C468" s="12"/>
      <c r="D468" s="87"/>
      <c r="F468" s="14"/>
      <c r="G468" s="14"/>
      <c r="H468" s="14"/>
      <c r="I468" s="14"/>
      <c r="J468" s="14"/>
      <c r="K468" s="12"/>
    </row>
    <row r="469" ht="19.5" customHeight="1">
      <c r="A469" s="12"/>
      <c r="C469" s="12"/>
      <c r="D469" s="87"/>
      <c r="F469" s="14"/>
      <c r="G469" s="14"/>
      <c r="H469" s="14"/>
      <c r="I469" s="14"/>
      <c r="J469" s="14"/>
      <c r="K469" s="12"/>
    </row>
    <row r="470" ht="19.5" customHeight="1">
      <c r="A470" s="12"/>
      <c r="C470" s="12"/>
      <c r="D470" s="87"/>
      <c r="F470" s="14"/>
      <c r="G470" s="14"/>
      <c r="H470" s="14"/>
      <c r="I470" s="14"/>
      <c r="J470" s="14"/>
      <c r="K470" s="12"/>
    </row>
    <row r="471" ht="19.5" customHeight="1">
      <c r="A471" s="12"/>
      <c r="C471" s="12"/>
      <c r="D471" s="87"/>
      <c r="F471" s="14"/>
      <c r="G471" s="14"/>
      <c r="H471" s="14"/>
      <c r="I471" s="14"/>
      <c r="J471" s="14"/>
      <c r="K471" s="12"/>
    </row>
    <row r="472" ht="19.5" customHeight="1">
      <c r="A472" s="12"/>
      <c r="C472" s="12"/>
      <c r="D472" s="87"/>
      <c r="F472" s="14"/>
      <c r="G472" s="14"/>
      <c r="H472" s="14"/>
      <c r="I472" s="14"/>
      <c r="J472" s="14"/>
      <c r="K472" s="12"/>
    </row>
    <row r="473" ht="19.5" customHeight="1">
      <c r="A473" s="12"/>
      <c r="C473" s="12"/>
      <c r="D473" s="87"/>
      <c r="F473" s="14"/>
      <c r="G473" s="14"/>
      <c r="H473" s="14"/>
      <c r="I473" s="14"/>
      <c r="J473" s="14"/>
      <c r="K473" s="12"/>
    </row>
    <row r="474" ht="19.5" customHeight="1">
      <c r="A474" s="12"/>
      <c r="C474" s="12"/>
      <c r="D474" s="87"/>
      <c r="F474" s="14"/>
      <c r="G474" s="14"/>
      <c r="H474" s="14"/>
      <c r="I474" s="14"/>
      <c r="J474" s="14"/>
      <c r="K474" s="12"/>
    </row>
    <row r="475" ht="19.5" customHeight="1">
      <c r="A475" s="12"/>
      <c r="C475" s="12"/>
      <c r="D475" s="87"/>
      <c r="F475" s="14"/>
      <c r="G475" s="14"/>
      <c r="H475" s="14"/>
      <c r="I475" s="14"/>
      <c r="J475" s="14"/>
      <c r="K475" s="12"/>
    </row>
    <row r="476" ht="19.5" customHeight="1">
      <c r="A476" s="12"/>
      <c r="C476" s="12"/>
      <c r="D476" s="87"/>
      <c r="F476" s="14"/>
      <c r="G476" s="14"/>
      <c r="H476" s="14"/>
      <c r="I476" s="14"/>
      <c r="J476" s="14"/>
      <c r="K476" s="12"/>
    </row>
    <row r="477" ht="19.5" customHeight="1">
      <c r="A477" s="12"/>
      <c r="C477" s="12"/>
      <c r="D477" s="87"/>
      <c r="F477" s="14"/>
      <c r="G477" s="14"/>
      <c r="H477" s="14"/>
      <c r="I477" s="14"/>
      <c r="J477" s="14"/>
      <c r="K477" s="12"/>
    </row>
    <row r="478" ht="19.5" customHeight="1">
      <c r="A478" s="12"/>
      <c r="C478" s="12"/>
      <c r="D478" s="87"/>
      <c r="F478" s="14"/>
      <c r="G478" s="14"/>
      <c r="H478" s="14"/>
      <c r="I478" s="14"/>
      <c r="J478" s="14"/>
      <c r="K478" s="12"/>
    </row>
    <row r="479" ht="19.5" customHeight="1">
      <c r="A479" s="12"/>
      <c r="C479" s="12"/>
      <c r="D479" s="87"/>
      <c r="F479" s="14"/>
      <c r="G479" s="14"/>
      <c r="H479" s="14"/>
      <c r="I479" s="14"/>
      <c r="J479" s="14"/>
      <c r="K479" s="12"/>
    </row>
    <row r="480" ht="19.5" customHeight="1">
      <c r="A480" s="12"/>
      <c r="C480" s="12"/>
      <c r="D480" s="87"/>
      <c r="F480" s="14"/>
      <c r="G480" s="14"/>
      <c r="H480" s="14"/>
      <c r="I480" s="14"/>
      <c r="J480" s="14"/>
      <c r="K480" s="12"/>
    </row>
    <row r="481" ht="19.5" customHeight="1">
      <c r="A481" s="12"/>
      <c r="C481" s="12"/>
      <c r="D481" s="87"/>
      <c r="F481" s="14"/>
      <c r="G481" s="14"/>
      <c r="H481" s="14"/>
      <c r="I481" s="14"/>
      <c r="J481" s="14"/>
      <c r="K481" s="12"/>
    </row>
    <row r="482" ht="19.5" customHeight="1">
      <c r="A482" s="12"/>
      <c r="C482" s="12"/>
      <c r="D482" s="87"/>
      <c r="F482" s="14"/>
      <c r="G482" s="14"/>
      <c r="H482" s="14"/>
      <c r="I482" s="14"/>
      <c r="J482" s="14"/>
      <c r="K482" s="12"/>
    </row>
    <row r="483" ht="19.5" customHeight="1">
      <c r="A483" s="12"/>
      <c r="C483" s="12"/>
      <c r="D483" s="87"/>
      <c r="F483" s="14"/>
      <c r="G483" s="14"/>
      <c r="H483" s="14"/>
      <c r="I483" s="14"/>
      <c r="J483" s="14"/>
      <c r="K483" s="12"/>
    </row>
    <row r="484" ht="19.5" customHeight="1">
      <c r="A484" s="12"/>
      <c r="C484" s="12"/>
      <c r="D484" s="87"/>
      <c r="F484" s="14"/>
      <c r="G484" s="14"/>
      <c r="H484" s="14"/>
      <c r="I484" s="14"/>
      <c r="J484" s="14"/>
      <c r="K484" s="12"/>
    </row>
    <row r="485" ht="19.5" customHeight="1">
      <c r="A485" s="12"/>
      <c r="C485" s="12"/>
      <c r="D485" s="87"/>
      <c r="F485" s="14"/>
      <c r="G485" s="14"/>
      <c r="H485" s="14"/>
      <c r="I485" s="14"/>
      <c r="J485" s="14"/>
      <c r="K485" s="12"/>
    </row>
    <row r="486" ht="19.5" customHeight="1">
      <c r="A486" s="12"/>
      <c r="C486" s="12"/>
      <c r="D486" s="87"/>
      <c r="F486" s="14"/>
      <c r="G486" s="14"/>
      <c r="H486" s="14"/>
      <c r="I486" s="14"/>
      <c r="J486" s="14"/>
      <c r="K486" s="12"/>
    </row>
    <row r="487" ht="19.5" customHeight="1">
      <c r="A487" s="12"/>
      <c r="C487" s="12"/>
      <c r="D487" s="87"/>
      <c r="F487" s="14"/>
      <c r="G487" s="14"/>
      <c r="H487" s="14"/>
      <c r="I487" s="14"/>
      <c r="J487" s="14"/>
      <c r="K487" s="12"/>
    </row>
    <row r="488" ht="19.5" customHeight="1">
      <c r="A488" s="12"/>
      <c r="C488" s="12"/>
      <c r="D488" s="87"/>
      <c r="F488" s="14"/>
      <c r="G488" s="14"/>
      <c r="H488" s="14"/>
      <c r="I488" s="14"/>
      <c r="J488" s="14"/>
      <c r="K488" s="12"/>
    </row>
    <row r="489" ht="19.5" customHeight="1">
      <c r="A489" s="12"/>
      <c r="C489" s="12"/>
      <c r="D489" s="87"/>
      <c r="F489" s="14"/>
      <c r="G489" s="14"/>
      <c r="H489" s="14"/>
      <c r="I489" s="14"/>
      <c r="J489" s="14"/>
      <c r="K489" s="12"/>
    </row>
    <row r="490" ht="19.5" customHeight="1">
      <c r="A490" s="12"/>
      <c r="C490" s="12"/>
      <c r="D490" s="87"/>
      <c r="F490" s="14"/>
      <c r="G490" s="14"/>
      <c r="H490" s="14"/>
      <c r="I490" s="14"/>
      <c r="J490" s="14"/>
      <c r="K490" s="12"/>
    </row>
    <row r="491" ht="19.5" customHeight="1">
      <c r="A491" s="12"/>
      <c r="C491" s="12"/>
      <c r="D491" s="87"/>
      <c r="F491" s="14"/>
      <c r="G491" s="14"/>
      <c r="H491" s="14"/>
      <c r="I491" s="14"/>
      <c r="J491" s="14"/>
      <c r="K491" s="12"/>
    </row>
    <row r="492" ht="19.5" customHeight="1">
      <c r="A492" s="12"/>
      <c r="C492" s="12"/>
      <c r="D492" s="87"/>
      <c r="F492" s="14"/>
      <c r="G492" s="14"/>
      <c r="H492" s="14"/>
      <c r="I492" s="14"/>
      <c r="J492" s="14"/>
      <c r="K492" s="12"/>
    </row>
    <row r="493" ht="19.5" customHeight="1">
      <c r="A493" s="12"/>
      <c r="C493" s="12"/>
      <c r="D493" s="87"/>
      <c r="F493" s="14"/>
      <c r="G493" s="14"/>
      <c r="H493" s="14"/>
      <c r="I493" s="14"/>
      <c r="J493" s="14"/>
      <c r="K493" s="12"/>
    </row>
    <row r="494" ht="19.5" customHeight="1">
      <c r="A494" s="12"/>
      <c r="C494" s="12"/>
      <c r="D494" s="87"/>
      <c r="F494" s="14"/>
      <c r="G494" s="14"/>
      <c r="H494" s="14"/>
      <c r="I494" s="14"/>
      <c r="J494" s="14"/>
      <c r="K494" s="12"/>
    </row>
    <row r="495" ht="19.5" customHeight="1">
      <c r="A495" s="12"/>
      <c r="C495" s="12"/>
      <c r="D495" s="87"/>
      <c r="F495" s="14"/>
      <c r="G495" s="14"/>
      <c r="H495" s="14"/>
      <c r="I495" s="14"/>
      <c r="J495" s="14"/>
      <c r="K495" s="12"/>
    </row>
    <row r="496" ht="19.5" customHeight="1">
      <c r="A496" s="12"/>
      <c r="C496" s="12"/>
      <c r="D496" s="87"/>
      <c r="F496" s="14"/>
      <c r="G496" s="14"/>
      <c r="H496" s="14"/>
      <c r="I496" s="14"/>
      <c r="J496" s="14"/>
      <c r="K496" s="12"/>
    </row>
    <row r="497" ht="19.5" customHeight="1">
      <c r="A497" s="12"/>
      <c r="C497" s="12"/>
      <c r="D497" s="87"/>
      <c r="F497" s="14"/>
      <c r="G497" s="14"/>
      <c r="H497" s="14"/>
      <c r="I497" s="14"/>
      <c r="J497" s="14"/>
      <c r="K497" s="12"/>
    </row>
    <row r="498" ht="19.5" customHeight="1">
      <c r="A498" s="12"/>
      <c r="C498" s="12"/>
      <c r="D498" s="87"/>
      <c r="F498" s="14"/>
      <c r="G498" s="14"/>
      <c r="H498" s="14"/>
      <c r="I498" s="14"/>
      <c r="J498" s="14"/>
      <c r="K498" s="12"/>
    </row>
    <row r="499" ht="19.5" customHeight="1">
      <c r="A499" s="12"/>
      <c r="C499" s="12"/>
      <c r="D499" s="87"/>
      <c r="F499" s="14"/>
      <c r="G499" s="14"/>
      <c r="H499" s="14"/>
      <c r="I499" s="14"/>
      <c r="J499" s="14"/>
      <c r="K499" s="12"/>
    </row>
    <row r="500" ht="19.5" customHeight="1">
      <c r="A500" s="12"/>
      <c r="C500" s="12"/>
      <c r="D500" s="87"/>
      <c r="F500" s="14"/>
      <c r="G500" s="14"/>
      <c r="H500" s="14"/>
      <c r="I500" s="14"/>
      <c r="J500" s="14"/>
      <c r="K500" s="12"/>
    </row>
    <row r="501" ht="19.5" customHeight="1">
      <c r="A501" s="12"/>
      <c r="C501" s="12"/>
      <c r="D501" s="87"/>
      <c r="F501" s="14"/>
      <c r="G501" s="14"/>
      <c r="H501" s="14"/>
      <c r="I501" s="14"/>
      <c r="J501" s="14"/>
      <c r="K501" s="12"/>
    </row>
    <row r="502" ht="19.5" customHeight="1">
      <c r="A502" s="12"/>
      <c r="C502" s="12"/>
      <c r="D502" s="87"/>
      <c r="F502" s="14"/>
      <c r="G502" s="14"/>
      <c r="H502" s="14"/>
      <c r="I502" s="14"/>
      <c r="J502" s="14"/>
      <c r="K502" s="12"/>
    </row>
    <row r="503" ht="19.5" customHeight="1">
      <c r="A503" s="12"/>
      <c r="C503" s="12"/>
      <c r="D503" s="87"/>
      <c r="F503" s="14"/>
      <c r="G503" s="14"/>
      <c r="H503" s="14"/>
      <c r="I503" s="14"/>
      <c r="J503" s="14"/>
      <c r="K503" s="12"/>
    </row>
    <row r="504" ht="19.5" customHeight="1">
      <c r="A504" s="12"/>
      <c r="C504" s="12"/>
      <c r="D504" s="87"/>
      <c r="F504" s="14"/>
      <c r="G504" s="14"/>
      <c r="H504" s="14"/>
      <c r="I504" s="14"/>
      <c r="J504" s="14"/>
      <c r="K504" s="12"/>
    </row>
    <row r="505" ht="19.5" customHeight="1">
      <c r="A505" s="12"/>
      <c r="C505" s="12"/>
      <c r="D505" s="87"/>
      <c r="F505" s="14"/>
      <c r="G505" s="14"/>
      <c r="H505" s="14"/>
      <c r="I505" s="14"/>
      <c r="J505" s="14"/>
      <c r="K505" s="12"/>
    </row>
    <row r="506" ht="19.5" customHeight="1">
      <c r="A506" s="12"/>
      <c r="C506" s="12"/>
      <c r="D506" s="87"/>
      <c r="F506" s="14"/>
      <c r="G506" s="14"/>
      <c r="H506" s="14"/>
      <c r="I506" s="14"/>
      <c r="J506" s="14"/>
      <c r="K506" s="12"/>
    </row>
    <row r="507" ht="19.5" customHeight="1">
      <c r="A507" s="12"/>
      <c r="C507" s="12"/>
      <c r="D507" s="87"/>
      <c r="F507" s="14"/>
      <c r="G507" s="14"/>
      <c r="H507" s="14"/>
      <c r="I507" s="14"/>
      <c r="J507" s="14"/>
      <c r="K507" s="12"/>
    </row>
    <row r="508" ht="19.5" customHeight="1">
      <c r="A508" s="12"/>
      <c r="C508" s="12"/>
      <c r="D508" s="87"/>
      <c r="F508" s="14"/>
      <c r="G508" s="14"/>
      <c r="H508" s="14"/>
      <c r="I508" s="14"/>
      <c r="J508" s="14"/>
      <c r="K508" s="12"/>
    </row>
    <row r="509" ht="19.5" customHeight="1">
      <c r="A509" s="12"/>
      <c r="C509" s="12"/>
      <c r="D509" s="87"/>
      <c r="F509" s="14"/>
      <c r="G509" s="14"/>
      <c r="H509" s="14"/>
      <c r="I509" s="14"/>
      <c r="J509" s="14"/>
      <c r="K509" s="12"/>
    </row>
    <row r="510" ht="19.5" customHeight="1">
      <c r="A510" s="12"/>
      <c r="C510" s="12"/>
      <c r="D510" s="87"/>
      <c r="F510" s="14"/>
      <c r="G510" s="14"/>
      <c r="H510" s="14"/>
      <c r="I510" s="14"/>
      <c r="J510" s="14"/>
      <c r="K510" s="12"/>
    </row>
    <row r="511" ht="19.5" customHeight="1">
      <c r="A511" s="12"/>
      <c r="C511" s="12"/>
      <c r="D511" s="87"/>
      <c r="F511" s="14"/>
      <c r="G511" s="14"/>
      <c r="H511" s="14"/>
      <c r="I511" s="14"/>
      <c r="J511" s="14"/>
      <c r="K511" s="12"/>
    </row>
    <row r="512" ht="19.5" customHeight="1">
      <c r="A512" s="12"/>
      <c r="C512" s="12"/>
      <c r="D512" s="87"/>
      <c r="F512" s="14"/>
      <c r="G512" s="14"/>
      <c r="H512" s="14"/>
      <c r="I512" s="14"/>
      <c r="J512" s="14"/>
      <c r="K512" s="12"/>
    </row>
    <row r="513" ht="19.5" customHeight="1">
      <c r="A513" s="12"/>
      <c r="C513" s="12"/>
      <c r="D513" s="87"/>
      <c r="F513" s="14"/>
      <c r="G513" s="14"/>
      <c r="H513" s="14"/>
      <c r="I513" s="14"/>
      <c r="J513" s="14"/>
      <c r="K513" s="12"/>
    </row>
    <row r="514" ht="19.5" customHeight="1">
      <c r="A514" s="12"/>
      <c r="C514" s="12"/>
      <c r="D514" s="87"/>
      <c r="F514" s="14"/>
      <c r="G514" s="14"/>
      <c r="H514" s="14"/>
      <c r="I514" s="14"/>
      <c r="J514" s="14"/>
      <c r="K514" s="12"/>
    </row>
    <row r="515" ht="19.5" customHeight="1">
      <c r="A515" s="12"/>
      <c r="C515" s="12"/>
      <c r="D515" s="87"/>
      <c r="F515" s="14"/>
      <c r="G515" s="14"/>
      <c r="H515" s="14"/>
      <c r="I515" s="14"/>
      <c r="J515" s="14"/>
      <c r="K515" s="12"/>
    </row>
    <row r="516" ht="19.5" customHeight="1">
      <c r="A516" s="12"/>
      <c r="C516" s="12"/>
      <c r="D516" s="87"/>
      <c r="F516" s="14"/>
      <c r="G516" s="14"/>
      <c r="H516" s="14"/>
      <c r="I516" s="14"/>
      <c r="J516" s="14"/>
      <c r="K516" s="12"/>
    </row>
    <row r="517" ht="19.5" customHeight="1">
      <c r="A517" s="12"/>
      <c r="C517" s="12"/>
      <c r="D517" s="87"/>
      <c r="F517" s="14"/>
      <c r="G517" s="14"/>
      <c r="H517" s="14"/>
      <c r="I517" s="14"/>
      <c r="J517" s="14"/>
      <c r="K517" s="12"/>
    </row>
    <row r="518" ht="19.5" customHeight="1">
      <c r="A518" s="12"/>
      <c r="C518" s="12"/>
      <c r="D518" s="87"/>
      <c r="F518" s="14"/>
      <c r="G518" s="14"/>
      <c r="H518" s="14"/>
      <c r="I518" s="14"/>
      <c r="J518" s="14"/>
      <c r="K518" s="12"/>
    </row>
    <row r="519" ht="19.5" customHeight="1">
      <c r="A519" s="12"/>
      <c r="C519" s="12"/>
      <c r="D519" s="87"/>
      <c r="F519" s="14"/>
      <c r="G519" s="14"/>
      <c r="H519" s="14"/>
      <c r="I519" s="14"/>
      <c r="J519" s="14"/>
      <c r="K519" s="12"/>
    </row>
    <row r="520" ht="19.5" customHeight="1">
      <c r="A520" s="12"/>
      <c r="C520" s="12"/>
      <c r="D520" s="87"/>
      <c r="F520" s="14"/>
      <c r="G520" s="14"/>
      <c r="H520" s="14"/>
      <c r="I520" s="14"/>
      <c r="J520" s="14"/>
      <c r="K520" s="12"/>
    </row>
    <row r="521" ht="19.5" customHeight="1">
      <c r="A521" s="12"/>
      <c r="C521" s="12"/>
      <c r="D521" s="87"/>
      <c r="F521" s="14"/>
      <c r="G521" s="14"/>
      <c r="H521" s="14"/>
      <c r="I521" s="14"/>
      <c r="J521" s="14"/>
      <c r="K521" s="12"/>
    </row>
    <row r="522" ht="19.5" customHeight="1">
      <c r="A522" s="12"/>
      <c r="C522" s="12"/>
      <c r="D522" s="87"/>
      <c r="F522" s="14"/>
      <c r="G522" s="14"/>
      <c r="H522" s="14"/>
      <c r="I522" s="14"/>
      <c r="J522" s="14"/>
      <c r="K522" s="12"/>
    </row>
    <row r="523" ht="19.5" customHeight="1">
      <c r="A523" s="12"/>
      <c r="C523" s="12"/>
      <c r="D523" s="87"/>
      <c r="F523" s="14"/>
      <c r="G523" s="14"/>
      <c r="H523" s="14"/>
      <c r="I523" s="14"/>
      <c r="J523" s="14"/>
      <c r="K523" s="12"/>
    </row>
    <row r="524" ht="19.5" customHeight="1">
      <c r="A524" s="12"/>
      <c r="C524" s="12"/>
      <c r="D524" s="87"/>
      <c r="F524" s="14"/>
      <c r="G524" s="14"/>
      <c r="H524" s="14"/>
      <c r="I524" s="14"/>
      <c r="J524" s="14"/>
      <c r="K524" s="12"/>
    </row>
    <row r="525" ht="19.5" customHeight="1">
      <c r="A525" s="12"/>
      <c r="C525" s="12"/>
      <c r="D525" s="87"/>
      <c r="F525" s="14"/>
      <c r="G525" s="14"/>
      <c r="H525" s="14"/>
      <c r="I525" s="14"/>
      <c r="J525" s="14"/>
      <c r="K525" s="12"/>
    </row>
    <row r="526" ht="19.5" customHeight="1">
      <c r="A526" s="12"/>
      <c r="C526" s="12"/>
      <c r="D526" s="87"/>
      <c r="F526" s="14"/>
      <c r="G526" s="14"/>
      <c r="H526" s="14"/>
      <c r="I526" s="14"/>
      <c r="J526" s="14"/>
      <c r="K526" s="12"/>
    </row>
    <row r="527" ht="19.5" customHeight="1">
      <c r="A527" s="12"/>
      <c r="C527" s="12"/>
      <c r="D527" s="87"/>
      <c r="F527" s="14"/>
      <c r="G527" s="14"/>
      <c r="H527" s="14"/>
      <c r="I527" s="14"/>
      <c r="J527" s="14"/>
      <c r="K527" s="12"/>
    </row>
    <row r="528" ht="19.5" customHeight="1">
      <c r="A528" s="12"/>
      <c r="C528" s="12"/>
      <c r="D528" s="87"/>
      <c r="F528" s="14"/>
      <c r="G528" s="14"/>
      <c r="H528" s="14"/>
      <c r="I528" s="14"/>
      <c r="J528" s="14"/>
      <c r="K528" s="12"/>
    </row>
    <row r="529" ht="19.5" customHeight="1">
      <c r="A529" s="12"/>
      <c r="C529" s="12"/>
      <c r="D529" s="87"/>
      <c r="F529" s="14"/>
      <c r="G529" s="14"/>
      <c r="H529" s="14"/>
      <c r="I529" s="14"/>
      <c r="J529" s="14"/>
      <c r="K529" s="12"/>
    </row>
    <row r="530" ht="19.5" customHeight="1">
      <c r="A530" s="12"/>
      <c r="C530" s="12"/>
      <c r="D530" s="87"/>
      <c r="F530" s="14"/>
      <c r="G530" s="14"/>
      <c r="H530" s="14"/>
      <c r="I530" s="14"/>
      <c r="J530" s="14"/>
      <c r="K530" s="12"/>
    </row>
    <row r="531" ht="19.5" customHeight="1">
      <c r="A531" s="12"/>
      <c r="C531" s="12"/>
      <c r="D531" s="87"/>
      <c r="F531" s="14"/>
      <c r="G531" s="14"/>
      <c r="H531" s="14"/>
      <c r="I531" s="14"/>
      <c r="J531" s="14"/>
      <c r="K531" s="12"/>
    </row>
    <row r="532" ht="19.5" customHeight="1">
      <c r="A532" s="12"/>
      <c r="C532" s="12"/>
      <c r="D532" s="87"/>
      <c r="F532" s="14"/>
      <c r="G532" s="14"/>
      <c r="H532" s="14"/>
      <c r="I532" s="14"/>
      <c r="J532" s="14"/>
      <c r="K532" s="12"/>
    </row>
    <row r="533" ht="19.5" customHeight="1">
      <c r="A533" s="12"/>
      <c r="C533" s="12"/>
      <c r="D533" s="87"/>
      <c r="F533" s="14"/>
      <c r="G533" s="14"/>
      <c r="H533" s="14"/>
      <c r="I533" s="14"/>
      <c r="J533" s="14"/>
      <c r="K533" s="12"/>
    </row>
    <row r="534" ht="19.5" customHeight="1">
      <c r="A534" s="12"/>
      <c r="C534" s="12"/>
      <c r="D534" s="87"/>
      <c r="F534" s="14"/>
      <c r="G534" s="14"/>
      <c r="H534" s="14"/>
      <c r="I534" s="14"/>
      <c r="J534" s="14"/>
      <c r="K534" s="12"/>
    </row>
    <row r="535" ht="19.5" customHeight="1">
      <c r="A535" s="12"/>
      <c r="C535" s="12"/>
      <c r="D535" s="87"/>
      <c r="F535" s="14"/>
      <c r="G535" s="14"/>
      <c r="H535" s="14"/>
      <c r="I535" s="14"/>
      <c r="J535" s="14"/>
      <c r="K535" s="12"/>
    </row>
    <row r="536" ht="19.5" customHeight="1">
      <c r="A536" s="12"/>
      <c r="C536" s="12"/>
      <c r="D536" s="87"/>
      <c r="F536" s="14"/>
      <c r="G536" s="14"/>
      <c r="H536" s="14"/>
      <c r="I536" s="14"/>
      <c r="J536" s="14"/>
      <c r="K536" s="12"/>
    </row>
    <row r="537" ht="19.5" customHeight="1">
      <c r="A537" s="12"/>
      <c r="C537" s="12"/>
      <c r="D537" s="87"/>
      <c r="F537" s="14"/>
      <c r="G537" s="14"/>
      <c r="H537" s="14"/>
      <c r="I537" s="14"/>
      <c r="J537" s="14"/>
      <c r="K537" s="12"/>
    </row>
    <row r="538" ht="19.5" customHeight="1">
      <c r="A538" s="12"/>
      <c r="C538" s="12"/>
      <c r="D538" s="87"/>
      <c r="F538" s="14"/>
      <c r="G538" s="14"/>
      <c r="H538" s="14"/>
      <c r="I538" s="14"/>
      <c r="J538" s="14"/>
      <c r="K538" s="12"/>
    </row>
    <row r="539" ht="19.5" customHeight="1">
      <c r="A539" s="12"/>
      <c r="C539" s="12"/>
      <c r="D539" s="87"/>
      <c r="F539" s="14"/>
      <c r="G539" s="14"/>
      <c r="H539" s="14"/>
      <c r="I539" s="14"/>
      <c r="J539" s="14"/>
      <c r="K539" s="12"/>
    </row>
    <row r="540" ht="19.5" customHeight="1">
      <c r="A540" s="12"/>
      <c r="C540" s="12"/>
      <c r="D540" s="87"/>
      <c r="F540" s="14"/>
      <c r="G540" s="14"/>
      <c r="H540" s="14"/>
      <c r="I540" s="14"/>
      <c r="J540" s="14"/>
      <c r="K540" s="12"/>
    </row>
    <row r="541" ht="19.5" customHeight="1">
      <c r="A541" s="12"/>
      <c r="C541" s="12"/>
      <c r="D541" s="87"/>
      <c r="F541" s="14"/>
      <c r="G541" s="14"/>
      <c r="H541" s="14"/>
      <c r="I541" s="14"/>
      <c r="J541" s="14"/>
      <c r="K541" s="12"/>
    </row>
    <row r="542" ht="19.5" customHeight="1">
      <c r="A542" s="12"/>
      <c r="C542" s="12"/>
      <c r="D542" s="87"/>
      <c r="F542" s="14"/>
      <c r="G542" s="14"/>
      <c r="H542" s="14"/>
      <c r="I542" s="14"/>
      <c r="J542" s="14"/>
      <c r="K542" s="12"/>
    </row>
    <row r="543" ht="19.5" customHeight="1">
      <c r="A543" s="12"/>
      <c r="C543" s="12"/>
      <c r="D543" s="87"/>
      <c r="F543" s="14"/>
      <c r="G543" s="14"/>
      <c r="H543" s="14"/>
      <c r="I543" s="14"/>
      <c r="J543" s="14"/>
      <c r="K543" s="12"/>
    </row>
    <row r="544" ht="19.5" customHeight="1">
      <c r="A544" s="12"/>
      <c r="C544" s="12"/>
      <c r="D544" s="87"/>
      <c r="F544" s="14"/>
      <c r="G544" s="14"/>
      <c r="H544" s="14"/>
      <c r="I544" s="14"/>
      <c r="J544" s="14"/>
      <c r="K544" s="12"/>
    </row>
    <row r="545" ht="19.5" customHeight="1">
      <c r="A545" s="12"/>
      <c r="C545" s="12"/>
      <c r="D545" s="87"/>
      <c r="F545" s="14"/>
      <c r="G545" s="14"/>
      <c r="H545" s="14"/>
      <c r="I545" s="14"/>
      <c r="J545" s="14"/>
      <c r="K545" s="12"/>
    </row>
    <row r="546" ht="19.5" customHeight="1">
      <c r="A546" s="12"/>
      <c r="C546" s="12"/>
      <c r="D546" s="87"/>
      <c r="F546" s="14"/>
      <c r="G546" s="14"/>
      <c r="H546" s="14"/>
      <c r="I546" s="14"/>
      <c r="J546" s="14"/>
      <c r="K546" s="12"/>
    </row>
    <row r="547" ht="19.5" customHeight="1">
      <c r="A547" s="12"/>
      <c r="C547" s="12"/>
      <c r="D547" s="87"/>
      <c r="F547" s="14"/>
      <c r="G547" s="14"/>
      <c r="H547" s="14"/>
      <c r="I547" s="14"/>
      <c r="J547" s="14"/>
      <c r="K547" s="12"/>
    </row>
    <row r="548" ht="19.5" customHeight="1">
      <c r="A548" s="12"/>
      <c r="C548" s="12"/>
      <c r="D548" s="87"/>
      <c r="F548" s="14"/>
      <c r="G548" s="14"/>
      <c r="H548" s="14"/>
      <c r="I548" s="14"/>
      <c r="J548" s="14"/>
      <c r="K548" s="12"/>
    </row>
    <row r="549" ht="19.5" customHeight="1">
      <c r="A549" s="12"/>
      <c r="C549" s="12"/>
      <c r="D549" s="87"/>
      <c r="F549" s="14"/>
      <c r="G549" s="14"/>
      <c r="H549" s="14"/>
      <c r="I549" s="14"/>
      <c r="J549" s="14"/>
      <c r="K549" s="12"/>
    </row>
    <row r="550" ht="19.5" customHeight="1">
      <c r="A550" s="12"/>
      <c r="C550" s="12"/>
      <c r="D550" s="87"/>
      <c r="F550" s="14"/>
      <c r="G550" s="14"/>
      <c r="H550" s="14"/>
      <c r="I550" s="14"/>
      <c r="J550" s="14"/>
      <c r="K550" s="12"/>
    </row>
    <row r="551" ht="19.5" customHeight="1">
      <c r="A551" s="12"/>
      <c r="C551" s="12"/>
      <c r="D551" s="87"/>
      <c r="F551" s="14"/>
      <c r="G551" s="14"/>
      <c r="H551" s="14"/>
      <c r="I551" s="14"/>
      <c r="J551" s="14"/>
      <c r="K551" s="12"/>
    </row>
    <row r="552" ht="19.5" customHeight="1">
      <c r="A552" s="12"/>
      <c r="C552" s="12"/>
      <c r="D552" s="87"/>
      <c r="F552" s="14"/>
      <c r="G552" s="14"/>
      <c r="H552" s="14"/>
      <c r="I552" s="14"/>
      <c r="J552" s="14"/>
      <c r="K552" s="12"/>
    </row>
    <row r="553" ht="19.5" customHeight="1">
      <c r="A553" s="12"/>
      <c r="C553" s="12"/>
      <c r="D553" s="87"/>
      <c r="F553" s="14"/>
      <c r="G553" s="14"/>
      <c r="H553" s="14"/>
      <c r="I553" s="14"/>
      <c r="J553" s="14"/>
      <c r="K553" s="12"/>
    </row>
    <row r="554" ht="19.5" customHeight="1">
      <c r="A554" s="12"/>
      <c r="C554" s="12"/>
      <c r="D554" s="87"/>
      <c r="F554" s="14"/>
      <c r="G554" s="14"/>
      <c r="H554" s="14"/>
      <c r="I554" s="14"/>
      <c r="J554" s="14"/>
      <c r="K554" s="12"/>
    </row>
    <row r="555" ht="19.5" customHeight="1">
      <c r="A555" s="12"/>
      <c r="C555" s="12"/>
      <c r="D555" s="87"/>
      <c r="F555" s="14"/>
      <c r="G555" s="14"/>
      <c r="H555" s="14"/>
      <c r="I555" s="14"/>
      <c r="J555" s="14"/>
      <c r="K555" s="12"/>
    </row>
    <row r="556" ht="19.5" customHeight="1">
      <c r="A556" s="12"/>
      <c r="C556" s="12"/>
      <c r="D556" s="87"/>
      <c r="F556" s="14"/>
      <c r="G556" s="14"/>
      <c r="H556" s="14"/>
      <c r="I556" s="14"/>
      <c r="J556" s="14"/>
      <c r="K556" s="12"/>
    </row>
    <row r="557" ht="19.5" customHeight="1">
      <c r="A557" s="12"/>
      <c r="C557" s="12"/>
      <c r="D557" s="87"/>
      <c r="F557" s="14"/>
      <c r="G557" s="14"/>
      <c r="H557" s="14"/>
      <c r="I557" s="14"/>
      <c r="J557" s="14"/>
      <c r="K557" s="12"/>
    </row>
    <row r="558" ht="19.5" customHeight="1">
      <c r="A558" s="12"/>
      <c r="C558" s="12"/>
      <c r="D558" s="87"/>
      <c r="F558" s="14"/>
      <c r="G558" s="14"/>
      <c r="H558" s="14"/>
      <c r="I558" s="14"/>
      <c r="J558" s="14"/>
      <c r="K558" s="12"/>
    </row>
    <row r="559" ht="19.5" customHeight="1">
      <c r="A559" s="12"/>
      <c r="C559" s="12"/>
      <c r="D559" s="87"/>
      <c r="F559" s="14"/>
      <c r="G559" s="14"/>
      <c r="H559" s="14"/>
      <c r="I559" s="14"/>
      <c r="J559" s="14"/>
      <c r="K559" s="12"/>
    </row>
    <row r="560" ht="19.5" customHeight="1">
      <c r="A560" s="12"/>
      <c r="C560" s="12"/>
      <c r="D560" s="87"/>
      <c r="F560" s="14"/>
      <c r="G560" s="14"/>
      <c r="H560" s="14"/>
      <c r="I560" s="14"/>
      <c r="J560" s="14"/>
      <c r="K560" s="12"/>
    </row>
    <row r="561" ht="19.5" customHeight="1">
      <c r="A561" s="12"/>
      <c r="C561" s="12"/>
      <c r="D561" s="87"/>
      <c r="F561" s="14"/>
      <c r="G561" s="14"/>
      <c r="H561" s="14"/>
      <c r="I561" s="14"/>
      <c r="J561" s="14"/>
      <c r="K561" s="12"/>
    </row>
    <row r="562" ht="19.5" customHeight="1">
      <c r="A562" s="12"/>
      <c r="C562" s="12"/>
      <c r="D562" s="87"/>
      <c r="F562" s="14"/>
      <c r="G562" s="14"/>
      <c r="H562" s="14"/>
      <c r="I562" s="14"/>
      <c r="J562" s="14"/>
      <c r="K562" s="12"/>
    </row>
    <row r="563" ht="19.5" customHeight="1">
      <c r="A563" s="12"/>
      <c r="C563" s="12"/>
      <c r="D563" s="87"/>
      <c r="F563" s="14"/>
      <c r="G563" s="14"/>
      <c r="H563" s="14"/>
      <c r="I563" s="14"/>
      <c r="J563" s="14"/>
      <c r="K563" s="12"/>
    </row>
    <row r="564" ht="19.5" customHeight="1">
      <c r="A564" s="12"/>
      <c r="C564" s="12"/>
      <c r="D564" s="87"/>
      <c r="F564" s="14"/>
      <c r="G564" s="14"/>
      <c r="H564" s="14"/>
      <c r="I564" s="14"/>
      <c r="J564" s="14"/>
      <c r="K564" s="12"/>
    </row>
    <row r="565" ht="19.5" customHeight="1">
      <c r="A565" s="12"/>
      <c r="C565" s="12"/>
      <c r="D565" s="87"/>
      <c r="F565" s="14"/>
      <c r="G565" s="14"/>
      <c r="H565" s="14"/>
      <c r="I565" s="14"/>
      <c r="J565" s="14"/>
      <c r="K565" s="12"/>
    </row>
    <row r="566" ht="19.5" customHeight="1">
      <c r="A566" s="12"/>
      <c r="C566" s="12"/>
      <c r="D566" s="87"/>
      <c r="F566" s="14"/>
      <c r="G566" s="14"/>
      <c r="H566" s="14"/>
      <c r="I566" s="14"/>
      <c r="J566" s="14"/>
      <c r="K566" s="12"/>
    </row>
    <row r="567" ht="19.5" customHeight="1">
      <c r="A567" s="12"/>
      <c r="C567" s="12"/>
      <c r="D567" s="87"/>
      <c r="F567" s="14"/>
      <c r="G567" s="14"/>
      <c r="H567" s="14"/>
      <c r="I567" s="14"/>
      <c r="J567" s="14"/>
      <c r="K567" s="12"/>
    </row>
    <row r="568" ht="19.5" customHeight="1">
      <c r="A568" s="12"/>
      <c r="C568" s="12"/>
      <c r="D568" s="87"/>
      <c r="F568" s="14"/>
      <c r="G568" s="14"/>
      <c r="H568" s="14"/>
      <c r="I568" s="14"/>
      <c r="J568" s="14"/>
      <c r="K568" s="12"/>
    </row>
    <row r="569" ht="19.5" customHeight="1">
      <c r="A569" s="12"/>
      <c r="C569" s="12"/>
      <c r="D569" s="87"/>
      <c r="F569" s="14"/>
      <c r="G569" s="14"/>
      <c r="H569" s="14"/>
      <c r="I569" s="14"/>
      <c r="J569" s="14"/>
      <c r="K569" s="12"/>
    </row>
    <row r="570" ht="19.5" customHeight="1">
      <c r="A570" s="12"/>
      <c r="C570" s="12"/>
      <c r="D570" s="87"/>
      <c r="F570" s="14"/>
      <c r="G570" s="14"/>
      <c r="H570" s="14"/>
      <c r="I570" s="14"/>
      <c r="J570" s="14"/>
      <c r="K570" s="12"/>
    </row>
    <row r="571" ht="19.5" customHeight="1">
      <c r="A571" s="12"/>
      <c r="C571" s="12"/>
      <c r="D571" s="87"/>
      <c r="F571" s="14"/>
      <c r="G571" s="14"/>
      <c r="H571" s="14"/>
      <c r="I571" s="14"/>
      <c r="J571" s="14"/>
      <c r="K571" s="12"/>
    </row>
    <row r="572" ht="19.5" customHeight="1">
      <c r="A572" s="12"/>
      <c r="C572" s="12"/>
      <c r="D572" s="87"/>
      <c r="F572" s="14"/>
      <c r="G572" s="14"/>
      <c r="H572" s="14"/>
      <c r="I572" s="14"/>
      <c r="J572" s="14"/>
      <c r="K572" s="12"/>
    </row>
    <row r="573" ht="19.5" customHeight="1">
      <c r="A573" s="12"/>
      <c r="C573" s="12"/>
      <c r="D573" s="87"/>
      <c r="F573" s="14"/>
      <c r="G573" s="14"/>
      <c r="H573" s="14"/>
      <c r="I573" s="14"/>
      <c r="J573" s="14"/>
      <c r="K573" s="12"/>
    </row>
    <row r="574" ht="19.5" customHeight="1">
      <c r="A574" s="12"/>
      <c r="C574" s="12"/>
      <c r="D574" s="87"/>
      <c r="F574" s="14"/>
      <c r="G574" s="14"/>
      <c r="H574" s="14"/>
      <c r="I574" s="14"/>
      <c r="J574" s="14"/>
      <c r="K574" s="12"/>
    </row>
    <row r="575" ht="19.5" customHeight="1">
      <c r="A575" s="12"/>
      <c r="C575" s="12"/>
      <c r="D575" s="87"/>
      <c r="F575" s="14"/>
      <c r="G575" s="14"/>
      <c r="H575" s="14"/>
      <c r="I575" s="14"/>
      <c r="J575" s="14"/>
      <c r="K575" s="12"/>
    </row>
    <row r="576" ht="19.5" customHeight="1">
      <c r="A576" s="12"/>
      <c r="C576" s="12"/>
      <c r="D576" s="87"/>
      <c r="F576" s="14"/>
      <c r="G576" s="14"/>
      <c r="H576" s="14"/>
      <c r="I576" s="14"/>
      <c r="J576" s="14"/>
      <c r="K576" s="12"/>
    </row>
    <row r="577" ht="19.5" customHeight="1">
      <c r="A577" s="12"/>
      <c r="C577" s="12"/>
      <c r="D577" s="87"/>
      <c r="F577" s="14"/>
      <c r="G577" s="14"/>
      <c r="H577" s="14"/>
      <c r="I577" s="14"/>
      <c r="J577" s="14"/>
      <c r="K577" s="12"/>
    </row>
    <row r="578" ht="19.5" customHeight="1">
      <c r="A578" s="12"/>
      <c r="C578" s="12"/>
      <c r="D578" s="87"/>
      <c r="F578" s="14"/>
      <c r="G578" s="14"/>
      <c r="H578" s="14"/>
      <c r="I578" s="14"/>
      <c r="J578" s="14"/>
      <c r="K578" s="12"/>
    </row>
    <row r="579" ht="19.5" customHeight="1">
      <c r="A579" s="12"/>
      <c r="C579" s="12"/>
      <c r="D579" s="87"/>
      <c r="F579" s="14"/>
      <c r="G579" s="14"/>
      <c r="H579" s="14"/>
      <c r="I579" s="14"/>
      <c r="J579" s="14"/>
      <c r="K579" s="12"/>
    </row>
    <row r="580" ht="19.5" customHeight="1">
      <c r="A580" s="12"/>
      <c r="C580" s="12"/>
      <c r="D580" s="87"/>
      <c r="F580" s="14"/>
      <c r="G580" s="14"/>
      <c r="H580" s="14"/>
      <c r="I580" s="14"/>
      <c r="J580" s="14"/>
      <c r="K580" s="12"/>
    </row>
    <row r="581" ht="19.5" customHeight="1">
      <c r="A581" s="12"/>
      <c r="C581" s="12"/>
      <c r="D581" s="87"/>
      <c r="F581" s="14"/>
      <c r="G581" s="14"/>
      <c r="H581" s="14"/>
      <c r="I581" s="14"/>
      <c r="J581" s="14"/>
      <c r="K581" s="12"/>
    </row>
    <row r="582" ht="19.5" customHeight="1">
      <c r="A582" s="12"/>
      <c r="C582" s="12"/>
      <c r="D582" s="87"/>
      <c r="F582" s="14"/>
      <c r="G582" s="14"/>
      <c r="H582" s="14"/>
      <c r="I582" s="14"/>
      <c r="J582" s="14"/>
      <c r="K582" s="12"/>
    </row>
    <row r="583" ht="19.5" customHeight="1">
      <c r="A583" s="12"/>
      <c r="C583" s="12"/>
      <c r="D583" s="87"/>
      <c r="F583" s="14"/>
      <c r="G583" s="14"/>
      <c r="H583" s="14"/>
      <c r="I583" s="14"/>
      <c r="J583" s="14"/>
      <c r="K583" s="12"/>
    </row>
    <row r="584" ht="19.5" customHeight="1">
      <c r="A584" s="12"/>
      <c r="C584" s="12"/>
      <c r="D584" s="87"/>
      <c r="F584" s="14"/>
      <c r="G584" s="14"/>
      <c r="H584" s="14"/>
      <c r="I584" s="14"/>
      <c r="J584" s="14"/>
      <c r="K584" s="12"/>
    </row>
    <row r="585" ht="19.5" customHeight="1">
      <c r="A585" s="12"/>
      <c r="C585" s="12"/>
      <c r="D585" s="87"/>
      <c r="F585" s="14"/>
      <c r="G585" s="14"/>
      <c r="H585" s="14"/>
      <c r="I585" s="14"/>
      <c r="J585" s="14"/>
      <c r="K585" s="12"/>
    </row>
    <row r="586" ht="19.5" customHeight="1">
      <c r="A586" s="12"/>
      <c r="C586" s="12"/>
      <c r="D586" s="87"/>
      <c r="F586" s="14"/>
      <c r="G586" s="14"/>
      <c r="H586" s="14"/>
      <c r="I586" s="14"/>
      <c r="J586" s="14"/>
      <c r="K586" s="12"/>
    </row>
    <row r="587" ht="19.5" customHeight="1">
      <c r="A587" s="12"/>
      <c r="C587" s="12"/>
      <c r="D587" s="87"/>
      <c r="F587" s="14"/>
      <c r="G587" s="14"/>
      <c r="H587" s="14"/>
      <c r="I587" s="14"/>
      <c r="J587" s="14"/>
      <c r="K587" s="12"/>
    </row>
    <row r="588" ht="19.5" customHeight="1">
      <c r="A588" s="12"/>
      <c r="C588" s="12"/>
      <c r="D588" s="87"/>
      <c r="F588" s="14"/>
      <c r="G588" s="14"/>
      <c r="H588" s="14"/>
      <c r="I588" s="14"/>
      <c r="J588" s="14"/>
      <c r="K588" s="12"/>
    </row>
    <row r="589" ht="19.5" customHeight="1">
      <c r="A589" s="12"/>
      <c r="C589" s="12"/>
      <c r="D589" s="87"/>
      <c r="F589" s="14"/>
      <c r="G589" s="14"/>
      <c r="H589" s="14"/>
      <c r="I589" s="14"/>
      <c r="J589" s="14"/>
      <c r="K589" s="12"/>
    </row>
    <row r="590" ht="19.5" customHeight="1">
      <c r="A590" s="12"/>
      <c r="C590" s="12"/>
      <c r="D590" s="87"/>
      <c r="F590" s="14"/>
      <c r="G590" s="14"/>
      <c r="H590" s="14"/>
      <c r="I590" s="14"/>
      <c r="J590" s="14"/>
      <c r="K590" s="12"/>
    </row>
    <row r="591" ht="19.5" customHeight="1">
      <c r="A591" s="12"/>
      <c r="C591" s="12"/>
      <c r="D591" s="87"/>
      <c r="F591" s="14"/>
      <c r="G591" s="14"/>
      <c r="H591" s="14"/>
      <c r="I591" s="14"/>
      <c r="J591" s="14"/>
      <c r="K591" s="12"/>
    </row>
    <row r="592" ht="19.5" customHeight="1">
      <c r="A592" s="12"/>
      <c r="C592" s="12"/>
      <c r="D592" s="87"/>
      <c r="F592" s="14"/>
      <c r="G592" s="14"/>
      <c r="H592" s="14"/>
      <c r="I592" s="14"/>
      <c r="J592" s="14"/>
      <c r="K592" s="12"/>
    </row>
    <row r="593" ht="19.5" customHeight="1">
      <c r="A593" s="12"/>
      <c r="C593" s="12"/>
      <c r="D593" s="87"/>
      <c r="F593" s="14"/>
      <c r="G593" s="14"/>
      <c r="H593" s="14"/>
      <c r="I593" s="14"/>
      <c r="J593" s="14"/>
      <c r="K593" s="12"/>
    </row>
    <row r="594" ht="19.5" customHeight="1">
      <c r="A594" s="12"/>
      <c r="C594" s="12"/>
      <c r="D594" s="87"/>
      <c r="F594" s="14"/>
      <c r="G594" s="14"/>
      <c r="H594" s="14"/>
      <c r="I594" s="14"/>
      <c r="J594" s="14"/>
      <c r="K594" s="12"/>
    </row>
    <row r="595" ht="19.5" customHeight="1">
      <c r="A595" s="12"/>
      <c r="C595" s="12"/>
      <c r="D595" s="87"/>
      <c r="F595" s="14"/>
      <c r="G595" s="14"/>
      <c r="H595" s="14"/>
      <c r="I595" s="14"/>
      <c r="J595" s="14"/>
      <c r="K595" s="12"/>
    </row>
    <row r="596" ht="19.5" customHeight="1">
      <c r="A596" s="12"/>
      <c r="C596" s="12"/>
      <c r="D596" s="87"/>
      <c r="F596" s="14"/>
      <c r="G596" s="14"/>
      <c r="H596" s="14"/>
      <c r="I596" s="14"/>
      <c r="J596" s="14"/>
      <c r="K596" s="12"/>
    </row>
    <row r="597" ht="19.5" customHeight="1">
      <c r="A597" s="12"/>
      <c r="C597" s="12"/>
      <c r="D597" s="87"/>
      <c r="F597" s="14"/>
      <c r="G597" s="14"/>
      <c r="H597" s="14"/>
      <c r="I597" s="14"/>
      <c r="J597" s="14"/>
      <c r="K597" s="12"/>
    </row>
    <row r="598" ht="19.5" customHeight="1">
      <c r="A598" s="12"/>
      <c r="C598" s="12"/>
      <c r="D598" s="87"/>
      <c r="F598" s="14"/>
      <c r="G598" s="14"/>
      <c r="H598" s="14"/>
      <c r="I598" s="14"/>
      <c r="J598" s="14"/>
      <c r="K598" s="12"/>
    </row>
    <row r="599" ht="19.5" customHeight="1">
      <c r="A599" s="12"/>
      <c r="C599" s="12"/>
      <c r="D599" s="87"/>
      <c r="F599" s="14"/>
      <c r="G599" s="14"/>
      <c r="H599" s="14"/>
      <c r="I599" s="14"/>
      <c r="J599" s="14"/>
      <c r="K599" s="12"/>
    </row>
    <row r="600" ht="19.5" customHeight="1">
      <c r="A600" s="12"/>
      <c r="C600" s="12"/>
      <c r="D600" s="87"/>
      <c r="F600" s="14"/>
      <c r="G600" s="14"/>
      <c r="H600" s="14"/>
      <c r="I600" s="14"/>
      <c r="J600" s="14"/>
      <c r="K600" s="12"/>
    </row>
    <row r="601" ht="19.5" customHeight="1">
      <c r="A601" s="12"/>
      <c r="C601" s="12"/>
      <c r="D601" s="87"/>
      <c r="F601" s="14"/>
      <c r="G601" s="14"/>
      <c r="H601" s="14"/>
      <c r="I601" s="14"/>
      <c r="J601" s="14"/>
      <c r="K601" s="12"/>
    </row>
    <row r="602" ht="19.5" customHeight="1">
      <c r="A602" s="12"/>
      <c r="C602" s="12"/>
      <c r="D602" s="87"/>
      <c r="F602" s="14"/>
      <c r="G602" s="14"/>
      <c r="H602" s="14"/>
      <c r="I602" s="14"/>
      <c r="J602" s="14"/>
      <c r="K602" s="12"/>
    </row>
    <row r="603" ht="19.5" customHeight="1">
      <c r="A603" s="12"/>
      <c r="C603" s="12"/>
      <c r="D603" s="87"/>
      <c r="F603" s="14"/>
      <c r="G603" s="14"/>
      <c r="H603" s="14"/>
      <c r="I603" s="14"/>
      <c r="J603" s="14"/>
      <c r="K603" s="12"/>
    </row>
    <row r="604" ht="19.5" customHeight="1">
      <c r="A604" s="12"/>
      <c r="C604" s="12"/>
      <c r="D604" s="87"/>
      <c r="F604" s="14"/>
      <c r="G604" s="14"/>
      <c r="H604" s="14"/>
      <c r="I604" s="14"/>
      <c r="J604" s="14"/>
      <c r="K604" s="12"/>
    </row>
    <row r="605" ht="19.5" customHeight="1">
      <c r="A605" s="12"/>
      <c r="C605" s="12"/>
      <c r="D605" s="87"/>
      <c r="F605" s="14"/>
      <c r="G605" s="14"/>
      <c r="H605" s="14"/>
      <c r="I605" s="14"/>
      <c r="J605" s="14"/>
      <c r="K605" s="12"/>
    </row>
    <row r="606" ht="19.5" customHeight="1">
      <c r="A606" s="12"/>
      <c r="C606" s="12"/>
      <c r="D606" s="87"/>
      <c r="F606" s="14"/>
      <c r="G606" s="14"/>
      <c r="H606" s="14"/>
      <c r="I606" s="14"/>
      <c r="J606" s="14"/>
      <c r="K606" s="12"/>
    </row>
    <row r="607" ht="19.5" customHeight="1">
      <c r="A607" s="12"/>
      <c r="C607" s="12"/>
      <c r="D607" s="87"/>
      <c r="F607" s="14"/>
      <c r="G607" s="14"/>
      <c r="H607" s="14"/>
      <c r="I607" s="14"/>
      <c r="J607" s="14"/>
      <c r="K607" s="12"/>
    </row>
    <row r="608" ht="19.5" customHeight="1">
      <c r="A608" s="12"/>
      <c r="C608" s="12"/>
      <c r="D608" s="87"/>
      <c r="F608" s="14"/>
      <c r="G608" s="14"/>
      <c r="H608" s="14"/>
      <c r="I608" s="14"/>
      <c r="J608" s="14"/>
      <c r="K608" s="12"/>
    </row>
    <row r="609" ht="19.5" customHeight="1">
      <c r="A609" s="12"/>
      <c r="C609" s="12"/>
      <c r="D609" s="87"/>
      <c r="F609" s="14"/>
      <c r="G609" s="14"/>
      <c r="H609" s="14"/>
      <c r="I609" s="14"/>
      <c r="J609" s="14"/>
      <c r="K609" s="12"/>
    </row>
    <row r="610" ht="19.5" customHeight="1">
      <c r="A610" s="12"/>
      <c r="C610" s="12"/>
      <c r="D610" s="87"/>
      <c r="F610" s="14"/>
      <c r="G610" s="14"/>
      <c r="H610" s="14"/>
      <c r="I610" s="14"/>
      <c r="J610" s="14"/>
      <c r="K610" s="12"/>
    </row>
    <row r="611" ht="19.5" customHeight="1">
      <c r="A611" s="12"/>
      <c r="C611" s="12"/>
      <c r="D611" s="87"/>
      <c r="F611" s="14"/>
      <c r="G611" s="14"/>
      <c r="H611" s="14"/>
      <c r="I611" s="14"/>
      <c r="J611" s="14"/>
      <c r="K611" s="12"/>
    </row>
    <row r="612" ht="19.5" customHeight="1">
      <c r="A612" s="12"/>
      <c r="C612" s="12"/>
      <c r="D612" s="87"/>
      <c r="F612" s="14"/>
      <c r="G612" s="14"/>
      <c r="H612" s="14"/>
      <c r="I612" s="14"/>
      <c r="J612" s="14"/>
      <c r="K612" s="12"/>
    </row>
    <row r="613" ht="19.5" customHeight="1">
      <c r="A613" s="12"/>
      <c r="C613" s="12"/>
      <c r="D613" s="87"/>
      <c r="F613" s="14"/>
      <c r="G613" s="14"/>
      <c r="H613" s="14"/>
      <c r="I613" s="14"/>
      <c r="J613" s="14"/>
      <c r="K613" s="12"/>
    </row>
    <row r="614" ht="19.5" customHeight="1">
      <c r="A614" s="12"/>
      <c r="C614" s="12"/>
      <c r="D614" s="87"/>
      <c r="F614" s="14"/>
      <c r="G614" s="14"/>
      <c r="H614" s="14"/>
      <c r="I614" s="14"/>
      <c r="J614" s="14"/>
      <c r="K614" s="12"/>
    </row>
    <row r="615" ht="19.5" customHeight="1">
      <c r="A615" s="12"/>
      <c r="C615" s="12"/>
      <c r="D615" s="87"/>
      <c r="F615" s="14"/>
      <c r="G615" s="14"/>
      <c r="H615" s="14"/>
      <c r="I615" s="14"/>
      <c r="J615" s="14"/>
      <c r="K615" s="12"/>
    </row>
    <row r="616" ht="19.5" customHeight="1">
      <c r="A616" s="12"/>
      <c r="C616" s="12"/>
      <c r="D616" s="87"/>
      <c r="F616" s="14"/>
      <c r="G616" s="14"/>
      <c r="H616" s="14"/>
      <c r="I616" s="14"/>
      <c r="J616" s="14"/>
      <c r="K616" s="12"/>
    </row>
    <row r="617" ht="19.5" customHeight="1">
      <c r="A617" s="12"/>
      <c r="C617" s="12"/>
      <c r="D617" s="87"/>
      <c r="F617" s="14"/>
      <c r="G617" s="14"/>
      <c r="H617" s="14"/>
      <c r="I617" s="14"/>
      <c r="J617" s="14"/>
      <c r="K617" s="12"/>
    </row>
    <row r="618" ht="19.5" customHeight="1">
      <c r="A618" s="12"/>
      <c r="C618" s="12"/>
      <c r="D618" s="87"/>
      <c r="F618" s="14"/>
      <c r="G618" s="14"/>
      <c r="H618" s="14"/>
      <c r="I618" s="14"/>
      <c r="J618" s="14"/>
      <c r="K618" s="12"/>
    </row>
    <row r="619" ht="19.5" customHeight="1">
      <c r="A619" s="12"/>
      <c r="C619" s="12"/>
      <c r="D619" s="87"/>
      <c r="F619" s="14"/>
      <c r="G619" s="14"/>
      <c r="H619" s="14"/>
      <c r="I619" s="14"/>
      <c r="J619" s="14"/>
      <c r="K619" s="12"/>
    </row>
    <row r="620" ht="19.5" customHeight="1">
      <c r="A620" s="12"/>
      <c r="C620" s="12"/>
      <c r="D620" s="87"/>
      <c r="F620" s="14"/>
      <c r="G620" s="14"/>
      <c r="H620" s="14"/>
      <c r="I620" s="14"/>
      <c r="J620" s="14"/>
      <c r="K620" s="12"/>
    </row>
    <row r="621" ht="19.5" customHeight="1">
      <c r="A621" s="12"/>
      <c r="C621" s="12"/>
      <c r="D621" s="87"/>
      <c r="F621" s="14"/>
      <c r="G621" s="14"/>
      <c r="H621" s="14"/>
      <c r="I621" s="14"/>
      <c r="J621" s="14"/>
      <c r="K621" s="12"/>
    </row>
    <row r="622" ht="19.5" customHeight="1">
      <c r="A622" s="12"/>
      <c r="C622" s="12"/>
      <c r="D622" s="87"/>
      <c r="F622" s="14"/>
      <c r="G622" s="14"/>
      <c r="H622" s="14"/>
      <c r="I622" s="14"/>
      <c r="J622" s="14"/>
      <c r="K622" s="12"/>
    </row>
    <row r="623" ht="19.5" customHeight="1">
      <c r="A623" s="12"/>
      <c r="C623" s="12"/>
      <c r="D623" s="87"/>
      <c r="F623" s="14"/>
      <c r="G623" s="14"/>
      <c r="H623" s="14"/>
      <c r="I623" s="14"/>
      <c r="J623" s="14"/>
      <c r="K623" s="12"/>
    </row>
    <row r="624" ht="19.5" customHeight="1">
      <c r="A624" s="12"/>
      <c r="C624" s="12"/>
      <c r="D624" s="87"/>
      <c r="F624" s="14"/>
      <c r="G624" s="14"/>
      <c r="H624" s="14"/>
      <c r="I624" s="14"/>
      <c r="J624" s="14"/>
      <c r="K624" s="12"/>
    </row>
    <row r="625" ht="19.5" customHeight="1">
      <c r="A625" s="12"/>
      <c r="C625" s="12"/>
      <c r="D625" s="87"/>
      <c r="F625" s="14"/>
      <c r="G625" s="14"/>
      <c r="H625" s="14"/>
      <c r="I625" s="14"/>
      <c r="J625" s="14"/>
      <c r="K625" s="12"/>
    </row>
    <row r="626" ht="19.5" customHeight="1">
      <c r="A626" s="12"/>
      <c r="C626" s="12"/>
      <c r="D626" s="87"/>
      <c r="F626" s="14"/>
      <c r="G626" s="14"/>
      <c r="H626" s="14"/>
      <c r="I626" s="14"/>
      <c r="J626" s="14"/>
      <c r="K626" s="12"/>
    </row>
    <row r="627" ht="19.5" customHeight="1">
      <c r="A627" s="12"/>
      <c r="C627" s="12"/>
      <c r="D627" s="87"/>
      <c r="F627" s="14"/>
      <c r="G627" s="14"/>
      <c r="H627" s="14"/>
      <c r="I627" s="14"/>
      <c r="J627" s="14"/>
      <c r="K627" s="12"/>
    </row>
    <row r="628" ht="19.5" customHeight="1">
      <c r="A628" s="12"/>
      <c r="C628" s="12"/>
      <c r="D628" s="87"/>
      <c r="F628" s="14"/>
      <c r="G628" s="14"/>
      <c r="H628" s="14"/>
      <c r="I628" s="14"/>
      <c r="J628" s="14"/>
      <c r="K628" s="12"/>
    </row>
    <row r="629" ht="19.5" customHeight="1">
      <c r="A629" s="12"/>
      <c r="C629" s="12"/>
      <c r="D629" s="87"/>
      <c r="F629" s="14"/>
      <c r="G629" s="14"/>
      <c r="H629" s="14"/>
      <c r="I629" s="14"/>
      <c r="J629" s="14"/>
      <c r="K629" s="12"/>
    </row>
    <row r="630" ht="19.5" customHeight="1">
      <c r="A630" s="12"/>
      <c r="C630" s="12"/>
      <c r="D630" s="87"/>
      <c r="F630" s="14"/>
      <c r="G630" s="14"/>
      <c r="H630" s="14"/>
      <c r="I630" s="14"/>
      <c r="J630" s="14"/>
      <c r="K630" s="12"/>
    </row>
    <row r="631" ht="19.5" customHeight="1">
      <c r="A631" s="12"/>
      <c r="C631" s="12"/>
      <c r="D631" s="87"/>
      <c r="F631" s="14"/>
      <c r="G631" s="14"/>
      <c r="H631" s="14"/>
      <c r="I631" s="14"/>
      <c r="J631" s="14"/>
      <c r="K631" s="12"/>
    </row>
    <row r="632" ht="19.5" customHeight="1">
      <c r="A632" s="12"/>
      <c r="C632" s="12"/>
      <c r="D632" s="87"/>
      <c r="F632" s="14"/>
      <c r="G632" s="14"/>
      <c r="H632" s="14"/>
      <c r="I632" s="14"/>
      <c r="J632" s="14"/>
      <c r="K632" s="12"/>
    </row>
    <row r="633" ht="19.5" customHeight="1">
      <c r="A633" s="12"/>
      <c r="C633" s="12"/>
      <c r="D633" s="87"/>
      <c r="F633" s="14"/>
      <c r="G633" s="14"/>
      <c r="H633" s="14"/>
      <c r="I633" s="14"/>
      <c r="J633" s="14"/>
      <c r="K633" s="12"/>
    </row>
    <row r="634" ht="19.5" customHeight="1">
      <c r="A634" s="12"/>
      <c r="C634" s="12"/>
      <c r="D634" s="87"/>
      <c r="F634" s="14"/>
      <c r="G634" s="14"/>
      <c r="H634" s="14"/>
      <c r="I634" s="14"/>
      <c r="J634" s="14"/>
      <c r="K634" s="12"/>
    </row>
    <row r="635" ht="19.5" customHeight="1">
      <c r="A635" s="12"/>
      <c r="C635" s="12"/>
      <c r="D635" s="87"/>
      <c r="F635" s="14"/>
      <c r="G635" s="14"/>
      <c r="H635" s="14"/>
      <c r="I635" s="14"/>
      <c r="J635" s="14"/>
      <c r="K635" s="12"/>
    </row>
    <row r="636" ht="19.5" customHeight="1">
      <c r="A636" s="12"/>
      <c r="C636" s="12"/>
      <c r="D636" s="87"/>
      <c r="F636" s="14"/>
      <c r="G636" s="14"/>
      <c r="H636" s="14"/>
      <c r="I636" s="14"/>
      <c r="J636" s="14"/>
      <c r="K636" s="12"/>
    </row>
    <row r="637" ht="19.5" customHeight="1">
      <c r="A637" s="12"/>
      <c r="C637" s="12"/>
      <c r="D637" s="87"/>
      <c r="F637" s="14"/>
      <c r="G637" s="14"/>
      <c r="H637" s="14"/>
      <c r="I637" s="14"/>
      <c r="J637" s="14"/>
      <c r="K637" s="12"/>
    </row>
    <row r="638" ht="19.5" customHeight="1">
      <c r="A638" s="12"/>
      <c r="C638" s="12"/>
      <c r="D638" s="87"/>
      <c r="F638" s="14"/>
      <c r="G638" s="14"/>
      <c r="H638" s="14"/>
      <c r="I638" s="14"/>
      <c r="J638" s="14"/>
      <c r="K638" s="12"/>
    </row>
    <row r="639" ht="19.5" customHeight="1">
      <c r="A639" s="12"/>
      <c r="C639" s="12"/>
      <c r="D639" s="87"/>
      <c r="F639" s="14"/>
      <c r="G639" s="14"/>
      <c r="H639" s="14"/>
      <c r="I639" s="14"/>
      <c r="J639" s="14"/>
      <c r="K639" s="12"/>
    </row>
    <row r="640" ht="19.5" customHeight="1">
      <c r="A640" s="12"/>
      <c r="C640" s="12"/>
      <c r="D640" s="87"/>
      <c r="F640" s="14"/>
      <c r="G640" s="14"/>
      <c r="H640" s="14"/>
      <c r="I640" s="14"/>
      <c r="J640" s="14"/>
      <c r="K640" s="12"/>
    </row>
    <row r="641" ht="19.5" customHeight="1">
      <c r="A641" s="12"/>
      <c r="C641" s="12"/>
      <c r="D641" s="87"/>
      <c r="F641" s="14"/>
      <c r="G641" s="14"/>
      <c r="H641" s="14"/>
      <c r="I641" s="14"/>
      <c r="J641" s="14"/>
      <c r="K641" s="12"/>
    </row>
    <row r="642" ht="19.5" customHeight="1">
      <c r="A642" s="12"/>
      <c r="C642" s="12"/>
      <c r="D642" s="87"/>
      <c r="F642" s="14"/>
      <c r="G642" s="14"/>
      <c r="H642" s="14"/>
      <c r="I642" s="14"/>
      <c r="J642" s="14"/>
      <c r="K642" s="12"/>
    </row>
    <row r="643" ht="19.5" customHeight="1">
      <c r="A643" s="12"/>
      <c r="C643" s="12"/>
      <c r="D643" s="87"/>
      <c r="F643" s="14"/>
      <c r="G643" s="14"/>
      <c r="H643" s="14"/>
      <c r="I643" s="14"/>
      <c r="J643" s="14"/>
      <c r="K643" s="12"/>
    </row>
    <row r="644" ht="19.5" customHeight="1">
      <c r="A644" s="12"/>
      <c r="C644" s="12"/>
      <c r="D644" s="87"/>
      <c r="F644" s="14"/>
      <c r="G644" s="14"/>
      <c r="H644" s="14"/>
      <c r="I644" s="14"/>
      <c r="J644" s="14"/>
      <c r="K644" s="12"/>
    </row>
    <row r="645" ht="19.5" customHeight="1">
      <c r="A645" s="12"/>
      <c r="C645" s="12"/>
      <c r="D645" s="87"/>
      <c r="F645" s="14"/>
      <c r="G645" s="14"/>
      <c r="H645" s="14"/>
      <c r="I645" s="14"/>
      <c r="J645" s="14"/>
      <c r="K645" s="12"/>
    </row>
    <row r="646" ht="19.5" customHeight="1">
      <c r="A646" s="12"/>
      <c r="C646" s="12"/>
      <c r="D646" s="87"/>
      <c r="F646" s="14"/>
      <c r="G646" s="14"/>
      <c r="H646" s="14"/>
      <c r="I646" s="14"/>
      <c r="J646" s="14"/>
      <c r="K646" s="12"/>
    </row>
    <row r="647" ht="19.5" customHeight="1">
      <c r="A647" s="12"/>
      <c r="C647" s="12"/>
      <c r="D647" s="87"/>
      <c r="F647" s="14"/>
      <c r="G647" s="14"/>
      <c r="H647" s="14"/>
      <c r="I647" s="14"/>
      <c r="J647" s="14"/>
      <c r="K647" s="12"/>
    </row>
    <row r="648" ht="19.5" customHeight="1">
      <c r="A648" s="12"/>
      <c r="C648" s="12"/>
      <c r="D648" s="87"/>
      <c r="F648" s="14"/>
      <c r="G648" s="14"/>
      <c r="H648" s="14"/>
      <c r="I648" s="14"/>
      <c r="J648" s="14"/>
      <c r="K648" s="12"/>
    </row>
    <row r="649" ht="19.5" customHeight="1">
      <c r="A649" s="12"/>
      <c r="C649" s="12"/>
      <c r="D649" s="87"/>
      <c r="F649" s="14"/>
      <c r="G649" s="14"/>
      <c r="H649" s="14"/>
      <c r="I649" s="14"/>
      <c r="J649" s="14"/>
      <c r="K649" s="12"/>
    </row>
    <row r="650" ht="19.5" customHeight="1">
      <c r="A650" s="12"/>
      <c r="C650" s="12"/>
      <c r="D650" s="87"/>
      <c r="F650" s="14"/>
      <c r="G650" s="14"/>
      <c r="H650" s="14"/>
      <c r="I650" s="14"/>
      <c r="J650" s="14"/>
      <c r="K650" s="12"/>
    </row>
    <row r="651" ht="19.5" customHeight="1">
      <c r="A651" s="12"/>
      <c r="C651" s="12"/>
      <c r="D651" s="87"/>
      <c r="F651" s="14"/>
      <c r="G651" s="14"/>
      <c r="H651" s="14"/>
      <c r="I651" s="14"/>
      <c r="J651" s="14"/>
      <c r="K651" s="12"/>
    </row>
    <row r="652" ht="19.5" customHeight="1">
      <c r="A652" s="12"/>
      <c r="C652" s="12"/>
      <c r="D652" s="87"/>
      <c r="F652" s="14"/>
      <c r="G652" s="14"/>
      <c r="H652" s="14"/>
      <c r="I652" s="14"/>
      <c r="J652" s="14"/>
      <c r="K652" s="12"/>
    </row>
    <row r="653" ht="19.5" customHeight="1">
      <c r="A653" s="12"/>
      <c r="C653" s="12"/>
      <c r="D653" s="87"/>
      <c r="F653" s="14"/>
      <c r="G653" s="14"/>
      <c r="H653" s="14"/>
      <c r="I653" s="14"/>
      <c r="J653" s="14"/>
      <c r="K653" s="12"/>
    </row>
    <row r="654" ht="19.5" customHeight="1">
      <c r="A654" s="12"/>
      <c r="C654" s="12"/>
      <c r="D654" s="87"/>
      <c r="F654" s="14"/>
      <c r="G654" s="14"/>
      <c r="H654" s="14"/>
      <c r="I654" s="14"/>
      <c r="J654" s="14"/>
      <c r="K654" s="12"/>
    </row>
    <row r="655" ht="19.5" customHeight="1">
      <c r="A655" s="12"/>
      <c r="C655" s="12"/>
      <c r="D655" s="87"/>
      <c r="F655" s="14"/>
      <c r="G655" s="14"/>
      <c r="H655" s="14"/>
      <c r="I655" s="14"/>
      <c r="J655" s="14"/>
      <c r="K655" s="12"/>
    </row>
    <row r="656" ht="19.5" customHeight="1">
      <c r="A656" s="12"/>
      <c r="C656" s="12"/>
      <c r="D656" s="87"/>
      <c r="F656" s="14"/>
      <c r="G656" s="14"/>
      <c r="H656" s="14"/>
      <c r="I656" s="14"/>
      <c r="J656" s="14"/>
      <c r="K656" s="12"/>
    </row>
    <row r="657" ht="19.5" customHeight="1">
      <c r="A657" s="12"/>
      <c r="C657" s="12"/>
      <c r="D657" s="87"/>
      <c r="F657" s="14"/>
      <c r="G657" s="14"/>
      <c r="H657" s="14"/>
      <c r="I657" s="14"/>
      <c r="J657" s="14"/>
      <c r="K657" s="12"/>
    </row>
    <row r="658" ht="19.5" customHeight="1">
      <c r="A658" s="12"/>
      <c r="C658" s="12"/>
      <c r="D658" s="87"/>
      <c r="F658" s="14"/>
      <c r="G658" s="14"/>
      <c r="H658" s="14"/>
      <c r="I658" s="14"/>
      <c r="J658" s="14"/>
      <c r="K658" s="12"/>
    </row>
    <row r="659" ht="19.5" customHeight="1">
      <c r="A659" s="12"/>
      <c r="C659" s="12"/>
      <c r="D659" s="87"/>
      <c r="F659" s="14"/>
      <c r="G659" s="14"/>
      <c r="H659" s="14"/>
      <c r="I659" s="14"/>
      <c r="J659" s="14"/>
      <c r="K659" s="12"/>
    </row>
    <row r="660" ht="19.5" customHeight="1">
      <c r="A660" s="12"/>
      <c r="C660" s="12"/>
      <c r="D660" s="87"/>
      <c r="F660" s="14"/>
      <c r="G660" s="14"/>
      <c r="H660" s="14"/>
      <c r="I660" s="14"/>
      <c r="J660" s="14"/>
      <c r="K660" s="12"/>
    </row>
    <row r="661" ht="19.5" customHeight="1">
      <c r="A661" s="12"/>
      <c r="C661" s="12"/>
      <c r="D661" s="87"/>
      <c r="F661" s="14"/>
      <c r="G661" s="14"/>
      <c r="H661" s="14"/>
      <c r="I661" s="14"/>
      <c r="J661" s="14"/>
      <c r="K661" s="12"/>
    </row>
    <row r="662" ht="19.5" customHeight="1">
      <c r="A662" s="12"/>
      <c r="C662" s="12"/>
      <c r="D662" s="87"/>
      <c r="F662" s="14"/>
      <c r="G662" s="14"/>
      <c r="H662" s="14"/>
      <c r="I662" s="14"/>
      <c r="J662" s="14"/>
      <c r="K662" s="12"/>
    </row>
    <row r="663" ht="19.5" customHeight="1">
      <c r="A663" s="12"/>
      <c r="C663" s="12"/>
      <c r="D663" s="87"/>
      <c r="F663" s="14"/>
      <c r="G663" s="14"/>
      <c r="H663" s="14"/>
      <c r="I663" s="14"/>
      <c r="J663" s="14"/>
      <c r="K663" s="12"/>
    </row>
    <row r="664" ht="19.5" customHeight="1">
      <c r="A664" s="12"/>
      <c r="C664" s="12"/>
      <c r="D664" s="87"/>
      <c r="F664" s="14"/>
      <c r="G664" s="14"/>
      <c r="H664" s="14"/>
      <c r="I664" s="14"/>
      <c r="J664" s="14"/>
      <c r="K664" s="12"/>
    </row>
    <row r="665" ht="19.5" customHeight="1">
      <c r="A665" s="12"/>
      <c r="C665" s="12"/>
      <c r="D665" s="87"/>
      <c r="F665" s="14"/>
      <c r="G665" s="14"/>
      <c r="H665" s="14"/>
      <c r="I665" s="14"/>
      <c r="J665" s="14"/>
      <c r="K665" s="12"/>
    </row>
    <row r="666" ht="19.5" customHeight="1">
      <c r="A666" s="12"/>
      <c r="C666" s="12"/>
      <c r="D666" s="87"/>
      <c r="F666" s="14"/>
      <c r="G666" s="14"/>
      <c r="H666" s="14"/>
      <c r="I666" s="14"/>
      <c r="J666" s="14"/>
      <c r="K666" s="12"/>
    </row>
    <row r="667" ht="19.5" customHeight="1">
      <c r="A667" s="12"/>
      <c r="C667" s="12"/>
      <c r="D667" s="87"/>
      <c r="F667" s="14"/>
      <c r="G667" s="14"/>
      <c r="H667" s="14"/>
      <c r="I667" s="14"/>
      <c r="J667" s="14"/>
      <c r="K667" s="12"/>
    </row>
    <row r="668" ht="19.5" customHeight="1">
      <c r="A668" s="12"/>
      <c r="C668" s="12"/>
      <c r="D668" s="87"/>
      <c r="F668" s="14"/>
      <c r="G668" s="14"/>
      <c r="H668" s="14"/>
      <c r="I668" s="14"/>
      <c r="J668" s="14"/>
      <c r="K668" s="12"/>
    </row>
    <row r="669" ht="19.5" customHeight="1">
      <c r="A669" s="12"/>
      <c r="C669" s="12"/>
      <c r="D669" s="87"/>
      <c r="F669" s="14"/>
      <c r="G669" s="14"/>
      <c r="H669" s="14"/>
      <c r="I669" s="14"/>
      <c r="J669" s="14"/>
      <c r="K669" s="12"/>
    </row>
    <row r="670" ht="19.5" customHeight="1">
      <c r="A670" s="12"/>
      <c r="C670" s="12"/>
      <c r="D670" s="87"/>
      <c r="F670" s="14"/>
      <c r="G670" s="14"/>
      <c r="H670" s="14"/>
      <c r="I670" s="14"/>
      <c r="J670" s="14"/>
      <c r="K670" s="12"/>
    </row>
    <row r="671" ht="19.5" customHeight="1">
      <c r="A671" s="12"/>
      <c r="C671" s="12"/>
      <c r="D671" s="87"/>
      <c r="F671" s="14"/>
      <c r="G671" s="14"/>
      <c r="H671" s="14"/>
      <c r="I671" s="14"/>
      <c r="J671" s="14"/>
      <c r="K671" s="12"/>
    </row>
    <row r="672" ht="19.5" customHeight="1">
      <c r="A672" s="12"/>
      <c r="C672" s="12"/>
      <c r="D672" s="87"/>
      <c r="F672" s="14"/>
      <c r="G672" s="14"/>
      <c r="H672" s="14"/>
      <c r="I672" s="14"/>
      <c r="J672" s="14"/>
      <c r="K672" s="12"/>
    </row>
    <row r="673" ht="19.5" customHeight="1">
      <c r="A673" s="12"/>
      <c r="C673" s="12"/>
      <c r="D673" s="87"/>
      <c r="F673" s="14"/>
      <c r="G673" s="14"/>
      <c r="H673" s="14"/>
      <c r="I673" s="14"/>
      <c r="J673" s="14"/>
      <c r="K673" s="12"/>
    </row>
    <row r="674" ht="19.5" customHeight="1">
      <c r="A674" s="12"/>
      <c r="C674" s="12"/>
      <c r="D674" s="87"/>
      <c r="F674" s="14"/>
      <c r="G674" s="14"/>
      <c r="H674" s="14"/>
      <c r="I674" s="14"/>
      <c r="J674" s="14"/>
      <c r="K674" s="12"/>
    </row>
    <row r="675" ht="19.5" customHeight="1">
      <c r="A675" s="12"/>
      <c r="C675" s="12"/>
      <c r="D675" s="87"/>
      <c r="F675" s="14"/>
      <c r="G675" s="14"/>
      <c r="H675" s="14"/>
      <c r="I675" s="14"/>
      <c r="J675" s="14"/>
      <c r="K675" s="12"/>
    </row>
    <row r="676" ht="19.5" customHeight="1">
      <c r="A676" s="12"/>
      <c r="C676" s="12"/>
      <c r="D676" s="87"/>
      <c r="F676" s="14"/>
      <c r="G676" s="14"/>
      <c r="H676" s="14"/>
      <c r="I676" s="14"/>
      <c r="J676" s="14"/>
      <c r="K676" s="12"/>
    </row>
    <row r="677" ht="19.5" customHeight="1">
      <c r="A677" s="12"/>
      <c r="C677" s="12"/>
      <c r="D677" s="87"/>
      <c r="F677" s="14"/>
      <c r="G677" s="14"/>
      <c r="H677" s="14"/>
      <c r="I677" s="14"/>
      <c r="J677" s="14"/>
      <c r="K677" s="12"/>
    </row>
    <row r="678" ht="19.5" customHeight="1">
      <c r="A678" s="12"/>
      <c r="C678" s="12"/>
      <c r="D678" s="87"/>
      <c r="F678" s="14"/>
      <c r="G678" s="14"/>
      <c r="H678" s="14"/>
      <c r="I678" s="14"/>
      <c r="J678" s="14"/>
      <c r="K678" s="12"/>
    </row>
    <row r="679" ht="19.5" customHeight="1">
      <c r="A679" s="12"/>
      <c r="C679" s="12"/>
      <c r="D679" s="87"/>
      <c r="F679" s="14"/>
      <c r="G679" s="14"/>
      <c r="H679" s="14"/>
      <c r="I679" s="14"/>
      <c r="J679" s="14"/>
      <c r="K679" s="12"/>
    </row>
    <row r="680" ht="19.5" customHeight="1">
      <c r="A680" s="12"/>
      <c r="C680" s="12"/>
      <c r="D680" s="87"/>
      <c r="F680" s="14"/>
      <c r="G680" s="14"/>
      <c r="H680" s="14"/>
      <c r="I680" s="14"/>
      <c r="J680" s="14"/>
      <c r="K680" s="12"/>
    </row>
    <row r="681" ht="19.5" customHeight="1">
      <c r="A681" s="12"/>
      <c r="C681" s="12"/>
      <c r="D681" s="87"/>
      <c r="F681" s="14"/>
      <c r="G681" s="14"/>
      <c r="H681" s="14"/>
      <c r="I681" s="14"/>
      <c r="J681" s="14"/>
      <c r="K681" s="12"/>
    </row>
    <row r="682" ht="19.5" customHeight="1">
      <c r="A682" s="12"/>
      <c r="C682" s="12"/>
      <c r="D682" s="87"/>
      <c r="F682" s="14"/>
      <c r="G682" s="14"/>
      <c r="H682" s="14"/>
      <c r="I682" s="14"/>
      <c r="J682" s="14"/>
      <c r="K682" s="12"/>
    </row>
    <row r="683" ht="19.5" customHeight="1">
      <c r="A683" s="12"/>
      <c r="C683" s="12"/>
      <c r="D683" s="87"/>
      <c r="F683" s="14"/>
      <c r="G683" s="14"/>
      <c r="H683" s="14"/>
      <c r="I683" s="14"/>
      <c r="J683" s="14"/>
      <c r="K683" s="12"/>
    </row>
    <row r="684" ht="19.5" customHeight="1">
      <c r="A684" s="12"/>
      <c r="C684" s="12"/>
      <c r="D684" s="87"/>
      <c r="F684" s="14"/>
      <c r="G684" s="14"/>
      <c r="H684" s="14"/>
      <c r="I684" s="14"/>
      <c r="J684" s="14"/>
      <c r="K684" s="12"/>
    </row>
    <row r="685" ht="19.5" customHeight="1">
      <c r="A685" s="12"/>
      <c r="C685" s="12"/>
      <c r="D685" s="87"/>
      <c r="F685" s="14"/>
      <c r="G685" s="14"/>
      <c r="H685" s="14"/>
      <c r="I685" s="14"/>
      <c r="J685" s="14"/>
      <c r="K685" s="12"/>
    </row>
    <row r="686" ht="19.5" customHeight="1">
      <c r="A686" s="12"/>
      <c r="C686" s="12"/>
      <c r="D686" s="87"/>
      <c r="F686" s="14"/>
      <c r="G686" s="14"/>
      <c r="H686" s="14"/>
      <c r="I686" s="14"/>
      <c r="J686" s="14"/>
      <c r="K686" s="12"/>
    </row>
    <row r="687" ht="19.5" customHeight="1">
      <c r="A687" s="12"/>
      <c r="C687" s="12"/>
      <c r="D687" s="87"/>
      <c r="F687" s="14"/>
      <c r="G687" s="14"/>
      <c r="H687" s="14"/>
      <c r="I687" s="14"/>
      <c r="J687" s="14"/>
      <c r="K687" s="12"/>
    </row>
    <row r="688" ht="19.5" customHeight="1">
      <c r="A688" s="12"/>
      <c r="C688" s="12"/>
      <c r="D688" s="87"/>
      <c r="F688" s="14"/>
      <c r="G688" s="14"/>
      <c r="H688" s="14"/>
      <c r="I688" s="14"/>
      <c r="J688" s="14"/>
      <c r="K688" s="12"/>
    </row>
    <row r="689" ht="19.5" customHeight="1">
      <c r="A689" s="12"/>
      <c r="C689" s="12"/>
      <c r="D689" s="87"/>
      <c r="F689" s="14"/>
      <c r="G689" s="14"/>
      <c r="H689" s="14"/>
      <c r="I689" s="14"/>
      <c r="J689" s="14"/>
      <c r="K689" s="12"/>
    </row>
    <row r="690" ht="19.5" customHeight="1">
      <c r="A690" s="12"/>
      <c r="C690" s="12"/>
      <c r="D690" s="87"/>
      <c r="F690" s="14"/>
      <c r="G690" s="14"/>
      <c r="H690" s="14"/>
      <c r="I690" s="14"/>
      <c r="J690" s="14"/>
      <c r="K690" s="12"/>
    </row>
    <row r="691" ht="19.5" customHeight="1">
      <c r="A691" s="12"/>
      <c r="C691" s="12"/>
      <c r="D691" s="87"/>
      <c r="F691" s="14"/>
      <c r="G691" s="14"/>
      <c r="H691" s="14"/>
      <c r="I691" s="14"/>
      <c r="J691" s="14"/>
      <c r="K691" s="12"/>
    </row>
    <row r="692" ht="19.5" customHeight="1">
      <c r="A692" s="12"/>
      <c r="C692" s="12"/>
      <c r="D692" s="87"/>
      <c r="F692" s="14"/>
      <c r="G692" s="14"/>
      <c r="H692" s="14"/>
      <c r="I692" s="14"/>
      <c r="J692" s="14"/>
      <c r="K692" s="12"/>
    </row>
    <row r="693" ht="19.5" customHeight="1">
      <c r="A693" s="12"/>
      <c r="C693" s="12"/>
      <c r="D693" s="87"/>
      <c r="F693" s="14"/>
      <c r="G693" s="14"/>
      <c r="H693" s="14"/>
      <c r="I693" s="14"/>
      <c r="J693" s="14"/>
      <c r="K693" s="12"/>
    </row>
    <row r="694" ht="19.5" customHeight="1">
      <c r="A694" s="12"/>
      <c r="C694" s="12"/>
      <c r="D694" s="87"/>
      <c r="F694" s="14"/>
      <c r="G694" s="14"/>
      <c r="H694" s="14"/>
      <c r="I694" s="14"/>
      <c r="J694" s="14"/>
      <c r="K694" s="12"/>
    </row>
    <row r="695" ht="19.5" customHeight="1">
      <c r="A695" s="12"/>
      <c r="C695" s="12"/>
      <c r="D695" s="87"/>
      <c r="F695" s="14"/>
      <c r="G695" s="14"/>
      <c r="H695" s="14"/>
      <c r="I695" s="14"/>
      <c r="J695" s="14"/>
      <c r="K695" s="12"/>
    </row>
    <row r="696" ht="19.5" customHeight="1">
      <c r="A696" s="12"/>
      <c r="C696" s="12"/>
      <c r="D696" s="87"/>
      <c r="F696" s="14"/>
      <c r="G696" s="14"/>
      <c r="H696" s="14"/>
      <c r="I696" s="14"/>
      <c r="J696" s="14"/>
      <c r="K696" s="12"/>
    </row>
    <row r="697" ht="19.5" customHeight="1">
      <c r="A697" s="12"/>
      <c r="C697" s="12"/>
      <c r="D697" s="87"/>
      <c r="F697" s="14"/>
      <c r="G697" s="14"/>
      <c r="H697" s="14"/>
      <c r="I697" s="14"/>
      <c r="J697" s="14"/>
      <c r="K697" s="12"/>
    </row>
    <row r="698" ht="19.5" customHeight="1">
      <c r="A698" s="12"/>
      <c r="C698" s="12"/>
      <c r="D698" s="87"/>
      <c r="F698" s="14"/>
      <c r="G698" s="14"/>
      <c r="H698" s="14"/>
      <c r="I698" s="14"/>
      <c r="J698" s="14"/>
      <c r="K698" s="12"/>
    </row>
    <row r="699" ht="19.5" customHeight="1">
      <c r="A699" s="12"/>
      <c r="C699" s="12"/>
      <c r="D699" s="87"/>
      <c r="F699" s="14"/>
      <c r="G699" s="14"/>
      <c r="H699" s="14"/>
      <c r="I699" s="14"/>
      <c r="J699" s="14"/>
      <c r="K699" s="12"/>
    </row>
    <row r="700" ht="19.5" customHeight="1">
      <c r="A700" s="12"/>
      <c r="C700" s="12"/>
      <c r="D700" s="87"/>
      <c r="F700" s="14"/>
      <c r="G700" s="14"/>
      <c r="H700" s="14"/>
      <c r="I700" s="14"/>
      <c r="J700" s="14"/>
      <c r="K700" s="12"/>
    </row>
    <row r="701" ht="19.5" customHeight="1">
      <c r="A701" s="12"/>
      <c r="C701" s="12"/>
      <c r="D701" s="87"/>
      <c r="F701" s="14"/>
      <c r="G701" s="14"/>
      <c r="H701" s="14"/>
      <c r="I701" s="14"/>
      <c r="J701" s="14"/>
      <c r="K701" s="12"/>
    </row>
    <row r="702" ht="19.5" customHeight="1">
      <c r="A702" s="12"/>
      <c r="C702" s="12"/>
      <c r="D702" s="87"/>
      <c r="F702" s="14"/>
      <c r="G702" s="14"/>
      <c r="H702" s="14"/>
      <c r="I702" s="14"/>
      <c r="J702" s="14"/>
      <c r="K702" s="12"/>
    </row>
    <row r="703" ht="19.5" customHeight="1">
      <c r="A703" s="12"/>
      <c r="C703" s="12"/>
      <c r="D703" s="87"/>
      <c r="F703" s="14"/>
      <c r="G703" s="14"/>
      <c r="H703" s="14"/>
      <c r="I703" s="14"/>
      <c r="J703" s="14"/>
      <c r="K703" s="12"/>
    </row>
    <row r="704" ht="19.5" customHeight="1">
      <c r="A704" s="12"/>
      <c r="C704" s="12"/>
      <c r="D704" s="87"/>
      <c r="F704" s="14"/>
      <c r="G704" s="14"/>
      <c r="H704" s="14"/>
      <c r="I704" s="14"/>
      <c r="J704" s="14"/>
      <c r="K704" s="12"/>
    </row>
    <row r="705" ht="19.5" customHeight="1">
      <c r="A705" s="12"/>
      <c r="C705" s="12"/>
      <c r="D705" s="87"/>
      <c r="F705" s="14"/>
      <c r="G705" s="14"/>
      <c r="H705" s="14"/>
      <c r="I705" s="14"/>
      <c r="J705" s="14"/>
      <c r="K705" s="12"/>
    </row>
    <row r="706" ht="19.5" customHeight="1">
      <c r="A706" s="12"/>
      <c r="C706" s="12"/>
      <c r="D706" s="87"/>
      <c r="F706" s="14"/>
      <c r="G706" s="14"/>
      <c r="H706" s="14"/>
      <c r="I706" s="14"/>
      <c r="J706" s="14"/>
      <c r="K706" s="12"/>
    </row>
    <row r="707" ht="19.5" customHeight="1">
      <c r="A707" s="12"/>
      <c r="C707" s="12"/>
      <c r="D707" s="87"/>
      <c r="F707" s="14"/>
      <c r="G707" s="14"/>
      <c r="H707" s="14"/>
      <c r="I707" s="14"/>
      <c r="J707" s="14"/>
      <c r="K707" s="12"/>
    </row>
    <row r="708" ht="19.5" customHeight="1">
      <c r="A708" s="12"/>
      <c r="C708" s="12"/>
      <c r="D708" s="87"/>
      <c r="F708" s="14"/>
      <c r="G708" s="14"/>
      <c r="H708" s="14"/>
      <c r="I708" s="14"/>
      <c r="J708" s="14"/>
      <c r="K708" s="12"/>
    </row>
    <row r="709" ht="19.5" customHeight="1">
      <c r="A709" s="12"/>
      <c r="C709" s="12"/>
      <c r="D709" s="87"/>
      <c r="F709" s="14"/>
      <c r="G709" s="14"/>
      <c r="H709" s="14"/>
      <c r="I709" s="14"/>
      <c r="J709" s="14"/>
      <c r="K709" s="12"/>
    </row>
    <row r="710" ht="19.5" customHeight="1">
      <c r="A710" s="12"/>
      <c r="C710" s="12"/>
      <c r="D710" s="87"/>
      <c r="F710" s="14"/>
      <c r="G710" s="14"/>
      <c r="H710" s="14"/>
      <c r="I710" s="14"/>
      <c r="J710" s="14"/>
      <c r="K710" s="12"/>
    </row>
    <row r="711" ht="19.5" customHeight="1">
      <c r="A711" s="12"/>
      <c r="C711" s="12"/>
      <c r="D711" s="87"/>
      <c r="F711" s="14"/>
      <c r="G711" s="14"/>
      <c r="H711" s="14"/>
      <c r="I711" s="14"/>
      <c r="J711" s="14"/>
      <c r="K711" s="12"/>
    </row>
    <row r="712" ht="19.5" customHeight="1">
      <c r="A712" s="12"/>
      <c r="C712" s="12"/>
      <c r="D712" s="87"/>
      <c r="F712" s="14"/>
      <c r="G712" s="14"/>
      <c r="H712" s="14"/>
      <c r="I712" s="14"/>
      <c r="J712" s="14"/>
      <c r="K712" s="12"/>
    </row>
    <row r="713" ht="19.5" customHeight="1">
      <c r="A713" s="12"/>
      <c r="C713" s="12"/>
      <c r="D713" s="87"/>
      <c r="F713" s="14"/>
      <c r="G713" s="14"/>
      <c r="H713" s="14"/>
      <c r="I713" s="14"/>
      <c r="J713" s="14"/>
      <c r="K713" s="12"/>
    </row>
    <row r="714" ht="19.5" customHeight="1">
      <c r="A714" s="12"/>
      <c r="C714" s="12"/>
      <c r="D714" s="87"/>
      <c r="F714" s="14"/>
      <c r="G714" s="14"/>
      <c r="H714" s="14"/>
      <c r="I714" s="14"/>
      <c r="J714" s="14"/>
      <c r="K714" s="12"/>
    </row>
    <row r="715" ht="19.5" customHeight="1">
      <c r="A715" s="12"/>
      <c r="C715" s="12"/>
      <c r="D715" s="87"/>
      <c r="F715" s="14"/>
      <c r="G715" s="14"/>
      <c r="H715" s="14"/>
      <c r="I715" s="14"/>
      <c r="J715" s="14"/>
      <c r="K715" s="12"/>
    </row>
    <row r="716" ht="19.5" customHeight="1">
      <c r="A716" s="12"/>
      <c r="C716" s="12"/>
      <c r="D716" s="87"/>
      <c r="F716" s="14"/>
      <c r="G716" s="14"/>
      <c r="H716" s="14"/>
      <c r="I716" s="14"/>
      <c r="J716" s="14"/>
      <c r="K716" s="12"/>
    </row>
    <row r="717" ht="19.5" customHeight="1">
      <c r="A717" s="12"/>
      <c r="C717" s="12"/>
      <c r="D717" s="87"/>
      <c r="F717" s="14"/>
      <c r="G717" s="14"/>
      <c r="H717" s="14"/>
      <c r="I717" s="14"/>
      <c r="J717" s="14"/>
      <c r="K717" s="12"/>
    </row>
    <row r="718" ht="19.5" customHeight="1">
      <c r="A718" s="12"/>
      <c r="C718" s="12"/>
      <c r="D718" s="87"/>
      <c r="F718" s="14"/>
      <c r="G718" s="14"/>
      <c r="H718" s="14"/>
      <c r="I718" s="14"/>
      <c r="J718" s="14"/>
      <c r="K718" s="12"/>
    </row>
    <row r="719" ht="19.5" customHeight="1">
      <c r="A719" s="12"/>
      <c r="C719" s="12"/>
      <c r="D719" s="87"/>
      <c r="F719" s="14"/>
      <c r="G719" s="14"/>
      <c r="H719" s="14"/>
      <c r="I719" s="14"/>
      <c r="J719" s="14"/>
      <c r="K719" s="12"/>
    </row>
    <row r="720" ht="19.5" customHeight="1">
      <c r="A720" s="12"/>
      <c r="C720" s="12"/>
      <c r="D720" s="87"/>
      <c r="F720" s="14"/>
      <c r="G720" s="14"/>
      <c r="H720" s="14"/>
      <c r="I720" s="14"/>
      <c r="J720" s="14"/>
      <c r="K720" s="12"/>
    </row>
    <row r="721" ht="19.5" customHeight="1">
      <c r="A721" s="12"/>
      <c r="C721" s="12"/>
      <c r="D721" s="87"/>
      <c r="F721" s="14"/>
      <c r="G721" s="14"/>
      <c r="H721" s="14"/>
      <c r="I721" s="14"/>
      <c r="J721" s="14"/>
      <c r="K721" s="12"/>
    </row>
    <row r="722" ht="19.5" customHeight="1">
      <c r="A722" s="12"/>
      <c r="C722" s="12"/>
      <c r="D722" s="87"/>
      <c r="F722" s="14"/>
      <c r="G722" s="14"/>
      <c r="H722" s="14"/>
      <c r="I722" s="14"/>
      <c r="J722" s="14"/>
      <c r="K722" s="12"/>
    </row>
    <row r="723" ht="19.5" customHeight="1">
      <c r="A723" s="12"/>
      <c r="C723" s="12"/>
      <c r="D723" s="87"/>
      <c r="F723" s="14"/>
      <c r="G723" s="14"/>
      <c r="H723" s="14"/>
      <c r="I723" s="14"/>
      <c r="J723" s="14"/>
      <c r="K723" s="12"/>
    </row>
    <row r="724" ht="19.5" customHeight="1">
      <c r="A724" s="12"/>
      <c r="C724" s="12"/>
      <c r="D724" s="87"/>
      <c r="F724" s="14"/>
      <c r="G724" s="14"/>
      <c r="H724" s="14"/>
      <c r="I724" s="14"/>
      <c r="J724" s="14"/>
      <c r="K724" s="12"/>
    </row>
    <row r="725" ht="19.5" customHeight="1">
      <c r="A725" s="12"/>
      <c r="C725" s="12"/>
      <c r="D725" s="87"/>
      <c r="F725" s="14"/>
      <c r="G725" s="14"/>
      <c r="H725" s="14"/>
      <c r="I725" s="14"/>
      <c r="J725" s="14"/>
      <c r="K725" s="12"/>
    </row>
    <row r="726" ht="19.5" customHeight="1">
      <c r="A726" s="12"/>
      <c r="C726" s="12"/>
      <c r="D726" s="87"/>
      <c r="F726" s="14"/>
      <c r="G726" s="14"/>
      <c r="H726" s="14"/>
      <c r="I726" s="14"/>
      <c r="J726" s="14"/>
      <c r="K726" s="12"/>
    </row>
    <row r="727" ht="19.5" customHeight="1">
      <c r="A727" s="12"/>
      <c r="C727" s="12"/>
      <c r="D727" s="87"/>
      <c r="F727" s="14"/>
      <c r="G727" s="14"/>
      <c r="H727" s="14"/>
      <c r="I727" s="14"/>
      <c r="J727" s="14"/>
      <c r="K727" s="12"/>
    </row>
    <row r="728" ht="19.5" customHeight="1">
      <c r="A728" s="12"/>
      <c r="C728" s="12"/>
      <c r="D728" s="87"/>
      <c r="F728" s="14"/>
      <c r="G728" s="14"/>
      <c r="H728" s="14"/>
      <c r="I728" s="14"/>
      <c r="J728" s="14"/>
      <c r="K728" s="12"/>
    </row>
    <row r="729" ht="19.5" customHeight="1">
      <c r="A729" s="12"/>
      <c r="C729" s="12"/>
      <c r="D729" s="87"/>
      <c r="F729" s="14"/>
      <c r="G729" s="14"/>
      <c r="H729" s="14"/>
      <c r="I729" s="14"/>
      <c r="J729" s="14"/>
      <c r="K729" s="12"/>
    </row>
    <row r="730" ht="19.5" customHeight="1">
      <c r="A730" s="12"/>
      <c r="C730" s="12"/>
      <c r="D730" s="87"/>
      <c r="F730" s="14"/>
      <c r="G730" s="14"/>
      <c r="H730" s="14"/>
      <c r="I730" s="14"/>
      <c r="J730" s="14"/>
      <c r="K730" s="12"/>
    </row>
    <row r="731" ht="19.5" customHeight="1">
      <c r="A731" s="12"/>
      <c r="C731" s="12"/>
      <c r="D731" s="87"/>
      <c r="F731" s="14"/>
      <c r="G731" s="14"/>
      <c r="H731" s="14"/>
      <c r="I731" s="14"/>
      <c r="J731" s="14"/>
      <c r="K731" s="12"/>
    </row>
    <row r="732" ht="19.5" customHeight="1">
      <c r="A732" s="12"/>
      <c r="C732" s="12"/>
      <c r="D732" s="87"/>
      <c r="F732" s="14"/>
      <c r="G732" s="14"/>
      <c r="H732" s="14"/>
      <c r="I732" s="14"/>
      <c r="J732" s="14"/>
      <c r="K732" s="12"/>
    </row>
    <row r="733" ht="19.5" customHeight="1">
      <c r="A733" s="12"/>
      <c r="C733" s="12"/>
      <c r="D733" s="87"/>
      <c r="F733" s="14"/>
      <c r="G733" s="14"/>
      <c r="H733" s="14"/>
      <c r="I733" s="14"/>
      <c r="J733" s="14"/>
      <c r="K733" s="12"/>
    </row>
    <row r="734" ht="19.5" customHeight="1">
      <c r="A734" s="12"/>
      <c r="C734" s="12"/>
      <c r="D734" s="87"/>
      <c r="F734" s="14"/>
      <c r="G734" s="14"/>
      <c r="H734" s="14"/>
      <c r="I734" s="14"/>
      <c r="J734" s="14"/>
      <c r="K734" s="12"/>
    </row>
    <row r="735" ht="19.5" customHeight="1">
      <c r="A735" s="12"/>
      <c r="C735" s="12"/>
      <c r="D735" s="87"/>
      <c r="F735" s="14"/>
      <c r="G735" s="14"/>
      <c r="H735" s="14"/>
      <c r="I735" s="14"/>
      <c r="J735" s="14"/>
      <c r="K735" s="12"/>
    </row>
    <row r="736" ht="19.5" customHeight="1">
      <c r="A736" s="12"/>
      <c r="C736" s="12"/>
      <c r="D736" s="87"/>
      <c r="F736" s="14"/>
      <c r="G736" s="14"/>
      <c r="H736" s="14"/>
      <c r="I736" s="14"/>
      <c r="J736" s="14"/>
      <c r="K736" s="12"/>
    </row>
    <row r="737" ht="19.5" customHeight="1">
      <c r="A737" s="12"/>
      <c r="C737" s="12"/>
      <c r="D737" s="87"/>
      <c r="F737" s="14"/>
      <c r="G737" s="14"/>
      <c r="H737" s="14"/>
      <c r="I737" s="14"/>
      <c r="J737" s="14"/>
      <c r="K737" s="12"/>
    </row>
    <row r="738" ht="19.5" customHeight="1">
      <c r="A738" s="12"/>
      <c r="C738" s="12"/>
      <c r="D738" s="87"/>
      <c r="F738" s="14"/>
      <c r="G738" s="14"/>
      <c r="H738" s="14"/>
      <c r="I738" s="14"/>
      <c r="J738" s="14"/>
      <c r="K738" s="12"/>
    </row>
    <row r="739" ht="19.5" customHeight="1">
      <c r="A739" s="12"/>
      <c r="C739" s="12"/>
      <c r="D739" s="87"/>
      <c r="F739" s="14"/>
      <c r="G739" s="14"/>
      <c r="H739" s="14"/>
      <c r="I739" s="14"/>
      <c r="J739" s="14"/>
      <c r="K739" s="12"/>
    </row>
    <row r="740" ht="19.5" customHeight="1">
      <c r="A740" s="12"/>
      <c r="C740" s="12"/>
      <c r="D740" s="87"/>
      <c r="F740" s="14"/>
      <c r="G740" s="14"/>
      <c r="H740" s="14"/>
      <c r="I740" s="14"/>
      <c r="J740" s="14"/>
      <c r="K740" s="12"/>
    </row>
    <row r="741" ht="19.5" customHeight="1">
      <c r="A741" s="12"/>
      <c r="C741" s="12"/>
      <c r="D741" s="87"/>
      <c r="F741" s="14"/>
      <c r="G741" s="14"/>
      <c r="H741" s="14"/>
      <c r="I741" s="14"/>
      <c r="J741" s="14"/>
      <c r="K741" s="12"/>
    </row>
    <row r="742" ht="19.5" customHeight="1">
      <c r="A742" s="12"/>
      <c r="C742" s="12"/>
      <c r="D742" s="87"/>
      <c r="F742" s="14"/>
      <c r="G742" s="14"/>
      <c r="H742" s="14"/>
      <c r="I742" s="14"/>
      <c r="J742" s="14"/>
      <c r="K742" s="12"/>
    </row>
    <row r="743" ht="19.5" customHeight="1">
      <c r="A743" s="12"/>
      <c r="C743" s="12"/>
      <c r="D743" s="87"/>
      <c r="F743" s="14"/>
      <c r="G743" s="14"/>
      <c r="H743" s="14"/>
      <c r="I743" s="14"/>
      <c r="J743" s="14"/>
      <c r="K743" s="12"/>
    </row>
    <row r="744" ht="19.5" customHeight="1">
      <c r="A744" s="12"/>
      <c r="C744" s="12"/>
      <c r="D744" s="87"/>
      <c r="F744" s="14"/>
      <c r="G744" s="14"/>
      <c r="H744" s="14"/>
      <c r="I744" s="14"/>
      <c r="J744" s="14"/>
      <c r="K744" s="12"/>
    </row>
    <row r="745" ht="19.5" customHeight="1">
      <c r="A745" s="12"/>
      <c r="C745" s="12"/>
      <c r="D745" s="87"/>
      <c r="F745" s="14"/>
      <c r="G745" s="14"/>
      <c r="H745" s="14"/>
      <c r="I745" s="14"/>
      <c r="J745" s="14"/>
      <c r="K745" s="12"/>
    </row>
    <row r="746" ht="19.5" customHeight="1">
      <c r="A746" s="12"/>
      <c r="C746" s="12"/>
      <c r="D746" s="87"/>
      <c r="F746" s="14"/>
      <c r="G746" s="14"/>
      <c r="H746" s="14"/>
      <c r="I746" s="14"/>
      <c r="J746" s="14"/>
      <c r="K746" s="12"/>
    </row>
    <row r="747" ht="19.5" customHeight="1">
      <c r="A747" s="12"/>
      <c r="C747" s="12"/>
      <c r="D747" s="87"/>
      <c r="F747" s="14"/>
      <c r="G747" s="14"/>
      <c r="H747" s="14"/>
      <c r="I747" s="14"/>
      <c r="J747" s="14"/>
      <c r="K747" s="12"/>
    </row>
    <row r="748" ht="19.5" customHeight="1">
      <c r="A748" s="12"/>
      <c r="C748" s="12"/>
      <c r="D748" s="87"/>
      <c r="F748" s="14"/>
      <c r="G748" s="14"/>
      <c r="H748" s="14"/>
      <c r="I748" s="14"/>
      <c r="J748" s="14"/>
      <c r="K748" s="12"/>
    </row>
    <row r="749" ht="19.5" customHeight="1">
      <c r="A749" s="12"/>
      <c r="C749" s="12"/>
      <c r="D749" s="87"/>
      <c r="F749" s="14"/>
      <c r="G749" s="14"/>
      <c r="H749" s="14"/>
      <c r="I749" s="14"/>
      <c r="J749" s="14"/>
      <c r="K749" s="12"/>
    </row>
    <row r="750" ht="19.5" customHeight="1">
      <c r="A750" s="12"/>
      <c r="C750" s="12"/>
      <c r="D750" s="87"/>
      <c r="F750" s="14"/>
      <c r="G750" s="14"/>
      <c r="H750" s="14"/>
      <c r="I750" s="14"/>
      <c r="J750" s="14"/>
      <c r="K750" s="12"/>
    </row>
    <row r="751" ht="19.5" customHeight="1">
      <c r="A751" s="12"/>
      <c r="C751" s="12"/>
      <c r="D751" s="87"/>
      <c r="F751" s="14"/>
      <c r="G751" s="14"/>
      <c r="H751" s="14"/>
      <c r="I751" s="14"/>
      <c r="J751" s="14"/>
      <c r="K751" s="12"/>
    </row>
    <row r="752" ht="19.5" customHeight="1">
      <c r="A752" s="12"/>
      <c r="C752" s="12"/>
      <c r="D752" s="87"/>
      <c r="F752" s="14"/>
      <c r="G752" s="14"/>
      <c r="H752" s="14"/>
      <c r="I752" s="14"/>
      <c r="J752" s="14"/>
      <c r="K752" s="12"/>
    </row>
    <row r="753" ht="19.5" customHeight="1">
      <c r="A753" s="12"/>
      <c r="C753" s="12"/>
      <c r="D753" s="87"/>
      <c r="F753" s="14"/>
      <c r="G753" s="14"/>
      <c r="H753" s="14"/>
      <c r="I753" s="14"/>
      <c r="J753" s="14"/>
      <c r="K753" s="12"/>
    </row>
    <row r="754" ht="19.5" customHeight="1">
      <c r="A754" s="12"/>
      <c r="C754" s="12"/>
      <c r="D754" s="87"/>
      <c r="F754" s="14"/>
      <c r="G754" s="14"/>
      <c r="H754" s="14"/>
      <c r="I754" s="14"/>
      <c r="J754" s="14"/>
      <c r="K754" s="12"/>
    </row>
    <row r="755" ht="19.5" customHeight="1">
      <c r="A755" s="12"/>
      <c r="C755" s="12"/>
      <c r="D755" s="87"/>
      <c r="F755" s="14"/>
      <c r="G755" s="14"/>
      <c r="H755" s="14"/>
      <c r="I755" s="14"/>
      <c r="J755" s="14"/>
      <c r="K755" s="12"/>
    </row>
    <row r="756" ht="19.5" customHeight="1">
      <c r="A756" s="12"/>
      <c r="C756" s="12"/>
      <c r="D756" s="87"/>
      <c r="F756" s="14"/>
      <c r="G756" s="14"/>
      <c r="H756" s="14"/>
      <c r="I756" s="14"/>
      <c r="J756" s="14"/>
      <c r="K756" s="12"/>
    </row>
    <row r="757" ht="19.5" customHeight="1">
      <c r="A757" s="12"/>
      <c r="C757" s="12"/>
      <c r="D757" s="87"/>
      <c r="F757" s="14"/>
      <c r="G757" s="14"/>
      <c r="H757" s="14"/>
      <c r="I757" s="14"/>
      <c r="J757" s="14"/>
      <c r="K757" s="12"/>
    </row>
    <row r="758" ht="19.5" customHeight="1">
      <c r="A758" s="12"/>
      <c r="C758" s="12"/>
      <c r="D758" s="87"/>
      <c r="F758" s="14"/>
      <c r="G758" s="14"/>
      <c r="H758" s="14"/>
      <c r="I758" s="14"/>
      <c r="J758" s="14"/>
      <c r="K758" s="12"/>
    </row>
    <row r="759" ht="19.5" customHeight="1">
      <c r="A759" s="12"/>
      <c r="C759" s="12"/>
      <c r="D759" s="87"/>
      <c r="F759" s="14"/>
      <c r="G759" s="14"/>
      <c r="H759" s="14"/>
      <c r="I759" s="14"/>
      <c r="J759" s="14"/>
      <c r="K759" s="12"/>
    </row>
    <row r="760" ht="19.5" customHeight="1">
      <c r="A760" s="12"/>
      <c r="C760" s="12"/>
      <c r="D760" s="87"/>
      <c r="F760" s="14"/>
      <c r="G760" s="14"/>
      <c r="H760" s="14"/>
      <c r="I760" s="14"/>
      <c r="J760" s="14"/>
      <c r="K760" s="12"/>
    </row>
    <row r="761" ht="19.5" customHeight="1">
      <c r="A761" s="12"/>
      <c r="C761" s="12"/>
      <c r="D761" s="87"/>
      <c r="F761" s="14"/>
      <c r="G761" s="14"/>
      <c r="H761" s="14"/>
      <c r="I761" s="14"/>
      <c r="J761" s="14"/>
      <c r="K761" s="12"/>
    </row>
    <row r="762" ht="19.5" customHeight="1">
      <c r="A762" s="12"/>
      <c r="C762" s="12"/>
      <c r="D762" s="87"/>
      <c r="F762" s="14"/>
      <c r="G762" s="14"/>
      <c r="H762" s="14"/>
      <c r="I762" s="14"/>
      <c r="J762" s="14"/>
      <c r="K762" s="12"/>
    </row>
    <row r="763" ht="19.5" customHeight="1">
      <c r="A763" s="12"/>
      <c r="C763" s="12"/>
      <c r="D763" s="87"/>
      <c r="F763" s="14"/>
      <c r="G763" s="14"/>
      <c r="H763" s="14"/>
      <c r="I763" s="14"/>
      <c r="J763" s="14"/>
      <c r="K763" s="12"/>
    </row>
    <row r="764" ht="19.5" customHeight="1">
      <c r="A764" s="12"/>
      <c r="C764" s="12"/>
      <c r="D764" s="87"/>
      <c r="F764" s="14"/>
      <c r="G764" s="14"/>
      <c r="H764" s="14"/>
      <c r="I764" s="14"/>
      <c r="J764" s="14"/>
      <c r="K764" s="12"/>
    </row>
    <row r="765" ht="19.5" customHeight="1">
      <c r="A765" s="12"/>
      <c r="C765" s="12"/>
      <c r="D765" s="87"/>
      <c r="F765" s="14"/>
      <c r="G765" s="14"/>
      <c r="H765" s="14"/>
      <c r="I765" s="14"/>
      <c r="J765" s="14"/>
      <c r="K765" s="12"/>
    </row>
    <row r="766" ht="19.5" customHeight="1">
      <c r="A766" s="12"/>
      <c r="C766" s="12"/>
      <c r="D766" s="87"/>
      <c r="F766" s="14"/>
      <c r="G766" s="14"/>
      <c r="H766" s="14"/>
      <c r="I766" s="14"/>
      <c r="J766" s="14"/>
      <c r="K766" s="12"/>
    </row>
    <row r="767" ht="19.5" customHeight="1">
      <c r="A767" s="12"/>
      <c r="C767" s="12"/>
      <c r="D767" s="87"/>
      <c r="F767" s="14"/>
      <c r="G767" s="14"/>
      <c r="H767" s="14"/>
      <c r="I767" s="14"/>
      <c r="J767" s="14"/>
      <c r="K767" s="12"/>
    </row>
    <row r="768" ht="19.5" customHeight="1">
      <c r="A768" s="12"/>
      <c r="C768" s="12"/>
      <c r="D768" s="87"/>
      <c r="F768" s="14"/>
      <c r="G768" s="14"/>
      <c r="H768" s="14"/>
      <c r="I768" s="14"/>
      <c r="J768" s="14"/>
      <c r="K768" s="12"/>
    </row>
    <row r="769" ht="19.5" customHeight="1">
      <c r="A769" s="12"/>
      <c r="C769" s="12"/>
      <c r="D769" s="87"/>
      <c r="F769" s="14"/>
      <c r="G769" s="14"/>
      <c r="H769" s="14"/>
      <c r="I769" s="14"/>
      <c r="J769" s="14"/>
      <c r="K769" s="12"/>
    </row>
    <row r="770" ht="19.5" customHeight="1">
      <c r="A770" s="12"/>
      <c r="C770" s="12"/>
      <c r="D770" s="87"/>
      <c r="F770" s="14"/>
      <c r="G770" s="14"/>
      <c r="H770" s="14"/>
      <c r="I770" s="14"/>
      <c r="J770" s="14"/>
      <c r="K770" s="12"/>
    </row>
    <row r="771" ht="19.5" customHeight="1">
      <c r="A771" s="12"/>
      <c r="C771" s="12"/>
      <c r="D771" s="87"/>
      <c r="F771" s="14"/>
      <c r="G771" s="14"/>
      <c r="H771" s="14"/>
      <c r="I771" s="14"/>
      <c r="J771" s="14"/>
      <c r="K771" s="12"/>
    </row>
    <row r="772" ht="19.5" customHeight="1">
      <c r="A772" s="12"/>
      <c r="C772" s="12"/>
      <c r="D772" s="87"/>
      <c r="F772" s="14"/>
      <c r="G772" s="14"/>
      <c r="H772" s="14"/>
      <c r="I772" s="14"/>
      <c r="J772" s="14"/>
      <c r="K772" s="12"/>
    </row>
    <row r="773" ht="19.5" customHeight="1">
      <c r="A773" s="12"/>
      <c r="C773" s="12"/>
      <c r="D773" s="87"/>
      <c r="F773" s="14"/>
      <c r="G773" s="14"/>
      <c r="H773" s="14"/>
      <c r="I773" s="14"/>
      <c r="J773" s="14"/>
      <c r="K773" s="12"/>
    </row>
    <row r="774" ht="19.5" customHeight="1">
      <c r="A774" s="12"/>
      <c r="C774" s="12"/>
      <c r="D774" s="87"/>
      <c r="F774" s="14"/>
      <c r="G774" s="14"/>
      <c r="H774" s="14"/>
      <c r="I774" s="14"/>
      <c r="J774" s="14"/>
      <c r="K774" s="12"/>
    </row>
    <row r="775" ht="19.5" customHeight="1">
      <c r="A775" s="12"/>
      <c r="C775" s="12"/>
      <c r="D775" s="87"/>
      <c r="F775" s="14"/>
      <c r="G775" s="14"/>
      <c r="H775" s="14"/>
      <c r="I775" s="14"/>
      <c r="J775" s="14"/>
      <c r="K775" s="12"/>
    </row>
    <row r="776" ht="19.5" customHeight="1">
      <c r="A776" s="12"/>
      <c r="C776" s="12"/>
      <c r="D776" s="87"/>
      <c r="F776" s="14"/>
      <c r="G776" s="14"/>
      <c r="H776" s="14"/>
      <c r="I776" s="14"/>
      <c r="J776" s="14"/>
      <c r="K776" s="12"/>
    </row>
    <row r="777" ht="19.5" customHeight="1">
      <c r="A777" s="12"/>
      <c r="C777" s="12"/>
      <c r="D777" s="87"/>
      <c r="F777" s="14"/>
      <c r="G777" s="14"/>
      <c r="H777" s="14"/>
      <c r="I777" s="14"/>
      <c r="J777" s="14"/>
      <c r="K777" s="12"/>
    </row>
    <row r="778" ht="19.5" customHeight="1">
      <c r="A778" s="12"/>
      <c r="C778" s="12"/>
      <c r="D778" s="87"/>
      <c r="F778" s="14"/>
      <c r="G778" s="14"/>
      <c r="H778" s="14"/>
      <c r="I778" s="14"/>
      <c r="J778" s="14"/>
      <c r="K778" s="12"/>
    </row>
    <row r="779" ht="19.5" customHeight="1">
      <c r="A779" s="12"/>
      <c r="C779" s="12"/>
      <c r="D779" s="87"/>
      <c r="F779" s="14"/>
      <c r="G779" s="14"/>
      <c r="H779" s="14"/>
      <c r="I779" s="14"/>
      <c r="J779" s="14"/>
      <c r="K779" s="12"/>
    </row>
    <row r="780" ht="19.5" customHeight="1">
      <c r="A780" s="12"/>
      <c r="C780" s="12"/>
      <c r="D780" s="87"/>
      <c r="F780" s="14"/>
      <c r="G780" s="14"/>
      <c r="H780" s="14"/>
      <c r="I780" s="14"/>
      <c r="J780" s="14"/>
      <c r="K780" s="12"/>
    </row>
    <row r="781" ht="19.5" customHeight="1">
      <c r="A781" s="12"/>
      <c r="C781" s="12"/>
      <c r="D781" s="87"/>
      <c r="F781" s="14"/>
      <c r="G781" s="14"/>
      <c r="H781" s="14"/>
      <c r="I781" s="14"/>
      <c r="J781" s="14"/>
      <c r="K781" s="12"/>
    </row>
    <row r="782" ht="19.5" customHeight="1">
      <c r="A782" s="12"/>
      <c r="C782" s="12"/>
      <c r="D782" s="87"/>
      <c r="F782" s="14"/>
      <c r="G782" s="14"/>
      <c r="H782" s="14"/>
      <c r="I782" s="14"/>
      <c r="J782" s="14"/>
      <c r="K782" s="12"/>
    </row>
    <row r="783" ht="19.5" customHeight="1">
      <c r="A783" s="12"/>
      <c r="C783" s="12"/>
      <c r="D783" s="87"/>
      <c r="F783" s="14"/>
      <c r="G783" s="14"/>
      <c r="H783" s="14"/>
      <c r="I783" s="14"/>
      <c r="J783" s="14"/>
      <c r="K783" s="12"/>
    </row>
    <row r="784" ht="19.5" customHeight="1">
      <c r="A784" s="12"/>
      <c r="C784" s="12"/>
      <c r="D784" s="87"/>
      <c r="F784" s="14"/>
      <c r="G784" s="14"/>
      <c r="H784" s="14"/>
      <c r="I784" s="14"/>
      <c r="J784" s="14"/>
      <c r="K784" s="12"/>
    </row>
    <row r="785" ht="19.5" customHeight="1">
      <c r="A785" s="12"/>
      <c r="C785" s="12"/>
      <c r="D785" s="87"/>
      <c r="F785" s="14"/>
      <c r="G785" s="14"/>
      <c r="H785" s="14"/>
      <c r="I785" s="14"/>
      <c r="J785" s="14"/>
      <c r="K785" s="12"/>
    </row>
    <row r="786" ht="19.5" customHeight="1">
      <c r="A786" s="12"/>
      <c r="C786" s="12"/>
      <c r="D786" s="87"/>
      <c r="F786" s="14"/>
      <c r="G786" s="14"/>
      <c r="H786" s="14"/>
      <c r="I786" s="14"/>
      <c r="J786" s="14"/>
      <c r="K786" s="12"/>
    </row>
    <row r="787" ht="19.5" customHeight="1">
      <c r="A787" s="12"/>
      <c r="C787" s="12"/>
      <c r="D787" s="87"/>
      <c r="F787" s="14"/>
      <c r="G787" s="14"/>
      <c r="H787" s="14"/>
      <c r="I787" s="14"/>
      <c r="J787" s="14"/>
      <c r="K787" s="12"/>
    </row>
    <row r="788" ht="19.5" customHeight="1">
      <c r="A788" s="12"/>
      <c r="C788" s="12"/>
      <c r="D788" s="87"/>
      <c r="F788" s="14"/>
      <c r="G788" s="14"/>
      <c r="H788" s="14"/>
      <c r="I788" s="14"/>
      <c r="J788" s="14"/>
      <c r="K788" s="12"/>
    </row>
    <row r="789" ht="19.5" customHeight="1">
      <c r="A789" s="12"/>
      <c r="C789" s="12"/>
      <c r="D789" s="87"/>
      <c r="F789" s="14"/>
      <c r="G789" s="14"/>
      <c r="H789" s="14"/>
      <c r="I789" s="14"/>
      <c r="J789" s="14"/>
      <c r="K789" s="12"/>
    </row>
    <row r="790" ht="19.5" customHeight="1">
      <c r="A790" s="12"/>
      <c r="C790" s="12"/>
      <c r="D790" s="87"/>
      <c r="F790" s="14"/>
      <c r="G790" s="14"/>
      <c r="H790" s="14"/>
      <c r="I790" s="14"/>
      <c r="J790" s="14"/>
      <c r="K790" s="12"/>
    </row>
    <row r="791" ht="19.5" customHeight="1">
      <c r="A791" s="12"/>
      <c r="C791" s="12"/>
      <c r="D791" s="87"/>
      <c r="F791" s="14"/>
      <c r="G791" s="14"/>
      <c r="H791" s="14"/>
      <c r="I791" s="14"/>
      <c r="J791" s="14"/>
      <c r="K791" s="12"/>
    </row>
    <row r="792" ht="19.5" customHeight="1">
      <c r="A792" s="12"/>
      <c r="C792" s="12"/>
      <c r="D792" s="87"/>
      <c r="F792" s="14"/>
      <c r="G792" s="14"/>
      <c r="H792" s="14"/>
      <c r="I792" s="14"/>
      <c r="J792" s="14"/>
      <c r="K792" s="12"/>
    </row>
    <row r="793" ht="19.5" customHeight="1">
      <c r="A793" s="12"/>
      <c r="C793" s="12"/>
      <c r="D793" s="87"/>
      <c r="F793" s="14"/>
      <c r="G793" s="14"/>
      <c r="H793" s="14"/>
      <c r="I793" s="14"/>
      <c r="J793" s="14"/>
      <c r="K793" s="12"/>
    </row>
    <row r="794" ht="19.5" customHeight="1">
      <c r="A794" s="12"/>
      <c r="C794" s="12"/>
      <c r="D794" s="87"/>
      <c r="F794" s="14"/>
      <c r="G794" s="14"/>
      <c r="H794" s="14"/>
      <c r="I794" s="14"/>
      <c r="J794" s="14"/>
      <c r="K794" s="12"/>
    </row>
    <row r="795" ht="19.5" customHeight="1">
      <c r="A795" s="12"/>
      <c r="C795" s="12"/>
      <c r="D795" s="87"/>
      <c r="F795" s="14"/>
      <c r="G795" s="14"/>
      <c r="H795" s="14"/>
      <c r="I795" s="14"/>
      <c r="J795" s="14"/>
      <c r="K795" s="12"/>
    </row>
    <row r="796" ht="19.5" customHeight="1">
      <c r="A796" s="12"/>
      <c r="C796" s="12"/>
      <c r="D796" s="87"/>
      <c r="F796" s="14"/>
      <c r="G796" s="14"/>
      <c r="H796" s="14"/>
      <c r="I796" s="14"/>
      <c r="J796" s="14"/>
      <c r="K796" s="12"/>
    </row>
    <row r="797" ht="19.5" customHeight="1">
      <c r="A797" s="12"/>
      <c r="C797" s="12"/>
      <c r="D797" s="87"/>
      <c r="F797" s="14"/>
      <c r="G797" s="14"/>
      <c r="H797" s="14"/>
      <c r="I797" s="14"/>
      <c r="J797" s="14"/>
      <c r="K797" s="12"/>
    </row>
    <row r="798" ht="19.5" customHeight="1">
      <c r="A798" s="12"/>
      <c r="C798" s="12"/>
      <c r="D798" s="87"/>
      <c r="F798" s="14"/>
      <c r="G798" s="14"/>
      <c r="H798" s="14"/>
      <c r="I798" s="14"/>
      <c r="J798" s="14"/>
      <c r="K798" s="12"/>
    </row>
    <row r="799" ht="19.5" customHeight="1">
      <c r="A799" s="12"/>
      <c r="C799" s="12"/>
      <c r="D799" s="87"/>
      <c r="F799" s="14"/>
      <c r="G799" s="14"/>
      <c r="H799" s="14"/>
      <c r="I799" s="14"/>
      <c r="J799" s="14"/>
      <c r="K799" s="12"/>
    </row>
    <row r="800" ht="19.5" customHeight="1">
      <c r="A800" s="12"/>
      <c r="C800" s="12"/>
      <c r="D800" s="87"/>
      <c r="F800" s="14"/>
      <c r="G800" s="14"/>
      <c r="H800" s="14"/>
      <c r="I800" s="14"/>
      <c r="J800" s="14"/>
      <c r="K800" s="12"/>
    </row>
    <row r="801" ht="19.5" customHeight="1">
      <c r="A801" s="12"/>
      <c r="C801" s="12"/>
      <c r="D801" s="87"/>
      <c r="F801" s="14"/>
      <c r="G801" s="14"/>
      <c r="H801" s="14"/>
      <c r="I801" s="14"/>
      <c r="J801" s="14"/>
      <c r="K801" s="12"/>
    </row>
    <row r="802" ht="19.5" customHeight="1">
      <c r="A802" s="12"/>
      <c r="C802" s="12"/>
      <c r="D802" s="87"/>
      <c r="F802" s="14"/>
      <c r="G802" s="14"/>
      <c r="H802" s="14"/>
      <c r="I802" s="14"/>
      <c r="J802" s="14"/>
      <c r="K802" s="12"/>
    </row>
    <row r="803" ht="19.5" customHeight="1">
      <c r="A803" s="12"/>
      <c r="C803" s="12"/>
      <c r="D803" s="87"/>
      <c r="F803" s="14"/>
      <c r="G803" s="14"/>
      <c r="H803" s="14"/>
      <c r="I803" s="14"/>
      <c r="J803" s="14"/>
      <c r="K803" s="12"/>
    </row>
    <row r="804" ht="19.5" customHeight="1">
      <c r="A804" s="12"/>
      <c r="C804" s="12"/>
      <c r="D804" s="87"/>
      <c r="F804" s="14"/>
      <c r="G804" s="14"/>
      <c r="H804" s="14"/>
      <c r="I804" s="14"/>
      <c r="J804" s="14"/>
      <c r="K804" s="12"/>
    </row>
    <row r="805" ht="19.5" customHeight="1">
      <c r="A805" s="12"/>
      <c r="C805" s="12"/>
      <c r="D805" s="87"/>
      <c r="F805" s="14"/>
      <c r="G805" s="14"/>
      <c r="H805" s="14"/>
      <c r="I805" s="14"/>
      <c r="J805" s="14"/>
      <c r="K805" s="12"/>
    </row>
    <row r="806" ht="19.5" customHeight="1">
      <c r="A806" s="12"/>
      <c r="C806" s="12"/>
      <c r="D806" s="87"/>
      <c r="F806" s="14"/>
      <c r="G806" s="14"/>
      <c r="H806" s="14"/>
      <c r="I806" s="14"/>
      <c r="J806" s="14"/>
      <c r="K806" s="12"/>
    </row>
    <row r="807" ht="19.5" customHeight="1">
      <c r="A807" s="12"/>
      <c r="C807" s="12"/>
      <c r="D807" s="87"/>
      <c r="F807" s="14"/>
      <c r="G807" s="14"/>
      <c r="H807" s="14"/>
      <c r="I807" s="14"/>
      <c r="J807" s="14"/>
      <c r="K807" s="12"/>
    </row>
    <row r="808" ht="19.5" customHeight="1">
      <c r="A808" s="12"/>
      <c r="C808" s="12"/>
      <c r="D808" s="87"/>
      <c r="F808" s="14"/>
      <c r="G808" s="14"/>
      <c r="H808" s="14"/>
      <c r="I808" s="14"/>
      <c r="J808" s="14"/>
      <c r="K808" s="12"/>
    </row>
    <row r="809" ht="19.5" customHeight="1">
      <c r="A809" s="12"/>
      <c r="C809" s="12"/>
      <c r="D809" s="87"/>
      <c r="F809" s="14"/>
      <c r="G809" s="14"/>
      <c r="H809" s="14"/>
      <c r="I809" s="14"/>
      <c r="J809" s="14"/>
      <c r="K809" s="12"/>
    </row>
    <row r="810" ht="19.5" customHeight="1">
      <c r="A810" s="12"/>
      <c r="C810" s="12"/>
      <c r="D810" s="87"/>
      <c r="F810" s="14"/>
      <c r="G810" s="14"/>
      <c r="H810" s="14"/>
      <c r="I810" s="14"/>
      <c r="J810" s="14"/>
      <c r="K810" s="12"/>
    </row>
    <row r="811" ht="19.5" customHeight="1">
      <c r="A811" s="12"/>
      <c r="C811" s="12"/>
      <c r="D811" s="87"/>
      <c r="F811" s="14"/>
      <c r="G811" s="14"/>
      <c r="H811" s="14"/>
      <c r="I811" s="14"/>
      <c r="J811" s="14"/>
      <c r="K811" s="12"/>
    </row>
    <row r="812" ht="19.5" customHeight="1">
      <c r="A812" s="12"/>
      <c r="C812" s="12"/>
      <c r="D812" s="87"/>
      <c r="F812" s="14"/>
      <c r="G812" s="14"/>
      <c r="H812" s="14"/>
      <c r="I812" s="14"/>
      <c r="J812" s="14"/>
      <c r="K812" s="12"/>
    </row>
    <row r="813" ht="19.5" customHeight="1">
      <c r="A813" s="12"/>
      <c r="C813" s="12"/>
      <c r="D813" s="87"/>
      <c r="F813" s="14"/>
      <c r="G813" s="14"/>
      <c r="H813" s="14"/>
      <c r="I813" s="14"/>
      <c r="J813" s="14"/>
      <c r="K813" s="12"/>
    </row>
    <row r="814" ht="19.5" customHeight="1">
      <c r="A814" s="12"/>
      <c r="C814" s="12"/>
      <c r="D814" s="87"/>
      <c r="F814" s="14"/>
      <c r="G814" s="14"/>
      <c r="H814" s="14"/>
      <c r="I814" s="14"/>
      <c r="J814" s="14"/>
      <c r="K814" s="12"/>
    </row>
    <row r="815" ht="19.5" customHeight="1">
      <c r="A815" s="12"/>
      <c r="C815" s="12"/>
      <c r="D815" s="87"/>
      <c r="F815" s="14"/>
      <c r="G815" s="14"/>
      <c r="H815" s="14"/>
      <c r="I815" s="14"/>
      <c r="J815" s="14"/>
      <c r="K815" s="12"/>
    </row>
    <row r="816" ht="19.5" customHeight="1">
      <c r="A816" s="12"/>
      <c r="C816" s="12"/>
      <c r="D816" s="87"/>
      <c r="F816" s="14"/>
      <c r="G816" s="14"/>
      <c r="H816" s="14"/>
      <c r="I816" s="14"/>
      <c r="J816" s="14"/>
      <c r="K816" s="12"/>
    </row>
    <row r="817" ht="19.5" customHeight="1">
      <c r="A817" s="12"/>
      <c r="C817" s="12"/>
      <c r="D817" s="87"/>
      <c r="F817" s="14"/>
      <c r="G817" s="14"/>
      <c r="H817" s="14"/>
      <c r="I817" s="14"/>
      <c r="J817" s="14"/>
      <c r="K817" s="12"/>
    </row>
    <row r="818" ht="19.5" customHeight="1">
      <c r="A818" s="12"/>
      <c r="C818" s="12"/>
      <c r="D818" s="87"/>
      <c r="F818" s="14"/>
      <c r="G818" s="14"/>
      <c r="H818" s="14"/>
      <c r="I818" s="14"/>
      <c r="J818" s="14"/>
      <c r="K818" s="12"/>
    </row>
    <row r="819" ht="19.5" customHeight="1">
      <c r="A819" s="12"/>
      <c r="C819" s="12"/>
      <c r="D819" s="87"/>
      <c r="F819" s="14"/>
      <c r="G819" s="14"/>
      <c r="H819" s="14"/>
      <c r="I819" s="14"/>
      <c r="J819" s="14"/>
      <c r="K819" s="12"/>
    </row>
    <row r="820" ht="19.5" customHeight="1">
      <c r="A820" s="12"/>
      <c r="C820" s="12"/>
      <c r="D820" s="87"/>
      <c r="F820" s="14"/>
      <c r="G820" s="14"/>
      <c r="H820" s="14"/>
      <c r="I820" s="14"/>
      <c r="J820" s="14"/>
      <c r="K820" s="12"/>
    </row>
    <row r="821" ht="19.5" customHeight="1">
      <c r="A821" s="12"/>
      <c r="C821" s="12"/>
      <c r="D821" s="87"/>
      <c r="F821" s="14"/>
      <c r="G821" s="14"/>
      <c r="H821" s="14"/>
      <c r="I821" s="14"/>
      <c r="J821" s="14"/>
      <c r="K821" s="12"/>
    </row>
    <row r="822" ht="19.5" customHeight="1">
      <c r="A822" s="12"/>
      <c r="C822" s="12"/>
      <c r="D822" s="87"/>
      <c r="F822" s="14"/>
      <c r="G822" s="14"/>
      <c r="H822" s="14"/>
      <c r="I822" s="14"/>
      <c r="J822" s="14"/>
      <c r="K822" s="12"/>
    </row>
    <row r="823" ht="19.5" customHeight="1">
      <c r="A823" s="12"/>
      <c r="C823" s="12"/>
      <c r="D823" s="87"/>
      <c r="F823" s="14"/>
      <c r="G823" s="14"/>
      <c r="H823" s="14"/>
      <c r="I823" s="14"/>
      <c r="J823" s="14"/>
      <c r="K823" s="12"/>
    </row>
    <row r="824" ht="19.5" customHeight="1">
      <c r="A824" s="12"/>
      <c r="C824" s="12"/>
      <c r="D824" s="87"/>
      <c r="F824" s="14"/>
      <c r="G824" s="14"/>
      <c r="H824" s="14"/>
      <c r="I824" s="14"/>
      <c r="J824" s="14"/>
      <c r="K824" s="12"/>
    </row>
    <row r="825" ht="19.5" customHeight="1">
      <c r="A825" s="12"/>
      <c r="C825" s="12"/>
      <c r="D825" s="87"/>
      <c r="F825" s="14"/>
      <c r="G825" s="14"/>
      <c r="H825" s="14"/>
      <c r="I825" s="14"/>
      <c r="J825" s="14"/>
      <c r="K825" s="12"/>
    </row>
    <row r="826" ht="19.5" customHeight="1">
      <c r="A826" s="12"/>
      <c r="C826" s="12"/>
      <c r="D826" s="87"/>
      <c r="F826" s="14"/>
      <c r="G826" s="14"/>
      <c r="H826" s="14"/>
      <c r="I826" s="14"/>
      <c r="J826" s="14"/>
      <c r="K826" s="12"/>
    </row>
    <row r="827" ht="19.5" customHeight="1">
      <c r="A827" s="12"/>
      <c r="C827" s="12"/>
      <c r="D827" s="87"/>
      <c r="F827" s="14"/>
      <c r="G827" s="14"/>
      <c r="H827" s="14"/>
      <c r="I827" s="14"/>
      <c r="J827" s="14"/>
      <c r="K827" s="12"/>
    </row>
    <row r="828" ht="19.5" customHeight="1">
      <c r="A828" s="12"/>
      <c r="C828" s="12"/>
      <c r="D828" s="87"/>
      <c r="F828" s="14"/>
      <c r="G828" s="14"/>
      <c r="H828" s="14"/>
      <c r="I828" s="14"/>
      <c r="J828" s="14"/>
      <c r="K828" s="12"/>
    </row>
    <row r="829" ht="19.5" customHeight="1">
      <c r="A829" s="12"/>
      <c r="C829" s="12"/>
      <c r="D829" s="87"/>
      <c r="F829" s="14"/>
      <c r="G829" s="14"/>
      <c r="H829" s="14"/>
      <c r="I829" s="14"/>
      <c r="J829" s="14"/>
      <c r="K829" s="12"/>
    </row>
    <row r="830" ht="19.5" customHeight="1">
      <c r="A830" s="12"/>
      <c r="C830" s="12"/>
      <c r="D830" s="87"/>
      <c r="F830" s="14"/>
      <c r="G830" s="14"/>
      <c r="H830" s="14"/>
      <c r="I830" s="14"/>
      <c r="J830" s="14"/>
      <c r="K830" s="12"/>
    </row>
    <row r="831" ht="19.5" customHeight="1">
      <c r="A831" s="12"/>
      <c r="C831" s="12"/>
      <c r="D831" s="87"/>
      <c r="F831" s="14"/>
      <c r="G831" s="14"/>
      <c r="H831" s="14"/>
      <c r="I831" s="14"/>
      <c r="J831" s="14"/>
      <c r="K831" s="12"/>
    </row>
    <row r="832" ht="19.5" customHeight="1">
      <c r="A832" s="12"/>
      <c r="C832" s="12"/>
      <c r="D832" s="87"/>
      <c r="F832" s="14"/>
      <c r="G832" s="14"/>
      <c r="H832" s="14"/>
      <c r="I832" s="14"/>
      <c r="J832" s="14"/>
      <c r="K832" s="12"/>
    </row>
    <row r="833" ht="19.5" customHeight="1">
      <c r="A833" s="12"/>
      <c r="C833" s="12"/>
      <c r="D833" s="87"/>
      <c r="F833" s="14"/>
      <c r="G833" s="14"/>
      <c r="H833" s="14"/>
      <c r="I833" s="14"/>
      <c r="J833" s="14"/>
      <c r="K833" s="12"/>
    </row>
    <row r="834" ht="19.5" customHeight="1">
      <c r="A834" s="12"/>
      <c r="C834" s="12"/>
      <c r="D834" s="87"/>
      <c r="F834" s="14"/>
      <c r="G834" s="14"/>
      <c r="H834" s="14"/>
      <c r="I834" s="14"/>
      <c r="J834" s="14"/>
      <c r="K834" s="12"/>
    </row>
    <row r="835" ht="19.5" customHeight="1">
      <c r="A835" s="12"/>
      <c r="C835" s="12"/>
      <c r="D835" s="87"/>
      <c r="F835" s="14"/>
      <c r="G835" s="14"/>
      <c r="H835" s="14"/>
      <c r="I835" s="14"/>
      <c r="J835" s="14"/>
      <c r="K835" s="12"/>
    </row>
    <row r="836" ht="19.5" customHeight="1">
      <c r="A836" s="12"/>
      <c r="C836" s="12"/>
      <c r="D836" s="87"/>
      <c r="F836" s="14"/>
      <c r="G836" s="14"/>
      <c r="H836" s="14"/>
      <c r="I836" s="14"/>
      <c r="J836" s="14"/>
      <c r="K836" s="12"/>
    </row>
    <row r="837" ht="19.5" customHeight="1">
      <c r="A837" s="12"/>
      <c r="C837" s="12"/>
      <c r="D837" s="87"/>
      <c r="F837" s="14"/>
      <c r="G837" s="14"/>
      <c r="H837" s="14"/>
      <c r="I837" s="14"/>
      <c r="J837" s="14"/>
      <c r="K837" s="12"/>
    </row>
    <row r="838" ht="19.5" customHeight="1">
      <c r="A838" s="12"/>
      <c r="C838" s="12"/>
      <c r="D838" s="87"/>
      <c r="F838" s="14"/>
      <c r="G838" s="14"/>
      <c r="H838" s="14"/>
      <c r="I838" s="14"/>
      <c r="J838" s="14"/>
      <c r="K838" s="12"/>
    </row>
    <row r="839" ht="19.5" customHeight="1">
      <c r="A839" s="12"/>
      <c r="C839" s="12"/>
      <c r="D839" s="87"/>
      <c r="F839" s="14"/>
      <c r="G839" s="14"/>
      <c r="H839" s="14"/>
      <c r="I839" s="14"/>
      <c r="J839" s="14"/>
      <c r="K839" s="12"/>
    </row>
    <row r="840" ht="19.5" customHeight="1">
      <c r="A840" s="12"/>
      <c r="C840" s="12"/>
      <c r="D840" s="87"/>
      <c r="F840" s="14"/>
      <c r="G840" s="14"/>
      <c r="H840" s="14"/>
      <c r="I840" s="14"/>
      <c r="J840" s="14"/>
      <c r="K840" s="12"/>
    </row>
    <row r="841" ht="19.5" customHeight="1">
      <c r="A841" s="12"/>
      <c r="C841" s="12"/>
      <c r="D841" s="87"/>
      <c r="F841" s="14"/>
      <c r="G841" s="14"/>
      <c r="H841" s="14"/>
      <c r="I841" s="14"/>
      <c r="J841" s="14"/>
      <c r="K841" s="12"/>
    </row>
    <row r="842" ht="19.5" customHeight="1">
      <c r="A842" s="12"/>
      <c r="C842" s="12"/>
      <c r="D842" s="87"/>
      <c r="F842" s="14"/>
      <c r="G842" s="14"/>
      <c r="H842" s="14"/>
      <c r="I842" s="14"/>
      <c r="J842" s="14"/>
      <c r="K842" s="12"/>
    </row>
    <row r="843" ht="19.5" customHeight="1">
      <c r="A843" s="12"/>
      <c r="C843" s="12"/>
      <c r="D843" s="87"/>
      <c r="F843" s="14"/>
      <c r="G843" s="14"/>
      <c r="H843" s="14"/>
      <c r="I843" s="14"/>
      <c r="J843" s="14"/>
      <c r="K843" s="12"/>
    </row>
  </sheetData>
  <mergeCells count="10">
    <mergeCell ref="E9:G9"/>
    <mergeCell ref="J9:J10"/>
    <mergeCell ref="A6:K6"/>
    <mergeCell ref="A7:K7"/>
    <mergeCell ref="A8:K8"/>
    <mergeCell ref="A9:A10"/>
    <mergeCell ref="B9:B10"/>
    <mergeCell ref="C9:C10"/>
    <mergeCell ref="D9:D10"/>
    <mergeCell ref="K9:K10"/>
  </mergeCells>
  <printOptions/>
  <pageMargins bottom="0.787401575" footer="0.0" header="0.0" left="0.511811024" right="0.511811024" top="0.787401575"/>
  <pageSetup paperSize="9" scale="60" orientation="landscape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35.88"/>
    <col customWidth="1" min="3" max="3" width="9.13"/>
    <col customWidth="1" min="4" max="4" width="16.25"/>
    <col customWidth="1" min="5" max="5" width="16.13"/>
    <col customWidth="1" min="6" max="6" width="22.25"/>
    <col customWidth="1" min="7" max="7" width="18.25"/>
    <col customWidth="1" min="8" max="8" width="23.88"/>
    <col customWidth="1" min="9" max="9" width="14.0"/>
    <col customWidth="1" min="10" max="10" width="20.63"/>
    <col customWidth="1" min="11" max="11" width="32.25"/>
    <col customWidth="1" min="12" max="26" width="8.63"/>
  </cols>
  <sheetData>
    <row r="1" ht="19.5" customHeight="1">
      <c r="A1" s="4"/>
      <c r="B1" s="5"/>
      <c r="C1" s="6"/>
      <c r="D1" s="7"/>
      <c r="E1" s="5"/>
      <c r="F1" s="8"/>
      <c r="G1" s="8"/>
      <c r="H1" s="8"/>
      <c r="I1" s="8"/>
      <c r="J1" s="8"/>
      <c r="K1" s="9"/>
    </row>
    <row r="2" ht="19.5" customHeight="1">
      <c r="A2" s="10" t="s">
        <v>83</v>
      </c>
      <c r="B2" s="11" t="s">
        <v>84</v>
      </c>
      <c r="C2" s="12"/>
      <c r="D2" s="13"/>
      <c r="F2" s="14"/>
      <c r="G2" s="14"/>
      <c r="H2" s="14"/>
      <c r="I2" s="14"/>
      <c r="J2" s="17" t="s">
        <v>144</v>
      </c>
      <c r="K2" s="18"/>
    </row>
    <row r="3" ht="19.5" customHeight="1">
      <c r="A3" s="10" t="s">
        <v>86</v>
      </c>
      <c r="B3" s="11" t="s">
        <v>87</v>
      </c>
      <c r="C3" s="12"/>
      <c r="D3" s="13"/>
      <c r="F3" s="14"/>
      <c r="G3" s="14"/>
      <c r="H3" s="14"/>
      <c r="I3" s="14"/>
      <c r="J3" s="14"/>
      <c r="K3" s="18"/>
    </row>
    <row r="4" ht="19.5" customHeight="1">
      <c r="A4" s="19"/>
      <c r="C4" s="12"/>
      <c r="D4" s="13"/>
      <c r="F4" s="14"/>
      <c r="G4" s="14"/>
      <c r="H4" s="14"/>
      <c r="I4" s="14"/>
      <c r="J4" s="14"/>
      <c r="K4" s="18"/>
    </row>
    <row r="5" ht="19.5" customHeight="1">
      <c r="A5" s="19"/>
      <c r="C5" s="12"/>
      <c r="D5" s="13"/>
      <c r="F5" s="14"/>
      <c r="G5" s="14"/>
      <c r="H5" s="14"/>
      <c r="I5" s="14"/>
      <c r="J5" s="14"/>
      <c r="K5" s="18"/>
    </row>
    <row r="6" ht="159.0" customHeight="1">
      <c r="A6" s="20" t="s">
        <v>1819</v>
      </c>
      <c r="K6" s="21"/>
    </row>
    <row r="7" ht="64.5" customHeight="1">
      <c r="A7" s="22" t="s">
        <v>1820</v>
      </c>
      <c r="K7" s="21"/>
    </row>
    <row r="8" ht="42.0" customHeight="1">
      <c r="A8" s="88" t="s">
        <v>90</v>
      </c>
      <c r="B8" s="24"/>
      <c r="C8" s="24"/>
      <c r="D8" s="24"/>
      <c r="E8" s="24"/>
      <c r="F8" s="24"/>
      <c r="G8" s="24"/>
      <c r="H8" s="24"/>
      <c r="I8" s="24"/>
      <c r="J8" s="24"/>
      <c r="K8" s="25"/>
    </row>
    <row r="9" ht="19.5" customHeight="1">
      <c r="A9" s="26" t="s">
        <v>1</v>
      </c>
      <c r="B9" s="26" t="s">
        <v>91</v>
      </c>
      <c r="C9" s="26" t="s">
        <v>92</v>
      </c>
      <c r="D9" s="26" t="s">
        <v>93</v>
      </c>
      <c r="E9" s="27" t="s">
        <v>94</v>
      </c>
      <c r="F9" s="28"/>
      <c r="G9" s="29"/>
      <c r="H9" s="30"/>
      <c r="I9" s="30"/>
      <c r="J9" s="31" t="s">
        <v>95</v>
      </c>
      <c r="K9" s="26" t="s">
        <v>96</v>
      </c>
    </row>
    <row r="10" ht="19.5" customHeight="1">
      <c r="A10" s="32"/>
      <c r="B10" s="32"/>
      <c r="C10" s="32"/>
      <c r="D10" s="32"/>
      <c r="E10" s="33" t="s">
        <v>97</v>
      </c>
      <c r="F10" s="34" t="s">
        <v>121</v>
      </c>
      <c r="G10" s="34" t="s">
        <v>99</v>
      </c>
      <c r="H10" s="35" t="s">
        <v>100</v>
      </c>
      <c r="I10" s="35" t="s">
        <v>101</v>
      </c>
      <c r="J10" s="32"/>
      <c r="K10" s="32"/>
    </row>
    <row r="11" ht="19.5" customHeight="1">
      <c r="A11" s="46">
        <v>1.0</v>
      </c>
      <c r="B11" s="37" t="s">
        <v>147</v>
      </c>
      <c r="C11" s="46" t="s">
        <v>148</v>
      </c>
      <c r="D11" s="78">
        <v>1.0</v>
      </c>
      <c r="E11" s="37">
        <v>0.2</v>
      </c>
      <c r="F11" s="40">
        <v>919.64</v>
      </c>
      <c r="G11" s="40">
        <v>0.2</v>
      </c>
      <c r="H11" s="40">
        <f>G11*F11*E11*D11</f>
        <v>36.7856</v>
      </c>
      <c r="I11" s="42"/>
      <c r="J11" s="43">
        <f>H11-I11</f>
        <v>36.7856</v>
      </c>
      <c r="K11" s="46"/>
    </row>
    <row r="12" ht="19.5" customHeight="1">
      <c r="A12" s="74" t="s">
        <v>1</v>
      </c>
      <c r="B12" s="74" t="s">
        <v>91</v>
      </c>
      <c r="C12" s="74" t="s">
        <v>92</v>
      </c>
      <c r="D12" s="74" t="s">
        <v>93</v>
      </c>
      <c r="E12" s="50" t="s">
        <v>97</v>
      </c>
      <c r="F12" s="53" t="s">
        <v>121</v>
      </c>
      <c r="G12" s="53" t="s">
        <v>99</v>
      </c>
      <c r="H12" s="75" t="s">
        <v>100</v>
      </c>
      <c r="I12" s="75" t="s">
        <v>101</v>
      </c>
      <c r="J12" s="76" t="s">
        <v>95</v>
      </c>
      <c r="K12" s="74" t="s">
        <v>96</v>
      </c>
    </row>
    <row r="13" ht="19.5" customHeight="1">
      <c r="A13" s="572">
        <v>1.0</v>
      </c>
      <c r="B13" s="574" t="s">
        <v>1821</v>
      </c>
      <c r="C13" s="572" t="s">
        <v>108</v>
      </c>
      <c r="D13" s="78">
        <v>919.64</v>
      </c>
      <c r="E13" s="574">
        <v>0.3</v>
      </c>
      <c r="F13" s="42">
        <v>1.0</v>
      </c>
      <c r="G13" s="42">
        <v>0.15</v>
      </c>
      <c r="H13" s="42">
        <f>D13</f>
        <v>919.64</v>
      </c>
      <c r="I13" s="42"/>
      <c r="J13" s="77">
        <f>SUM(H13)</f>
        <v>919.64</v>
      </c>
      <c r="K13" s="575"/>
      <c r="L13" s="576"/>
      <c r="M13" s="576"/>
      <c r="N13" s="576"/>
      <c r="O13" s="576"/>
      <c r="P13" s="576"/>
      <c r="Q13" s="576"/>
      <c r="R13" s="576"/>
      <c r="S13" s="576"/>
      <c r="T13" s="576"/>
      <c r="U13" s="576"/>
      <c r="V13" s="576"/>
      <c r="W13" s="576"/>
      <c r="X13" s="576"/>
      <c r="Y13" s="576"/>
      <c r="Z13" s="576"/>
    </row>
    <row r="14" ht="19.5" customHeight="1">
      <c r="A14" s="74" t="s">
        <v>1</v>
      </c>
      <c r="B14" s="74" t="s">
        <v>91</v>
      </c>
      <c r="C14" s="74" t="s">
        <v>92</v>
      </c>
      <c r="D14" s="74" t="s">
        <v>93</v>
      </c>
      <c r="E14" s="50" t="s">
        <v>97</v>
      </c>
      <c r="F14" s="53" t="s">
        <v>121</v>
      </c>
      <c r="G14" s="53" t="s">
        <v>99</v>
      </c>
      <c r="H14" s="75" t="s">
        <v>100</v>
      </c>
      <c r="I14" s="75" t="s">
        <v>101</v>
      </c>
      <c r="J14" s="76" t="s">
        <v>95</v>
      </c>
      <c r="K14" s="74" t="s">
        <v>96</v>
      </c>
    </row>
    <row r="15" ht="19.5" customHeight="1">
      <c r="A15" s="46">
        <v>1.0</v>
      </c>
      <c r="B15" s="37" t="s">
        <v>1822</v>
      </c>
      <c r="C15" s="46" t="s">
        <v>103</v>
      </c>
      <c r="D15" s="39">
        <v>2475.0</v>
      </c>
      <c r="E15" s="37"/>
      <c r="F15" s="78"/>
      <c r="G15" s="40"/>
      <c r="H15" s="40">
        <f t="shared" ref="H15:H18" si="1">D15</f>
        <v>2475</v>
      </c>
      <c r="I15" s="14"/>
      <c r="J15" s="406">
        <f t="shared" ref="J15:J19" si="2">H15</f>
        <v>2475</v>
      </c>
      <c r="K15" s="47">
        <f>J15*0.05</f>
        <v>123.75</v>
      </c>
    </row>
    <row r="16" ht="19.5" customHeight="1">
      <c r="A16" s="46">
        <v>2.0</v>
      </c>
      <c r="B16" s="37" t="s">
        <v>1823</v>
      </c>
      <c r="C16" s="46" t="s">
        <v>106</v>
      </c>
      <c r="D16" s="78">
        <v>25.0</v>
      </c>
      <c r="E16" s="37"/>
      <c r="F16" s="78"/>
      <c r="G16" s="40"/>
      <c r="H16" s="40">
        <f t="shared" si="1"/>
        <v>25</v>
      </c>
      <c r="I16" s="14"/>
      <c r="J16" s="406">
        <f t="shared" si="2"/>
        <v>25</v>
      </c>
      <c r="K16" s="46"/>
    </row>
    <row r="17" ht="19.5" customHeight="1">
      <c r="A17" s="46">
        <v>3.0</v>
      </c>
      <c r="B17" s="37" t="s">
        <v>1824</v>
      </c>
      <c r="C17" s="46" t="s">
        <v>106</v>
      </c>
      <c r="D17" s="78">
        <v>50.0</v>
      </c>
      <c r="E17" s="37"/>
      <c r="F17" s="78"/>
      <c r="G17" s="40"/>
      <c r="H17" s="40">
        <f t="shared" si="1"/>
        <v>50</v>
      </c>
      <c r="I17" s="14"/>
      <c r="J17" s="406">
        <f t="shared" si="2"/>
        <v>50</v>
      </c>
      <c r="K17" s="46"/>
    </row>
    <row r="18" ht="19.5" customHeight="1">
      <c r="A18" s="46">
        <v>4.0</v>
      </c>
      <c r="B18" s="37" t="s">
        <v>1825</v>
      </c>
      <c r="C18" s="46" t="s">
        <v>106</v>
      </c>
      <c r="D18" s="78">
        <v>100.0</v>
      </c>
      <c r="E18" s="37"/>
      <c r="F18" s="78"/>
      <c r="G18" s="40"/>
      <c r="H18" s="40">
        <f t="shared" si="1"/>
        <v>100</v>
      </c>
      <c r="I18" s="14"/>
      <c r="J18" s="406">
        <f t="shared" si="2"/>
        <v>100</v>
      </c>
      <c r="K18" s="46"/>
    </row>
    <row r="19" ht="19.5" customHeight="1">
      <c r="A19" s="46">
        <v>5.0</v>
      </c>
      <c r="B19" s="37" t="s">
        <v>1826</v>
      </c>
      <c r="C19" s="46" t="s">
        <v>103</v>
      </c>
      <c r="D19" s="78">
        <v>1000.0</v>
      </c>
      <c r="E19" s="37">
        <v>0.05</v>
      </c>
      <c r="F19" s="78"/>
      <c r="G19" s="577"/>
      <c r="H19" s="40">
        <f>E19*D19</f>
        <v>50</v>
      </c>
      <c r="I19" s="42"/>
      <c r="J19" s="43">
        <f t="shared" si="2"/>
        <v>50</v>
      </c>
      <c r="K19" s="46"/>
    </row>
    <row r="20" ht="19.5" customHeight="1">
      <c r="A20" s="74" t="s">
        <v>1</v>
      </c>
      <c r="B20" s="74" t="s">
        <v>91</v>
      </c>
      <c r="C20" s="74" t="s">
        <v>92</v>
      </c>
      <c r="D20" s="74" t="s">
        <v>93</v>
      </c>
      <c r="E20" s="50" t="s">
        <v>97</v>
      </c>
      <c r="F20" s="53" t="s">
        <v>121</v>
      </c>
      <c r="G20" s="53" t="s">
        <v>99</v>
      </c>
      <c r="H20" s="75" t="s">
        <v>100</v>
      </c>
      <c r="I20" s="75" t="s">
        <v>101</v>
      </c>
      <c r="J20" s="76" t="s">
        <v>95</v>
      </c>
      <c r="K20" s="74" t="s">
        <v>96</v>
      </c>
    </row>
    <row r="21" ht="19.5" customHeight="1">
      <c r="A21" s="46">
        <v>1.0</v>
      </c>
      <c r="B21" s="37" t="s">
        <v>1827</v>
      </c>
      <c r="C21" s="46" t="s">
        <v>148</v>
      </c>
      <c r="D21" s="78">
        <v>30.0</v>
      </c>
      <c r="E21" s="37">
        <v>1.0</v>
      </c>
      <c r="F21" s="78">
        <v>1.0</v>
      </c>
      <c r="G21" s="40">
        <v>1.0</v>
      </c>
      <c r="H21" s="40">
        <f t="shared" ref="H21:H28" si="3">G21*D21</f>
        <v>30</v>
      </c>
      <c r="I21" s="42"/>
      <c r="J21" s="43">
        <f t="shared" ref="J21:J29" si="4">H21</f>
        <v>30</v>
      </c>
      <c r="K21" s="46"/>
    </row>
    <row r="22" ht="19.5" customHeight="1">
      <c r="A22" s="46">
        <v>2.0</v>
      </c>
      <c r="B22" s="37" t="s">
        <v>253</v>
      </c>
      <c r="C22" s="46" t="s">
        <v>108</v>
      </c>
      <c r="D22" s="78">
        <v>400.0</v>
      </c>
      <c r="E22" s="37">
        <v>0.05</v>
      </c>
      <c r="F22" s="78">
        <v>0.4</v>
      </c>
      <c r="G22" s="40">
        <v>0.4</v>
      </c>
      <c r="H22" s="40">
        <f t="shared" si="3"/>
        <v>160</v>
      </c>
      <c r="I22" s="42"/>
      <c r="J22" s="43">
        <f t="shared" si="4"/>
        <v>160</v>
      </c>
      <c r="K22" s="46"/>
    </row>
    <row r="23" ht="19.5" customHeight="1">
      <c r="A23" s="46">
        <v>3.0</v>
      </c>
      <c r="B23" s="37" t="s">
        <v>641</v>
      </c>
      <c r="C23" s="46" t="s">
        <v>108</v>
      </c>
      <c r="D23" s="78">
        <v>1000.0</v>
      </c>
      <c r="E23" s="37">
        <v>0.05</v>
      </c>
      <c r="F23" s="78">
        <v>0.4</v>
      </c>
      <c r="G23" s="40">
        <v>0.4</v>
      </c>
      <c r="H23" s="40">
        <f t="shared" si="3"/>
        <v>400</v>
      </c>
      <c r="I23" s="42"/>
      <c r="J23" s="43">
        <f t="shared" si="4"/>
        <v>400</v>
      </c>
      <c r="K23" s="46"/>
    </row>
    <row r="24" ht="19.5" customHeight="1">
      <c r="A24" s="46">
        <v>4.0</v>
      </c>
      <c r="B24" s="37" t="s">
        <v>254</v>
      </c>
      <c r="C24" s="46" t="s">
        <v>108</v>
      </c>
      <c r="D24" s="78">
        <v>4000.0</v>
      </c>
      <c r="E24" s="37">
        <v>0.05</v>
      </c>
      <c r="F24" s="78">
        <v>0.4</v>
      </c>
      <c r="G24" s="40">
        <v>0.4</v>
      </c>
      <c r="H24" s="40">
        <f t="shared" si="3"/>
        <v>1600</v>
      </c>
      <c r="I24" s="42"/>
      <c r="J24" s="43">
        <f t="shared" si="4"/>
        <v>1600</v>
      </c>
      <c r="K24" s="46"/>
    </row>
    <row r="25" ht="19.5" customHeight="1">
      <c r="A25" s="46">
        <v>5.0</v>
      </c>
      <c r="B25" s="37" t="s">
        <v>1828</v>
      </c>
      <c r="C25" s="46" t="s">
        <v>108</v>
      </c>
      <c r="D25" s="78">
        <v>4000.0</v>
      </c>
      <c r="E25" s="37">
        <v>0.05</v>
      </c>
      <c r="F25" s="78">
        <v>0.4</v>
      </c>
      <c r="G25" s="40">
        <v>0.4</v>
      </c>
      <c r="H25" s="40">
        <f t="shared" si="3"/>
        <v>1600</v>
      </c>
      <c r="I25" s="42"/>
      <c r="J25" s="43">
        <f t="shared" si="4"/>
        <v>1600</v>
      </c>
      <c r="K25" s="79"/>
    </row>
    <row r="26" ht="19.5" customHeight="1">
      <c r="A26" s="46">
        <v>6.0</v>
      </c>
      <c r="B26" s="37" t="s">
        <v>1829</v>
      </c>
      <c r="C26" s="46" t="s">
        <v>106</v>
      </c>
      <c r="D26" s="78">
        <v>4000.0</v>
      </c>
      <c r="E26" s="37">
        <v>0.05</v>
      </c>
      <c r="F26" s="78">
        <v>0.4</v>
      </c>
      <c r="G26" s="40">
        <v>0.4</v>
      </c>
      <c r="H26" s="40">
        <f t="shared" si="3"/>
        <v>1600</v>
      </c>
      <c r="I26" s="42"/>
      <c r="J26" s="43">
        <f t="shared" si="4"/>
        <v>1600</v>
      </c>
      <c r="K26" s="79"/>
    </row>
    <row r="27" ht="19.5" customHeight="1">
      <c r="A27" s="46">
        <v>7.0</v>
      </c>
      <c r="B27" s="37" t="s">
        <v>261</v>
      </c>
      <c r="C27" s="46" t="s">
        <v>106</v>
      </c>
      <c r="D27" s="78">
        <v>20.0</v>
      </c>
      <c r="E27" s="37">
        <v>0.05</v>
      </c>
      <c r="F27" s="78">
        <v>0.4</v>
      </c>
      <c r="G27" s="40">
        <v>0.4</v>
      </c>
      <c r="H27" s="40">
        <f t="shared" si="3"/>
        <v>8</v>
      </c>
      <c r="I27" s="42"/>
      <c r="J27" s="43">
        <f t="shared" si="4"/>
        <v>8</v>
      </c>
      <c r="K27" s="79"/>
    </row>
    <row r="28" ht="19.5" customHeight="1">
      <c r="A28" s="46">
        <v>8.0</v>
      </c>
      <c r="B28" s="37" t="s">
        <v>1829</v>
      </c>
      <c r="C28" s="46" t="s">
        <v>106</v>
      </c>
      <c r="D28" s="78">
        <v>4000.0</v>
      </c>
      <c r="E28" s="37">
        <v>0.05</v>
      </c>
      <c r="F28" s="78">
        <v>0.4</v>
      </c>
      <c r="G28" s="40">
        <v>0.4</v>
      </c>
      <c r="H28" s="40">
        <f t="shared" si="3"/>
        <v>1600</v>
      </c>
      <c r="I28" s="42"/>
      <c r="J28" s="43">
        <f t="shared" si="4"/>
        <v>1600</v>
      </c>
      <c r="K28" s="79"/>
    </row>
    <row r="29" ht="19.5" customHeight="1">
      <c r="A29" s="79">
        <v>7.0</v>
      </c>
      <c r="B29" s="95" t="s">
        <v>1830</v>
      </c>
      <c r="C29" s="79" t="s">
        <v>106</v>
      </c>
      <c r="D29" s="92">
        <v>10.0</v>
      </c>
      <c r="E29" s="37">
        <v>1.0</v>
      </c>
      <c r="F29" s="78">
        <v>1.0</v>
      </c>
      <c r="G29" s="40">
        <v>1.0</v>
      </c>
      <c r="H29" s="59">
        <v>1.0</v>
      </c>
      <c r="I29" s="93"/>
      <c r="J29" s="96">
        <f t="shared" si="4"/>
        <v>1</v>
      </c>
      <c r="K29" s="79"/>
    </row>
    <row r="30" ht="19.5" customHeight="1">
      <c r="A30" s="74" t="s">
        <v>1</v>
      </c>
      <c r="B30" s="74" t="s">
        <v>91</v>
      </c>
      <c r="C30" s="74" t="s">
        <v>92</v>
      </c>
      <c r="D30" s="74" t="s">
        <v>93</v>
      </c>
      <c r="E30" s="50" t="s">
        <v>97</v>
      </c>
      <c r="F30" s="53" t="s">
        <v>121</v>
      </c>
      <c r="G30" s="53" t="s">
        <v>99</v>
      </c>
      <c r="H30" s="75" t="s">
        <v>100</v>
      </c>
      <c r="I30" s="75" t="s">
        <v>101</v>
      </c>
      <c r="J30" s="76" t="s">
        <v>95</v>
      </c>
      <c r="K30" s="74" t="s">
        <v>96</v>
      </c>
    </row>
    <row r="31" ht="19.5" customHeight="1">
      <c r="A31" s="46">
        <v>1.0</v>
      </c>
      <c r="B31" s="37" t="s">
        <v>1831</v>
      </c>
      <c r="C31" s="46" t="s">
        <v>103</v>
      </c>
      <c r="D31" s="78">
        <v>600.0</v>
      </c>
      <c r="E31" s="37"/>
      <c r="F31" s="78"/>
      <c r="G31" s="40"/>
      <c r="H31" s="40">
        <f t="shared" ref="H31:H33" si="5">D31</f>
        <v>600</v>
      </c>
      <c r="I31" s="42"/>
      <c r="J31" s="43">
        <f t="shared" ref="J31:J35" si="6">H31</f>
        <v>600</v>
      </c>
      <c r="K31" s="46"/>
    </row>
    <row r="32" ht="19.5" customHeight="1">
      <c r="A32" s="46">
        <v>2.0</v>
      </c>
      <c r="B32" s="37" t="s">
        <v>1832</v>
      </c>
      <c r="C32" s="46" t="s">
        <v>106</v>
      </c>
      <c r="D32" s="78">
        <v>10.0</v>
      </c>
      <c r="E32" s="37">
        <v>1.0</v>
      </c>
      <c r="F32" s="78">
        <v>1.0</v>
      </c>
      <c r="G32" s="40">
        <v>1.0</v>
      </c>
      <c r="H32" s="40">
        <f t="shared" si="5"/>
        <v>10</v>
      </c>
      <c r="I32" s="42"/>
      <c r="J32" s="43">
        <f t="shared" si="6"/>
        <v>10</v>
      </c>
      <c r="K32" s="46"/>
    </row>
    <row r="33" ht="19.5" customHeight="1">
      <c r="A33" s="46">
        <v>3.0</v>
      </c>
      <c r="B33" s="37" t="s">
        <v>1833</v>
      </c>
      <c r="C33" s="46" t="s">
        <v>106</v>
      </c>
      <c r="D33" s="78">
        <v>30.0</v>
      </c>
      <c r="E33" s="37">
        <v>1.0</v>
      </c>
      <c r="F33" s="78">
        <v>1.0</v>
      </c>
      <c r="G33" s="40">
        <v>1.0</v>
      </c>
      <c r="H33" s="40">
        <f t="shared" si="5"/>
        <v>30</v>
      </c>
      <c r="I33" s="42"/>
      <c r="J33" s="43">
        <f t="shared" si="6"/>
        <v>30</v>
      </c>
      <c r="K33" s="46"/>
    </row>
    <row r="34" ht="19.5" customHeight="1">
      <c r="A34" s="46">
        <v>4.0</v>
      </c>
      <c r="B34" s="37" t="s">
        <v>1834</v>
      </c>
      <c r="C34" s="46" t="s">
        <v>106</v>
      </c>
      <c r="D34" s="78">
        <v>600.0</v>
      </c>
      <c r="E34" s="37">
        <v>0.2</v>
      </c>
      <c r="F34" s="78">
        <v>1.0</v>
      </c>
      <c r="G34" s="40">
        <v>0.2</v>
      </c>
      <c r="H34" s="40">
        <f>G34*F34*E34*D34</f>
        <v>24</v>
      </c>
      <c r="I34" s="42"/>
      <c r="J34" s="43">
        <f t="shared" si="6"/>
        <v>24</v>
      </c>
      <c r="K34" s="46"/>
    </row>
    <row r="35" ht="19.5" customHeight="1">
      <c r="A35" s="46">
        <v>5.0</v>
      </c>
      <c r="B35" s="37" t="s">
        <v>1832</v>
      </c>
      <c r="C35" s="46" t="s">
        <v>148</v>
      </c>
      <c r="D35" s="78">
        <v>10.0</v>
      </c>
      <c r="E35" s="37">
        <v>1.0</v>
      </c>
      <c r="F35" s="78">
        <v>1.0</v>
      </c>
      <c r="G35" s="40">
        <v>1.0</v>
      </c>
      <c r="H35" s="40">
        <f>D35</f>
        <v>10</v>
      </c>
      <c r="I35" s="42"/>
      <c r="J35" s="43">
        <f t="shared" si="6"/>
        <v>10</v>
      </c>
      <c r="K35" s="46"/>
    </row>
    <row r="36" ht="19.5" customHeight="1">
      <c r="A36" s="12"/>
      <c r="C36" s="12"/>
      <c r="D36" s="13"/>
      <c r="F36" s="14"/>
      <c r="G36" s="14"/>
      <c r="H36" s="14"/>
      <c r="I36" s="14"/>
      <c r="J36" s="14"/>
      <c r="K36" s="12"/>
    </row>
    <row r="37" ht="19.5" customHeight="1">
      <c r="A37" s="12"/>
      <c r="C37" s="12"/>
      <c r="D37" s="13"/>
      <c r="F37" s="14"/>
      <c r="G37" s="14"/>
      <c r="H37" s="14"/>
      <c r="I37" s="14"/>
      <c r="J37" s="14"/>
      <c r="K37" s="12"/>
    </row>
    <row r="38" ht="19.5" customHeight="1">
      <c r="A38" s="12"/>
      <c r="C38" s="12"/>
      <c r="D38" s="13"/>
      <c r="F38" s="14"/>
      <c r="G38" s="14"/>
      <c r="H38" s="14"/>
      <c r="I38" s="14"/>
      <c r="J38" s="14"/>
      <c r="K38" s="12"/>
    </row>
    <row r="39" ht="19.5" customHeight="1">
      <c r="A39" s="12"/>
      <c r="C39" s="12"/>
      <c r="D39" s="13"/>
      <c r="F39" s="14"/>
      <c r="G39" s="14"/>
      <c r="H39" s="14"/>
      <c r="I39" s="14"/>
      <c r="J39" s="14"/>
      <c r="K39" s="12"/>
    </row>
    <row r="40" ht="19.5" customHeight="1">
      <c r="A40" s="12"/>
      <c r="C40" s="12"/>
      <c r="D40" s="13"/>
      <c r="F40" s="14"/>
      <c r="G40" s="14"/>
      <c r="H40" s="14"/>
      <c r="I40" s="14"/>
      <c r="J40" s="14"/>
      <c r="K40" s="12"/>
    </row>
    <row r="41" ht="19.5" customHeight="1">
      <c r="A41" s="12"/>
      <c r="C41" s="12"/>
      <c r="D41" s="13"/>
      <c r="F41" s="14"/>
      <c r="G41" s="14"/>
      <c r="H41" s="14"/>
      <c r="I41" s="14"/>
      <c r="J41" s="14"/>
      <c r="K41" s="12"/>
    </row>
    <row r="42" ht="19.5" customHeight="1">
      <c r="A42" s="12"/>
      <c r="C42" s="12"/>
      <c r="D42" s="13"/>
      <c r="F42" s="14"/>
      <c r="G42" s="14"/>
      <c r="H42" s="14"/>
      <c r="I42" s="14"/>
      <c r="J42" s="14"/>
      <c r="K42" s="12"/>
    </row>
    <row r="43" ht="19.5" customHeight="1">
      <c r="A43" s="12"/>
      <c r="C43" s="12"/>
      <c r="D43" s="13"/>
      <c r="F43" s="14"/>
      <c r="G43" s="14"/>
      <c r="H43" s="14"/>
      <c r="I43" s="14"/>
      <c r="J43" s="14"/>
      <c r="K43" s="12"/>
    </row>
    <row r="44" ht="19.5" customHeight="1">
      <c r="A44" s="12"/>
      <c r="C44" s="12"/>
      <c r="D44" s="13"/>
      <c r="F44" s="14"/>
      <c r="G44" s="14"/>
      <c r="H44" s="14"/>
      <c r="I44" s="14"/>
      <c r="J44" s="14"/>
      <c r="K44" s="12"/>
    </row>
    <row r="45" ht="19.5" customHeight="1">
      <c r="A45" s="12"/>
      <c r="C45" s="12"/>
      <c r="D45" s="13"/>
      <c r="F45" s="14"/>
      <c r="G45" s="14"/>
      <c r="H45" s="14"/>
      <c r="I45" s="14"/>
      <c r="J45" s="14"/>
      <c r="K45" s="12"/>
    </row>
    <row r="46" ht="19.5" customHeight="1">
      <c r="A46" s="12"/>
      <c r="C46" s="12"/>
      <c r="D46" s="13"/>
      <c r="F46" s="14"/>
      <c r="G46" s="14"/>
      <c r="H46" s="14"/>
      <c r="I46" s="14"/>
      <c r="J46" s="14"/>
      <c r="K46" s="12"/>
    </row>
    <row r="47" ht="19.5" customHeight="1">
      <c r="A47" s="12"/>
      <c r="C47" s="12"/>
      <c r="D47" s="13"/>
      <c r="F47" s="14"/>
      <c r="G47" s="14"/>
      <c r="H47" s="14"/>
      <c r="I47" s="14"/>
      <c r="J47" s="14"/>
      <c r="K47" s="12"/>
    </row>
    <row r="48" ht="19.5" customHeight="1">
      <c r="A48" s="12"/>
      <c r="C48" s="12"/>
      <c r="D48" s="13"/>
      <c r="F48" s="14"/>
      <c r="G48" s="14"/>
      <c r="H48" s="14"/>
      <c r="I48" s="14"/>
      <c r="J48" s="14"/>
      <c r="K48" s="12"/>
    </row>
    <row r="49" ht="19.5" customHeight="1">
      <c r="A49" s="12"/>
      <c r="C49" s="12"/>
      <c r="D49" s="13"/>
      <c r="F49" s="14"/>
      <c r="G49" s="14"/>
      <c r="H49" s="14"/>
      <c r="I49" s="14"/>
      <c r="J49" s="14"/>
      <c r="K49" s="12"/>
    </row>
    <row r="50" ht="19.5" customHeight="1">
      <c r="A50" s="12"/>
      <c r="C50" s="12"/>
      <c r="D50" s="13"/>
      <c r="F50" s="14"/>
      <c r="G50" s="14"/>
      <c r="H50" s="14"/>
      <c r="I50" s="14"/>
      <c r="J50" s="14"/>
      <c r="K50" s="12"/>
    </row>
    <row r="51" ht="19.5" customHeight="1">
      <c r="A51" s="12"/>
      <c r="C51" s="12"/>
      <c r="D51" s="13"/>
      <c r="F51" s="14"/>
      <c r="G51" s="14"/>
      <c r="H51" s="14"/>
      <c r="I51" s="14"/>
      <c r="J51" s="14"/>
      <c r="K51" s="12"/>
    </row>
    <row r="52" ht="19.5" customHeight="1">
      <c r="A52" s="12"/>
      <c r="C52" s="12"/>
      <c r="D52" s="13"/>
      <c r="F52" s="14"/>
      <c r="G52" s="14"/>
      <c r="H52" s="14"/>
      <c r="I52" s="14"/>
      <c r="J52" s="14"/>
      <c r="K52" s="12"/>
    </row>
    <row r="53" ht="19.5" customHeight="1">
      <c r="A53" s="12"/>
      <c r="C53" s="12"/>
      <c r="D53" s="13"/>
      <c r="F53" s="14"/>
      <c r="G53" s="14"/>
      <c r="H53" s="14"/>
      <c r="I53" s="14"/>
      <c r="J53" s="14"/>
      <c r="K53" s="12"/>
    </row>
    <row r="54" ht="19.5" customHeight="1">
      <c r="A54" s="12"/>
      <c r="C54" s="12"/>
      <c r="D54" s="13"/>
      <c r="F54" s="14"/>
      <c r="G54" s="14"/>
      <c r="H54" s="14"/>
      <c r="I54" s="14"/>
      <c r="J54" s="14"/>
      <c r="K54" s="12"/>
    </row>
    <row r="55" ht="19.5" customHeight="1">
      <c r="A55" s="12"/>
      <c r="C55" s="12"/>
      <c r="D55" s="13"/>
      <c r="F55" s="14"/>
      <c r="G55" s="14"/>
      <c r="H55" s="14"/>
      <c r="I55" s="14"/>
      <c r="J55" s="14"/>
      <c r="K55" s="12"/>
    </row>
    <row r="56" ht="19.5" customHeight="1">
      <c r="A56" s="12"/>
      <c r="C56" s="12"/>
      <c r="D56" s="13"/>
      <c r="F56" s="14"/>
      <c r="G56" s="14"/>
      <c r="H56" s="14"/>
      <c r="I56" s="14"/>
      <c r="J56" s="14"/>
      <c r="K56" s="12"/>
    </row>
    <row r="57" ht="19.5" customHeight="1">
      <c r="A57" s="12"/>
      <c r="C57" s="12"/>
      <c r="D57" s="13"/>
      <c r="F57" s="14"/>
      <c r="G57" s="14"/>
      <c r="H57" s="14"/>
      <c r="I57" s="14"/>
      <c r="J57" s="14"/>
      <c r="K57" s="12"/>
    </row>
    <row r="58" ht="19.5" customHeight="1">
      <c r="A58" s="12"/>
      <c r="C58" s="12"/>
      <c r="D58" s="13"/>
      <c r="F58" s="14"/>
      <c r="G58" s="14"/>
      <c r="H58" s="14"/>
      <c r="I58" s="14"/>
      <c r="J58" s="14"/>
      <c r="K58" s="12"/>
    </row>
    <row r="59" ht="19.5" customHeight="1">
      <c r="A59" s="12"/>
      <c r="C59" s="12"/>
      <c r="D59" s="13"/>
      <c r="F59" s="14"/>
      <c r="G59" s="14"/>
      <c r="H59" s="14"/>
      <c r="I59" s="14"/>
      <c r="J59" s="14"/>
      <c r="K59" s="12"/>
    </row>
    <row r="60" ht="19.5" customHeight="1">
      <c r="A60" s="12"/>
      <c r="C60" s="12"/>
      <c r="D60" s="13"/>
      <c r="F60" s="14"/>
      <c r="G60" s="14"/>
      <c r="H60" s="14"/>
      <c r="I60" s="14"/>
      <c r="J60" s="14"/>
      <c r="K60" s="12"/>
    </row>
    <row r="61" ht="19.5" customHeight="1">
      <c r="A61" s="12"/>
      <c r="C61" s="12"/>
      <c r="D61" s="13"/>
      <c r="F61" s="14"/>
      <c r="G61" s="14"/>
      <c r="H61" s="14"/>
      <c r="I61" s="14"/>
      <c r="J61" s="14"/>
      <c r="K61" s="12"/>
    </row>
    <row r="62" ht="19.5" customHeight="1">
      <c r="A62" s="12"/>
      <c r="C62" s="12"/>
      <c r="D62" s="13"/>
      <c r="F62" s="14"/>
      <c r="G62" s="14"/>
      <c r="H62" s="14"/>
      <c r="I62" s="14"/>
      <c r="J62" s="14"/>
      <c r="K62" s="12"/>
    </row>
    <row r="63" ht="19.5" customHeight="1">
      <c r="A63" s="12"/>
      <c r="C63" s="12"/>
      <c r="D63" s="13"/>
      <c r="F63" s="14"/>
      <c r="G63" s="14"/>
      <c r="H63" s="14"/>
      <c r="I63" s="14"/>
      <c r="J63" s="14"/>
      <c r="K63" s="12"/>
    </row>
    <row r="64" ht="19.5" customHeight="1">
      <c r="A64" s="12"/>
      <c r="C64" s="12"/>
      <c r="D64" s="13"/>
      <c r="F64" s="14"/>
      <c r="G64" s="14"/>
      <c r="H64" s="14"/>
      <c r="I64" s="14"/>
      <c r="J64" s="14"/>
      <c r="K64" s="12"/>
    </row>
    <row r="65" ht="19.5" customHeight="1">
      <c r="A65" s="12"/>
      <c r="C65" s="12"/>
      <c r="D65" s="13"/>
      <c r="F65" s="14"/>
      <c r="G65" s="14"/>
      <c r="H65" s="14"/>
      <c r="I65" s="14"/>
      <c r="J65" s="14"/>
      <c r="K65" s="12"/>
    </row>
    <row r="66" ht="19.5" customHeight="1">
      <c r="A66" s="12"/>
      <c r="C66" s="12"/>
      <c r="D66" s="13"/>
      <c r="F66" s="14"/>
      <c r="G66" s="14"/>
      <c r="H66" s="14"/>
      <c r="I66" s="14"/>
      <c r="J66" s="14"/>
      <c r="K66" s="12"/>
    </row>
    <row r="67" ht="19.5" customHeight="1">
      <c r="A67" s="12"/>
      <c r="C67" s="12"/>
      <c r="D67" s="13"/>
      <c r="F67" s="14"/>
      <c r="G67" s="14"/>
      <c r="H67" s="14"/>
      <c r="I67" s="14"/>
      <c r="J67" s="14"/>
      <c r="K67" s="12"/>
    </row>
    <row r="68" ht="19.5" customHeight="1">
      <c r="A68" s="12"/>
      <c r="C68" s="12"/>
      <c r="D68" s="13"/>
      <c r="F68" s="14"/>
      <c r="G68" s="14"/>
      <c r="H68" s="14"/>
      <c r="I68" s="14"/>
      <c r="J68" s="14"/>
      <c r="K68" s="12"/>
    </row>
    <row r="69" ht="19.5" customHeight="1">
      <c r="A69" s="12"/>
      <c r="C69" s="12"/>
      <c r="D69" s="13"/>
      <c r="F69" s="14"/>
      <c r="G69" s="14"/>
      <c r="H69" s="14"/>
      <c r="I69" s="14"/>
      <c r="J69" s="14"/>
      <c r="K69" s="12"/>
    </row>
    <row r="70" ht="19.5" customHeight="1">
      <c r="A70" s="12"/>
      <c r="C70" s="12"/>
      <c r="D70" s="13"/>
      <c r="F70" s="14"/>
      <c r="G70" s="14"/>
      <c r="H70" s="14"/>
      <c r="I70" s="14"/>
      <c r="J70" s="14"/>
      <c r="K70" s="12"/>
    </row>
    <row r="71" ht="19.5" customHeight="1">
      <c r="A71" s="12"/>
      <c r="C71" s="12"/>
      <c r="D71" s="13"/>
      <c r="F71" s="14"/>
      <c r="G71" s="14"/>
      <c r="H71" s="14"/>
      <c r="I71" s="14"/>
      <c r="J71" s="14"/>
      <c r="K71" s="12"/>
    </row>
    <row r="72" ht="19.5" customHeight="1">
      <c r="A72" s="12"/>
      <c r="C72" s="12"/>
      <c r="D72" s="13"/>
      <c r="F72" s="14"/>
      <c r="G72" s="14"/>
      <c r="H72" s="14"/>
      <c r="I72" s="14"/>
      <c r="J72" s="14"/>
      <c r="K72" s="12"/>
    </row>
    <row r="73" ht="19.5" customHeight="1">
      <c r="A73" s="12"/>
      <c r="C73" s="12"/>
      <c r="D73" s="13"/>
      <c r="F73" s="14"/>
      <c r="G73" s="14"/>
      <c r="H73" s="14"/>
      <c r="I73" s="14"/>
      <c r="J73" s="14"/>
      <c r="K73" s="12"/>
    </row>
    <row r="74" ht="19.5" customHeight="1">
      <c r="A74" s="12"/>
      <c r="C74" s="12"/>
      <c r="D74" s="13"/>
      <c r="F74" s="14"/>
      <c r="G74" s="14"/>
      <c r="H74" s="14"/>
      <c r="I74" s="14"/>
      <c r="J74" s="14"/>
      <c r="K74" s="12"/>
    </row>
    <row r="75" ht="19.5" customHeight="1">
      <c r="A75" s="12"/>
      <c r="C75" s="12"/>
      <c r="D75" s="13"/>
      <c r="F75" s="14"/>
      <c r="G75" s="14"/>
      <c r="H75" s="14"/>
      <c r="I75" s="14"/>
      <c r="J75" s="14"/>
      <c r="K75" s="12"/>
    </row>
    <row r="76" ht="19.5" customHeight="1">
      <c r="A76" s="12"/>
      <c r="C76" s="12"/>
      <c r="D76" s="13"/>
      <c r="F76" s="14"/>
      <c r="G76" s="14"/>
      <c r="H76" s="14"/>
      <c r="I76" s="14"/>
      <c r="J76" s="14"/>
      <c r="K76" s="12"/>
    </row>
    <row r="77" ht="19.5" customHeight="1">
      <c r="A77" s="12"/>
      <c r="C77" s="12"/>
      <c r="D77" s="13"/>
      <c r="F77" s="14"/>
      <c r="G77" s="14"/>
      <c r="H77" s="14"/>
      <c r="I77" s="14"/>
      <c r="J77" s="14"/>
      <c r="K77" s="12"/>
    </row>
    <row r="78" ht="19.5" customHeight="1">
      <c r="A78" s="12"/>
      <c r="C78" s="12"/>
      <c r="D78" s="13"/>
      <c r="F78" s="14"/>
      <c r="G78" s="14"/>
      <c r="H78" s="14"/>
      <c r="I78" s="14"/>
      <c r="J78" s="14"/>
      <c r="K78" s="12"/>
    </row>
    <row r="79" ht="19.5" customHeight="1">
      <c r="A79" s="12"/>
      <c r="C79" s="12"/>
      <c r="D79" s="13"/>
      <c r="F79" s="14"/>
      <c r="G79" s="14"/>
      <c r="H79" s="14"/>
      <c r="I79" s="14"/>
      <c r="J79" s="14"/>
      <c r="K79" s="12"/>
    </row>
    <row r="80" ht="19.5" customHeight="1">
      <c r="A80" s="12"/>
      <c r="C80" s="12"/>
      <c r="D80" s="13"/>
      <c r="F80" s="14"/>
      <c r="G80" s="14"/>
      <c r="H80" s="14"/>
      <c r="I80" s="14"/>
      <c r="J80" s="14"/>
      <c r="K80" s="12"/>
    </row>
    <row r="81" ht="19.5" customHeight="1">
      <c r="A81" s="12"/>
      <c r="C81" s="12"/>
      <c r="D81" s="13"/>
      <c r="F81" s="14"/>
      <c r="G81" s="14"/>
      <c r="H81" s="14"/>
      <c r="I81" s="14"/>
      <c r="J81" s="14"/>
      <c r="K81" s="12"/>
    </row>
    <row r="82" ht="19.5" customHeight="1">
      <c r="A82" s="12"/>
      <c r="C82" s="12"/>
      <c r="D82" s="13"/>
      <c r="F82" s="14"/>
      <c r="G82" s="14"/>
      <c r="H82" s="14"/>
      <c r="I82" s="14"/>
      <c r="J82" s="14"/>
      <c r="K82" s="12"/>
    </row>
    <row r="83" ht="19.5" customHeight="1">
      <c r="A83" s="12"/>
      <c r="C83" s="12"/>
      <c r="D83" s="13"/>
      <c r="F83" s="14"/>
      <c r="G83" s="14"/>
      <c r="H83" s="14"/>
      <c r="I83" s="14"/>
      <c r="J83" s="14"/>
      <c r="K83" s="12"/>
    </row>
    <row r="84" ht="19.5" customHeight="1">
      <c r="A84" s="12"/>
      <c r="C84" s="12"/>
      <c r="D84" s="13"/>
      <c r="F84" s="14"/>
      <c r="G84" s="14"/>
      <c r="H84" s="14"/>
      <c r="I84" s="14"/>
      <c r="J84" s="14"/>
      <c r="K84" s="12"/>
    </row>
    <row r="85" ht="19.5" customHeight="1">
      <c r="A85" s="12"/>
      <c r="C85" s="12"/>
      <c r="D85" s="13"/>
      <c r="F85" s="14"/>
      <c r="G85" s="14"/>
      <c r="H85" s="14"/>
      <c r="I85" s="14"/>
      <c r="J85" s="14"/>
      <c r="K85" s="12"/>
    </row>
    <row r="86" ht="19.5" customHeight="1">
      <c r="A86" s="12"/>
      <c r="C86" s="12"/>
      <c r="D86" s="13"/>
      <c r="F86" s="14"/>
      <c r="G86" s="14"/>
      <c r="H86" s="14"/>
      <c r="I86" s="14"/>
      <c r="J86" s="14"/>
      <c r="K86" s="12"/>
    </row>
    <row r="87" ht="19.5" customHeight="1">
      <c r="A87" s="12"/>
      <c r="C87" s="12"/>
      <c r="D87" s="13"/>
      <c r="F87" s="14"/>
      <c r="G87" s="14"/>
      <c r="H87" s="14"/>
      <c r="I87" s="14"/>
      <c r="J87" s="14"/>
      <c r="K87" s="12"/>
    </row>
    <row r="88" ht="19.5" customHeight="1">
      <c r="A88" s="12"/>
      <c r="C88" s="12"/>
      <c r="D88" s="13"/>
      <c r="F88" s="14"/>
      <c r="G88" s="14"/>
      <c r="H88" s="14"/>
      <c r="I88" s="14"/>
      <c r="J88" s="14"/>
      <c r="K88" s="12"/>
    </row>
    <row r="89" ht="19.5" customHeight="1">
      <c r="A89" s="12"/>
      <c r="C89" s="12"/>
      <c r="D89" s="13"/>
      <c r="F89" s="14"/>
      <c r="G89" s="14"/>
      <c r="H89" s="14"/>
      <c r="I89" s="14"/>
      <c r="J89" s="14"/>
      <c r="K89" s="12"/>
    </row>
    <row r="90" ht="19.5" customHeight="1">
      <c r="A90" s="12"/>
      <c r="C90" s="12"/>
      <c r="D90" s="13"/>
      <c r="F90" s="14"/>
      <c r="G90" s="14"/>
      <c r="H90" s="14"/>
      <c r="I90" s="14"/>
      <c r="J90" s="14"/>
      <c r="K90" s="12"/>
    </row>
    <row r="91" ht="19.5" customHeight="1">
      <c r="A91" s="12"/>
      <c r="C91" s="12"/>
      <c r="D91" s="13"/>
      <c r="F91" s="14"/>
      <c r="G91" s="14"/>
      <c r="H91" s="14"/>
      <c r="I91" s="14"/>
      <c r="J91" s="14"/>
      <c r="K91" s="12"/>
    </row>
    <row r="92" ht="19.5" customHeight="1">
      <c r="A92" s="12"/>
      <c r="C92" s="12"/>
      <c r="D92" s="13"/>
      <c r="F92" s="14"/>
      <c r="G92" s="14"/>
      <c r="H92" s="14"/>
      <c r="I92" s="14"/>
      <c r="J92" s="14"/>
      <c r="K92" s="12"/>
    </row>
    <row r="93" ht="19.5" customHeight="1">
      <c r="A93" s="12"/>
      <c r="C93" s="12"/>
      <c r="D93" s="13"/>
      <c r="F93" s="14"/>
      <c r="G93" s="14"/>
      <c r="H93" s="14"/>
      <c r="I93" s="14"/>
      <c r="J93" s="14"/>
      <c r="K93" s="12"/>
    </row>
    <row r="94" ht="19.5" customHeight="1">
      <c r="A94" s="12"/>
      <c r="C94" s="12"/>
      <c r="D94" s="13"/>
      <c r="F94" s="14"/>
      <c r="G94" s="14"/>
      <c r="H94" s="14"/>
      <c r="I94" s="14"/>
      <c r="J94" s="14"/>
      <c r="K94" s="12"/>
    </row>
    <row r="95" ht="19.5" customHeight="1">
      <c r="A95" s="12"/>
      <c r="C95" s="12"/>
      <c r="D95" s="13"/>
      <c r="F95" s="14"/>
      <c r="G95" s="14"/>
      <c r="H95" s="14"/>
      <c r="I95" s="14"/>
      <c r="J95" s="14"/>
      <c r="K95" s="12"/>
    </row>
    <row r="96" ht="19.5" customHeight="1">
      <c r="A96" s="12"/>
      <c r="C96" s="12"/>
      <c r="D96" s="13"/>
      <c r="F96" s="14"/>
      <c r="G96" s="14"/>
      <c r="H96" s="14"/>
      <c r="I96" s="14"/>
      <c r="J96" s="14"/>
      <c r="K96" s="12"/>
    </row>
    <row r="97" ht="19.5" customHeight="1">
      <c r="A97" s="12"/>
      <c r="C97" s="12"/>
      <c r="D97" s="13"/>
      <c r="F97" s="14"/>
      <c r="G97" s="14"/>
      <c r="H97" s="14"/>
      <c r="I97" s="14"/>
      <c r="J97" s="14"/>
      <c r="K97" s="12"/>
    </row>
    <row r="98" ht="19.5" customHeight="1">
      <c r="A98" s="12"/>
      <c r="C98" s="12"/>
      <c r="D98" s="13"/>
      <c r="F98" s="14"/>
      <c r="G98" s="14"/>
      <c r="H98" s="14"/>
      <c r="I98" s="14"/>
      <c r="J98" s="14"/>
      <c r="K98" s="12"/>
    </row>
    <row r="99" ht="19.5" customHeight="1">
      <c r="A99" s="12"/>
      <c r="C99" s="12"/>
      <c r="D99" s="13"/>
      <c r="F99" s="14"/>
      <c r="G99" s="14"/>
      <c r="H99" s="14"/>
      <c r="I99" s="14"/>
      <c r="J99" s="14"/>
      <c r="K99" s="12"/>
    </row>
    <row r="100" ht="19.5" customHeight="1">
      <c r="A100" s="12"/>
      <c r="C100" s="12"/>
      <c r="D100" s="13"/>
      <c r="F100" s="14"/>
      <c r="G100" s="14"/>
      <c r="H100" s="14"/>
      <c r="I100" s="14"/>
      <c r="J100" s="14"/>
      <c r="K100" s="12"/>
    </row>
    <row r="101" ht="19.5" customHeight="1">
      <c r="A101" s="12"/>
      <c r="C101" s="12"/>
      <c r="D101" s="13"/>
      <c r="F101" s="14"/>
      <c r="G101" s="14"/>
      <c r="H101" s="14"/>
      <c r="I101" s="14"/>
      <c r="J101" s="14"/>
      <c r="K101" s="12"/>
    </row>
    <row r="102" ht="19.5" customHeight="1">
      <c r="A102" s="12"/>
      <c r="C102" s="12"/>
      <c r="D102" s="13"/>
      <c r="F102" s="14"/>
      <c r="G102" s="14"/>
      <c r="H102" s="14"/>
      <c r="I102" s="14"/>
      <c r="J102" s="14"/>
      <c r="K102" s="12"/>
    </row>
    <row r="103" ht="19.5" customHeight="1">
      <c r="A103" s="12"/>
      <c r="C103" s="12"/>
      <c r="D103" s="13"/>
      <c r="F103" s="14"/>
      <c r="G103" s="14"/>
      <c r="H103" s="14"/>
      <c r="I103" s="14"/>
      <c r="J103" s="14"/>
      <c r="K103" s="12"/>
    </row>
    <row r="104" ht="19.5" customHeight="1">
      <c r="A104" s="12"/>
      <c r="C104" s="12"/>
      <c r="D104" s="13"/>
      <c r="F104" s="14"/>
      <c r="G104" s="14"/>
      <c r="H104" s="14"/>
      <c r="I104" s="14"/>
      <c r="J104" s="14"/>
      <c r="K104" s="12"/>
    </row>
    <row r="105" ht="19.5" customHeight="1">
      <c r="A105" s="12"/>
      <c r="C105" s="12"/>
      <c r="D105" s="13"/>
      <c r="F105" s="14"/>
      <c r="G105" s="14"/>
      <c r="H105" s="14"/>
      <c r="I105" s="14"/>
      <c r="J105" s="14"/>
      <c r="K105" s="12"/>
    </row>
    <row r="106" ht="19.5" customHeight="1">
      <c r="A106" s="12"/>
      <c r="C106" s="12"/>
      <c r="D106" s="13"/>
      <c r="F106" s="14"/>
      <c r="G106" s="14"/>
      <c r="H106" s="14"/>
      <c r="I106" s="14"/>
      <c r="J106" s="14"/>
      <c r="K106" s="12"/>
    </row>
    <row r="107" ht="19.5" customHeight="1">
      <c r="A107" s="12"/>
      <c r="C107" s="12"/>
      <c r="D107" s="13"/>
      <c r="F107" s="14"/>
      <c r="G107" s="14"/>
      <c r="H107" s="14"/>
      <c r="I107" s="14"/>
      <c r="J107" s="14"/>
      <c r="K107" s="12"/>
    </row>
    <row r="108" ht="19.5" customHeight="1">
      <c r="A108" s="12"/>
      <c r="C108" s="12"/>
      <c r="D108" s="13"/>
      <c r="F108" s="14"/>
      <c r="G108" s="14"/>
      <c r="H108" s="14"/>
      <c r="I108" s="14"/>
      <c r="J108" s="14"/>
      <c r="K108" s="12"/>
    </row>
    <row r="109" ht="19.5" customHeight="1">
      <c r="A109" s="12"/>
      <c r="C109" s="12"/>
      <c r="D109" s="13"/>
      <c r="F109" s="14"/>
      <c r="G109" s="14"/>
      <c r="H109" s="14"/>
      <c r="I109" s="14"/>
      <c r="J109" s="14"/>
      <c r="K109" s="12"/>
    </row>
    <row r="110" ht="19.5" customHeight="1">
      <c r="A110" s="12"/>
      <c r="C110" s="12"/>
      <c r="D110" s="13"/>
      <c r="F110" s="14"/>
      <c r="G110" s="14"/>
      <c r="H110" s="14"/>
      <c r="I110" s="14"/>
      <c r="J110" s="14"/>
      <c r="K110" s="12"/>
    </row>
    <row r="111" ht="19.5" customHeight="1">
      <c r="A111" s="12"/>
      <c r="C111" s="12"/>
      <c r="D111" s="13"/>
      <c r="F111" s="14"/>
      <c r="G111" s="14"/>
      <c r="H111" s="14"/>
      <c r="I111" s="14"/>
      <c r="J111" s="14"/>
      <c r="K111" s="12"/>
    </row>
    <row r="112" ht="19.5" customHeight="1">
      <c r="A112" s="12"/>
      <c r="C112" s="12"/>
      <c r="D112" s="13"/>
      <c r="F112" s="14"/>
      <c r="G112" s="14"/>
      <c r="H112" s="14"/>
      <c r="I112" s="14"/>
      <c r="J112" s="14"/>
      <c r="K112" s="12"/>
    </row>
    <row r="113" ht="19.5" customHeight="1">
      <c r="A113" s="12"/>
      <c r="C113" s="12"/>
      <c r="D113" s="13"/>
      <c r="F113" s="14"/>
      <c r="G113" s="14"/>
      <c r="H113" s="14"/>
      <c r="I113" s="14"/>
      <c r="J113" s="14"/>
      <c r="K113" s="12"/>
    </row>
    <row r="114" ht="19.5" customHeight="1">
      <c r="A114" s="12"/>
      <c r="C114" s="12"/>
      <c r="D114" s="13"/>
      <c r="F114" s="14"/>
      <c r="G114" s="14"/>
      <c r="H114" s="14"/>
      <c r="I114" s="14"/>
      <c r="J114" s="14"/>
      <c r="K114" s="12"/>
    </row>
    <row r="115" ht="19.5" customHeight="1">
      <c r="A115" s="12"/>
      <c r="C115" s="12"/>
      <c r="D115" s="13"/>
      <c r="F115" s="14"/>
      <c r="G115" s="14"/>
      <c r="H115" s="14"/>
      <c r="I115" s="14"/>
      <c r="J115" s="14"/>
      <c r="K115" s="12"/>
    </row>
    <row r="116" ht="19.5" customHeight="1">
      <c r="A116" s="12"/>
      <c r="C116" s="12"/>
      <c r="D116" s="13"/>
      <c r="F116" s="14"/>
      <c r="G116" s="14"/>
      <c r="H116" s="14"/>
      <c r="I116" s="14"/>
      <c r="J116" s="14"/>
      <c r="K116" s="12"/>
    </row>
    <row r="117" ht="19.5" customHeight="1">
      <c r="A117" s="12"/>
      <c r="C117" s="12"/>
      <c r="D117" s="13"/>
      <c r="F117" s="14"/>
      <c r="G117" s="14"/>
      <c r="H117" s="14"/>
      <c r="I117" s="14"/>
      <c r="J117" s="14"/>
      <c r="K117" s="12"/>
    </row>
    <row r="118" ht="19.5" customHeight="1">
      <c r="A118" s="12"/>
      <c r="C118" s="12"/>
      <c r="D118" s="13"/>
      <c r="F118" s="14"/>
      <c r="G118" s="14"/>
      <c r="H118" s="14"/>
      <c r="I118" s="14"/>
      <c r="J118" s="14"/>
      <c r="K118" s="12"/>
    </row>
    <row r="119" ht="19.5" customHeight="1">
      <c r="A119" s="12"/>
      <c r="C119" s="12"/>
      <c r="D119" s="13"/>
      <c r="F119" s="14"/>
      <c r="G119" s="14"/>
      <c r="H119" s="14"/>
      <c r="I119" s="14"/>
      <c r="J119" s="14"/>
      <c r="K119" s="12"/>
    </row>
    <row r="120" ht="19.5" customHeight="1">
      <c r="A120" s="12"/>
      <c r="C120" s="12"/>
      <c r="D120" s="13"/>
      <c r="F120" s="14"/>
      <c r="G120" s="14"/>
      <c r="H120" s="14"/>
      <c r="I120" s="14"/>
      <c r="J120" s="14"/>
      <c r="K120" s="12"/>
    </row>
    <row r="121" ht="19.5" customHeight="1">
      <c r="A121" s="12"/>
      <c r="C121" s="12"/>
      <c r="D121" s="13"/>
      <c r="F121" s="14"/>
      <c r="G121" s="14"/>
      <c r="H121" s="14"/>
      <c r="I121" s="14"/>
      <c r="J121" s="14"/>
      <c r="K121" s="12"/>
    </row>
    <row r="122" ht="19.5" customHeight="1">
      <c r="A122" s="12"/>
      <c r="C122" s="12"/>
      <c r="D122" s="13"/>
      <c r="F122" s="14"/>
      <c r="G122" s="14"/>
      <c r="H122" s="14"/>
      <c r="I122" s="14"/>
      <c r="J122" s="14"/>
      <c r="K122" s="12"/>
    </row>
    <row r="123" ht="19.5" customHeight="1">
      <c r="A123" s="12"/>
      <c r="C123" s="12"/>
      <c r="D123" s="13"/>
      <c r="F123" s="14"/>
      <c r="G123" s="14"/>
      <c r="H123" s="14"/>
      <c r="I123" s="14"/>
      <c r="J123" s="14"/>
      <c r="K123" s="12"/>
    </row>
    <row r="124" ht="19.5" customHeight="1">
      <c r="A124" s="12"/>
      <c r="C124" s="12"/>
      <c r="D124" s="13"/>
      <c r="F124" s="14"/>
      <c r="G124" s="14"/>
      <c r="H124" s="14"/>
      <c r="I124" s="14"/>
      <c r="J124" s="14"/>
      <c r="K124" s="12"/>
    </row>
    <row r="125" ht="19.5" customHeight="1">
      <c r="A125" s="12"/>
      <c r="C125" s="12"/>
      <c r="D125" s="13"/>
      <c r="F125" s="14"/>
      <c r="G125" s="14"/>
      <c r="H125" s="14"/>
      <c r="I125" s="14"/>
      <c r="J125" s="14"/>
      <c r="K125" s="12"/>
    </row>
    <row r="126" ht="19.5" customHeight="1">
      <c r="A126" s="12"/>
      <c r="C126" s="12"/>
      <c r="D126" s="13"/>
      <c r="F126" s="14"/>
      <c r="G126" s="14"/>
      <c r="H126" s="14"/>
      <c r="I126" s="14"/>
      <c r="J126" s="14"/>
      <c r="K126" s="12"/>
    </row>
    <row r="127" ht="19.5" customHeight="1">
      <c r="A127" s="12"/>
      <c r="C127" s="12"/>
      <c r="D127" s="13"/>
      <c r="F127" s="14"/>
      <c r="G127" s="14"/>
      <c r="H127" s="14"/>
      <c r="I127" s="14"/>
      <c r="J127" s="14"/>
      <c r="K127" s="12"/>
    </row>
    <row r="128" ht="19.5" customHeight="1">
      <c r="A128" s="12"/>
      <c r="C128" s="12"/>
      <c r="D128" s="13"/>
      <c r="F128" s="14"/>
      <c r="G128" s="14"/>
      <c r="H128" s="14"/>
      <c r="I128" s="14"/>
      <c r="J128" s="14"/>
      <c r="K128" s="12"/>
    </row>
    <row r="129" ht="19.5" customHeight="1">
      <c r="A129" s="12"/>
      <c r="C129" s="12"/>
      <c r="D129" s="13"/>
      <c r="F129" s="14"/>
      <c r="G129" s="14"/>
      <c r="H129" s="14"/>
      <c r="I129" s="14"/>
      <c r="J129" s="14"/>
      <c r="K129" s="12"/>
    </row>
    <row r="130" ht="19.5" customHeight="1">
      <c r="A130" s="12"/>
      <c r="C130" s="12"/>
      <c r="D130" s="13"/>
      <c r="F130" s="14"/>
      <c r="G130" s="14"/>
      <c r="H130" s="14"/>
      <c r="I130" s="14"/>
      <c r="J130" s="14"/>
      <c r="K130" s="12"/>
    </row>
    <row r="131" ht="19.5" customHeight="1">
      <c r="A131" s="12"/>
      <c r="C131" s="12"/>
      <c r="D131" s="13"/>
      <c r="F131" s="14"/>
      <c r="G131" s="14"/>
      <c r="H131" s="14"/>
      <c r="I131" s="14"/>
      <c r="J131" s="14"/>
      <c r="K131" s="12"/>
    </row>
    <row r="132" ht="19.5" customHeight="1">
      <c r="A132" s="12"/>
      <c r="C132" s="12"/>
      <c r="D132" s="13"/>
      <c r="F132" s="14"/>
      <c r="G132" s="14"/>
      <c r="H132" s="14"/>
      <c r="I132" s="14"/>
      <c r="J132" s="14"/>
      <c r="K132" s="12"/>
    </row>
    <row r="133" ht="19.5" customHeight="1">
      <c r="A133" s="12"/>
      <c r="C133" s="12"/>
      <c r="D133" s="13"/>
      <c r="F133" s="14"/>
      <c r="G133" s="14"/>
      <c r="H133" s="14"/>
      <c r="I133" s="14"/>
      <c r="J133" s="14"/>
      <c r="K133" s="12"/>
    </row>
    <row r="134" ht="19.5" customHeight="1">
      <c r="A134" s="12"/>
      <c r="C134" s="12"/>
      <c r="D134" s="13"/>
      <c r="F134" s="14"/>
      <c r="G134" s="14"/>
      <c r="H134" s="14"/>
      <c r="I134" s="14"/>
      <c r="J134" s="14"/>
      <c r="K134" s="12"/>
    </row>
    <row r="135" ht="19.5" customHeight="1">
      <c r="A135" s="12"/>
      <c r="C135" s="12"/>
      <c r="D135" s="13"/>
      <c r="F135" s="14"/>
      <c r="G135" s="14"/>
      <c r="H135" s="14"/>
      <c r="I135" s="14"/>
      <c r="J135" s="14"/>
      <c r="K135" s="12"/>
    </row>
    <row r="136" ht="19.5" customHeight="1">
      <c r="A136" s="12"/>
      <c r="C136" s="12"/>
      <c r="D136" s="13"/>
      <c r="F136" s="14"/>
      <c r="G136" s="14"/>
      <c r="H136" s="14"/>
      <c r="I136" s="14"/>
      <c r="J136" s="14"/>
      <c r="K136" s="12"/>
    </row>
    <row r="137" ht="19.5" customHeight="1">
      <c r="A137" s="12"/>
      <c r="C137" s="12"/>
      <c r="D137" s="13"/>
      <c r="F137" s="14"/>
      <c r="G137" s="14"/>
      <c r="H137" s="14"/>
      <c r="I137" s="14"/>
      <c r="J137" s="14"/>
      <c r="K137" s="12"/>
    </row>
    <row r="138" ht="19.5" customHeight="1">
      <c r="A138" s="12"/>
      <c r="C138" s="12"/>
      <c r="D138" s="13"/>
      <c r="F138" s="14"/>
      <c r="G138" s="14"/>
      <c r="H138" s="14"/>
      <c r="I138" s="14"/>
      <c r="J138" s="14"/>
      <c r="K138" s="12"/>
    </row>
    <row r="139" ht="19.5" customHeight="1">
      <c r="A139" s="12"/>
      <c r="C139" s="12"/>
      <c r="D139" s="13"/>
      <c r="F139" s="14"/>
      <c r="G139" s="14"/>
      <c r="H139" s="14"/>
      <c r="I139" s="14"/>
      <c r="J139" s="14"/>
      <c r="K139" s="12"/>
    </row>
    <row r="140" ht="19.5" customHeight="1">
      <c r="A140" s="12"/>
      <c r="C140" s="12"/>
      <c r="D140" s="13"/>
      <c r="F140" s="14"/>
      <c r="G140" s="14"/>
      <c r="H140" s="14"/>
      <c r="I140" s="14"/>
      <c r="J140" s="14"/>
      <c r="K140" s="12"/>
    </row>
    <row r="141" ht="19.5" customHeight="1">
      <c r="A141" s="12"/>
      <c r="C141" s="12"/>
      <c r="D141" s="13"/>
      <c r="F141" s="14"/>
      <c r="G141" s="14"/>
      <c r="H141" s="14"/>
      <c r="I141" s="14"/>
      <c r="J141" s="14"/>
      <c r="K141" s="12"/>
    </row>
    <row r="142" ht="19.5" customHeight="1">
      <c r="A142" s="12"/>
      <c r="C142" s="12"/>
      <c r="D142" s="13"/>
      <c r="F142" s="14"/>
      <c r="G142" s="14"/>
      <c r="H142" s="14"/>
      <c r="I142" s="14"/>
      <c r="J142" s="14"/>
      <c r="K142" s="12"/>
    </row>
    <row r="143" ht="19.5" customHeight="1">
      <c r="A143" s="12"/>
      <c r="C143" s="12"/>
      <c r="D143" s="13"/>
      <c r="F143" s="14"/>
      <c r="G143" s="14"/>
      <c r="H143" s="14"/>
      <c r="I143" s="14"/>
      <c r="J143" s="14"/>
      <c r="K143" s="12"/>
    </row>
    <row r="144" ht="19.5" customHeight="1">
      <c r="A144" s="12"/>
      <c r="C144" s="12"/>
      <c r="D144" s="13"/>
      <c r="F144" s="14"/>
      <c r="G144" s="14"/>
      <c r="H144" s="14"/>
      <c r="I144" s="14"/>
      <c r="J144" s="14"/>
      <c r="K144" s="12"/>
    </row>
    <row r="145" ht="19.5" customHeight="1">
      <c r="A145" s="12"/>
      <c r="C145" s="12"/>
      <c r="D145" s="13"/>
      <c r="F145" s="14"/>
      <c r="G145" s="14"/>
      <c r="H145" s="14"/>
      <c r="I145" s="14"/>
      <c r="J145" s="14"/>
      <c r="K145" s="12"/>
    </row>
    <row r="146" ht="19.5" customHeight="1">
      <c r="A146" s="12"/>
      <c r="C146" s="12"/>
      <c r="D146" s="13"/>
      <c r="F146" s="14"/>
      <c r="G146" s="14"/>
      <c r="H146" s="14"/>
      <c r="I146" s="14"/>
      <c r="J146" s="14"/>
      <c r="K146" s="12"/>
    </row>
    <row r="147" ht="19.5" customHeight="1">
      <c r="A147" s="12"/>
      <c r="C147" s="12"/>
      <c r="D147" s="13"/>
      <c r="F147" s="14"/>
      <c r="G147" s="14"/>
      <c r="H147" s="14"/>
      <c r="I147" s="14"/>
      <c r="J147" s="14"/>
      <c r="K147" s="12"/>
    </row>
    <row r="148" ht="19.5" customHeight="1">
      <c r="A148" s="12"/>
      <c r="C148" s="12"/>
      <c r="D148" s="13"/>
      <c r="F148" s="14"/>
      <c r="G148" s="14"/>
      <c r="H148" s="14"/>
      <c r="I148" s="14"/>
      <c r="J148" s="14"/>
      <c r="K148" s="12"/>
    </row>
    <row r="149" ht="19.5" customHeight="1">
      <c r="A149" s="12"/>
      <c r="C149" s="12"/>
      <c r="D149" s="13"/>
      <c r="F149" s="14"/>
      <c r="G149" s="14"/>
      <c r="H149" s="14"/>
      <c r="I149" s="14"/>
      <c r="J149" s="14"/>
      <c r="K149" s="12"/>
    </row>
    <row r="150" ht="19.5" customHeight="1">
      <c r="A150" s="12"/>
      <c r="C150" s="12"/>
      <c r="D150" s="13"/>
      <c r="F150" s="14"/>
      <c r="G150" s="14"/>
      <c r="H150" s="14"/>
      <c r="I150" s="14"/>
      <c r="J150" s="14"/>
      <c r="K150" s="12"/>
    </row>
    <row r="151" ht="19.5" customHeight="1">
      <c r="A151" s="12"/>
      <c r="C151" s="12"/>
      <c r="D151" s="13"/>
      <c r="F151" s="14"/>
      <c r="G151" s="14"/>
      <c r="H151" s="14"/>
      <c r="I151" s="14"/>
      <c r="J151" s="14"/>
      <c r="K151" s="12"/>
    </row>
    <row r="152" ht="19.5" customHeight="1">
      <c r="A152" s="12"/>
      <c r="C152" s="12"/>
      <c r="D152" s="13"/>
      <c r="F152" s="14"/>
      <c r="G152" s="14"/>
      <c r="H152" s="14"/>
      <c r="I152" s="14"/>
      <c r="J152" s="14"/>
      <c r="K152" s="12"/>
    </row>
    <row r="153" ht="19.5" customHeight="1">
      <c r="A153" s="12"/>
      <c r="C153" s="12"/>
      <c r="D153" s="13"/>
      <c r="F153" s="14"/>
      <c r="G153" s="14"/>
      <c r="H153" s="14"/>
      <c r="I153" s="14"/>
      <c r="J153" s="14"/>
      <c r="K153" s="12"/>
    </row>
    <row r="154" ht="19.5" customHeight="1">
      <c r="A154" s="12"/>
      <c r="C154" s="12"/>
      <c r="D154" s="13"/>
      <c r="F154" s="14"/>
      <c r="G154" s="14"/>
      <c r="H154" s="14"/>
      <c r="I154" s="14"/>
      <c r="J154" s="14"/>
      <c r="K154" s="12"/>
    </row>
    <row r="155" ht="19.5" customHeight="1">
      <c r="A155" s="12"/>
      <c r="C155" s="12"/>
      <c r="D155" s="13"/>
      <c r="F155" s="14"/>
      <c r="G155" s="14"/>
      <c r="H155" s="14"/>
      <c r="I155" s="14"/>
      <c r="J155" s="14"/>
      <c r="K155" s="12"/>
    </row>
    <row r="156" ht="19.5" customHeight="1">
      <c r="A156" s="12"/>
      <c r="C156" s="12"/>
      <c r="D156" s="13"/>
      <c r="F156" s="14"/>
      <c r="G156" s="14"/>
      <c r="H156" s="14"/>
      <c r="I156" s="14"/>
      <c r="J156" s="14"/>
      <c r="K156" s="12"/>
    </row>
    <row r="157" ht="19.5" customHeight="1">
      <c r="A157" s="12"/>
      <c r="C157" s="12"/>
      <c r="D157" s="13"/>
      <c r="F157" s="14"/>
      <c r="G157" s="14"/>
      <c r="H157" s="14"/>
      <c r="I157" s="14"/>
      <c r="J157" s="14"/>
      <c r="K157" s="12"/>
    </row>
    <row r="158" ht="19.5" customHeight="1">
      <c r="A158" s="12"/>
      <c r="C158" s="12"/>
      <c r="D158" s="13"/>
      <c r="F158" s="14"/>
      <c r="G158" s="14"/>
      <c r="H158" s="14"/>
      <c r="I158" s="14"/>
      <c r="J158" s="14"/>
      <c r="K158" s="12"/>
    </row>
    <row r="159" ht="19.5" customHeight="1">
      <c r="A159" s="12"/>
      <c r="C159" s="12"/>
      <c r="D159" s="13"/>
      <c r="F159" s="14"/>
      <c r="G159" s="14"/>
      <c r="H159" s="14"/>
      <c r="I159" s="14"/>
      <c r="J159" s="14"/>
      <c r="K159" s="12"/>
    </row>
    <row r="160" ht="19.5" customHeight="1">
      <c r="A160" s="12"/>
      <c r="C160" s="12"/>
      <c r="D160" s="13"/>
      <c r="F160" s="14"/>
      <c r="G160" s="14"/>
      <c r="H160" s="14"/>
      <c r="I160" s="14"/>
      <c r="J160" s="14"/>
      <c r="K160" s="12"/>
    </row>
    <row r="161" ht="19.5" customHeight="1">
      <c r="A161" s="12"/>
      <c r="C161" s="12"/>
      <c r="D161" s="13"/>
      <c r="F161" s="14"/>
      <c r="G161" s="14"/>
      <c r="H161" s="14"/>
      <c r="I161" s="14"/>
      <c r="J161" s="14"/>
      <c r="K161" s="12"/>
    </row>
    <row r="162" ht="19.5" customHeight="1">
      <c r="A162" s="12"/>
      <c r="C162" s="12"/>
      <c r="D162" s="13"/>
      <c r="F162" s="14"/>
      <c r="G162" s="14"/>
      <c r="H162" s="14"/>
      <c r="I162" s="14"/>
      <c r="J162" s="14"/>
      <c r="K162" s="12"/>
    </row>
    <row r="163" ht="19.5" customHeight="1">
      <c r="A163" s="12"/>
      <c r="C163" s="12"/>
      <c r="D163" s="13"/>
      <c r="F163" s="14"/>
      <c r="G163" s="14"/>
      <c r="H163" s="14"/>
      <c r="I163" s="14"/>
      <c r="J163" s="14"/>
      <c r="K163" s="12"/>
    </row>
    <row r="164" ht="19.5" customHeight="1">
      <c r="A164" s="12"/>
      <c r="C164" s="12"/>
      <c r="D164" s="13"/>
      <c r="F164" s="14"/>
      <c r="G164" s="14"/>
      <c r="H164" s="14"/>
      <c r="I164" s="14"/>
      <c r="J164" s="14"/>
      <c r="K164" s="12"/>
    </row>
    <row r="165" ht="19.5" customHeight="1">
      <c r="A165" s="12"/>
      <c r="C165" s="12"/>
      <c r="D165" s="13"/>
      <c r="F165" s="14"/>
      <c r="G165" s="14"/>
      <c r="H165" s="14"/>
      <c r="I165" s="14"/>
      <c r="J165" s="14"/>
      <c r="K165" s="12"/>
    </row>
    <row r="166" ht="19.5" customHeight="1">
      <c r="A166" s="12"/>
      <c r="C166" s="12"/>
      <c r="D166" s="13"/>
      <c r="F166" s="14"/>
      <c r="G166" s="14"/>
      <c r="H166" s="14"/>
      <c r="I166" s="14"/>
      <c r="J166" s="14"/>
      <c r="K166" s="12"/>
    </row>
    <row r="167" ht="19.5" customHeight="1">
      <c r="A167" s="12"/>
      <c r="C167" s="12"/>
      <c r="D167" s="13"/>
      <c r="F167" s="14"/>
      <c r="G167" s="14"/>
      <c r="H167" s="14"/>
      <c r="I167" s="14"/>
      <c r="J167" s="14"/>
      <c r="K167" s="12"/>
    </row>
    <row r="168" ht="19.5" customHeight="1">
      <c r="A168" s="12"/>
      <c r="C168" s="12"/>
      <c r="D168" s="13"/>
      <c r="F168" s="14"/>
      <c r="G168" s="14"/>
      <c r="H168" s="14"/>
      <c r="I168" s="14"/>
      <c r="J168" s="14"/>
      <c r="K168" s="12"/>
    </row>
    <row r="169" ht="19.5" customHeight="1">
      <c r="A169" s="12"/>
      <c r="C169" s="12"/>
      <c r="D169" s="13"/>
      <c r="F169" s="14"/>
      <c r="G169" s="14"/>
      <c r="H169" s="14"/>
      <c r="I169" s="14"/>
      <c r="J169" s="14"/>
      <c r="K169" s="12"/>
    </row>
    <row r="170" ht="19.5" customHeight="1">
      <c r="A170" s="12"/>
      <c r="C170" s="12"/>
      <c r="D170" s="13"/>
      <c r="F170" s="14"/>
      <c r="G170" s="14"/>
      <c r="H170" s="14"/>
      <c r="I170" s="14"/>
      <c r="J170" s="14"/>
      <c r="K170" s="12"/>
    </row>
    <row r="171" ht="19.5" customHeight="1">
      <c r="A171" s="12"/>
      <c r="C171" s="12"/>
      <c r="D171" s="13"/>
      <c r="F171" s="14"/>
      <c r="G171" s="14"/>
      <c r="H171" s="14"/>
      <c r="I171" s="14"/>
      <c r="J171" s="14"/>
      <c r="K171" s="12"/>
    </row>
    <row r="172" ht="19.5" customHeight="1">
      <c r="A172" s="12"/>
      <c r="C172" s="12"/>
      <c r="D172" s="13"/>
      <c r="F172" s="14"/>
      <c r="G172" s="14"/>
      <c r="H172" s="14"/>
      <c r="I172" s="14"/>
      <c r="J172" s="14"/>
      <c r="K172" s="12"/>
    </row>
    <row r="173" ht="19.5" customHeight="1">
      <c r="A173" s="12"/>
      <c r="C173" s="12"/>
      <c r="D173" s="13"/>
      <c r="F173" s="14"/>
      <c r="G173" s="14"/>
      <c r="H173" s="14"/>
      <c r="I173" s="14"/>
      <c r="J173" s="14"/>
      <c r="K173" s="12"/>
    </row>
    <row r="174" ht="19.5" customHeight="1">
      <c r="A174" s="12"/>
      <c r="C174" s="12"/>
      <c r="D174" s="13"/>
      <c r="F174" s="14"/>
      <c r="G174" s="14"/>
      <c r="H174" s="14"/>
      <c r="I174" s="14"/>
      <c r="J174" s="14"/>
      <c r="K174" s="12"/>
    </row>
    <row r="175" ht="19.5" customHeight="1">
      <c r="A175" s="12"/>
      <c r="C175" s="12"/>
      <c r="D175" s="13"/>
      <c r="F175" s="14"/>
      <c r="G175" s="14"/>
      <c r="H175" s="14"/>
      <c r="I175" s="14"/>
      <c r="J175" s="14"/>
      <c r="K175" s="12"/>
    </row>
    <row r="176" ht="19.5" customHeight="1">
      <c r="A176" s="12"/>
      <c r="C176" s="12"/>
      <c r="D176" s="13"/>
      <c r="F176" s="14"/>
      <c r="G176" s="14"/>
      <c r="H176" s="14"/>
      <c r="I176" s="14"/>
      <c r="J176" s="14"/>
      <c r="K176" s="12"/>
    </row>
    <row r="177" ht="19.5" customHeight="1">
      <c r="A177" s="12"/>
      <c r="C177" s="12"/>
      <c r="D177" s="13"/>
      <c r="F177" s="14"/>
      <c r="G177" s="14"/>
      <c r="H177" s="14"/>
      <c r="I177" s="14"/>
      <c r="J177" s="14"/>
      <c r="K177" s="12"/>
    </row>
    <row r="178" ht="19.5" customHeight="1">
      <c r="A178" s="12"/>
      <c r="C178" s="12"/>
      <c r="D178" s="13"/>
      <c r="F178" s="14"/>
      <c r="G178" s="14"/>
      <c r="H178" s="14"/>
      <c r="I178" s="14"/>
      <c r="J178" s="14"/>
      <c r="K178" s="12"/>
    </row>
    <row r="179" ht="19.5" customHeight="1">
      <c r="A179" s="12"/>
      <c r="C179" s="12"/>
      <c r="D179" s="13"/>
      <c r="F179" s="14"/>
      <c r="G179" s="14"/>
      <c r="H179" s="14"/>
      <c r="I179" s="14"/>
      <c r="J179" s="14"/>
      <c r="K179" s="12"/>
    </row>
    <row r="180" ht="19.5" customHeight="1">
      <c r="A180" s="12"/>
      <c r="C180" s="12"/>
      <c r="D180" s="13"/>
      <c r="F180" s="14"/>
      <c r="G180" s="14"/>
      <c r="H180" s="14"/>
      <c r="I180" s="14"/>
      <c r="J180" s="14"/>
      <c r="K180" s="12"/>
    </row>
    <row r="181" ht="19.5" customHeight="1">
      <c r="A181" s="12"/>
      <c r="C181" s="12"/>
      <c r="D181" s="13"/>
      <c r="F181" s="14"/>
      <c r="G181" s="14"/>
      <c r="H181" s="14"/>
      <c r="I181" s="14"/>
      <c r="J181" s="14"/>
      <c r="K181" s="12"/>
    </row>
    <row r="182" ht="19.5" customHeight="1">
      <c r="A182" s="12"/>
      <c r="C182" s="12"/>
      <c r="D182" s="13"/>
      <c r="F182" s="14"/>
      <c r="G182" s="14"/>
      <c r="H182" s="14"/>
      <c r="I182" s="14"/>
      <c r="J182" s="14"/>
      <c r="K182" s="12"/>
    </row>
    <row r="183" ht="19.5" customHeight="1">
      <c r="A183" s="12"/>
      <c r="C183" s="12"/>
      <c r="D183" s="13"/>
      <c r="F183" s="14"/>
      <c r="G183" s="14"/>
      <c r="H183" s="14"/>
      <c r="I183" s="14"/>
      <c r="J183" s="14"/>
      <c r="K183" s="12"/>
    </row>
    <row r="184" ht="19.5" customHeight="1">
      <c r="A184" s="12"/>
      <c r="C184" s="12"/>
      <c r="D184" s="13"/>
      <c r="F184" s="14"/>
      <c r="G184" s="14"/>
      <c r="H184" s="14"/>
      <c r="I184" s="14"/>
      <c r="J184" s="14"/>
      <c r="K184" s="12"/>
    </row>
    <row r="185" ht="19.5" customHeight="1">
      <c r="A185" s="12"/>
      <c r="C185" s="12"/>
      <c r="D185" s="13"/>
      <c r="F185" s="14"/>
      <c r="G185" s="14"/>
      <c r="H185" s="14"/>
      <c r="I185" s="14"/>
      <c r="J185" s="14"/>
      <c r="K185" s="12"/>
    </row>
    <row r="186" ht="19.5" customHeight="1">
      <c r="A186" s="12"/>
      <c r="C186" s="12"/>
      <c r="D186" s="13"/>
      <c r="F186" s="14"/>
      <c r="G186" s="14"/>
      <c r="H186" s="14"/>
      <c r="I186" s="14"/>
      <c r="J186" s="14"/>
      <c r="K186" s="12"/>
    </row>
    <row r="187" ht="19.5" customHeight="1">
      <c r="A187" s="12"/>
      <c r="C187" s="12"/>
      <c r="D187" s="13"/>
      <c r="F187" s="14"/>
      <c r="G187" s="14"/>
      <c r="H187" s="14"/>
      <c r="I187" s="14"/>
      <c r="J187" s="14"/>
      <c r="K187" s="12"/>
    </row>
    <row r="188" ht="19.5" customHeight="1">
      <c r="A188" s="12"/>
      <c r="C188" s="12"/>
      <c r="D188" s="13"/>
      <c r="F188" s="14"/>
      <c r="G188" s="14"/>
      <c r="H188" s="14"/>
      <c r="I188" s="14"/>
      <c r="J188" s="14"/>
      <c r="K188" s="12"/>
    </row>
    <row r="189" ht="19.5" customHeight="1">
      <c r="A189" s="12"/>
      <c r="C189" s="12"/>
      <c r="D189" s="13"/>
      <c r="F189" s="14"/>
      <c r="G189" s="14"/>
      <c r="H189" s="14"/>
      <c r="I189" s="14"/>
      <c r="J189" s="14"/>
      <c r="K189" s="12"/>
    </row>
    <row r="190" ht="19.5" customHeight="1">
      <c r="A190" s="12"/>
      <c r="C190" s="12"/>
      <c r="D190" s="13"/>
      <c r="F190" s="14"/>
      <c r="G190" s="14"/>
      <c r="H190" s="14"/>
      <c r="I190" s="14"/>
      <c r="J190" s="14"/>
      <c r="K190" s="12"/>
    </row>
    <row r="191" ht="19.5" customHeight="1">
      <c r="A191" s="12"/>
      <c r="C191" s="12"/>
      <c r="D191" s="13"/>
      <c r="F191" s="14"/>
      <c r="G191" s="14"/>
      <c r="H191" s="14"/>
      <c r="I191" s="14"/>
      <c r="J191" s="14"/>
      <c r="K191" s="12"/>
    </row>
    <row r="192" ht="19.5" customHeight="1">
      <c r="A192" s="12"/>
      <c r="C192" s="12"/>
      <c r="D192" s="13"/>
      <c r="F192" s="14"/>
      <c r="G192" s="14"/>
      <c r="H192" s="14"/>
      <c r="I192" s="14"/>
      <c r="J192" s="14"/>
      <c r="K192" s="12"/>
    </row>
    <row r="193" ht="19.5" customHeight="1">
      <c r="A193" s="12"/>
      <c r="C193" s="12"/>
      <c r="D193" s="13"/>
      <c r="F193" s="14"/>
      <c r="G193" s="14"/>
      <c r="H193" s="14"/>
      <c r="I193" s="14"/>
      <c r="J193" s="14"/>
      <c r="K193" s="12"/>
    </row>
    <row r="194" ht="19.5" customHeight="1">
      <c r="A194" s="12"/>
      <c r="C194" s="12"/>
      <c r="D194" s="13"/>
      <c r="F194" s="14"/>
      <c r="G194" s="14"/>
      <c r="H194" s="14"/>
      <c r="I194" s="14"/>
      <c r="J194" s="14"/>
      <c r="K194" s="12"/>
    </row>
    <row r="195" ht="19.5" customHeight="1">
      <c r="A195" s="12"/>
      <c r="C195" s="12"/>
      <c r="D195" s="13"/>
      <c r="F195" s="14"/>
      <c r="G195" s="14"/>
      <c r="H195" s="14"/>
      <c r="I195" s="14"/>
      <c r="J195" s="14"/>
      <c r="K195" s="12"/>
    </row>
    <row r="196" ht="19.5" customHeight="1">
      <c r="A196" s="12"/>
      <c r="C196" s="12"/>
      <c r="D196" s="13"/>
      <c r="F196" s="14"/>
      <c r="G196" s="14"/>
      <c r="H196" s="14"/>
      <c r="I196" s="14"/>
      <c r="J196" s="14"/>
      <c r="K196" s="12"/>
    </row>
    <row r="197" ht="19.5" customHeight="1">
      <c r="A197" s="12"/>
      <c r="C197" s="12"/>
      <c r="D197" s="13"/>
      <c r="F197" s="14"/>
      <c r="G197" s="14"/>
      <c r="H197" s="14"/>
      <c r="I197" s="14"/>
      <c r="J197" s="14"/>
      <c r="K197" s="12"/>
    </row>
    <row r="198" ht="19.5" customHeight="1">
      <c r="A198" s="12"/>
      <c r="C198" s="12"/>
      <c r="D198" s="13"/>
      <c r="F198" s="14"/>
      <c r="G198" s="14"/>
      <c r="H198" s="14"/>
      <c r="I198" s="14"/>
      <c r="J198" s="14"/>
      <c r="K198" s="12"/>
    </row>
    <row r="199" ht="19.5" customHeight="1">
      <c r="A199" s="12"/>
      <c r="C199" s="12"/>
      <c r="D199" s="13"/>
      <c r="F199" s="14"/>
      <c r="G199" s="14"/>
      <c r="H199" s="14"/>
      <c r="I199" s="14"/>
      <c r="J199" s="14"/>
      <c r="K199" s="12"/>
    </row>
    <row r="200" ht="19.5" customHeight="1">
      <c r="A200" s="12"/>
      <c r="C200" s="12"/>
      <c r="D200" s="13"/>
      <c r="F200" s="14"/>
      <c r="G200" s="14"/>
      <c r="H200" s="14"/>
      <c r="I200" s="14"/>
      <c r="J200" s="14"/>
      <c r="K200" s="12"/>
    </row>
    <row r="201" ht="19.5" customHeight="1">
      <c r="A201" s="12"/>
      <c r="C201" s="12"/>
      <c r="D201" s="13"/>
      <c r="F201" s="14"/>
      <c r="G201" s="14"/>
      <c r="H201" s="14"/>
      <c r="I201" s="14"/>
      <c r="J201" s="14"/>
      <c r="K201" s="12"/>
    </row>
    <row r="202" ht="19.5" customHeight="1">
      <c r="A202" s="12"/>
      <c r="C202" s="12"/>
      <c r="D202" s="13"/>
      <c r="F202" s="14"/>
      <c r="G202" s="14"/>
      <c r="H202" s="14"/>
      <c r="I202" s="14"/>
      <c r="J202" s="14"/>
      <c r="K202" s="12"/>
    </row>
    <row r="203" ht="19.5" customHeight="1">
      <c r="A203" s="12"/>
      <c r="C203" s="12"/>
      <c r="D203" s="13"/>
      <c r="F203" s="14"/>
      <c r="G203" s="14"/>
      <c r="H203" s="14"/>
      <c r="I203" s="14"/>
      <c r="J203" s="14"/>
      <c r="K203" s="12"/>
    </row>
    <row r="204" ht="19.5" customHeight="1">
      <c r="A204" s="12"/>
      <c r="C204" s="12"/>
      <c r="D204" s="13"/>
      <c r="F204" s="14"/>
      <c r="G204" s="14"/>
      <c r="H204" s="14"/>
      <c r="I204" s="14"/>
      <c r="J204" s="14"/>
      <c r="K204" s="12"/>
    </row>
    <row r="205" ht="19.5" customHeight="1">
      <c r="A205" s="12"/>
      <c r="C205" s="12"/>
      <c r="D205" s="13"/>
      <c r="F205" s="14"/>
      <c r="G205" s="14"/>
      <c r="H205" s="14"/>
      <c r="I205" s="14"/>
      <c r="J205" s="14"/>
      <c r="K205" s="12"/>
    </row>
    <row r="206" ht="19.5" customHeight="1">
      <c r="A206" s="12"/>
      <c r="C206" s="12"/>
      <c r="D206" s="13"/>
      <c r="F206" s="14"/>
      <c r="G206" s="14"/>
      <c r="H206" s="14"/>
      <c r="I206" s="14"/>
      <c r="J206" s="14"/>
      <c r="K206" s="12"/>
    </row>
    <row r="207" ht="19.5" customHeight="1">
      <c r="A207" s="12"/>
      <c r="C207" s="12"/>
      <c r="D207" s="13"/>
      <c r="F207" s="14"/>
      <c r="G207" s="14"/>
      <c r="H207" s="14"/>
      <c r="I207" s="14"/>
      <c r="J207" s="14"/>
      <c r="K207" s="12"/>
    </row>
    <row r="208" ht="19.5" customHeight="1">
      <c r="A208" s="12"/>
      <c r="C208" s="12"/>
      <c r="D208" s="13"/>
      <c r="F208" s="14"/>
      <c r="G208" s="14"/>
      <c r="H208" s="14"/>
      <c r="I208" s="14"/>
      <c r="J208" s="14"/>
      <c r="K208" s="12"/>
    </row>
    <row r="209" ht="19.5" customHeight="1">
      <c r="A209" s="12"/>
      <c r="C209" s="12"/>
      <c r="D209" s="13"/>
      <c r="F209" s="14"/>
      <c r="G209" s="14"/>
      <c r="H209" s="14"/>
      <c r="I209" s="14"/>
      <c r="J209" s="14"/>
      <c r="K209" s="12"/>
    </row>
    <row r="210" ht="19.5" customHeight="1">
      <c r="A210" s="12"/>
      <c r="C210" s="12"/>
      <c r="D210" s="13"/>
      <c r="F210" s="14"/>
      <c r="G210" s="14"/>
      <c r="H210" s="14"/>
      <c r="I210" s="14"/>
      <c r="J210" s="14"/>
      <c r="K210" s="12"/>
    </row>
    <row r="211" ht="19.5" customHeight="1">
      <c r="A211" s="12"/>
      <c r="C211" s="12"/>
      <c r="D211" s="13"/>
      <c r="F211" s="14"/>
      <c r="G211" s="14"/>
      <c r="H211" s="14"/>
      <c r="I211" s="14"/>
      <c r="J211" s="14"/>
      <c r="K211" s="12"/>
    </row>
    <row r="212" ht="19.5" customHeight="1">
      <c r="A212" s="12"/>
      <c r="C212" s="12"/>
      <c r="D212" s="13"/>
      <c r="F212" s="14"/>
      <c r="G212" s="14"/>
      <c r="H212" s="14"/>
      <c r="I212" s="14"/>
      <c r="J212" s="14"/>
      <c r="K212" s="12"/>
    </row>
    <row r="213" ht="19.5" customHeight="1">
      <c r="A213" s="12"/>
      <c r="C213" s="12"/>
      <c r="D213" s="13"/>
      <c r="F213" s="14"/>
      <c r="G213" s="14"/>
      <c r="H213" s="14"/>
      <c r="I213" s="14"/>
      <c r="J213" s="14"/>
      <c r="K213" s="12"/>
    </row>
    <row r="214" ht="19.5" customHeight="1">
      <c r="A214" s="12"/>
      <c r="C214" s="12"/>
      <c r="D214" s="13"/>
      <c r="F214" s="14"/>
      <c r="G214" s="14"/>
      <c r="H214" s="14"/>
      <c r="I214" s="14"/>
      <c r="J214" s="14"/>
      <c r="K214" s="12"/>
    </row>
    <row r="215" ht="19.5" customHeight="1">
      <c r="A215" s="12"/>
      <c r="C215" s="12"/>
      <c r="D215" s="13"/>
      <c r="F215" s="14"/>
      <c r="G215" s="14"/>
      <c r="H215" s="14"/>
      <c r="I215" s="14"/>
      <c r="J215" s="14"/>
      <c r="K215" s="12"/>
    </row>
    <row r="216" ht="19.5" customHeight="1">
      <c r="A216" s="12"/>
      <c r="C216" s="12"/>
      <c r="D216" s="13"/>
      <c r="F216" s="14"/>
      <c r="G216" s="14"/>
      <c r="H216" s="14"/>
      <c r="I216" s="14"/>
      <c r="J216" s="14"/>
      <c r="K216" s="12"/>
    </row>
    <row r="217" ht="19.5" customHeight="1">
      <c r="A217" s="12"/>
      <c r="C217" s="12"/>
      <c r="D217" s="13"/>
      <c r="F217" s="14"/>
      <c r="G217" s="14"/>
      <c r="H217" s="14"/>
      <c r="I217" s="14"/>
      <c r="J217" s="14"/>
      <c r="K217" s="12"/>
    </row>
    <row r="218" ht="19.5" customHeight="1">
      <c r="A218" s="12"/>
      <c r="C218" s="12"/>
      <c r="D218" s="13"/>
      <c r="F218" s="14"/>
      <c r="G218" s="14"/>
      <c r="H218" s="14"/>
      <c r="I218" s="14"/>
      <c r="J218" s="14"/>
      <c r="K218" s="12"/>
    </row>
    <row r="219" ht="19.5" customHeight="1">
      <c r="A219" s="12"/>
      <c r="C219" s="12"/>
      <c r="D219" s="13"/>
      <c r="F219" s="14"/>
      <c r="G219" s="14"/>
      <c r="H219" s="14"/>
      <c r="I219" s="14"/>
      <c r="J219" s="14"/>
      <c r="K219" s="12"/>
    </row>
    <row r="220" ht="19.5" customHeight="1">
      <c r="A220" s="12"/>
      <c r="C220" s="12"/>
      <c r="D220" s="13"/>
      <c r="F220" s="14"/>
      <c r="G220" s="14"/>
      <c r="H220" s="14"/>
      <c r="I220" s="14"/>
      <c r="J220" s="14"/>
      <c r="K220" s="12"/>
    </row>
    <row r="221" ht="19.5" customHeight="1">
      <c r="A221" s="12"/>
      <c r="C221" s="12"/>
      <c r="D221" s="13"/>
      <c r="F221" s="14"/>
      <c r="G221" s="14"/>
      <c r="H221" s="14"/>
      <c r="I221" s="14"/>
      <c r="J221" s="14"/>
      <c r="K221" s="12"/>
    </row>
    <row r="222" ht="19.5" customHeight="1">
      <c r="A222" s="12"/>
      <c r="C222" s="12"/>
      <c r="D222" s="13"/>
      <c r="F222" s="14"/>
      <c r="G222" s="14"/>
      <c r="H222" s="14"/>
      <c r="I222" s="14"/>
      <c r="J222" s="14"/>
      <c r="K222" s="12"/>
    </row>
    <row r="223" ht="19.5" customHeight="1">
      <c r="A223" s="12"/>
      <c r="C223" s="12"/>
      <c r="D223" s="13"/>
      <c r="F223" s="14"/>
      <c r="G223" s="14"/>
      <c r="H223" s="14"/>
      <c r="I223" s="14"/>
      <c r="J223" s="14"/>
      <c r="K223" s="12"/>
    </row>
    <row r="224" ht="19.5" customHeight="1">
      <c r="A224" s="12"/>
      <c r="C224" s="12"/>
      <c r="D224" s="13"/>
      <c r="F224" s="14"/>
      <c r="G224" s="14"/>
      <c r="H224" s="14"/>
      <c r="I224" s="14"/>
      <c r="J224" s="14"/>
      <c r="K224" s="12"/>
    </row>
    <row r="225" ht="19.5" customHeight="1">
      <c r="A225" s="12"/>
      <c r="C225" s="12"/>
      <c r="D225" s="13"/>
      <c r="F225" s="14"/>
      <c r="G225" s="14"/>
      <c r="H225" s="14"/>
      <c r="I225" s="14"/>
      <c r="J225" s="14"/>
      <c r="K225" s="12"/>
    </row>
    <row r="226" ht="19.5" customHeight="1">
      <c r="A226" s="12"/>
      <c r="C226" s="12"/>
      <c r="D226" s="13"/>
      <c r="F226" s="14"/>
      <c r="G226" s="14"/>
      <c r="H226" s="14"/>
      <c r="I226" s="14"/>
      <c r="J226" s="14"/>
      <c r="K226" s="12"/>
    </row>
    <row r="227" ht="19.5" customHeight="1">
      <c r="A227" s="12"/>
      <c r="C227" s="12"/>
      <c r="D227" s="13"/>
      <c r="F227" s="14"/>
      <c r="G227" s="14"/>
      <c r="H227" s="14"/>
      <c r="I227" s="14"/>
      <c r="J227" s="14"/>
      <c r="K227" s="12"/>
    </row>
    <row r="228" ht="19.5" customHeight="1">
      <c r="A228" s="12"/>
      <c r="C228" s="12"/>
      <c r="D228" s="13"/>
      <c r="F228" s="14"/>
      <c r="G228" s="14"/>
      <c r="H228" s="14"/>
      <c r="I228" s="14"/>
      <c r="J228" s="14"/>
      <c r="K228" s="12"/>
    </row>
    <row r="229" ht="19.5" customHeight="1">
      <c r="A229" s="12"/>
      <c r="C229" s="12"/>
      <c r="D229" s="13"/>
      <c r="F229" s="14"/>
      <c r="G229" s="14"/>
      <c r="H229" s="14"/>
      <c r="I229" s="14"/>
      <c r="J229" s="14"/>
      <c r="K229" s="12"/>
    </row>
    <row r="230" ht="19.5" customHeight="1">
      <c r="A230" s="12"/>
      <c r="C230" s="12"/>
      <c r="D230" s="13"/>
      <c r="F230" s="14"/>
      <c r="G230" s="14"/>
      <c r="H230" s="14"/>
      <c r="I230" s="14"/>
      <c r="J230" s="14"/>
      <c r="K230" s="12"/>
    </row>
    <row r="231" ht="19.5" customHeight="1">
      <c r="A231" s="12"/>
      <c r="C231" s="12"/>
      <c r="D231" s="13"/>
      <c r="F231" s="14"/>
      <c r="G231" s="14"/>
      <c r="H231" s="14"/>
      <c r="I231" s="14"/>
      <c r="J231" s="14"/>
      <c r="K231" s="12"/>
    </row>
    <row r="232" ht="19.5" customHeight="1">
      <c r="A232" s="12"/>
      <c r="C232" s="12"/>
      <c r="D232" s="13"/>
      <c r="F232" s="14"/>
      <c r="G232" s="14"/>
      <c r="H232" s="14"/>
      <c r="I232" s="14"/>
      <c r="J232" s="14"/>
      <c r="K232" s="12"/>
    </row>
    <row r="233" ht="19.5" customHeight="1">
      <c r="A233" s="12"/>
      <c r="C233" s="12"/>
      <c r="D233" s="13"/>
      <c r="F233" s="14"/>
      <c r="G233" s="14"/>
      <c r="H233" s="14"/>
      <c r="I233" s="14"/>
      <c r="J233" s="14"/>
      <c r="K233" s="12"/>
    </row>
    <row r="234" ht="19.5" customHeight="1">
      <c r="A234" s="12"/>
      <c r="C234" s="12"/>
      <c r="D234" s="13"/>
      <c r="F234" s="14"/>
      <c r="G234" s="14"/>
      <c r="H234" s="14"/>
      <c r="I234" s="14"/>
      <c r="J234" s="14"/>
      <c r="K234" s="12"/>
    </row>
    <row r="235" ht="19.5" customHeight="1">
      <c r="A235" s="12"/>
      <c r="C235" s="12"/>
      <c r="D235" s="13"/>
      <c r="F235" s="14"/>
      <c r="G235" s="14"/>
      <c r="H235" s="14"/>
      <c r="I235" s="14"/>
      <c r="J235" s="14"/>
      <c r="K235" s="12"/>
    </row>
    <row r="236" ht="19.5" customHeight="1">
      <c r="A236" s="12"/>
      <c r="C236" s="12"/>
      <c r="D236" s="13"/>
      <c r="F236" s="14"/>
      <c r="G236" s="14"/>
      <c r="H236" s="14"/>
      <c r="I236" s="14"/>
      <c r="J236" s="14"/>
      <c r="K236" s="12"/>
    </row>
    <row r="237" ht="19.5" customHeight="1">
      <c r="A237" s="12"/>
      <c r="C237" s="12"/>
      <c r="D237" s="13"/>
      <c r="F237" s="14"/>
      <c r="G237" s="14"/>
      <c r="H237" s="14"/>
      <c r="I237" s="14"/>
      <c r="J237" s="14"/>
      <c r="K237" s="12"/>
    </row>
    <row r="238" ht="19.5" customHeight="1">
      <c r="A238" s="12"/>
      <c r="C238" s="12"/>
      <c r="D238" s="13"/>
      <c r="F238" s="14"/>
      <c r="G238" s="14"/>
      <c r="H238" s="14"/>
      <c r="I238" s="14"/>
      <c r="J238" s="14"/>
      <c r="K238" s="12"/>
    </row>
    <row r="239" ht="19.5" customHeight="1">
      <c r="A239" s="12"/>
      <c r="C239" s="12"/>
      <c r="D239" s="13"/>
      <c r="F239" s="14"/>
      <c r="G239" s="14"/>
      <c r="H239" s="14"/>
      <c r="I239" s="14"/>
      <c r="J239" s="14"/>
      <c r="K239" s="12"/>
    </row>
    <row r="240" ht="19.5" customHeight="1">
      <c r="A240" s="12"/>
      <c r="C240" s="12"/>
      <c r="D240" s="13"/>
      <c r="F240" s="14"/>
      <c r="G240" s="14"/>
      <c r="H240" s="14"/>
      <c r="I240" s="14"/>
      <c r="J240" s="14"/>
      <c r="K240" s="12"/>
    </row>
    <row r="241" ht="19.5" customHeight="1">
      <c r="A241" s="12"/>
      <c r="C241" s="12"/>
      <c r="D241" s="13"/>
      <c r="F241" s="14"/>
      <c r="G241" s="14"/>
      <c r="H241" s="14"/>
      <c r="I241" s="14"/>
      <c r="J241" s="14"/>
      <c r="K241" s="12"/>
    </row>
    <row r="242" ht="19.5" customHeight="1">
      <c r="A242" s="12"/>
      <c r="C242" s="12"/>
      <c r="D242" s="13"/>
      <c r="F242" s="14"/>
      <c r="G242" s="14"/>
      <c r="H242" s="14"/>
      <c r="I242" s="14"/>
      <c r="J242" s="14"/>
      <c r="K242" s="12"/>
    </row>
    <row r="243" ht="19.5" customHeight="1">
      <c r="A243" s="12"/>
      <c r="C243" s="12"/>
      <c r="D243" s="13"/>
      <c r="F243" s="14"/>
      <c r="G243" s="14"/>
      <c r="H243" s="14"/>
      <c r="I243" s="14"/>
      <c r="J243" s="14"/>
      <c r="K243" s="12"/>
    </row>
    <row r="244" ht="19.5" customHeight="1">
      <c r="A244" s="12"/>
      <c r="C244" s="12"/>
      <c r="D244" s="13"/>
      <c r="F244" s="14"/>
      <c r="G244" s="14"/>
      <c r="H244" s="14"/>
      <c r="I244" s="14"/>
      <c r="J244" s="14"/>
      <c r="K244" s="12"/>
    </row>
    <row r="245" ht="19.5" customHeight="1">
      <c r="A245" s="12"/>
      <c r="C245" s="12"/>
      <c r="D245" s="13"/>
      <c r="F245" s="14"/>
      <c r="G245" s="14"/>
      <c r="H245" s="14"/>
      <c r="I245" s="14"/>
      <c r="J245" s="14"/>
      <c r="K245" s="12"/>
    </row>
    <row r="246" ht="19.5" customHeight="1">
      <c r="A246" s="12"/>
      <c r="C246" s="12"/>
      <c r="D246" s="13"/>
      <c r="F246" s="14"/>
      <c r="G246" s="14"/>
      <c r="H246" s="14"/>
      <c r="I246" s="14"/>
      <c r="J246" s="14"/>
      <c r="K246" s="12"/>
    </row>
    <row r="247" ht="19.5" customHeight="1">
      <c r="A247" s="12"/>
      <c r="C247" s="12"/>
      <c r="D247" s="13"/>
      <c r="F247" s="14"/>
      <c r="G247" s="14"/>
      <c r="H247" s="14"/>
      <c r="I247" s="14"/>
      <c r="J247" s="14"/>
      <c r="K247" s="12"/>
    </row>
    <row r="248" ht="19.5" customHeight="1">
      <c r="A248" s="12"/>
      <c r="C248" s="12"/>
      <c r="D248" s="13"/>
      <c r="F248" s="14"/>
      <c r="G248" s="14"/>
      <c r="H248" s="14"/>
      <c r="I248" s="14"/>
      <c r="J248" s="14"/>
      <c r="K248" s="12"/>
    </row>
    <row r="249" ht="19.5" customHeight="1">
      <c r="A249" s="12"/>
      <c r="C249" s="12"/>
      <c r="D249" s="13"/>
      <c r="F249" s="14"/>
      <c r="G249" s="14"/>
      <c r="H249" s="14"/>
      <c r="I249" s="14"/>
      <c r="J249" s="14"/>
      <c r="K249" s="12"/>
    </row>
    <row r="250" ht="19.5" customHeight="1">
      <c r="A250" s="12"/>
      <c r="C250" s="12"/>
      <c r="D250" s="13"/>
      <c r="F250" s="14"/>
      <c r="G250" s="14"/>
      <c r="H250" s="14"/>
      <c r="I250" s="14"/>
      <c r="J250" s="14"/>
      <c r="K250" s="12"/>
    </row>
    <row r="251" ht="19.5" customHeight="1">
      <c r="A251" s="12"/>
      <c r="C251" s="12"/>
      <c r="D251" s="13"/>
      <c r="F251" s="14"/>
      <c r="G251" s="14"/>
      <c r="H251" s="14"/>
      <c r="I251" s="14"/>
      <c r="J251" s="14"/>
      <c r="K251" s="12"/>
    </row>
    <row r="252" ht="19.5" customHeight="1">
      <c r="A252" s="12"/>
      <c r="C252" s="12"/>
      <c r="D252" s="13"/>
      <c r="F252" s="14"/>
      <c r="G252" s="14"/>
      <c r="H252" s="14"/>
      <c r="I252" s="14"/>
      <c r="J252" s="14"/>
      <c r="K252" s="12"/>
    </row>
    <row r="253" ht="19.5" customHeight="1">
      <c r="A253" s="12"/>
      <c r="C253" s="12"/>
      <c r="D253" s="13"/>
      <c r="F253" s="14"/>
      <c r="G253" s="14"/>
      <c r="H253" s="14"/>
      <c r="I253" s="14"/>
      <c r="J253" s="14"/>
      <c r="K253" s="12"/>
    </row>
    <row r="254" ht="19.5" customHeight="1">
      <c r="A254" s="12"/>
      <c r="C254" s="12"/>
      <c r="D254" s="13"/>
      <c r="F254" s="14"/>
      <c r="G254" s="14"/>
      <c r="H254" s="14"/>
      <c r="I254" s="14"/>
      <c r="J254" s="14"/>
      <c r="K254" s="12"/>
    </row>
    <row r="255" ht="19.5" customHeight="1">
      <c r="A255" s="12"/>
      <c r="C255" s="12"/>
      <c r="D255" s="13"/>
      <c r="F255" s="14"/>
      <c r="G255" s="14"/>
      <c r="H255" s="14"/>
      <c r="I255" s="14"/>
      <c r="J255" s="14"/>
      <c r="K255" s="12"/>
    </row>
    <row r="256" ht="19.5" customHeight="1">
      <c r="A256" s="12"/>
      <c r="C256" s="12"/>
      <c r="D256" s="13"/>
      <c r="F256" s="14"/>
      <c r="G256" s="14"/>
      <c r="H256" s="14"/>
      <c r="I256" s="14"/>
      <c r="J256" s="14"/>
      <c r="K256" s="12"/>
    </row>
    <row r="257" ht="19.5" customHeight="1">
      <c r="A257" s="12"/>
      <c r="C257" s="12"/>
      <c r="D257" s="13"/>
      <c r="F257" s="14"/>
      <c r="G257" s="14"/>
      <c r="H257" s="14"/>
      <c r="I257" s="14"/>
      <c r="J257" s="14"/>
      <c r="K257" s="12"/>
    </row>
    <row r="258" ht="19.5" customHeight="1">
      <c r="A258" s="12"/>
      <c r="C258" s="12"/>
      <c r="D258" s="13"/>
      <c r="F258" s="14"/>
      <c r="G258" s="14"/>
      <c r="H258" s="14"/>
      <c r="I258" s="14"/>
      <c r="J258" s="14"/>
      <c r="K258" s="12"/>
    </row>
    <row r="259" ht="19.5" customHeight="1">
      <c r="A259" s="12"/>
      <c r="C259" s="12"/>
      <c r="D259" s="13"/>
      <c r="F259" s="14"/>
      <c r="G259" s="14"/>
      <c r="H259" s="14"/>
      <c r="I259" s="14"/>
      <c r="J259" s="14"/>
      <c r="K259" s="12"/>
    </row>
    <row r="260" ht="19.5" customHeight="1">
      <c r="A260" s="12"/>
      <c r="C260" s="12"/>
      <c r="D260" s="13"/>
      <c r="F260" s="14"/>
      <c r="G260" s="14"/>
      <c r="H260" s="14"/>
      <c r="I260" s="14"/>
      <c r="J260" s="14"/>
      <c r="K260" s="12"/>
    </row>
    <row r="261" ht="19.5" customHeight="1">
      <c r="A261" s="12"/>
      <c r="C261" s="12"/>
      <c r="D261" s="13"/>
      <c r="F261" s="14"/>
      <c r="G261" s="14"/>
      <c r="H261" s="14"/>
      <c r="I261" s="14"/>
      <c r="J261" s="14"/>
      <c r="K261" s="12"/>
    </row>
    <row r="262" ht="19.5" customHeight="1">
      <c r="A262" s="12"/>
      <c r="C262" s="12"/>
      <c r="D262" s="13"/>
      <c r="F262" s="14"/>
      <c r="G262" s="14"/>
      <c r="H262" s="14"/>
      <c r="I262" s="14"/>
      <c r="J262" s="14"/>
      <c r="K262" s="12"/>
    </row>
    <row r="263" ht="19.5" customHeight="1">
      <c r="A263" s="12"/>
      <c r="C263" s="12"/>
      <c r="D263" s="13"/>
      <c r="F263" s="14"/>
      <c r="G263" s="14"/>
      <c r="H263" s="14"/>
      <c r="I263" s="14"/>
      <c r="J263" s="14"/>
      <c r="K263" s="12"/>
    </row>
    <row r="264" ht="19.5" customHeight="1">
      <c r="A264" s="12"/>
      <c r="C264" s="12"/>
      <c r="D264" s="13"/>
      <c r="F264" s="14"/>
      <c r="G264" s="14"/>
      <c r="H264" s="14"/>
      <c r="I264" s="14"/>
      <c r="J264" s="14"/>
      <c r="K264" s="12"/>
    </row>
    <row r="265" ht="19.5" customHeight="1">
      <c r="A265" s="12"/>
      <c r="C265" s="12"/>
      <c r="D265" s="13"/>
      <c r="F265" s="14"/>
      <c r="G265" s="14"/>
      <c r="H265" s="14"/>
      <c r="I265" s="14"/>
      <c r="J265" s="14"/>
      <c r="K265" s="12"/>
    </row>
    <row r="266" ht="19.5" customHeight="1">
      <c r="A266" s="12"/>
      <c r="C266" s="12"/>
      <c r="D266" s="13"/>
      <c r="F266" s="14"/>
      <c r="G266" s="14"/>
      <c r="H266" s="14"/>
      <c r="I266" s="14"/>
      <c r="J266" s="14"/>
      <c r="K266" s="12"/>
    </row>
    <row r="267" ht="19.5" customHeight="1">
      <c r="A267" s="12"/>
      <c r="C267" s="12"/>
      <c r="D267" s="13"/>
      <c r="F267" s="14"/>
      <c r="G267" s="14"/>
      <c r="H267" s="14"/>
      <c r="I267" s="14"/>
      <c r="J267" s="14"/>
      <c r="K267" s="12"/>
    </row>
    <row r="268" ht="19.5" customHeight="1">
      <c r="A268" s="12"/>
      <c r="C268" s="12"/>
      <c r="D268" s="13"/>
      <c r="F268" s="14"/>
      <c r="G268" s="14"/>
      <c r="H268" s="14"/>
      <c r="I268" s="14"/>
      <c r="J268" s="14"/>
      <c r="K268" s="12"/>
    </row>
    <row r="269" ht="19.5" customHeight="1">
      <c r="A269" s="12"/>
      <c r="C269" s="12"/>
      <c r="D269" s="13"/>
      <c r="F269" s="14"/>
      <c r="G269" s="14"/>
      <c r="H269" s="14"/>
      <c r="I269" s="14"/>
      <c r="J269" s="14"/>
      <c r="K269" s="12"/>
    </row>
    <row r="270" ht="19.5" customHeight="1">
      <c r="A270" s="12"/>
      <c r="C270" s="12"/>
      <c r="D270" s="13"/>
      <c r="F270" s="14"/>
      <c r="G270" s="14"/>
      <c r="H270" s="14"/>
      <c r="I270" s="14"/>
      <c r="J270" s="14"/>
      <c r="K270" s="12"/>
    </row>
    <row r="271" ht="19.5" customHeight="1">
      <c r="A271" s="12"/>
      <c r="C271" s="12"/>
      <c r="D271" s="13"/>
      <c r="F271" s="14"/>
      <c r="G271" s="14"/>
      <c r="H271" s="14"/>
      <c r="I271" s="14"/>
      <c r="J271" s="14"/>
      <c r="K271" s="12"/>
    </row>
    <row r="272" ht="19.5" customHeight="1">
      <c r="A272" s="12"/>
      <c r="C272" s="12"/>
      <c r="D272" s="13"/>
      <c r="F272" s="14"/>
      <c r="G272" s="14"/>
      <c r="H272" s="14"/>
      <c r="I272" s="14"/>
      <c r="J272" s="14"/>
      <c r="K272" s="12"/>
    </row>
    <row r="273" ht="19.5" customHeight="1">
      <c r="A273" s="12"/>
      <c r="C273" s="12"/>
      <c r="D273" s="13"/>
      <c r="F273" s="14"/>
      <c r="G273" s="14"/>
      <c r="H273" s="14"/>
      <c r="I273" s="14"/>
      <c r="J273" s="14"/>
      <c r="K273" s="12"/>
    </row>
    <row r="274" ht="19.5" customHeight="1">
      <c r="A274" s="12"/>
      <c r="C274" s="12"/>
      <c r="D274" s="13"/>
      <c r="F274" s="14"/>
      <c r="G274" s="14"/>
      <c r="H274" s="14"/>
      <c r="I274" s="14"/>
      <c r="J274" s="14"/>
      <c r="K274" s="12"/>
    </row>
    <row r="275" ht="19.5" customHeight="1">
      <c r="A275" s="12"/>
      <c r="C275" s="12"/>
      <c r="D275" s="13"/>
      <c r="F275" s="14"/>
      <c r="G275" s="14"/>
      <c r="H275" s="14"/>
      <c r="I275" s="14"/>
      <c r="J275" s="14"/>
      <c r="K275" s="12"/>
    </row>
    <row r="276" ht="19.5" customHeight="1">
      <c r="A276" s="12"/>
      <c r="C276" s="12"/>
      <c r="D276" s="13"/>
      <c r="F276" s="14"/>
      <c r="G276" s="14"/>
      <c r="H276" s="14"/>
      <c r="I276" s="14"/>
      <c r="J276" s="14"/>
      <c r="K276" s="12"/>
    </row>
    <row r="277" ht="19.5" customHeight="1">
      <c r="A277" s="12"/>
      <c r="C277" s="12"/>
      <c r="D277" s="13"/>
      <c r="F277" s="14"/>
      <c r="G277" s="14"/>
      <c r="H277" s="14"/>
      <c r="I277" s="14"/>
      <c r="J277" s="14"/>
      <c r="K277" s="12"/>
    </row>
    <row r="278" ht="19.5" customHeight="1">
      <c r="A278" s="12"/>
      <c r="C278" s="12"/>
      <c r="D278" s="13"/>
      <c r="F278" s="14"/>
      <c r="G278" s="14"/>
      <c r="H278" s="14"/>
      <c r="I278" s="14"/>
      <c r="J278" s="14"/>
      <c r="K278" s="12"/>
    </row>
    <row r="279" ht="19.5" customHeight="1">
      <c r="A279" s="12"/>
      <c r="C279" s="12"/>
      <c r="D279" s="13"/>
      <c r="F279" s="14"/>
      <c r="G279" s="14"/>
      <c r="H279" s="14"/>
      <c r="I279" s="14"/>
      <c r="J279" s="14"/>
      <c r="K279" s="12"/>
    </row>
    <row r="280" ht="19.5" customHeight="1">
      <c r="A280" s="12"/>
      <c r="C280" s="12"/>
      <c r="D280" s="13"/>
      <c r="F280" s="14"/>
      <c r="G280" s="14"/>
      <c r="H280" s="14"/>
      <c r="I280" s="14"/>
      <c r="J280" s="14"/>
      <c r="K280" s="12"/>
    </row>
    <row r="281" ht="19.5" customHeight="1">
      <c r="A281" s="12"/>
      <c r="C281" s="12"/>
      <c r="D281" s="13"/>
      <c r="F281" s="14"/>
      <c r="G281" s="14"/>
      <c r="H281" s="14"/>
      <c r="I281" s="14"/>
      <c r="J281" s="14"/>
      <c r="K281" s="12"/>
    </row>
    <row r="282" ht="19.5" customHeight="1">
      <c r="A282" s="12"/>
      <c r="C282" s="12"/>
      <c r="D282" s="13"/>
      <c r="F282" s="14"/>
      <c r="G282" s="14"/>
      <c r="H282" s="14"/>
      <c r="I282" s="14"/>
      <c r="J282" s="14"/>
      <c r="K282" s="12"/>
    </row>
    <row r="283" ht="19.5" customHeight="1">
      <c r="A283" s="12"/>
      <c r="C283" s="12"/>
      <c r="D283" s="13"/>
      <c r="F283" s="14"/>
      <c r="G283" s="14"/>
      <c r="H283" s="14"/>
      <c r="I283" s="14"/>
      <c r="J283" s="14"/>
      <c r="K283" s="12"/>
    </row>
    <row r="284" ht="19.5" customHeight="1">
      <c r="A284" s="12"/>
      <c r="C284" s="12"/>
      <c r="D284" s="13"/>
      <c r="F284" s="14"/>
      <c r="G284" s="14"/>
      <c r="H284" s="14"/>
      <c r="I284" s="14"/>
      <c r="J284" s="14"/>
      <c r="K284" s="12"/>
    </row>
    <row r="285" ht="19.5" customHeight="1">
      <c r="A285" s="12"/>
      <c r="C285" s="12"/>
      <c r="D285" s="13"/>
      <c r="F285" s="14"/>
      <c r="G285" s="14"/>
      <c r="H285" s="14"/>
      <c r="I285" s="14"/>
      <c r="J285" s="14"/>
      <c r="K285" s="12"/>
    </row>
    <row r="286" ht="19.5" customHeight="1">
      <c r="A286" s="12"/>
      <c r="C286" s="12"/>
      <c r="D286" s="13"/>
      <c r="F286" s="14"/>
      <c r="G286" s="14"/>
      <c r="H286" s="14"/>
      <c r="I286" s="14"/>
      <c r="J286" s="14"/>
      <c r="K286" s="12"/>
    </row>
    <row r="287" ht="19.5" customHeight="1">
      <c r="A287" s="12"/>
      <c r="C287" s="12"/>
      <c r="D287" s="13"/>
      <c r="F287" s="14"/>
      <c r="G287" s="14"/>
      <c r="H287" s="14"/>
      <c r="I287" s="14"/>
      <c r="J287" s="14"/>
      <c r="K287" s="12"/>
    </row>
    <row r="288" ht="19.5" customHeight="1">
      <c r="A288" s="12"/>
      <c r="C288" s="12"/>
      <c r="D288" s="13"/>
      <c r="F288" s="14"/>
      <c r="G288" s="14"/>
      <c r="H288" s="14"/>
      <c r="I288" s="14"/>
      <c r="J288" s="14"/>
      <c r="K288" s="12"/>
    </row>
    <row r="289" ht="19.5" customHeight="1">
      <c r="A289" s="12"/>
      <c r="C289" s="12"/>
      <c r="D289" s="13"/>
      <c r="F289" s="14"/>
      <c r="G289" s="14"/>
      <c r="H289" s="14"/>
      <c r="I289" s="14"/>
      <c r="J289" s="14"/>
      <c r="K289" s="12"/>
    </row>
    <row r="290" ht="19.5" customHeight="1">
      <c r="A290" s="12"/>
      <c r="C290" s="12"/>
      <c r="D290" s="13"/>
      <c r="F290" s="14"/>
      <c r="G290" s="14"/>
      <c r="H290" s="14"/>
      <c r="I290" s="14"/>
      <c r="J290" s="14"/>
      <c r="K290" s="12"/>
    </row>
    <row r="291" ht="19.5" customHeight="1">
      <c r="A291" s="12"/>
      <c r="C291" s="12"/>
      <c r="D291" s="13"/>
      <c r="F291" s="14"/>
      <c r="G291" s="14"/>
      <c r="H291" s="14"/>
      <c r="I291" s="14"/>
      <c r="J291" s="14"/>
      <c r="K291" s="12"/>
    </row>
    <row r="292" ht="19.5" customHeight="1">
      <c r="A292" s="12"/>
      <c r="C292" s="12"/>
      <c r="D292" s="13"/>
      <c r="F292" s="14"/>
      <c r="G292" s="14"/>
      <c r="H292" s="14"/>
      <c r="I292" s="14"/>
      <c r="J292" s="14"/>
      <c r="K292" s="12"/>
    </row>
    <row r="293" ht="19.5" customHeight="1">
      <c r="A293" s="12"/>
      <c r="C293" s="12"/>
      <c r="D293" s="13"/>
      <c r="F293" s="14"/>
      <c r="G293" s="14"/>
      <c r="H293" s="14"/>
      <c r="I293" s="14"/>
      <c r="J293" s="14"/>
      <c r="K293" s="12"/>
    </row>
    <row r="294" ht="19.5" customHeight="1">
      <c r="A294" s="12"/>
      <c r="C294" s="12"/>
      <c r="D294" s="13"/>
      <c r="F294" s="14"/>
      <c r="G294" s="14"/>
      <c r="H294" s="14"/>
      <c r="I294" s="14"/>
      <c r="J294" s="14"/>
      <c r="K294" s="12"/>
    </row>
    <row r="295" ht="19.5" customHeight="1">
      <c r="A295" s="12"/>
      <c r="C295" s="12"/>
      <c r="D295" s="13"/>
      <c r="F295" s="14"/>
      <c r="G295" s="14"/>
      <c r="H295" s="14"/>
      <c r="I295" s="14"/>
      <c r="J295" s="14"/>
      <c r="K295" s="12"/>
    </row>
    <row r="296" ht="19.5" customHeight="1">
      <c r="A296" s="12"/>
      <c r="C296" s="12"/>
      <c r="D296" s="13"/>
      <c r="F296" s="14"/>
      <c r="G296" s="14"/>
      <c r="H296" s="14"/>
      <c r="I296" s="14"/>
      <c r="J296" s="14"/>
      <c r="K296" s="12"/>
    </row>
    <row r="297" ht="19.5" customHeight="1">
      <c r="A297" s="12"/>
      <c r="C297" s="12"/>
      <c r="D297" s="13"/>
      <c r="F297" s="14"/>
      <c r="G297" s="14"/>
      <c r="H297" s="14"/>
      <c r="I297" s="14"/>
      <c r="J297" s="14"/>
      <c r="K297" s="12"/>
    </row>
    <row r="298" ht="19.5" customHeight="1">
      <c r="A298" s="12"/>
      <c r="C298" s="12"/>
      <c r="D298" s="13"/>
      <c r="F298" s="14"/>
      <c r="G298" s="14"/>
      <c r="H298" s="14"/>
      <c r="I298" s="14"/>
      <c r="J298" s="14"/>
      <c r="K298" s="12"/>
    </row>
    <row r="299" ht="19.5" customHeight="1">
      <c r="A299" s="12"/>
      <c r="C299" s="12"/>
      <c r="D299" s="13"/>
      <c r="F299" s="14"/>
      <c r="G299" s="14"/>
      <c r="H299" s="14"/>
      <c r="I299" s="14"/>
      <c r="J299" s="14"/>
      <c r="K299" s="12"/>
    </row>
    <row r="300" ht="19.5" customHeight="1">
      <c r="A300" s="12"/>
      <c r="C300" s="12"/>
      <c r="D300" s="13"/>
      <c r="F300" s="14"/>
      <c r="G300" s="14"/>
      <c r="H300" s="14"/>
      <c r="I300" s="14"/>
      <c r="J300" s="14"/>
      <c r="K300" s="12"/>
    </row>
    <row r="301" ht="19.5" customHeight="1">
      <c r="A301" s="12"/>
      <c r="C301" s="12"/>
      <c r="D301" s="13"/>
      <c r="F301" s="14"/>
      <c r="G301" s="14"/>
      <c r="H301" s="14"/>
      <c r="I301" s="14"/>
      <c r="J301" s="14"/>
      <c r="K301" s="12"/>
    </row>
    <row r="302" ht="19.5" customHeight="1">
      <c r="A302" s="12"/>
      <c r="C302" s="12"/>
      <c r="D302" s="13"/>
      <c r="F302" s="14"/>
      <c r="G302" s="14"/>
      <c r="H302" s="14"/>
      <c r="I302" s="14"/>
      <c r="J302" s="14"/>
      <c r="K302" s="12"/>
    </row>
    <row r="303" ht="19.5" customHeight="1">
      <c r="A303" s="12"/>
      <c r="C303" s="12"/>
      <c r="D303" s="13"/>
      <c r="F303" s="14"/>
      <c r="G303" s="14"/>
      <c r="H303" s="14"/>
      <c r="I303" s="14"/>
      <c r="J303" s="14"/>
      <c r="K303" s="12"/>
    </row>
    <row r="304" ht="19.5" customHeight="1">
      <c r="A304" s="12"/>
      <c r="C304" s="12"/>
      <c r="D304" s="13"/>
      <c r="F304" s="14"/>
      <c r="G304" s="14"/>
      <c r="H304" s="14"/>
      <c r="I304" s="14"/>
      <c r="J304" s="14"/>
      <c r="K304" s="12"/>
    </row>
    <row r="305" ht="19.5" customHeight="1">
      <c r="A305" s="12"/>
      <c r="C305" s="12"/>
      <c r="D305" s="13"/>
      <c r="F305" s="14"/>
      <c r="G305" s="14"/>
      <c r="H305" s="14"/>
      <c r="I305" s="14"/>
      <c r="J305" s="14"/>
      <c r="K305" s="12"/>
    </row>
    <row r="306" ht="19.5" customHeight="1">
      <c r="A306" s="12"/>
      <c r="C306" s="12"/>
      <c r="D306" s="13"/>
      <c r="F306" s="14"/>
      <c r="G306" s="14"/>
      <c r="H306" s="14"/>
      <c r="I306" s="14"/>
      <c r="J306" s="14"/>
      <c r="K306" s="12"/>
    </row>
    <row r="307" ht="19.5" customHeight="1">
      <c r="A307" s="12"/>
      <c r="C307" s="12"/>
      <c r="D307" s="13"/>
      <c r="F307" s="14"/>
      <c r="G307" s="14"/>
      <c r="H307" s="14"/>
      <c r="I307" s="14"/>
      <c r="J307" s="14"/>
      <c r="K307" s="12"/>
    </row>
    <row r="308" ht="19.5" customHeight="1">
      <c r="A308" s="12"/>
      <c r="C308" s="12"/>
      <c r="D308" s="13"/>
      <c r="F308" s="14"/>
      <c r="G308" s="14"/>
      <c r="H308" s="14"/>
      <c r="I308" s="14"/>
      <c r="J308" s="14"/>
      <c r="K308" s="12"/>
    </row>
    <row r="309" ht="19.5" customHeight="1">
      <c r="A309" s="12"/>
      <c r="C309" s="12"/>
      <c r="D309" s="13"/>
      <c r="F309" s="14"/>
      <c r="G309" s="14"/>
      <c r="H309" s="14"/>
      <c r="I309" s="14"/>
      <c r="J309" s="14"/>
      <c r="K309" s="12"/>
    </row>
    <row r="310" ht="19.5" customHeight="1">
      <c r="A310" s="12"/>
      <c r="C310" s="12"/>
      <c r="D310" s="13"/>
      <c r="F310" s="14"/>
      <c r="G310" s="14"/>
      <c r="H310" s="14"/>
      <c r="I310" s="14"/>
      <c r="J310" s="14"/>
      <c r="K310" s="12"/>
    </row>
    <row r="311" ht="19.5" customHeight="1">
      <c r="A311" s="12"/>
      <c r="C311" s="12"/>
      <c r="D311" s="13"/>
      <c r="F311" s="14"/>
      <c r="G311" s="14"/>
      <c r="H311" s="14"/>
      <c r="I311" s="14"/>
      <c r="J311" s="14"/>
      <c r="K311" s="12"/>
    </row>
    <row r="312" ht="19.5" customHeight="1">
      <c r="A312" s="12"/>
      <c r="C312" s="12"/>
      <c r="D312" s="13"/>
      <c r="F312" s="14"/>
      <c r="G312" s="14"/>
      <c r="H312" s="14"/>
      <c r="I312" s="14"/>
      <c r="J312" s="14"/>
      <c r="K312" s="12"/>
    </row>
    <row r="313" ht="19.5" customHeight="1">
      <c r="A313" s="12"/>
      <c r="C313" s="12"/>
      <c r="D313" s="13"/>
      <c r="F313" s="14"/>
      <c r="G313" s="14"/>
      <c r="H313" s="14"/>
      <c r="I313" s="14"/>
      <c r="J313" s="14"/>
      <c r="K313" s="12"/>
    </row>
    <row r="314" ht="19.5" customHeight="1">
      <c r="A314" s="12"/>
      <c r="C314" s="12"/>
      <c r="D314" s="13"/>
      <c r="F314" s="14"/>
      <c r="G314" s="14"/>
      <c r="H314" s="14"/>
      <c r="I314" s="14"/>
      <c r="J314" s="14"/>
      <c r="K314" s="12"/>
    </row>
    <row r="315" ht="19.5" customHeight="1">
      <c r="A315" s="12"/>
      <c r="C315" s="12"/>
      <c r="D315" s="13"/>
      <c r="F315" s="14"/>
      <c r="G315" s="14"/>
      <c r="H315" s="14"/>
      <c r="I315" s="14"/>
      <c r="J315" s="14"/>
      <c r="K315" s="12"/>
    </row>
    <row r="316" ht="19.5" customHeight="1">
      <c r="A316" s="12"/>
      <c r="C316" s="12"/>
      <c r="D316" s="13"/>
      <c r="F316" s="14"/>
      <c r="G316" s="14"/>
      <c r="H316" s="14"/>
      <c r="I316" s="14"/>
      <c r="J316" s="14"/>
      <c r="K316" s="12"/>
    </row>
    <row r="317" ht="19.5" customHeight="1">
      <c r="A317" s="12"/>
      <c r="C317" s="12"/>
      <c r="D317" s="13"/>
      <c r="F317" s="14"/>
      <c r="G317" s="14"/>
      <c r="H317" s="14"/>
      <c r="I317" s="14"/>
      <c r="J317" s="14"/>
      <c r="K317" s="12"/>
    </row>
    <row r="318" ht="19.5" customHeight="1">
      <c r="A318" s="12"/>
      <c r="C318" s="12"/>
      <c r="D318" s="13"/>
      <c r="F318" s="14"/>
      <c r="G318" s="14"/>
      <c r="H318" s="14"/>
      <c r="I318" s="14"/>
      <c r="J318" s="14"/>
      <c r="K318" s="12"/>
    </row>
    <row r="319" ht="19.5" customHeight="1">
      <c r="A319" s="12"/>
      <c r="C319" s="12"/>
      <c r="D319" s="13"/>
      <c r="F319" s="14"/>
      <c r="G319" s="14"/>
      <c r="H319" s="14"/>
      <c r="I319" s="14"/>
      <c r="J319" s="14"/>
      <c r="K319" s="12"/>
    </row>
    <row r="320" ht="19.5" customHeight="1">
      <c r="A320" s="12"/>
      <c r="C320" s="12"/>
      <c r="D320" s="13"/>
      <c r="F320" s="14"/>
      <c r="G320" s="14"/>
      <c r="H320" s="14"/>
      <c r="I320" s="14"/>
      <c r="J320" s="14"/>
      <c r="K320" s="12"/>
    </row>
    <row r="321" ht="19.5" customHeight="1">
      <c r="A321" s="12"/>
      <c r="C321" s="12"/>
      <c r="D321" s="13"/>
      <c r="F321" s="14"/>
      <c r="G321" s="14"/>
      <c r="H321" s="14"/>
      <c r="I321" s="14"/>
      <c r="J321" s="14"/>
      <c r="K321" s="12"/>
    </row>
    <row r="322" ht="19.5" customHeight="1">
      <c r="A322" s="12"/>
      <c r="C322" s="12"/>
      <c r="D322" s="13"/>
      <c r="F322" s="14"/>
      <c r="G322" s="14"/>
      <c r="H322" s="14"/>
      <c r="I322" s="14"/>
      <c r="J322" s="14"/>
      <c r="K322" s="12"/>
    </row>
    <row r="323" ht="19.5" customHeight="1">
      <c r="A323" s="12"/>
      <c r="C323" s="12"/>
      <c r="D323" s="13"/>
      <c r="F323" s="14"/>
      <c r="G323" s="14"/>
      <c r="H323" s="14"/>
      <c r="I323" s="14"/>
      <c r="J323" s="14"/>
      <c r="K323" s="12"/>
    </row>
    <row r="324" ht="19.5" customHeight="1">
      <c r="A324" s="12"/>
      <c r="C324" s="12"/>
      <c r="D324" s="13"/>
      <c r="F324" s="14"/>
      <c r="G324" s="14"/>
      <c r="H324" s="14"/>
      <c r="I324" s="14"/>
      <c r="J324" s="14"/>
      <c r="K324" s="12"/>
    </row>
    <row r="325" ht="19.5" customHeight="1">
      <c r="A325" s="12"/>
      <c r="C325" s="12"/>
      <c r="D325" s="13"/>
      <c r="F325" s="14"/>
      <c r="G325" s="14"/>
      <c r="H325" s="14"/>
      <c r="I325" s="14"/>
      <c r="J325" s="14"/>
      <c r="K325" s="12"/>
    </row>
    <row r="326" ht="19.5" customHeight="1">
      <c r="A326" s="12"/>
      <c r="C326" s="12"/>
      <c r="D326" s="13"/>
      <c r="F326" s="14"/>
      <c r="G326" s="14"/>
      <c r="H326" s="14"/>
      <c r="I326" s="14"/>
      <c r="J326" s="14"/>
      <c r="K326" s="12"/>
    </row>
    <row r="327" ht="19.5" customHeight="1">
      <c r="A327" s="12"/>
      <c r="C327" s="12"/>
      <c r="D327" s="13"/>
      <c r="F327" s="14"/>
      <c r="G327" s="14"/>
      <c r="H327" s="14"/>
      <c r="I327" s="14"/>
      <c r="J327" s="14"/>
      <c r="K327" s="12"/>
    </row>
    <row r="328" ht="19.5" customHeight="1">
      <c r="A328" s="12"/>
      <c r="C328" s="12"/>
      <c r="D328" s="13"/>
      <c r="F328" s="14"/>
      <c r="G328" s="14"/>
      <c r="H328" s="14"/>
      <c r="I328" s="14"/>
      <c r="J328" s="14"/>
      <c r="K328" s="12"/>
    </row>
    <row r="329" ht="19.5" customHeight="1">
      <c r="A329" s="12"/>
      <c r="C329" s="12"/>
      <c r="D329" s="13"/>
      <c r="F329" s="14"/>
      <c r="G329" s="14"/>
      <c r="H329" s="14"/>
      <c r="I329" s="14"/>
      <c r="J329" s="14"/>
      <c r="K329" s="12"/>
    </row>
    <row r="330" ht="19.5" customHeight="1">
      <c r="A330" s="12"/>
      <c r="C330" s="12"/>
      <c r="D330" s="13"/>
      <c r="F330" s="14"/>
      <c r="G330" s="14"/>
      <c r="H330" s="14"/>
      <c r="I330" s="14"/>
      <c r="J330" s="14"/>
      <c r="K330" s="12"/>
    </row>
    <row r="331" ht="19.5" customHeight="1">
      <c r="A331" s="12"/>
      <c r="C331" s="12"/>
      <c r="D331" s="13"/>
      <c r="F331" s="14"/>
      <c r="G331" s="14"/>
      <c r="H331" s="14"/>
      <c r="I331" s="14"/>
      <c r="J331" s="14"/>
      <c r="K331" s="12"/>
    </row>
    <row r="332" ht="19.5" customHeight="1">
      <c r="A332" s="12"/>
      <c r="C332" s="12"/>
      <c r="D332" s="13"/>
      <c r="F332" s="14"/>
      <c r="G332" s="14"/>
      <c r="H332" s="14"/>
      <c r="I332" s="14"/>
      <c r="J332" s="14"/>
      <c r="K332" s="12"/>
    </row>
    <row r="333" ht="19.5" customHeight="1">
      <c r="A333" s="12"/>
      <c r="C333" s="12"/>
      <c r="D333" s="13"/>
      <c r="F333" s="14"/>
      <c r="G333" s="14"/>
      <c r="H333" s="14"/>
      <c r="I333" s="14"/>
      <c r="J333" s="14"/>
      <c r="K333" s="12"/>
    </row>
    <row r="334" ht="19.5" customHeight="1">
      <c r="A334" s="12"/>
      <c r="C334" s="12"/>
      <c r="D334" s="13"/>
      <c r="F334" s="14"/>
      <c r="G334" s="14"/>
      <c r="H334" s="14"/>
      <c r="I334" s="14"/>
      <c r="J334" s="14"/>
      <c r="K334" s="12"/>
    </row>
    <row r="335" ht="19.5" customHeight="1">
      <c r="A335" s="12"/>
      <c r="C335" s="12"/>
      <c r="D335" s="13"/>
      <c r="F335" s="14"/>
      <c r="G335" s="14"/>
      <c r="H335" s="14"/>
      <c r="I335" s="14"/>
      <c r="J335" s="14"/>
      <c r="K335" s="12"/>
    </row>
    <row r="336" ht="19.5" customHeight="1">
      <c r="A336" s="12"/>
      <c r="C336" s="12"/>
      <c r="D336" s="13"/>
      <c r="F336" s="14"/>
      <c r="G336" s="14"/>
      <c r="H336" s="14"/>
      <c r="I336" s="14"/>
      <c r="J336" s="14"/>
      <c r="K336" s="12"/>
    </row>
    <row r="337" ht="19.5" customHeight="1">
      <c r="A337" s="12"/>
      <c r="C337" s="12"/>
      <c r="D337" s="13"/>
      <c r="F337" s="14"/>
      <c r="G337" s="14"/>
      <c r="H337" s="14"/>
      <c r="I337" s="14"/>
      <c r="J337" s="14"/>
      <c r="K337" s="12"/>
    </row>
    <row r="338" ht="19.5" customHeight="1">
      <c r="A338" s="12"/>
      <c r="C338" s="12"/>
      <c r="D338" s="13"/>
      <c r="F338" s="14"/>
      <c r="G338" s="14"/>
      <c r="H338" s="14"/>
      <c r="I338" s="14"/>
      <c r="J338" s="14"/>
      <c r="K338" s="12"/>
    </row>
    <row r="339" ht="19.5" customHeight="1">
      <c r="A339" s="12"/>
      <c r="C339" s="12"/>
      <c r="D339" s="13"/>
      <c r="F339" s="14"/>
      <c r="G339" s="14"/>
      <c r="H339" s="14"/>
      <c r="I339" s="14"/>
      <c r="J339" s="14"/>
      <c r="K339" s="12"/>
    </row>
    <row r="340" ht="19.5" customHeight="1">
      <c r="A340" s="12"/>
      <c r="C340" s="12"/>
      <c r="D340" s="13"/>
      <c r="F340" s="14"/>
      <c r="G340" s="14"/>
      <c r="H340" s="14"/>
      <c r="I340" s="14"/>
      <c r="J340" s="14"/>
      <c r="K340" s="12"/>
    </row>
    <row r="341" ht="19.5" customHeight="1">
      <c r="A341" s="12"/>
      <c r="C341" s="12"/>
      <c r="D341" s="13"/>
      <c r="F341" s="14"/>
      <c r="G341" s="14"/>
      <c r="H341" s="14"/>
      <c r="I341" s="14"/>
      <c r="J341" s="14"/>
      <c r="K341" s="12"/>
    </row>
    <row r="342" ht="19.5" customHeight="1">
      <c r="A342" s="12"/>
      <c r="C342" s="12"/>
      <c r="D342" s="13"/>
      <c r="F342" s="14"/>
      <c r="G342" s="14"/>
      <c r="H342" s="14"/>
      <c r="I342" s="14"/>
      <c r="J342" s="14"/>
      <c r="K342" s="12"/>
    </row>
    <row r="343" ht="19.5" customHeight="1">
      <c r="A343" s="12"/>
      <c r="C343" s="12"/>
      <c r="D343" s="13"/>
      <c r="F343" s="14"/>
      <c r="G343" s="14"/>
      <c r="H343" s="14"/>
      <c r="I343" s="14"/>
      <c r="J343" s="14"/>
      <c r="K343" s="12"/>
    </row>
    <row r="344" ht="19.5" customHeight="1">
      <c r="A344" s="12"/>
      <c r="C344" s="12"/>
      <c r="D344" s="13"/>
      <c r="F344" s="14"/>
      <c r="G344" s="14"/>
      <c r="H344" s="14"/>
      <c r="I344" s="14"/>
      <c r="J344" s="14"/>
      <c r="K344" s="12"/>
    </row>
    <row r="345" ht="19.5" customHeight="1">
      <c r="A345" s="12"/>
      <c r="C345" s="12"/>
      <c r="D345" s="13"/>
      <c r="F345" s="14"/>
      <c r="G345" s="14"/>
      <c r="H345" s="14"/>
      <c r="I345" s="14"/>
      <c r="J345" s="14"/>
      <c r="K345" s="12"/>
    </row>
    <row r="346" ht="19.5" customHeight="1">
      <c r="A346" s="12"/>
      <c r="C346" s="12"/>
      <c r="D346" s="13"/>
      <c r="F346" s="14"/>
      <c r="G346" s="14"/>
      <c r="H346" s="14"/>
      <c r="I346" s="14"/>
      <c r="J346" s="14"/>
      <c r="K346" s="12"/>
    </row>
    <row r="347" ht="19.5" customHeight="1">
      <c r="A347" s="12"/>
      <c r="C347" s="12"/>
      <c r="D347" s="13"/>
      <c r="F347" s="14"/>
      <c r="G347" s="14"/>
      <c r="H347" s="14"/>
      <c r="I347" s="14"/>
      <c r="J347" s="14"/>
      <c r="K347" s="12"/>
    </row>
    <row r="348" ht="19.5" customHeight="1">
      <c r="A348" s="12"/>
      <c r="C348" s="12"/>
      <c r="D348" s="13"/>
      <c r="F348" s="14"/>
      <c r="G348" s="14"/>
      <c r="H348" s="14"/>
      <c r="I348" s="14"/>
      <c r="J348" s="14"/>
      <c r="K348" s="12"/>
    </row>
    <row r="349" ht="19.5" customHeight="1">
      <c r="A349" s="12"/>
      <c r="C349" s="12"/>
      <c r="D349" s="13"/>
      <c r="F349" s="14"/>
      <c r="G349" s="14"/>
      <c r="H349" s="14"/>
      <c r="I349" s="14"/>
      <c r="J349" s="14"/>
      <c r="K349" s="12"/>
    </row>
    <row r="350" ht="19.5" customHeight="1">
      <c r="A350" s="12"/>
      <c r="C350" s="12"/>
      <c r="D350" s="13"/>
      <c r="F350" s="14"/>
      <c r="G350" s="14"/>
      <c r="H350" s="14"/>
      <c r="I350" s="14"/>
      <c r="J350" s="14"/>
      <c r="K350" s="12"/>
    </row>
    <row r="351" ht="19.5" customHeight="1">
      <c r="A351" s="12"/>
      <c r="C351" s="12"/>
      <c r="D351" s="13"/>
      <c r="F351" s="14"/>
      <c r="G351" s="14"/>
      <c r="H351" s="14"/>
      <c r="I351" s="14"/>
      <c r="J351" s="14"/>
      <c r="K351" s="12"/>
    </row>
    <row r="352" ht="19.5" customHeight="1">
      <c r="A352" s="12"/>
      <c r="C352" s="12"/>
      <c r="D352" s="13"/>
      <c r="F352" s="14"/>
      <c r="G352" s="14"/>
      <c r="H352" s="14"/>
      <c r="I352" s="14"/>
      <c r="J352" s="14"/>
      <c r="K352" s="12"/>
    </row>
    <row r="353" ht="19.5" customHeight="1">
      <c r="A353" s="12"/>
      <c r="C353" s="12"/>
      <c r="D353" s="13"/>
      <c r="F353" s="14"/>
      <c r="G353" s="14"/>
      <c r="H353" s="14"/>
      <c r="I353" s="14"/>
      <c r="J353" s="14"/>
      <c r="K353" s="12"/>
    </row>
    <row r="354" ht="19.5" customHeight="1">
      <c r="A354" s="12"/>
      <c r="C354" s="12"/>
      <c r="D354" s="13"/>
      <c r="F354" s="14"/>
      <c r="G354" s="14"/>
      <c r="H354" s="14"/>
      <c r="I354" s="14"/>
      <c r="J354" s="14"/>
      <c r="K354" s="12"/>
    </row>
    <row r="355" ht="19.5" customHeight="1">
      <c r="A355" s="12"/>
      <c r="C355" s="12"/>
      <c r="D355" s="13"/>
      <c r="F355" s="14"/>
      <c r="G355" s="14"/>
      <c r="H355" s="14"/>
      <c r="I355" s="14"/>
      <c r="J355" s="14"/>
      <c r="K355" s="12"/>
    </row>
    <row r="356" ht="19.5" customHeight="1">
      <c r="A356" s="12"/>
      <c r="C356" s="12"/>
      <c r="D356" s="13"/>
      <c r="F356" s="14"/>
      <c r="G356" s="14"/>
      <c r="H356" s="14"/>
      <c r="I356" s="14"/>
      <c r="J356" s="14"/>
      <c r="K356" s="12"/>
    </row>
    <row r="357" ht="19.5" customHeight="1">
      <c r="A357" s="12"/>
      <c r="C357" s="12"/>
      <c r="D357" s="13"/>
      <c r="F357" s="14"/>
      <c r="G357" s="14"/>
      <c r="H357" s="14"/>
      <c r="I357" s="14"/>
      <c r="J357" s="14"/>
      <c r="K357" s="12"/>
    </row>
    <row r="358" ht="19.5" customHeight="1">
      <c r="A358" s="12"/>
      <c r="C358" s="12"/>
      <c r="D358" s="13"/>
      <c r="F358" s="14"/>
      <c r="G358" s="14"/>
      <c r="H358" s="14"/>
      <c r="I358" s="14"/>
      <c r="J358" s="14"/>
      <c r="K358" s="12"/>
    </row>
    <row r="359" ht="19.5" customHeight="1">
      <c r="A359" s="12"/>
      <c r="C359" s="12"/>
      <c r="D359" s="13"/>
      <c r="F359" s="14"/>
      <c r="G359" s="14"/>
      <c r="H359" s="14"/>
      <c r="I359" s="14"/>
      <c r="J359" s="14"/>
      <c r="K359" s="12"/>
    </row>
    <row r="360" ht="19.5" customHeight="1">
      <c r="A360" s="12"/>
      <c r="C360" s="12"/>
      <c r="D360" s="13"/>
      <c r="F360" s="14"/>
      <c r="G360" s="14"/>
      <c r="H360" s="14"/>
      <c r="I360" s="14"/>
      <c r="J360" s="14"/>
      <c r="K360" s="12"/>
    </row>
    <row r="361" ht="19.5" customHeight="1">
      <c r="A361" s="12"/>
      <c r="C361" s="12"/>
      <c r="D361" s="13"/>
      <c r="F361" s="14"/>
      <c r="G361" s="14"/>
      <c r="H361" s="14"/>
      <c r="I361" s="14"/>
      <c r="J361" s="14"/>
      <c r="K361" s="12"/>
    </row>
    <row r="362" ht="19.5" customHeight="1">
      <c r="A362" s="12"/>
      <c r="C362" s="12"/>
      <c r="D362" s="13"/>
      <c r="F362" s="14"/>
      <c r="G362" s="14"/>
      <c r="H362" s="14"/>
      <c r="I362" s="14"/>
      <c r="J362" s="14"/>
      <c r="K362" s="12"/>
    </row>
    <row r="363" ht="19.5" customHeight="1">
      <c r="A363" s="12"/>
      <c r="C363" s="12"/>
      <c r="D363" s="13"/>
      <c r="F363" s="14"/>
      <c r="G363" s="14"/>
      <c r="H363" s="14"/>
      <c r="I363" s="14"/>
      <c r="J363" s="14"/>
      <c r="K363" s="12"/>
    </row>
    <row r="364" ht="19.5" customHeight="1">
      <c r="A364" s="12"/>
      <c r="C364" s="12"/>
      <c r="D364" s="13"/>
      <c r="F364" s="14"/>
      <c r="G364" s="14"/>
      <c r="H364" s="14"/>
      <c r="I364" s="14"/>
      <c r="J364" s="14"/>
      <c r="K364" s="12"/>
    </row>
    <row r="365" ht="19.5" customHeight="1">
      <c r="A365" s="12"/>
      <c r="C365" s="12"/>
      <c r="D365" s="13"/>
      <c r="F365" s="14"/>
      <c r="G365" s="14"/>
      <c r="H365" s="14"/>
      <c r="I365" s="14"/>
      <c r="J365" s="14"/>
      <c r="K365" s="12"/>
    </row>
    <row r="366" ht="19.5" customHeight="1">
      <c r="A366" s="12"/>
      <c r="C366" s="12"/>
      <c r="D366" s="13"/>
      <c r="F366" s="14"/>
      <c r="G366" s="14"/>
      <c r="H366" s="14"/>
      <c r="I366" s="14"/>
      <c r="J366" s="14"/>
      <c r="K366" s="12"/>
    </row>
    <row r="367" ht="19.5" customHeight="1">
      <c r="A367" s="12"/>
      <c r="C367" s="12"/>
      <c r="D367" s="13"/>
      <c r="F367" s="14"/>
      <c r="G367" s="14"/>
      <c r="H367" s="14"/>
      <c r="I367" s="14"/>
      <c r="J367" s="14"/>
      <c r="K367" s="12"/>
    </row>
    <row r="368" ht="19.5" customHeight="1">
      <c r="A368" s="12"/>
      <c r="C368" s="12"/>
      <c r="D368" s="13"/>
      <c r="F368" s="14"/>
      <c r="G368" s="14"/>
      <c r="H368" s="14"/>
      <c r="I368" s="14"/>
      <c r="J368" s="14"/>
      <c r="K368" s="12"/>
    </row>
    <row r="369" ht="19.5" customHeight="1">
      <c r="A369" s="12"/>
      <c r="C369" s="12"/>
      <c r="D369" s="13"/>
      <c r="F369" s="14"/>
      <c r="G369" s="14"/>
      <c r="H369" s="14"/>
      <c r="I369" s="14"/>
      <c r="J369" s="14"/>
      <c r="K369" s="12"/>
    </row>
    <row r="370" ht="19.5" customHeight="1">
      <c r="A370" s="12"/>
      <c r="C370" s="12"/>
      <c r="D370" s="13"/>
      <c r="F370" s="14"/>
      <c r="G370" s="14"/>
      <c r="H370" s="14"/>
      <c r="I370" s="14"/>
      <c r="J370" s="14"/>
      <c r="K370" s="12"/>
    </row>
    <row r="371" ht="19.5" customHeight="1">
      <c r="A371" s="12"/>
      <c r="C371" s="12"/>
      <c r="D371" s="13"/>
      <c r="F371" s="14"/>
      <c r="G371" s="14"/>
      <c r="H371" s="14"/>
      <c r="I371" s="14"/>
      <c r="J371" s="14"/>
      <c r="K371" s="12"/>
    </row>
    <row r="372" ht="19.5" customHeight="1">
      <c r="A372" s="12"/>
      <c r="C372" s="12"/>
      <c r="D372" s="13"/>
      <c r="F372" s="14"/>
      <c r="G372" s="14"/>
      <c r="H372" s="14"/>
      <c r="I372" s="14"/>
      <c r="J372" s="14"/>
      <c r="K372" s="12"/>
    </row>
    <row r="373" ht="19.5" customHeight="1">
      <c r="A373" s="12"/>
      <c r="C373" s="12"/>
      <c r="D373" s="13"/>
      <c r="F373" s="14"/>
      <c r="G373" s="14"/>
      <c r="H373" s="14"/>
      <c r="I373" s="14"/>
      <c r="J373" s="14"/>
      <c r="K373" s="12"/>
    </row>
    <row r="374" ht="19.5" customHeight="1">
      <c r="A374" s="12"/>
      <c r="C374" s="12"/>
      <c r="D374" s="13"/>
      <c r="F374" s="14"/>
      <c r="G374" s="14"/>
      <c r="H374" s="14"/>
      <c r="I374" s="14"/>
      <c r="J374" s="14"/>
      <c r="K374" s="12"/>
    </row>
    <row r="375" ht="19.5" customHeight="1">
      <c r="A375" s="12"/>
      <c r="C375" s="12"/>
      <c r="D375" s="13"/>
      <c r="F375" s="14"/>
      <c r="G375" s="14"/>
      <c r="H375" s="14"/>
      <c r="I375" s="14"/>
      <c r="J375" s="14"/>
      <c r="K375" s="12"/>
    </row>
    <row r="376" ht="19.5" customHeight="1">
      <c r="A376" s="12"/>
      <c r="C376" s="12"/>
      <c r="D376" s="13"/>
      <c r="F376" s="14"/>
      <c r="G376" s="14"/>
      <c r="H376" s="14"/>
      <c r="I376" s="14"/>
      <c r="J376" s="14"/>
      <c r="K376" s="12"/>
    </row>
    <row r="377" ht="19.5" customHeight="1">
      <c r="A377" s="12"/>
      <c r="C377" s="12"/>
      <c r="D377" s="13"/>
      <c r="F377" s="14"/>
      <c r="G377" s="14"/>
      <c r="H377" s="14"/>
      <c r="I377" s="14"/>
      <c r="J377" s="14"/>
      <c r="K377" s="12"/>
    </row>
    <row r="378" ht="19.5" customHeight="1">
      <c r="A378" s="12"/>
      <c r="C378" s="12"/>
      <c r="D378" s="13"/>
      <c r="F378" s="14"/>
      <c r="G378" s="14"/>
      <c r="H378" s="14"/>
      <c r="I378" s="14"/>
      <c r="J378" s="14"/>
      <c r="K378" s="12"/>
    </row>
    <row r="379" ht="19.5" customHeight="1">
      <c r="A379" s="12"/>
      <c r="C379" s="12"/>
      <c r="D379" s="13"/>
      <c r="F379" s="14"/>
      <c r="G379" s="14"/>
      <c r="H379" s="14"/>
      <c r="I379" s="14"/>
      <c r="J379" s="14"/>
      <c r="K379" s="12"/>
    </row>
    <row r="380" ht="19.5" customHeight="1">
      <c r="A380" s="12"/>
      <c r="C380" s="12"/>
      <c r="D380" s="13"/>
      <c r="F380" s="14"/>
      <c r="G380" s="14"/>
      <c r="H380" s="14"/>
      <c r="I380" s="14"/>
      <c r="J380" s="14"/>
      <c r="K380" s="12"/>
    </row>
    <row r="381" ht="19.5" customHeight="1">
      <c r="A381" s="12"/>
      <c r="C381" s="12"/>
      <c r="D381" s="13"/>
      <c r="F381" s="14"/>
      <c r="G381" s="14"/>
      <c r="H381" s="14"/>
      <c r="I381" s="14"/>
      <c r="J381" s="14"/>
      <c r="K381" s="12"/>
    </row>
    <row r="382" ht="19.5" customHeight="1">
      <c r="A382" s="12"/>
      <c r="C382" s="12"/>
      <c r="D382" s="13"/>
      <c r="F382" s="14"/>
      <c r="G382" s="14"/>
      <c r="H382" s="14"/>
      <c r="I382" s="14"/>
      <c r="J382" s="14"/>
      <c r="K382" s="12"/>
    </row>
    <row r="383" ht="19.5" customHeight="1">
      <c r="A383" s="12"/>
      <c r="C383" s="12"/>
      <c r="D383" s="13"/>
      <c r="F383" s="14"/>
      <c r="G383" s="14"/>
      <c r="H383" s="14"/>
      <c r="I383" s="14"/>
      <c r="J383" s="14"/>
      <c r="K383" s="12"/>
    </row>
    <row r="384" ht="19.5" customHeight="1">
      <c r="A384" s="12"/>
      <c r="C384" s="12"/>
      <c r="D384" s="13"/>
      <c r="F384" s="14"/>
      <c r="G384" s="14"/>
      <c r="H384" s="14"/>
      <c r="I384" s="14"/>
      <c r="J384" s="14"/>
      <c r="K384" s="12"/>
    </row>
    <row r="385" ht="19.5" customHeight="1">
      <c r="A385" s="12"/>
      <c r="C385" s="12"/>
      <c r="D385" s="13"/>
      <c r="F385" s="14"/>
      <c r="G385" s="14"/>
      <c r="H385" s="14"/>
      <c r="I385" s="14"/>
      <c r="J385" s="14"/>
      <c r="K385" s="12"/>
    </row>
    <row r="386" ht="19.5" customHeight="1">
      <c r="A386" s="12"/>
      <c r="C386" s="12"/>
      <c r="D386" s="13"/>
      <c r="F386" s="14"/>
      <c r="G386" s="14"/>
      <c r="H386" s="14"/>
      <c r="I386" s="14"/>
      <c r="J386" s="14"/>
      <c r="K386" s="12"/>
    </row>
    <row r="387" ht="19.5" customHeight="1">
      <c r="A387" s="12"/>
      <c r="C387" s="12"/>
      <c r="D387" s="13"/>
      <c r="F387" s="14"/>
      <c r="G387" s="14"/>
      <c r="H387" s="14"/>
      <c r="I387" s="14"/>
      <c r="J387" s="14"/>
      <c r="K387" s="12"/>
    </row>
    <row r="388" ht="19.5" customHeight="1">
      <c r="A388" s="12"/>
      <c r="C388" s="12"/>
      <c r="D388" s="13"/>
      <c r="F388" s="14"/>
      <c r="G388" s="14"/>
      <c r="H388" s="14"/>
      <c r="I388" s="14"/>
      <c r="J388" s="14"/>
      <c r="K388" s="12"/>
    </row>
    <row r="389" ht="19.5" customHeight="1">
      <c r="A389" s="12"/>
      <c r="C389" s="12"/>
      <c r="D389" s="13"/>
      <c r="F389" s="14"/>
      <c r="G389" s="14"/>
      <c r="H389" s="14"/>
      <c r="I389" s="14"/>
      <c r="J389" s="14"/>
      <c r="K389" s="12"/>
    </row>
    <row r="390" ht="19.5" customHeight="1">
      <c r="A390" s="12"/>
      <c r="C390" s="12"/>
      <c r="D390" s="13"/>
      <c r="F390" s="14"/>
      <c r="G390" s="14"/>
      <c r="H390" s="14"/>
      <c r="I390" s="14"/>
      <c r="J390" s="14"/>
      <c r="K390" s="12"/>
    </row>
    <row r="391" ht="19.5" customHeight="1">
      <c r="A391" s="12"/>
      <c r="C391" s="12"/>
      <c r="D391" s="13"/>
      <c r="F391" s="14"/>
      <c r="G391" s="14"/>
      <c r="H391" s="14"/>
      <c r="I391" s="14"/>
      <c r="J391" s="14"/>
      <c r="K391" s="12"/>
    </row>
    <row r="392" ht="19.5" customHeight="1">
      <c r="A392" s="12"/>
      <c r="C392" s="12"/>
      <c r="D392" s="13"/>
      <c r="F392" s="14"/>
      <c r="G392" s="14"/>
      <c r="H392" s="14"/>
      <c r="I392" s="14"/>
      <c r="J392" s="14"/>
      <c r="K392" s="12"/>
    </row>
    <row r="393" ht="19.5" customHeight="1">
      <c r="A393" s="12"/>
      <c r="C393" s="12"/>
      <c r="D393" s="13"/>
      <c r="F393" s="14"/>
      <c r="G393" s="14"/>
      <c r="H393" s="14"/>
      <c r="I393" s="14"/>
      <c r="J393" s="14"/>
      <c r="K393" s="12"/>
    </row>
    <row r="394" ht="19.5" customHeight="1">
      <c r="A394" s="12"/>
      <c r="C394" s="12"/>
      <c r="D394" s="13"/>
      <c r="F394" s="14"/>
      <c r="G394" s="14"/>
      <c r="H394" s="14"/>
      <c r="I394" s="14"/>
      <c r="J394" s="14"/>
      <c r="K394" s="12"/>
    </row>
    <row r="395" ht="19.5" customHeight="1">
      <c r="A395" s="12"/>
      <c r="C395" s="12"/>
      <c r="D395" s="13"/>
      <c r="F395" s="14"/>
      <c r="G395" s="14"/>
      <c r="H395" s="14"/>
      <c r="I395" s="14"/>
      <c r="J395" s="14"/>
      <c r="K395" s="12"/>
    </row>
    <row r="396" ht="19.5" customHeight="1">
      <c r="A396" s="12"/>
      <c r="C396" s="12"/>
      <c r="D396" s="13"/>
      <c r="F396" s="14"/>
      <c r="G396" s="14"/>
      <c r="H396" s="14"/>
      <c r="I396" s="14"/>
      <c r="J396" s="14"/>
      <c r="K396" s="12"/>
    </row>
    <row r="397" ht="19.5" customHeight="1">
      <c r="A397" s="12"/>
      <c r="C397" s="12"/>
      <c r="D397" s="13"/>
      <c r="F397" s="14"/>
      <c r="G397" s="14"/>
      <c r="H397" s="14"/>
      <c r="I397" s="14"/>
      <c r="J397" s="14"/>
      <c r="K397" s="12"/>
    </row>
    <row r="398" ht="19.5" customHeight="1">
      <c r="A398" s="12"/>
      <c r="C398" s="12"/>
      <c r="D398" s="13"/>
      <c r="F398" s="14"/>
      <c r="G398" s="14"/>
      <c r="H398" s="14"/>
      <c r="I398" s="14"/>
      <c r="J398" s="14"/>
      <c r="K398" s="12"/>
    </row>
    <row r="399" ht="19.5" customHeight="1">
      <c r="A399" s="12"/>
      <c r="C399" s="12"/>
      <c r="D399" s="13"/>
      <c r="F399" s="14"/>
      <c r="G399" s="14"/>
      <c r="H399" s="14"/>
      <c r="I399" s="14"/>
      <c r="J399" s="14"/>
      <c r="K399" s="12"/>
    </row>
    <row r="400" ht="19.5" customHeight="1">
      <c r="A400" s="12"/>
      <c r="C400" s="12"/>
      <c r="D400" s="13"/>
      <c r="F400" s="14"/>
      <c r="G400" s="14"/>
      <c r="H400" s="14"/>
      <c r="I400" s="14"/>
      <c r="J400" s="14"/>
      <c r="K400" s="12"/>
    </row>
    <row r="401" ht="19.5" customHeight="1">
      <c r="A401" s="12"/>
      <c r="C401" s="12"/>
      <c r="D401" s="13"/>
      <c r="F401" s="14"/>
      <c r="G401" s="14"/>
      <c r="H401" s="14"/>
      <c r="I401" s="14"/>
      <c r="J401" s="14"/>
      <c r="K401" s="12"/>
    </row>
    <row r="402" ht="19.5" customHeight="1">
      <c r="A402" s="12"/>
      <c r="C402" s="12"/>
      <c r="D402" s="13"/>
      <c r="F402" s="14"/>
      <c r="G402" s="14"/>
      <c r="H402" s="14"/>
      <c r="I402" s="14"/>
      <c r="J402" s="14"/>
      <c r="K402" s="12"/>
    </row>
    <row r="403" ht="19.5" customHeight="1">
      <c r="A403" s="12"/>
      <c r="C403" s="12"/>
      <c r="D403" s="13"/>
      <c r="F403" s="14"/>
      <c r="G403" s="14"/>
      <c r="H403" s="14"/>
      <c r="I403" s="14"/>
      <c r="J403" s="14"/>
      <c r="K403" s="12"/>
    </row>
    <row r="404" ht="19.5" customHeight="1">
      <c r="A404" s="12"/>
      <c r="C404" s="12"/>
      <c r="D404" s="13"/>
      <c r="F404" s="14"/>
      <c r="G404" s="14"/>
      <c r="H404" s="14"/>
      <c r="I404" s="14"/>
      <c r="J404" s="14"/>
      <c r="K404" s="12"/>
    </row>
    <row r="405" ht="19.5" customHeight="1">
      <c r="A405" s="12"/>
      <c r="C405" s="12"/>
      <c r="D405" s="13"/>
      <c r="F405" s="14"/>
      <c r="G405" s="14"/>
      <c r="H405" s="14"/>
      <c r="I405" s="14"/>
      <c r="J405" s="14"/>
      <c r="K405" s="12"/>
    </row>
    <row r="406" ht="19.5" customHeight="1">
      <c r="A406" s="12"/>
      <c r="C406" s="12"/>
      <c r="D406" s="13"/>
      <c r="F406" s="14"/>
      <c r="G406" s="14"/>
      <c r="H406" s="14"/>
      <c r="I406" s="14"/>
      <c r="J406" s="14"/>
      <c r="K406" s="12"/>
    </row>
    <row r="407" ht="19.5" customHeight="1">
      <c r="A407" s="12"/>
      <c r="C407" s="12"/>
      <c r="D407" s="13"/>
      <c r="F407" s="14"/>
      <c r="G407" s="14"/>
      <c r="H407" s="14"/>
      <c r="I407" s="14"/>
      <c r="J407" s="14"/>
      <c r="K407" s="12"/>
    </row>
    <row r="408" ht="19.5" customHeight="1">
      <c r="A408" s="12"/>
      <c r="C408" s="12"/>
      <c r="D408" s="13"/>
      <c r="F408" s="14"/>
      <c r="G408" s="14"/>
      <c r="H408" s="14"/>
      <c r="I408" s="14"/>
      <c r="J408" s="14"/>
      <c r="K408" s="12"/>
    </row>
    <row r="409" ht="19.5" customHeight="1">
      <c r="A409" s="12"/>
      <c r="C409" s="12"/>
      <c r="D409" s="13"/>
      <c r="F409" s="14"/>
      <c r="G409" s="14"/>
      <c r="H409" s="14"/>
      <c r="I409" s="14"/>
      <c r="J409" s="14"/>
      <c r="K409" s="12"/>
    </row>
    <row r="410" ht="19.5" customHeight="1">
      <c r="A410" s="12"/>
      <c r="C410" s="12"/>
      <c r="D410" s="13"/>
      <c r="F410" s="14"/>
      <c r="G410" s="14"/>
      <c r="H410" s="14"/>
      <c r="I410" s="14"/>
      <c r="J410" s="14"/>
      <c r="K410" s="12"/>
    </row>
    <row r="411" ht="19.5" customHeight="1">
      <c r="A411" s="12"/>
      <c r="C411" s="12"/>
      <c r="D411" s="13"/>
      <c r="F411" s="14"/>
      <c r="G411" s="14"/>
      <c r="H411" s="14"/>
      <c r="I411" s="14"/>
      <c r="J411" s="14"/>
      <c r="K411" s="12"/>
    </row>
    <row r="412" ht="19.5" customHeight="1">
      <c r="A412" s="12"/>
      <c r="C412" s="12"/>
      <c r="D412" s="13"/>
      <c r="F412" s="14"/>
      <c r="G412" s="14"/>
      <c r="H412" s="14"/>
      <c r="I412" s="14"/>
      <c r="J412" s="14"/>
      <c r="K412" s="12"/>
    </row>
    <row r="413" ht="19.5" customHeight="1">
      <c r="A413" s="12"/>
      <c r="C413" s="12"/>
      <c r="D413" s="13"/>
      <c r="F413" s="14"/>
      <c r="G413" s="14"/>
      <c r="H413" s="14"/>
      <c r="I413" s="14"/>
      <c r="J413" s="14"/>
      <c r="K413" s="12"/>
    </row>
    <row r="414" ht="19.5" customHeight="1">
      <c r="A414" s="12"/>
      <c r="C414" s="12"/>
      <c r="D414" s="13"/>
      <c r="F414" s="14"/>
      <c r="G414" s="14"/>
      <c r="H414" s="14"/>
      <c r="I414" s="14"/>
      <c r="J414" s="14"/>
      <c r="K414" s="12"/>
    </row>
    <row r="415" ht="19.5" customHeight="1">
      <c r="A415" s="12"/>
      <c r="C415" s="12"/>
      <c r="D415" s="13"/>
      <c r="F415" s="14"/>
      <c r="G415" s="14"/>
      <c r="H415" s="14"/>
      <c r="I415" s="14"/>
      <c r="J415" s="14"/>
      <c r="K415" s="12"/>
    </row>
    <row r="416" ht="19.5" customHeight="1">
      <c r="A416" s="12"/>
      <c r="C416" s="12"/>
      <c r="D416" s="13"/>
      <c r="F416" s="14"/>
      <c r="G416" s="14"/>
      <c r="H416" s="14"/>
      <c r="I416" s="14"/>
      <c r="J416" s="14"/>
      <c r="K416" s="12"/>
    </row>
    <row r="417" ht="19.5" customHeight="1">
      <c r="A417" s="12"/>
      <c r="C417" s="12"/>
      <c r="D417" s="13"/>
      <c r="F417" s="14"/>
      <c r="G417" s="14"/>
      <c r="H417" s="14"/>
      <c r="I417" s="14"/>
      <c r="J417" s="14"/>
      <c r="K417" s="12"/>
    </row>
    <row r="418" ht="19.5" customHeight="1">
      <c r="A418" s="12"/>
      <c r="C418" s="12"/>
      <c r="D418" s="13"/>
      <c r="F418" s="14"/>
      <c r="G418" s="14"/>
      <c r="H418" s="14"/>
      <c r="I418" s="14"/>
      <c r="J418" s="14"/>
      <c r="K418" s="12"/>
    </row>
    <row r="419" ht="19.5" customHeight="1">
      <c r="A419" s="12"/>
      <c r="C419" s="12"/>
      <c r="D419" s="13"/>
      <c r="F419" s="14"/>
      <c r="G419" s="14"/>
      <c r="H419" s="14"/>
      <c r="I419" s="14"/>
      <c r="J419" s="14"/>
      <c r="K419" s="12"/>
    </row>
    <row r="420" ht="19.5" customHeight="1">
      <c r="A420" s="12"/>
      <c r="C420" s="12"/>
      <c r="D420" s="13"/>
      <c r="F420" s="14"/>
      <c r="G420" s="14"/>
      <c r="H420" s="14"/>
      <c r="I420" s="14"/>
      <c r="J420" s="14"/>
      <c r="K420" s="12"/>
    </row>
    <row r="421" ht="19.5" customHeight="1">
      <c r="A421" s="12"/>
      <c r="C421" s="12"/>
      <c r="D421" s="13"/>
      <c r="F421" s="14"/>
      <c r="G421" s="14"/>
      <c r="H421" s="14"/>
      <c r="I421" s="14"/>
      <c r="J421" s="14"/>
      <c r="K421" s="12"/>
    </row>
    <row r="422" ht="19.5" customHeight="1">
      <c r="A422" s="12"/>
      <c r="C422" s="12"/>
      <c r="D422" s="13"/>
      <c r="F422" s="14"/>
      <c r="G422" s="14"/>
      <c r="H422" s="14"/>
      <c r="I422" s="14"/>
      <c r="J422" s="14"/>
      <c r="K422" s="12"/>
    </row>
    <row r="423" ht="19.5" customHeight="1">
      <c r="A423" s="12"/>
      <c r="C423" s="12"/>
      <c r="D423" s="13"/>
      <c r="F423" s="14"/>
      <c r="G423" s="14"/>
      <c r="H423" s="14"/>
      <c r="I423" s="14"/>
      <c r="J423" s="14"/>
      <c r="K423" s="12"/>
    </row>
    <row r="424" ht="19.5" customHeight="1">
      <c r="A424" s="12"/>
      <c r="C424" s="12"/>
      <c r="D424" s="13"/>
      <c r="F424" s="14"/>
      <c r="G424" s="14"/>
      <c r="H424" s="14"/>
      <c r="I424" s="14"/>
      <c r="J424" s="14"/>
      <c r="K424" s="12"/>
    </row>
    <row r="425" ht="19.5" customHeight="1">
      <c r="A425" s="12"/>
      <c r="C425" s="12"/>
      <c r="D425" s="13"/>
      <c r="F425" s="14"/>
      <c r="G425" s="14"/>
      <c r="H425" s="14"/>
      <c r="I425" s="14"/>
      <c r="J425" s="14"/>
      <c r="K425" s="12"/>
    </row>
    <row r="426" ht="19.5" customHeight="1">
      <c r="A426" s="12"/>
      <c r="C426" s="12"/>
      <c r="D426" s="13"/>
      <c r="F426" s="14"/>
      <c r="G426" s="14"/>
      <c r="H426" s="14"/>
      <c r="I426" s="14"/>
      <c r="J426" s="14"/>
      <c r="K426" s="12"/>
    </row>
    <row r="427" ht="19.5" customHeight="1">
      <c r="A427" s="12"/>
      <c r="C427" s="12"/>
      <c r="D427" s="13"/>
      <c r="F427" s="14"/>
      <c r="G427" s="14"/>
      <c r="H427" s="14"/>
      <c r="I427" s="14"/>
      <c r="J427" s="14"/>
      <c r="K427" s="12"/>
    </row>
    <row r="428" ht="19.5" customHeight="1">
      <c r="A428" s="12"/>
      <c r="C428" s="12"/>
      <c r="D428" s="13"/>
      <c r="F428" s="14"/>
      <c r="G428" s="14"/>
      <c r="H428" s="14"/>
      <c r="I428" s="14"/>
      <c r="J428" s="14"/>
      <c r="K428" s="12"/>
    </row>
    <row r="429" ht="19.5" customHeight="1">
      <c r="A429" s="12"/>
      <c r="C429" s="12"/>
      <c r="D429" s="13"/>
      <c r="F429" s="14"/>
      <c r="G429" s="14"/>
      <c r="H429" s="14"/>
      <c r="I429" s="14"/>
      <c r="J429" s="14"/>
      <c r="K429" s="12"/>
    </row>
    <row r="430" ht="19.5" customHeight="1">
      <c r="A430" s="12"/>
      <c r="C430" s="12"/>
      <c r="D430" s="13"/>
      <c r="F430" s="14"/>
      <c r="G430" s="14"/>
      <c r="H430" s="14"/>
      <c r="I430" s="14"/>
      <c r="J430" s="14"/>
      <c r="K430" s="12"/>
    </row>
    <row r="431" ht="19.5" customHeight="1">
      <c r="A431" s="12"/>
      <c r="C431" s="12"/>
      <c r="D431" s="13"/>
      <c r="F431" s="14"/>
      <c r="G431" s="14"/>
      <c r="H431" s="14"/>
      <c r="I431" s="14"/>
      <c r="J431" s="14"/>
      <c r="K431" s="12"/>
    </row>
    <row r="432" ht="19.5" customHeight="1">
      <c r="A432" s="12"/>
      <c r="C432" s="12"/>
      <c r="D432" s="13"/>
      <c r="F432" s="14"/>
      <c r="G432" s="14"/>
      <c r="H432" s="14"/>
      <c r="I432" s="14"/>
      <c r="J432" s="14"/>
      <c r="K432" s="12"/>
    </row>
    <row r="433" ht="19.5" customHeight="1">
      <c r="A433" s="12"/>
      <c r="C433" s="12"/>
      <c r="D433" s="13"/>
      <c r="F433" s="14"/>
      <c r="G433" s="14"/>
      <c r="H433" s="14"/>
      <c r="I433" s="14"/>
      <c r="J433" s="14"/>
      <c r="K433" s="12"/>
    </row>
    <row r="434" ht="19.5" customHeight="1">
      <c r="A434" s="12"/>
      <c r="C434" s="12"/>
      <c r="D434" s="13"/>
      <c r="F434" s="14"/>
      <c r="G434" s="14"/>
      <c r="H434" s="14"/>
      <c r="I434" s="14"/>
      <c r="J434" s="14"/>
      <c r="K434" s="12"/>
    </row>
    <row r="435" ht="19.5" customHeight="1">
      <c r="A435" s="12"/>
      <c r="C435" s="12"/>
      <c r="D435" s="13"/>
      <c r="F435" s="14"/>
      <c r="G435" s="14"/>
      <c r="H435" s="14"/>
      <c r="I435" s="14"/>
      <c r="J435" s="14"/>
      <c r="K435" s="12"/>
    </row>
    <row r="436" ht="19.5" customHeight="1">
      <c r="A436" s="12"/>
      <c r="C436" s="12"/>
      <c r="D436" s="13"/>
      <c r="F436" s="14"/>
      <c r="G436" s="14"/>
      <c r="H436" s="14"/>
      <c r="I436" s="14"/>
      <c r="J436" s="14"/>
      <c r="K436" s="12"/>
    </row>
    <row r="437" ht="19.5" customHeight="1">
      <c r="A437" s="12"/>
      <c r="C437" s="12"/>
      <c r="D437" s="13"/>
      <c r="F437" s="14"/>
      <c r="G437" s="14"/>
      <c r="H437" s="14"/>
      <c r="I437" s="14"/>
      <c r="J437" s="14"/>
      <c r="K437" s="12"/>
    </row>
    <row r="438" ht="19.5" customHeight="1">
      <c r="A438" s="12"/>
      <c r="C438" s="12"/>
      <c r="D438" s="13"/>
      <c r="F438" s="14"/>
      <c r="G438" s="14"/>
      <c r="H438" s="14"/>
      <c r="I438" s="14"/>
      <c r="J438" s="14"/>
      <c r="K438" s="12"/>
    </row>
    <row r="439" ht="19.5" customHeight="1">
      <c r="A439" s="12"/>
      <c r="C439" s="12"/>
      <c r="D439" s="13"/>
      <c r="F439" s="14"/>
      <c r="G439" s="14"/>
      <c r="H439" s="14"/>
      <c r="I439" s="14"/>
      <c r="J439" s="14"/>
      <c r="K439" s="12"/>
    </row>
    <row r="440" ht="19.5" customHeight="1">
      <c r="A440" s="12"/>
      <c r="C440" s="12"/>
      <c r="D440" s="13"/>
      <c r="F440" s="14"/>
      <c r="G440" s="14"/>
      <c r="H440" s="14"/>
      <c r="I440" s="14"/>
      <c r="J440" s="14"/>
      <c r="K440" s="12"/>
    </row>
    <row r="441" ht="19.5" customHeight="1">
      <c r="A441" s="12"/>
      <c r="C441" s="12"/>
      <c r="D441" s="13"/>
      <c r="F441" s="14"/>
      <c r="G441" s="14"/>
      <c r="H441" s="14"/>
      <c r="I441" s="14"/>
      <c r="J441" s="14"/>
      <c r="K441" s="12"/>
    </row>
    <row r="442" ht="19.5" customHeight="1">
      <c r="A442" s="12"/>
      <c r="C442" s="12"/>
      <c r="D442" s="13"/>
      <c r="F442" s="14"/>
      <c r="G442" s="14"/>
      <c r="H442" s="14"/>
      <c r="I442" s="14"/>
      <c r="J442" s="14"/>
      <c r="K442" s="12"/>
    </row>
    <row r="443" ht="19.5" customHeight="1">
      <c r="A443" s="12"/>
      <c r="C443" s="12"/>
      <c r="D443" s="13"/>
      <c r="F443" s="14"/>
      <c r="G443" s="14"/>
      <c r="H443" s="14"/>
      <c r="I443" s="14"/>
      <c r="J443" s="14"/>
      <c r="K443" s="12"/>
    </row>
    <row r="444" ht="19.5" customHeight="1">
      <c r="A444" s="12"/>
      <c r="C444" s="12"/>
      <c r="D444" s="13"/>
      <c r="F444" s="14"/>
      <c r="G444" s="14"/>
      <c r="H444" s="14"/>
      <c r="I444" s="14"/>
      <c r="J444" s="14"/>
      <c r="K444" s="12"/>
    </row>
    <row r="445" ht="19.5" customHeight="1">
      <c r="A445" s="12"/>
      <c r="C445" s="12"/>
      <c r="D445" s="13"/>
      <c r="F445" s="14"/>
      <c r="G445" s="14"/>
      <c r="H445" s="14"/>
      <c r="I445" s="14"/>
      <c r="J445" s="14"/>
      <c r="K445" s="12"/>
    </row>
    <row r="446" ht="19.5" customHeight="1">
      <c r="A446" s="12"/>
      <c r="C446" s="12"/>
      <c r="D446" s="13"/>
      <c r="F446" s="14"/>
      <c r="G446" s="14"/>
      <c r="H446" s="14"/>
      <c r="I446" s="14"/>
      <c r="J446" s="14"/>
      <c r="K446" s="12"/>
    </row>
    <row r="447" ht="19.5" customHeight="1">
      <c r="A447" s="12"/>
      <c r="C447" s="12"/>
      <c r="D447" s="13"/>
      <c r="F447" s="14"/>
      <c r="G447" s="14"/>
      <c r="H447" s="14"/>
      <c r="I447" s="14"/>
      <c r="J447" s="14"/>
      <c r="K447" s="12"/>
    </row>
    <row r="448" ht="19.5" customHeight="1">
      <c r="A448" s="12"/>
      <c r="C448" s="12"/>
      <c r="D448" s="13"/>
      <c r="F448" s="14"/>
      <c r="G448" s="14"/>
      <c r="H448" s="14"/>
      <c r="I448" s="14"/>
      <c r="J448" s="14"/>
      <c r="K448" s="12"/>
    </row>
    <row r="449" ht="19.5" customHeight="1">
      <c r="A449" s="12"/>
      <c r="C449" s="12"/>
      <c r="D449" s="13"/>
      <c r="F449" s="14"/>
      <c r="G449" s="14"/>
      <c r="H449" s="14"/>
      <c r="I449" s="14"/>
      <c r="J449" s="14"/>
      <c r="K449" s="12"/>
    </row>
    <row r="450" ht="19.5" customHeight="1">
      <c r="A450" s="12"/>
      <c r="C450" s="12"/>
      <c r="D450" s="13"/>
      <c r="F450" s="14"/>
      <c r="G450" s="14"/>
      <c r="H450" s="14"/>
      <c r="I450" s="14"/>
      <c r="J450" s="14"/>
      <c r="K450" s="12"/>
    </row>
    <row r="451" ht="19.5" customHeight="1">
      <c r="A451" s="12"/>
      <c r="C451" s="12"/>
      <c r="D451" s="13"/>
      <c r="F451" s="14"/>
      <c r="G451" s="14"/>
      <c r="H451" s="14"/>
      <c r="I451" s="14"/>
      <c r="J451" s="14"/>
      <c r="K451" s="12"/>
    </row>
    <row r="452" ht="19.5" customHeight="1">
      <c r="A452" s="12"/>
      <c r="C452" s="12"/>
      <c r="D452" s="13"/>
      <c r="F452" s="14"/>
      <c r="G452" s="14"/>
      <c r="H452" s="14"/>
      <c r="I452" s="14"/>
      <c r="J452" s="14"/>
      <c r="K452" s="12"/>
    </row>
    <row r="453" ht="19.5" customHeight="1">
      <c r="A453" s="12"/>
      <c r="C453" s="12"/>
      <c r="D453" s="13"/>
      <c r="F453" s="14"/>
      <c r="G453" s="14"/>
      <c r="H453" s="14"/>
      <c r="I453" s="14"/>
      <c r="J453" s="14"/>
      <c r="K453" s="12"/>
    </row>
    <row r="454" ht="19.5" customHeight="1">
      <c r="A454" s="12"/>
      <c r="C454" s="12"/>
      <c r="D454" s="13"/>
      <c r="F454" s="14"/>
      <c r="G454" s="14"/>
      <c r="H454" s="14"/>
      <c r="I454" s="14"/>
      <c r="J454" s="14"/>
      <c r="K454" s="12"/>
    </row>
    <row r="455" ht="19.5" customHeight="1">
      <c r="A455" s="12"/>
      <c r="C455" s="12"/>
      <c r="D455" s="13"/>
      <c r="F455" s="14"/>
      <c r="G455" s="14"/>
      <c r="H455" s="14"/>
      <c r="I455" s="14"/>
      <c r="J455" s="14"/>
      <c r="K455" s="12"/>
    </row>
    <row r="456" ht="19.5" customHeight="1">
      <c r="A456" s="12"/>
      <c r="C456" s="12"/>
      <c r="D456" s="13"/>
      <c r="F456" s="14"/>
      <c r="G456" s="14"/>
      <c r="H456" s="14"/>
      <c r="I456" s="14"/>
      <c r="J456" s="14"/>
      <c r="K456" s="12"/>
    </row>
    <row r="457" ht="19.5" customHeight="1">
      <c r="A457" s="12"/>
      <c r="C457" s="12"/>
      <c r="D457" s="13"/>
      <c r="F457" s="14"/>
      <c r="G457" s="14"/>
      <c r="H457" s="14"/>
      <c r="I457" s="14"/>
      <c r="J457" s="14"/>
      <c r="K457" s="12"/>
    </row>
    <row r="458" ht="19.5" customHeight="1">
      <c r="A458" s="12"/>
      <c r="C458" s="12"/>
      <c r="D458" s="13"/>
      <c r="F458" s="14"/>
      <c r="G458" s="14"/>
      <c r="H458" s="14"/>
      <c r="I458" s="14"/>
      <c r="J458" s="14"/>
      <c r="K458" s="12"/>
    </row>
    <row r="459" ht="19.5" customHeight="1">
      <c r="A459" s="12"/>
      <c r="C459" s="12"/>
      <c r="D459" s="13"/>
      <c r="F459" s="14"/>
      <c r="G459" s="14"/>
      <c r="H459" s="14"/>
      <c r="I459" s="14"/>
      <c r="J459" s="14"/>
      <c r="K459" s="12"/>
    </row>
    <row r="460" ht="19.5" customHeight="1">
      <c r="A460" s="12"/>
      <c r="C460" s="12"/>
      <c r="D460" s="13"/>
      <c r="F460" s="14"/>
      <c r="G460" s="14"/>
      <c r="H460" s="14"/>
      <c r="I460" s="14"/>
      <c r="J460" s="14"/>
      <c r="K460" s="12"/>
    </row>
    <row r="461" ht="19.5" customHeight="1">
      <c r="A461" s="12"/>
      <c r="C461" s="12"/>
      <c r="D461" s="13"/>
      <c r="F461" s="14"/>
      <c r="G461" s="14"/>
      <c r="H461" s="14"/>
      <c r="I461" s="14"/>
      <c r="J461" s="14"/>
      <c r="K461" s="12"/>
    </row>
    <row r="462" ht="19.5" customHeight="1">
      <c r="A462" s="12"/>
      <c r="C462" s="12"/>
      <c r="D462" s="13"/>
      <c r="F462" s="14"/>
      <c r="G462" s="14"/>
      <c r="H462" s="14"/>
      <c r="I462" s="14"/>
      <c r="J462" s="14"/>
      <c r="K462" s="12"/>
    </row>
    <row r="463" ht="19.5" customHeight="1">
      <c r="A463" s="12"/>
      <c r="C463" s="12"/>
      <c r="D463" s="13"/>
      <c r="F463" s="14"/>
      <c r="G463" s="14"/>
      <c r="H463" s="14"/>
      <c r="I463" s="14"/>
      <c r="J463" s="14"/>
      <c r="K463" s="12"/>
    </row>
    <row r="464" ht="19.5" customHeight="1">
      <c r="A464" s="12"/>
      <c r="C464" s="12"/>
      <c r="D464" s="13"/>
      <c r="F464" s="14"/>
      <c r="G464" s="14"/>
      <c r="H464" s="14"/>
      <c r="I464" s="14"/>
      <c r="J464" s="14"/>
      <c r="K464" s="12"/>
    </row>
    <row r="465" ht="19.5" customHeight="1">
      <c r="A465" s="12"/>
      <c r="C465" s="12"/>
      <c r="D465" s="13"/>
      <c r="F465" s="14"/>
      <c r="G465" s="14"/>
      <c r="H465" s="14"/>
      <c r="I465" s="14"/>
      <c r="J465" s="14"/>
      <c r="K465" s="12"/>
    </row>
    <row r="466" ht="19.5" customHeight="1">
      <c r="A466" s="12"/>
      <c r="C466" s="12"/>
      <c r="D466" s="13"/>
      <c r="F466" s="14"/>
      <c r="G466" s="14"/>
      <c r="H466" s="14"/>
      <c r="I466" s="14"/>
      <c r="J466" s="14"/>
      <c r="K466" s="12"/>
    </row>
    <row r="467" ht="19.5" customHeight="1">
      <c r="A467" s="12"/>
      <c r="C467" s="12"/>
      <c r="D467" s="13"/>
      <c r="F467" s="14"/>
      <c r="G467" s="14"/>
      <c r="H467" s="14"/>
      <c r="I467" s="14"/>
      <c r="J467" s="14"/>
      <c r="K467" s="12"/>
    </row>
    <row r="468" ht="19.5" customHeight="1">
      <c r="A468" s="12"/>
      <c r="C468" s="12"/>
      <c r="D468" s="13"/>
      <c r="F468" s="14"/>
      <c r="G468" s="14"/>
      <c r="H468" s="14"/>
      <c r="I468" s="14"/>
      <c r="J468" s="14"/>
      <c r="K468" s="12"/>
    </row>
    <row r="469" ht="19.5" customHeight="1">
      <c r="A469" s="12"/>
      <c r="C469" s="12"/>
      <c r="D469" s="13"/>
      <c r="F469" s="14"/>
      <c r="G469" s="14"/>
      <c r="H469" s="14"/>
      <c r="I469" s="14"/>
      <c r="J469" s="14"/>
      <c r="K469" s="12"/>
    </row>
    <row r="470" ht="19.5" customHeight="1">
      <c r="A470" s="12"/>
      <c r="C470" s="12"/>
      <c r="D470" s="13"/>
      <c r="F470" s="14"/>
      <c r="G470" s="14"/>
      <c r="H470" s="14"/>
      <c r="I470" s="14"/>
      <c r="J470" s="14"/>
      <c r="K470" s="12"/>
    </row>
    <row r="471" ht="19.5" customHeight="1">
      <c r="A471" s="12"/>
      <c r="C471" s="12"/>
      <c r="D471" s="13"/>
      <c r="F471" s="14"/>
      <c r="G471" s="14"/>
      <c r="H471" s="14"/>
      <c r="I471" s="14"/>
      <c r="J471" s="14"/>
      <c r="K471" s="12"/>
    </row>
    <row r="472" ht="19.5" customHeight="1">
      <c r="A472" s="12"/>
      <c r="C472" s="12"/>
      <c r="D472" s="13"/>
      <c r="F472" s="14"/>
      <c r="G472" s="14"/>
      <c r="H472" s="14"/>
      <c r="I472" s="14"/>
      <c r="J472" s="14"/>
      <c r="K472" s="12"/>
    </row>
    <row r="473" ht="19.5" customHeight="1">
      <c r="A473" s="12"/>
      <c r="C473" s="12"/>
      <c r="D473" s="13"/>
      <c r="F473" s="14"/>
      <c r="G473" s="14"/>
      <c r="H473" s="14"/>
      <c r="I473" s="14"/>
      <c r="J473" s="14"/>
      <c r="K473" s="12"/>
    </row>
    <row r="474" ht="19.5" customHeight="1">
      <c r="A474" s="12"/>
      <c r="C474" s="12"/>
      <c r="D474" s="13"/>
      <c r="F474" s="14"/>
      <c r="G474" s="14"/>
      <c r="H474" s="14"/>
      <c r="I474" s="14"/>
      <c r="J474" s="14"/>
      <c r="K474" s="12"/>
    </row>
    <row r="475" ht="19.5" customHeight="1">
      <c r="A475" s="12"/>
      <c r="C475" s="12"/>
      <c r="D475" s="13"/>
      <c r="F475" s="14"/>
      <c r="G475" s="14"/>
      <c r="H475" s="14"/>
      <c r="I475" s="14"/>
      <c r="J475" s="14"/>
      <c r="K475" s="12"/>
    </row>
    <row r="476" ht="19.5" customHeight="1">
      <c r="A476" s="12"/>
      <c r="C476" s="12"/>
      <c r="D476" s="13"/>
      <c r="F476" s="14"/>
      <c r="G476" s="14"/>
      <c r="H476" s="14"/>
      <c r="I476" s="14"/>
      <c r="J476" s="14"/>
      <c r="K476" s="12"/>
    </row>
    <row r="477" ht="19.5" customHeight="1">
      <c r="A477" s="12"/>
      <c r="C477" s="12"/>
      <c r="D477" s="13"/>
      <c r="F477" s="14"/>
      <c r="G477" s="14"/>
      <c r="H477" s="14"/>
      <c r="I477" s="14"/>
      <c r="J477" s="14"/>
      <c r="K477" s="12"/>
    </row>
    <row r="478" ht="19.5" customHeight="1">
      <c r="A478" s="12"/>
      <c r="C478" s="12"/>
      <c r="D478" s="13"/>
      <c r="F478" s="14"/>
      <c r="G478" s="14"/>
      <c r="H478" s="14"/>
      <c r="I478" s="14"/>
      <c r="J478" s="14"/>
      <c r="K478" s="12"/>
    </row>
    <row r="479" ht="19.5" customHeight="1">
      <c r="A479" s="12"/>
      <c r="C479" s="12"/>
      <c r="D479" s="13"/>
      <c r="F479" s="14"/>
      <c r="G479" s="14"/>
      <c r="H479" s="14"/>
      <c r="I479" s="14"/>
      <c r="J479" s="14"/>
      <c r="K479" s="12"/>
    </row>
    <row r="480" ht="19.5" customHeight="1">
      <c r="A480" s="12"/>
      <c r="C480" s="12"/>
      <c r="D480" s="13"/>
      <c r="F480" s="14"/>
      <c r="G480" s="14"/>
      <c r="H480" s="14"/>
      <c r="I480" s="14"/>
      <c r="J480" s="14"/>
      <c r="K480" s="12"/>
    </row>
    <row r="481" ht="19.5" customHeight="1">
      <c r="A481" s="12"/>
      <c r="C481" s="12"/>
      <c r="D481" s="13"/>
      <c r="F481" s="14"/>
      <c r="G481" s="14"/>
      <c r="H481" s="14"/>
      <c r="I481" s="14"/>
      <c r="J481" s="14"/>
      <c r="K481" s="12"/>
    </row>
    <row r="482" ht="19.5" customHeight="1">
      <c r="A482" s="12"/>
      <c r="C482" s="12"/>
      <c r="D482" s="13"/>
      <c r="F482" s="14"/>
      <c r="G482" s="14"/>
      <c r="H482" s="14"/>
      <c r="I482" s="14"/>
      <c r="J482" s="14"/>
      <c r="K482" s="12"/>
    </row>
    <row r="483" ht="19.5" customHeight="1">
      <c r="A483" s="12"/>
      <c r="C483" s="12"/>
      <c r="D483" s="13"/>
      <c r="F483" s="14"/>
      <c r="G483" s="14"/>
      <c r="H483" s="14"/>
      <c r="I483" s="14"/>
      <c r="J483" s="14"/>
      <c r="K483" s="12"/>
    </row>
    <row r="484" ht="19.5" customHeight="1">
      <c r="A484" s="12"/>
      <c r="C484" s="12"/>
      <c r="D484" s="13"/>
      <c r="F484" s="14"/>
      <c r="G484" s="14"/>
      <c r="H484" s="14"/>
      <c r="I484" s="14"/>
      <c r="J484" s="14"/>
      <c r="K484" s="12"/>
    </row>
    <row r="485" ht="19.5" customHeight="1">
      <c r="A485" s="12"/>
      <c r="C485" s="12"/>
      <c r="D485" s="13"/>
      <c r="F485" s="14"/>
      <c r="G485" s="14"/>
      <c r="H485" s="14"/>
      <c r="I485" s="14"/>
      <c r="J485" s="14"/>
      <c r="K485" s="12"/>
    </row>
    <row r="486" ht="19.5" customHeight="1">
      <c r="A486" s="12"/>
      <c r="C486" s="12"/>
      <c r="D486" s="13"/>
      <c r="F486" s="14"/>
      <c r="G486" s="14"/>
      <c r="H486" s="14"/>
      <c r="I486" s="14"/>
      <c r="J486" s="14"/>
      <c r="K486" s="12"/>
    </row>
    <row r="487" ht="19.5" customHeight="1">
      <c r="A487" s="12"/>
      <c r="C487" s="12"/>
      <c r="D487" s="13"/>
      <c r="F487" s="14"/>
      <c r="G487" s="14"/>
      <c r="H487" s="14"/>
      <c r="I487" s="14"/>
      <c r="J487" s="14"/>
      <c r="K487" s="12"/>
    </row>
    <row r="488" ht="19.5" customHeight="1">
      <c r="A488" s="12"/>
      <c r="C488" s="12"/>
      <c r="D488" s="13"/>
      <c r="F488" s="14"/>
      <c r="G488" s="14"/>
      <c r="H488" s="14"/>
      <c r="I488" s="14"/>
      <c r="J488" s="14"/>
      <c r="K488" s="12"/>
    </row>
    <row r="489" ht="19.5" customHeight="1">
      <c r="A489" s="12"/>
      <c r="C489" s="12"/>
      <c r="D489" s="13"/>
      <c r="F489" s="14"/>
      <c r="G489" s="14"/>
      <c r="H489" s="14"/>
      <c r="I489" s="14"/>
      <c r="J489" s="14"/>
      <c r="K489" s="12"/>
    </row>
    <row r="490" ht="19.5" customHeight="1">
      <c r="A490" s="12"/>
      <c r="C490" s="12"/>
      <c r="D490" s="13"/>
      <c r="F490" s="14"/>
      <c r="G490" s="14"/>
      <c r="H490" s="14"/>
      <c r="I490" s="14"/>
      <c r="J490" s="14"/>
      <c r="K490" s="12"/>
    </row>
    <row r="491" ht="19.5" customHeight="1">
      <c r="A491" s="12"/>
      <c r="C491" s="12"/>
      <c r="D491" s="13"/>
      <c r="F491" s="14"/>
      <c r="G491" s="14"/>
      <c r="H491" s="14"/>
      <c r="I491" s="14"/>
      <c r="J491" s="14"/>
      <c r="K491" s="12"/>
    </row>
    <row r="492" ht="19.5" customHeight="1">
      <c r="A492" s="12"/>
      <c r="C492" s="12"/>
      <c r="D492" s="13"/>
      <c r="F492" s="14"/>
      <c r="G492" s="14"/>
      <c r="H492" s="14"/>
      <c r="I492" s="14"/>
      <c r="J492" s="14"/>
      <c r="K492" s="12"/>
    </row>
    <row r="493" ht="19.5" customHeight="1">
      <c r="A493" s="12"/>
      <c r="C493" s="12"/>
      <c r="D493" s="13"/>
      <c r="F493" s="14"/>
      <c r="G493" s="14"/>
      <c r="H493" s="14"/>
      <c r="I493" s="14"/>
      <c r="J493" s="14"/>
      <c r="K493" s="12"/>
    </row>
    <row r="494" ht="19.5" customHeight="1">
      <c r="A494" s="12"/>
      <c r="C494" s="12"/>
      <c r="D494" s="13"/>
      <c r="F494" s="14"/>
      <c r="G494" s="14"/>
      <c r="H494" s="14"/>
      <c r="I494" s="14"/>
      <c r="J494" s="14"/>
      <c r="K494" s="12"/>
    </row>
    <row r="495" ht="19.5" customHeight="1">
      <c r="A495" s="12"/>
      <c r="C495" s="12"/>
      <c r="D495" s="13"/>
      <c r="F495" s="14"/>
      <c r="G495" s="14"/>
      <c r="H495" s="14"/>
      <c r="I495" s="14"/>
      <c r="J495" s="14"/>
      <c r="K495" s="12"/>
    </row>
    <row r="496" ht="19.5" customHeight="1">
      <c r="A496" s="12"/>
      <c r="C496" s="12"/>
      <c r="D496" s="13"/>
      <c r="F496" s="14"/>
      <c r="G496" s="14"/>
      <c r="H496" s="14"/>
      <c r="I496" s="14"/>
      <c r="J496" s="14"/>
      <c r="K496" s="12"/>
    </row>
    <row r="497" ht="19.5" customHeight="1">
      <c r="A497" s="12"/>
      <c r="C497" s="12"/>
      <c r="D497" s="13"/>
      <c r="F497" s="14"/>
      <c r="G497" s="14"/>
      <c r="H497" s="14"/>
      <c r="I497" s="14"/>
      <c r="J497" s="14"/>
      <c r="K497" s="12"/>
    </row>
    <row r="498" ht="19.5" customHeight="1">
      <c r="A498" s="12"/>
      <c r="C498" s="12"/>
      <c r="D498" s="13"/>
      <c r="F498" s="14"/>
      <c r="G498" s="14"/>
      <c r="H498" s="14"/>
      <c r="I498" s="14"/>
      <c r="J498" s="14"/>
      <c r="K498" s="12"/>
    </row>
    <row r="499" ht="19.5" customHeight="1">
      <c r="A499" s="12"/>
      <c r="C499" s="12"/>
      <c r="D499" s="13"/>
      <c r="F499" s="14"/>
      <c r="G499" s="14"/>
      <c r="H499" s="14"/>
      <c r="I499" s="14"/>
      <c r="J499" s="14"/>
      <c r="K499" s="12"/>
    </row>
    <row r="500" ht="19.5" customHeight="1">
      <c r="A500" s="12"/>
      <c r="C500" s="12"/>
      <c r="D500" s="13"/>
      <c r="F500" s="14"/>
      <c r="G500" s="14"/>
      <c r="H500" s="14"/>
      <c r="I500" s="14"/>
      <c r="J500" s="14"/>
      <c r="K500" s="12"/>
    </row>
    <row r="501" ht="19.5" customHeight="1">
      <c r="A501" s="12"/>
      <c r="C501" s="12"/>
      <c r="D501" s="13"/>
      <c r="F501" s="14"/>
      <c r="G501" s="14"/>
      <c r="H501" s="14"/>
      <c r="I501" s="14"/>
      <c r="J501" s="14"/>
      <c r="K501" s="12"/>
    </row>
    <row r="502" ht="19.5" customHeight="1">
      <c r="A502" s="12"/>
      <c r="C502" s="12"/>
      <c r="D502" s="13"/>
      <c r="F502" s="14"/>
      <c r="G502" s="14"/>
      <c r="H502" s="14"/>
      <c r="I502" s="14"/>
      <c r="J502" s="14"/>
      <c r="K502" s="12"/>
    </row>
    <row r="503" ht="19.5" customHeight="1">
      <c r="A503" s="12"/>
      <c r="C503" s="12"/>
      <c r="D503" s="13"/>
      <c r="F503" s="14"/>
      <c r="G503" s="14"/>
      <c r="H503" s="14"/>
      <c r="I503" s="14"/>
      <c r="J503" s="14"/>
      <c r="K503" s="12"/>
    </row>
    <row r="504" ht="19.5" customHeight="1">
      <c r="A504" s="12"/>
      <c r="C504" s="12"/>
      <c r="D504" s="13"/>
      <c r="F504" s="14"/>
      <c r="G504" s="14"/>
      <c r="H504" s="14"/>
      <c r="I504" s="14"/>
      <c r="J504" s="14"/>
      <c r="K504" s="12"/>
    </row>
    <row r="505" ht="19.5" customHeight="1">
      <c r="A505" s="12"/>
      <c r="C505" s="12"/>
      <c r="D505" s="13"/>
      <c r="F505" s="14"/>
      <c r="G505" s="14"/>
      <c r="H505" s="14"/>
      <c r="I505" s="14"/>
      <c r="J505" s="14"/>
      <c r="K505" s="12"/>
    </row>
    <row r="506" ht="19.5" customHeight="1">
      <c r="A506" s="12"/>
      <c r="C506" s="12"/>
      <c r="D506" s="13"/>
      <c r="F506" s="14"/>
      <c r="G506" s="14"/>
      <c r="H506" s="14"/>
      <c r="I506" s="14"/>
      <c r="J506" s="14"/>
      <c r="K506" s="12"/>
    </row>
    <row r="507" ht="19.5" customHeight="1">
      <c r="A507" s="12"/>
      <c r="C507" s="12"/>
      <c r="D507" s="13"/>
      <c r="F507" s="14"/>
      <c r="G507" s="14"/>
      <c r="H507" s="14"/>
      <c r="I507" s="14"/>
      <c r="J507" s="14"/>
      <c r="K507" s="12"/>
    </row>
    <row r="508" ht="19.5" customHeight="1">
      <c r="A508" s="12"/>
      <c r="C508" s="12"/>
      <c r="D508" s="13"/>
      <c r="F508" s="14"/>
      <c r="G508" s="14"/>
      <c r="H508" s="14"/>
      <c r="I508" s="14"/>
      <c r="J508" s="14"/>
      <c r="K508" s="12"/>
    </row>
    <row r="509" ht="19.5" customHeight="1">
      <c r="A509" s="12"/>
      <c r="C509" s="12"/>
      <c r="D509" s="13"/>
      <c r="F509" s="14"/>
      <c r="G509" s="14"/>
      <c r="H509" s="14"/>
      <c r="I509" s="14"/>
      <c r="J509" s="14"/>
      <c r="K509" s="12"/>
    </row>
    <row r="510" ht="19.5" customHeight="1">
      <c r="A510" s="12"/>
      <c r="C510" s="12"/>
      <c r="D510" s="13"/>
      <c r="F510" s="14"/>
      <c r="G510" s="14"/>
      <c r="H510" s="14"/>
      <c r="I510" s="14"/>
      <c r="J510" s="14"/>
      <c r="K510" s="12"/>
    </row>
    <row r="511" ht="19.5" customHeight="1">
      <c r="A511" s="12"/>
      <c r="C511" s="12"/>
      <c r="D511" s="13"/>
      <c r="F511" s="14"/>
      <c r="G511" s="14"/>
      <c r="H511" s="14"/>
      <c r="I511" s="14"/>
      <c r="J511" s="14"/>
      <c r="K511" s="12"/>
    </row>
    <row r="512" ht="19.5" customHeight="1">
      <c r="A512" s="12"/>
      <c r="C512" s="12"/>
      <c r="D512" s="13"/>
      <c r="F512" s="14"/>
      <c r="G512" s="14"/>
      <c r="H512" s="14"/>
      <c r="I512" s="14"/>
      <c r="J512" s="14"/>
      <c r="K512" s="12"/>
    </row>
    <row r="513" ht="19.5" customHeight="1">
      <c r="A513" s="12"/>
      <c r="C513" s="12"/>
      <c r="D513" s="13"/>
      <c r="F513" s="14"/>
      <c r="G513" s="14"/>
      <c r="H513" s="14"/>
      <c r="I513" s="14"/>
      <c r="J513" s="14"/>
      <c r="K513" s="12"/>
    </row>
    <row r="514" ht="19.5" customHeight="1">
      <c r="A514" s="12"/>
      <c r="C514" s="12"/>
      <c r="D514" s="13"/>
      <c r="F514" s="14"/>
      <c r="G514" s="14"/>
      <c r="H514" s="14"/>
      <c r="I514" s="14"/>
      <c r="J514" s="14"/>
      <c r="K514" s="12"/>
    </row>
    <row r="515" ht="19.5" customHeight="1">
      <c r="A515" s="12"/>
      <c r="C515" s="12"/>
      <c r="D515" s="13"/>
      <c r="F515" s="14"/>
      <c r="G515" s="14"/>
      <c r="H515" s="14"/>
      <c r="I515" s="14"/>
      <c r="J515" s="14"/>
      <c r="K515" s="12"/>
    </row>
    <row r="516" ht="19.5" customHeight="1">
      <c r="A516" s="12"/>
      <c r="C516" s="12"/>
      <c r="D516" s="13"/>
      <c r="F516" s="14"/>
      <c r="G516" s="14"/>
      <c r="H516" s="14"/>
      <c r="I516" s="14"/>
      <c r="J516" s="14"/>
      <c r="K516" s="12"/>
    </row>
    <row r="517" ht="19.5" customHeight="1">
      <c r="A517" s="12"/>
      <c r="C517" s="12"/>
      <c r="D517" s="13"/>
      <c r="F517" s="14"/>
      <c r="G517" s="14"/>
      <c r="H517" s="14"/>
      <c r="I517" s="14"/>
      <c r="J517" s="14"/>
      <c r="K517" s="12"/>
    </row>
    <row r="518" ht="19.5" customHeight="1">
      <c r="A518" s="12"/>
      <c r="C518" s="12"/>
      <c r="D518" s="13"/>
      <c r="F518" s="14"/>
      <c r="G518" s="14"/>
      <c r="H518" s="14"/>
      <c r="I518" s="14"/>
      <c r="J518" s="14"/>
      <c r="K518" s="12"/>
    </row>
    <row r="519" ht="19.5" customHeight="1">
      <c r="A519" s="12"/>
      <c r="C519" s="12"/>
      <c r="D519" s="13"/>
      <c r="F519" s="14"/>
      <c r="G519" s="14"/>
      <c r="H519" s="14"/>
      <c r="I519" s="14"/>
      <c r="J519" s="14"/>
      <c r="K519" s="12"/>
    </row>
    <row r="520" ht="19.5" customHeight="1">
      <c r="A520" s="12"/>
      <c r="C520" s="12"/>
      <c r="D520" s="13"/>
      <c r="F520" s="14"/>
      <c r="G520" s="14"/>
      <c r="H520" s="14"/>
      <c r="I520" s="14"/>
      <c r="J520" s="14"/>
      <c r="K520" s="12"/>
    </row>
    <row r="521" ht="19.5" customHeight="1">
      <c r="A521" s="12"/>
      <c r="C521" s="12"/>
      <c r="D521" s="13"/>
      <c r="F521" s="14"/>
      <c r="G521" s="14"/>
      <c r="H521" s="14"/>
      <c r="I521" s="14"/>
      <c r="J521" s="14"/>
      <c r="K521" s="12"/>
    </row>
    <row r="522" ht="19.5" customHeight="1">
      <c r="A522" s="12"/>
      <c r="C522" s="12"/>
      <c r="D522" s="13"/>
      <c r="F522" s="14"/>
      <c r="G522" s="14"/>
      <c r="H522" s="14"/>
      <c r="I522" s="14"/>
      <c r="J522" s="14"/>
      <c r="K522" s="12"/>
    </row>
    <row r="523" ht="19.5" customHeight="1">
      <c r="A523" s="12"/>
      <c r="C523" s="12"/>
      <c r="D523" s="13"/>
      <c r="F523" s="14"/>
      <c r="G523" s="14"/>
      <c r="H523" s="14"/>
      <c r="I523" s="14"/>
      <c r="J523" s="14"/>
      <c r="K523" s="12"/>
    </row>
    <row r="524" ht="19.5" customHeight="1">
      <c r="A524" s="12"/>
      <c r="C524" s="12"/>
      <c r="D524" s="13"/>
      <c r="F524" s="14"/>
      <c r="G524" s="14"/>
      <c r="H524" s="14"/>
      <c r="I524" s="14"/>
      <c r="J524" s="14"/>
      <c r="K524" s="12"/>
    </row>
    <row r="525" ht="19.5" customHeight="1">
      <c r="A525" s="12"/>
      <c r="C525" s="12"/>
      <c r="D525" s="13"/>
      <c r="F525" s="14"/>
      <c r="G525" s="14"/>
      <c r="H525" s="14"/>
      <c r="I525" s="14"/>
      <c r="J525" s="14"/>
      <c r="K525" s="12"/>
    </row>
    <row r="526" ht="19.5" customHeight="1">
      <c r="A526" s="12"/>
      <c r="C526" s="12"/>
      <c r="D526" s="13"/>
      <c r="F526" s="14"/>
      <c r="G526" s="14"/>
      <c r="H526" s="14"/>
      <c r="I526" s="14"/>
      <c r="J526" s="14"/>
      <c r="K526" s="12"/>
    </row>
    <row r="527" ht="19.5" customHeight="1">
      <c r="A527" s="12"/>
      <c r="C527" s="12"/>
      <c r="D527" s="13"/>
      <c r="F527" s="14"/>
      <c r="G527" s="14"/>
      <c r="H527" s="14"/>
      <c r="I527" s="14"/>
      <c r="J527" s="14"/>
      <c r="K527" s="12"/>
    </row>
    <row r="528" ht="19.5" customHeight="1">
      <c r="A528" s="12"/>
      <c r="C528" s="12"/>
      <c r="D528" s="13"/>
      <c r="F528" s="14"/>
      <c r="G528" s="14"/>
      <c r="H528" s="14"/>
      <c r="I528" s="14"/>
      <c r="J528" s="14"/>
      <c r="K528" s="12"/>
    </row>
    <row r="529" ht="19.5" customHeight="1">
      <c r="A529" s="12"/>
      <c r="C529" s="12"/>
      <c r="D529" s="13"/>
      <c r="F529" s="14"/>
      <c r="G529" s="14"/>
      <c r="H529" s="14"/>
      <c r="I529" s="14"/>
      <c r="J529" s="14"/>
      <c r="K529" s="12"/>
    </row>
    <row r="530" ht="19.5" customHeight="1">
      <c r="A530" s="12"/>
      <c r="C530" s="12"/>
      <c r="D530" s="13"/>
      <c r="F530" s="14"/>
      <c r="G530" s="14"/>
      <c r="H530" s="14"/>
      <c r="I530" s="14"/>
      <c r="J530" s="14"/>
      <c r="K530" s="12"/>
    </row>
    <row r="531" ht="19.5" customHeight="1">
      <c r="A531" s="12"/>
      <c r="C531" s="12"/>
      <c r="D531" s="13"/>
      <c r="F531" s="14"/>
      <c r="G531" s="14"/>
      <c r="H531" s="14"/>
      <c r="I531" s="14"/>
      <c r="J531" s="14"/>
      <c r="K531" s="12"/>
    </row>
    <row r="532" ht="19.5" customHeight="1">
      <c r="A532" s="12"/>
      <c r="C532" s="12"/>
      <c r="D532" s="13"/>
      <c r="F532" s="14"/>
      <c r="G532" s="14"/>
      <c r="H532" s="14"/>
      <c r="I532" s="14"/>
      <c r="J532" s="14"/>
      <c r="K532" s="12"/>
    </row>
    <row r="533" ht="19.5" customHeight="1">
      <c r="A533" s="12"/>
      <c r="C533" s="12"/>
      <c r="D533" s="13"/>
      <c r="F533" s="14"/>
      <c r="G533" s="14"/>
      <c r="H533" s="14"/>
      <c r="I533" s="14"/>
      <c r="J533" s="14"/>
      <c r="K533" s="12"/>
    </row>
    <row r="534" ht="19.5" customHeight="1">
      <c r="A534" s="12"/>
      <c r="C534" s="12"/>
      <c r="D534" s="13"/>
      <c r="F534" s="14"/>
      <c r="G534" s="14"/>
      <c r="H534" s="14"/>
      <c r="I534" s="14"/>
      <c r="J534" s="14"/>
      <c r="K534" s="12"/>
    </row>
    <row r="535" ht="19.5" customHeight="1">
      <c r="A535" s="12"/>
      <c r="C535" s="12"/>
      <c r="D535" s="13"/>
      <c r="F535" s="14"/>
      <c r="G535" s="14"/>
      <c r="H535" s="14"/>
      <c r="I535" s="14"/>
      <c r="J535" s="14"/>
      <c r="K535" s="12"/>
    </row>
    <row r="536" ht="19.5" customHeight="1">
      <c r="A536" s="12"/>
      <c r="C536" s="12"/>
      <c r="D536" s="13"/>
      <c r="F536" s="14"/>
      <c r="G536" s="14"/>
      <c r="H536" s="14"/>
      <c r="I536" s="14"/>
      <c r="J536" s="14"/>
      <c r="K536" s="12"/>
    </row>
    <row r="537" ht="19.5" customHeight="1">
      <c r="A537" s="12"/>
      <c r="C537" s="12"/>
      <c r="D537" s="13"/>
      <c r="F537" s="14"/>
      <c r="G537" s="14"/>
      <c r="H537" s="14"/>
      <c r="I537" s="14"/>
      <c r="J537" s="14"/>
      <c r="K537" s="12"/>
    </row>
    <row r="538" ht="19.5" customHeight="1">
      <c r="A538" s="12"/>
      <c r="C538" s="12"/>
      <c r="D538" s="13"/>
      <c r="F538" s="14"/>
      <c r="G538" s="14"/>
      <c r="H538" s="14"/>
      <c r="I538" s="14"/>
      <c r="J538" s="14"/>
      <c r="K538" s="12"/>
    </row>
    <row r="539" ht="19.5" customHeight="1">
      <c r="A539" s="12"/>
      <c r="C539" s="12"/>
      <c r="D539" s="13"/>
      <c r="F539" s="14"/>
      <c r="G539" s="14"/>
      <c r="H539" s="14"/>
      <c r="I539" s="14"/>
      <c r="J539" s="14"/>
      <c r="K539" s="12"/>
    </row>
    <row r="540" ht="19.5" customHeight="1">
      <c r="A540" s="12"/>
      <c r="C540" s="12"/>
      <c r="D540" s="13"/>
      <c r="F540" s="14"/>
      <c r="G540" s="14"/>
      <c r="H540" s="14"/>
      <c r="I540" s="14"/>
      <c r="J540" s="14"/>
      <c r="K540" s="12"/>
    </row>
    <row r="541" ht="19.5" customHeight="1">
      <c r="A541" s="12"/>
      <c r="C541" s="12"/>
      <c r="D541" s="13"/>
      <c r="F541" s="14"/>
      <c r="G541" s="14"/>
      <c r="H541" s="14"/>
      <c r="I541" s="14"/>
      <c r="J541" s="14"/>
      <c r="K541" s="12"/>
    </row>
    <row r="542" ht="19.5" customHeight="1">
      <c r="A542" s="12"/>
      <c r="C542" s="12"/>
      <c r="D542" s="13"/>
      <c r="F542" s="14"/>
      <c r="G542" s="14"/>
      <c r="H542" s="14"/>
      <c r="I542" s="14"/>
      <c r="J542" s="14"/>
      <c r="K542" s="12"/>
    </row>
    <row r="543" ht="19.5" customHeight="1">
      <c r="A543" s="12"/>
      <c r="C543" s="12"/>
      <c r="D543" s="13"/>
      <c r="F543" s="14"/>
      <c r="G543" s="14"/>
      <c r="H543" s="14"/>
      <c r="I543" s="14"/>
      <c r="J543" s="14"/>
      <c r="K543" s="12"/>
    </row>
    <row r="544" ht="19.5" customHeight="1">
      <c r="A544" s="12"/>
      <c r="C544" s="12"/>
      <c r="D544" s="13"/>
      <c r="F544" s="14"/>
      <c r="G544" s="14"/>
      <c r="H544" s="14"/>
      <c r="I544" s="14"/>
      <c r="J544" s="14"/>
      <c r="K544" s="12"/>
    </row>
    <row r="545" ht="19.5" customHeight="1">
      <c r="A545" s="12"/>
      <c r="C545" s="12"/>
      <c r="D545" s="13"/>
      <c r="F545" s="14"/>
      <c r="G545" s="14"/>
      <c r="H545" s="14"/>
      <c r="I545" s="14"/>
      <c r="J545" s="14"/>
      <c r="K545" s="12"/>
    </row>
    <row r="546" ht="19.5" customHeight="1">
      <c r="A546" s="12"/>
      <c r="C546" s="12"/>
      <c r="D546" s="13"/>
      <c r="F546" s="14"/>
      <c r="G546" s="14"/>
      <c r="H546" s="14"/>
      <c r="I546" s="14"/>
      <c r="J546" s="14"/>
      <c r="K546" s="12"/>
    </row>
    <row r="547" ht="19.5" customHeight="1">
      <c r="A547" s="12"/>
      <c r="C547" s="12"/>
      <c r="D547" s="13"/>
      <c r="F547" s="14"/>
      <c r="G547" s="14"/>
      <c r="H547" s="14"/>
      <c r="I547" s="14"/>
      <c r="J547" s="14"/>
      <c r="K547" s="12"/>
    </row>
    <row r="548" ht="19.5" customHeight="1">
      <c r="A548" s="12"/>
      <c r="C548" s="12"/>
      <c r="D548" s="13"/>
      <c r="F548" s="14"/>
      <c r="G548" s="14"/>
      <c r="H548" s="14"/>
      <c r="I548" s="14"/>
      <c r="J548" s="14"/>
      <c r="K548" s="12"/>
    </row>
    <row r="549" ht="19.5" customHeight="1">
      <c r="A549" s="12"/>
      <c r="C549" s="12"/>
      <c r="D549" s="13"/>
      <c r="F549" s="14"/>
      <c r="G549" s="14"/>
      <c r="H549" s="14"/>
      <c r="I549" s="14"/>
      <c r="J549" s="14"/>
      <c r="K549" s="12"/>
    </row>
    <row r="550" ht="19.5" customHeight="1">
      <c r="A550" s="12"/>
      <c r="C550" s="12"/>
      <c r="D550" s="13"/>
      <c r="F550" s="14"/>
      <c r="G550" s="14"/>
      <c r="H550" s="14"/>
      <c r="I550" s="14"/>
      <c r="J550" s="14"/>
      <c r="K550" s="12"/>
    </row>
    <row r="551" ht="19.5" customHeight="1">
      <c r="A551" s="12"/>
      <c r="C551" s="12"/>
      <c r="D551" s="13"/>
      <c r="F551" s="14"/>
      <c r="G551" s="14"/>
      <c r="H551" s="14"/>
      <c r="I551" s="14"/>
      <c r="J551" s="14"/>
      <c r="K551" s="12"/>
    </row>
    <row r="552" ht="19.5" customHeight="1">
      <c r="A552" s="12"/>
      <c r="C552" s="12"/>
      <c r="D552" s="13"/>
      <c r="F552" s="14"/>
      <c r="G552" s="14"/>
      <c r="H552" s="14"/>
      <c r="I552" s="14"/>
      <c r="J552" s="14"/>
      <c r="K552" s="12"/>
    </row>
    <row r="553" ht="19.5" customHeight="1">
      <c r="A553" s="12"/>
      <c r="C553" s="12"/>
      <c r="D553" s="13"/>
      <c r="F553" s="14"/>
      <c r="G553" s="14"/>
      <c r="H553" s="14"/>
      <c r="I553" s="14"/>
      <c r="J553" s="14"/>
      <c r="K553" s="12"/>
    </row>
    <row r="554" ht="19.5" customHeight="1">
      <c r="A554" s="12"/>
      <c r="C554" s="12"/>
      <c r="D554" s="13"/>
      <c r="F554" s="14"/>
      <c r="G554" s="14"/>
      <c r="H554" s="14"/>
      <c r="I554" s="14"/>
      <c r="J554" s="14"/>
      <c r="K554" s="12"/>
    </row>
    <row r="555" ht="19.5" customHeight="1">
      <c r="A555" s="12"/>
      <c r="C555" s="12"/>
      <c r="D555" s="13"/>
      <c r="F555" s="14"/>
      <c r="G555" s="14"/>
      <c r="H555" s="14"/>
      <c r="I555" s="14"/>
      <c r="J555" s="14"/>
      <c r="K555" s="12"/>
    </row>
    <row r="556" ht="19.5" customHeight="1">
      <c r="A556" s="12"/>
      <c r="C556" s="12"/>
      <c r="D556" s="13"/>
      <c r="F556" s="14"/>
      <c r="G556" s="14"/>
      <c r="H556" s="14"/>
      <c r="I556" s="14"/>
      <c r="J556" s="14"/>
      <c r="K556" s="12"/>
    </row>
    <row r="557" ht="19.5" customHeight="1">
      <c r="A557" s="12"/>
      <c r="C557" s="12"/>
      <c r="D557" s="13"/>
      <c r="F557" s="14"/>
      <c r="G557" s="14"/>
      <c r="H557" s="14"/>
      <c r="I557" s="14"/>
      <c r="J557" s="14"/>
      <c r="K557" s="12"/>
    </row>
    <row r="558" ht="19.5" customHeight="1">
      <c r="A558" s="12"/>
      <c r="C558" s="12"/>
      <c r="D558" s="13"/>
      <c r="F558" s="14"/>
      <c r="G558" s="14"/>
      <c r="H558" s="14"/>
      <c r="I558" s="14"/>
      <c r="J558" s="14"/>
      <c r="K558" s="12"/>
    </row>
    <row r="559" ht="19.5" customHeight="1">
      <c r="A559" s="12"/>
      <c r="C559" s="12"/>
      <c r="D559" s="13"/>
      <c r="F559" s="14"/>
      <c r="G559" s="14"/>
      <c r="H559" s="14"/>
      <c r="I559" s="14"/>
      <c r="J559" s="14"/>
      <c r="K559" s="12"/>
    </row>
    <row r="560" ht="19.5" customHeight="1">
      <c r="A560" s="12"/>
      <c r="C560" s="12"/>
      <c r="D560" s="13"/>
      <c r="F560" s="14"/>
      <c r="G560" s="14"/>
      <c r="H560" s="14"/>
      <c r="I560" s="14"/>
      <c r="J560" s="14"/>
      <c r="K560" s="12"/>
    </row>
    <row r="561" ht="19.5" customHeight="1">
      <c r="A561" s="12"/>
      <c r="C561" s="12"/>
      <c r="D561" s="13"/>
      <c r="F561" s="14"/>
      <c r="G561" s="14"/>
      <c r="H561" s="14"/>
      <c r="I561" s="14"/>
      <c r="J561" s="14"/>
      <c r="K561" s="12"/>
    </row>
    <row r="562" ht="19.5" customHeight="1">
      <c r="A562" s="12"/>
      <c r="C562" s="12"/>
      <c r="D562" s="13"/>
      <c r="F562" s="14"/>
      <c r="G562" s="14"/>
      <c r="H562" s="14"/>
      <c r="I562" s="14"/>
      <c r="J562" s="14"/>
      <c r="K562" s="12"/>
    </row>
    <row r="563" ht="19.5" customHeight="1">
      <c r="A563" s="12"/>
      <c r="C563" s="12"/>
      <c r="D563" s="13"/>
      <c r="F563" s="14"/>
      <c r="G563" s="14"/>
      <c r="H563" s="14"/>
      <c r="I563" s="14"/>
      <c r="J563" s="14"/>
      <c r="K563" s="12"/>
    </row>
    <row r="564" ht="19.5" customHeight="1">
      <c r="A564" s="12"/>
      <c r="C564" s="12"/>
      <c r="D564" s="13"/>
      <c r="F564" s="14"/>
      <c r="G564" s="14"/>
      <c r="H564" s="14"/>
      <c r="I564" s="14"/>
      <c r="J564" s="14"/>
      <c r="K564" s="12"/>
    </row>
    <row r="565" ht="19.5" customHeight="1">
      <c r="A565" s="12"/>
      <c r="C565" s="12"/>
      <c r="D565" s="13"/>
      <c r="F565" s="14"/>
      <c r="G565" s="14"/>
      <c r="H565" s="14"/>
      <c r="I565" s="14"/>
      <c r="J565" s="14"/>
      <c r="K565" s="12"/>
    </row>
    <row r="566" ht="19.5" customHeight="1">
      <c r="A566" s="12"/>
      <c r="C566" s="12"/>
      <c r="D566" s="13"/>
      <c r="F566" s="14"/>
      <c r="G566" s="14"/>
      <c r="H566" s="14"/>
      <c r="I566" s="14"/>
      <c r="J566" s="14"/>
      <c r="K566" s="12"/>
    </row>
    <row r="567" ht="19.5" customHeight="1">
      <c r="A567" s="12"/>
      <c r="C567" s="12"/>
      <c r="D567" s="13"/>
      <c r="F567" s="14"/>
      <c r="G567" s="14"/>
      <c r="H567" s="14"/>
      <c r="I567" s="14"/>
      <c r="J567" s="14"/>
      <c r="K567" s="12"/>
    </row>
    <row r="568" ht="19.5" customHeight="1">
      <c r="A568" s="12"/>
      <c r="C568" s="12"/>
      <c r="D568" s="13"/>
      <c r="F568" s="14"/>
      <c r="G568" s="14"/>
      <c r="H568" s="14"/>
      <c r="I568" s="14"/>
      <c r="J568" s="14"/>
      <c r="K568" s="12"/>
    </row>
    <row r="569" ht="19.5" customHeight="1">
      <c r="A569" s="12"/>
      <c r="C569" s="12"/>
      <c r="D569" s="13"/>
      <c r="F569" s="14"/>
      <c r="G569" s="14"/>
      <c r="H569" s="14"/>
      <c r="I569" s="14"/>
      <c r="J569" s="14"/>
      <c r="K569" s="12"/>
    </row>
    <row r="570" ht="19.5" customHeight="1">
      <c r="A570" s="12"/>
      <c r="C570" s="12"/>
      <c r="D570" s="13"/>
      <c r="F570" s="14"/>
      <c r="G570" s="14"/>
      <c r="H570" s="14"/>
      <c r="I570" s="14"/>
      <c r="J570" s="14"/>
      <c r="K570" s="12"/>
    </row>
    <row r="571" ht="19.5" customHeight="1">
      <c r="A571" s="12"/>
      <c r="C571" s="12"/>
      <c r="D571" s="13"/>
      <c r="F571" s="14"/>
      <c r="G571" s="14"/>
      <c r="H571" s="14"/>
      <c r="I571" s="14"/>
      <c r="J571" s="14"/>
      <c r="K571" s="12"/>
    </row>
    <row r="572" ht="19.5" customHeight="1">
      <c r="A572" s="12"/>
      <c r="C572" s="12"/>
      <c r="D572" s="13"/>
      <c r="F572" s="14"/>
      <c r="G572" s="14"/>
      <c r="H572" s="14"/>
      <c r="I572" s="14"/>
      <c r="J572" s="14"/>
      <c r="K572" s="12"/>
    </row>
    <row r="573" ht="19.5" customHeight="1">
      <c r="A573" s="12"/>
      <c r="C573" s="12"/>
      <c r="D573" s="13"/>
      <c r="F573" s="14"/>
      <c r="G573" s="14"/>
      <c r="H573" s="14"/>
      <c r="I573" s="14"/>
      <c r="J573" s="14"/>
      <c r="K573" s="12"/>
    </row>
    <row r="574" ht="19.5" customHeight="1">
      <c r="A574" s="12"/>
      <c r="C574" s="12"/>
      <c r="D574" s="13"/>
      <c r="F574" s="14"/>
      <c r="G574" s="14"/>
      <c r="H574" s="14"/>
      <c r="I574" s="14"/>
      <c r="J574" s="14"/>
      <c r="K574" s="12"/>
    </row>
    <row r="575" ht="19.5" customHeight="1">
      <c r="A575" s="12"/>
      <c r="C575" s="12"/>
      <c r="D575" s="13"/>
      <c r="F575" s="14"/>
      <c r="G575" s="14"/>
      <c r="H575" s="14"/>
      <c r="I575" s="14"/>
      <c r="J575" s="14"/>
      <c r="K575" s="12"/>
    </row>
    <row r="576" ht="19.5" customHeight="1">
      <c r="A576" s="12"/>
      <c r="C576" s="12"/>
      <c r="D576" s="13"/>
      <c r="F576" s="14"/>
      <c r="G576" s="14"/>
      <c r="H576" s="14"/>
      <c r="I576" s="14"/>
      <c r="J576" s="14"/>
      <c r="K576" s="12"/>
    </row>
    <row r="577" ht="19.5" customHeight="1">
      <c r="A577" s="12"/>
      <c r="C577" s="12"/>
      <c r="D577" s="13"/>
      <c r="F577" s="14"/>
      <c r="G577" s="14"/>
      <c r="H577" s="14"/>
      <c r="I577" s="14"/>
      <c r="J577" s="14"/>
      <c r="K577" s="12"/>
    </row>
    <row r="578" ht="19.5" customHeight="1">
      <c r="A578" s="12"/>
      <c r="C578" s="12"/>
      <c r="D578" s="13"/>
      <c r="F578" s="14"/>
      <c r="G578" s="14"/>
      <c r="H578" s="14"/>
      <c r="I578" s="14"/>
      <c r="J578" s="14"/>
      <c r="K578" s="12"/>
    </row>
    <row r="579" ht="19.5" customHeight="1">
      <c r="A579" s="12"/>
      <c r="C579" s="12"/>
      <c r="D579" s="13"/>
      <c r="F579" s="14"/>
      <c r="G579" s="14"/>
      <c r="H579" s="14"/>
      <c r="I579" s="14"/>
      <c r="J579" s="14"/>
      <c r="K579" s="12"/>
    </row>
    <row r="580" ht="19.5" customHeight="1">
      <c r="A580" s="12"/>
      <c r="C580" s="12"/>
      <c r="D580" s="13"/>
      <c r="F580" s="14"/>
      <c r="G580" s="14"/>
      <c r="H580" s="14"/>
      <c r="I580" s="14"/>
      <c r="J580" s="14"/>
      <c r="K580" s="12"/>
    </row>
    <row r="581" ht="19.5" customHeight="1">
      <c r="A581" s="12"/>
      <c r="C581" s="12"/>
      <c r="D581" s="13"/>
      <c r="F581" s="14"/>
      <c r="G581" s="14"/>
      <c r="H581" s="14"/>
      <c r="I581" s="14"/>
      <c r="J581" s="14"/>
      <c r="K581" s="12"/>
    </row>
    <row r="582" ht="19.5" customHeight="1">
      <c r="A582" s="12"/>
      <c r="C582" s="12"/>
      <c r="D582" s="13"/>
      <c r="F582" s="14"/>
      <c r="G582" s="14"/>
      <c r="H582" s="14"/>
      <c r="I582" s="14"/>
      <c r="J582" s="14"/>
      <c r="K582" s="12"/>
    </row>
    <row r="583" ht="19.5" customHeight="1">
      <c r="A583" s="12"/>
      <c r="C583" s="12"/>
      <c r="D583" s="13"/>
      <c r="F583" s="14"/>
      <c r="G583" s="14"/>
      <c r="H583" s="14"/>
      <c r="I583" s="14"/>
      <c r="J583" s="14"/>
      <c r="K583" s="12"/>
    </row>
    <row r="584" ht="19.5" customHeight="1">
      <c r="A584" s="12"/>
      <c r="C584" s="12"/>
      <c r="D584" s="13"/>
      <c r="F584" s="14"/>
      <c r="G584" s="14"/>
      <c r="H584" s="14"/>
      <c r="I584" s="14"/>
      <c r="J584" s="14"/>
      <c r="K584" s="12"/>
    </row>
    <row r="585" ht="19.5" customHeight="1">
      <c r="A585" s="12"/>
      <c r="C585" s="12"/>
      <c r="D585" s="13"/>
      <c r="F585" s="14"/>
      <c r="G585" s="14"/>
      <c r="H585" s="14"/>
      <c r="I585" s="14"/>
      <c r="J585" s="14"/>
      <c r="K585" s="12"/>
    </row>
    <row r="586" ht="19.5" customHeight="1">
      <c r="A586" s="12"/>
      <c r="C586" s="12"/>
      <c r="D586" s="13"/>
      <c r="F586" s="14"/>
      <c r="G586" s="14"/>
      <c r="H586" s="14"/>
      <c r="I586" s="14"/>
      <c r="J586" s="14"/>
      <c r="K586" s="12"/>
    </row>
    <row r="587" ht="19.5" customHeight="1">
      <c r="A587" s="12"/>
      <c r="C587" s="12"/>
      <c r="D587" s="13"/>
      <c r="F587" s="14"/>
      <c r="G587" s="14"/>
      <c r="H587" s="14"/>
      <c r="I587" s="14"/>
      <c r="J587" s="14"/>
      <c r="K587" s="12"/>
    </row>
    <row r="588" ht="19.5" customHeight="1">
      <c r="A588" s="12"/>
      <c r="C588" s="12"/>
      <c r="D588" s="13"/>
      <c r="F588" s="14"/>
      <c r="G588" s="14"/>
      <c r="H588" s="14"/>
      <c r="I588" s="14"/>
      <c r="J588" s="14"/>
      <c r="K588" s="12"/>
    </row>
    <row r="589" ht="19.5" customHeight="1">
      <c r="A589" s="12"/>
      <c r="C589" s="12"/>
      <c r="D589" s="13"/>
      <c r="F589" s="14"/>
      <c r="G589" s="14"/>
      <c r="H589" s="14"/>
      <c r="I589" s="14"/>
      <c r="J589" s="14"/>
      <c r="K589" s="12"/>
    </row>
    <row r="590" ht="19.5" customHeight="1">
      <c r="A590" s="12"/>
      <c r="C590" s="12"/>
      <c r="D590" s="13"/>
      <c r="F590" s="14"/>
      <c r="G590" s="14"/>
      <c r="H590" s="14"/>
      <c r="I590" s="14"/>
      <c r="J590" s="14"/>
      <c r="K590" s="12"/>
    </row>
    <row r="591" ht="19.5" customHeight="1">
      <c r="A591" s="12"/>
      <c r="C591" s="12"/>
      <c r="D591" s="13"/>
      <c r="F591" s="14"/>
      <c r="G591" s="14"/>
      <c r="H591" s="14"/>
      <c r="I591" s="14"/>
      <c r="J591" s="14"/>
      <c r="K591" s="12"/>
    </row>
    <row r="592" ht="19.5" customHeight="1">
      <c r="A592" s="12"/>
      <c r="C592" s="12"/>
      <c r="D592" s="13"/>
      <c r="F592" s="14"/>
      <c r="G592" s="14"/>
      <c r="H592" s="14"/>
      <c r="I592" s="14"/>
      <c r="J592" s="14"/>
      <c r="K592" s="12"/>
    </row>
    <row r="593" ht="19.5" customHeight="1">
      <c r="A593" s="12"/>
      <c r="C593" s="12"/>
      <c r="D593" s="13"/>
      <c r="F593" s="14"/>
      <c r="G593" s="14"/>
      <c r="H593" s="14"/>
      <c r="I593" s="14"/>
      <c r="J593" s="14"/>
      <c r="K593" s="12"/>
    </row>
    <row r="594" ht="19.5" customHeight="1">
      <c r="A594" s="12"/>
      <c r="C594" s="12"/>
      <c r="D594" s="13"/>
      <c r="F594" s="14"/>
      <c r="G594" s="14"/>
      <c r="H594" s="14"/>
      <c r="I594" s="14"/>
      <c r="J594" s="14"/>
      <c r="K594" s="12"/>
    </row>
    <row r="595" ht="19.5" customHeight="1">
      <c r="A595" s="12"/>
      <c r="C595" s="12"/>
      <c r="D595" s="13"/>
      <c r="F595" s="14"/>
      <c r="G595" s="14"/>
      <c r="H595" s="14"/>
      <c r="I595" s="14"/>
      <c r="J595" s="14"/>
      <c r="K595" s="12"/>
    </row>
    <row r="596" ht="19.5" customHeight="1">
      <c r="A596" s="12"/>
      <c r="C596" s="12"/>
      <c r="D596" s="13"/>
      <c r="F596" s="14"/>
      <c r="G596" s="14"/>
      <c r="H596" s="14"/>
      <c r="I596" s="14"/>
      <c r="J596" s="14"/>
      <c r="K596" s="12"/>
    </row>
    <row r="597" ht="19.5" customHeight="1">
      <c r="A597" s="12"/>
      <c r="C597" s="12"/>
      <c r="D597" s="13"/>
      <c r="F597" s="14"/>
      <c r="G597" s="14"/>
      <c r="H597" s="14"/>
      <c r="I597" s="14"/>
      <c r="J597" s="14"/>
      <c r="K597" s="12"/>
    </row>
    <row r="598" ht="19.5" customHeight="1">
      <c r="A598" s="12"/>
      <c r="C598" s="12"/>
      <c r="D598" s="13"/>
      <c r="F598" s="14"/>
      <c r="G598" s="14"/>
      <c r="H598" s="14"/>
      <c r="I598" s="14"/>
      <c r="J598" s="14"/>
      <c r="K598" s="12"/>
    </row>
    <row r="599" ht="19.5" customHeight="1">
      <c r="A599" s="12"/>
      <c r="C599" s="12"/>
      <c r="D599" s="13"/>
      <c r="F599" s="14"/>
      <c r="G599" s="14"/>
      <c r="H599" s="14"/>
      <c r="I599" s="14"/>
      <c r="J599" s="14"/>
      <c r="K599" s="12"/>
    </row>
    <row r="600" ht="19.5" customHeight="1">
      <c r="A600" s="12"/>
      <c r="C600" s="12"/>
      <c r="D600" s="13"/>
      <c r="F600" s="14"/>
      <c r="G600" s="14"/>
      <c r="H600" s="14"/>
      <c r="I600" s="14"/>
      <c r="J600" s="14"/>
      <c r="K600" s="12"/>
    </row>
    <row r="601" ht="19.5" customHeight="1">
      <c r="A601" s="12"/>
      <c r="C601" s="12"/>
      <c r="D601" s="13"/>
      <c r="F601" s="14"/>
      <c r="G601" s="14"/>
      <c r="H601" s="14"/>
      <c r="I601" s="14"/>
      <c r="J601" s="14"/>
      <c r="K601" s="12"/>
    </row>
    <row r="602" ht="19.5" customHeight="1">
      <c r="A602" s="12"/>
      <c r="C602" s="12"/>
      <c r="D602" s="13"/>
      <c r="F602" s="14"/>
      <c r="G602" s="14"/>
      <c r="H602" s="14"/>
      <c r="I602" s="14"/>
      <c r="J602" s="14"/>
      <c r="K602" s="12"/>
    </row>
    <row r="603" ht="19.5" customHeight="1">
      <c r="A603" s="12"/>
      <c r="C603" s="12"/>
      <c r="D603" s="13"/>
      <c r="F603" s="14"/>
      <c r="G603" s="14"/>
      <c r="H603" s="14"/>
      <c r="I603" s="14"/>
      <c r="J603" s="14"/>
      <c r="K603" s="12"/>
    </row>
    <row r="604" ht="19.5" customHeight="1">
      <c r="A604" s="12"/>
      <c r="C604" s="12"/>
      <c r="D604" s="13"/>
      <c r="F604" s="14"/>
      <c r="G604" s="14"/>
      <c r="H604" s="14"/>
      <c r="I604" s="14"/>
      <c r="J604" s="14"/>
      <c r="K604" s="12"/>
    </row>
    <row r="605" ht="19.5" customHeight="1">
      <c r="A605" s="12"/>
      <c r="C605" s="12"/>
      <c r="D605" s="13"/>
      <c r="F605" s="14"/>
      <c r="G605" s="14"/>
      <c r="H605" s="14"/>
      <c r="I605" s="14"/>
      <c r="J605" s="14"/>
      <c r="K605" s="12"/>
    </row>
    <row r="606" ht="19.5" customHeight="1">
      <c r="A606" s="12"/>
      <c r="C606" s="12"/>
      <c r="D606" s="13"/>
      <c r="F606" s="14"/>
      <c r="G606" s="14"/>
      <c r="H606" s="14"/>
      <c r="I606" s="14"/>
      <c r="J606" s="14"/>
      <c r="K606" s="12"/>
    </row>
    <row r="607" ht="19.5" customHeight="1">
      <c r="A607" s="12"/>
      <c r="C607" s="12"/>
      <c r="D607" s="13"/>
      <c r="F607" s="14"/>
      <c r="G607" s="14"/>
      <c r="H607" s="14"/>
      <c r="I607" s="14"/>
      <c r="J607" s="14"/>
      <c r="K607" s="12"/>
    </row>
    <row r="608" ht="19.5" customHeight="1">
      <c r="A608" s="12"/>
      <c r="C608" s="12"/>
      <c r="D608" s="13"/>
      <c r="F608" s="14"/>
      <c r="G608" s="14"/>
      <c r="H608" s="14"/>
      <c r="I608" s="14"/>
      <c r="J608" s="14"/>
      <c r="K608" s="12"/>
    </row>
    <row r="609" ht="19.5" customHeight="1">
      <c r="A609" s="12"/>
      <c r="C609" s="12"/>
      <c r="D609" s="13"/>
      <c r="F609" s="14"/>
      <c r="G609" s="14"/>
      <c r="H609" s="14"/>
      <c r="I609" s="14"/>
      <c r="J609" s="14"/>
      <c r="K609" s="12"/>
    </row>
    <row r="610" ht="19.5" customHeight="1">
      <c r="A610" s="12"/>
      <c r="C610" s="12"/>
      <c r="D610" s="13"/>
      <c r="F610" s="14"/>
      <c r="G610" s="14"/>
      <c r="H610" s="14"/>
      <c r="I610" s="14"/>
      <c r="J610" s="14"/>
      <c r="K610" s="12"/>
    </row>
    <row r="611" ht="19.5" customHeight="1">
      <c r="A611" s="12"/>
      <c r="C611" s="12"/>
      <c r="D611" s="13"/>
      <c r="F611" s="14"/>
      <c r="G611" s="14"/>
      <c r="H611" s="14"/>
      <c r="I611" s="14"/>
      <c r="J611" s="14"/>
      <c r="K611" s="12"/>
    </row>
    <row r="612" ht="19.5" customHeight="1">
      <c r="A612" s="12"/>
      <c r="C612" s="12"/>
      <c r="D612" s="13"/>
      <c r="F612" s="14"/>
      <c r="G612" s="14"/>
      <c r="H612" s="14"/>
      <c r="I612" s="14"/>
      <c r="J612" s="14"/>
      <c r="K612" s="12"/>
    </row>
    <row r="613" ht="19.5" customHeight="1">
      <c r="A613" s="12"/>
      <c r="C613" s="12"/>
      <c r="D613" s="13"/>
      <c r="F613" s="14"/>
      <c r="G613" s="14"/>
      <c r="H613" s="14"/>
      <c r="I613" s="14"/>
      <c r="J613" s="14"/>
      <c r="K613" s="12"/>
    </row>
    <row r="614" ht="19.5" customHeight="1">
      <c r="A614" s="12"/>
      <c r="C614" s="12"/>
      <c r="D614" s="13"/>
      <c r="F614" s="14"/>
      <c r="G614" s="14"/>
      <c r="H614" s="14"/>
      <c r="I614" s="14"/>
      <c r="J614" s="14"/>
      <c r="K614" s="12"/>
    </row>
    <row r="615" ht="19.5" customHeight="1">
      <c r="A615" s="12"/>
      <c r="C615" s="12"/>
      <c r="D615" s="13"/>
      <c r="F615" s="14"/>
      <c r="G615" s="14"/>
      <c r="H615" s="14"/>
      <c r="I615" s="14"/>
      <c r="J615" s="14"/>
      <c r="K615" s="12"/>
    </row>
    <row r="616" ht="19.5" customHeight="1">
      <c r="A616" s="12"/>
      <c r="C616" s="12"/>
      <c r="D616" s="13"/>
      <c r="F616" s="14"/>
      <c r="G616" s="14"/>
      <c r="H616" s="14"/>
      <c r="I616" s="14"/>
      <c r="J616" s="14"/>
      <c r="K616" s="12"/>
    </row>
    <row r="617" ht="19.5" customHeight="1">
      <c r="A617" s="12"/>
      <c r="C617" s="12"/>
      <c r="D617" s="13"/>
      <c r="F617" s="14"/>
      <c r="G617" s="14"/>
      <c r="H617" s="14"/>
      <c r="I617" s="14"/>
      <c r="J617" s="14"/>
      <c r="K617" s="12"/>
    </row>
    <row r="618" ht="19.5" customHeight="1">
      <c r="A618" s="12"/>
      <c r="C618" s="12"/>
      <c r="D618" s="13"/>
      <c r="F618" s="14"/>
      <c r="G618" s="14"/>
      <c r="H618" s="14"/>
      <c r="I618" s="14"/>
      <c r="J618" s="14"/>
      <c r="K618" s="12"/>
    </row>
    <row r="619" ht="19.5" customHeight="1">
      <c r="A619" s="12"/>
      <c r="C619" s="12"/>
      <c r="D619" s="13"/>
      <c r="F619" s="14"/>
      <c r="G619" s="14"/>
      <c r="H619" s="14"/>
      <c r="I619" s="14"/>
      <c r="J619" s="14"/>
      <c r="K619" s="12"/>
    </row>
    <row r="620" ht="19.5" customHeight="1">
      <c r="A620" s="12"/>
      <c r="C620" s="12"/>
      <c r="D620" s="13"/>
      <c r="F620" s="14"/>
      <c r="G620" s="14"/>
      <c r="H620" s="14"/>
      <c r="I620" s="14"/>
      <c r="J620" s="14"/>
      <c r="K620" s="12"/>
    </row>
    <row r="621" ht="19.5" customHeight="1">
      <c r="A621" s="12"/>
      <c r="C621" s="12"/>
      <c r="D621" s="13"/>
      <c r="F621" s="14"/>
      <c r="G621" s="14"/>
      <c r="H621" s="14"/>
      <c r="I621" s="14"/>
      <c r="J621" s="14"/>
      <c r="K621" s="12"/>
    </row>
    <row r="622" ht="19.5" customHeight="1">
      <c r="A622" s="12"/>
      <c r="C622" s="12"/>
      <c r="D622" s="13"/>
      <c r="F622" s="14"/>
      <c r="G622" s="14"/>
      <c r="H622" s="14"/>
      <c r="I622" s="14"/>
      <c r="J622" s="14"/>
      <c r="K622" s="12"/>
    </row>
    <row r="623" ht="19.5" customHeight="1">
      <c r="A623" s="12"/>
      <c r="C623" s="12"/>
      <c r="D623" s="13"/>
      <c r="F623" s="14"/>
      <c r="G623" s="14"/>
      <c r="H623" s="14"/>
      <c r="I623" s="14"/>
      <c r="J623" s="14"/>
      <c r="K623" s="12"/>
    </row>
    <row r="624" ht="19.5" customHeight="1">
      <c r="A624" s="12"/>
      <c r="C624" s="12"/>
      <c r="D624" s="13"/>
      <c r="F624" s="14"/>
      <c r="G624" s="14"/>
      <c r="H624" s="14"/>
      <c r="I624" s="14"/>
      <c r="J624" s="14"/>
      <c r="K624" s="12"/>
    </row>
    <row r="625" ht="19.5" customHeight="1">
      <c r="A625" s="12"/>
      <c r="C625" s="12"/>
      <c r="D625" s="13"/>
      <c r="F625" s="14"/>
      <c r="G625" s="14"/>
      <c r="H625" s="14"/>
      <c r="I625" s="14"/>
      <c r="J625" s="14"/>
      <c r="K625" s="12"/>
    </row>
    <row r="626" ht="19.5" customHeight="1">
      <c r="A626" s="12"/>
      <c r="C626" s="12"/>
      <c r="D626" s="13"/>
      <c r="F626" s="14"/>
      <c r="G626" s="14"/>
      <c r="H626" s="14"/>
      <c r="I626" s="14"/>
      <c r="J626" s="14"/>
      <c r="K626" s="12"/>
    </row>
    <row r="627" ht="19.5" customHeight="1">
      <c r="A627" s="12"/>
      <c r="C627" s="12"/>
      <c r="D627" s="13"/>
      <c r="F627" s="14"/>
      <c r="G627" s="14"/>
      <c r="H627" s="14"/>
      <c r="I627" s="14"/>
      <c r="J627" s="14"/>
      <c r="K627" s="12"/>
    </row>
    <row r="628" ht="19.5" customHeight="1">
      <c r="A628" s="12"/>
      <c r="C628" s="12"/>
      <c r="D628" s="13"/>
      <c r="F628" s="14"/>
      <c r="G628" s="14"/>
      <c r="H628" s="14"/>
      <c r="I628" s="14"/>
      <c r="J628" s="14"/>
      <c r="K628" s="12"/>
    </row>
    <row r="629" ht="19.5" customHeight="1">
      <c r="A629" s="12"/>
      <c r="C629" s="12"/>
      <c r="D629" s="13"/>
      <c r="F629" s="14"/>
      <c r="G629" s="14"/>
      <c r="H629" s="14"/>
      <c r="I629" s="14"/>
      <c r="J629" s="14"/>
      <c r="K629" s="12"/>
    </row>
    <row r="630" ht="19.5" customHeight="1">
      <c r="A630" s="12"/>
      <c r="C630" s="12"/>
      <c r="D630" s="13"/>
      <c r="F630" s="14"/>
      <c r="G630" s="14"/>
      <c r="H630" s="14"/>
      <c r="I630" s="14"/>
      <c r="J630" s="14"/>
      <c r="K630" s="12"/>
    </row>
    <row r="631" ht="19.5" customHeight="1">
      <c r="A631" s="12"/>
      <c r="C631" s="12"/>
      <c r="D631" s="13"/>
      <c r="F631" s="14"/>
      <c r="G631" s="14"/>
      <c r="H631" s="14"/>
      <c r="I631" s="14"/>
      <c r="J631" s="14"/>
      <c r="K631" s="12"/>
    </row>
    <row r="632" ht="19.5" customHeight="1">
      <c r="A632" s="12"/>
      <c r="C632" s="12"/>
      <c r="D632" s="13"/>
      <c r="F632" s="14"/>
      <c r="G632" s="14"/>
      <c r="H632" s="14"/>
      <c r="I632" s="14"/>
      <c r="J632" s="14"/>
      <c r="K632" s="12"/>
    </row>
    <row r="633" ht="19.5" customHeight="1">
      <c r="A633" s="12"/>
      <c r="C633" s="12"/>
      <c r="D633" s="13"/>
      <c r="F633" s="14"/>
      <c r="G633" s="14"/>
      <c r="H633" s="14"/>
      <c r="I633" s="14"/>
      <c r="J633" s="14"/>
      <c r="K633" s="12"/>
    </row>
    <row r="634" ht="19.5" customHeight="1">
      <c r="A634" s="12"/>
      <c r="C634" s="12"/>
      <c r="D634" s="13"/>
      <c r="F634" s="14"/>
      <c r="G634" s="14"/>
      <c r="H634" s="14"/>
      <c r="I634" s="14"/>
      <c r="J634" s="14"/>
      <c r="K634" s="12"/>
    </row>
    <row r="635" ht="19.5" customHeight="1">
      <c r="A635" s="12"/>
      <c r="C635" s="12"/>
      <c r="D635" s="13"/>
      <c r="F635" s="14"/>
      <c r="G635" s="14"/>
      <c r="H635" s="14"/>
      <c r="I635" s="14"/>
      <c r="J635" s="14"/>
      <c r="K635" s="12"/>
    </row>
    <row r="636" ht="19.5" customHeight="1">
      <c r="A636" s="12"/>
      <c r="C636" s="12"/>
      <c r="D636" s="13"/>
      <c r="F636" s="14"/>
      <c r="G636" s="14"/>
      <c r="H636" s="14"/>
      <c r="I636" s="14"/>
      <c r="J636" s="14"/>
      <c r="K636" s="12"/>
    </row>
    <row r="637" ht="19.5" customHeight="1">
      <c r="A637" s="12"/>
      <c r="C637" s="12"/>
      <c r="D637" s="13"/>
      <c r="F637" s="14"/>
      <c r="G637" s="14"/>
      <c r="H637" s="14"/>
      <c r="I637" s="14"/>
      <c r="J637" s="14"/>
      <c r="K637" s="12"/>
    </row>
    <row r="638" ht="19.5" customHeight="1">
      <c r="A638" s="12"/>
      <c r="C638" s="12"/>
      <c r="D638" s="13"/>
      <c r="F638" s="14"/>
      <c r="G638" s="14"/>
      <c r="H638" s="14"/>
      <c r="I638" s="14"/>
      <c r="J638" s="14"/>
      <c r="K638" s="12"/>
    </row>
    <row r="639" ht="19.5" customHeight="1">
      <c r="A639" s="12"/>
      <c r="C639" s="12"/>
      <c r="D639" s="13"/>
      <c r="F639" s="14"/>
      <c r="G639" s="14"/>
      <c r="H639" s="14"/>
      <c r="I639" s="14"/>
      <c r="J639" s="14"/>
      <c r="K639" s="12"/>
    </row>
    <row r="640" ht="19.5" customHeight="1">
      <c r="A640" s="12"/>
      <c r="C640" s="12"/>
      <c r="D640" s="13"/>
      <c r="F640" s="14"/>
      <c r="G640" s="14"/>
      <c r="H640" s="14"/>
      <c r="I640" s="14"/>
      <c r="J640" s="14"/>
      <c r="K640" s="12"/>
    </row>
    <row r="641" ht="19.5" customHeight="1">
      <c r="A641" s="12"/>
      <c r="C641" s="12"/>
      <c r="D641" s="13"/>
      <c r="F641" s="14"/>
      <c r="G641" s="14"/>
      <c r="H641" s="14"/>
      <c r="I641" s="14"/>
      <c r="J641" s="14"/>
      <c r="K641" s="12"/>
    </row>
    <row r="642" ht="19.5" customHeight="1">
      <c r="A642" s="12"/>
      <c r="C642" s="12"/>
      <c r="D642" s="13"/>
      <c r="F642" s="14"/>
      <c r="G642" s="14"/>
      <c r="H642" s="14"/>
      <c r="I642" s="14"/>
      <c r="J642" s="14"/>
      <c r="K642" s="12"/>
    </row>
    <row r="643" ht="19.5" customHeight="1">
      <c r="A643" s="12"/>
      <c r="C643" s="12"/>
      <c r="D643" s="13"/>
      <c r="F643" s="14"/>
      <c r="G643" s="14"/>
      <c r="H643" s="14"/>
      <c r="I643" s="14"/>
      <c r="J643" s="14"/>
      <c r="K643" s="12"/>
    </row>
    <row r="644" ht="19.5" customHeight="1">
      <c r="A644" s="12"/>
      <c r="C644" s="12"/>
      <c r="D644" s="13"/>
      <c r="F644" s="14"/>
      <c r="G644" s="14"/>
      <c r="H644" s="14"/>
      <c r="I644" s="14"/>
      <c r="J644" s="14"/>
      <c r="K644" s="12"/>
    </row>
    <row r="645" ht="19.5" customHeight="1">
      <c r="A645" s="12"/>
      <c r="C645" s="12"/>
      <c r="D645" s="13"/>
      <c r="F645" s="14"/>
      <c r="G645" s="14"/>
      <c r="H645" s="14"/>
      <c r="I645" s="14"/>
      <c r="J645" s="14"/>
      <c r="K645" s="12"/>
    </row>
    <row r="646" ht="19.5" customHeight="1">
      <c r="A646" s="12"/>
      <c r="C646" s="12"/>
      <c r="D646" s="13"/>
      <c r="F646" s="14"/>
      <c r="G646" s="14"/>
      <c r="H646" s="14"/>
      <c r="I646" s="14"/>
      <c r="J646" s="14"/>
      <c r="K646" s="12"/>
    </row>
    <row r="647" ht="19.5" customHeight="1">
      <c r="A647" s="12"/>
      <c r="C647" s="12"/>
      <c r="D647" s="13"/>
      <c r="F647" s="14"/>
      <c r="G647" s="14"/>
      <c r="H647" s="14"/>
      <c r="I647" s="14"/>
      <c r="J647" s="14"/>
      <c r="K647" s="12"/>
    </row>
    <row r="648" ht="19.5" customHeight="1">
      <c r="A648" s="12"/>
      <c r="C648" s="12"/>
      <c r="D648" s="13"/>
      <c r="F648" s="14"/>
      <c r="G648" s="14"/>
      <c r="H648" s="14"/>
      <c r="I648" s="14"/>
      <c r="J648" s="14"/>
      <c r="K648" s="12"/>
    </row>
    <row r="649" ht="19.5" customHeight="1">
      <c r="A649" s="12"/>
      <c r="C649" s="12"/>
      <c r="D649" s="13"/>
      <c r="F649" s="14"/>
      <c r="G649" s="14"/>
      <c r="H649" s="14"/>
      <c r="I649" s="14"/>
      <c r="J649" s="14"/>
      <c r="K649" s="12"/>
    </row>
    <row r="650" ht="19.5" customHeight="1">
      <c r="A650" s="12"/>
      <c r="C650" s="12"/>
      <c r="D650" s="13"/>
      <c r="F650" s="14"/>
      <c r="G650" s="14"/>
      <c r="H650" s="14"/>
      <c r="I650" s="14"/>
      <c r="J650" s="14"/>
      <c r="K650" s="12"/>
    </row>
    <row r="651" ht="19.5" customHeight="1">
      <c r="A651" s="12"/>
      <c r="C651" s="12"/>
      <c r="D651" s="13"/>
      <c r="F651" s="14"/>
      <c r="G651" s="14"/>
      <c r="H651" s="14"/>
      <c r="I651" s="14"/>
      <c r="J651" s="14"/>
      <c r="K651" s="12"/>
    </row>
    <row r="652" ht="19.5" customHeight="1">
      <c r="A652" s="12"/>
      <c r="C652" s="12"/>
      <c r="D652" s="13"/>
      <c r="F652" s="14"/>
      <c r="G652" s="14"/>
      <c r="H652" s="14"/>
      <c r="I652" s="14"/>
      <c r="J652" s="14"/>
      <c r="K652" s="12"/>
    </row>
    <row r="653" ht="19.5" customHeight="1">
      <c r="A653" s="12"/>
      <c r="C653" s="12"/>
      <c r="D653" s="13"/>
      <c r="F653" s="14"/>
      <c r="G653" s="14"/>
      <c r="H653" s="14"/>
      <c r="I653" s="14"/>
      <c r="J653" s="14"/>
      <c r="K653" s="12"/>
    </row>
    <row r="654" ht="19.5" customHeight="1">
      <c r="A654" s="12"/>
      <c r="C654" s="12"/>
      <c r="D654" s="13"/>
      <c r="F654" s="14"/>
      <c r="G654" s="14"/>
      <c r="H654" s="14"/>
      <c r="I654" s="14"/>
      <c r="J654" s="14"/>
      <c r="K654" s="12"/>
    </row>
    <row r="655" ht="19.5" customHeight="1">
      <c r="A655" s="12"/>
      <c r="C655" s="12"/>
      <c r="D655" s="13"/>
      <c r="F655" s="14"/>
      <c r="G655" s="14"/>
      <c r="H655" s="14"/>
      <c r="I655" s="14"/>
      <c r="J655" s="14"/>
      <c r="K655" s="12"/>
    </row>
    <row r="656" ht="19.5" customHeight="1">
      <c r="A656" s="12"/>
      <c r="C656" s="12"/>
      <c r="D656" s="13"/>
      <c r="F656" s="14"/>
      <c r="G656" s="14"/>
      <c r="H656" s="14"/>
      <c r="I656" s="14"/>
      <c r="J656" s="14"/>
      <c r="K656" s="12"/>
    </row>
    <row r="657" ht="19.5" customHeight="1">
      <c r="A657" s="12"/>
      <c r="C657" s="12"/>
      <c r="D657" s="13"/>
      <c r="F657" s="14"/>
      <c r="G657" s="14"/>
      <c r="H657" s="14"/>
      <c r="I657" s="14"/>
      <c r="J657" s="14"/>
      <c r="K657" s="12"/>
    </row>
    <row r="658" ht="19.5" customHeight="1">
      <c r="A658" s="12"/>
      <c r="C658" s="12"/>
      <c r="D658" s="13"/>
      <c r="F658" s="14"/>
      <c r="G658" s="14"/>
      <c r="H658" s="14"/>
      <c r="I658" s="14"/>
      <c r="J658" s="14"/>
      <c r="K658" s="12"/>
    </row>
    <row r="659" ht="19.5" customHeight="1">
      <c r="A659" s="12"/>
      <c r="C659" s="12"/>
      <c r="D659" s="13"/>
      <c r="F659" s="14"/>
      <c r="G659" s="14"/>
      <c r="H659" s="14"/>
      <c r="I659" s="14"/>
      <c r="J659" s="14"/>
      <c r="K659" s="12"/>
    </row>
    <row r="660" ht="19.5" customHeight="1">
      <c r="A660" s="12"/>
      <c r="C660" s="12"/>
      <c r="D660" s="13"/>
      <c r="F660" s="14"/>
      <c r="G660" s="14"/>
      <c r="H660" s="14"/>
      <c r="I660" s="14"/>
      <c r="J660" s="14"/>
      <c r="K660" s="12"/>
    </row>
    <row r="661" ht="19.5" customHeight="1">
      <c r="A661" s="12"/>
      <c r="C661" s="12"/>
      <c r="D661" s="13"/>
      <c r="F661" s="14"/>
      <c r="G661" s="14"/>
      <c r="H661" s="14"/>
      <c r="I661" s="14"/>
      <c r="J661" s="14"/>
      <c r="K661" s="12"/>
    </row>
    <row r="662" ht="19.5" customHeight="1">
      <c r="A662" s="12"/>
      <c r="C662" s="12"/>
      <c r="D662" s="13"/>
      <c r="F662" s="14"/>
      <c r="G662" s="14"/>
      <c r="H662" s="14"/>
      <c r="I662" s="14"/>
      <c r="J662" s="14"/>
      <c r="K662" s="12"/>
    </row>
    <row r="663" ht="19.5" customHeight="1">
      <c r="A663" s="12"/>
      <c r="C663" s="12"/>
      <c r="D663" s="13"/>
      <c r="F663" s="14"/>
      <c r="G663" s="14"/>
      <c r="H663" s="14"/>
      <c r="I663" s="14"/>
      <c r="J663" s="14"/>
      <c r="K663" s="12"/>
    </row>
    <row r="664" ht="19.5" customHeight="1">
      <c r="A664" s="12"/>
      <c r="C664" s="12"/>
      <c r="D664" s="13"/>
      <c r="F664" s="14"/>
      <c r="G664" s="14"/>
      <c r="H664" s="14"/>
      <c r="I664" s="14"/>
      <c r="J664" s="14"/>
      <c r="K664" s="12"/>
    </row>
    <row r="665" ht="19.5" customHeight="1">
      <c r="A665" s="12"/>
      <c r="C665" s="12"/>
      <c r="D665" s="13"/>
      <c r="F665" s="14"/>
      <c r="G665" s="14"/>
      <c r="H665" s="14"/>
      <c r="I665" s="14"/>
      <c r="J665" s="14"/>
      <c r="K665" s="12"/>
    </row>
    <row r="666" ht="19.5" customHeight="1">
      <c r="A666" s="12"/>
      <c r="C666" s="12"/>
      <c r="D666" s="13"/>
      <c r="F666" s="14"/>
      <c r="G666" s="14"/>
      <c r="H666" s="14"/>
      <c r="I666" s="14"/>
      <c r="J666" s="14"/>
      <c r="K666" s="12"/>
    </row>
    <row r="667" ht="19.5" customHeight="1">
      <c r="A667" s="12"/>
      <c r="C667" s="12"/>
      <c r="D667" s="13"/>
      <c r="F667" s="14"/>
      <c r="G667" s="14"/>
      <c r="H667" s="14"/>
      <c r="I667" s="14"/>
      <c r="J667" s="14"/>
      <c r="K667" s="12"/>
    </row>
    <row r="668" ht="19.5" customHeight="1">
      <c r="A668" s="12"/>
      <c r="C668" s="12"/>
      <c r="D668" s="13"/>
      <c r="F668" s="14"/>
      <c r="G668" s="14"/>
      <c r="H668" s="14"/>
      <c r="I668" s="14"/>
      <c r="J668" s="14"/>
      <c r="K668" s="12"/>
    </row>
    <row r="669" ht="19.5" customHeight="1">
      <c r="A669" s="12"/>
      <c r="C669" s="12"/>
      <c r="D669" s="13"/>
      <c r="F669" s="14"/>
      <c r="G669" s="14"/>
      <c r="H669" s="14"/>
      <c r="I669" s="14"/>
      <c r="J669" s="14"/>
      <c r="K669" s="12"/>
    </row>
    <row r="670" ht="19.5" customHeight="1">
      <c r="A670" s="12"/>
      <c r="C670" s="12"/>
      <c r="D670" s="13"/>
      <c r="F670" s="14"/>
      <c r="G670" s="14"/>
      <c r="H670" s="14"/>
      <c r="I670" s="14"/>
      <c r="J670" s="14"/>
      <c r="K670" s="12"/>
    </row>
    <row r="671" ht="19.5" customHeight="1">
      <c r="A671" s="12"/>
      <c r="C671" s="12"/>
      <c r="D671" s="13"/>
      <c r="F671" s="14"/>
      <c r="G671" s="14"/>
      <c r="H671" s="14"/>
      <c r="I671" s="14"/>
      <c r="J671" s="14"/>
      <c r="K671" s="12"/>
    </row>
    <row r="672" ht="19.5" customHeight="1">
      <c r="A672" s="12"/>
      <c r="C672" s="12"/>
      <c r="D672" s="13"/>
      <c r="F672" s="14"/>
      <c r="G672" s="14"/>
      <c r="H672" s="14"/>
      <c r="I672" s="14"/>
      <c r="J672" s="14"/>
      <c r="K672" s="12"/>
    </row>
    <row r="673" ht="19.5" customHeight="1">
      <c r="A673" s="12"/>
      <c r="C673" s="12"/>
      <c r="D673" s="13"/>
      <c r="F673" s="14"/>
      <c r="G673" s="14"/>
      <c r="H673" s="14"/>
      <c r="I673" s="14"/>
      <c r="J673" s="14"/>
      <c r="K673" s="12"/>
    </row>
    <row r="674" ht="19.5" customHeight="1">
      <c r="A674" s="12"/>
      <c r="C674" s="12"/>
      <c r="D674" s="13"/>
      <c r="F674" s="14"/>
      <c r="G674" s="14"/>
      <c r="H674" s="14"/>
      <c r="I674" s="14"/>
      <c r="J674" s="14"/>
      <c r="K674" s="12"/>
    </row>
    <row r="675" ht="19.5" customHeight="1">
      <c r="A675" s="12"/>
      <c r="C675" s="12"/>
      <c r="D675" s="13"/>
      <c r="F675" s="14"/>
      <c r="G675" s="14"/>
      <c r="H675" s="14"/>
      <c r="I675" s="14"/>
      <c r="J675" s="14"/>
      <c r="K675" s="12"/>
    </row>
    <row r="676" ht="19.5" customHeight="1">
      <c r="A676" s="12"/>
      <c r="C676" s="12"/>
      <c r="D676" s="13"/>
      <c r="F676" s="14"/>
      <c r="G676" s="14"/>
      <c r="H676" s="14"/>
      <c r="I676" s="14"/>
      <c r="J676" s="14"/>
      <c r="K676" s="12"/>
    </row>
    <row r="677" ht="19.5" customHeight="1">
      <c r="A677" s="12"/>
      <c r="C677" s="12"/>
      <c r="D677" s="13"/>
      <c r="F677" s="14"/>
      <c r="G677" s="14"/>
      <c r="H677" s="14"/>
      <c r="I677" s="14"/>
      <c r="J677" s="14"/>
      <c r="K677" s="12"/>
    </row>
    <row r="678" ht="19.5" customHeight="1">
      <c r="A678" s="12"/>
      <c r="C678" s="12"/>
      <c r="D678" s="13"/>
      <c r="F678" s="14"/>
      <c r="G678" s="14"/>
      <c r="H678" s="14"/>
      <c r="I678" s="14"/>
      <c r="J678" s="14"/>
      <c r="K678" s="12"/>
    </row>
    <row r="679" ht="19.5" customHeight="1">
      <c r="A679" s="12"/>
      <c r="C679" s="12"/>
      <c r="D679" s="13"/>
      <c r="F679" s="14"/>
      <c r="G679" s="14"/>
      <c r="H679" s="14"/>
      <c r="I679" s="14"/>
      <c r="J679" s="14"/>
      <c r="K679" s="12"/>
    </row>
    <row r="680" ht="19.5" customHeight="1">
      <c r="A680" s="12"/>
      <c r="C680" s="12"/>
      <c r="D680" s="13"/>
      <c r="F680" s="14"/>
      <c r="G680" s="14"/>
      <c r="H680" s="14"/>
      <c r="I680" s="14"/>
      <c r="J680" s="14"/>
      <c r="K680" s="12"/>
    </row>
    <row r="681" ht="19.5" customHeight="1">
      <c r="A681" s="12"/>
      <c r="C681" s="12"/>
      <c r="D681" s="13"/>
      <c r="F681" s="14"/>
      <c r="G681" s="14"/>
      <c r="H681" s="14"/>
      <c r="I681" s="14"/>
      <c r="J681" s="14"/>
      <c r="K681" s="12"/>
    </row>
    <row r="682" ht="19.5" customHeight="1">
      <c r="A682" s="12"/>
      <c r="C682" s="12"/>
      <c r="D682" s="13"/>
      <c r="F682" s="14"/>
      <c r="G682" s="14"/>
      <c r="H682" s="14"/>
      <c r="I682" s="14"/>
      <c r="J682" s="14"/>
      <c r="K682" s="12"/>
    </row>
    <row r="683" ht="19.5" customHeight="1">
      <c r="A683" s="12"/>
      <c r="C683" s="12"/>
      <c r="D683" s="13"/>
      <c r="F683" s="14"/>
      <c r="G683" s="14"/>
      <c r="H683" s="14"/>
      <c r="I683" s="14"/>
      <c r="J683" s="14"/>
      <c r="K683" s="12"/>
    </row>
    <row r="684" ht="19.5" customHeight="1">
      <c r="A684" s="12"/>
      <c r="C684" s="12"/>
      <c r="D684" s="13"/>
      <c r="F684" s="14"/>
      <c r="G684" s="14"/>
      <c r="H684" s="14"/>
      <c r="I684" s="14"/>
      <c r="J684" s="14"/>
      <c r="K684" s="12"/>
    </row>
    <row r="685" ht="19.5" customHeight="1">
      <c r="A685" s="12"/>
      <c r="C685" s="12"/>
      <c r="D685" s="13"/>
      <c r="F685" s="14"/>
      <c r="G685" s="14"/>
      <c r="H685" s="14"/>
      <c r="I685" s="14"/>
      <c r="J685" s="14"/>
      <c r="K685" s="12"/>
    </row>
    <row r="686" ht="19.5" customHeight="1">
      <c r="A686" s="12"/>
      <c r="C686" s="12"/>
      <c r="D686" s="13"/>
      <c r="F686" s="14"/>
      <c r="G686" s="14"/>
      <c r="H686" s="14"/>
      <c r="I686" s="14"/>
      <c r="J686" s="14"/>
      <c r="K686" s="12"/>
    </row>
    <row r="687" ht="19.5" customHeight="1">
      <c r="A687" s="12"/>
      <c r="C687" s="12"/>
      <c r="D687" s="13"/>
      <c r="F687" s="14"/>
      <c r="G687" s="14"/>
      <c r="H687" s="14"/>
      <c r="I687" s="14"/>
      <c r="J687" s="14"/>
      <c r="K687" s="12"/>
    </row>
    <row r="688" ht="19.5" customHeight="1">
      <c r="A688" s="12"/>
      <c r="C688" s="12"/>
      <c r="D688" s="13"/>
      <c r="F688" s="14"/>
      <c r="G688" s="14"/>
      <c r="H688" s="14"/>
      <c r="I688" s="14"/>
      <c r="J688" s="14"/>
      <c r="K688" s="12"/>
    </row>
    <row r="689" ht="19.5" customHeight="1">
      <c r="A689" s="12"/>
      <c r="C689" s="12"/>
      <c r="D689" s="13"/>
      <c r="F689" s="14"/>
      <c r="G689" s="14"/>
      <c r="H689" s="14"/>
      <c r="I689" s="14"/>
      <c r="J689" s="14"/>
      <c r="K689" s="12"/>
    </row>
    <row r="690" ht="19.5" customHeight="1">
      <c r="A690" s="12"/>
      <c r="C690" s="12"/>
      <c r="D690" s="13"/>
      <c r="F690" s="14"/>
      <c r="G690" s="14"/>
      <c r="H690" s="14"/>
      <c r="I690" s="14"/>
      <c r="J690" s="14"/>
      <c r="K690" s="12"/>
    </row>
    <row r="691" ht="19.5" customHeight="1">
      <c r="A691" s="12"/>
      <c r="C691" s="12"/>
      <c r="D691" s="13"/>
      <c r="F691" s="14"/>
      <c r="G691" s="14"/>
      <c r="H691" s="14"/>
      <c r="I691" s="14"/>
      <c r="J691" s="14"/>
      <c r="K691" s="12"/>
    </row>
    <row r="692" ht="19.5" customHeight="1">
      <c r="A692" s="12"/>
      <c r="C692" s="12"/>
      <c r="D692" s="13"/>
      <c r="F692" s="14"/>
      <c r="G692" s="14"/>
      <c r="H692" s="14"/>
      <c r="I692" s="14"/>
      <c r="J692" s="14"/>
      <c r="K692" s="12"/>
    </row>
    <row r="693" ht="19.5" customHeight="1">
      <c r="A693" s="12"/>
      <c r="C693" s="12"/>
      <c r="D693" s="13"/>
      <c r="F693" s="14"/>
      <c r="G693" s="14"/>
      <c r="H693" s="14"/>
      <c r="I693" s="14"/>
      <c r="J693" s="14"/>
      <c r="K693" s="12"/>
    </row>
    <row r="694" ht="19.5" customHeight="1">
      <c r="A694" s="12"/>
      <c r="C694" s="12"/>
      <c r="D694" s="13"/>
      <c r="F694" s="14"/>
      <c r="G694" s="14"/>
      <c r="H694" s="14"/>
      <c r="I694" s="14"/>
      <c r="J694" s="14"/>
      <c r="K694" s="12"/>
    </row>
    <row r="695" ht="19.5" customHeight="1">
      <c r="A695" s="12"/>
      <c r="C695" s="12"/>
      <c r="D695" s="13"/>
      <c r="F695" s="14"/>
      <c r="G695" s="14"/>
      <c r="H695" s="14"/>
      <c r="I695" s="14"/>
      <c r="J695" s="14"/>
      <c r="K695" s="12"/>
    </row>
    <row r="696" ht="19.5" customHeight="1">
      <c r="A696" s="12"/>
      <c r="C696" s="12"/>
      <c r="D696" s="13"/>
      <c r="F696" s="14"/>
      <c r="G696" s="14"/>
      <c r="H696" s="14"/>
      <c r="I696" s="14"/>
      <c r="J696" s="14"/>
      <c r="K696" s="12"/>
    </row>
    <row r="697" ht="19.5" customHeight="1">
      <c r="A697" s="12"/>
      <c r="C697" s="12"/>
      <c r="D697" s="13"/>
      <c r="F697" s="14"/>
      <c r="G697" s="14"/>
      <c r="H697" s="14"/>
      <c r="I697" s="14"/>
      <c r="J697" s="14"/>
      <c r="K697" s="12"/>
    </row>
    <row r="698" ht="19.5" customHeight="1">
      <c r="A698" s="12"/>
      <c r="C698" s="12"/>
      <c r="D698" s="13"/>
      <c r="F698" s="14"/>
      <c r="G698" s="14"/>
      <c r="H698" s="14"/>
      <c r="I698" s="14"/>
      <c r="J698" s="14"/>
      <c r="K698" s="12"/>
    </row>
    <row r="699" ht="19.5" customHeight="1">
      <c r="A699" s="12"/>
      <c r="C699" s="12"/>
      <c r="D699" s="13"/>
      <c r="F699" s="14"/>
      <c r="G699" s="14"/>
      <c r="H699" s="14"/>
      <c r="I699" s="14"/>
      <c r="J699" s="14"/>
      <c r="K699" s="12"/>
    </row>
    <row r="700" ht="19.5" customHeight="1">
      <c r="A700" s="12"/>
      <c r="C700" s="12"/>
      <c r="D700" s="13"/>
      <c r="F700" s="14"/>
      <c r="G700" s="14"/>
      <c r="H700" s="14"/>
      <c r="I700" s="14"/>
      <c r="J700" s="14"/>
      <c r="K700" s="12"/>
    </row>
    <row r="701" ht="19.5" customHeight="1">
      <c r="A701" s="12"/>
      <c r="C701" s="12"/>
      <c r="D701" s="13"/>
      <c r="F701" s="14"/>
      <c r="G701" s="14"/>
      <c r="H701" s="14"/>
      <c r="I701" s="14"/>
      <c r="J701" s="14"/>
      <c r="K701" s="12"/>
    </row>
    <row r="702" ht="19.5" customHeight="1">
      <c r="A702" s="12"/>
      <c r="C702" s="12"/>
      <c r="D702" s="13"/>
      <c r="F702" s="14"/>
      <c r="G702" s="14"/>
      <c r="H702" s="14"/>
      <c r="I702" s="14"/>
      <c r="J702" s="14"/>
      <c r="K702" s="12"/>
    </row>
    <row r="703" ht="19.5" customHeight="1">
      <c r="A703" s="12"/>
      <c r="C703" s="12"/>
      <c r="D703" s="13"/>
      <c r="F703" s="14"/>
      <c r="G703" s="14"/>
      <c r="H703" s="14"/>
      <c r="I703" s="14"/>
      <c r="J703" s="14"/>
      <c r="K703" s="12"/>
    </row>
    <row r="704" ht="19.5" customHeight="1">
      <c r="A704" s="12"/>
      <c r="C704" s="12"/>
      <c r="D704" s="13"/>
      <c r="F704" s="14"/>
      <c r="G704" s="14"/>
      <c r="H704" s="14"/>
      <c r="I704" s="14"/>
      <c r="J704" s="14"/>
      <c r="K704" s="12"/>
    </row>
    <row r="705" ht="19.5" customHeight="1">
      <c r="A705" s="12"/>
      <c r="C705" s="12"/>
      <c r="D705" s="13"/>
      <c r="F705" s="14"/>
      <c r="G705" s="14"/>
      <c r="H705" s="14"/>
      <c r="I705" s="14"/>
      <c r="J705" s="14"/>
      <c r="K705" s="12"/>
    </row>
    <row r="706" ht="19.5" customHeight="1">
      <c r="A706" s="12"/>
      <c r="C706" s="12"/>
      <c r="D706" s="13"/>
      <c r="F706" s="14"/>
      <c r="G706" s="14"/>
      <c r="H706" s="14"/>
      <c r="I706" s="14"/>
      <c r="J706" s="14"/>
      <c r="K706" s="12"/>
    </row>
    <row r="707" ht="19.5" customHeight="1">
      <c r="A707" s="12"/>
      <c r="C707" s="12"/>
      <c r="D707" s="13"/>
      <c r="F707" s="14"/>
      <c r="G707" s="14"/>
      <c r="H707" s="14"/>
      <c r="I707" s="14"/>
      <c r="J707" s="14"/>
      <c r="K707" s="12"/>
    </row>
    <row r="708" ht="19.5" customHeight="1">
      <c r="A708" s="12"/>
      <c r="C708" s="12"/>
      <c r="D708" s="13"/>
      <c r="F708" s="14"/>
      <c r="G708" s="14"/>
      <c r="H708" s="14"/>
      <c r="I708" s="14"/>
      <c r="J708" s="14"/>
      <c r="K708" s="12"/>
    </row>
    <row r="709" ht="19.5" customHeight="1">
      <c r="A709" s="12"/>
      <c r="C709" s="12"/>
      <c r="D709" s="13"/>
      <c r="F709" s="14"/>
      <c r="G709" s="14"/>
      <c r="H709" s="14"/>
      <c r="I709" s="14"/>
      <c r="J709" s="14"/>
      <c r="K709" s="12"/>
    </row>
    <row r="710" ht="19.5" customHeight="1">
      <c r="A710" s="12"/>
      <c r="C710" s="12"/>
      <c r="D710" s="13"/>
      <c r="F710" s="14"/>
      <c r="G710" s="14"/>
      <c r="H710" s="14"/>
      <c r="I710" s="14"/>
      <c r="J710" s="14"/>
      <c r="K710" s="12"/>
    </row>
    <row r="711" ht="19.5" customHeight="1">
      <c r="A711" s="12"/>
      <c r="C711" s="12"/>
      <c r="D711" s="13"/>
      <c r="F711" s="14"/>
      <c r="G711" s="14"/>
      <c r="H711" s="14"/>
      <c r="I711" s="14"/>
      <c r="J711" s="14"/>
      <c r="K711" s="12"/>
    </row>
    <row r="712" ht="19.5" customHeight="1">
      <c r="A712" s="12"/>
      <c r="C712" s="12"/>
      <c r="D712" s="13"/>
      <c r="F712" s="14"/>
      <c r="G712" s="14"/>
      <c r="H712" s="14"/>
      <c r="I712" s="14"/>
      <c r="J712" s="14"/>
      <c r="K712" s="12"/>
    </row>
    <row r="713" ht="19.5" customHeight="1">
      <c r="A713" s="12"/>
      <c r="C713" s="12"/>
      <c r="D713" s="13"/>
      <c r="F713" s="14"/>
      <c r="G713" s="14"/>
      <c r="H713" s="14"/>
      <c r="I713" s="14"/>
      <c r="J713" s="14"/>
      <c r="K713" s="12"/>
    </row>
    <row r="714" ht="19.5" customHeight="1">
      <c r="A714" s="12"/>
      <c r="C714" s="12"/>
      <c r="D714" s="13"/>
      <c r="F714" s="14"/>
      <c r="G714" s="14"/>
      <c r="H714" s="14"/>
      <c r="I714" s="14"/>
      <c r="J714" s="14"/>
      <c r="K714" s="12"/>
    </row>
    <row r="715" ht="19.5" customHeight="1">
      <c r="A715" s="12"/>
      <c r="C715" s="12"/>
      <c r="D715" s="13"/>
      <c r="F715" s="14"/>
      <c r="G715" s="14"/>
      <c r="H715" s="14"/>
      <c r="I715" s="14"/>
      <c r="J715" s="14"/>
      <c r="K715" s="12"/>
    </row>
    <row r="716" ht="19.5" customHeight="1">
      <c r="A716" s="12"/>
      <c r="C716" s="12"/>
      <c r="D716" s="13"/>
      <c r="F716" s="14"/>
      <c r="G716" s="14"/>
      <c r="H716" s="14"/>
      <c r="I716" s="14"/>
      <c r="J716" s="14"/>
      <c r="K716" s="12"/>
    </row>
    <row r="717" ht="19.5" customHeight="1">
      <c r="A717" s="12"/>
      <c r="C717" s="12"/>
      <c r="D717" s="13"/>
      <c r="F717" s="14"/>
      <c r="G717" s="14"/>
      <c r="H717" s="14"/>
      <c r="I717" s="14"/>
      <c r="J717" s="14"/>
      <c r="K717" s="12"/>
    </row>
    <row r="718" ht="19.5" customHeight="1">
      <c r="A718" s="12"/>
      <c r="C718" s="12"/>
      <c r="D718" s="13"/>
      <c r="F718" s="14"/>
      <c r="G718" s="14"/>
      <c r="H718" s="14"/>
      <c r="I718" s="14"/>
      <c r="J718" s="14"/>
      <c r="K718" s="12"/>
    </row>
    <row r="719" ht="19.5" customHeight="1">
      <c r="A719" s="12"/>
      <c r="C719" s="12"/>
      <c r="D719" s="13"/>
      <c r="F719" s="14"/>
      <c r="G719" s="14"/>
      <c r="H719" s="14"/>
      <c r="I719" s="14"/>
      <c r="J719" s="14"/>
      <c r="K719" s="12"/>
    </row>
    <row r="720" ht="19.5" customHeight="1">
      <c r="A720" s="12"/>
      <c r="C720" s="12"/>
      <c r="D720" s="13"/>
      <c r="F720" s="14"/>
      <c r="G720" s="14"/>
      <c r="H720" s="14"/>
      <c r="I720" s="14"/>
      <c r="J720" s="14"/>
      <c r="K720" s="12"/>
    </row>
    <row r="721" ht="19.5" customHeight="1">
      <c r="A721" s="12"/>
      <c r="C721" s="12"/>
      <c r="D721" s="13"/>
      <c r="F721" s="14"/>
      <c r="G721" s="14"/>
      <c r="H721" s="14"/>
      <c r="I721" s="14"/>
      <c r="J721" s="14"/>
      <c r="K721" s="12"/>
    </row>
    <row r="722" ht="19.5" customHeight="1">
      <c r="A722" s="12"/>
      <c r="C722" s="12"/>
      <c r="D722" s="13"/>
      <c r="F722" s="14"/>
      <c r="G722" s="14"/>
      <c r="H722" s="14"/>
      <c r="I722" s="14"/>
      <c r="J722" s="14"/>
      <c r="K722" s="12"/>
    </row>
    <row r="723" ht="19.5" customHeight="1">
      <c r="A723" s="12"/>
      <c r="C723" s="12"/>
      <c r="D723" s="13"/>
      <c r="F723" s="14"/>
      <c r="G723" s="14"/>
      <c r="H723" s="14"/>
      <c r="I723" s="14"/>
      <c r="J723" s="14"/>
      <c r="K723" s="12"/>
    </row>
    <row r="724" ht="19.5" customHeight="1">
      <c r="A724" s="12"/>
      <c r="C724" s="12"/>
      <c r="D724" s="13"/>
      <c r="F724" s="14"/>
      <c r="G724" s="14"/>
      <c r="H724" s="14"/>
      <c r="I724" s="14"/>
      <c r="J724" s="14"/>
      <c r="K724" s="12"/>
    </row>
    <row r="725" ht="19.5" customHeight="1">
      <c r="A725" s="12"/>
      <c r="C725" s="12"/>
      <c r="D725" s="13"/>
      <c r="F725" s="14"/>
      <c r="G725" s="14"/>
      <c r="H725" s="14"/>
      <c r="I725" s="14"/>
      <c r="J725" s="14"/>
      <c r="K725" s="12"/>
    </row>
    <row r="726" ht="19.5" customHeight="1">
      <c r="A726" s="12"/>
      <c r="C726" s="12"/>
      <c r="D726" s="13"/>
      <c r="F726" s="14"/>
      <c r="G726" s="14"/>
      <c r="H726" s="14"/>
      <c r="I726" s="14"/>
      <c r="J726" s="14"/>
      <c r="K726" s="12"/>
    </row>
    <row r="727" ht="19.5" customHeight="1">
      <c r="A727" s="12"/>
      <c r="C727" s="12"/>
      <c r="D727" s="13"/>
      <c r="F727" s="14"/>
      <c r="G727" s="14"/>
      <c r="H727" s="14"/>
      <c r="I727" s="14"/>
      <c r="J727" s="14"/>
      <c r="K727" s="12"/>
    </row>
    <row r="728" ht="19.5" customHeight="1">
      <c r="A728" s="12"/>
      <c r="C728" s="12"/>
      <c r="D728" s="13"/>
      <c r="F728" s="14"/>
      <c r="G728" s="14"/>
      <c r="H728" s="14"/>
      <c r="I728" s="14"/>
      <c r="J728" s="14"/>
      <c r="K728" s="12"/>
    </row>
    <row r="729" ht="19.5" customHeight="1">
      <c r="A729" s="12"/>
      <c r="C729" s="12"/>
      <c r="D729" s="13"/>
      <c r="F729" s="14"/>
      <c r="G729" s="14"/>
      <c r="H729" s="14"/>
      <c r="I729" s="14"/>
      <c r="J729" s="14"/>
      <c r="K729" s="12"/>
    </row>
    <row r="730" ht="19.5" customHeight="1">
      <c r="A730" s="12"/>
      <c r="C730" s="12"/>
      <c r="D730" s="13"/>
      <c r="F730" s="14"/>
      <c r="G730" s="14"/>
      <c r="H730" s="14"/>
      <c r="I730" s="14"/>
      <c r="J730" s="14"/>
      <c r="K730" s="12"/>
    </row>
    <row r="731" ht="19.5" customHeight="1">
      <c r="A731" s="12"/>
      <c r="C731" s="12"/>
      <c r="D731" s="13"/>
      <c r="F731" s="14"/>
      <c r="G731" s="14"/>
      <c r="H731" s="14"/>
      <c r="I731" s="14"/>
      <c r="J731" s="14"/>
      <c r="K731" s="12"/>
    </row>
    <row r="732" ht="19.5" customHeight="1">
      <c r="A732" s="12"/>
      <c r="C732" s="12"/>
      <c r="D732" s="13"/>
      <c r="F732" s="14"/>
      <c r="G732" s="14"/>
      <c r="H732" s="14"/>
      <c r="I732" s="14"/>
      <c r="J732" s="14"/>
      <c r="K732" s="12"/>
    </row>
    <row r="733" ht="19.5" customHeight="1">
      <c r="A733" s="12"/>
      <c r="C733" s="12"/>
      <c r="D733" s="13"/>
      <c r="F733" s="14"/>
      <c r="G733" s="14"/>
      <c r="H733" s="14"/>
      <c r="I733" s="14"/>
      <c r="J733" s="14"/>
      <c r="K733" s="12"/>
    </row>
    <row r="734" ht="19.5" customHeight="1">
      <c r="A734" s="12"/>
      <c r="C734" s="12"/>
      <c r="D734" s="13"/>
      <c r="F734" s="14"/>
      <c r="G734" s="14"/>
      <c r="H734" s="14"/>
      <c r="I734" s="14"/>
      <c r="J734" s="14"/>
      <c r="K734" s="12"/>
    </row>
    <row r="735" ht="19.5" customHeight="1">
      <c r="A735" s="12"/>
      <c r="C735" s="12"/>
      <c r="D735" s="13"/>
      <c r="F735" s="14"/>
      <c r="G735" s="14"/>
      <c r="H735" s="14"/>
      <c r="I735" s="14"/>
      <c r="J735" s="14"/>
      <c r="K735" s="12"/>
    </row>
    <row r="736" ht="19.5" customHeight="1">
      <c r="A736" s="12"/>
      <c r="C736" s="12"/>
      <c r="D736" s="13"/>
      <c r="F736" s="14"/>
      <c r="G736" s="14"/>
      <c r="H736" s="14"/>
      <c r="I736" s="14"/>
      <c r="J736" s="14"/>
      <c r="K736" s="12"/>
    </row>
    <row r="737" ht="19.5" customHeight="1">
      <c r="A737" s="12"/>
      <c r="C737" s="12"/>
      <c r="D737" s="13"/>
      <c r="F737" s="14"/>
      <c r="G737" s="14"/>
      <c r="H737" s="14"/>
      <c r="I737" s="14"/>
      <c r="J737" s="14"/>
      <c r="K737" s="12"/>
    </row>
    <row r="738" ht="19.5" customHeight="1">
      <c r="A738" s="12"/>
      <c r="C738" s="12"/>
      <c r="D738" s="13"/>
      <c r="F738" s="14"/>
      <c r="G738" s="14"/>
      <c r="H738" s="14"/>
      <c r="I738" s="14"/>
      <c r="J738" s="14"/>
      <c r="K738" s="12"/>
    </row>
    <row r="739" ht="19.5" customHeight="1">
      <c r="A739" s="12"/>
      <c r="C739" s="12"/>
      <c r="D739" s="13"/>
      <c r="F739" s="14"/>
      <c r="G739" s="14"/>
      <c r="H739" s="14"/>
      <c r="I739" s="14"/>
      <c r="J739" s="14"/>
      <c r="K739" s="12"/>
    </row>
    <row r="740" ht="19.5" customHeight="1">
      <c r="A740" s="12"/>
      <c r="C740" s="12"/>
      <c r="D740" s="13"/>
      <c r="F740" s="14"/>
      <c r="G740" s="14"/>
      <c r="H740" s="14"/>
      <c r="I740" s="14"/>
      <c r="J740" s="14"/>
      <c r="K740" s="12"/>
    </row>
    <row r="741" ht="19.5" customHeight="1">
      <c r="A741" s="12"/>
      <c r="C741" s="12"/>
      <c r="D741" s="13"/>
      <c r="F741" s="14"/>
      <c r="G741" s="14"/>
      <c r="H741" s="14"/>
      <c r="I741" s="14"/>
      <c r="J741" s="14"/>
      <c r="K741" s="12"/>
    </row>
    <row r="742" ht="19.5" customHeight="1">
      <c r="A742" s="12"/>
      <c r="C742" s="12"/>
      <c r="D742" s="13"/>
      <c r="F742" s="14"/>
      <c r="G742" s="14"/>
      <c r="H742" s="14"/>
      <c r="I742" s="14"/>
      <c r="J742" s="14"/>
      <c r="K742" s="12"/>
    </row>
    <row r="743" ht="19.5" customHeight="1">
      <c r="A743" s="12"/>
      <c r="C743" s="12"/>
      <c r="D743" s="13"/>
      <c r="F743" s="14"/>
      <c r="G743" s="14"/>
      <c r="H743" s="14"/>
      <c r="I743" s="14"/>
      <c r="J743" s="14"/>
      <c r="K743" s="12"/>
    </row>
    <row r="744" ht="19.5" customHeight="1">
      <c r="A744" s="12"/>
      <c r="C744" s="12"/>
      <c r="D744" s="13"/>
      <c r="F744" s="14"/>
      <c r="G744" s="14"/>
      <c r="H744" s="14"/>
      <c r="I744" s="14"/>
      <c r="J744" s="14"/>
      <c r="K744" s="12"/>
    </row>
    <row r="745" ht="19.5" customHeight="1">
      <c r="A745" s="12"/>
      <c r="C745" s="12"/>
      <c r="D745" s="13"/>
      <c r="F745" s="14"/>
      <c r="G745" s="14"/>
      <c r="H745" s="14"/>
      <c r="I745" s="14"/>
      <c r="J745" s="14"/>
      <c r="K745" s="12"/>
    </row>
    <row r="746" ht="19.5" customHeight="1">
      <c r="A746" s="12"/>
      <c r="C746" s="12"/>
      <c r="D746" s="13"/>
      <c r="F746" s="14"/>
      <c r="G746" s="14"/>
      <c r="H746" s="14"/>
      <c r="I746" s="14"/>
      <c r="J746" s="14"/>
      <c r="K746" s="12"/>
    </row>
    <row r="747" ht="19.5" customHeight="1">
      <c r="A747" s="12"/>
      <c r="C747" s="12"/>
      <c r="D747" s="13"/>
      <c r="F747" s="14"/>
      <c r="G747" s="14"/>
      <c r="H747" s="14"/>
      <c r="I747" s="14"/>
      <c r="J747" s="14"/>
      <c r="K747" s="12"/>
    </row>
    <row r="748" ht="19.5" customHeight="1">
      <c r="A748" s="12"/>
      <c r="C748" s="12"/>
      <c r="D748" s="13"/>
      <c r="F748" s="14"/>
      <c r="G748" s="14"/>
      <c r="H748" s="14"/>
      <c r="I748" s="14"/>
      <c r="J748" s="14"/>
      <c r="K748" s="12"/>
    </row>
    <row r="749" ht="19.5" customHeight="1">
      <c r="A749" s="12"/>
      <c r="C749" s="12"/>
      <c r="D749" s="13"/>
      <c r="F749" s="14"/>
      <c r="G749" s="14"/>
      <c r="H749" s="14"/>
      <c r="I749" s="14"/>
      <c r="J749" s="14"/>
      <c r="K749" s="12"/>
    </row>
    <row r="750" ht="19.5" customHeight="1">
      <c r="A750" s="12"/>
      <c r="C750" s="12"/>
      <c r="D750" s="13"/>
      <c r="F750" s="14"/>
      <c r="G750" s="14"/>
      <c r="H750" s="14"/>
      <c r="I750" s="14"/>
      <c r="J750" s="14"/>
      <c r="K750" s="12"/>
    </row>
    <row r="751" ht="19.5" customHeight="1">
      <c r="A751" s="12"/>
      <c r="C751" s="12"/>
      <c r="D751" s="13"/>
      <c r="F751" s="14"/>
      <c r="G751" s="14"/>
      <c r="H751" s="14"/>
      <c r="I751" s="14"/>
      <c r="J751" s="14"/>
      <c r="K751" s="12"/>
    </row>
    <row r="752" ht="19.5" customHeight="1">
      <c r="A752" s="12"/>
      <c r="C752" s="12"/>
      <c r="D752" s="13"/>
      <c r="F752" s="14"/>
      <c r="G752" s="14"/>
      <c r="H752" s="14"/>
      <c r="I752" s="14"/>
      <c r="J752" s="14"/>
      <c r="K752" s="12"/>
    </row>
    <row r="753" ht="19.5" customHeight="1">
      <c r="A753" s="12"/>
      <c r="C753" s="12"/>
      <c r="D753" s="13"/>
      <c r="F753" s="14"/>
      <c r="G753" s="14"/>
      <c r="H753" s="14"/>
      <c r="I753" s="14"/>
      <c r="J753" s="14"/>
      <c r="K753" s="12"/>
    </row>
    <row r="754" ht="19.5" customHeight="1">
      <c r="A754" s="12"/>
      <c r="C754" s="12"/>
      <c r="D754" s="13"/>
      <c r="F754" s="14"/>
      <c r="G754" s="14"/>
      <c r="H754" s="14"/>
      <c r="I754" s="14"/>
      <c r="J754" s="14"/>
      <c r="K754" s="12"/>
    </row>
    <row r="755" ht="19.5" customHeight="1">
      <c r="A755" s="12"/>
      <c r="C755" s="12"/>
      <c r="D755" s="13"/>
      <c r="F755" s="14"/>
      <c r="G755" s="14"/>
      <c r="H755" s="14"/>
      <c r="I755" s="14"/>
      <c r="J755" s="14"/>
      <c r="K755" s="12"/>
    </row>
    <row r="756" ht="19.5" customHeight="1">
      <c r="A756" s="12"/>
      <c r="C756" s="12"/>
      <c r="D756" s="13"/>
      <c r="F756" s="14"/>
      <c r="G756" s="14"/>
      <c r="H756" s="14"/>
      <c r="I756" s="14"/>
      <c r="J756" s="14"/>
      <c r="K756" s="12"/>
    </row>
    <row r="757" ht="19.5" customHeight="1">
      <c r="A757" s="12"/>
      <c r="C757" s="12"/>
      <c r="D757" s="13"/>
      <c r="F757" s="14"/>
      <c r="G757" s="14"/>
      <c r="H757" s="14"/>
      <c r="I757" s="14"/>
      <c r="J757" s="14"/>
      <c r="K757" s="12"/>
    </row>
    <row r="758" ht="19.5" customHeight="1">
      <c r="A758" s="12"/>
      <c r="C758" s="12"/>
      <c r="D758" s="13"/>
      <c r="F758" s="14"/>
      <c r="G758" s="14"/>
      <c r="H758" s="14"/>
      <c r="I758" s="14"/>
      <c r="J758" s="14"/>
      <c r="K758" s="12"/>
    </row>
    <row r="759" ht="19.5" customHeight="1">
      <c r="A759" s="12"/>
      <c r="C759" s="12"/>
      <c r="D759" s="13"/>
      <c r="F759" s="14"/>
      <c r="G759" s="14"/>
      <c r="H759" s="14"/>
      <c r="I759" s="14"/>
      <c r="J759" s="14"/>
      <c r="K759" s="12"/>
    </row>
    <row r="760" ht="19.5" customHeight="1">
      <c r="A760" s="12"/>
      <c r="C760" s="12"/>
      <c r="D760" s="13"/>
      <c r="F760" s="14"/>
      <c r="G760" s="14"/>
      <c r="H760" s="14"/>
      <c r="I760" s="14"/>
      <c r="J760" s="14"/>
      <c r="K760" s="12"/>
    </row>
    <row r="761" ht="19.5" customHeight="1">
      <c r="A761" s="12"/>
      <c r="C761" s="12"/>
      <c r="D761" s="13"/>
      <c r="F761" s="14"/>
      <c r="G761" s="14"/>
      <c r="H761" s="14"/>
      <c r="I761" s="14"/>
      <c r="J761" s="14"/>
      <c r="K761" s="12"/>
    </row>
    <row r="762" ht="19.5" customHeight="1">
      <c r="A762" s="12"/>
      <c r="C762" s="12"/>
      <c r="D762" s="13"/>
      <c r="F762" s="14"/>
      <c r="G762" s="14"/>
      <c r="H762" s="14"/>
      <c r="I762" s="14"/>
      <c r="J762" s="14"/>
      <c r="K762" s="12"/>
    </row>
    <row r="763" ht="19.5" customHeight="1">
      <c r="A763" s="12"/>
      <c r="C763" s="12"/>
      <c r="D763" s="13"/>
      <c r="F763" s="14"/>
      <c r="G763" s="14"/>
      <c r="H763" s="14"/>
      <c r="I763" s="14"/>
      <c r="J763" s="14"/>
      <c r="K763" s="12"/>
    </row>
    <row r="764" ht="19.5" customHeight="1">
      <c r="A764" s="12"/>
      <c r="C764" s="12"/>
      <c r="D764" s="13"/>
      <c r="F764" s="14"/>
      <c r="G764" s="14"/>
      <c r="H764" s="14"/>
      <c r="I764" s="14"/>
      <c r="J764" s="14"/>
      <c r="K764" s="12"/>
    </row>
    <row r="765" ht="19.5" customHeight="1">
      <c r="A765" s="12"/>
      <c r="C765" s="12"/>
      <c r="D765" s="13"/>
      <c r="F765" s="14"/>
      <c r="G765" s="14"/>
      <c r="H765" s="14"/>
      <c r="I765" s="14"/>
      <c r="J765" s="14"/>
      <c r="K765" s="12"/>
    </row>
    <row r="766" ht="19.5" customHeight="1">
      <c r="A766" s="12"/>
      <c r="C766" s="12"/>
      <c r="D766" s="13"/>
      <c r="F766" s="14"/>
      <c r="G766" s="14"/>
      <c r="H766" s="14"/>
      <c r="I766" s="14"/>
      <c r="J766" s="14"/>
      <c r="K766" s="12"/>
    </row>
    <row r="767" ht="19.5" customHeight="1">
      <c r="A767" s="12"/>
      <c r="C767" s="12"/>
      <c r="D767" s="13"/>
      <c r="F767" s="14"/>
      <c r="G767" s="14"/>
      <c r="H767" s="14"/>
      <c r="I767" s="14"/>
      <c r="J767" s="14"/>
      <c r="K767" s="12"/>
    </row>
    <row r="768" ht="19.5" customHeight="1">
      <c r="A768" s="12"/>
      <c r="C768" s="12"/>
      <c r="D768" s="13"/>
      <c r="F768" s="14"/>
      <c r="G768" s="14"/>
      <c r="H768" s="14"/>
      <c r="I768" s="14"/>
      <c r="J768" s="14"/>
      <c r="K768" s="12"/>
    </row>
    <row r="769" ht="19.5" customHeight="1">
      <c r="A769" s="12"/>
      <c r="C769" s="12"/>
      <c r="D769" s="13"/>
      <c r="F769" s="14"/>
      <c r="G769" s="14"/>
      <c r="H769" s="14"/>
      <c r="I769" s="14"/>
      <c r="J769" s="14"/>
      <c r="K769" s="12"/>
    </row>
    <row r="770" ht="19.5" customHeight="1">
      <c r="A770" s="12"/>
      <c r="C770" s="12"/>
      <c r="D770" s="13"/>
      <c r="F770" s="14"/>
      <c r="G770" s="14"/>
      <c r="H770" s="14"/>
      <c r="I770" s="14"/>
      <c r="J770" s="14"/>
      <c r="K770" s="12"/>
    </row>
    <row r="771" ht="19.5" customHeight="1">
      <c r="A771" s="12"/>
      <c r="C771" s="12"/>
      <c r="D771" s="13"/>
      <c r="F771" s="14"/>
      <c r="G771" s="14"/>
      <c r="H771" s="14"/>
      <c r="I771" s="14"/>
      <c r="J771" s="14"/>
      <c r="K771" s="12"/>
    </row>
    <row r="772" ht="19.5" customHeight="1">
      <c r="A772" s="12"/>
      <c r="C772" s="12"/>
      <c r="D772" s="13"/>
      <c r="F772" s="14"/>
      <c r="G772" s="14"/>
      <c r="H772" s="14"/>
      <c r="I772" s="14"/>
      <c r="J772" s="14"/>
      <c r="K772" s="12"/>
    </row>
    <row r="773" ht="19.5" customHeight="1">
      <c r="A773" s="12"/>
      <c r="C773" s="12"/>
      <c r="D773" s="13"/>
      <c r="F773" s="14"/>
      <c r="G773" s="14"/>
      <c r="H773" s="14"/>
      <c r="I773" s="14"/>
      <c r="J773" s="14"/>
      <c r="K773" s="12"/>
    </row>
    <row r="774" ht="19.5" customHeight="1">
      <c r="A774" s="12"/>
      <c r="C774" s="12"/>
      <c r="D774" s="13"/>
      <c r="F774" s="14"/>
      <c r="G774" s="14"/>
      <c r="H774" s="14"/>
      <c r="I774" s="14"/>
      <c r="J774" s="14"/>
      <c r="K774" s="12"/>
    </row>
    <row r="775" ht="19.5" customHeight="1">
      <c r="A775" s="12"/>
      <c r="C775" s="12"/>
      <c r="D775" s="13"/>
      <c r="F775" s="14"/>
      <c r="G775" s="14"/>
      <c r="H775" s="14"/>
      <c r="I775" s="14"/>
      <c r="J775" s="14"/>
      <c r="K775" s="12"/>
    </row>
    <row r="776" ht="19.5" customHeight="1">
      <c r="A776" s="12"/>
      <c r="C776" s="12"/>
      <c r="D776" s="13"/>
      <c r="F776" s="14"/>
      <c r="G776" s="14"/>
      <c r="H776" s="14"/>
      <c r="I776" s="14"/>
      <c r="J776" s="14"/>
      <c r="K776" s="12"/>
    </row>
    <row r="777" ht="19.5" customHeight="1">
      <c r="A777" s="12"/>
      <c r="C777" s="12"/>
      <c r="D777" s="13"/>
      <c r="F777" s="14"/>
      <c r="G777" s="14"/>
      <c r="H777" s="14"/>
      <c r="I777" s="14"/>
      <c r="J777" s="14"/>
      <c r="K777" s="12"/>
    </row>
    <row r="778" ht="19.5" customHeight="1">
      <c r="A778" s="12"/>
      <c r="C778" s="12"/>
      <c r="D778" s="13"/>
      <c r="F778" s="14"/>
      <c r="G778" s="14"/>
      <c r="H778" s="14"/>
      <c r="I778" s="14"/>
      <c r="J778" s="14"/>
      <c r="K778" s="12"/>
    </row>
    <row r="779" ht="19.5" customHeight="1">
      <c r="A779" s="12"/>
      <c r="C779" s="12"/>
      <c r="D779" s="13"/>
      <c r="F779" s="14"/>
      <c r="G779" s="14"/>
      <c r="H779" s="14"/>
      <c r="I779" s="14"/>
      <c r="J779" s="14"/>
      <c r="K779" s="12"/>
    </row>
    <row r="780" ht="19.5" customHeight="1">
      <c r="A780" s="12"/>
      <c r="C780" s="12"/>
      <c r="D780" s="13"/>
      <c r="F780" s="14"/>
      <c r="G780" s="14"/>
      <c r="H780" s="14"/>
      <c r="I780" s="14"/>
      <c r="J780" s="14"/>
      <c r="K780" s="12"/>
    </row>
    <row r="781" ht="19.5" customHeight="1">
      <c r="A781" s="12"/>
      <c r="C781" s="12"/>
      <c r="D781" s="13"/>
      <c r="F781" s="14"/>
      <c r="G781" s="14"/>
      <c r="H781" s="14"/>
      <c r="I781" s="14"/>
      <c r="J781" s="14"/>
      <c r="K781" s="12"/>
    </row>
    <row r="782" ht="19.5" customHeight="1">
      <c r="A782" s="12"/>
      <c r="C782" s="12"/>
      <c r="D782" s="13"/>
      <c r="F782" s="14"/>
      <c r="G782" s="14"/>
      <c r="H782" s="14"/>
      <c r="I782" s="14"/>
      <c r="J782" s="14"/>
      <c r="K782" s="12"/>
    </row>
    <row r="783" ht="19.5" customHeight="1">
      <c r="A783" s="12"/>
      <c r="C783" s="12"/>
      <c r="D783" s="13"/>
      <c r="F783" s="14"/>
      <c r="G783" s="14"/>
      <c r="H783" s="14"/>
      <c r="I783" s="14"/>
      <c r="J783" s="14"/>
      <c r="K783" s="12"/>
    </row>
    <row r="784" ht="19.5" customHeight="1">
      <c r="A784" s="12"/>
      <c r="C784" s="12"/>
      <c r="D784" s="13"/>
      <c r="F784" s="14"/>
      <c r="G784" s="14"/>
      <c r="H784" s="14"/>
      <c r="I784" s="14"/>
      <c r="J784" s="14"/>
      <c r="K784" s="12"/>
    </row>
    <row r="785" ht="19.5" customHeight="1">
      <c r="A785" s="12"/>
      <c r="C785" s="12"/>
      <c r="D785" s="13"/>
      <c r="F785" s="14"/>
      <c r="G785" s="14"/>
      <c r="H785" s="14"/>
      <c r="I785" s="14"/>
      <c r="J785" s="14"/>
      <c r="K785" s="12"/>
    </row>
    <row r="786" ht="19.5" customHeight="1">
      <c r="A786" s="12"/>
      <c r="C786" s="12"/>
      <c r="D786" s="13"/>
      <c r="F786" s="14"/>
      <c r="G786" s="14"/>
      <c r="H786" s="14"/>
      <c r="I786" s="14"/>
      <c r="J786" s="14"/>
      <c r="K786" s="12"/>
    </row>
    <row r="787" ht="19.5" customHeight="1">
      <c r="A787" s="12"/>
      <c r="C787" s="12"/>
      <c r="D787" s="13"/>
      <c r="F787" s="14"/>
      <c r="G787" s="14"/>
      <c r="H787" s="14"/>
      <c r="I787" s="14"/>
      <c r="J787" s="14"/>
      <c r="K787" s="12"/>
    </row>
    <row r="788" ht="19.5" customHeight="1">
      <c r="A788" s="12"/>
      <c r="C788" s="12"/>
      <c r="D788" s="13"/>
      <c r="F788" s="14"/>
      <c r="G788" s="14"/>
      <c r="H788" s="14"/>
      <c r="I788" s="14"/>
      <c r="J788" s="14"/>
      <c r="K788" s="12"/>
    </row>
    <row r="789" ht="19.5" customHeight="1">
      <c r="A789" s="12"/>
      <c r="C789" s="12"/>
      <c r="D789" s="13"/>
      <c r="F789" s="14"/>
      <c r="G789" s="14"/>
      <c r="H789" s="14"/>
      <c r="I789" s="14"/>
      <c r="J789" s="14"/>
      <c r="K789" s="12"/>
    </row>
    <row r="790" ht="19.5" customHeight="1">
      <c r="A790" s="12"/>
      <c r="C790" s="12"/>
      <c r="D790" s="13"/>
      <c r="F790" s="14"/>
      <c r="G790" s="14"/>
      <c r="H790" s="14"/>
      <c r="I790" s="14"/>
      <c r="J790" s="14"/>
      <c r="K790" s="12"/>
    </row>
    <row r="791" ht="19.5" customHeight="1">
      <c r="A791" s="12"/>
      <c r="C791" s="12"/>
      <c r="D791" s="13"/>
      <c r="F791" s="14"/>
      <c r="G791" s="14"/>
      <c r="H791" s="14"/>
      <c r="I791" s="14"/>
      <c r="J791" s="14"/>
      <c r="K791" s="12"/>
    </row>
    <row r="792" ht="19.5" customHeight="1">
      <c r="A792" s="12"/>
      <c r="C792" s="12"/>
      <c r="D792" s="13"/>
      <c r="F792" s="14"/>
      <c r="G792" s="14"/>
      <c r="H792" s="14"/>
      <c r="I792" s="14"/>
      <c r="J792" s="14"/>
      <c r="K792" s="12"/>
    </row>
    <row r="793" ht="19.5" customHeight="1">
      <c r="A793" s="12"/>
      <c r="C793" s="12"/>
      <c r="D793" s="13"/>
      <c r="F793" s="14"/>
      <c r="G793" s="14"/>
      <c r="H793" s="14"/>
      <c r="I793" s="14"/>
      <c r="J793" s="14"/>
      <c r="K793" s="12"/>
    </row>
    <row r="794" ht="19.5" customHeight="1">
      <c r="A794" s="12"/>
      <c r="C794" s="12"/>
      <c r="D794" s="13"/>
      <c r="F794" s="14"/>
      <c r="G794" s="14"/>
      <c r="H794" s="14"/>
      <c r="I794" s="14"/>
      <c r="J794" s="14"/>
      <c r="K794" s="12"/>
    </row>
    <row r="795" ht="19.5" customHeight="1">
      <c r="A795" s="12"/>
      <c r="C795" s="12"/>
      <c r="D795" s="13"/>
      <c r="F795" s="14"/>
      <c r="G795" s="14"/>
      <c r="H795" s="14"/>
      <c r="I795" s="14"/>
      <c r="J795" s="14"/>
      <c r="K795" s="12"/>
    </row>
    <row r="796" ht="19.5" customHeight="1">
      <c r="A796" s="12"/>
      <c r="C796" s="12"/>
      <c r="D796" s="13"/>
      <c r="F796" s="14"/>
      <c r="G796" s="14"/>
      <c r="H796" s="14"/>
      <c r="I796" s="14"/>
      <c r="J796" s="14"/>
      <c r="K796" s="12"/>
    </row>
    <row r="797" ht="19.5" customHeight="1">
      <c r="A797" s="12"/>
      <c r="C797" s="12"/>
      <c r="D797" s="13"/>
      <c r="F797" s="14"/>
      <c r="G797" s="14"/>
      <c r="H797" s="14"/>
      <c r="I797" s="14"/>
      <c r="J797" s="14"/>
      <c r="K797" s="12"/>
    </row>
    <row r="798" ht="19.5" customHeight="1">
      <c r="A798" s="12"/>
      <c r="C798" s="12"/>
      <c r="D798" s="13"/>
      <c r="F798" s="14"/>
      <c r="G798" s="14"/>
      <c r="H798" s="14"/>
      <c r="I798" s="14"/>
      <c r="J798" s="14"/>
      <c r="K798" s="12"/>
    </row>
    <row r="799" ht="19.5" customHeight="1">
      <c r="A799" s="12"/>
      <c r="C799" s="12"/>
      <c r="D799" s="13"/>
      <c r="F799" s="14"/>
      <c r="G799" s="14"/>
      <c r="H799" s="14"/>
      <c r="I799" s="14"/>
      <c r="J799" s="14"/>
      <c r="K799" s="12"/>
    </row>
    <row r="800" ht="19.5" customHeight="1">
      <c r="A800" s="12"/>
      <c r="C800" s="12"/>
      <c r="D800" s="13"/>
      <c r="F800" s="14"/>
      <c r="G800" s="14"/>
      <c r="H800" s="14"/>
      <c r="I800" s="14"/>
      <c r="J800" s="14"/>
      <c r="K800" s="12"/>
    </row>
    <row r="801" ht="19.5" customHeight="1">
      <c r="A801" s="12"/>
      <c r="C801" s="12"/>
      <c r="D801" s="13"/>
      <c r="F801" s="14"/>
      <c r="G801" s="14"/>
      <c r="H801" s="14"/>
      <c r="I801" s="14"/>
      <c r="J801" s="14"/>
      <c r="K801" s="12"/>
    </row>
    <row r="802" ht="19.5" customHeight="1">
      <c r="A802" s="12"/>
      <c r="C802" s="12"/>
      <c r="D802" s="13"/>
      <c r="F802" s="14"/>
      <c r="G802" s="14"/>
      <c r="H802" s="14"/>
      <c r="I802" s="14"/>
      <c r="J802" s="14"/>
      <c r="K802" s="12"/>
    </row>
    <row r="803" ht="19.5" customHeight="1">
      <c r="A803" s="12"/>
      <c r="C803" s="12"/>
      <c r="D803" s="13"/>
      <c r="F803" s="14"/>
      <c r="G803" s="14"/>
      <c r="H803" s="14"/>
      <c r="I803" s="14"/>
      <c r="J803" s="14"/>
      <c r="K803" s="12"/>
    </row>
    <row r="804" ht="19.5" customHeight="1">
      <c r="A804" s="12"/>
      <c r="C804" s="12"/>
      <c r="D804" s="13"/>
      <c r="F804" s="14"/>
      <c r="G804" s="14"/>
      <c r="H804" s="14"/>
      <c r="I804" s="14"/>
      <c r="J804" s="14"/>
      <c r="K804" s="12"/>
    </row>
    <row r="805" ht="19.5" customHeight="1">
      <c r="A805" s="12"/>
      <c r="C805" s="12"/>
      <c r="D805" s="13"/>
      <c r="F805" s="14"/>
      <c r="G805" s="14"/>
      <c r="H805" s="14"/>
      <c r="I805" s="14"/>
      <c r="J805" s="14"/>
      <c r="K805" s="12"/>
    </row>
    <row r="806" ht="19.5" customHeight="1">
      <c r="A806" s="12"/>
      <c r="C806" s="12"/>
      <c r="D806" s="13"/>
      <c r="F806" s="14"/>
      <c r="G806" s="14"/>
      <c r="H806" s="14"/>
      <c r="I806" s="14"/>
      <c r="J806" s="14"/>
      <c r="K806" s="12"/>
    </row>
    <row r="807" ht="19.5" customHeight="1">
      <c r="A807" s="12"/>
      <c r="C807" s="12"/>
      <c r="D807" s="13"/>
      <c r="F807" s="14"/>
      <c r="G807" s="14"/>
      <c r="H807" s="14"/>
      <c r="I807" s="14"/>
      <c r="J807" s="14"/>
      <c r="K807" s="12"/>
    </row>
    <row r="808" ht="19.5" customHeight="1">
      <c r="A808" s="12"/>
      <c r="C808" s="12"/>
      <c r="D808" s="13"/>
      <c r="F808" s="14"/>
      <c r="G808" s="14"/>
      <c r="H808" s="14"/>
      <c r="I808" s="14"/>
      <c r="J808" s="14"/>
      <c r="K808" s="12"/>
    </row>
    <row r="809" ht="19.5" customHeight="1">
      <c r="A809" s="12"/>
      <c r="C809" s="12"/>
      <c r="D809" s="13"/>
      <c r="F809" s="14"/>
      <c r="G809" s="14"/>
      <c r="H809" s="14"/>
      <c r="I809" s="14"/>
      <c r="J809" s="14"/>
      <c r="K809" s="12"/>
    </row>
    <row r="810" ht="19.5" customHeight="1">
      <c r="A810" s="12"/>
      <c r="C810" s="12"/>
      <c r="D810" s="13"/>
      <c r="F810" s="14"/>
      <c r="G810" s="14"/>
      <c r="H810" s="14"/>
      <c r="I810" s="14"/>
      <c r="J810" s="14"/>
      <c r="K810" s="12"/>
    </row>
    <row r="811" ht="19.5" customHeight="1">
      <c r="A811" s="12"/>
      <c r="C811" s="12"/>
      <c r="D811" s="13"/>
      <c r="F811" s="14"/>
      <c r="G811" s="14"/>
      <c r="H811" s="14"/>
      <c r="I811" s="14"/>
      <c r="J811" s="14"/>
      <c r="K811" s="12"/>
    </row>
    <row r="812" ht="19.5" customHeight="1">
      <c r="A812" s="12"/>
      <c r="C812" s="12"/>
      <c r="D812" s="13"/>
      <c r="F812" s="14"/>
      <c r="G812" s="14"/>
      <c r="H812" s="14"/>
      <c r="I812" s="14"/>
      <c r="J812" s="14"/>
      <c r="K812" s="12"/>
    </row>
    <row r="813" ht="19.5" customHeight="1">
      <c r="A813" s="12"/>
      <c r="C813" s="12"/>
      <c r="D813" s="13"/>
      <c r="F813" s="14"/>
      <c r="G813" s="14"/>
      <c r="H813" s="14"/>
      <c r="I813" s="14"/>
      <c r="J813" s="14"/>
      <c r="K813" s="12"/>
    </row>
    <row r="814" ht="19.5" customHeight="1">
      <c r="A814" s="12"/>
      <c r="C814" s="12"/>
      <c r="D814" s="13"/>
      <c r="F814" s="14"/>
      <c r="G814" s="14"/>
      <c r="H814" s="14"/>
      <c r="I814" s="14"/>
      <c r="J814" s="14"/>
      <c r="K814" s="12"/>
    </row>
    <row r="815" ht="19.5" customHeight="1">
      <c r="A815" s="12"/>
      <c r="C815" s="12"/>
      <c r="D815" s="13"/>
      <c r="F815" s="14"/>
      <c r="G815" s="14"/>
      <c r="H815" s="14"/>
      <c r="I815" s="14"/>
      <c r="J815" s="14"/>
      <c r="K815" s="12"/>
    </row>
    <row r="816" ht="19.5" customHeight="1">
      <c r="A816" s="12"/>
      <c r="C816" s="12"/>
      <c r="D816" s="13"/>
      <c r="F816" s="14"/>
      <c r="G816" s="14"/>
      <c r="H816" s="14"/>
      <c r="I816" s="14"/>
      <c r="J816" s="14"/>
      <c r="K816" s="12"/>
    </row>
    <row r="817" ht="19.5" customHeight="1">
      <c r="A817" s="12"/>
      <c r="C817" s="12"/>
      <c r="D817" s="13"/>
      <c r="F817" s="14"/>
      <c r="G817" s="14"/>
      <c r="H817" s="14"/>
      <c r="I817" s="14"/>
      <c r="J817" s="14"/>
      <c r="K817" s="12"/>
    </row>
    <row r="818" ht="19.5" customHeight="1">
      <c r="A818" s="12"/>
      <c r="C818" s="12"/>
      <c r="D818" s="13"/>
      <c r="F818" s="14"/>
      <c r="G818" s="14"/>
      <c r="H818" s="14"/>
      <c r="I818" s="14"/>
      <c r="J818" s="14"/>
      <c r="K818" s="12"/>
    </row>
    <row r="819" ht="19.5" customHeight="1">
      <c r="A819" s="12"/>
      <c r="C819" s="12"/>
      <c r="D819" s="13"/>
      <c r="F819" s="14"/>
      <c r="G819" s="14"/>
      <c r="H819" s="14"/>
      <c r="I819" s="14"/>
      <c r="J819" s="14"/>
      <c r="K819" s="12"/>
    </row>
    <row r="820" ht="19.5" customHeight="1">
      <c r="A820" s="12"/>
      <c r="C820" s="12"/>
      <c r="D820" s="13"/>
      <c r="F820" s="14"/>
      <c r="G820" s="14"/>
      <c r="H820" s="14"/>
      <c r="I820" s="14"/>
      <c r="J820" s="14"/>
      <c r="K820" s="12"/>
    </row>
    <row r="821" ht="19.5" customHeight="1">
      <c r="A821" s="12"/>
      <c r="C821" s="12"/>
      <c r="D821" s="13"/>
      <c r="F821" s="14"/>
      <c r="G821" s="14"/>
      <c r="H821" s="14"/>
      <c r="I821" s="14"/>
      <c r="J821" s="14"/>
      <c r="K821" s="12"/>
    </row>
    <row r="822" ht="19.5" customHeight="1">
      <c r="A822" s="12"/>
      <c r="C822" s="12"/>
      <c r="D822" s="13"/>
      <c r="F822" s="14"/>
      <c r="G822" s="14"/>
      <c r="H822" s="14"/>
      <c r="I822" s="14"/>
      <c r="J822" s="14"/>
      <c r="K822" s="12"/>
    </row>
    <row r="823" ht="19.5" customHeight="1">
      <c r="A823" s="12"/>
      <c r="C823" s="12"/>
      <c r="D823" s="13"/>
      <c r="F823" s="14"/>
      <c r="G823" s="14"/>
      <c r="H823" s="14"/>
      <c r="I823" s="14"/>
      <c r="J823" s="14"/>
      <c r="K823" s="12"/>
    </row>
    <row r="824" ht="19.5" customHeight="1">
      <c r="A824" s="12"/>
      <c r="C824" s="12"/>
      <c r="D824" s="13"/>
      <c r="F824" s="14"/>
      <c r="G824" s="14"/>
      <c r="H824" s="14"/>
      <c r="I824" s="14"/>
      <c r="J824" s="14"/>
      <c r="K824" s="12"/>
    </row>
    <row r="825" ht="19.5" customHeight="1">
      <c r="A825" s="12"/>
      <c r="C825" s="12"/>
      <c r="D825" s="13"/>
      <c r="F825" s="14"/>
      <c r="G825" s="14"/>
      <c r="H825" s="14"/>
      <c r="I825" s="14"/>
      <c r="J825" s="14"/>
      <c r="K825" s="12"/>
    </row>
    <row r="826" ht="19.5" customHeight="1">
      <c r="A826" s="12"/>
      <c r="C826" s="12"/>
      <c r="D826" s="13"/>
      <c r="F826" s="14"/>
      <c r="G826" s="14"/>
      <c r="H826" s="14"/>
      <c r="I826" s="14"/>
      <c r="J826" s="14"/>
      <c r="K826" s="12"/>
    </row>
    <row r="827" ht="19.5" customHeight="1">
      <c r="A827" s="12"/>
      <c r="C827" s="12"/>
      <c r="D827" s="13"/>
      <c r="F827" s="14"/>
      <c r="G827" s="14"/>
      <c r="H827" s="14"/>
      <c r="I827" s="14"/>
      <c r="J827" s="14"/>
      <c r="K827" s="12"/>
    </row>
    <row r="828" ht="19.5" customHeight="1">
      <c r="A828" s="12"/>
      <c r="C828" s="12"/>
      <c r="D828" s="13"/>
      <c r="F828" s="14"/>
      <c r="G828" s="14"/>
      <c r="H828" s="14"/>
      <c r="I828" s="14"/>
      <c r="J828" s="14"/>
      <c r="K828" s="12"/>
    </row>
    <row r="829" ht="19.5" customHeight="1">
      <c r="A829" s="12"/>
      <c r="C829" s="12"/>
      <c r="D829" s="13"/>
      <c r="F829" s="14"/>
      <c r="G829" s="14"/>
      <c r="H829" s="14"/>
      <c r="I829" s="14"/>
      <c r="J829" s="14"/>
      <c r="K829" s="12"/>
    </row>
    <row r="830" ht="19.5" customHeight="1">
      <c r="A830" s="12"/>
      <c r="C830" s="12"/>
      <c r="D830" s="13"/>
      <c r="F830" s="14"/>
      <c r="G830" s="14"/>
      <c r="H830" s="14"/>
      <c r="I830" s="14"/>
      <c r="J830" s="14"/>
      <c r="K830" s="12"/>
    </row>
    <row r="831" ht="19.5" customHeight="1">
      <c r="A831" s="12"/>
      <c r="C831" s="12"/>
      <c r="D831" s="13"/>
      <c r="F831" s="14"/>
      <c r="G831" s="14"/>
      <c r="H831" s="14"/>
      <c r="I831" s="14"/>
      <c r="J831" s="14"/>
      <c r="K831" s="12"/>
    </row>
    <row r="832" ht="19.5" customHeight="1">
      <c r="A832" s="12"/>
      <c r="C832" s="12"/>
      <c r="D832" s="13"/>
      <c r="F832" s="14"/>
      <c r="G832" s="14"/>
      <c r="H832" s="14"/>
      <c r="I832" s="14"/>
      <c r="J832" s="14"/>
      <c r="K832" s="12"/>
    </row>
    <row r="833" ht="19.5" customHeight="1">
      <c r="A833" s="12"/>
      <c r="C833" s="12"/>
      <c r="D833" s="13"/>
      <c r="F833" s="14"/>
      <c r="G833" s="14"/>
      <c r="H833" s="14"/>
      <c r="I833" s="14"/>
      <c r="J833" s="14"/>
      <c r="K833" s="12"/>
    </row>
    <row r="834" ht="19.5" customHeight="1">
      <c r="A834" s="12"/>
      <c r="C834" s="12"/>
      <c r="D834" s="13"/>
      <c r="F834" s="14"/>
      <c r="G834" s="14"/>
      <c r="H834" s="14"/>
      <c r="I834" s="14"/>
      <c r="J834" s="14"/>
      <c r="K834" s="12"/>
    </row>
    <row r="835" ht="19.5" customHeight="1">
      <c r="A835" s="12"/>
      <c r="C835" s="12"/>
      <c r="D835" s="13"/>
      <c r="F835" s="14"/>
      <c r="G835" s="14"/>
      <c r="H835" s="14"/>
      <c r="I835" s="14"/>
      <c r="J835" s="14"/>
      <c r="K835" s="12"/>
    </row>
    <row r="836" ht="19.5" customHeight="1">
      <c r="A836" s="12"/>
      <c r="C836" s="12"/>
      <c r="D836" s="13"/>
      <c r="F836" s="14"/>
      <c r="G836" s="14"/>
      <c r="H836" s="14"/>
      <c r="I836" s="14"/>
      <c r="J836" s="14"/>
      <c r="K836" s="12"/>
    </row>
    <row r="837" ht="19.5" customHeight="1">
      <c r="A837" s="12"/>
      <c r="C837" s="12"/>
      <c r="D837" s="13"/>
      <c r="F837" s="14"/>
      <c r="G837" s="14"/>
      <c r="H837" s="14"/>
      <c r="I837" s="14"/>
      <c r="J837" s="14"/>
      <c r="K837" s="12"/>
    </row>
    <row r="838" ht="19.5" customHeight="1">
      <c r="A838" s="12"/>
      <c r="C838" s="12"/>
      <c r="D838" s="13"/>
      <c r="F838" s="14"/>
      <c r="G838" s="14"/>
      <c r="H838" s="14"/>
      <c r="I838" s="14"/>
      <c r="J838" s="14"/>
      <c r="K838" s="12"/>
    </row>
    <row r="839" ht="19.5" customHeight="1">
      <c r="A839" s="12"/>
      <c r="C839" s="12"/>
      <c r="D839" s="13"/>
      <c r="F839" s="14"/>
      <c r="G839" s="14"/>
      <c r="H839" s="14"/>
      <c r="I839" s="14"/>
      <c r="J839" s="14"/>
      <c r="K839" s="12"/>
    </row>
    <row r="840" ht="19.5" customHeight="1">
      <c r="A840" s="12"/>
      <c r="C840" s="12"/>
      <c r="D840" s="13"/>
      <c r="F840" s="14"/>
      <c r="G840" s="14"/>
      <c r="H840" s="14"/>
      <c r="I840" s="14"/>
      <c r="J840" s="14"/>
      <c r="K840" s="12"/>
    </row>
    <row r="841" ht="19.5" customHeight="1">
      <c r="A841" s="12"/>
      <c r="C841" s="12"/>
      <c r="D841" s="13"/>
      <c r="F841" s="14"/>
      <c r="G841" s="14"/>
      <c r="H841" s="14"/>
      <c r="I841" s="14"/>
      <c r="J841" s="14"/>
      <c r="K841" s="12"/>
    </row>
    <row r="842" ht="19.5" customHeight="1">
      <c r="A842" s="12"/>
      <c r="C842" s="12"/>
      <c r="D842" s="13"/>
      <c r="F842" s="14"/>
      <c r="G842" s="14"/>
      <c r="H842" s="14"/>
      <c r="I842" s="14"/>
      <c r="J842" s="14"/>
      <c r="K842" s="12"/>
    </row>
    <row r="843" ht="19.5" customHeight="1">
      <c r="A843" s="12"/>
      <c r="C843" s="12"/>
      <c r="D843" s="13"/>
      <c r="F843" s="14"/>
      <c r="G843" s="14"/>
      <c r="H843" s="14"/>
      <c r="I843" s="14"/>
      <c r="J843" s="14"/>
      <c r="K843" s="12"/>
    </row>
    <row r="844" ht="19.5" customHeight="1">
      <c r="A844" s="12"/>
      <c r="C844" s="12"/>
      <c r="D844" s="13"/>
      <c r="F844" s="14"/>
      <c r="G844" s="14"/>
      <c r="H844" s="14"/>
      <c r="I844" s="14"/>
      <c r="J844" s="14"/>
      <c r="K844" s="12"/>
    </row>
    <row r="845" ht="19.5" customHeight="1">
      <c r="A845" s="12"/>
      <c r="C845" s="12"/>
      <c r="D845" s="13"/>
      <c r="F845" s="14"/>
      <c r="G845" s="14"/>
      <c r="H845" s="14"/>
      <c r="I845" s="14"/>
      <c r="J845" s="14"/>
      <c r="K845" s="12"/>
    </row>
    <row r="846" ht="19.5" customHeight="1">
      <c r="A846" s="12"/>
      <c r="C846" s="12"/>
      <c r="D846" s="13"/>
      <c r="F846" s="14"/>
      <c r="G846" s="14"/>
      <c r="H846" s="14"/>
      <c r="I846" s="14"/>
      <c r="J846" s="14"/>
      <c r="K846" s="12"/>
    </row>
    <row r="847" ht="19.5" customHeight="1">
      <c r="A847" s="12"/>
      <c r="C847" s="12"/>
      <c r="D847" s="13"/>
      <c r="F847" s="14"/>
      <c r="G847" s="14"/>
      <c r="H847" s="14"/>
      <c r="I847" s="14"/>
      <c r="J847" s="14"/>
      <c r="K847" s="12"/>
    </row>
    <row r="848" ht="19.5" customHeight="1">
      <c r="A848" s="12"/>
      <c r="C848" s="12"/>
      <c r="D848" s="13"/>
      <c r="F848" s="14"/>
      <c r="G848" s="14"/>
      <c r="H848" s="14"/>
      <c r="I848" s="14"/>
      <c r="J848" s="14"/>
      <c r="K848" s="12"/>
    </row>
    <row r="849" ht="19.5" customHeight="1">
      <c r="A849" s="12"/>
      <c r="C849" s="12"/>
      <c r="D849" s="13"/>
      <c r="F849" s="14"/>
      <c r="G849" s="14"/>
      <c r="H849" s="14"/>
      <c r="I849" s="14"/>
      <c r="J849" s="14"/>
      <c r="K849" s="12"/>
    </row>
    <row r="850" ht="19.5" customHeight="1">
      <c r="A850" s="12"/>
      <c r="C850" s="12"/>
      <c r="D850" s="13"/>
      <c r="F850" s="14"/>
      <c r="G850" s="14"/>
      <c r="H850" s="14"/>
      <c r="I850" s="14"/>
      <c r="J850" s="14"/>
      <c r="K850" s="12"/>
    </row>
    <row r="851" ht="19.5" customHeight="1">
      <c r="A851" s="12"/>
      <c r="C851" s="12"/>
      <c r="D851" s="13"/>
      <c r="F851" s="14"/>
      <c r="G851" s="14"/>
      <c r="H851" s="14"/>
      <c r="I851" s="14"/>
      <c r="J851" s="14"/>
      <c r="K851" s="12"/>
    </row>
    <row r="852" ht="19.5" customHeight="1">
      <c r="A852" s="12"/>
      <c r="C852" s="12"/>
      <c r="D852" s="13"/>
      <c r="F852" s="14"/>
      <c r="G852" s="14"/>
      <c r="H852" s="14"/>
      <c r="I852" s="14"/>
      <c r="J852" s="14"/>
      <c r="K852" s="12"/>
    </row>
    <row r="853" ht="19.5" customHeight="1">
      <c r="A853" s="12"/>
      <c r="C853" s="12"/>
      <c r="D853" s="13"/>
      <c r="F853" s="14"/>
      <c r="G853" s="14"/>
      <c r="H853" s="14"/>
      <c r="I853" s="14"/>
      <c r="J853" s="14"/>
      <c r="K853" s="12"/>
    </row>
    <row r="854" ht="19.5" customHeight="1">
      <c r="A854" s="12"/>
      <c r="C854" s="12"/>
      <c r="D854" s="13"/>
      <c r="F854" s="14"/>
      <c r="G854" s="14"/>
      <c r="H854" s="14"/>
      <c r="I854" s="14"/>
      <c r="J854" s="14"/>
      <c r="K854" s="12"/>
    </row>
    <row r="855" ht="19.5" customHeight="1">
      <c r="A855" s="12"/>
      <c r="C855" s="12"/>
      <c r="D855" s="13"/>
      <c r="F855" s="14"/>
      <c r="G855" s="14"/>
      <c r="H855" s="14"/>
      <c r="I855" s="14"/>
      <c r="J855" s="14"/>
      <c r="K855" s="12"/>
    </row>
    <row r="856" ht="19.5" customHeight="1">
      <c r="A856" s="12"/>
      <c r="C856" s="12"/>
      <c r="D856" s="13"/>
      <c r="F856" s="14"/>
      <c r="G856" s="14"/>
      <c r="H856" s="14"/>
      <c r="I856" s="14"/>
      <c r="J856" s="14"/>
      <c r="K856" s="12"/>
    </row>
    <row r="857" ht="19.5" customHeight="1">
      <c r="A857" s="12"/>
      <c r="C857" s="12"/>
      <c r="D857" s="13"/>
      <c r="F857" s="14"/>
      <c r="G857" s="14"/>
      <c r="H857" s="14"/>
      <c r="I857" s="14"/>
      <c r="J857" s="14"/>
      <c r="K857" s="12"/>
    </row>
    <row r="858" ht="19.5" customHeight="1">
      <c r="A858" s="12"/>
      <c r="C858" s="12"/>
      <c r="D858" s="13"/>
      <c r="F858" s="14"/>
      <c r="G858" s="14"/>
      <c r="H858" s="14"/>
      <c r="I858" s="14"/>
      <c r="J858" s="14"/>
      <c r="K858" s="12"/>
    </row>
    <row r="859" ht="19.5" customHeight="1">
      <c r="A859" s="12"/>
      <c r="C859" s="12"/>
      <c r="D859" s="13"/>
      <c r="F859" s="14"/>
      <c r="G859" s="14"/>
      <c r="H859" s="14"/>
      <c r="I859" s="14"/>
      <c r="J859" s="14"/>
      <c r="K859" s="12"/>
    </row>
    <row r="860" ht="19.5" customHeight="1">
      <c r="A860" s="12"/>
      <c r="C860" s="12"/>
      <c r="D860" s="13"/>
      <c r="F860" s="14"/>
      <c r="G860" s="14"/>
      <c r="H860" s="14"/>
      <c r="I860" s="14"/>
      <c r="J860" s="14"/>
      <c r="K860" s="12"/>
    </row>
    <row r="861" ht="19.5" customHeight="1">
      <c r="A861" s="12"/>
      <c r="C861" s="12"/>
      <c r="D861" s="13"/>
      <c r="F861" s="14"/>
      <c r="G861" s="14"/>
      <c r="H861" s="14"/>
      <c r="I861" s="14"/>
      <c r="J861" s="14"/>
      <c r="K861" s="12"/>
    </row>
    <row r="862" ht="19.5" customHeight="1">
      <c r="A862" s="12"/>
      <c r="C862" s="12"/>
      <c r="D862" s="13"/>
      <c r="F862" s="14"/>
      <c r="G862" s="14"/>
      <c r="H862" s="14"/>
      <c r="I862" s="14"/>
      <c r="J862" s="14"/>
      <c r="K862" s="12"/>
    </row>
    <row r="863" ht="19.5" customHeight="1">
      <c r="A863" s="12"/>
      <c r="C863" s="12"/>
      <c r="D863" s="13"/>
      <c r="F863" s="14"/>
      <c r="G863" s="14"/>
      <c r="H863" s="14"/>
      <c r="I863" s="14"/>
      <c r="J863" s="14"/>
      <c r="K863" s="12"/>
    </row>
    <row r="864" ht="19.5" customHeight="1">
      <c r="A864" s="12"/>
      <c r="C864" s="12"/>
      <c r="D864" s="13"/>
      <c r="F864" s="14"/>
      <c r="G864" s="14"/>
      <c r="H864" s="14"/>
      <c r="I864" s="14"/>
      <c r="J864" s="14"/>
      <c r="K864" s="12"/>
    </row>
    <row r="865" ht="19.5" customHeight="1">
      <c r="A865" s="12"/>
      <c r="C865" s="12"/>
      <c r="D865" s="13"/>
      <c r="F865" s="14"/>
      <c r="G865" s="14"/>
      <c r="H865" s="14"/>
      <c r="I865" s="14"/>
      <c r="J865" s="14"/>
      <c r="K865" s="12"/>
    </row>
    <row r="866" ht="19.5" customHeight="1">
      <c r="A866" s="12"/>
      <c r="C866" s="12"/>
      <c r="D866" s="13"/>
      <c r="F866" s="14"/>
      <c r="G866" s="14"/>
      <c r="H866" s="14"/>
      <c r="I866" s="14"/>
      <c r="J866" s="14"/>
      <c r="K866" s="12"/>
    </row>
    <row r="867" ht="19.5" customHeight="1">
      <c r="A867" s="12"/>
      <c r="C867" s="12"/>
      <c r="D867" s="13"/>
      <c r="F867" s="14"/>
      <c r="G867" s="14"/>
      <c r="H867" s="14"/>
      <c r="I867" s="14"/>
      <c r="J867" s="14"/>
      <c r="K867" s="12"/>
    </row>
    <row r="868" ht="19.5" customHeight="1">
      <c r="A868" s="12"/>
      <c r="C868" s="12"/>
      <c r="D868" s="13"/>
      <c r="F868" s="14"/>
      <c r="G868" s="14"/>
      <c r="H868" s="14"/>
      <c r="I868" s="14"/>
      <c r="J868" s="14"/>
      <c r="K868" s="12"/>
    </row>
    <row r="869" ht="19.5" customHeight="1">
      <c r="A869" s="12"/>
      <c r="C869" s="12"/>
      <c r="D869" s="13"/>
      <c r="F869" s="14"/>
      <c r="G869" s="14"/>
      <c r="H869" s="14"/>
      <c r="I869" s="14"/>
      <c r="J869" s="14"/>
      <c r="K869" s="12"/>
    </row>
    <row r="870" ht="19.5" customHeight="1">
      <c r="A870" s="12"/>
      <c r="C870" s="12"/>
      <c r="D870" s="13"/>
      <c r="F870" s="14"/>
      <c r="G870" s="14"/>
      <c r="H870" s="14"/>
      <c r="I870" s="14"/>
      <c r="J870" s="14"/>
      <c r="K870" s="12"/>
    </row>
    <row r="871" ht="19.5" customHeight="1">
      <c r="A871" s="12"/>
      <c r="C871" s="12"/>
      <c r="D871" s="13"/>
      <c r="F871" s="14"/>
      <c r="G871" s="14"/>
      <c r="H871" s="14"/>
      <c r="I871" s="14"/>
      <c r="J871" s="14"/>
      <c r="K871" s="12"/>
    </row>
    <row r="872" ht="19.5" customHeight="1">
      <c r="A872" s="12"/>
      <c r="C872" s="12"/>
      <c r="D872" s="13"/>
      <c r="F872" s="14"/>
      <c r="G872" s="14"/>
      <c r="H872" s="14"/>
      <c r="I872" s="14"/>
      <c r="J872" s="14"/>
      <c r="K872" s="12"/>
    </row>
    <row r="873" ht="19.5" customHeight="1">
      <c r="A873" s="12"/>
      <c r="C873" s="12"/>
      <c r="D873" s="13"/>
      <c r="F873" s="14"/>
      <c r="G873" s="14"/>
      <c r="H873" s="14"/>
      <c r="I873" s="14"/>
      <c r="J873" s="14"/>
      <c r="K873" s="12"/>
    </row>
    <row r="874" ht="19.5" customHeight="1">
      <c r="A874" s="12"/>
      <c r="C874" s="12"/>
      <c r="D874" s="13"/>
      <c r="F874" s="14"/>
      <c r="G874" s="14"/>
      <c r="H874" s="14"/>
      <c r="I874" s="14"/>
      <c r="J874" s="14"/>
      <c r="K874" s="12"/>
    </row>
    <row r="875" ht="19.5" customHeight="1">
      <c r="A875" s="12"/>
      <c r="C875" s="12"/>
      <c r="D875" s="13"/>
      <c r="F875" s="14"/>
      <c r="G875" s="14"/>
      <c r="H875" s="14"/>
      <c r="I875" s="14"/>
      <c r="J875" s="14"/>
      <c r="K875" s="12"/>
    </row>
    <row r="876" ht="19.5" customHeight="1">
      <c r="A876" s="12"/>
      <c r="C876" s="12"/>
      <c r="D876" s="13"/>
      <c r="F876" s="14"/>
      <c r="G876" s="14"/>
      <c r="H876" s="14"/>
      <c r="I876" s="14"/>
      <c r="J876" s="14"/>
      <c r="K876" s="12"/>
    </row>
    <row r="877" ht="19.5" customHeight="1">
      <c r="A877" s="12"/>
      <c r="C877" s="12"/>
      <c r="D877" s="13"/>
      <c r="F877" s="14"/>
      <c r="G877" s="14"/>
      <c r="H877" s="14"/>
      <c r="I877" s="14"/>
      <c r="J877" s="14"/>
      <c r="K877" s="12"/>
    </row>
    <row r="878" ht="19.5" customHeight="1">
      <c r="A878" s="12"/>
      <c r="C878" s="12"/>
      <c r="D878" s="13"/>
      <c r="F878" s="14"/>
      <c r="G878" s="14"/>
      <c r="H878" s="14"/>
      <c r="I878" s="14"/>
      <c r="J878" s="14"/>
      <c r="K878" s="12"/>
    </row>
    <row r="879" ht="19.5" customHeight="1">
      <c r="A879" s="12"/>
      <c r="C879" s="12"/>
      <c r="D879" s="13"/>
      <c r="F879" s="14"/>
      <c r="G879" s="14"/>
      <c r="H879" s="14"/>
      <c r="I879" s="14"/>
      <c r="J879" s="14"/>
      <c r="K879" s="12"/>
    </row>
    <row r="880" ht="19.5" customHeight="1">
      <c r="A880" s="12"/>
      <c r="C880" s="12"/>
      <c r="D880" s="13"/>
      <c r="F880" s="14"/>
      <c r="G880" s="14"/>
      <c r="H880" s="14"/>
      <c r="I880" s="14"/>
      <c r="J880" s="14"/>
      <c r="K880" s="12"/>
    </row>
    <row r="881" ht="19.5" customHeight="1">
      <c r="A881" s="12"/>
      <c r="C881" s="12"/>
      <c r="D881" s="13"/>
      <c r="F881" s="14"/>
      <c r="G881" s="14"/>
      <c r="H881" s="14"/>
      <c r="I881" s="14"/>
      <c r="J881" s="14"/>
      <c r="K881" s="12"/>
    </row>
    <row r="882" ht="19.5" customHeight="1">
      <c r="A882" s="12"/>
      <c r="C882" s="12"/>
      <c r="D882" s="13"/>
      <c r="F882" s="14"/>
      <c r="G882" s="14"/>
      <c r="H882" s="14"/>
      <c r="I882" s="14"/>
      <c r="J882" s="14"/>
      <c r="K882" s="12"/>
    </row>
    <row r="883" ht="19.5" customHeight="1">
      <c r="A883" s="12"/>
      <c r="C883" s="12"/>
      <c r="D883" s="13"/>
      <c r="F883" s="14"/>
      <c r="G883" s="14"/>
      <c r="H883" s="14"/>
      <c r="I883" s="14"/>
      <c r="J883" s="14"/>
      <c r="K883" s="12"/>
    </row>
    <row r="884" ht="19.5" customHeight="1">
      <c r="A884" s="12"/>
      <c r="C884" s="12"/>
      <c r="D884" s="13"/>
      <c r="F884" s="14"/>
      <c r="G884" s="14"/>
      <c r="H884" s="14"/>
      <c r="I884" s="14"/>
      <c r="J884" s="14"/>
      <c r="K884" s="12"/>
    </row>
    <row r="885" ht="19.5" customHeight="1">
      <c r="A885" s="12"/>
      <c r="C885" s="12"/>
      <c r="D885" s="13"/>
      <c r="F885" s="14"/>
      <c r="G885" s="14"/>
      <c r="H885" s="14"/>
      <c r="I885" s="14"/>
      <c r="J885" s="14"/>
      <c r="K885" s="12"/>
    </row>
    <row r="886" ht="19.5" customHeight="1">
      <c r="A886" s="12"/>
      <c r="C886" s="12"/>
      <c r="D886" s="13"/>
      <c r="F886" s="14"/>
      <c r="G886" s="14"/>
      <c r="H886" s="14"/>
      <c r="I886" s="14"/>
      <c r="J886" s="14"/>
      <c r="K886" s="12"/>
    </row>
    <row r="887" ht="19.5" customHeight="1">
      <c r="A887" s="12"/>
      <c r="C887" s="12"/>
      <c r="D887" s="13"/>
      <c r="F887" s="14"/>
      <c r="G887" s="14"/>
      <c r="H887" s="14"/>
      <c r="I887" s="14"/>
      <c r="J887" s="14"/>
      <c r="K887" s="12"/>
    </row>
    <row r="888" ht="19.5" customHeight="1">
      <c r="A888" s="12"/>
      <c r="C888" s="12"/>
      <c r="D888" s="13"/>
      <c r="F888" s="14"/>
      <c r="G888" s="14"/>
      <c r="H888" s="14"/>
      <c r="I888" s="14"/>
      <c r="J888" s="14"/>
      <c r="K888" s="12"/>
    </row>
    <row r="889" ht="19.5" customHeight="1">
      <c r="A889" s="12"/>
      <c r="C889" s="12"/>
      <c r="D889" s="13"/>
      <c r="F889" s="14"/>
      <c r="G889" s="14"/>
      <c r="H889" s="14"/>
      <c r="I889" s="14"/>
      <c r="J889" s="14"/>
      <c r="K889" s="12"/>
    </row>
    <row r="890" ht="19.5" customHeight="1">
      <c r="A890" s="12"/>
      <c r="C890" s="12"/>
      <c r="D890" s="13"/>
      <c r="F890" s="14"/>
      <c r="G890" s="14"/>
      <c r="H890" s="14"/>
      <c r="I890" s="14"/>
      <c r="J890" s="14"/>
      <c r="K890" s="12"/>
    </row>
    <row r="891" ht="19.5" customHeight="1">
      <c r="A891" s="12"/>
      <c r="C891" s="12"/>
      <c r="D891" s="13"/>
      <c r="F891" s="14"/>
      <c r="G891" s="14"/>
      <c r="H891" s="14"/>
      <c r="I891" s="14"/>
      <c r="J891" s="14"/>
      <c r="K891" s="12"/>
    </row>
    <row r="892" ht="19.5" customHeight="1">
      <c r="A892" s="12"/>
      <c r="C892" s="12"/>
      <c r="D892" s="13"/>
      <c r="F892" s="14"/>
      <c r="G892" s="14"/>
      <c r="H892" s="14"/>
      <c r="I892" s="14"/>
      <c r="J892" s="14"/>
      <c r="K892" s="12"/>
    </row>
    <row r="893" ht="19.5" customHeight="1">
      <c r="A893" s="12"/>
      <c r="C893" s="12"/>
      <c r="D893" s="13"/>
      <c r="F893" s="14"/>
      <c r="G893" s="14"/>
      <c r="H893" s="14"/>
      <c r="I893" s="14"/>
      <c r="J893" s="14"/>
      <c r="K893" s="12"/>
    </row>
    <row r="894" ht="19.5" customHeight="1">
      <c r="A894" s="12"/>
      <c r="C894" s="12"/>
      <c r="D894" s="13"/>
      <c r="F894" s="14"/>
      <c r="G894" s="14"/>
      <c r="H894" s="14"/>
      <c r="I894" s="14"/>
      <c r="J894" s="14"/>
      <c r="K894" s="12"/>
    </row>
    <row r="895" ht="19.5" customHeight="1">
      <c r="A895" s="12"/>
      <c r="C895" s="12"/>
      <c r="D895" s="13"/>
      <c r="F895" s="14"/>
      <c r="G895" s="14"/>
      <c r="H895" s="14"/>
      <c r="I895" s="14"/>
      <c r="J895" s="14"/>
      <c r="K895" s="12"/>
    </row>
    <row r="896" ht="19.5" customHeight="1">
      <c r="A896" s="12"/>
      <c r="C896" s="12"/>
      <c r="D896" s="13"/>
      <c r="F896" s="14"/>
      <c r="G896" s="14"/>
      <c r="H896" s="14"/>
      <c r="I896" s="14"/>
      <c r="J896" s="14"/>
      <c r="K896" s="12"/>
    </row>
    <row r="897" ht="19.5" customHeight="1">
      <c r="A897" s="12"/>
      <c r="C897" s="12"/>
      <c r="D897" s="13"/>
      <c r="F897" s="14"/>
      <c r="G897" s="14"/>
      <c r="H897" s="14"/>
      <c r="I897" s="14"/>
      <c r="J897" s="14"/>
      <c r="K897" s="12"/>
    </row>
    <row r="898" ht="19.5" customHeight="1">
      <c r="A898" s="12"/>
      <c r="C898" s="12"/>
      <c r="D898" s="13"/>
      <c r="F898" s="14"/>
      <c r="G898" s="14"/>
      <c r="H898" s="14"/>
      <c r="I898" s="14"/>
      <c r="J898" s="14"/>
      <c r="K898" s="12"/>
    </row>
    <row r="899" ht="19.5" customHeight="1">
      <c r="A899" s="12"/>
      <c r="C899" s="12"/>
      <c r="D899" s="13"/>
      <c r="F899" s="14"/>
      <c r="G899" s="14"/>
      <c r="H899" s="14"/>
      <c r="I899" s="14"/>
      <c r="J899" s="14"/>
      <c r="K899" s="12"/>
    </row>
    <row r="900" ht="19.5" customHeight="1">
      <c r="A900" s="12"/>
      <c r="C900" s="12"/>
      <c r="D900" s="13"/>
      <c r="F900" s="14"/>
      <c r="G900" s="14"/>
      <c r="H900" s="14"/>
      <c r="I900" s="14"/>
      <c r="J900" s="14"/>
      <c r="K900" s="12"/>
    </row>
    <row r="901" ht="19.5" customHeight="1">
      <c r="A901" s="12"/>
      <c r="C901" s="12"/>
      <c r="D901" s="13"/>
      <c r="F901" s="14"/>
      <c r="G901" s="14"/>
      <c r="H901" s="14"/>
      <c r="I901" s="14"/>
      <c r="J901" s="14"/>
      <c r="K901" s="12"/>
    </row>
    <row r="902" ht="19.5" customHeight="1">
      <c r="A902" s="12"/>
      <c r="C902" s="12"/>
      <c r="D902" s="13"/>
      <c r="F902" s="14"/>
      <c r="G902" s="14"/>
      <c r="H902" s="14"/>
      <c r="I902" s="14"/>
      <c r="J902" s="14"/>
      <c r="K902" s="12"/>
    </row>
    <row r="903" ht="19.5" customHeight="1">
      <c r="A903" s="12"/>
      <c r="C903" s="12"/>
      <c r="D903" s="13"/>
      <c r="F903" s="14"/>
      <c r="G903" s="14"/>
      <c r="H903" s="14"/>
      <c r="I903" s="14"/>
      <c r="J903" s="14"/>
      <c r="K903" s="12"/>
    </row>
    <row r="904" ht="19.5" customHeight="1">
      <c r="A904" s="12"/>
      <c r="C904" s="12"/>
      <c r="D904" s="13"/>
      <c r="F904" s="14"/>
      <c r="G904" s="14"/>
      <c r="H904" s="14"/>
      <c r="I904" s="14"/>
      <c r="J904" s="14"/>
      <c r="K904" s="12"/>
    </row>
    <row r="905" ht="19.5" customHeight="1">
      <c r="A905" s="12"/>
      <c r="C905" s="12"/>
      <c r="D905" s="13"/>
      <c r="F905" s="14"/>
      <c r="G905" s="14"/>
      <c r="H905" s="14"/>
      <c r="I905" s="14"/>
      <c r="J905" s="14"/>
      <c r="K905" s="12"/>
    </row>
    <row r="906" ht="19.5" customHeight="1">
      <c r="A906" s="12"/>
      <c r="C906" s="12"/>
      <c r="D906" s="13"/>
      <c r="F906" s="14"/>
      <c r="G906" s="14"/>
      <c r="H906" s="14"/>
      <c r="I906" s="14"/>
      <c r="J906" s="14"/>
      <c r="K906" s="12"/>
    </row>
    <row r="907" ht="19.5" customHeight="1">
      <c r="A907" s="12"/>
      <c r="C907" s="12"/>
      <c r="D907" s="13"/>
      <c r="F907" s="14"/>
      <c r="G907" s="14"/>
      <c r="H907" s="14"/>
      <c r="I907" s="14"/>
      <c r="J907" s="14"/>
      <c r="K907" s="12"/>
    </row>
    <row r="908" ht="19.5" customHeight="1">
      <c r="A908" s="12"/>
      <c r="C908" s="12"/>
      <c r="D908" s="13"/>
      <c r="F908" s="14"/>
      <c r="G908" s="14"/>
      <c r="H908" s="14"/>
      <c r="I908" s="14"/>
      <c r="J908" s="14"/>
      <c r="K908" s="12"/>
    </row>
    <row r="909" ht="19.5" customHeight="1">
      <c r="A909" s="12"/>
      <c r="C909" s="12"/>
      <c r="D909" s="13"/>
      <c r="F909" s="14"/>
      <c r="G909" s="14"/>
      <c r="H909" s="14"/>
      <c r="I909" s="14"/>
      <c r="J909" s="14"/>
      <c r="K909" s="12"/>
    </row>
    <row r="910" ht="19.5" customHeight="1">
      <c r="A910" s="12"/>
      <c r="C910" s="12"/>
      <c r="D910" s="13"/>
      <c r="F910" s="14"/>
      <c r="G910" s="14"/>
      <c r="H910" s="14"/>
      <c r="I910" s="14"/>
      <c r="J910" s="14"/>
      <c r="K910" s="12"/>
    </row>
    <row r="911" ht="19.5" customHeight="1">
      <c r="A911" s="12"/>
      <c r="C911" s="12"/>
      <c r="D911" s="13"/>
      <c r="F911" s="14"/>
      <c r="G911" s="14"/>
      <c r="H911" s="14"/>
      <c r="I911" s="14"/>
      <c r="J911" s="14"/>
      <c r="K911" s="12"/>
    </row>
    <row r="912" ht="19.5" customHeight="1">
      <c r="A912" s="12"/>
      <c r="C912" s="12"/>
      <c r="D912" s="13"/>
      <c r="F912" s="14"/>
      <c r="G912" s="14"/>
      <c r="H912" s="14"/>
      <c r="I912" s="14"/>
      <c r="J912" s="14"/>
      <c r="K912" s="12"/>
    </row>
    <row r="913" ht="19.5" customHeight="1">
      <c r="A913" s="12"/>
      <c r="C913" s="12"/>
      <c r="D913" s="13"/>
      <c r="F913" s="14"/>
      <c r="G913" s="14"/>
      <c r="H913" s="14"/>
      <c r="I913" s="14"/>
      <c r="J913" s="14"/>
      <c r="K913" s="12"/>
    </row>
    <row r="914" ht="19.5" customHeight="1">
      <c r="A914" s="12"/>
      <c r="C914" s="12"/>
      <c r="D914" s="13"/>
      <c r="F914" s="14"/>
      <c r="G914" s="14"/>
      <c r="H914" s="14"/>
      <c r="I914" s="14"/>
      <c r="J914" s="14"/>
      <c r="K914" s="12"/>
    </row>
    <row r="915" ht="19.5" customHeight="1">
      <c r="A915" s="12"/>
      <c r="C915" s="12"/>
      <c r="D915" s="13"/>
      <c r="F915" s="14"/>
      <c r="G915" s="14"/>
      <c r="H915" s="14"/>
      <c r="I915" s="14"/>
      <c r="J915" s="14"/>
      <c r="K915" s="12"/>
    </row>
    <row r="916" ht="19.5" customHeight="1">
      <c r="A916" s="12"/>
      <c r="C916" s="12"/>
      <c r="D916" s="13"/>
      <c r="F916" s="14"/>
      <c r="G916" s="14"/>
      <c r="H916" s="14"/>
      <c r="I916" s="14"/>
      <c r="J916" s="14"/>
      <c r="K916" s="12"/>
    </row>
    <row r="917" ht="19.5" customHeight="1">
      <c r="A917" s="12"/>
      <c r="C917" s="12"/>
      <c r="D917" s="13"/>
      <c r="F917" s="14"/>
      <c r="G917" s="14"/>
      <c r="H917" s="14"/>
      <c r="I917" s="14"/>
      <c r="J917" s="14"/>
      <c r="K917" s="12"/>
    </row>
    <row r="918" ht="19.5" customHeight="1">
      <c r="A918" s="12"/>
      <c r="C918" s="12"/>
      <c r="D918" s="13"/>
      <c r="F918" s="14"/>
      <c r="G918" s="14"/>
      <c r="H918" s="14"/>
      <c r="I918" s="14"/>
      <c r="J918" s="14"/>
      <c r="K918" s="12"/>
    </row>
    <row r="919" ht="19.5" customHeight="1">
      <c r="A919" s="12"/>
      <c r="C919" s="12"/>
      <c r="D919" s="13"/>
      <c r="F919" s="14"/>
      <c r="G919" s="14"/>
      <c r="H919" s="14"/>
      <c r="I919" s="14"/>
      <c r="J919" s="14"/>
      <c r="K919" s="12"/>
    </row>
    <row r="920" ht="19.5" customHeight="1">
      <c r="A920" s="12"/>
      <c r="C920" s="12"/>
      <c r="D920" s="13"/>
      <c r="F920" s="14"/>
      <c r="G920" s="14"/>
      <c r="H920" s="14"/>
      <c r="I920" s="14"/>
      <c r="J920" s="14"/>
      <c r="K920" s="12"/>
    </row>
    <row r="921" ht="19.5" customHeight="1">
      <c r="A921" s="12"/>
      <c r="C921" s="12"/>
      <c r="D921" s="13"/>
      <c r="F921" s="14"/>
      <c r="G921" s="14"/>
      <c r="H921" s="14"/>
      <c r="I921" s="14"/>
      <c r="J921" s="14"/>
      <c r="K921" s="12"/>
    </row>
    <row r="922" ht="19.5" customHeight="1">
      <c r="A922" s="12"/>
      <c r="C922" s="12"/>
      <c r="D922" s="13"/>
      <c r="F922" s="14"/>
      <c r="G922" s="14"/>
      <c r="H922" s="14"/>
      <c r="I922" s="14"/>
      <c r="J922" s="14"/>
      <c r="K922" s="12"/>
    </row>
    <row r="923" ht="19.5" customHeight="1">
      <c r="A923" s="12"/>
      <c r="C923" s="12"/>
      <c r="D923" s="13"/>
      <c r="F923" s="14"/>
      <c r="G923" s="14"/>
      <c r="H923" s="14"/>
      <c r="I923" s="14"/>
      <c r="J923" s="14"/>
      <c r="K923" s="12"/>
    </row>
    <row r="924" ht="19.5" customHeight="1">
      <c r="A924" s="12"/>
      <c r="C924" s="12"/>
      <c r="D924" s="13"/>
      <c r="F924" s="14"/>
      <c r="G924" s="14"/>
      <c r="H924" s="14"/>
      <c r="I924" s="14"/>
      <c r="J924" s="14"/>
      <c r="K924" s="12"/>
    </row>
    <row r="925" ht="19.5" customHeight="1">
      <c r="A925" s="12"/>
      <c r="C925" s="12"/>
      <c r="D925" s="13"/>
      <c r="F925" s="14"/>
      <c r="G925" s="14"/>
      <c r="H925" s="14"/>
      <c r="I925" s="14"/>
      <c r="J925" s="14"/>
      <c r="K925" s="12"/>
    </row>
    <row r="926" ht="19.5" customHeight="1">
      <c r="A926" s="12"/>
      <c r="C926" s="12"/>
      <c r="D926" s="13"/>
      <c r="F926" s="14"/>
      <c r="G926" s="14"/>
      <c r="H926" s="14"/>
      <c r="I926" s="14"/>
      <c r="J926" s="14"/>
      <c r="K926" s="12"/>
    </row>
    <row r="927" ht="19.5" customHeight="1">
      <c r="A927" s="12"/>
      <c r="C927" s="12"/>
      <c r="D927" s="13"/>
      <c r="F927" s="14"/>
      <c r="G927" s="14"/>
      <c r="H927" s="14"/>
      <c r="I927" s="14"/>
      <c r="J927" s="14"/>
      <c r="K927" s="12"/>
    </row>
    <row r="928" ht="19.5" customHeight="1">
      <c r="A928" s="12"/>
      <c r="C928" s="12"/>
      <c r="D928" s="13"/>
      <c r="F928" s="14"/>
      <c r="G928" s="14"/>
      <c r="H928" s="14"/>
      <c r="I928" s="14"/>
      <c r="J928" s="14"/>
      <c r="K928" s="12"/>
    </row>
    <row r="929" ht="19.5" customHeight="1">
      <c r="A929" s="12"/>
      <c r="C929" s="12"/>
      <c r="D929" s="13"/>
      <c r="F929" s="14"/>
      <c r="G929" s="14"/>
      <c r="H929" s="14"/>
      <c r="I929" s="14"/>
      <c r="J929" s="14"/>
      <c r="K929" s="12"/>
    </row>
    <row r="930" ht="19.5" customHeight="1">
      <c r="A930" s="12"/>
      <c r="C930" s="12"/>
      <c r="D930" s="13"/>
      <c r="F930" s="14"/>
      <c r="G930" s="14"/>
      <c r="H930" s="14"/>
      <c r="I930" s="14"/>
      <c r="J930" s="14"/>
      <c r="K930" s="12"/>
    </row>
    <row r="931" ht="19.5" customHeight="1">
      <c r="A931" s="12"/>
      <c r="C931" s="12"/>
      <c r="D931" s="13"/>
      <c r="F931" s="14"/>
      <c r="G931" s="14"/>
      <c r="H931" s="14"/>
      <c r="I931" s="14"/>
      <c r="J931" s="14"/>
      <c r="K931" s="12"/>
    </row>
    <row r="932" ht="19.5" customHeight="1">
      <c r="A932" s="12"/>
      <c r="C932" s="12"/>
      <c r="D932" s="13"/>
      <c r="F932" s="14"/>
      <c r="G932" s="14"/>
      <c r="H932" s="14"/>
      <c r="I932" s="14"/>
      <c r="J932" s="14"/>
      <c r="K932" s="12"/>
    </row>
    <row r="933" ht="19.5" customHeight="1">
      <c r="A933" s="12"/>
      <c r="C933" s="12"/>
      <c r="D933" s="13"/>
      <c r="F933" s="14"/>
      <c r="G933" s="14"/>
      <c r="H933" s="14"/>
      <c r="I933" s="14"/>
      <c r="J933" s="14"/>
      <c r="K933" s="12"/>
    </row>
    <row r="934" ht="19.5" customHeight="1">
      <c r="A934" s="12"/>
      <c r="C934" s="12"/>
      <c r="D934" s="13"/>
      <c r="F934" s="14"/>
      <c r="G934" s="14"/>
      <c r="H934" s="14"/>
      <c r="I934" s="14"/>
      <c r="J934" s="14"/>
      <c r="K934" s="12"/>
    </row>
    <row r="935" ht="19.5" customHeight="1">
      <c r="A935" s="12"/>
      <c r="C935" s="12"/>
      <c r="D935" s="13"/>
      <c r="F935" s="14"/>
      <c r="G935" s="14"/>
      <c r="H935" s="14"/>
      <c r="I935" s="14"/>
      <c r="J935" s="14"/>
      <c r="K935" s="12"/>
    </row>
    <row r="936" ht="19.5" customHeight="1">
      <c r="A936" s="12"/>
      <c r="C936" s="12"/>
      <c r="D936" s="13"/>
      <c r="F936" s="14"/>
      <c r="G936" s="14"/>
      <c r="H936" s="14"/>
      <c r="I936" s="14"/>
      <c r="J936" s="14"/>
      <c r="K936" s="12"/>
    </row>
    <row r="937" ht="19.5" customHeight="1">
      <c r="A937" s="12"/>
      <c r="C937" s="12"/>
      <c r="D937" s="13"/>
      <c r="F937" s="14"/>
      <c r="G937" s="14"/>
      <c r="H937" s="14"/>
      <c r="I937" s="14"/>
      <c r="J937" s="14"/>
      <c r="K937" s="12"/>
    </row>
    <row r="938" ht="19.5" customHeight="1">
      <c r="A938" s="12"/>
      <c r="C938" s="12"/>
      <c r="D938" s="13"/>
      <c r="F938" s="14"/>
      <c r="G938" s="14"/>
      <c r="H938" s="14"/>
      <c r="I938" s="14"/>
      <c r="J938" s="14"/>
      <c r="K938" s="12"/>
    </row>
    <row r="939" ht="19.5" customHeight="1">
      <c r="A939" s="12"/>
      <c r="C939" s="12"/>
      <c r="D939" s="13"/>
      <c r="F939" s="14"/>
      <c r="G939" s="14"/>
      <c r="H939" s="14"/>
      <c r="I939" s="14"/>
      <c r="J939" s="14"/>
      <c r="K939" s="12"/>
    </row>
    <row r="940" ht="19.5" customHeight="1">
      <c r="A940" s="12"/>
      <c r="C940" s="12"/>
      <c r="D940" s="13"/>
      <c r="F940" s="14"/>
      <c r="G940" s="14"/>
      <c r="H940" s="14"/>
      <c r="I940" s="14"/>
      <c r="J940" s="14"/>
      <c r="K940" s="12"/>
    </row>
    <row r="941" ht="19.5" customHeight="1">
      <c r="A941" s="12"/>
      <c r="C941" s="12"/>
      <c r="D941" s="13"/>
      <c r="F941" s="14"/>
      <c r="G941" s="14"/>
      <c r="H941" s="14"/>
      <c r="I941" s="14"/>
      <c r="J941" s="14"/>
      <c r="K941" s="12"/>
    </row>
    <row r="942" ht="19.5" customHeight="1">
      <c r="A942" s="12"/>
      <c r="C942" s="12"/>
      <c r="D942" s="13"/>
      <c r="F942" s="14"/>
      <c r="G942" s="14"/>
      <c r="H942" s="14"/>
      <c r="I942" s="14"/>
      <c r="J942" s="14"/>
      <c r="K942" s="12"/>
    </row>
    <row r="943" ht="19.5" customHeight="1">
      <c r="A943" s="12"/>
      <c r="C943" s="12"/>
      <c r="D943" s="13"/>
      <c r="F943" s="14"/>
      <c r="G943" s="14"/>
      <c r="H943" s="14"/>
      <c r="I943" s="14"/>
      <c r="J943" s="14"/>
      <c r="K943" s="12"/>
    </row>
    <row r="944" ht="19.5" customHeight="1">
      <c r="A944" s="12"/>
      <c r="C944" s="12"/>
      <c r="D944" s="13"/>
      <c r="F944" s="14"/>
      <c r="G944" s="14"/>
      <c r="H944" s="14"/>
      <c r="I944" s="14"/>
      <c r="J944" s="14"/>
      <c r="K944" s="12"/>
    </row>
    <row r="945" ht="19.5" customHeight="1">
      <c r="A945" s="12"/>
      <c r="C945" s="12"/>
      <c r="D945" s="13"/>
      <c r="F945" s="14"/>
      <c r="G945" s="14"/>
      <c r="H945" s="14"/>
      <c r="I945" s="14"/>
      <c r="J945" s="14"/>
      <c r="K945" s="12"/>
    </row>
    <row r="946" ht="19.5" customHeight="1">
      <c r="A946" s="12"/>
      <c r="C946" s="12"/>
      <c r="D946" s="13"/>
      <c r="F946" s="14"/>
      <c r="G946" s="14"/>
      <c r="H946" s="14"/>
      <c r="I946" s="14"/>
      <c r="J946" s="14"/>
      <c r="K946" s="12"/>
    </row>
    <row r="947" ht="19.5" customHeight="1">
      <c r="A947" s="12"/>
      <c r="C947" s="12"/>
      <c r="D947" s="13"/>
      <c r="F947" s="14"/>
      <c r="G947" s="14"/>
      <c r="H947" s="14"/>
      <c r="I947" s="14"/>
      <c r="J947" s="14"/>
      <c r="K947" s="12"/>
    </row>
    <row r="948" ht="19.5" customHeight="1">
      <c r="A948" s="12"/>
      <c r="C948" s="12"/>
      <c r="D948" s="13"/>
      <c r="F948" s="14"/>
      <c r="G948" s="14"/>
      <c r="H948" s="14"/>
      <c r="I948" s="14"/>
      <c r="J948" s="14"/>
      <c r="K948" s="12"/>
    </row>
    <row r="949" ht="19.5" customHeight="1">
      <c r="A949" s="12"/>
      <c r="C949" s="12"/>
      <c r="D949" s="13"/>
      <c r="F949" s="14"/>
      <c r="G949" s="14"/>
      <c r="H949" s="14"/>
      <c r="I949" s="14"/>
      <c r="J949" s="14"/>
      <c r="K949" s="12"/>
    </row>
    <row r="950" ht="19.5" customHeight="1">
      <c r="A950" s="12"/>
      <c r="C950" s="12"/>
      <c r="D950" s="13"/>
      <c r="F950" s="14"/>
      <c r="G950" s="14"/>
      <c r="H950" s="14"/>
      <c r="I950" s="14"/>
      <c r="J950" s="14"/>
      <c r="K950" s="12"/>
    </row>
    <row r="951" ht="19.5" customHeight="1">
      <c r="A951" s="12"/>
      <c r="C951" s="12"/>
      <c r="D951" s="13"/>
      <c r="F951" s="14"/>
      <c r="G951" s="14"/>
      <c r="H951" s="14"/>
      <c r="I951" s="14"/>
      <c r="J951" s="14"/>
      <c r="K951" s="12"/>
    </row>
    <row r="952" ht="19.5" customHeight="1">
      <c r="A952" s="12"/>
      <c r="C952" s="12"/>
      <c r="D952" s="13"/>
      <c r="F952" s="14"/>
      <c r="G952" s="14"/>
      <c r="H952" s="14"/>
      <c r="I952" s="14"/>
      <c r="J952" s="14"/>
      <c r="K952" s="12"/>
    </row>
    <row r="953" ht="19.5" customHeight="1">
      <c r="A953" s="12"/>
      <c r="C953" s="12"/>
      <c r="D953" s="13"/>
      <c r="F953" s="14"/>
      <c r="G953" s="14"/>
      <c r="H953" s="14"/>
      <c r="I953" s="14"/>
      <c r="J953" s="14"/>
      <c r="K953" s="12"/>
    </row>
    <row r="954" ht="19.5" customHeight="1">
      <c r="A954" s="12"/>
      <c r="C954" s="12"/>
      <c r="D954" s="13"/>
      <c r="F954" s="14"/>
      <c r="G954" s="14"/>
      <c r="H954" s="14"/>
      <c r="I954" s="14"/>
      <c r="J954" s="14"/>
      <c r="K954" s="12"/>
    </row>
    <row r="955" ht="19.5" customHeight="1">
      <c r="A955" s="12"/>
      <c r="C955" s="12"/>
      <c r="D955" s="13"/>
      <c r="F955" s="14"/>
      <c r="G955" s="14"/>
      <c r="H955" s="14"/>
      <c r="I955" s="14"/>
      <c r="J955" s="14"/>
      <c r="K955" s="12"/>
    </row>
    <row r="956" ht="19.5" customHeight="1">
      <c r="A956" s="12"/>
      <c r="C956" s="12"/>
      <c r="D956" s="13"/>
      <c r="F956" s="14"/>
      <c r="G956" s="14"/>
      <c r="H956" s="14"/>
      <c r="I956" s="14"/>
      <c r="J956" s="14"/>
      <c r="K956" s="12"/>
    </row>
    <row r="957" ht="19.5" customHeight="1">
      <c r="A957" s="12"/>
      <c r="C957" s="12"/>
      <c r="D957" s="13"/>
      <c r="F957" s="14"/>
      <c r="G957" s="14"/>
      <c r="H957" s="14"/>
      <c r="I957" s="14"/>
      <c r="J957" s="14"/>
      <c r="K957" s="12"/>
    </row>
    <row r="958" ht="19.5" customHeight="1">
      <c r="A958" s="12"/>
      <c r="C958" s="12"/>
      <c r="D958" s="13"/>
      <c r="F958" s="14"/>
      <c r="G958" s="14"/>
      <c r="H958" s="14"/>
      <c r="I958" s="14"/>
      <c r="J958" s="14"/>
      <c r="K958" s="12"/>
    </row>
    <row r="959" ht="19.5" customHeight="1">
      <c r="A959" s="12"/>
      <c r="C959" s="12"/>
      <c r="D959" s="13"/>
      <c r="F959" s="14"/>
      <c r="G959" s="14"/>
      <c r="H959" s="14"/>
      <c r="I959" s="14"/>
      <c r="J959" s="14"/>
      <c r="K959" s="12"/>
    </row>
    <row r="960" ht="19.5" customHeight="1">
      <c r="A960" s="12"/>
      <c r="C960" s="12"/>
      <c r="D960" s="13"/>
      <c r="F960" s="14"/>
      <c r="G960" s="14"/>
      <c r="H960" s="14"/>
      <c r="I960" s="14"/>
      <c r="J960" s="14"/>
      <c r="K960" s="12"/>
    </row>
    <row r="961" ht="19.5" customHeight="1">
      <c r="A961" s="12"/>
      <c r="C961" s="12"/>
      <c r="D961" s="13"/>
      <c r="F961" s="14"/>
      <c r="G961" s="14"/>
      <c r="H961" s="14"/>
      <c r="I961" s="14"/>
      <c r="J961" s="14"/>
      <c r="K961" s="12"/>
    </row>
    <row r="962" ht="19.5" customHeight="1">
      <c r="A962" s="12"/>
      <c r="C962" s="12"/>
      <c r="D962" s="13"/>
      <c r="F962" s="14"/>
      <c r="G962" s="14"/>
      <c r="H962" s="14"/>
      <c r="I962" s="14"/>
      <c r="J962" s="14"/>
      <c r="K962" s="12"/>
    </row>
    <row r="963" ht="19.5" customHeight="1">
      <c r="A963" s="12"/>
      <c r="C963" s="12"/>
      <c r="D963" s="13"/>
      <c r="F963" s="14"/>
      <c r="G963" s="14"/>
      <c r="H963" s="14"/>
      <c r="I963" s="14"/>
      <c r="J963" s="14"/>
      <c r="K963" s="12"/>
    </row>
    <row r="964" ht="19.5" customHeight="1">
      <c r="A964" s="12"/>
      <c r="C964" s="12"/>
      <c r="D964" s="13"/>
      <c r="F964" s="14"/>
      <c r="G964" s="14"/>
      <c r="H964" s="14"/>
      <c r="I964" s="14"/>
      <c r="J964" s="14"/>
      <c r="K964" s="12"/>
    </row>
    <row r="965" ht="19.5" customHeight="1">
      <c r="A965" s="12"/>
      <c r="C965" s="12"/>
      <c r="D965" s="13"/>
      <c r="F965" s="14"/>
      <c r="G965" s="14"/>
      <c r="H965" s="14"/>
      <c r="I965" s="14"/>
      <c r="J965" s="14"/>
      <c r="K965" s="12"/>
    </row>
    <row r="966" ht="19.5" customHeight="1">
      <c r="A966" s="12"/>
      <c r="C966" s="12"/>
      <c r="D966" s="13"/>
      <c r="F966" s="14"/>
      <c r="G966" s="14"/>
      <c r="H966" s="14"/>
      <c r="I966" s="14"/>
      <c r="J966" s="14"/>
      <c r="K966" s="12"/>
    </row>
    <row r="967" ht="19.5" customHeight="1">
      <c r="A967" s="12"/>
      <c r="C967" s="12"/>
      <c r="D967" s="13"/>
      <c r="F967" s="14"/>
      <c r="G967" s="14"/>
      <c r="H967" s="14"/>
      <c r="I967" s="14"/>
      <c r="J967" s="14"/>
      <c r="K967" s="12"/>
    </row>
    <row r="968" ht="19.5" customHeight="1">
      <c r="A968" s="12"/>
      <c r="C968" s="12"/>
      <c r="D968" s="13"/>
      <c r="F968" s="14"/>
      <c r="G968" s="14"/>
      <c r="H968" s="14"/>
      <c r="I968" s="14"/>
      <c r="J968" s="14"/>
      <c r="K968" s="12"/>
    </row>
    <row r="969" ht="19.5" customHeight="1">
      <c r="A969" s="12"/>
      <c r="C969" s="12"/>
      <c r="D969" s="13"/>
      <c r="F969" s="14"/>
      <c r="G969" s="14"/>
      <c r="H969" s="14"/>
      <c r="I969" s="14"/>
      <c r="J969" s="14"/>
      <c r="K969" s="12"/>
    </row>
    <row r="970" ht="19.5" customHeight="1">
      <c r="A970" s="12"/>
      <c r="C970" s="12"/>
      <c r="D970" s="13"/>
      <c r="F970" s="14"/>
      <c r="G970" s="14"/>
      <c r="H970" s="14"/>
      <c r="I970" s="14"/>
      <c r="J970" s="14"/>
      <c r="K970" s="12"/>
    </row>
    <row r="971" ht="19.5" customHeight="1">
      <c r="A971" s="12"/>
      <c r="C971" s="12"/>
      <c r="D971" s="13"/>
      <c r="F971" s="14"/>
      <c r="G971" s="14"/>
      <c r="H971" s="14"/>
      <c r="I971" s="14"/>
      <c r="J971" s="14"/>
      <c r="K971" s="12"/>
    </row>
    <row r="972" ht="19.5" customHeight="1">
      <c r="A972" s="12"/>
      <c r="C972" s="12"/>
      <c r="D972" s="13"/>
      <c r="F972" s="14"/>
      <c r="G972" s="14"/>
      <c r="H972" s="14"/>
      <c r="I972" s="14"/>
      <c r="J972" s="14"/>
      <c r="K972" s="12"/>
    </row>
    <row r="973" ht="19.5" customHeight="1">
      <c r="A973" s="12"/>
      <c r="C973" s="12"/>
      <c r="D973" s="13"/>
      <c r="F973" s="14"/>
      <c r="G973" s="14"/>
      <c r="H973" s="14"/>
      <c r="I973" s="14"/>
      <c r="J973" s="14"/>
      <c r="K973" s="12"/>
    </row>
    <row r="974" ht="19.5" customHeight="1">
      <c r="A974" s="12"/>
      <c r="C974" s="12"/>
      <c r="D974" s="13"/>
      <c r="F974" s="14"/>
      <c r="G974" s="14"/>
      <c r="H974" s="14"/>
      <c r="I974" s="14"/>
      <c r="J974" s="14"/>
      <c r="K974" s="12"/>
    </row>
    <row r="975" ht="19.5" customHeight="1">
      <c r="A975" s="12"/>
      <c r="C975" s="12"/>
      <c r="D975" s="13"/>
      <c r="F975" s="14"/>
      <c r="G975" s="14"/>
      <c r="H975" s="14"/>
      <c r="I975" s="14"/>
      <c r="J975" s="14"/>
      <c r="K975" s="12"/>
    </row>
    <row r="976" ht="19.5" customHeight="1">
      <c r="A976" s="12"/>
      <c r="C976" s="12"/>
      <c r="D976" s="13"/>
      <c r="F976" s="14"/>
      <c r="G976" s="14"/>
      <c r="H976" s="14"/>
      <c r="I976" s="14"/>
      <c r="J976" s="14"/>
      <c r="K976" s="12"/>
    </row>
    <row r="977" ht="19.5" customHeight="1">
      <c r="A977" s="12"/>
      <c r="C977" s="12"/>
      <c r="D977" s="13"/>
      <c r="F977" s="14"/>
      <c r="G977" s="14"/>
      <c r="H977" s="14"/>
      <c r="I977" s="14"/>
      <c r="J977" s="14"/>
      <c r="K977" s="12"/>
    </row>
    <row r="978" ht="19.5" customHeight="1">
      <c r="A978" s="12"/>
      <c r="C978" s="12"/>
      <c r="D978" s="13"/>
      <c r="F978" s="14"/>
      <c r="G978" s="14"/>
      <c r="H978" s="14"/>
      <c r="I978" s="14"/>
      <c r="J978" s="14"/>
      <c r="K978" s="12"/>
    </row>
    <row r="979" ht="19.5" customHeight="1">
      <c r="A979" s="12"/>
      <c r="C979" s="12"/>
      <c r="D979" s="13"/>
      <c r="F979" s="14"/>
      <c r="G979" s="14"/>
      <c r="H979" s="14"/>
      <c r="I979" s="14"/>
      <c r="J979" s="14"/>
      <c r="K979" s="12"/>
    </row>
    <row r="980" ht="19.5" customHeight="1">
      <c r="A980" s="12"/>
      <c r="C980" s="12"/>
      <c r="D980" s="13"/>
      <c r="F980" s="14"/>
      <c r="G980" s="14"/>
      <c r="H980" s="14"/>
      <c r="I980" s="14"/>
      <c r="J980" s="14"/>
      <c r="K980" s="12"/>
    </row>
    <row r="981" ht="19.5" customHeight="1">
      <c r="A981" s="12"/>
      <c r="C981" s="12"/>
      <c r="D981" s="13"/>
      <c r="F981" s="14"/>
      <c r="G981" s="14"/>
      <c r="H981" s="14"/>
      <c r="I981" s="14"/>
      <c r="J981" s="14"/>
      <c r="K981" s="12"/>
    </row>
    <row r="982" ht="19.5" customHeight="1">
      <c r="A982" s="12"/>
      <c r="C982" s="12"/>
      <c r="D982" s="13"/>
      <c r="F982" s="14"/>
      <c r="G982" s="14"/>
      <c r="H982" s="14"/>
      <c r="I982" s="14"/>
      <c r="J982" s="14"/>
      <c r="K982" s="12"/>
    </row>
    <row r="983" ht="19.5" customHeight="1">
      <c r="A983" s="12"/>
      <c r="C983" s="12"/>
      <c r="D983" s="13"/>
      <c r="F983" s="14"/>
      <c r="G983" s="14"/>
      <c r="H983" s="14"/>
      <c r="I983" s="14"/>
      <c r="J983" s="14"/>
      <c r="K983" s="12"/>
    </row>
    <row r="984" ht="19.5" customHeight="1">
      <c r="A984" s="12"/>
      <c r="C984" s="12"/>
      <c r="D984" s="13"/>
      <c r="F984" s="14"/>
      <c r="G984" s="14"/>
      <c r="H984" s="14"/>
      <c r="I984" s="14"/>
      <c r="J984" s="14"/>
      <c r="K984" s="12"/>
    </row>
    <row r="985" ht="19.5" customHeight="1">
      <c r="A985" s="12"/>
      <c r="C985" s="12"/>
      <c r="D985" s="13"/>
      <c r="F985" s="14"/>
      <c r="G985" s="14"/>
      <c r="H985" s="14"/>
      <c r="I985" s="14"/>
      <c r="J985" s="14"/>
      <c r="K985" s="12"/>
    </row>
    <row r="986" ht="19.5" customHeight="1">
      <c r="A986" s="12"/>
      <c r="C986" s="12"/>
      <c r="D986" s="13"/>
      <c r="F986" s="14"/>
      <c r="G986" s="14"/>
      <c r="H986" s="14"/>
      <c r="I986" s="14"/>
      <c r="J986" s="14"/>
      <c r="K986" s="12"/>
    </row>
    <row r="987" ht="19.5" customHeight="1">
      <c r="A987" s="12"/>
      <c r="C987" s="12"/>
      <c r="D987" s="13"/>
      <c r="F987" s="14"/>
      <c r="G987" s="14"/>
      <c r="H987" s="14"/>
      <c r="I987" s="14"/>
      <c r="J987" s="14"/>
      <c r="K987" s="12"/>
    </row>
    <row r="988" ht="19.5" customHeight="1">
      <c r="A988" s="12"/>
      <c r="C988" s="12"/>
      <c r="D988" s="13"/>
      <c r="F988" s="14"/>
      <c r="G988" s="14"/>
      <c r="H988" s="14"/>
      <c r="I988" s="14"/>
      <c r="J988" s="14"/>
      <c r="K988" s="12"/>
    </row>
    <row r="989" ht="19.5" customHeight="1">
      <c r="A989" s="12"/>
      <c r="C989" s="12"/>
      <c r="D989" s="13"/>
      <c r="F989" s="14"/>
      <c r="G989" s="14"/>
      <c r="H989" s="14"/>
      <c r="I989" s="14"/>
      <c r="J989" s="14"/>
      <c r="K989" s="12"/>
    </row>
    <row r="990" ht="19.5" customHeight="1">
      <c r="A990" s="12"/>
      <c r="C990" s="12"/>
      <c r="D990" s="13"/>
      <c r="F990" s="14"/>
      <c r="G990" s="14"/>
      <c r="H990" s="14"/>
      <c r="I990" s="14"/>
      <c r="J990" s="14"/>
      <c r="K990" s="12"/>
    </row>
    <row r="991" ht="19.5" customHeight="1">
      <c r="A991" s="12"/>
      <c r="C991" s="12"/>
      <c r="D991" s="13"/>
      <c r="F991" s="14"/>
      <c r="G991" s="14"/>
      <c r="H991" s="14"/>
      <c r="I991" s="14"/>
      <c r="J991" s="14"/>
      <c r="K991" s="12"/>
    </row>
    <row r="992" ht="19.5" customHeight="1">
      <c r="A992" s="12"/>
      <c r="C992" s="12"/>
      <c r="D992" s="13"/>
      <c r="F992" s="14"/>
      <c r="G992" s="14"/>
      <c r="H992" s="14"/>
      <c r="I992" s="14"/>
      <c r="J992" s="14"/>
      <c r="K992" s="12"/>
    </row>
    <row r="993" ht="19.5" customHeight="1">
      <c r="A993" s="12"/>
      <c r="C993" s="12"/>
      <c r="D993" s="13"/>
      <c r="F993" s="14"/>
      <c r="G993" s="14"/>
      <c r="H993" s="14"/>
      <c r="I993" s="14"/>
      <c r="J993" s="14"/>
      <c r="K993" s="12"/>
    </row>
    <row r="994" ht="19.5" customHeight="1">
      <c r="A994" s="12"/>
      <c r="C994" s="12"/>
      <c r="D994" s="13"/>
      <c r="F994" s="14"/>
      <c r="G994" s="14"/>
      <c r="H994" s="14"/>
      <c r="I994" s="14"/>
      <c r="J994" s="14"/>
      <c r="K994" s="12"/>
    </row>
    <row r="995" ht="19.5" customHeight="1">
      <c r="A995" s="12"/>
      <c r="C995" s="12"/>
      <c r="D995" s="13"/>
      <c r="F995" s="14"/>
      <c r="G995" s="14"/>
      <c r="H995" s="14"/>
      <c r="I995" s="14"/>
      <c r="J995" s="14"/>
      <c r="K995" s="12"/>
    </row>
    <row r="996" ht="19.5" customHeight="1">
      <c r="A996" s="12"/>
      <c r="C996" s="12"/>
      <c r="D996" s="13"/>
      <c r="F996" s="14"/>
      <c r="G996" s="14"/>
      <c r="H996" s="14"/>
      <c r="I996" s="14"/>
      <c r="J996" s="14"/>
      <c r="K996" s="12"/>
    </row>
    <row r="997" ht="19.5" customHeight="1">
      <c r="A997" s="12"/>
      <c r="C997" s="12"/>
      <c r="D997" s="13"/>
      <c r="F997" s="14"/>
      <c r="G997" s="14"/>
      <c r="H997" s="14"/>
      <c r="I997" s="14"/>
      <c r="J997" s="14"/>
      <c r="K997" s="12"/>
    </row>
    <row r="998" ht="19.5" customHeight="1">
      <c r="A998" s="12"/>
      <c r="C998" s="12"/>
      <c r="D998" s="13"/>
      <c r="F998" s="14"/>
      <c r="G998" s="14"/>
      <c r="H998" s="14"/>
      <c r="I998" s="14"/>
      <c r="J998" s="14"/>
      <c r="K998" s="12"/>
    </row>
    <row r="999" ht="19.5" customHeight="1">
      <c r="A999" s="12"/>
      <c r="C999" s="12"/>
      <c r="D999" s="13"/>
      <c r="F999" s="14"/>
      <c r="G999" s="14"/>
      <c r="H999" s="14"/>
      <c r="I999" s="14"/>
      <c r="J999" s="14"/>
      <c r="K999" s="12"/>
    </row>
    <row r="1000" ht="19.5" customHeight="1">
      <c r="A1000" s="12"/>
      <c r="C1000" s="12"/>
      <c r="D1000" s="13"/>
      <c r="F1000" s="14"/>
      <c r="G1000" s="14"/>
      <c r="H1000" s="14"/>
      <c r="I1000" s="14"/>
      <c r="J1000" s="14"/>
      <c r="K1000" s="12"/>
    </row>
  </sheetData>
  <mergeCells count="10">
    <mergeCell ref="E9:G9"/>
    <mergeCell ref="J9:J10"/>
    <mergeCell ref="A6:K6"/>
    <mergeCell ref="A7:K7"/>
    <mergeCell ref="A8:K8"/>
    <mergeCell ref="A9:A10"/>
    <mergeCell ref="B9:B10"/>
    <mergeCell ref="C9:C10"/>
    <mergeCell ref="D9:D10"/>
    <mergeCell ref="K9:K10"/>
  </mergeCells>
  <printOptions/>
  <pageMargins bottom="0.787401575" footer="0.0" header="0.0" left="0.511811024" right="0.511811024" top="0.787401575"/>
  <pageSetup paperSize="9" scale="60" orientation="landscape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32.75"/>
    <col customWidth="1" min="3" max="3" width="9.13"/>
    <col customWidth="1" min="4" max="4" width="16.25"/>
    <col customWidth="1" min="5" max="5" width="19.0"/>
    <col customWidth="1" min="6" max="6" width="18.63"/>
    <col customWidth="1" min="7" max="7" width="19.88"/>
    <col customWidth="1" min="8" max="8" width="18.0"/>
    <col customWidth="1" min="9" max="9" width="23.63"/>
    <col customWidth="1" min="10" max="10" width="20.63"/>
    <col customWidth="1" min="11" max="11" width="28.25"/>
    <col customWidth="1" min="12" max="26" width="8.63"/>
  </cols>
  <sheetData>
    <row r="1" ht="19.5" customHeight="1">
      <c r="A1" s="4"/>
      <c r="B1" s="5"/>
      <c r="C1" s="6"/>
      <c r="D1" s="7"/>
      <c r="E1" s="5"/>
      <c r="F1" s="8"/>
      <c r="G1" s="8"/>
      <c r="H1" s="8"/>
      <c r="I1" s="8"/>
      <c r="J1" s="8"/>
      <c r="K1" s="9"/>
    </row>
    <row r="2" ht="19.5" customHeight="1">
      <c r="A2" s="10" t="s">
        <v>83</v>
      </c>
      <c r="B2" s="11" t="s">
        <v>84</v>
      </c>
      <c r="C2" s="12"/>
      <c r="D2" s="13"/>
      <c r="F2" s="14"/>
      <c r="G2" s="14"/>
      <c r="H2" s="14"/>
      <c r="I2" s="14"/>
      <c r="J2" s="17" t="s">
        <v>144</v>
      </c>
      <c r="K2" s="18"/>
    </row>
    <row r="3" ht="19.5" customHeight="1">
      <c r="A3" s="10" t="s">
        <v>86</v>
      </c>
      <c r="B3" s="11" t="s">
        <v>87</v>
      </c>
      <c r="C3" s="12"/>
      <c r="D3" s="13"/>
      <c r="F3" s="14"/>
      <c r="G3" s="14"/>
      <c r="H3" s="14"/>
      <c r="I3" s="14"/>
      <c r="J3" s="14"/>
      <c r="K3" s="18"/>
    </row>
    <row r="4" ht="19.5" customHeight="1">
      <c r="A4" s="19"/>
      <c r="C4" s="12"/>
      <c r="D4" s="13"/>
      <c r="F4" s="14"/>
      <c r="G4" s="14"/>
      <c r="H4" s="14"/>
      <c r="I4" s="14"/>
      <c r="J4" s="14"/>
      <c r="K4" s="18"/>
    </row>
    <row r="5" ht="19.5" customHeight="1">
      <c r="A5" s="19"/>
      <c r="C5" s="12"/>
      <c r="D5" s="13"/>
      <c r="F5" s="14"/>
      <c r="G5" s="14"/>
      <c r="H5" s="14"/>
      <c r="I5" s="14"/>
      <c r="J5" s="14"/>
      <c r="K5" s="18"/>
    </row>
    <row r="6" ht="159.0" customHeight="1">
      <c r="A6" s="20" t="s">
        <v>1835</v>
      </c>
      <c r="K6" s="21"/>
    </row>
    <row r="7" ht="64.5" customHeight="1">
      <c r="A7" s="22" t="s">
        <v>1836</v>
      </c>
      <c r="K7" s="21"/>
    </row>
    <row r="8" ht="42.0" customHeight="1">
      <c r="A8" s="88" t="s">
        <v>90</v>
      </c>
      <c r="B8" s="24"/>
      <c r="C8" s="24"/>
      <c r="D8" s="24"/>
      <c r="E8" s="24"/>
      <c r="F8" s="24"/>
      <c r="G8" s="24"/>
      <c r="H8" s="24"/>
      <c r="I8" s="24"/>
      <c r="J8" s="24"/>
      <c r="K8" s="25"/>
    </row>
    <row r="9" ht="19.5" customHeight="1">
      <c r="A9" s="26" t="s">
        <v>1</v>
      </c>
      <c r="B9" s="26" t="s">
        <v>91</v>
      </c>
      <c r="C9" s="26" t="s">
        <v>92</v>
      </c>
      <c r="D9" s="26" t="s">
        <v>93</v>
      </c>
      <c r="E9" s="27" t="s">
        <v>94</v>
      </c>
      <c r="F9" s="28"/>
      <c r="G9" s="29"/>
      <c r="H9" s="30"/>
      <c r="I9" s="30"/>
      <c r="J9" s="31" t="s">
        <v>95</v>
      </c>
      <c r="K9" s="26" t="s">
        <v>96</v>
      </c>
    </row>
    <row r="10" ht="19.5" customHeight="1">
      <c r="A10" s="32"/>
      <c r="B10" s="32"/>
      <c r="C10" s="32"/>
      <c r="D10" s="32"/>
      <c r="E10" s="33" t="s">
        <v>97</v>
      </c>
      <c r="F10" s="34" t="s">
        <v>121</v>
      </c>
      <c r="G10" s="34" t="s">
        <v>99</v>
      </c>
      <c r="H10" s="35" t="s">
        <v>100</v>
      </c>
      <c r="I10" s="35" t="s">
        <v>101</v>
      </c>
      <c r="J10" s="32"/>
      <c r="K10" s="32"/>
    </row>
    <row r="11" ht="19.5" customHeight="1">
      <c r="A11" s="46">
        <v>1.0</v>
      </c>
      <c r="B11" s="37" t="s">
        <v>147</v>
      </c>
      <c r="C11" s="46" t="s">
        <v>148</v>
      </c>
      <c r="D11" s="78">
        <v>1.0</v>
      </c>
      <c r="E11" s="37">
        <v>0.2</v>
      </c>
      <c r="F11" s="40">
        <f>34+34+34+34+60+60+35+35</f>
        <v>326</v>
      </c>
      <c r="G11" s="40">
        <v>0.2</v>
      </c>
      <c r="H11" s="40">
        <f t="shared" ref="H11:H13" si="1">G11*F11*E11*D11</f>
        <v>13.04</v>
      </c>
      <c r="I11" s="42"/>
      <c r="J11" s="43"/>
      <c r="K11" s="46"/>
    </row>
    <row r="12" ht="19.5" customHeight="1">
      <c r="A12" s="46">
        <v>2.0</v>
      </c>
      <c r="B12" s="37" t="s">
        <v>147</v>
      </c>
      <c r="C12" s="46" t="s">
        <v>148</v>
      </c>
      <c r="D12" s="78">
        <v>2.0</v>
      </c>
      <c r="E12" s="37">
        <v>0.4</v>
      </c>
      <c r="F12" s="40">
        <v>44.0</v>
      </c>
      <c r="G12" s="40">
        <v>0.4</v>
      </c>
      <c r="H12" s="40">
        <f t="shared" si="1"/>
        <v>14.08</v>
      </c>
      <c r="I12" s="42"/>
      <c r="J12" s="43"/>
      <c r="K12" s="79"/>
    </row>
    <row r="13" ht="19.5" customHeight="1">
      <c r="A13" s="46">
        <v>3.0</v>
      </c>
      <c r="B13" s="37" t="s">
        <v>147</v>
      </c>
      <c r="C13" s="46" t="s">
        <v>148</v>
      </c>
      <c r="D13" s="78">
        <v>5.0</v>
      </c>
      <c r="E13" s="37">
        <v>0.4</v>
      </c>
      <c r="F13" s="40">
        <v>24.0</v>
      </c>
      <c r="G13" s="40">
        <v>0.4</v>
      </c>
      <c r="H13" s="40">
        <f t="shared" si="1"/>
        <v>19.2</v>
      </c>
      <c r="I13" s="42"/>
      <c r="J13" s="43">
        <f>SUM(H11:H13)</f>
        <v>46.32</v>
      </c>
      <c r="K13" s="79"/>
    </row>
    <row r="14" ht="19.5" customHeight="1">
      <c r="A14" s="74" t="s">
        <v>1</v>
      </c>
      <c r="B14" s="74" t="s">
        <v>91</v>
      </c>
      <c r="C14" s="74" t="s">
        <v>92</v>
      </c>
      <c r="D14" s="74" t="s">
        <v>93</v>
      </c>
      <c r="E14" s="50" t="s">
        <v>97</v>
      </c>
      <c r="F14" s="53" t="s">
        <v>121</v>
      </c>
      <c r="G14" s="53" t="s">
        <v>99</v>
      </c>
      <c r="H14" s="75" t="s">
        <v>100</v>
      </c>
      <c r="I14" s="75" t="s">
        <v>101</v>
      </c>
      <c r="J14" s="76" t="s">
        <v>95</v>
      </c>
      <c r="K14" s="74" t="s">
        <v>96</v>
      </c>
    </row>
    <row r="15" ht="19.5" customHeight="1">
      <c r="A15" s="572">
        <v>1.0</v>
      </c>
      <c r="B15" s="574" t="s">
        <v>1837</v>
      </c>
      <c r="C15" s="572" t="s">
        <v>148</v>
      </c>
      <c r="D15" s="78"/>
      <c r="E15" s="574"/>
      <c r="F15" s="42"/>
      <c r="G15" s="42"/>
      <c r="H15" s="42"/>
      <c r="I15" s="42"/>
      <c r="J15" s="77"/>
      <c r="K15" s="575"/>
      <c r="L15" s="576"/>
      <c r="M15" s="576"/>
      <c r="N15" s="576"/>
      <c r="O15" s="576"/>
      <c r="P15" s="576"/>
      <c r="Q15" s="576"/>
      <c r="R15" s="576"/>
      <c r="S15" s="576"/>
      <c r="T15" s="576"/>
      <c r="U15" s="576"/>
      <c r="V15" s="576"/>
      <c r="W15" s="576"/>
      <c r="X15" s="576"/>
      <c r="Y15" s="576"/>
      <c r="Z15" s="576"/>
    </row>
    <row r="16" ht="19.5" customHeight="1">
      <c r="A16" s="74" t="s">
        <v>1</v>
      </c>
      <c r="B16" s="74" t="s">
        <v>91</v>
      </c>
      <c r="C16" s="74" t="s">
        <v>92</v>
      </c>
      <c r="D16" s="74" t="s">
        <v>93</v>
      </c>
      <c r="E16" s="50" t="s">
        <v>97</v>
      </c>
      <c r="F16" s="53" t="s">
        <v>121</v>
      </c>
      <c r="G16" s="53" t="s">
        <v>99</v>
      </c>
      <c r="H16" s="75" t="s">
        <v>100</v>
      </c>
      <c r="I16" s="75" t="s">
        <v>101</v>
      </c>
      <c r="J16" s="76" t="s">
        <v>95</v>
      </c>
      <c r="K16" s="74" t="s">
        <v>96</v>
      </c>
    </row>
    <row r="17" ht="19.5" customHeight="1">
      <c r="A17" s="46">
        <v>1.0</v>
      </c>
      <c r="B17" s="37" t="s">
        <v>1838</v>
      </c>
      <c r="C17" s="46" t="s">
        <v>148</v>
      </c>
      <c r="D17" s="78"/>
      <c r="E17" s="37"/>
      <c r="F17" s="78"/>
      <c r="G17" s="40"/>
      <c r="H17" s="40"/>
      <c r="I17" s="14"/>
      <c r="J17" s="40"/>
      <c r="K17" s="46"/>
    </row>
    <row r="18" ht="19.5" customHeight="1">
      <c r="A18" s="46"/>
      <c r="B18" s="37"/>
      <c r="C18" s="46"/>
      <c r="D18" s="78"/>
      <c r="E18" s="37"/>
      <c r="F18" s="78"/>
      <c r="G18" s="40"/>
      <c r="H18" s="40"/>
      <c r="I18" s="42"/>
      <c r="J18" s="43">
        <f>SUM(H17:H18)</f>
        <v>0</v>
      </c>
      <c r="K18" s="46"/>
    </row>
    <row r="19" ht="19.5" customHeight="1">
      <c r="A19" s="74" t="s">
        <v>1</v>
      </c>
      <c r="B19" s="74" t="s">
        <v>91</v>
      </c>
      <c r="C19" s="74" t="s">
        <v>92</v>
      </c>
      <c r="D19" s="74" t="s">
        <v>93</v>
      </c>
      <c r="E19" s="50" t="s">
        <v>97</v>
      </c>
      <c r="F19" s="53" t="s">
        <v>1839</v>
      </c>
      <c r="G19" s="53" t="s">
        <v>99</v>
      </c>
      <c r="H19" s="75" t="s">
        <v>100</v>
      </c>
      <c r="I19" s="75" t="s">
        <v>101</v>
      </c>
      <c r="J19" s="76" t="s">
        <v>95</v>
      </c>
      <c r="K19" s="74" t="s">
        <v>96</v>
      </c>
    </row>
    <row r="20" ht="19.5" customHeight="1">
      <c r="A20" s="46">
        <f>A18+1</f>
        <v>1</v>
      </c>
      <c r="B20" s="37" t="s">
        <v>1840</v>
      </c>
      <c r="C20" s="46" t="s">
        <v>148</v>
      </c>
      <c r="D20" s="78">
        <v>1.0</v>
      </c>
      <c r="E20" s="37">
        <v>0.01</v>
      </c>
      <c r="F20" s="78">
        <v>1038.59</v>
      </c>
      <c r="G20" s="40"/>
      <c r="H20" s="40">
        <f>F20*E20</f>
        <v>10.3859</v>
      </c>
      <c r="I20" s="42"/>
      <c r="J20" s="43">
        <f>H20</f>
        <v>10.3859</v>
      </c>
      <c r="K20" s="46"/>
    </row>
    <row r="21" ht="19.5" customHeight="1">
      <c r="A21" s="46"/>
      <c r="B21" s="37"/>
      <c r="C21" s="46"/>
      <c r="D21" s="78"/>
      <c r="E21" s="37"/>
      <c r="F21" s="78"/>
      <c r="G21" s="40"/>
      <c r="H21" s="40"/>
      <c r="I21" s="42"/>
      <c r="J21" s="43">
        <f>H21*1.5</f>
        <v>0</v>
      </c>
      <c r="K21" s="46"/>
    </row>
    <row r="22" ht="19.5" customHeight="1">
      <c r="A22" s="74" t="s">
        <v>1</v>
      </c>
      <c r="B22" s="74" t="s">
        <v>91</v>
      </c>
      <c r="C22" s="74" t="s">
        <v>92</v>
      </c>
      <c r="D22" s="74" t="s">
        <v>93</v>
      </c>
      <c r="E22" s="50" t="s">
        <v>97</v>
      </c>
      <c r="F22" s="53" t="s">
        <v>121</v>
      </c>
      <c r="G22" s="53" t="s">
        <v>99</v>
      </c>
      <c r="H22" s="75" t="s">
        <v>100</v>
      </c>
      <c r="I22" s="75" t="s">
        <v>101</v>
      </c>
      <c r="J22" s="76" t="s">
        <v>95</v>
      </c>
      <c r="K22" s="74" t="s">
        <v>96</v>
      </c>
    </row>
    <row r="23" ht="19.5" customHeight="1">
      <c r="A23" s="46">
        <v>1.0</v>
      </c>
      <c r="B23" s="37" t="s">
        <v>345</v>
      </c>
      <c r="C23" s="46" t="s">
        <v>148</v>
      </c>
      <c r="D23" s="78">
        <v>2.0</v>
      </c>
      <c r="E23" s="37">
        <v>0.15</v>
      </c>
      <c r="F23" s="78">
        <f>F11</f>
        <v>326</v>
      </c>
      <c r="G23" s="40">
        <v>0.14</v>
      </c>
      <c r="H23" s="40">
        <f>F23*E23*G23*D23</f>
        <v>13.692</v>
      </c>
      <c r="I23" s="42"/>
      <c r="J23" s="40"/>
      <c r="K23" s="46"/>
    </row>
    <row r="24" ht="19.5" customHeight="1">
      <c r="A24" s="46"/>
      <c r="B24" s="37"/>
      <c r="C24" s="46"/>
      <c r="D24" s="78"/>
      <c r="E24" s="37"/>
      <c r="F24" s="78"/>
      <c r="G24" s="40"/>
      <c r="H24" s="40"/>
      <c r="I24" s="42"/>
      <c r="J24" s="43">
        <f>SUM(H23:H24)</f>
        <v>13.692</v>
      </c>
      <c r="K24" s="46"/>
    </row>
    <row r="25" ht="19.5" customHeight="1">
      <c r="A25" s="74" t="s">
        <v>1</v>
      </c>
      <c r="B25" s="74" t="s">
        <v>91</v>
      </c>
      <c r="C25" s="74" t="s">
        <v>92</v>
      </c>
      <c r="D25" s="74" t="s">
        <v>93</v>
      </c>
      <c r="E25" s="50" t="s">
        <v>97</v>
      </c>
      <c r="F25" s="53" t="s">
        <v>121</v>
      </c>
      <c r="G25" s="53" t="s">
        <v>99</v>
      </c>
      <c r="H25" s="75" t="s">
        <v>100</v>
      </c>
      <c r="I25" s="75" t="s">
        <v>101</v>
      </c>
      <c r="J25" s="76" t="s">
        <v>95</v>
      </c>
      <c r="K25" s="74" t="s">
        <v>96</v>
      </c>
    </row>
    <row r="26" ht="19.5" customHeight="1">
      <c r="A26" s="46">
        <v>1.0</v>
      </c>
      <c r="B26" s="37" t="s">
        <v>912</v>
      </c>
      <c r="C26" s="46" t="s">
        <v>103</v>
      </c>
      <c r="D26" s="78">
        <v>12.0</v>
      </c>
      <c r="E26" s="37"/>
      <c r="F26" s="40"/>
      <c r="G26" s="40"/>
      <c r="H26" s="40"/>
      <c r="I26" s="42"/>
      <c r="J26" s="107">
        <f>H26-I26</f>
        <v>0</v>
      </c>
      <c r="K26" s="46" t="s">
        <v>1322</v>
      </c>
    </row>
    <row r="27" ht="19.5" customHeight="1">
      <c r="A27" s="74" t="s">
        <v>1</v>
      </c>
      <c r="B27" s="74" t="s">
        <v>91</v>
      </c>
      <c r="C27" s="74" t="s">
        <v>92</v>
      </c>
      <c r="D27" s="74" t="s">
        <v>93</v>
      </c>
      <c r="E27" s="50" t="s">
        <v>187</v>
      </c>
      <c r="F27" s="53"/>
      <c r="G27" s="53"/>
      <c r="H27" s="75" t="s">
        <v>100</v>
      </c>
      <c r="I27" s="75" t="s">
        <v>101</v>
      </c>
      <c r="J27" s="76" t="s">
        <v>95</v>
      </c>
      <c r="K27" s="74" t="s">
        <v>96</v>
      </c>
    </row>
    <row r="28" ht="19.5" customHeight="1">
      <c r="A28" s="46">
        <v>1.0</v>
      </c>
      <c r="B28" s="37" t="s">
        <v>1323</v>
      </c>
      <c r="C28" s="46" t="s">
        <v>158</v>
      </c>
      <c r="D28" s="78">
        <v>6.0</v>
      </c>
      <c r="E28" s="37">
        <v>80.0</v>
      </c>
      <c r="F28" s="40"/>
      <c r="G28" s="40"/>
      <c r="H28" s="40">
        <f>E28*D28</f>
        <v>480</v>
      </c>
      <c r="I28" s="42"/>
      <c r="J28" s="43">
        <f>H28-I28</f>
        <v>480</v>
      </c>
      <c r="K28" s="46" t="s">
        <v>355</v>
      </c>
    </row>
    <row r="29" ht="19.5" customHeight="1">
      <c r="A29" s="74" t="s">
        <v>1</v>
      </c>
      <c r="B29" s="74" t="s">
        <v>91</v>
      </c>
      <c r="C29" s="74" t="s">
        <v>92</v>
      </c>
      <c r="D29" s="74" t="s">
        <v>93</v>
      </c>
      <c r="E29" s="50" t="s">
        <v>161</v>
      </c>
      <c r="F29" s="53" t="s">
        <v>121</v>
      </c>
      <c r="G29" s="53" t="s">
        <v>99</v>
      </c>
      <c r="H29" s="75" t="s">
        <v>100</v>
      </c>
      <c r="I29" s="75" t="s">
        <v>101</v>
      </c>
      <c r="J29" s="76" t="s">
        <v>95</v>
      </c>
      <c r="K29" s="74" t="s">
        <v>96</v>
      </c>
    </row>
    <row r="30" ht="19.5" customHeight="1">
      <c r="A30" s="46">
        <v>1.0</v>
      </c>
      <c r="B30" s="49" t="s">
        <v>363</v>
      </c>
      <c r="C30" s="46" t="s">
        <v>103</v>
      </c>
      <c r="D30" s="78">
        <v>48.0</v>
      </c>
      <c r="E30" s="37">
        <v>2.0</v>
      </c>
      <c r="F30" s="78"/>
      <c r="G30" s="40">
        <v>0.8</v>
      </c>
      <c r="H30" s="40">
        <f>G30*E30*D30</f>
        <v>76.8</v>
      </c>
      <c r="I30" s="42"/>
      <c r="J30" s="40"/>
      <c r="K30" s="46"/>
    </row>
    <row r="31" ht="19.5" customHeight="1">
      <c r="A31" s="46"/>
      <c r="B31" s="37"/>
      <c r="C31" s="46"/>
      <c r="D31" s="78"/>
      <c r="E31" s="37"/>
      <c r="F31" s="78"/>
      <c r="G31" s="40"/>
      <c r="H31" s="40"/>
      <c r="I31" s="42"/>
      <c r="J31" s="43">
        <f>SUM(H30:H31)</f>
        <v>76.8</v>
      </c>
      <c r="K31" s="46"/>
    </row>
    <row r="32" ht="19.5" customHeight="1">
      <c r="A32" s="74" t="s">
        <v>1</v>
      </c>
      <c r="B32" s="74" t="s">
        <v>91</v>
      </c>
      <c r="C32" s="74" t="s">
        <v>92</v>
      </c>
      <c r="D32" s="74" t="s">
        <v>93</v>
      </c>
      <c r="E32" s="50" t="s">
        <v>97</v>
      </c>
      <c r="F32" s="53" t="s">
        <v>121</v>
      </c>
      <c r="G32" s="53" t="s">
        <v>99</v>
      </c>
      <c r="H32" s="75" t="s">
        <v>100</v>
      </c>
      <c r="I32" s="75" t="s">
        <v>101</v>
      </c>
      <c r="J32" s="76" t="s">
        <v>95</v>
      </c>
      <c r="K32" s="74" t="s">
        <v>96</v>
      </c>
    </row>
    <row r="33" ht="19.5" customHeight="1">
      <c r="A33" s="46">
        <f>A31+1</f>
        <v>1</v>
      </c>
      <c r="B33" s="37" t="s">
        <v>204</v>
      </c>
      <c r="C33" s="46" t="s">
        <v>103</v>
      </c>
      <c r="D33" s="78">
        <v>48.0</v>
      </c>
      <c r="E33" s="37">
        <v>2.0</v>
      </c>
      <c r="F33" s="78"/>
      <c r="G33" s="40">
        <v>0.8</v>
      </c>
      <c r="H33" s="40">
        <f>G33*E33*D33</f>
        <v>76.8</v>
      </c>
      <c r="I33" s="42"/>
      <c r="J33" s="40"/>
      <c r="K33" s="46"/>
    </row>
    <row r="34" ht="19.5" customHeight="1">
      <c r="A34" s="46"/>
      <c r="B34" s="37"/>
      <c r="C34" s="46"/>
      <c r="D34" s="78"/>
      <c r="E34" s="37"/>
      <c r="F34" s="78"/>
      <c r="G34" s="40"/>
      <c r="H34" s="40"/>
      <c r="I34" s="42"/>
      <c r="J34" s="43">
        <f>SUM(H33:H34)</f>
        <v>76.8</v>
      </c>
      <c r="K34" s="46"/>
    </row>
    <row r="35" ht="19.5" customHeight="1">
      <c r="A35" s="74" t="s">
        <v>1</v>
      </c>
      <c r="B35" s="74" t="s">
        <v>91</v>
      </c>
      <c r="C35" s="74" t="s">
        <v>92</v>
      </c>
      <c r="D35" s="74" t="s">
        <v>93</v>
      </c>
      <c r="E35" s="50" t="s">
        <v>97</v>
      </c>
      <c r="F35" s="53" t="s">
        <v>121</v>
      </c>
      <c r="G35" s="53" t="s">
        <v>99</v>
      </c>
      <c r="H35" s="75" t="s">
        <v>100</v>
      </c>
      <c r="I35" s="75" t="s">
        <v>101</v>
      </c>
      <c r="J35" s="76" t="s">
        <v>95</v>
      </c>
      <c r="K35" s="74" t="s">
        <v>96</v>
      </c>
    </row>
    <row r="36" ht="19.5" customHeight="1">
      <c r="A36" s="46">
        <f>A34+1</f>
        <v>1</v>
      </c>
      <c r="B36" s="37" t="s">
        <v>364</v>
      </c>
      <c r="C36" s="46" t="s">
        <v>103</v>
      </c>
      <c r="D36" s="78">
        <v>48.0</v>
      </c>
      <c r="E36" s="37">
        <v>2.0</v>
      </c>
      <c r="F36" s="78"/>
      <c r="G36" s="40">
        <v>0.8</v>
      </c>
      <c r="H36" s="40">
        <f>G36*E36*D36</f>
        <v>76.8</v>
      </c>
      <c r="I36" s="42"/>
      <c r="J36" s="107"/>
      <c r="K36" s="131"/>
    </row>
    <row r="37" ht="19.5" customHeight="1">
      <c r="A37" s="46"/>
      <c r="B37" s="37"/>
      <c r="C37" s="46"/>
      <c r="D37" s="78"/>
      <c r="E37" s="37"/>
      <c r="F37" s="78"/>
      <c r="G37" s="40"/>
      <c r="H37" s="40"/>
      <c r="I37" s="42"/>
      <c r="J37" s="406">
        <f>SUM(H36:H37)</f>
        <v>76.8</v>
      </c>
      <c r="K37" s="46"/>
    </row>
    <row r="38" ht="19.5" customHeight="1">
      <c r="A38" s="74" t="s">
        <v>1</v>
      </c>
      <c r="B38" s="74" t="s">
        <v>91</v>
      </c>
      <c r="C38" s="74" t="s">
        <v>92</v>
      </c>
      <c r="D38" s="74" t="s">
        <v>93</v>
      </c>
      <c r="E38" s="50" t="s">
        <v>97</v>
      </c>
      <c r="F38" s="53" t="s">
        <v>121</v>
      </c>
      <c r="G38" s="53" t="s">
        <v>99</v>
      </c>
      <c r="H38" s="75" t="s">
        <v>100</v>
      </c>
      <c r="I38" s="75" t="s">
        <v>101</v>
      </c>
      <c r="J38" s="76" t="s">
        <v>95</v>
      </c>
      <c r="K38" s="74" t="s">
        <v>96</v>
      </c>
    </row>
    <row r="39" ht="19.5" customHeight="1">
      <c r="A39" s="46">
        <v>1.0</v>
      </c>
      <c r="B39" s="37" t="s">
        <v>1329</v>
      </c>
      <c r="C39" s="46" t="s">
        <v>103</v>
      </c>
      <c r="D39" s="78">
        <v>150.0</v>
      </c>
      <c r="E39" s="37">
        <v>2.0</v>
      </c>
      <c r="F39" s="78"/>
      <c r="G39" s="40"/>
      <c r="H39" s="40">
        <f t="shared" ref="H39:H40" si="2">G39*E39</f>
        <v>0</v>
      </c>
      <c r="I39" s="42"/>
      <c r="J39" s="40"/>
      <c r="K39" s="46"/>
    </row>
    <row r="40" ht="19.5" customHeight="1">
      <c r="A40" s="46">
        <v>2.0</v>
      </c>
      <c r="B40" s="37" t="s">
        <v>1330</v>
      </c>
      <c r="C40" s="46" t="s">
        <v>106</v>
      </c>
      <c r="D40" s="78">
        <v>2.0</v>
      </c>
      <c r="E40" s="37"/>
      <c r="F40" s="78"/>
      <c r="G40" s="40"/>
      <c r="H40" s="40">
        <f t="shared" si="2"/>
        <v>0</v>
      </c>
      <c r="I40" s="42"/>
      <c r="J40" s="43">
        <f>SUM(H39:H40)</f>
        <v>0</v>
      </c>
      <c r="K40" s="46"/>
    </row>
    <row r="41" ht="19.5" customHeight="1">
      <c r="A41" s="74" t="s">
        <v>1</v>
      </c>
      <c r="B41" s="74" t="s">
        <v>91</v>
      </c>
      <c r="C41" s="74" t="s">
        <v>92</v>
      </c>
      <c r="D41" s="74" t="s">
        <v>93</v>
      </c>
      <c r="E41" s="50" t="s">
        <v>161</v>
      </c>
      <c r="F41" s="53" t="s">
        <v>121</v>
      </c>
      <c r="G41" s="53" t="s">
        <v>99</v>
      </c>
      <c r="H41" s="75" t="s">
        <v>100</v>
      </c>
      <c r="I41" s="75" t="s">
        <v>101</v>
      </c>
      <c r="J41" s="76" t="s">
        <v>95</v>
      </c>
      <c r="K41" s="74" t="s">
        <v>96</v>
      </c>
    </row>
    <row r="42" ht="19.5" customHeight="1">
      <c r="A42" s="46">
        <v>1.0</v>
      </c>
      <c r="B42" s="37" t="s">
        <v>1220</v>
      </c>
      <c r="C42" s="46" t="s">
        <v>106</v>
      </c>
      <c r="D42" s="78">
        <v>8.0</v>
      </c>
      <c r="E42" s="37"/>
      <c r="F42" s="78"/>
      <c r="G42" s="40"/>
      <c r="H42" s="40">
        <f>D42</f>
        <v>8</v>
      </c>
      <c r="I42" s="42"/>
      <c r="J42" s="40"/>
      <c r="K42" s="46"/>
    </row>
    <row r="43" ht="19.5" customHeight="1">
      <c r="A43" s="46"/>
      <c r="B43" s="37"/>
      <c r="C43" s="46"/>
      <c r="D43" s="78"/>
      <c r="E43" s="37"/>
      <c r="F43" s="78"/>
      <c r="G43" s="40"/>
      <c r="H43" s="40"/>
      <c r="I43" s="42"/>
      <c r="J43" s="43">
        <f>SUM(H42:H43)</f>
        <v>8</v>
      </c>
      <c r="K43" s="46"/>
    </row>
    <row r="44" ht="19.5" customHeight="1">
      <c r="A44" s="74" t="s">
        <v>1</v>
      </c>
      <c r="B44" s="74" t="s">
        <v>91</v>
      </c>
      <c r="C44" s="74" t="s">
        <v>92</v>
      </c>
      <c r="D44" s="74" t="s">
        <v>93</v>
      </c>
      <c r="E44" s="50" t="s">
        <v>97</v>
      </c>
      <c r="F44" s="53" t="s">
        <v>1237</v>
      </c>
      <c r="G44" s="53" t="s">
        <v>99</v>
      </c>
      <c r="H44" s="75" t="s">
        <v>100</v>
      </c>
      <c r="I44" s="75" t="s">
        <v>101</v>
      </c>
      <c r="J44" s="76" t="s">
        <v>95</v>
      </c>
      <c r="K44" s="74" t="s">
        <v>96</v>
      </c>
    </row>
    <row r="45" ht="19.5" customHeight="1">
      <c r="A45" s="46">
        <v>1.0</v>
      </c>
      <c r="B45" s="37" t="s">
        <v>1841</v>
      </c>
      <c r="C45" s="46" t="s">
        <v>108</v>
      </c>
      <c r="D45" s="78">
        <v>1.0</v>
      </c>
      <c r="E45" s="37">
        <v>0.1</v>
      </c>
      <c r="F45" s="78">
        <v>1038.59</v>
      </c>
      <c r="G45" s="40">
        <v>1.0</v>
      </c>
      <c r="H45" s="40">
        <f t="shared" ref="H45:H46" si="3">G45*F45*E45*D45</f>
        <v>103.859</v>
      </c>
      <c r="I45" s="42"/>
      <c r="J45" s="40"/>
      <c r="K45" s="46"/>
    </row>
    <row r="46" ht="19.5" customHeight="1">
      <c r="A46" s="46">
        <v>2.0</v>
      </c>
      <c r="B46" s="37" t="s">
        <v>1842</v>
      </c>
      <c r="C46" s="46" t="s">
        <v>108</v>
      </c>
      <c r="D46" s="78">
        <v>1.0</v>
      </c>
      <c r="E46" s="37">
        <v>0.05</v>
      </c>
      <c r="F46" s="78">
        <v>1340.87</v>
      </c>
      <c r="G46" s="40">
        <v>1.0</v>
      </c>
      <c r="H46" s="40">
        <f t="shared" si="3"/>
        <v>67.0435</v>
      </c>
      <c r="I46" s="42"/>
      <c r="J46" s="43">
        <f>SUM(H45:H46)</f>
        <v>170.9025</v>
      </c>
      <c r="K46" s="46"/>
    </row>
    <row r="47" ht="19.5" customHeight="1">
      <c r="A47" s="79"/>
      <c r="B47" s="95"/>
      <c r="C47" s="79"/>
      <c r="D47" s="92"/>
      <c r="E47" s="37"/>
      <c r="F47" s="78"/>
      <c r="G47" s="40"/>
      <c r="H47" s="59"/>
      <c r="I47" s="93"/>
      <c r="J47" s="96"/>
      <c r="K47" s="79"/>
    </row>
    <row r="48" ht="19.5" customHeight="1">
      <c r="A48" s="74" t="s">
        <v>1</v>
      </c>
      <c r="B48" s="74" t="s">
        <v>91</v>
      </c>
      <c r="C48" s="74" t="s">
        <v>92</v>
      </c>
      <c r="D48" s="74" t="s">
        <v>93</v>
      </c>
      <c r="E48" s="50" t="s">
        <v>97</v>
      </c>
      <c r="F48" s="53" t="s">
        <v>121</v>
      </c>
      <c r="G48" s="53" t="s">
        <v>99</v>
      </c>
      <c r="H48" s="75" t="s">
        <v>100</v>
      </c>
      <c r="I48" s="75" t="s">
        <v>101</v>
      </c>
      <c r="J48" s="76" t="s">
        <v>95</v>
      </c>
      <c r="K48" s="74" t="s">
        <v>96</v>
      </c>
    </row>
    <row r="49" ht="19.5" customHeight="1">
      <c r="A49" s="79">
        <v>1.0</v>
      </c>
      <c r="B49" s="95" t="s">
        <v>1843</v>
      </c>
      <c r="C49" s="79" t="s">
        <v>148</v>
      </c>
      <c r="D49" s="92">
        <v>0.2</v>
      </c>
      <c r="E49" s="37">
        <v>0.4</v>
      </c>
      <c r="F49" s="78">
        <v>44.0</v>
      </c>
      <c r="G49" s="40">
        <v>0.4</v>
      </c>
      <c r="H49" s="59">
        <f t="shared" ref="H49:H50" si="4">G49*F49*E49*D49</f>
        <v>1.408</v>
      </c>
      <c r="I49" s="93"/>
      <c r="J49" s="96"/>
      <c r="K49" s="79"/>
    </row>
    <row r="50" ht="19.5" customHeight="1">
      <c r="A50" s="79">
        <v>2.0</v>
      </c>
      <c r="B50" s="95" t="s">
        <v>1844</v>
      </c>
      <c r="C50" s="79" t="s">
        <v>148</v>
      </c>
      <c r="D50" s="92">
        <v>5.0</v>
      </c>
      <c r="E50" s="37">
        <v>0.4</v>
      </c>
      <c r="F50" s="78">
        <v>24.0</v>
      </c>
      <c r="G50" s="40">
        <v>0.4</v>
      </c>
      <c r="H50" s="59">
        <f t="shared" si="4"/>
        <v>19.2</v>
      </c>
      <c r="I50" s="93"/>
      <c r="J50" s="96">
        <f>SUM(H49:H50)</f>
        <v>20.608</v>
      </c>
      <c r="K50" s="79"/>
    </row>
    <row r="51" ht="19.5" customHeight="1">
      <c r="A51" s="74" t="s">
        <v>1</v>
      </c>
      <c r="B51" s="74" t="s">
        <v>91</v>
      </c>
      <c r="C51" s="74" t="s">
        <v>92</v>
      </c>
      <c r="D51" s="76" t="s">
        <v>93</v>
      </c>
      <c r="E51" s="50" t="s">
        <v>161</v>
      </c>
      <c r="F51" s="53" t="s">
        <v>121</v>
      </c>
      <c r="G51" s="53" t="s">
        <v>99</v>
      </c>
      <c r="H51" s="75" t="s">
        <v>100</v>
      </c>
      <c r="I51" s="75" t="s">
        <v>101</v>
      </c>
      <c r="J51" s="76" t="s">
        <v>95</v>
      </c>
      <c r="K51" s="74" t="s">
        <v>96</v>
      </c>
    </row>
    <row r="52" ht="19.5" customHeight="1">
      <c r="A52" s="46">
        <v>1.0</v>
      </c>
      <c r="B52" s="37" t="s">
        <v>1332</v>
      </c>
      <c r="C52" s="46" t="s">
        <v>106</v>
      </c>
      <c r="D52" s="78">
        <v>16.0</v>
      </c>
      <c r="E52" s="37"/>
      <c r="F52" s="78"/>
      <c r="G52" s="40"/>
      <c r="H52" s="40">
        <f t="shared" ref="H52:H58" si="5">D52</f>
        <v>16</v>
      </c>
      <c r="I52" s="42"/>
      <c r="J52" s="64">
        <f t="shared" ref="J52:J58" si="6">H52</f>
        <v>16</v>
      </c>
      <c r="K52" s="46"/>
    </row>
    <row r="53" ht="19.5" customHeight="1">
      <c r="A53" s="46">
        <f t="shared" ref="A53:A58" si="7">A52+1</f>
        <v>2</v>
      </c>
      <c r="B53" s="37" t="s">
        <v>641</v>
      </c>
      <c r="C53" s="46" t="s">
        <v>108</v>
      </c>
      <c r="D53" s="123">
        <v>300.0</v>
      </c>
      <c r="E53" s="37"/>
      <c r="F53" s="40"/>
      <c r="G53" s="40"/>
      <c r="H53" s="40">
        <f t="shared" si="5"/>
        <v>300</v>
      </c>
      <c r="I53" s="40"/>
      <c r="J53" s="64">
        <f t="shared" si="6"/>
        <v>300</v>
      </c>
      <c r="K53" s="46"/>
    </row>
    <row r="54" ht="19.5" customHeight="1">
      <c r="A54" s="46">
        <f t="shared" si="7"/>
        <v>3</v>
      </c>
      <c r="B54" s="37" t="s">
        <v>1333</v>
      </c>
      <c r="C54" s="46" t="s">
        <v>108</v>
      </c>
      <c r="D54" s="123">
        <v>8.0</v>
      </c>
      <c r="E54" s="37"/>
      <c r="F54" s="40"/>
      <c r="G54" s="40"/>
      <c r="H54" s="40">
        <f t="shared" si="5"/>
        <v>8</v>
      </c>
      <c r="I54" s="40"/>
      <c r="J54" s="64">
        <f t="shared" si="6"/>
        <v>8</v>
      </c>
      <c r="K54" s="46"/>
    </row>
    <row r="55" ht="19.5" customHeight="1">
      <c r="A55" s="46">
        <f t="shared" si="7"/>
        <v>4</v>
      </c>
      <c r="B55" s="37" t="s">
        <v>255</v>
      </c>
      <c r="C55" s="46" t="s">
        <v>108</v>
      </c>
      <c r="D55" s="123">
        <v>150.0</v>
      </c>
      <c r="E55" s="37"/>
      <c r="F55" s="40"/>
      <c r="G55" s="40"/>
      <c r="H55" s="40">
        <f t="shared" si="5"/>
        <v>150</v>
      </c>
      <c r="I55" s="40"/>
      <c r="J55" s="64">
        <f t="shared" si="6"/>
        <v>150</v>
      </c>
      <c r="K55" s="46"/>
    </row>
    <row r="56" ht="19.5" customHeight="1">
      <c r="A56" s="46">
        <f t="shared" si="7"/>
        <v>5</v>
      </c>
      <c r="B56" s="37" t="s">
        <v>1334</v>
      </c>
      <c r="C56" s="46" t="s">
        <v>106</v>
      </c>
      <c r="D56" s="123">
        <v>8.0</v>
      </c>
      <c r="E56" s="37"/>
      <c r="F56" s="40"/>
      <c r="G56" s="40"/>
      <c r="H56" s="40">
        <f t="shared" si="5"/>
        <v>8</v>
      </c>
      <c r="I56" s="40"/>
      <c r="J56" s="64">
        <f t="shared" si="6"/>
        <v>8</v>
      </c>
      <c r="K56" s="46"/>
    </row>
    <row r="57" ht="19.5" customHeight="1">
      <c r="A57" s="46">
        <f t="shared" si="7"/>
        <v>6</v>
      </c>
      <c r="B57" s="37" t="s">
        <v>1335</v>
      </c>
      <c r="C57" s="46" t="s">
        <v>108</v>
      </c>
      <c r="D57" s="123">
        <v>1.0</v>
      </c>
      <c r="E57" s="37"/>
      <c r="F57" s="40"/>
      <c r="G57" s="40"/>
      <c r="H57" s="40">
        <f t="shared" si="5"/>
        <v>1</v>
      </c>
      <c r="I57" s="40"/>
      <c r="J57" s="64">
        <f t="shared" si="6"/>
        <v>1</v>
      </c>
      <c r="K57" s="46"/>
    </row>
    <row r="58" ht="19.5" customHeight="1">
      <c r="A58" s="46">
        <f t="shared" si="7"/>
        <v>7</v>
      </c>
      <c r="B58" s="37" t="s">
        <v>1336</v>
      </c>
      <c r="C58" s="46" t="s">
        <v>108</v>
      </c>
      <c r="D58" s="123">
        <v>10.0</v>
      </c>
      <c r="E58" s="37"/>
      <c r="F58" s="40"/>
      <c r="G58" s="40"/>
      <c r="H58" s="40">
        <f t="shared" si="5"/>
        <v>10</v>
      </c>
      <c r="I58" s="40"/>
      <c r="J58" s="64">
        <f t="shared" si="6"/>
        <v>10</v>
      </c>
      <c r="K58" s="46"/>
    </row>
    <row r="59" ht="19.5" customHeight="1">
      <c r="A59" s="12"/>
      <c r="C59" s="12"/>
      <c r="D59" s="13"/>
      <c r="F59" s="14"/>
      <c r="G59" s="14"/>
      <c r="H59" s="14"/>
      <c r="I59" s="14"/>
      <c r="J59" s="14"/>
      <c r="K59" s="12"/>
    </row>
    <row r="60" ht="19.5" customHeight="1">
      <c r="A60" s="74" t="s">
        <v>1</v>
      </c>
      <c r="B60" s="74" t="s">
        <v>91</v>
      </c>
      <c r="C60" s="74" t="s">
        <v>92</v>
      </c>
      <c r="D60" s="74" t="s">
        <v>93</v>
      </c>
      <c r="E60" s="50" t="s">
        <v>97</v>
      </c>
      <c r="F60" s="53" t="s">
        <v>121</v>
      </c>
      <c r="G60" s="53" t="s">
        <v>99</v>
      </c>
      <c r="H60" s="75" t="s">
        <v>100</v>
      </c>
      <c r="I60" s="75" t="s">
        <v>101</v>
      </c>
      <c r="J60" s="76" t="s">
        <v>95</v>
      </c>
      <c r="K60" s="74" t="s">
        <v>96</v>
      </c>
    </row>
    <row r="61" ht="19.5" customHeight="1">
      <c r="A61" s="46">
        <v>1.0</v>
      </c>
      <c r="B61" s="37" t="s">
        <v>1221</v>
      </c>
      <c r="C61" s="46" t="s">
        <v>1342</v>
      </c>
      <c r="D61" s="78">
        <v>1.0</v>
      </c>
      <c r="E61" s="37"/>
      <c r="F61" s="78"/>
      <c r="G61" s="40"/>
      <c r="H61" s="40">
        <f t="shared" ref="H61:H62" si="8">D61</f>
        <v>1</v>
      </c>
      <c r="I61" s="42"/>
      <c r="J61" s="40"/>
      <c r="K61" s="46"/>
    </row>
    <row r="62" ht="19.5" customHeight="1">
      <c r="A62" s="46"/>
      <c r="B62" s="37" t="s">
        <v>1845</v>
      </c>
      <c r="C62" s="46" t="s">
        <v>1342</v>
      </c>
      <c r="D62" s="78">
        <v>1.0</v>
      </c>
      <c r="E62" s="37"/>
      <c r="F62" s="78"/>
      <c r="G62" s="40"/>
      <c r="H62" s="40">
        <f t="shared" si="8"/>
        <v>1</v>
      </c>
      <c r="I62" s="42"/>
      <c r="J62" s="43">
        <f>SUM(H61:H62)</f>
        <v>2</v>
      </c>
      <c r="K62" s="46"/>
    </row>
    <row r="63" ht="19.5" customHeight="1">
      <c r="A63" s="12"/>
      <c r="C63" s="12"/>
      <c r="D63" s="13"/>
      <c r="F63" s="14"/>
      <c r="G63" s="14"/>
      <c r="H63" s="14"/>
      <c r="I63" s="14"/>
      <c r="J63" s="14"/>
      <c r="K63" s="12"/>
    </row>
    <row r="64" ht="19.5" customHeight="1">
      <c r="A64" s="50" t="s">
        <v>1</v>
      </c>
      <c r="B64" s="50" t="s">
        <v>91</v>
      </c>
      <c r="C64" s="50" t="s">
        <v>92</v>
      </c>
      <c r="D64" s="50" t="s">
        <v>93</v>
      </c>
      <c r="E64" s="50" t="s">
        <v>97</v>
      </c>
      <c r="F64" s="53" t="s">
        <v>121</v>
      </c>
      <c r="G64" s="53" t="s">
        <v>99</v>
      </c>
      <c r="H64" s="53" t="s">
        <v>100</v>
      </c>
      <c r="I64" s="53" t="s">
        <v>101</v>
      </c>
      <c r="J64" s="53" t="s">
        <v>95</v>
      </c>
      <c r="K64" s="50" t="s">
        <v>96</v>
      </c>
    </row>
    <row r="65" ht="19.5" customHeight="1">
      <c r="A65" s="46">
        <v>1.0</v>
      </c>
      <c r="B65" s="416" t="s">
        <v>1846</v>
      </c>
      <c r="C65" s="46" t="s">
        <v>108</v>
      </c>
      <c r="D65" s="78">
        <v>5.0</v>
      </c>
      <c r="E65" s="37"/>
      <c r="F65" s="78">
        <v>25.0</v>
      </c>
      <c r="G65" s="40"/>
      <c r="H65" s="40">
        <f t="shared" ref="H65:H69" si="9">F65*D65</f>
        <v>125</v>
      </c>
      <c r="I65" s="42"/>
      <c r="J65" s="43">
        <f t="shared" ref="J65:J69" si="10">H65</f>
        <v>125</v>
      </c>
      <c r="K65" s="46"/>
    </row>
    <row r="66" ht="19.5" customHeight="1">
      <c r="A66" s="46">
        <v>2.0</v>
      </c>
      <c r="B66" s="416" t="s">
        <v>1847</v>
      </c>
      <c r="C66" s="46" t="s">
        <v>108</v>
      </c>
      <c r="D66" s="78">
        <v>2.0</v>
      </c>
      <c r="E66" s="37"/>
      <c r="F66" s="78">
        <v>44.0</v>
      </c>
      <c r="G66" s="40"/>
      <c r="H66" s="40">
        <f t="shared" si="9"/>
        <v>88</v>
      </c>
      <c r="I66" s="42"/>
      <c r="J66" s="43">
        <f t="shared" si="10"/>
        <v>88</v>
      </c>
      <c r="K66" s="46"/>
    </row>
    <row r="67" ht="19.5" customHeight="1">
      <c r="A67" s="46">
        <v>3.0</v>
      </c>
      <c r="B67" s="416" t="s">
        <v>1848</v>
      </c>
      <c r="C67" s="46" t="s">
        <v>106</v>
      </c>
      <c r="D67" s="78">
        <v>10.0</v>
      </c>
      <c r="E67" s="37"/>
      <c r="F67" s="78">
        <v>1.0</v>
      </c>
      <c r="G67" s="40"/>
      <c r="H67" s="40">
        <f t="shared" si="9"/>
        <v>10</v>
      </c>
      <c r="I67" s="42"/>
      <c r="J67" s="43">
        <f t="shared" si="10"/>
        <v>10</v>
      </c>
      <c r="K67" s="40"/>
    </row>
    <row r="68" ht="19.5" customHeight="1">
      <c r="A68" s="46">
        <v>3.0</v>
      </c>
      <c r="B68" s="416" t="s">
        <v>1849</v>
      </c>
      <c r="C68" s="46" t="s">
        <v>106</v>
      </c>
      <c r="D68" s="78">
        <v>10.0</v>
      </c>
      <c r="E68" s="37"/>
      <c r="F68" s="78">
        <v>1.0</v>
      </c>
      <c r="G68" s="40"/>
      <c r="H68" s="40">
        <f t="shared" si="9"/>
        <v>10</v>
      </c>
      <c r="I68" s="42"/>
      <c r="J68" s="43">
        <f t="shared" si="10"/>
        <v>10</v>
      </c>
      <c r="K68" s="40"/>
    </row>
    <row r="69" ht="19.5" customHeight="1">
      <c r="A69" s="46">
        <v>3.0</v>
      </c>
      <c r="B69" s="416" t="s">
        <v>1850</v>
      </c>
      <c r="C69" s="46" t="s">
        <v>1342</v>
      </c>
      <c r="D69" s="78">
        <v>1.0</v>
      </c>
      <c r="E69" s="37"/>
      <c r="F69" s="78">
        <v>1.0</v>
      </c>
      <c r="G69" s="40"/>
      <c r="H69" s="40">
        <f t="shared" si="9"/>
        <v>1</v>
      </c>
      <c r="I69" s="42"/>
      <c r="J69" s="43">
        <f t="shared" si="10"/>
        <v>1</v>
      </c>
      <c r="K69" s="40"/>
    </row>
    <row r="70" ht="19.5" customHeight="1">
      <c r="A70" s="12"/>
      <c r="C70" s="12"/>
      <c r="D70" s="13"/>
      <c r="F70" s="14"/>
      <c r="G70" s="14"/>
      <c r="H70" s="14"/>
      <c r="I70" s="14"/>
      <c r="J70" s="14"/>
      <c r="K70" s="12"/>
    </row>
    <row r="71" ht="19.5" customHeight="1">
      <c r="A71" s="74" t="s">
        <v>1</v>
      </c>
      <c r="B71" s="74" t="s">
        <v>91</v>
      </c>
      <c r="C71" s="74" t="s">
        <v>92</v>
      </c>
      <c r="D71" s="74" t="s">
        <v>93</v>
      </c>
      <c r="E71" s="50" t="s">
        <v>97</v>
      </c>
      <c r="F71" s="53" t="s">
        <v>121</v>
      </c>
      <c r="G71" s="53" t="s">
        <v>99</v>
      </c>
      <c r="H71" s="53" t="s">
        <v>100</v>
      </c>
      <c r="I71" s="53" t="s">
        <v>101</v>
      </c>
      <c r="J71" s="53" t="s">
        <v>95</v>
      </c>
      <c r="K71" s="50" t="s">
        <v>96</v>
      </c>
    </row>
    <row r="72" ht="19.5" customHeight="1">
      <c r="A72" s="46">
        <v>1.0</v>
      </c>
      <c r="B72" s="37" t="s">
        <v>1851</v>
      </c>
      <c r="C72" s="46" t="s">
        <v>103</v>
      </c>
      <c r="D72" s="78">
        <v>2.0</v>
      </c>
      <c r="E72" s="37">
        <v>4.0</v>
      </c>
      <c r="F72" s="78">
        <v>24.0</v>
      </c>
      <c r="G72" s="40">
        <v>1.0</v>
      </c>
      <c r="H72" s="40">
        <f>F72*E72*D72</f>
        <v>192</v>
      </c>
      <c r="I72" s="42"/>
      <c r="J72" s="40"/>
      <c r="K72" s="46"/>
    </row>
    <row r="73" ht="19.5" customHeight="1">
      <c r="A73" s="46"/>
      <c r="B73" s="37" t="s">
        <v>1852</v>
      </c>
      <c r="C73" s="46" t="s">
        <v>103</v>
      </c>
      <c r="D73" s="78">
        <f>F46</f>
        <v>1340.87</v>
      </c>
      <c r="E73" s="37"/>
      <c r="F73" s="78"/>
      <c r="G73" s="40"/>
      <c r="H73" s="40"/>
      <c r="I73" s="42"/>
      <c r="J73" s="43">
        <f>SUM(H72:H73)</f>
        <v>192</v>
      </c>
      <c r="K73" s="46"/>
    </row>
    <row r="74" ht="19.5" customHeight="1">
      <c r="A74" s="12"/>
      <c r="C74" s="12"/>
      <c r="D74" s="13"/>
      <c r="F74" s="14"/>
      <c r="G74" s="14"/>
      <c r="H74" s="14"/>
      <c r="I74" s="14"/>
      <c r="J74" s="14"/>
      <c r="K74" s="12"/>
    </row>
    <row r="75" ht="19.5" customHeight="1">
      <c r="A75" s="12"/>
      <c r="C75" s="12"/>
      <c r="D75" s="13"/>
      <c r="F75" s="14"/>
      <c r="G75" s="14"/>
      <c r="H75" s="14"/>
      <c r="I75" s="14"/>
      <c r="J75" s="14"/>
      <c r="K75" s="12"/>
    </row>
    <row r="76" ht="19.5" customHeight="1">
      <c r="A76" s="12"/>
      <c r="C76" s="12"/>
      <c r="D76" s="13"/>
      <c r="F76" s="14"/>
      <c r="G76" s="14"/>
      <c r="H76" s="14"/>
      <c r="I76" s="14"/>
      <c r="J76" s="14"/>
      <c r="K76" s="12"/>
    </row>
    <row r="77" ht="19.5" customHeight="1">
      <c r="A77" s="12"/>
      <c r="C77" s="12"/>
      <c r="D77" s="13"/>
      <c r="F77" s="14"/>
      <c r="G77" s="14"/>
      <c r="H77" s="14"/>
      <c r="I77" s="14"/>
      <c r="J77" s="14"/>
      <c r="K77" s="12"/>
    </row>
    <row r="78" ht="19.5" customHeight="1">
      <c r="A78" s="12"/>
      <c r="C78" s="12"/>
      <c r="D78" s="13"/>
      <c r="F78" s="14"/>
      <c r="G78" s="14"/>
      <c r="H78" s="14"/>
      <c r="I78" s="14"/>
      <c r="J78" s="14"/>
      <c r="K78" s="12"/>
    </row>
    <row r="79" ht="19.5" customHeight="1">
      <c r="A79" s="12"/>
      <c r="C79" s="12"/>
      <c r="D79" s="13"/>
      <c r="F79" s="14"/>
      <c r="G79" s="14"/>
      <c r="H79" s="14"/>
      <c r="I79" s="14"/>
      <c r="J79" s="14"/>
      <c r="K79" s="12"/>
    </row>
    <row r="80" ht="19.5" customHeight="1">
      <c r="A80" s="12"/>
      <c r="C80" s="12"/>
      <c r="D80" s="13"/>
      <c r="F80" s="14"/>
      <c r="G80" s="14"/>
      <c r="H80" s="14"/>
      <c r="I80" s="14"/>
      <c r="J80" s="14"/>
      <c r="K80" s="12"/>
    </row>
    <row r="81" ht="19.5" customHeight="1">
      <c r="A81" s="12"/>
      <c r="C81" s="12"/>
      <c r="D81" s="13"/>
      <c r="F81" s="14"/>
      <c r="G81" s="14"/>
      <c r="H81" s="14"/>
      <c r="I81" s="14"/>
      <c r="J81" s="14"/>
      <c r="K81" s="12"/>
    </row>
    <row r="82" ht="19.5" customHeight="1">
      <c r="A82" s="12"/>
      <c r="C82" s="12"/>
      <c r="D82" s="13"/>
      <c r="F82" s="14"/>
      <c r="G82" s="14"/>
      <c r="H82" s="14"/>
      <c r="I82" s="14"/>
      <c r="J82" s="14"/>
      <c r="K82" s="12"/>
    </row>
    <row r="83" ht="19.5" customHeight="1">
      <c r="A83" s="12"/>
      <c r="C83" s="12"/>
      <c r="D83" s="13"/>
      <c r="F83" s="14"/>
      <c r="G83" s="14"/>
      <c r="H83" s="14"/>
      <c r="I83" s="14"/>
      <c r="J83" s="14"/>
      <c r="K83" s="12"/>
    </row>
    <row r="84" ht="19.5" customHeight="1">
      <c r="A84" s="12"/>
      <c r="C84" s="12"/>
      <c r="D84" s="13"/>
      <c r="F84" s="14"/>
      <c r="G84" s="14"/>
      <c r="H84" s="14"/>
      <c r="I84" s="14"/>
      <c r="J84" s="14"/>
      <c r="K84" s="12"/>
    </row>
    <row r="85" ht="19.5" customHeight="1">
      <c r="A85" s="12"/>
      <c r="C85" s="12"/>
      <c r="D85" s="13"/>
      <c r="F85" s="14"/>
      <c r="G85" s="14"/>
      <c r="H85" s="14"/>
      <c r="I85" s="14"/>
      <c r="J85" s="14"/>
      <c r="K85" s="12"/>
    </row>
    <row r="86" ht="19.5" customHeight="1">
      <c r="A86" s="12"/>
      <c r="C86" s="12"/>
      <c r="D86" s="13"/>
      <c r="F86" s="14"/>
      <c r="G86" s="14"/>
      <c r="H86" s="14"/>
      <c r="I86" s="14"/>
      <c r="J86" s="14"/>
      <c r="K86" s="12"/>
    </row>
    <row r="87" ht="19.5" customHeight="1">
      <c r="A87" s="12"/>
      <c r="C87" s="12"/>
      <c r="D87" s="13"/>
      <c r="F87" s="14"/>
      <c r="G87" s="14"/>
      <c r="H87" s="14"/>
      <c r="I87" s="14"/>
      <c r="J87" s="14"/>
      <c r="K87" s="12"/>
    </row>
    <row r="88" ht="19.5" customHeight="1">
      <c r="A88" s="12"/>
      <c r="C88" s="12"/>
      <c r="D88" s="13"/>
      <c r="F88" s="14"/>
      <c r="G88" s="14"/>
      <c r="H88" s="14"/>
      <c r="I88" s="14"/>
      <c r="J88" s="14"/>
      <c r="K88" s="12"/>
    </row>
    <row r="89" ht="19.5" customHeight="1">
      <c r="A89" s="12"/>
      <c r="C89" s="12"/>
      <c r="D89" s="13"/>
      <c r="F89" s="14"/>
      <c r="G89" s="14"/>
      <c r="H89" s="14"/>
      <c r="I89" s="14"/>
      <c r="J89" s="14"/>
      <c r="K89" s="12"/>
    </row>
    <row r="90" ht="19.5" customHeight="1">
      <c r="A90" s="12"/>
      <c r="C90" s="12"/>
      <c r="D90" s="13"/>
      <c r="F90" s="14"/>
      <c r="G90" s="14"/>
      <c r="H90" s="14"/>
      <c r="I90" s="14"/>
      <c r="J90" s="14"/>
      <c r="K90" s="12"/>
    </row>
    <row r="91" ht="19.5" customHeight="1">
      <c r="A91" s="12"/>
      <c r="C91" s="12"/>
      <c r="D91" s="13"/>
      <c r="F91" s="14"/>
      <c r="G91" s="14"/>
      <c r="H91" s="14"/>
      <c r="I91" s="14"/>
      <c r="J91" s="14"/>
      <c r="K91" s="12"/>
    </row>
    <row r="92" ht="19.5" customHeight="1">
      <c r="A92" s="12"/>
      <c r="C92" s="12"/>
      <c r="D92" s="13"/>
      <c r="F92" s="14"/>
      <c r="G92" s="14"/>
      <c r="H92" s="14"/>
      <c r="I92" s="14"/>
      <c r="J92" s="14"/>
      <c r="K92" s="12"/>
    </row>
    <row r="93" ht="19.5" customHeight="1">
      <c r="A93" s="12"/>
      <c r="C93" s="12"/>
      <c r="D93" s="13"/>
      <c r="F93" s="14"/>
      <c r="G93" s="14"/>
      <c r="H93" s="14"/>
      <c r="I93" s="14"/>
      <c r="J93" s="14"/>
      <c r="K93" s="12"/>
    </row>
    <row r="94" ht="19.5" customHeight="1">
      <c r="A94" s="12"/>
      <c r="C94" s="12"/>
      <c r="D94" s="13"/>
      <c r="F94" s="14"/>
      <c r="G94" s="14"/>
      <c r="H94" s="14"/>
      <c r="I94" s="14"/>
      <c r="J94" s="14"/>
      <c r="K94" s="12"/>
    </row>
    <row r="95" ht="19.5" customHeight="1">
      <c r="A95" s="12"/>
      <c r="C95" s="12"/>
      <c r="D95" s="13"/>
      <c r="F95" s="14"/>
      <c r="G95" s="14"/>
      <c r="H95" s="14"/>
      <c r="I95" s="14"/>
      <c r="J95" s="14"/>
      <c r="K95" s="12"/>
    </row>
    <row r="96" ht="19.5" customHeight="1">
      <c r="A96" s="12"/>
      <c r="C96" s="12"/>
      <c r="D96" s="13"/>
      <c r="F96" s="14"/>
      <c r="G96" s="14"/>
      <c r="H96" s="14"/>
      <c r="I96" s="14"/>
      <c r="J96" s="14"/>
      <c r="K96" s="12"/>
    </row>
    <row r="97" ht="19.5" customHeight="1">
      <c r="A97" s="12"/>
      <c r="C97" s="12"/>
      <c r="D97" s="13"/>
      <c r="F97" s="14"/>
      <c r="G97" s="14"/>
      <c r="H97" s="14"/>
      <c r="I97" s="14"/>
      <c r="J97" s="14"/>
      <c r="K97" s="12"/>
    </row>
    <row r="98" ht="19.5" customHeight="1">
      <c r="A98" s="12"/>
      <c r="C98" s="12"/>
      <c r="D98" s="13"/>
      <c r="F98" s="14"/>
      <c r="G98" s="14"/>
      <c r="H98" s="14"/>
      <c r="I98" s="14"/>
      <c r="J98" s="14"/>
      <c r="K98" s="12"/>
    </row>
    <row r="99" ht="19.5" customHeight="1">
      <c r="A99" s="12"/>
      <c r="C99" s="12"/>
      <c r="D99" s="13"/>
      <c r="F99" s="14"/>
      <c r="G99" s="14"/>
      <c r="H99" s="14"/>
      <c r="I99" s="14"/>
      <c r="J99" s="14"/>
      <c r="K99" s="12"/>
    </row>
    <row r="100" ht="19.5" customHeight="1">
      <c r="A100" s="12"/>
      <c r="C100" s="12"/>
      <c r="D100" s="13"/>
      <c r="F100" s="14"/>
      <c r="G100" s="14"/>
      <c r="H100" s="14"/>
      <c r="I100" s="14"/>
      <c r="J100" s="14"/>
      <c r="K100" s="12"/>
    </row>
    <row r="101" ht="19.5" customHeight="1">
      <c r="A101" s="12"/>
      <c r="C101" s="12"/>
      <c r="D101" s="13"/>
      <c r="F101" s="14"/>
      <c r="G101" s="14"/>
      <c r="H101" s="14"/>
      <c r="I101" s="14"/>
      <c r="J101" s="14"/>
      <c r="K101" s="12"/>
    </row>
    <row r="102" ht="19.5" customHeight="1">
      <c r="A102" s="12"/>
      <c r="C102" s="12"/>
      <c r="D102" s="13"/>
      <c r="F102" s="14"/>
      <c r="G102" s="14"/>
      <c r="H102" s="14"/>
      <c r="I102" s="14"/>
      <c r="J102" s="14"/>
      <c r="K102" s="12"/>
    </row>
    <row r="103" ht="19.5" customHeight="1">
      <c r="A103" s="12"/>
      <c r="C103" s="12"/>
      <c r="D103" s="13"/>
      <c r="F103" s="14"/>
      <c r="G103" s="14"/>
      <c r="H103" s="14"/>
      <c r="I103" s="14"/>
      <c r="J103" s="14"/>
      <c r="K103" s="12"/>
    </row>
    <row r="104" ht="19.5" customHeight="1">
      <c r="A104" s="12"/>
      <c r="C104" s="12"/>
      <c r="D104" s="13"/>
      <c r="F104" s="14"/>
      <c r="G104" s="14"/>
      <c r="H104" s="14"/>
      <c r="I104" s="14"/>
      <c r="J104" s="14"/>
      <c r="K104" s="12"/>
    </row>
    <row r="105" ht="19.5" customHeight="1">
      <c r="A105" s="12"/>
      <c r="C105" s="12"/>
      <c r="D105" s="13"/>
      <c r="F105" s="14"/>
      <c r="G105" s="14"/>
      <c r="H105" s="14"/>
      <c r="I105" s="14"/>
      <c r="J105" s="14"/>
      <c r="K105" s="12"/>
    </row>
    <row r="106" ht="19.5" customHeight="1">
      <c r="A106" s="12"/>
      <c r="C106" s="12"/>
      <c r="D106" s="13"/>
      <c r="F106" s="14"/>
      <c r="G106" s="14"/>
      <c r="H106" s="14"/>
      <c r="I106" s="14"/>
      <c r="J106" s="14"/>
      <c r="K106" s="12"/>
    </row>
    <row r="107" ht="19.5" customHeight="1">
      <c r="A107" s="12"/>
      <c r="C107" s="12"/>
      <c r="D107" s="13"/>
      <c r="F107" s="14"/>
      <c r="G107" s="14"/>
      <c r="H107" s="14"/>
      <c r="I107" s="14"/>
      <c r="J107" s="14"/>
      <c r="K107" s="12"/>
    </row>
    <row r="108" ht="19.5" customHeight="1">
      <c r="A108" s="12"/>
      <c r="C108" s="12"/>
      <c r="D108" s="13"/>
      <c r="F108" s="14"/>
      <c r="G108" s="14"/>
      <c r="H108" s="14"/>
      <c r="I108" s="14"/>
      <c r="J108" s="14"/>
      <c r="K108" s="12"/>
    </row>
    <row r="109" ht="19.5" customHeight="1">
      <c r="A109" s="12"/>
      <c r="C109" s="12"/>
      <c r="D109" s="13"/>
      <c r="F109" s="14"/>
      <c r="G109" s="14"/>
      <c r="H109" s="14"/>
      <c r="I109" s="14"/>
      <c r="J109" s="14"/>
      <c r="K109" s="12"/>
    </row>
    <row r="110" ht="19.5" customHeight="1">
      <c r="A110" s="12"/>
      <c r="C110" s="12"/>
      <c r="D110" s="13"/>
      <c r="F110" s="14"/>
      <c r="G110" s="14"/>
      <c r="H110" s="14"/>
      <c r="I110" s="14"/>
      <c r="J110" s="14"/>
      <c r="K110" s="12"/>
    </row>
    <row r="111" ht="19.5" customHeight="1">
      <c r="A111" s="12"/>
      <c r="C111" s="12"/>
      <c r="D111" s="13"/>
      <c r="F111" s="14"/>
      <c r="G111" s="14"/>
      <c r="H111" s="14"/>
      <c r="I111" s="14"/>
      <c r="J111" s="14"/>
      <c r="K111" s="12"/>
    </row>
    <row r="112" ht="19.5" customHeight="1">
      <c r="A112" s="12"/>
      <c r="C112" s="12"/>
      <c r="D112" s="13"/>
      <c r="F112" s="14"/>
      <c r="G112" s="14"/>
      <c r="H112" s="14"/>
      <c r="I112" s="14"/>
      <c r="J112" s="14"/>
      <c r="K112" s="12"/>
    </row>
    <row r="113" ht="19.5" customHeight="1">
      <c r="A113" s="12"/>
      <c r="C113" s="12"/>
      <c r="D113" s="13"/>
      <c r="F113" s="14"/>
      <c r="G113" s="14"/>
      <c r="H113" s="14"/>
      <c r="I113" s="14"/>
      <c r="J113" s="14"/>
      <c r="K113" s="12"/>
    </row>
    <row r="114" ht="19.5" customHeight="1">
      <c r="A114" s="12"/>
      <c r="C114" s="12"/>
      <c r="D114" s="13"/>
      <c r="F114" s="14"/>
      <c r="G114" s="14"/>
      <c r="H114" s="14"/>
      <c r="I114" s="14"/>
      <c r="J114" s="14"/>
      <c r="K114" s="12"/>
    </row>
    <row r="115" ht="19.5" customHeight="1">
      <c r="A115" s="12"/>
      <c r="C115" s="12"/>
      <c r="D115" s="13"/>
      <c r="F115" s="14"/>
      <c r="G115" s="14"/>
      <c r="H115" s="14"/>
      <c r="I115" s="14"/>
      <c r="J115" s="14"/>
      <c r="K115" s="12"/>
    </row>
    <row r="116" ht="19.5" customHeight="1">
      <c r="A116" s="12"/>
      <c r="C116" s="12"/>
      <c r="D116" s="13"/>
      <c r="F116" s="14"/>
      <c r="G116" s="14"/>
      <c r="H116" s="14"/>
      <c r="I116" s="14"/>
      <c r="J116" s="14"/>
      <c r="K116" s="12"/>
    </row>
    <row r="117" ht="19.5" customHeight="1">
      <c r="A117" s="12"/>
      <c r="C117" s="12"/>
      <c r="D117" s="13"/>
      <c r="F117" s="14"/>
      <c r="G117" s="14"/>
      <c r="H117" s="14"/>
      <c r="I117" s="14"/>
      <c r="J117" s="14"/>
      <c r="K117" s="12"/>
    </row>
    <row r="118" ht="19.5" customHeight="1">
      <c r="A118" s="12"/>
      <c r="C118" s="12"/>
      <c r="D118" s="13"/>
      <c r="F118" s="14"/>
      <c r="G118" s="14"/>
      <c r="H118" s="14"/>
      <c r="I118" s="14"/>
      <c r="J118" s="14"/>
      <c r="K118" s="12"/>
    </row>
    <row r="119" ht="19.5" customHeight="1">
      <c r="A119" s="12"/>
      <c r="C119" s="12"/>
      <c r="D119" s="13"/>
      <c r="F119" s="14"/>
      <c r="G119" s="14"/>
      <c r="H119" s="14"/>
      <c r="I119" s="14"/>
      <c r="J119" s="14"/>
      <c r="K119" s="12"/>
    </row>
    <row r="120" ht="19.5" customHeight="1">
      <c r="A120" s="12"/>
      <c r="C120" s="12"/>
      <c r="D120" s="13"/>
      <c r="F120" s="14"/>
      <c r="G120" s="14"/>
      <c r="H120" s="14"/>
      <c r="I120" s="14"/>
      <c r="J120" s="14"/>
      <c r="K120" s="12"/>
    </row>
    <row r="121" ht="19.5" customHeight="1">
      <c r="A121" s="12"/>
      <c r="C121" s="12"/>
      <c r="D121" s="13"/>
      <c r="F121" s="14"/>
      <c r="G121" s="14"/>
      <c r="H121" s="14"/>
      <c r="I121" s="14"/>
      <c r="J121" s="14"/>
      <c r="K121" s="12"/>
    </row>
    <row r="122" ht="19.5" customHeight="1">
      <c r="A122" s="12"/>
      <c r="C122" s="12"/>
      <c r="D122" s="13"/>
      <c r="F122" s="14"/>
      <c r="G122" s="14"/>
      <c r="H122" s="14"/>
      <c r="I122" s="14"/>
      <c r="J122" s="14"/>
      <c r="K122" s="12"/>
    </row>
    <row r="123" ht="19.5" customHeight="1">
      <c r="A123" s="12"/>
      <c r="C123" s="12"/>
      <c r="D123" s="13"/>
      <c r="F123" s="14"/>
      <c r="G123" s="14"/>
      <c r="H123" s="14"/>
      <c r="I123" s="14"/>
      <c r="J123" s="14"/>
      <c r="K123" s="12"/>
    </row>
    <row r="124" ht="19.5" customHeight="1">
      <c r="A124" s="12"/>
      <c r="C124" s="12"/>
      <c r="D124" s="13"/>
      <c r="F124" s="14"/>
      <c r="G124" s="14"/>
      <c r="H124" s="14"/>
      <c r="I124" s="14"/>
      <c r="J124" s="14"/>
      <c r="K124" s="12"/>
    </row>
    <row r="125" ht="19.5" customHeight="1">
      <c r="A125" s="12"/>
      <c r="C125" s="12"/>
      <c r="D125" s="13"/>
      <c r="F125" s="14"/>
      <c r="G125" s="14"/>
      <c r="H125" s="14"/>
      <c r="I125" s="14"/>
      <c r="J125" s="14"/>
      <c r="K125" s="12"/>
    </row>
    <row r="126" ht="19.5" customHeight="1">
      <c r="A126" s="12"/>
      <c r="C126" s="12"/>
      <c r="D126" s="13"/>
      <c r="F126" s="14"/>
      <c r="G126" s="14"/>
      <c r="H126" s="14"/>
      <c r="I126" s="14"/>
      <c r="J126" s="14"/>
      <c r="K126" s="12"/>
    </row>
    <row r="127" ht="19.5" customHeight="1">
      <c r="A127" s="12"/>
      <c r="C127" s="12"/>
      <c r="D127" s="13"/>
      <c r="F127" s="14"/>
      <c r="G127" s="14"/>
      <c r="H127" s="14"/>
      <c r="I127" s="14"/>
      <c r="J127" s="14"/>
      <c r="K127" s="12"/>
    </row>
    <row r="128" ht="19.5" customHeight="1">
      <c r="A128" s="12"/>
      <c r="C128" s="12"/>
      <c r="D128" s="13"/>
      <c r="F128" s="14"/>
      <c r="G128" s="14"/>
      <c r="H128" s="14"/>
      <c r="I128" s="14"/>
      <c r="J128" s="14"/>
      <c r="K128" s="12"/>
    </row>
    <row r="129" ht="19.5" customHeight="1">
      <c r="A129" s="12"/>
      <c r="C129" s="12"/>
      <c r="D129" s="13"/>
      <c r="F129" s="14"/>
      <c r="G129" s="14"/>
      <c r="H129" s="14"/>
      <c r="I129" s="14"/>
      <c r="J129" s="14"/>
      <c r="K129" s="12"/>
    </row>
    <row r="130" ht="19.5" customHeight="1">
      <c r="A130" s="12"/>
      <c r="C130" s="12"/>
      <c r="D130" s="13"/>
      <c r="F130" s="14"/>
      <c r="G130" s="14"/>
      <c r="H130" s="14"/>
      <c r="I130" s="14"/>
      <c r="J130" s="14"/>
      <c r="K130" s="12"/>
    </row>
    <row r="131" ht="19.5" customHeight="1">
      <c r="A131" s="12"/>
      <c r="C131" s="12"/>
      <c r="D131" s="13"/>
      <c r="F131" s="14"/>
      <c r="G131" s="14"/>
      <c r="H131" s="14"/>
      <c r="I131" s="14"/>
      <c r="J131" s="14"/>
      <c r="K131" s="12"/>
    </row>
    <row r="132" ht="19.5" customHeight="1">
      <c r="A132" s="12"/>
      <c r="C132" s="12"/>
      <c r="D132" s="13"/>
      <c r="F132" s="14"/>
      <c r="G132" s="14"/>
      <c r="H132" s="14"/>
      <c r="I132" s="14"/>
      <c r="J132" s="14"/>
      <c r="K132" s="12"/>
    </row>
    <row r="133" ht="19.5" customHeight="1">
      <c r="A133" s="12"/>
      <c r="C133" s="12"/>
      <c r="D133" s="13"/>
      <c r="F133" s="14"/>
      <c r="G133" s="14"/>
      <c r="H133" s="14"/>
      <c r="I133" s="14"/>
      <c r="J133" s="14"/>
      <c r="K133" s="12"/>
    </row>
    <row r="134" ht="19.5" customHeight="1">
      <c r="A134" s="12"/>
      <c r="C134" s="12"/>
      <c r="D134" s="13"/>
      <c r="F134" s="14"/>
      <c r="G134" s="14"/>
      <c r="H134" s="14"/>
      <c r="I134" s="14"/>
      <c r="J134" s="14"/>
      <c r="K134" s="12"/>
    </row>
    <row r="135" ht="19.5" customHeight="1">
      <c r="A135" s="12"/>
      <c r="C135" s="12"/>
      <c r="D135" s="13"/>
      <c r="F135" s="14"/>
      <c r="G135" s="14"/>
      <c r="H135" s="14"/>
      <c r="I135" s="14"/>
      <c r="J135" s="14"/>
      <c r="K135" s="12"/>
    </row>
    <row r="136" ht="19.5" customHeight="1">
      <c r="A136" s="12"/>
      <c r="C136" s="12"/>
      <c r="D136" s="13"/>
      <c r="F136" s="14"/>
      <c r="G136" s="14"/>
      <c r="H136" s="14"/>
      <c r="I136" s="14"/>
      <c r="J136" s="14"/>
      <c r="K136" s="12"/>
    </row>
    <row r="137" ht="19.5" customHeight="1">
      <c r="A137" s="12"/>
      <c r="C137" s="12"/>
      <c r="D137" s="13"/>
      <c r="F137" s="14"/>
      <c r="G137" s="14"/>
      <c r="H137" s="14"/>
      <c r="I137" s="14"/>
      <c r="J137" s="14"/>
      <c r="K137" s="12"/>
    </row>
    <row r="138" ht="19.5" customHeight="1">
      <c r="A138" s="12"/>
      <c r="C138" s="12"/>
      <c r="D138" s="13"/>
      <c r="F138" s="14"/>
      <c r="G138" s="14"/>
      <c r="H138" s="14"/>
      <c r="I138" s="14"/>
      <c r="J138" s="14"/>
      <c r="K138" s="12"/>
    </row>
    <row r="139" ht="19.5" customHeight="1">
      <c r="A139" s="12"/>
      <c r="C139" s="12"/>
      <c r="D139" s="13"/>
      <c r="F139" s="14"/>
      <c r="G139" s="14"/>
      <c r="H139" s="14"/>
      <c r="I139" s="14"/>
      <c r="J139" s="14"/>
      <c r="K139" s="12"/>
    </row>
    <row r="140" ht="19.5" customHeight="1">
      <c r="A140" s="12"/>
      <c r="C140" s="12"/>
      <c r="D140" s="13"/>
      <c r="F140" s="14"/>
      <c r="G140" s="14"/>
      <c r="H140" s="14"/>
      <c r="I140" s="14"/>
      <c r="J140" s="14"/>
      <c r="K140" s="12"/>
    </row>
    <row r="141" ht="19.5" customHeight="1">
      <c r="A141" s="12"/>
      <c r="C141" s="12"/>
      <c r="D141" s="13"/>
      <c r="F141" s="14"/>
      <c r="G141" s="14"/>
      <c r="H141" s="14"/>
      <c r="I141" s="14"/>
      <c r="J141" s="14"/>
      <c r="K141" s="12"/>
    </row>
    <row r="142" ht="19.5" customHeight="1">
      <c r="A142" s="12"/>
      <c r="C142" s="12"/>
      <c r="D142" s="13"/>
      <c r="F142" s="14"/>
      <c r="G142" s="14"/>
      <c r="H142" s="14"/>
      <c r="I142" s="14"/>
      <c r="J142" s="14"/>
      <c r="K142" s="12"/>
    </row>
    <row r="143" ht="19.5" customHeight="1">
      <c r="A143" s="12"/>
      <c r="C143" s="12"/>
      <c r="D143" s="13"/>
      <c r="F143" s="14"/>
      <c r="G143" s="14"/>
      <c r="H143" s="14"/>
      <c r="I143" s="14"/>
      <c r="J143" s="14"/>
      <c r="K143" s="12"/>
    </row>
    <row r="144" ht="19.5" customHeight="1">
      <c r="A144" s="12"/>
      <c r="C144" s="12"/>
      <c r="D144" s="13"/>
      <c r="F144" s="14"/>
      <c r="G144" s="14"/>
      <c r="H144" s="14"/>
      <c r="I144" s="14"/>
      <c r="J144" s="14"/>
      <c r="K144" s="12"/>
    </row>
    <row r="145" ht="19.5" customHeight="1">
      <c r="A145" s="12"/>
      <c r="C145" s="12"/>
      <c r="D145" s="13"/>
      <c r="F145" s="14"/>
      <c r="G145" s="14"/>
      <c r="H145" s="14"/>
      <c r="I145" s="14"/>
      <c r="J145" s="14"/>
      <c r="K145" s="12"/>
    </row>
    <row r="146" ht="19.5" customHeight="1">
      <c r="A146" s="12"/>
      <c r="C146" s="12"/>
      <c r="D146" s="13"/>
      <c r="F146" s="14"/>
      <c r="G146" s="14"/>
      <c r="H146" s="14"/>
      <c r="I146" s="14"/>
      <c r="J146" s="14"/>
      <c r="K146" s="12"/>
    </row>
    <row r="147" ht="19.5" customHeight="1">
      <c r="A147" s="12"/>
      <c r="C147" s="12"/>
      <c r="D147" s="13"/>
      <c r="F147" s="14"/>
      <c r="G147" s="14"/>
      <c r="H147" s="14"/>
      <c r="I147" s="14"/>
      <c r="J147" s="14"/>
      <c r="K147" s="12"/>
    </row>
    <row r="148" ht="19.5" customHeight="1">
      <c r="A148" s="12"/>
      <c r="C148" s="12"/>
      <c r="D148" s="13"/>
      <c r="F148" s="14"/>
      <c r="G148" s="14"/>
      <c r="H148" s="14"/>
      <c r="I148" s="14"/>
      <c r="J148" s="14"/>
      <c r="K148" s="12"/>
    </row>
    <row r="149" ht="19.5" customHeight="1">
      <c r="A149" s="12"/>
      <c r="C149" s="12"/>
      <c r="D149" s="13"/>
      <c r="F149" s="14"/>
      <c r="G149" s="14"/>
      <c r="H149" s="14"/>
      <c r="I149" s="14"/>
      <c r="J149" s="14"/>
      <c r="K149" s="12"/>
    </row>
    <row r="150" ht="19.5" customHeight="1">
      <c r="A150" s="12"/>
      <c r="C150" s="12"/>
      <c r="D150" s="13"/>
      <c r="F150" s="14"/>
      <c r="G150" s="14"/>
      <c r="H150" s="14"/>
      <c r="I150" s="14"/>
      <c r="J150" s="14"/>
      <c r="K150" s="12"/>
    </row>
    <row r="151" ht="19.5" customHeight="1">
      <c r="A151" s="12"/>
      <c r="C151" s="12"/>
      <c r="D151" s="13"/>
      <c r="F151" s="14"/>
      <c r="G151" s="14"/>
      <c r="H151" s="14"/>
      <c r="I151" s="14"/>
      <c r="J151" s="14"/>
      <c r="K151" s="12"/>
    </row>
    <row r="152" ht="19.5" customHeight="1">
      <c r="A152" s="12"/>
      <c r="C152" s="12"/>
      <c r="D152" s="13"/>
      <c r="F152" s="14"/>
      <c r="G152" s="14"/>
      <c r="H152" s="14"/>
      <c r="I152" s="14"/>
      <c r="J152" s="14"/>
      <c r="K152" s="12"/>
    </row>
    <row r="153" ht="19.5" customHeight="1">
      <c r="A153" s="12"/>
      <c r="C153" s="12"/>
      <c r="D153" s="13"/>
      <c r="F153" s="14"/>
      <c r="G153" s="14"/>
      <c r="H153" s="14"/>
      <c r="I153" s="14"/>
      <c r="J153" s="14"/>
      <c r="K153" s="12"/>
    </row>
    <row r="154" ht="19.5" customHeight="1">
      <c r="A154" s="12"/>
      <c r="C154" s="12"/>
      <c r="D154" s="13"/>
      <c r="F154" s="14"/>
      <c r="G154" s="14"/>
      <c r="H154" s="14"/>
      <c r="I154" s="14"/>
      <c r="J154" s="14"/>
      <c r="K154" s="12"/>
    </row>
    <row r="155" ht="19.5" customHeight="1">
      <c r="A155" s="12"/>
      <c r="C155" s="12"/>
      <c r="D155" s="13"/>
      <c r="F155" s="14"/>
      <c r="G155" s="14"/>
      <c r="H155" s="14"/>
      <c r="I155" s="14"/>
      <c r="J155" s="14"/>
      <c r="K155" s="12"/>
    </row>
    <row r="156" ht="19.5" customHeight="1">
      <c r="A156" s="12"/>
      <c r="C156" s="12"/>
      <c r="D156" s="13"/>
      <c r="F156" s="14"/>
      <c r="G156" s="14"/>
      <c r="H156" s="14"/>
      <c r="I156" s="14"/>
      <c r="J156" s="14"/>
      <c r="K156" s="12"/>
    </row>
    <row r="157" ht="19.5" customHeight="1">
      <c r="A157" s="12"/>
      <c r="C157" s="12"/>
      <c r="D157" s="13"/>
      <c r="F157" s="14"/>
      <c r="G157" s="14"/>
      <c r="H157" s="14"/>
      <c r="I157" s="14"/>
      <c r="J157" s="14"/>
      <c r="K157" s="12"/>
    </row>
    <row r="158" ht="19.5" customHeight="1">
      <c r="A158" s="12"/>
      <c r="C158" s="12"/>
      <c r="D158" s="13"/>
      <c r="F158" s="14"/>
      <c r="G158" s="14"/>
      <c r="H158" s="14"/>
      <c r="I158" s="14"/>
      <c r="J158" s="14"/>
      <c r="K158" s="12"/>
    </row>
    <row r="159" ht="19.5" customHeight="1">
      <c r="A159" s="12"/>
      <c r="C159" s="12"/>
      <c r="D159" s="13"/>
      <c r="F159" s="14"/>
      <c r="G159" s="14"/>
      <c r="H159" s="14"/>
      <c r="I159" s="14"/>
      <c r="J159" s="14"/>
      <c r="K159" s="12"/>
    </row>
    <row r="160" ht="19.5" customHeight="1">
      <c r="A160" s="12"/>
      <c r="C160" s="12"/>
      <c r="D160" s="13"/>
      <c r="F160" s="14"/>
      <c r="G160" s="14"/>
      <c r="H160" s="14"/>
      <c r="I160" s="14"/>
      <c r="J160" s="14"/>
      <c r="K160" s="12"/>
    </row>
    <row r="161" ht="19.5" customHeight="1">
      <c r="A161" s="12"/>
      <c r="C161" s="12"/>
      <c r="D161" s="13"/>
      <c r="F161" s="14"/>
      <c r="G161" s="14"/>
      <c r="H161" s="14"/>
      <c r="I161" s="14"/>
      <c r="J161" s="14"/>
      <c r="K161" s="12"/>
    </row>
    <row r="162" ht="19.5" customHeight="1">
      <c r="A162" s="12"/>
      <c r="C162" s="12"/>
      <c r="D162" s="13"/>
      <c r="F162" s="14"/>
      <c r="G162" s="14"/>
      <c r="H162" s="14"/>
      <c r="I162" s="14"/>
      <c r="J162" s="14"/>
      <c r="K162" s="12"/>
    </row>
    <row r="163" ht="19.5" customHeight="1">
      <c r="A163" s="12"/>
      <c r="C163" s="12"/>
      <c r="D163" s="13"/>
      <c r="F163" s="14"/>
      <c r="G163" s="14"/>
      <c r="H163" s="14"/>
      <c r="I163" s="14"/>
      <c r="J163" s="14"/>
      <c r="K163" s="12"/>
    </row>
    <row r="164" ht="19.5" customHeight="1">
      <c r="A164" s="12"/>
      <c r="C164" s="12"/>
      <c r="D164" s="13"/>
      <c r="F164" s="14"/>
      <c r="G164" s="14"/>
      <c r="H164" s="14"/>
      <c r="I164" s="14"/>
      <c r="J164" s="14"/>
      <c r="K164" s="12"/>
    </row>
    <row r="165" ht="19.5" customHeight="1">
      <c r="A165" s="12"/>
      <c r="C165" s="12"/>
      <c r="D165" s="13"/>
      <c r="F165" s="14"/>
      <c r="G165" s="14"/>
      <c r="H165" s="14"/>
      <c r="I165" s="14"/>
      <c r="J165" s="14"/>
      <c r="K165" s="12"/>
    </row>
    <row r="166" ht="19.5" customHeight="1">
      <c r="A166" s="12"/>
      <c r="C166" s="12"/>
      <c r="D166" s="13"/>
      <c r="F166" s="14"/>
      <c r="G166" s="14"/>
      <c r="H166" s="14"/>
      <c r="I166" s="14"/>
      <c r="J166" s="14"/>
      <c r="K166" s="12"/>
    </row>
    <row r="167" ht="19.5" customHeight="1">
      <c r="A167" s="12"/>
      <c r="C167" s="12"/>
      <c r="D167" s="13"/>
      <c r="F167" s="14"/>
      <c r="G167" s="14"/>
      <c r="H167" s="14"/>
      <c r="I167" s="14"/>
      <c r="J167" s="14"/>
      <c r="K167" s="12"/>
    </row>
    <row r="168" ht="19.5" customHeight="1">
      <c r="A168" s="12"/>
      <c r="C168" s="12"/>
      <c r="D168" s="13"/>
      <c r="F168" s="14"/>
      <c r="G168" s="14"/>
      <c r="H168" s="14"/>
      <c r="I168" s="14"/>
      <c r="J168" s="14"/>
      <c r="K168" s="12"/>
    </row>
    <row r="169" ht="19.5" customHeight="1">
      <c r="A169" s="12"/>
      <c r="C169" s="12"/>
      <c r="D169" s="13"/>
      <c r="F169" s="14"/>
      <c r="G169" s="14"/>
      <c r="H169" s="14"/>
      <c r="I169" s="14"/>
      <c r="J169" s="14"/>
      <c r="K169" s="12"/>
    </row>
    <row r="170" ht="19.5" customHeight="1">
      <c r="A170" s="12"/>
      <c r="C170" s="12"/>
      <c r="D170" s="13"/>
      <c r="F170" s="14"/>
      <c r="G170" s="14"/>
      <c r="H170" s="14"/>
      <c r="I170" s="14"/>
      <c r="J170" s="14"/>
      <c r="K170" s="12"/>
    </row>
    <row r="171" ht="19.5" customHeight="1">
      <c r="A171" s="12"/>
      <c r="C171" s="12"/>
      <c r="D171" s="13"/>
      <c r="F171" s="14"/>
      <c r="G171" s="14"/>
      <c r="H171" s="14"/>
      <c r="I171" s="14"/>
      <c r="J171" s="14"/>
      <c r="K171" s="12"/>
    </row>
    <row r="172" ht="19.5" customHeight="1">
      <c r="A172" s="12"/>
      <c r="C172" s="12"/>
      <c r="D172" s="13"/>
      <c r="F172" s="14"/>
      <c r="G172" s="14"/>
      <c r="H172" s="14"/>
      <c r="I172" s="14"/>
      <c r="J172" s="14"/>
      <c r="K172" s="12"/>
    </row>
    <row r="173" ht="19.5" customHeight="1">
      <c r="A173" s="12"/>
      <c r="C173" s="12"/>
      <c r="D173" s="13"/>
      <c r="F173" s="14"/>
      <c r="G173" s="14"/>
      <c r="H173" s="14"/>
      <c r="I173" s="14"/>
      <c r="J173" s="14"/>
      <c r="K173" s="12"/>
    </row>
    <row r="174" ht="19.5" customHeight="1">
      <c r="A174" s="12"/>
      <c r="C174" s="12"/>
      <c r="D174" s="13"/>
      <c r="F174" s="14"/>
      <c r="G174" s="14"/>
      <c r="H174" s="14"/>
      <c r="I174" s="14"/>
      <c r="J174" s="14"/>
      <c r="K174" s="12"/>
    </row>
    <row r="175" ht="19.5" customHeight="1">
      <c r="A175" s="12"/>
      <c r="C175" s="12"/>
      <c r="D175" s="13"/>
      <c r="F175" s="14"/>
      <c r="G175" s="14"/>
      <c r="H175" s="14"/>
      <c r="I175" s="14"/>
      <c r="J175" s="14"/>
      <c r="K175" s="12"/>
    </row>
    <row r="176" ht="19.5" customHeight="1">
      <c r="A176" s="12"/>
      <c r="C176" s="12"/>
      <c r="D176" s="13"/>
      <c r="F176" s="14"/>
      <c r="G176" s="14"/>
      <c r="H176" s="14"/>
      <c r="I176" s="14"/>
      <c r="J176" s="14"/>
      <c r="K176" s="12"/>
    </row>
    <row r="177" ht="19.5" customHeight="1">
      <c r="A177" s="12"/>
      <c r="C177" s="12"/>
      <c r="D177" s="13"/>
      <c r="F177" s="14"/>
      <c r="G177" s="14"/>
      <c r="H177" s="14"/>
      <c r="I177" s="14"/>
      <c r="J177" s="14"/>
      <c r="K177" s="12"/>
    </row>
    <row r="178" ht="19.5" customHeight="1">
      <c r="A178" s="12"/>
      <c r="C178" s="12"/>
      <c r="D178" s="13"/>
      <c r="F178" s="14"/>
      <c r="G178" s="14"/>
      <c r="H178" s="14"/>
      <c r="I178" s="14"/>
      <c r="J178" s="14"/>
      <c r="K178" s="12"/>
    </row>
    <row r="179" ht="19.5" customHeight="1">
      <c r="A179" s="12"/>
      <c r="C179" s="12"/>
      <c r="D179" s="13"/>
      <c r="F179" s="14"/>
      <c r="G179" s="14"/>
      <c r="H179" s="14"/>
      <c r="I179" s="14"/>
      <c r="J179" s="14"/>
      <c r="K179" s="12"/>
    </row>
    <row r="180" ht="19.5" customHeight="1">
      <c r="A180" s="12"/>
      <c r="C180" s="12"/>
      <c r="D180" s="13"/>
      <c r="F180" s="14"/>
      <c r="G180" s="14"/>
      <c r="H180" s="14"/>
      <c r="I180" s="14"/>
      <c r="J180" s="14"/>
      <c r="K180" s="12"/>
    </row>
    <row r="181" ht="19.5" customHeight="1">
      <c r="A181" s="12"/>
      <c r="C181" s="12"/>
      <c r="D181" s="13"/>
      <c r="F181" s="14"/>
      <c r="G181" s="14"/>
      <c r="H181" s="14"/>
      <c r="I181" s="14"/>
      <c r="J181" s="14"/>
      <c r="K181" s="12"/>
    </row>
    <row r="182" ht="19.5" customHeight="1">
      <c r="A182" s="12"/>
      <c r="C182" s="12"/>
      <c r="D182" s="13"/>
      <c r="F182" s="14"/>
      <c r="G182" s="14"/>
      <c r="H182" s="14"/>
      <c r="I182" s="14"/>
      <c r="J182" s="14"/>
      <c r="K182" s="12"/>
    </row>
    <row r="183" ht="19.5" customHeight="1">
      <c r="A183" s="12"/>
      <c r="C183" s="12"/>
      <c r="D183" s="13"/>
      <c r="F183" s="14"/>
      <c r="G183" s="14"/>
      <c r="H183" s="14"/>
      <c r="I183" s="14"/>
      <c r="J183" s="14"/>
      <c r="K183" s="12"/>
    </row>
    <row r="184" ht="19.5" customHeight="1">
      <c r="A184" s="12"/>
      <c r="C184" s="12"/>
      <c r="D184" s="13"/>
      <c r="F184" s="14"/>
      <c r="G184" s="14"/>
      <c r="H184" s="14"/>
      <c r="I184" s="14"/>
      <c r="J184" s="14"/>
      <c r="K184" s="12"/>
    </row>
    <row r="185" ht="19.5" customHeight="1">
      <c r="A185" s="12"/>
      <c r="C185" s="12"/>
      <c r="D185" s="13"/>
      <c r="F185" s="14"/>
      <c r="G185" s="14"/>
      <c r="H185" s="14"/>
      <c r="I185" s="14"/>
      <c r="J185" s="14"/>
      <c r="K185" s="12"/>
    </row>
    <row r="186" ht="19.5" customHeight="1">
      <c r="A186" s="12"/>
      <c r="C186" s="12"/>
      <c r="D186" s="13"/>
      <c r="F186" s="14"/>
      <c r="G186" s="14"/>
      <c r="H186" s="14"/>
      <c r="I186" s="14"/>
      <c r="J186" s="14"/>
      <c r="K186" s="12"/>
    </row>
    <row r="187" ht="19.5" customHeight="1">
      <c r="A187" s="12"/>
      <c r="C187" s="12"/>
      <c r="D187" s="13"/>
      <c r="F187" s="14"/>
      <c r="G187" s="14"/>
      <c r="H187" s="14"/>
      <c r="I187" s="14"/>
      <c r="J187" s="14"/>
      <c r="K187" s="12"/>
    </row>
    <row r="188" ht="19.5" customHeight="1">
      <c r="A188" s="12"/>
      <c r="C188" s="12"/>
      <c r="D188" s="13"/>
      <c r="F188" s="14"/>
      <c r="G188" s="14"/>
      <c r="H188" s="14"/>
      <c r="I188" s="14"/>
      <c r="J188" s="14"/>
      <c r="K188" s="12"/>
    </row>
    <row r="189" ht="19.5" customHeight="1">
      <c r="A189" s="12"/>
      <c r="C189" s="12"/>
      <c r="D189" s="13"/>
      <c r="F189" s="14"/>
      <c r="G189" s="14"/>
      <c r="H189" s="14"/>
      <c r="I189" s="14"/>
      <c r="J189" s="14"/>
      <c r="K189" s="12"/>
    </row>
    <row r="190" ht="19.5" customHeight="1">
      <c r="A190" s="12"/>
      <c r="C190" s="12"/>
      <c r="D190" s="13"/>
      <c r="F190" s="14"/>
      <c r="G190" s="14"/>
      <c r="H190" s="14"/>
      <c r="I190" s="14"/>
      <c r="J190" s="14"/>
      <c r="K190" s="12"/>
    </row>
    <row r="191" ht="19.5" customHeight="1">
      <c r="A191" s="12"/>
      <c r="C191" s="12"/>
      <c r="D191" s="13"/>
      <c r="F191" s="14"/>
      <c r="G191" s="14"/>
      <c r="H191" s="14"/>
      <c r="I191" s="14"/>
      <c r="J191" s="14"/>
      <c r="K191" s="12"/>
    </row>
    <row r="192" ht="19.5" customHeight="1">
      <c r="A192" s="12"/>
      <c r="C192" s="12"/>
      <c r="D192" s="13"/>
      <c r="F192" s="14"/>
      <c r="G192" s="14"/>
      <c r="H192" s="14"/>
      <c r="I192" s="14"/>
      <c r="J192" s="14"/>
      <c r="K192" s="12"/>
    </row>
    <row r="193" ht="19.5" customHeight="1">
      <c r="A193" s="12"/>
      <c r="C193" s="12"/>
      <c r="D193" s="13"/>
      <c r="F193" s="14"/>
      <c r="G193" s="14"/>
      <c r="H193" s="14"/>
      <c r="I193" s="14"/>
      <c r="J193" s="14"/>
      <c r="K193" s="12"/>
    </row>
    <row r="194" ht="19.5" customHeight="1">
      <c r="A194" s="12"/>
      <c r="C194" s="12"/>
      <c r="D194" s="13"/>
      <c r="F194" s="14"/>
      <c r="G194" s="14"/>
      <c r="H194" s="14"/>
      <c r="I194" s="14"/>
      <c r="J194" s="14"/>
      <c r="K194" s="12"/>
    </row>
    <row r="195" ht="19.5" customHeight="1">
      <c r="A195" s="12"/>
      <c r="C195" s="12"/>
      <c r="D195" s="13"/>
      <c r="F195" s="14"/>
      <c r="G195" s="14"/>
      <c r="H195" s="14"/>
      <c r="I195" s="14"/>
      <c r="J195" s="14"/>
      <c r="K195" s="12"/>
    </row>
    <row r="196" ht="19.5" customHeight="1">
      <c r="A196" s="12"/>
      <c r="C196" s="12"/>
      <c r="D196" s="13"/>
      <c r="F196" s="14"/>
      <c r="G196" s="14"/>
      <c r="H196" s="14"/>
      <c r="I196" s="14"/>
      <c r="J196" s="14"/>
      <c r="K196" s="12"/>
    </row>
    <row r="197" ht="19.5" customHeight="1">
      <c r="A197" s="12"/>
      <c r="C197" s="12"/>
      <c r="D197" s="13"/>
      <c r="F197" s="14"/>
      <c r="G197" s="14"/>
      <c r="H197" s="14"/>
      <c r="I197" s="14"/>
      <c r="J197" s="14"/>
      <c r="K197" s="12"/>
    </row>
    <row r="198" ht="19.5" customHeight="1">
      <c r="A198" s="12"/>
      <c r="C198" s="12"/>
      <c r="D198" s="13"/>
      <c r="F198" s="14"/>
      <c r="G198" s="14"/>
      <c r="H198" s="14"/>
      <c r="I198" s="14"/>
      <c r="J198" s="14"/>
      <c r="K198" s="12"/>
    </row>
    <row r="199" ht="19.5" customHeight="1">
      <c r="A199" s="12"/>
      <c r="C199" s="12"/>
      <c r="D199" s="13"/>
      <c r="F199" s="14"/>
      <c r="G199" s="14"/>
      <c r="H199" s="14"/>
      <c r="I199" s="14"/>
      <c r="J199" s="14"/>
      <c r="K199" s="12"/>
    </row>
    <row r="200" ht="19.5" customHeight="1">
      <c r="A200" s="12"/>
      <c r="C200" s="12"/>
      <c r="D200" s="13"/>
      <c r="F200" s="14"/>
      <c r="G200" s="14"/>
      <c r="H200" s="14"/>
      <c r="I200" s="14"/>
      <c r="J200" s="14"/>
      <c r="K200" s="12"/>
    </row>
    <row r="201" ht="19.5" customHeight="1">
      <c r="A201" s="12"/>
      <c r="C201" s="12"/>
      <c r="D201" s="13"/>
      <c r="F201" s="14"/>
      <c r="G201" s="14"/>
      <c r="H201" s="14"/>
      <c r="I201" s="14"/>
      <c r="J201" s="14"/>
      <c r="K201" s="12"/>
    </row>
    <row r="202" ht="19.5" customHeight="1">
      <c r="A202" s="12"/>
      <c r="C202" s="12"/>
      <c r="D202" s="13"/>
      <c r="F202" s="14"/>
      <c r="G202" s="14"/>
      <c r="H202" s="14"/>
      <c r="I202" s="14"/>
      <c r="J202" s="14"/>
      <c r="K202" s="12"/>
    </row>
    <row r="203" ht="19.5" customHeight="1">
      <c r="A203" s="12"/>
      <c r="C203" s="12"/>
      <c r="D203" s="13"/>
      <c r="F203" s="14"/>
      <c r="G203" s="14"/>
      <c r="H203" s="14"/>
      <c r="I203" s="14"/>
      <c r="J203" s="14"/>
      <c r="K203" s="12"/>
    </row>
    <row r="204" ht="19.5" customHeight="1">
      <c r="A204" s="12"/>
      <c r="C204" s="12"/>
      <c r="D204" s="13"/>
      <c r="F204" s="14"/>
      <c r="G204" s="14"/>
      <c r="H204" s="14"/>
      <c r="I204" s="14"/>
      <c r="J204" s="14"/>
      <c r="K204" s="12"/>
    </row>
    <row r="205" ht="19.5" customHeight="1">
      <c r="A205" s="12"/>
      <c r="C205" s="12"/>
      <c r="D205" s="13"/>
      <c r="F205" s="14"/>
      <c r="G205" s="14"/>
      <c r="H205" s="14"/>
      <c r="I205" s="14"/>
      <c r="J205" s="14"/>
      <c r="K205" s="12"/>
    </row>
    <row r="206" ht="19.5" customHeight="1">
      <c r="A206" s="12"/>
      <c r="C206" s="12"/>
      <c r="D206" s="13"/>
      <c r="F206" s="14"/>
      <c r="G206" s="14"/>
      <c r="H206" s="14"/>
      <c r="I206" s="14"/>
      <c r="J206" s="14"/>
      <c r="K206" s="12"/>
    </row>
    <row r="207" ht="19.5" customHeight="1">
      <c r="A207" s="12"/>
      <c r="C207" s="12"/>
      <c r="D207" s="13"/>
      <c r="F207" s="14"/>
      <c r="G207" s="14"/>
      <c r="H207" s="14"/>
      <c r="I207" s="14"/>
      <c r="J207" s="14"/>
      <c r="K207" s="12"/>
    </row>
    <row r="208" ht="19.5" customHeight="1">
      <c r="A208" s="12"/>
      <c r="C208" s="12"/>
      <c r="D208" s="13"/>
      <c r="F208" s="14"/>
      <c r="G208" s="14"/>
      <c r="H208" s="14"/>
      <c r="I208" s="14"/>
      <c r="J208" s="14"/>
      <c r="K208" s="12"/>
    </row>
    <row r="209" ht="19.5" customHeight="1">
      <c r="A209" s="12"/>
      <c r="C209" s="12"/>
      <c r="D209" s="13"/>
      <c r="F209" s="14"/>
      <c r="G209" s="14"/>
      <c r="H209" s="14"/>
      <c r="I209" s="14"/>
      <c r="J209" s="14"/>
      <c r="K209" s="12"/>
    </row>
    <row r="210" ht="19.5" customHeight="1">
      <c r="A210" s="12"/>
      <c r="C210" s="12"/>
      <c r="D210" s="13"/>
      <c r="F210" s="14"/>
      <c r="G210" s="14"/>
      <c r="H210" s="14"/>
      <c r="I210" s="14"/>
      <c r="J210" s="14"/>
      <c r="K210" s="12"/>
    </row>
    <row r="211" ht="19.5" customHeight="1">
      <c r="A211" s="12"/>
      <c r="C211" s="12"/>
      <c r="D211" s="13"/>
      <c r="F211" s="14"/>
      <c r="G211" s="14"/>
      <c r="H211" s="14"/>
      <c r="I211" s="14"/>
      <c r="J211" s="14"/>
      <c r="K211" s="12"/>
    </row>
    <row r="212" ht="19.5" customHeight="1">
      <c r="A212" s="12"/>
      <c r="C212" s="12"/>
      <c r="D212" s="13"/>
      <c r="F212" s="14"/>
      <c r="G212" s="14"/>
      <c r="H212" s="14"/>
      <c r="I212" s="14"/>
      <c r="J212" s="14"/>
      <c r="K212" s="12"/>
    </row>
    <row r="213" ht="19.5" customHeight="1">
      <c r="A213" s="12"/>
      <c r="C213" s="12"/>
      <c r="D213" s="13"/>
      <c r="F213" s="14"/>
      <c r="G213" s="14"/>
      <c r="H213" s="14"/>
      <c r="I213" s="14"/>
      <c r="J213" s="14"/>
      <c r="K213" s="12"/>
    </row>
    <row r="214" ht="19.5" customHeight="1">
      <c r="A214" s="12"/>
      <c r="C214" s="12"/>
      <c r="D214" s="13"/>
      <c r="F214" s="14"/>
      <c r="G214" s="14"/>
      <c r="H214" s="14"/>
      <c r="I214" s="14"/>
      <c r="J214" s="14"/>
      <c r="K214" s="12"/>
    </row>
    <row r="215" ht="19.5" customHeight="1">
      <c r="A215" s="12"/>
      <c r="C215" s="12"/>
      <c r="D215" s="13"/>
      <c r="F215" s="14"/>
      <c r="G215" s="14"/>
      <c r="H215" s="14"/>
      <c r="I215" s="14"/>
      <c r="J215" s="14"/>
      <c r="K215" s="12"/>
    </row>
    <row r="216" ht="19.5" customHeight="1">
      <c r="A216" s="12"/>
      <c r="C216" s="12"/>
      <c r="D216" s="13"/>
      <c r="F216" s="14"/>
      <c r="G216" s="14"/>
      <c r="H216" s="14"/>
      <c r="I216" s="14"/>
      <c r="J216" s="14"/>
      <c r="K216" s="12"/>
    </row>
    <row r="217" ht="19.5" customHeight="1">
      <c r="A217" s="12"/>
      <c r="C217" s="12"/>
      <c r="D217" s="13"/>
      <c r="F217" s="14"/>
      <c r="G217" s="14"/>
      <c r="H217" s="14"/>
      <c r="I217" s="14"/>
      <c r="J217" s="14"/>
      <c r="K217" s="12"/>
    </row>
    <row r="218" ht="19.5" customHeight="1">
      <c r="A218" s="12"/>
      <c r="C218" s="12"/>
      <c r="D218" s="13"/>
      <c r="F218" s="14"/>
      <c r="G218" s="14"/>
      <c r="H218" s="14"/>
      <c r="I218" s="14"/>
      <c r="J218" s="14"/>
      <c r="K218" s="12"/>
    </row>
    <row r="219" ht="19.5" customHeight="1">
      <c r="A219" s="12"/>
      <c r="C219" s="12"/>
      <c r="D219" s="13"/>
      <c r="F219" s="14"/>
      <c r="G219" s="14"/>
      <c r="H219" s="14"/>
      <c r="I219" s="14"/>
      <c r="J219" s="14"/>
      <c r="K219" s="12"/>
    </row>
    <row r="220" ht="19.5" customHeight="1">
      <c r="A220" s="12"/>
      <c r="C220" s="12"/>
      <c r="D220" s="13"/>
      <c r="F220" s="14"/>
      <c r="G220" s="14"/>
      <c r="H220" s="14"/>
      <c r="I220" s="14"/>
      <c r="J220" s="14"/>
      <c r="K220" s="12"/>
    </row>
    <row r="221" ht="19.5" customHeight="1">
      <c r="A221" s="12"/>
      <c r="C221" s="12"/>
      <c r="D221" s="13"/>
      <c r="F221" s="14"/>
      <c r="G221" s="14"/>
      <c r="H221" s="14"/>
      <c r="I221" s="14"/>
      <c r="J221" s="14"/>
      <c r="K221" s="12"/>
    </row>
    <row r="222" ht="19.5" customHeight="1">
      <c r="A222" s="12"/>
      <c r="C222" s="12"/>
      <c r="D222" s="13"/>
      <c r="F222" s="14"/>
      <c r="G222" s="14"/>
      <c r="H222" s="14"/>
      <c r="I222" s="14"/>
      <c r="J222" s="14"/>
      <c r="K222" s="12"/>
    </row>
    <row r="223" ht="19.5" customHeight="1">
      <c r="A223" s="12"/>
      <c r="C223" s="12"/>
      <c r="D223" s="13"/>
      <c r="F223" s="14"/>
      <c r="G223" s="14"/>
      <c r="H223" s="14"/>
      <c r="I223" s="14"/>
      <c r="J223" s="14"/>
      <c r="K223" s="12"/>
    </row>
    <row r="224" ht="19.5" customHeight="1">
      <c r="A224" s="12"/>
      <c r="C224" s="12"/>
      <c r="D224" s="13"/>
      <c r="F224" s="14"/>
      <c r="G224" s="14"/>
      <c r="H224" s="14"/>
      <c r="I224" s="14"/>
      <c r="J224" s="14"/>
      <c r="K224" s="12"/>
    </row>
    <row r="225" ht="19.5" customHeight="1">
      <c r="A225" s="12"/>
      <c r="C225" s="12"/>
      <c r="D225" s="13"/>
      <c r="F225" s="14"/>
      <c r="G225" s="14"/>
      <c r="H225" s="14"/>
      <c r="I225" s="14"/>
      <c r="J225" s="14"/>
      <c r="K225" s="12"/>
    </row>
    <row r="226" ht="19.5" customHeight="1">
      <c r="A226" s="12"/>
      <c r="C226" s="12"/>
      <c r="D226" s="13"/>
      <c r="F226" s="14"/>
      <c r="G226" s="14"/>
      <c r="H226" s="14"/>
      <c r="I226" s="14"/>
      <c r="J226" s="14"/>
      <c r="K226" s="12"/>
    </row>
    <row r="227" ht="19.5" customHeight="1">
      <c r="A227" s="12"/>
      <c r="C227" s="12"/>
      <c r="D227" s="13"/>
      <c r="F227" s="14"/>
      <c r="G227" s="14"/>
      <c r="H227" s="14"/>
      <c r="I227" s="14"/>
      <c r="J227" s="14"/>
      <c r="K227" s="12"/>
    </row>
    <row r="228" ht="19.5" customHeight="1">
      <c r="A228" s="12"/>
      <c r="C228" s="12"/>
      <c r="D228" s="13"/>
      <c r="F228" s="14"/>
      <c r="G228" s="14"/>
      <c r="H228" s="14"/>
      <c r="I228" s="14"/>
      <c r="J228" s="14"/>
      <c r="K228" s="12"/>
    </row>
    <row r="229" ht="19.5" customHeight="1">
      <c r="A229" s="12"/>
      <c r="C229" s="12"/>
      <c r="D229" s="13"/>
      <c r="F229" s="14"/>
      <c r="G229" s="14"/>
      <c r="H229" s="14"/>
      <c r="I229" s="14"/>
      <c r="J229" s="14"/>
      <c r="K229" s="12"/>
    </row>
    <row r="230" ht="19.5" customHeight="1">
      <c r="A230" s="12"/>
      <c r="C230" s="12"/>
      <c r="D230" s="13"/>
      <c r="F230" s="14"/>
      <c r="G230" s="14"/>
      <c r="H230" s="14"/>
      <c r="I230" s="14"/>
      <c r="J230" s="14"/>
      <c r="K230" s="12"/>
    </row>
    <row r="231" ht="19.5" customHeight="1">
      <c r="A231" s="12"/>
      <c r="C231" s="12"/>
      <c r="D231" s="13"/>
      <c r="F231" s="14"/>
      <c r="G231" s="14"/>
      <c r="H231" s="14"/>
      <c r="I231" s="14"/>
      <c r="J231" s="14"/>
      <c r="K231" s="12"/>
    </row>
    <row r="232" ht="19.5" customHeight="1">
      <c r="A232" s="12"/>
      <c r="C232" s="12"/>
      <c r="D232" s="13"/>
      <c r="F232" s="14"/>
      <c r="G232" s="14"/>
      <c r="H232" s="14"/>
      <c r="I232" s="14"/>
      <c r="J232" s="14"/>
      <c r="K232" s="12"/>
    </row>
    <row r="233" ht="19.5" customHeight="1">
      <c r="A233" s="12"/>
      <c r="C233" s="12"/>
      <c r="D233" s="13"/>
      <c r="F233" s="14"/>
      <c r="G233" s="14"/>
      <c r="H233" s="14"/>
      <c r="I233" s="14"/>
      <c r="J233" s="14"/>
      <c r="K233" s="12"/>
    </row>
    <row r="234" ht="19.5" customHeight="1">
      <c r="A234" s="12"/>
      <c r="C234" s="12"/>
      <c r="D234" s="13"/>
      <c r="F234" s="14"/>
      <c r="G234" s="14"/>
      <c r="H234" s="14"/>
      <c r="I234" s="14"/>
      <c r="J234" s="14"/>
      <c r="K234" s="12"/>
    </row>
    <row r="235" ht="19.5" customHeight="1">
      <c r="A235" s="12"/>
      <c r="C235" s="12"/>
      <c r="D235" s="13"/>
      <c r="F235" s="14"/>
      <c r="G235" s="14"/>
      <c r="H235" s="14"/>
      <c r="I235" s="14"/>
      <c r="J235" s="14"/>
      <c r="K235" s="12"/>
    </row>
    <row r="236" ht="19.5" customHeight="1">
      <c r="A236" s="12"/>
      <c r="C236" s="12"/>
      <c r="D236" s="13"/>
      <c r="F236" s="14"/>
      <c r="G236" s="14"/>
      <c r="H236" s="14"/>
      <c r="I236" s="14"/>
      <c r="J236" s="14"/>
      <c r="K236" s="12"/>
    </row>
    <row r="237" ht="19.5" customHeight="1">
      <c r="A237" s="12"/>
      <c r="C237" s="12"/>
      <c r="D237" s="13"/>
      <c r="F237" s="14"/>
      <c r="G237" s="14"/>
      <c r="H237" s="14"/>
      <c r="I237" s="14"/>
      <c r="J237" s="14"/>
      <c r="K237" s="12"/>
    </row>
    <row r="238" ht="19.5" customHeight="1">
      <c r="A238" s="12"/>
      <c r="C238" s="12"/>
      <c r="D238" s="13"/>
      <c r="F238" s="14"/>
      <c r="G238" s="14"/>
      <c r="H238" s="14"/>
      <c r="I238" s="14"/>
      <c r="J238" s="14"/>
      <c r="K238" s="12"/>
    </row>
    <row r="239" ht="19.5" customHeight="1">
      <c r="A239" s="12"/>
      <c r="C239" s="12"/>
      <c r="D239" s="13"/>
      <c r="F239" s="14"/>
      <c r="G239" s="14"/>
      <c r="H239" s="14"/>
      <c r="I239" s="14"/>
      <c r="J239" s="14"/>
      <c r="K239" s="12"/>
    </row>
    <row r="240" ht="19.5" customHeight="1">
      <c r="A240" s="12"/>
      <c r="C240" s="12"/>
      <c r="D240" s="13"/>
      <c r="F240" s="14"/>
      <c r="G240" s="14"/>
      <c r="H240" s="14"/>
      <c r="I240" s="14"/>
      <c r="J240" s="14"/>
      <c r="K240" s="12"/>
    </row>
    <row r="241" ht="19.5" customHeight="1">
      <c r="A241" s="12"/>
      <c r="C241" s="12"/>
      <c r="D241" s="13"/>
      <c r="F241" s="14"/>
      <c r="G241" s="14"/>
      <c r="H241" s="14"/>
      <c r="I241" s="14"/>
      <c r="J241" s="14"/>
      <c r="K241" s="12"/>
    </row>
    <row r="242" ht="19.5" customHeight="1">
      <c r="A242" s="12"/>
      <c r="C242" s="12"/>
      <c r="D242" s="13"/>
      <c r="F242" s="14"/>
      <c r="G242" s="14"/>
      <c r="H242" s="14"/>
      <c r="I242" s="14"/>
      <c r="J242" s="14"/>
      <c r="K242" s="12"/>
    </row>
    <row r="243" ht="19.5" customHeight="1">
      <c r="A243" s="12"/>
      <c r="C243" s="12"/>
      <c r="D243" s="13"/>
      <c r="F243" s="14"/>
      <c r="G243" s="14"/>
      <c r="H243" s="14"/>
      <c r="I243" s="14"/>
      <c r="J243" s="14"/>
      <c r="K243" s="12"/>
    </row>
    <row r="244" ht="19.5" customHeight="1">
      <c r="A244" s="12"/>
      <c r="C244" s="12"/>
      <c r="D244" s="13"/>
      <c r="F244" s="14"/>
      <c r="G244" s="14"/>
      <c r="H244" s="14"/>
      <c r="I244" s="14"/>
      <c r="J244" s="14"/>
      <c r="K244" s="12"/>
    </row>
    <row r="245" ht="19.5" customHeight="1">
      <c r="A245" s="12"/>
      <c r="C245" s="12"/>
      <c r="D245" s="13"/>
      <c r="F245" s="14"/>
      <c r="G245" s="14"/>
      <c r="H245" s="14"/>
      <c r="I245" s="14"/>
      <c r="J245" s="14"/>
      <c r="K245" s="12"/>
    </row>
    <row r="246" ht="19.5" customHeight="1">
      <c r="A246" s="12"/>
      <c r="C246" s="12"/>
      <c r="D246" s="13"/>
      <c r="F246" s="14"/>
      <c r="G246" s="14"/>
      <c r="H246" s="14"/>
      <c r="I246" s="14"/>
      <c r="J246" s="14"/>
      <c r="K246" s="12"/>
    </row>
    <row r="247" ht="19.5" customHeight="1">
      <c r="A247" s="12"/>
      <c r="C247" s="12"/>
      <c r="D247" s="13"/>
      <c r="F247" s="14"/>
      <c r="G247" s="14"/>
      <c r="H247" s="14"/>
      <c r="I247" s="14"/>
      <c r="J247" s="14"/>
      <c r="K247" s="12"/>
    </row>
    <row r="248" ht="19.5" customHeight="1">
      <c r="A248" s="12"/>
      <c r="C248" s="12"/>
      <c r="D248" s="13"/>
      <c r="F248" s="14"/>
      <c r="G248" s="14"/>
      <c r="H248" s="14"/>
      <c r="I248" s="14"/>
      <c r="J248" s="14"/>
      <c r="K248" s="12"/>
    </row>
    <row r="249" ht="19.5" customHeight="1">
      <c r="A249" s="12"/>
      <c r="C249" s="12"/>
      <c r="D249" s="13"/>
      <c r="F249" s="14"/>
      <c r="G249" s="14"/>
      <c r="H249" s="14"/>
      <c r="I249" s="14"/>
      <c r="J249" s="14"/>
      <c r="K249" s="12"/>
    </row>
    <row r="250" ht="19.5" customHeight="1">
      <c r="A250" s="12"/>
      <c r="C250" s="12"/>
      <c r="D250" s="13"/>
      <c r="F250" s="14"/>
      <c r="G250" s="14"/>
      <c r="H250" s="14"/>
      <c r="I250" s="14"/>
      <c r="J250" s="14"/>
      <c r="K250" s="12"/>
    </row>
    <row r="251" ht="19.5" customHeight="1">
      <c r="A251" s="12"/>
      <c r="C251" s="12"/>
      <c r="D251" s="13"/>
      <c r="F251" s="14"/>
      <c r="G251" s="14"/>
      <c r="H251" s="14"/>
      <c r="I251" s="14"/>
      <c r="J251" s="14"/>
      <c r="K251" s="12"/>
    </row>
    <row r="252" ht="19.5" customHeight="1">
      <c r="A252" s="12"/>
      <c r="C252" s="12"/>
      <c r="D252" s="13"/>
      <c r="F252" s="14"/>
      <c r="G252" s="14"/>
      <c r="H252" s="14"/>
      <c r="I252" s="14"/>
      <c r="J252" s="14"/>
      <c r="K252" s="12"/>
    </row>
    <row r="253" ht="19.5" customHeight="1">
      <c r="A253" s="12"/>
      <c r="C253" s="12"/>
      <c r="D253" s="13"/>
      <c r="F253" s="14"/>
      <c r="G253" s="14"/>
      <c r="H253" s="14"/>
      <c r="I253" s="14"/>
      <c r="J253" s="14"/>
      <c r="K253" s="12"/>
    </row>
    <row r="254" ht="19.5" customHeight="1">
      <c r="A254" s="12"/>
      <c r="C254" s="12"/>
      <c r="D254" s="13"/>
      <c r="F254" s="14"/>
      <c r="G254" s="14"/>
      <c r="H254" s="14"/>
      <c r="I254" s="14"/>
      <c r="J254" s="14"/>
      <c r="K254" s="12"/>
    </row>
    <row r="255" ht="19.5" customHeight="1">
      <c r="A255" s="12"/>
      <c r="C255" s="12"/>
      <c r="D255" s="13"/>
      <c r="F255" s="14"/>
      <c r="G255" s="14"/>
      <c r="H255" s="14"/>
      <c r="I255" s="14"/>
      <c r="J255" s="14"/>
      <c r="K255" s="12"/>
    </row>
    <row r="256" ht="19.5" customHeight="1">
      <c r="A256" s="12"/>
      <c r="C256" s="12"/>
      <c r="D256" s="13"/>
      <c r="F256" s="14"/>
      <c r="G256" s="14"/>
      <c r="H256" s="14"/>
      <c r="I256" s="14"/>
      <c r="J256" s="14"/>
      <c r="K256" s="12"/>
    </row>
    <row r="257" ht="19.5" customHeight="1">
      <c r="A257" s="12"/>
      <c r="C257" s="12"/>
      <c r="D257" s="13"/>
      <c r="F257" s="14"/>
      <c r="G257" s="14"/>
      <c r="H257" s="14"/>
      <c r="I257" s="14"/>
      <c r="J257" s="14"/>
      <c r="K257" s="12"/>
    </row>
    <row r="258" ht="19.5" customHeight="1">
      <c r="A258" s="12"/>
      <c r="C258" s="12"/>
      <c r="D258" s="13"/>
      <c r="F258" s="14"/>
      <c r="G258" s="14"/>
      <c r="H258" s="14"/>
      <c r="I258" s="14"/>
      <c r="J258" s="14"/>
      <c r="K258" s="12"/>
    </row>
    <row r="259" ht="19.5" customHeight="1">
      <c r="A259" s="12"/>
      <c r="C259" s="12"/>
      <c r="D259" s="13"/>
      <c r="F259" s="14"/>
      <c r="G259" s="14"/>
      <c r="H259" s="14"/>
      <c r="I259" s="14"/>
      <c r="J259" s="14"/>
      <c r="K259" s="12"/>
    </row>
    <row r="260" ht="19.5" customHeight="1">
      <c r="A260" s="12"/>
      <c r="C260" s="12"/>
      <c r="D260" s="13"/>
      <c r="F260" s="14"/>
      <c r="G260" s="14"/>
      <c r="H260" s="14"/>
      <c r="I260" s="14"/>
      <c r="J260" s="14"/>
      <c r="K260" s="12"/>
    </row>
    <row r="261" ht="19.5" customHeight="1">
      <c r="A261" s="12"/>
      <c r="C261" s="12"/>
      <c r="D261" s="13"/>
      <c r="F261" s="14"/>
      <c r="G261" s="14"/>
      <c r="H261" s="14"/>
      <c r="I261" s="14"/>
      <c r="J261" s="14"/>
      <c r="K261" s="12"/>
    </row>
    <row r="262" ht="19.5" customHeight="1">
      <c r="A262" s="12"/>
      <c r="C262" s="12"/>
      <c r="D262" s="13"/>
      <c r="F262" s="14"/>
      <c r="G262" s="14"/>
      <c r="H262" s="14"/>
      <c r="I262" s="14"/>
      <c r="J262" s="14"/>
      <c r="K262" s="12"/>
    </row>
    <row r="263" ht="19.5" customHeight="1">
      <c r="A263" s="12"/>
      <c r="C263" s="12"/>
      <c r="D263" s="13"/>
      <c r="F263" s="14"/>
      <c r="G263" s="14"/>
      <c r="H263" s="14"/>
      <c r="I263" s="14"/>
      <c r="J263" s="14"/>
      <c r="K263" s="12"/>
    </row>
    <row r="264" ht="19.5" customHeight="1">
      <c r="A264" s="12"/>
      <c r="C264" s="12"/>
      <c r="D264" s="13"/>
      <c r="F264" s="14"/>
      <c r="G264" s="14"/>
      <c r="H264" s="14"/>
      <c r="I264" s="14"/>
      <c r="J264" s="14"/>
      <c r="K264" s="12"/>
    </row>
    <row r="265" ht="19.5" customHeight="1">
      <c r="A265" s="12"/>
      <c r="C265" s="12"/>
      <c r="D265" s="13"/>
      <c r="F265" s="14"/>
      <c r="G265" s="14"/>
      <c r="H265" s="14"/>
      <c r="I265" s="14"/>
      <c r="J265" s="14"/>
      <c r="K265" s="12"/>
    </row>
    <row r="266" ht="19.5" customHeight="1">
      <c r="A266" s="12"/>
      <c r="C266" s="12"/>
      <c r="D266" s="13"/>
      <c r="F266" s="14"/>
      <c r="G266" s="14"/>
      <c r="H266" s="14"/>
      <c r="I266" s="14"/>
      <c r="J266" s="14"/>
      <c r="K266" s="12"/>
    </row>
    <row r="267" ht="19.5" customHeight="1">
      <c r="A267" s="12"/>
      <c r="C267" s="12"/>
      <c r="D267" s="13"/>
      <c r="F267" s="14"/>
      <c r="G267" s="14"/>
      <c r="H267" s="14"/>
      <c r="I267" s="14"/>
      <c r="J267" s="14"/>
      <c r="K267" s="12"/>
    </row>
    <row r="268" ht="19.5" customHeight="1">
      <c r="A268" s="12"/>
      <c r="C268" s="12"/>
      <c r="D268" s="13"/>
      <c r="F268" s="14"/>
      <c r="G268" s="14"/>
      <c r="H268" s="14"/>
      <c r="I268" s="14"/>
      <c r="J268" s="14"/>
      <c r="K268" s="12"/>
    </row>
    <row r="269" ht="19.5" customHeight="1">
      <c r="A269" s="12"/>
      <c r="C269" s="12"/>
      <c r="D269" s="13"/>
      <c r="F269" s="14"/>
      <c r="G269" s="14"/>
      <c r="H269" s="14"/>
      <c r="I269" s="14"/>
      <c r="J269" s="14"/>
      <c r="K269" s="12"/>
    </row>
    <row r="270" ht="19.5" customHeight="1">
      <c r="A270" s="12"/>
      <c r="C270" s="12"/>
      <c r="D270" s="13"/>
      <c r="F270" s="14"/>
      <c r="G270" s="14"/>
      <c r="H270" s="14"/>
      <c r="I270" s="14"/>
      <c r="J270" s="14"/>
      <c r="K270" s="12"/>
    </row>
    <row r="271" ht="19.5" customHeight="1">
      <c r="A271" s="12"/>
      <c r="C271" s="12"/>
      <c r="D271" s="13"/>
      <c r="F271" s="14"/>
      <c r="G271" s="14"/>
      <c r="H271" s="14"/>
      <c r="I271" s="14"/>
      <c r="J271" s="14"/>
      <c r="K271" s="12"/>
    </row>
    <row r="272" ht="19.5" customHeight="1">
      <c r="A272" s="12"/>
      <c r="C272" s="12"/>
      <c r="D272" s="13"/>
      <c r="F272" s="14"/>
      <c r="G272" s="14"/>
      <c r="H272" s="14"/>
      <c r="I272" s="14"/>
      <c r="J272" s="14"/>
      <c r="K272" s="12"/>
    </row>
    <row r="273" ht="19.5" customHeight="1">
      <c r="A273" s="12"/>
      <c r="C273" s="12"/>
      <c r="D273" s="13"/>
      <c r="F273" s="14"/>
      <c r="G273" s="14"/>
      <c r="H273" s="14"/>
      <c r="I273" s="14"/>
      <c r="J273" s="14"/>
      <c r="K273" s="12"/>
    </row>
    <row r="274" ht="19.5" customHeight="1">
      <c r="A274" s="12"/>
      <c r="C274" s="12"/>
      <c r="D274" s="13"/>
      <c r="F274" s="14"/>
      <c r="G274" s="14"/>
      <c r="H274" s="14"/>
      <c r="I274" s="14"/>
      <c r="J274" s="14"/>
      <c r="K274" s="12"/>
    </row>
    <row r="275" ht="19.5" customHeight="1">
      <c r="A275" s="12"/>
      <c r="C275" s="12"/>
      <c r="D275" s="13"/>
      <c r="F275" s="14"/>
      <c r="G275" s="14"/>
      <c r="H275" s="14"/>
      <c r="I275" s="14"/>
      <c r="J275" s="14"/>
      <c r="K275" s="12"/>
    </row>
    <row r="276" ht="19.5" customHeight="1">
      <c r="A276" s="12"/>
      <c r="C276" s="12"/>
      <c r="D276" s="13"/>
      <c r="F276" s="14"/>
      <c r="G276" s="14"/>
      <c r="H276" s="14"/>
      <c r="I276" s="14"/>
      <c r="J276" s="14"/>
      <c r="K276" s="12"/>
    </row>
    <row r="277" ht="19.5" customHeight="1">
      <c r="A277" s="12"/>
      <c r="C277" s="12"/>
      <c r="D277" s="13"/>
      <c r="F277" s="14"/>
      <c r="G277" s="14"/>
      <c r="H277" s="14"/>
      <c r="I277" s="14"/>
      <c r="J277" s="14"/>
      <c r="K277" s="12"/>
    </row>
    <row r="278" ht="19.5" customHeight="1">
      <c r="A278" s="12"/>
      <c r="C278" s="12"/>
      <c r="D278" s="13"/>
      <c r="F278" s="14"/>
      <c r="G278" s="14"/>
      <c r="H278" s="14"/>
      <c r="I278" s="14"/>
      <c r="J278" s="14"/>
      <c r="K278" s="12"/>
    </row>
    <row r="279" ht="19.5" customHeight="1">
      <c r="A279" s="12"/>
      <c r="C279" s="12"/>
      <c r="D279" s="13"/>
      <c r="F279" s="14"/>
      <c r="G279" s="14"/>
      <c r="H279" s="14"/>
      <c r="I279" s="14"/>
      <c r="J279" s="14"/>
      <c r="K279" s="12"/>
    </row>
    <row r="280" ht="19.5" customHeight="1">
      <c r="A280" s="12"/>
      <c r="C280" s="12"/>
      <c r="D280" s="13"/>
      <c r="F280" s="14"/>
      <c r="G280" s="14"/>
      <c r="H280" s="14"/>
      <c r="I280" s="14"/>
      <c r="J280" s="14"/>
      <c r="K280" s="12"/>
    </row>
    <row r="281" ht="19.5" customHeight="1">
      <c r="A281" s="12"/>
      <c r="C281" s="12"/>
      <c r="D281" s="13"/>
      <c r="F281" s="14"/>
      <c r="G281" s="14"/>
      <c r="H281" s="14"/>
      <c r="I281" s="14"/>
      <c r="J281" s="14"/>
      <c r="K281" s="12"/>
    </row>
    <row r="282" ht="19.5" customHeight="1">
      <c r="A282" s="12"/>
      <c r="C282" s="12"/>
      <c r="D282" s="13"/>
      <c r="F282" s="14"/>
      <c r="G282" s="14"/>
      <c r="H282" s="14"/>
      <c r="I282" s="14"/>
      <c r="J282" s="14"/>
      <c r="K282" s="12"/>
    </row>
    <row r="283" ht="19.5" customHeight="1">
      <c r="A283" s="12"/>
      <c r="C283" s="12"/>
      <c r="D283" s="13"/>
      <c r="F283" s="14"/>
      <c r="G283" s="14"/>
      <c r="H283" s="14"/>
      <c r="I283" s="14"/>
      <c r="J283" s="14"/>
      <c r="K283" s="12"/>
    </row>
    <row r="284" ht="19.5" customHeight="1">
      <c r="A284" s="12"/>
      <c r="C284" s="12"/>
      <c r="D284" s="13"/>
      <c r="F284" s="14"/>
      <c r="G284" s="14"/>
      <c r="H284" s="14"/>
      <c r="I284" s="14"/>
      <c r="J284" s="14"/>
      <c r="K284" s="12"/>
    </row>
    <row r="285" ht="19.5" customHeight="1">
      <c r="A285" s="12"/>
      <c r="C285" s="12"/>
      <c r="D285" s="13"/>
      <c r="F285" s="14"/>
      <c r="G285" s="14"/>
      <c r="H285" s="14"/>
      <c r="I285" s="14"/>
      <c r="J285" s="14"/>
      <c r="K285" s="12"/>
    </row>
    <row r="286" ht="19.5" customHeight="1">
      <c r="A286" s="12"/>
      <c r="C286" s="12"/>
      <c r="D286" s="13"/>
      <c r="F286" s="14"/>
      <c r="G286" s="14"/>
      <c r="H286" s="14"/>
      <c r="I286" s="14"/>
      <c r="J286" s="14"/>
      <c r="K286" s="12"/>
    </row>
    <row r="287" ht="19.5" customHeight="1">
      <c r="A287" s="12"/>
      <c r="C287" s="12"/>
      <c r="D287" s="13"/>
      <c r="F287" s="14"/>
      <c r="G287" s="14"/>
      <c r="H287" s="14"/>
      <c r="I287" s="14"/>
      <c r="J287" s="14"/>
      <c r="K287" s="12"/>
    </row>
    <row r="288" ht="19.5" customHeight="1">
      <c r="A288" s="12"/>
      <c r="C288" s="12"/>
      <c r="D288" s="13"/>
      <c r="F288" s="14"/>
      <c r="G288" s="14"/>
      <c r="H288" s="14"/>
      <c r="I288" s="14"/>
      <c r="J288" s="14"/>
      <c r="K288" s="12"/>
    </row>
    <row r="289" ht="19.5" customHeight="1">
      <c r="A289" s="12"/>
      <c r="C289" s="12"/>
      <c r="D289" s="13"/>
      <c r="F289" s="14"/>
      <c r="G289" s="14"/>
      <c r="H289" s="14"/>
      <c r="I289" s="14"/>
      <c r="J289" s="14"/>
      <c r="K289" s="12"/>
    </row>
    <row r="290" ht="19.5" customHeight="1">
      <c r="A290" s="12"/>
      <c r="C290" s="12"/>
      <c r="D290" s="13"/>
      <c r="F290" s="14"/>
      <c r="G290" s="14"/>
      <c r="H290" s="14"/>
      <c r="I290" s="14"/>
      <c r="J290" s="14"/>
      <c r="K290" s="12"/>
    </row>
    <row r="291" ht="19.5" customHeight="1">
      <c r="A291" s="12"/>
      <c r="C291" s="12"/>
      <c r="D291" s="13"/>
      <c r="F291" s="14"/>
      <c r="G291" s="14"/>
      <c r="H291" s="14"/>
      <c r="I291" s="14"/>
      <c r="J291" s="14"/>
      <c r="K291" s="12"/>
    </row>
    <row r="292" ht="19.5" customHeight="1">
      <c r="A292" s="12"/>
      <c r="C292" s="12"/>
      <c r="D292" s="13"/>
      <c r="F292" s="14"/>
      <c r="G292" s="14"/>
      <c r="H292" s="14"/>
      <c r="I292" s="14"/>
      <c r="J292" s="14"/>
      <c r="K292" s="12"/>
    </row>
    <row r="293" ht="19.5" customHeight="1">
      <c r="A293" s="12"/>
      <c r="C293" s="12"/>
      <c r="D293" s="13"/>
      <c r="F293" s="14"/>
      <c r="G293" s="14"/>
      <c r="H293" s="14"/>
      <c r="I293" s="14"/>
      <c r="J293" s="14"/>
      <c r="K293" s="12"/>
    </row>
    <row r="294" ht="19.5" customHeight="1">
      <c r="A294" s="12"/>
      <c r="C294" s="12"/>
      <c r="D294" s="13"/>
      <c r="F294" s="14"/>
      <c r="G294" s="14"/>
      <c r="H294" s="14"/>
      <c r="I294" s="14"/>
      <c r="J294" s="14"/>
      <c r="K294" s="12"/>
    </row>
    <row r="295" ht="19.5" customHeight="1">
      <c r="A295" s="12"/>
      <c r="C295" s="12"/>
      <c r="D295" s="13"/>
      <c r="F295" s="14"/>
      <c r="G295" s="14"/>
      <c r="H295" s="14"/>
      <c r="I295" s="14"/>
      <c r="J295" s="14"/>
      <c r="K295" s="12"/>
    </row>
    <row r="296" ht="19.5" customHeight="1">
      <c r="A296" s="12"/>
      <c r="C296" s="12"/>
      <c r="D296" s="13"/>
      <c r="F296" s="14"/>
      <c r="G296" s="14"/>
      <c r="H296" s="14"/>
      <c r="I296" s="14"/>
      <c r="J296" s="14"/>
      <c r="K296" s="12"/>
    </row>
    <row r="297" ht="19.5" customHeight="1">
      <c r="A297" s="12"/>
      <c r="C297" s="12"/>
      <c r="D297" s="13"/>
      <c r="F297" s="14"/>
      <c r="G297" s="14"/>
      <c r="H297" s="14"/>
      <c r="I297" s="14"/>
      <c r="J297" s="14"/>
      <c r="K297" s="12"/>
    </row>
    <row r="298" ht="19.5" customHeight="1">
      <c r="A298" s="12"/>
      <c r="C298" s="12"/>
      <c r="D298" s="13"/>
      <c r="F298" s="14"/>
      <c r="G298" s="14"/>
      <c r="H298" s="14"/>
      <c r="I298" s="14"/>
      <c r="J298" s="14"/>
      <c r="K298" s="12"/>
    </row>
    <row r="299" ht="19.5" customHeight="1">
      <c r="A299" s="12"/>
      <c r="C299" s="12"/>
      <c r="D299" s="13"/>
      <c r="F299" s="14"/>
      <c r="G299" s="14"/>
      <c r="H299" s="14"/>
      <c r="I299" s="14"/>
      <c r="J299" s="14"/>
      <c r="K299" s="12"/>
    </row>
    <row r="300" ht="19.5" customHeight="1">
      <c r="A300" s="12"/>
      <c r="C300" s="12"/>
      <c r="D300" s="13"/>
      <c r="F300" s="14"/>
      <c r="G300" s="14"/>
      <c r="H300" s="14"/>
      <c r="I300" s="14"/>
      <c r="J300" s="14"/>
      <c r="K300" s="12"/>
    </row>
    <row r="301" ht="19.5" customHeight="1">
      <c r="A301" s="12"/>
      <c r="C301" s="12"/>
      <c r="D301" s="13"/>
      <c r="F301" s="14"/>
      <c r="G301" s="14"/>
      <c r="H301" s="14"/>
      <c r="I301" s="14"/>
      <c r="J301" s="14"/>
      <c r="K301" s="12"/>
    </row>
    <row r="302" ht="19.5" customHeight="1">
      <c r="A302" s="12"/>
      <c r="C302" s="12"/>
      <c r="D302" s="13"/>
      <c r="F302" s="14"/>
      <c r="G302" s="14"/>
      <c r="H302" s="14"/>
      <c r="I302" s="14"/>
      <c r="J302" s="14"/>
      <c r="K302" s="12"/>
    </row>
    <row r="303" ht="19.5" customHeight="1">
      <c r="A303" s="12"/>
      <c r="C303" s="12"/>
      <c r="D303" s="13"/>
      <c r="F303" s="14"/>
      <c r="G303" s="14"/>
      <c r="H303" s="14"/>
      <c r="I303" s="14"/>
      <c r="J303" s="14"/>
      <c r="K303" s="12"/>
    </row>
    <row r="304" ht="19.5" customHeight="1">
      <c r="A304" s="12"/>
      <c r="C304" s="12"/>
      <c r="D304" s="13"/>
      <c r="F304" s="14"/>
      <c r="G304" s="14"/>
      <c r="H304" s="14"/>
      <c r="I304" s="14"/>
      <c r="J304" s="14"/>
      <c r="K304" s="12"/>
    </row>
    <row r="305" ht="19.5" customHeight="1">
      <c r="A305" s="12"/>
      <c r="C305" s="12"/>
      <c r="D305" s="13"/>
      <c r="F305" s="14"/>
      <c r="G305" s="14"/>
      <c r="H305" s="14"/>
      <c r="I305" s="14"/>
      <c r="J305" s="14"/>
      <c r="K305" s="12"/>
    </row>
    <row r="306" ht="19.5" customHeight="1">
      <c r="A306" s="12"/>
      <c r="C306" s="12"/>
      <c r="D306" s="13"/>
      <c r="F306" s="14"/>
      <c r="G306" s="14"/>
      <c r="H306" s="14"/>
      <c r="I306" s="14"/>
      <c r="J306" s="14"/>
      <c r="K306" s="12"/>
    </row>
    <row r="307" ht="19.5" customHeight="1">
      <c r="A307" s="12"/>
      <c r="C307" s="12"/>
      <c r="D307" s="13"/>
      <c r="F307" s="14"/>
      <c r="G307" s="14"/>
      <c r="H307" s="14"/>
      <c r="I307" s="14"/>
      <c r="J307" s="14"/>
      <c r="K307" s="12"/>
    </row>
    <row r="308" ht="19.5" customHeight="1">
      <c r="A308" s="12"/>
      <c r="C308" s="12"/>
      <c r="D308" s="13"/>
      <c r="F308" s="14"/>
      <c r="G308" s="14"/>
      <c r="H308" s="14"/>
      <c r="I308" s="14"/>
      <c r="J308" s="14"/>
      <c r="K308" s="12"/>
    </row>
    <row r="309" ht="19.5" customHeight="1">
      <c r="A309" s="12"/>
      <c r="C309" s="12"/>
      <c r="D309" s="13"/>
      <c r="F309" s="14"/>
      <c r="G309" s="14"/>
      <c r="H309" s="14"/>
      <c r="I309" s="14"/>
      <c r="J309" s="14"/>
      <c r="K309" s="12"/>
    </row>
    <row r="310" ht="19.5" customHeight="1">
      <c r="A310" s="12"/>
      <c r="C310" s="12"/>
      <c r="D310" s="13"/>
      <c r="F310" s="14"/>
      <c r="G310" s="14"/>
      <c r="H310" s="14"/>
      <c r="I310" s="14"/>
      <c r="J310" s="14"/>
      <c r="K310" s="12"/>
    </row>
    <row r="311" ht="19.5" customHeight="1">
      <c r="A311" s="12"/>
      <c r="C311" s="12"/>
      <c r="D311" s="13"/>
      <c r="F311" s="14"/>
      <c r="G311" s="14"/>
      <c r="H311" s="14"/>
      <c r="I311" s="14"/>
      <c r="J311" s="14"/>
      <c r="K311" s="12"/>
    </row>
    <row r="312" ht="19.5" customHeight="1">
      <c r="A312" s="12"/>
      <c r="C312" s="12"/>
      <c r="D312" s="13"/>
      <c r="F312" s="14"/>
      <c r="G312" s="14"/>
      <c r="H312" s="14"/>
      <c r="I312" s="14"/>
      <c r="J312" s="14"/>
      <c r="K312" s="12"/>
    </row>
    <row r="313" ht="19.5" customHeight="1">
      <c r="A313" s="12"/>
      <c r="C313" s="12"/>
      <c r="D313" s="13"/>
      <c r="F313" s="14"/>
      <c r="G313" s="14"/>
      <c r="H313" s="14"/>
      <c r="I313" s="14"/>
      <c r="J313" s="14"/>
      <c r="K313" s="12"/>
    </row>
    <row r="314" ht="19.5" customHeight="1">
      <c r="A314" s="12"/>
      <c r="C314" s="12"/>
      <c r="D314" s="13"/>
      <c r="F314" s="14"/>
      <c r="G314" s="14"/>
      <c r="H314" s="14"/>
      <c r="I314" s="14"/>
      <c r="J314" s="14"/>
      <c r="K314" s="12"/>
    </row>
    <row r="315" ht="19.5" customHeight="1">
      <c r="A315" s="12"/>
      <c r="C315" s="12"/>
      <c r="D315" s="13"/>
      <c r="F315" s="14"/>
      <c r="G315" s="14"/>
      <c r="H315" s="14"/>
      <c r="I315" s="14"/>
      <c r="J315" s="14"/>
      <c r="K315" s="12"/>
    </row>
    <row r="316" ht="19.5" customHeight="1">
      <c r="A316" s="12"/>
      <c r="C316" s="12"/>
      <c r="D316" s="13"/>
      <c r="F316" s="14"/>
      <c r="G316" s="14"/>
      <c r="H316" s="14"/>
      <c r="I316" s="14"/>
      <c r="J316" s="14"/>
      <c r="K316" s="12"/>
    </row>
    <row r="317" ht="19.5" customHeight="1">
      <c r="A317" s="12"/>
      <c r="C317" s="12"/>
      <c r="D317" s="13"/>
      <c r="F317" s="14"/>
      <c r="G317" s="14"/>
      <c r="H317" s="14"/>
      <c r="I317" s="14"/>
      <c r="J317" s="14"/>
      <c r="K317" s="12"/>
    </row>
    <row r="318" ht="19.5" customHeight="1">
      <c r="A318" s="12"/>
      <c r="C318" s="12"/>
      <c r="D318" s="13"/>
      <c r="F318" s="14"/>
      <c r="G318" s="14"/>
      <c r="H318" s="14"/>
      <c r="I318" s="14"/>
      <c r="J318" s="14"/>
      <c r="K318" s="12"/>
    </row>
    <row r="319" ht="19.5" customHeight="1">
      <c r="A319" s="12"/>
      <c r="C319" s="12"/>
      <c r="D319" s="13"/>
      <c r="F319" s="14"/>
      <c r="G319" s="14"/>
      <c r="H319" s="14"/>
      <c r="I319" s="14"/>
      <c r="J319" s="14"/>
      <c r="K319" s="12"/>
    </row>
    <row r="320" ht="19.5" customHeight="1">
      <c r="A320" s="12"/>
      <c r="C320" s="12"/>
      <c r="D320" s="13"/>
      <c r="F320" s="14"/>
      <c r="G320" s="14"/>
      <c r="H320" s="14"/>
      <c r="I320" s="14"/>
      <c r="J320" s="14"/>
      <c r="K320" s="12"/>
    </row>
    <row r="321" ht="19.5" customHeight="1">
      <c r="A321" s="12"/>
      <c r="C321" s="12"/>
      <c r="D321" s="13"/>
      <c r="F321" s="14"/>
      <c r="G321" s="14"/>
      <c r="H321" s="14"/>
      <c r="I321" s="14"/>
      <c r="J321" s="14"/>
      <c r="K321" s="12"/>
    </row>
    <row r="322" ht="19.5" customHeight="1">
      <c r="A322" s="12"/>
      <c r="C322" s="12"/>
      <c r="D322" s="13"/>
      <c r="F322" s="14"/>
      <c r="G322" s="14"/>
      <c r="H322" s="14"/>
      <c r="I322" s="14"/>
      <c r="J322" s="14"/>
      <c r="K322" s="12"/>
    </row>
    <row r="323" ht="19.5" customHeight="1">
      <c r="A323" s="12"/>
      <c r="C323" s="12"/>
      <c r="D323" s="13"/>
      <c r="F323" s="14"/>
      <c r="G323" s="14"/>
      <c r="H323" s="14"/>
      <c r="I323" s="14"/>
      <c r="J323" s="14"/>
      <c r="K323" s="12"/>
    </row>
    <row r="324" ht="19.5" customHeight="1">
      <c r="A324" s="12"/>
      <c r="C324" s="12"/>
      <c r="D324" s="13"/>
      <c r="F324" s="14"/>
      <c r="G324" s="14"/>
      <c r="H324" s="14"/>
      <c r="I324" s="14"/>
      <c r="J324" s="14"/>
      <c r="K324" s="12"/>
    </row>
    <row r="325" ht="19.5" customHeight="1">
      <c r="A325" s="12"/>
      <c r="C325" s="12"/>
      <c r="D325" s="13"/>
      <c r="F325" s="14"/>
      <c r="G325" s="14"/>
      <c r="H325" s="14"/>
      <c r="I325" s="14"/>
      <c r="J325" s="14"/>
      <c r="K325" s="12"/>
    </row>
    <row r="326" ht="19.5" customHeight="1">
      <c r="A326" s="12"/>
      <c r="C326" s="12"/>
      <c r="D326" s="13"/>
      <c r="F326" s="14"/>
      <c r="G326" s="14"/>
      <c r="H326" s="14"/>
      <c r="I326" s="14"/>
      <c r="J326" s="14"/>
      <c r="K326" s="12"/>
    </row>
    <row r="327" ht="19.5" customHeight="1">
      <c r="A327" s="12"/>
      <c r="C327" s="12"/>
      <c r="D327" s="13"/>
      <c r="F327" s="14"/>
      <c r="G327" s="14"/>
      <c r="H327" s="14"/>
      <c r="I327" s="14"/>
      <c r="J327" s="14"/>
      <c r="K327" s="12"/>
    </row>
    <row r="328" ht="19.5" customHeight="1">
      <c r="A328" s="12"/>
      <c r="C328" s="12"/>
      <c r="D328" s="13"/>
      <c r="F328" s="14"/>
      <c r="G328" s="14"/>
      <c r="H328" s="14"/>
      <c r="I328" s="14"/>
      <c r="J328" s="14"/>
      <c r="K328" s="12"/>
    </row>
    <row r="329" ht="19.5" customHeight="1">
      <c r="A329" s="12"/>
      <c r="C329" s="12"/>
      <c r="D329" s="13"/>
      <c r="F329" s="14"/>
      <c r="G329" s="14"/>
      <c r="H329" s="14"/>
      <c r="I329" s="14"/>
      <c r="J329" s="14"/>
      <c r="K329" s="12"/>
    </row>
    <row r="330" ht="19.5" customHeight="1">
      <c r="A330" s="12"/>
      <c r="C330" s="12"/>
      <c r="D330" s="13"/>
      <c r="F330" s="14"/>
      <c r="G330" s="14"/>
      <c r="H330" s="14"/>
      <c r="I330" s="14"/>
      <c r="J330" s="14"/>
      <c r="K330" s="12"/>
    </row>
    <row r="331" ht="19.5" customHeight="1">
      <c r="A331" s="12"/>
      <c r="C331" s="12"/>
      <c r="D331" s="13"/>
      <c r="F331" s="14"/>
      <c r="G331" s="14"/>
      <c r="H331" s="14"/>
      <c r="I331" s="14"/>
      <c r="J331" s="14"/>
      <c r="K331" s="12"/>
    </row>
    <row r="332" ht="19.5" customHeight="1">
      <c r="A332" s="12"/>
      <c r="C332" s="12"/>
      <c r="D332" s="13"/>
      <c r="F332" s="14"/>
      <c r="G332" s="14"/>
      <c r="H332" s="14"/>
      <c r="I332" s="14"/>
      <c r="J332" s="14"/>
      <c r="K332" s="12"/>
    </row>
    <row r="333" ht="19.5" customHeight="1">
      <c r="A333" s="12"/>
      <c r="C333" s="12"/>
      <c r="D333" s="13"/>
      <c r="F333" s="14"/>
      <c r="G333" s="14"/>
      <c r="H333" s="14"/>
      <c r="I333" s="14"/>
      <c r="J333" s="14"/>
      <c r="K333" s="12"/>
    </row>
    <row r="334" ht="19.5" customHeight="1">
      <c r="A334" s="12"/>
      <c r="C334" s="12"/>
      <c r="D334" s="13"/>
      <c r="F334" s="14"/>
      <c r="G334" s="14"/>
      <c r="H334" s="14"/>
      <c r="I334" s="14"/>
      <c r="J334" s="14"/>
      <c r="K334" s="12"/>
    </row>
    <row r="335" ht="19.5" customHeight="1">
      <c r="A335" s="12"/>
      <c r="C335" s="12"/>
      <c r="D335" s="13"/>
      <c r="F335" s="14"/>
      <c r="G335" s="14"/>
      <c r="H335" s="14"/>
      <c r="I335" s="14"/>
      <c r="J335" s="14"/>
      <c r="K335" s="12"/>
    </row>
    <row r="336" ht="19.5" customHeight="1">
      <c r="A336" s="12"/>
      <c r="C336" s="12"/>
      <c r="D336" s="13"/>
      <c r="F336" s="14"/>
      <c r="G336" s="14"/>
      <c r="H336" s="14"/>
      <c r="I336" s="14"/>
      <c r="J336" s="14"/>
      <c r="K336" s="12"/>
    </row>
    <row r="337" ht="19.5" customHeight="1">
      <c r="A337" s="12"/>
      <c r="C337" s="12"/>
      <c r="D337" s="13"/>
      <c r="F337" s="14"/>
      <c r="G337" s="14"/>
      <c r="H337" s="14"/>
      <c r="I337" s="14"/>
      <c r="J337" s="14"/>
      <c r="K337" s="12"/>
    </row>
    <row r="338" ht="19.5" customHeight="1">
      <c r="A338" s="12"/>
      <c r="C338" s="12"/>
      <c r="D338" s="13"/>
      <c r="F338" s="14"/>
      <c r="G338" s="14"/>
      <c r="H338" s="14"/>
      <c r="I338" s="14"/>
      <c r="J338" s="14"/>
      <c r="K338" s="12"/>
    </row>
    <row r="339" ht="19.5" customHeight="1">
      <c r="A339" s="12"/>
      <c r="C339" s="12"/>
      <c r="D339" s="13"/>
      <c r="F339" s="14"/>
      <c r="G339" s="14"/>
      <c r="H339" s="14"/>
      <c r="I339" s="14"/>
      <c r="J339" s="14"/>
      <c r="K339" s="12"/>
    </row>
    <row r="340" ht="19.5" customHeight="1">
      <c r="A340" s="12"/>
      <c r="C340" s="12"/>
      <c r="D340" s="13"/>
      <c r="F340" s="14"/>
      <c r="G340" s="14"/>
      <c r="H340" s="14"/>
      <c r="I340" s="14"/>
      <c r="J340" s="14"/>
      <c r="K340" s="12"/>
    </row>
    <row r="341" ht="19.5" customHeight="1">
      <c r="A341" s="12"/>
      <c r="C341" s="12"/>
      <c r="D341" s="13"/>
      <c r="F341" s="14"/>
      <c r="G341" s="14"/>
      <c r="H341" s="14"/>
      <c r="I341" s="14"/>
      <c r="J341" s="14"/>
      <c r="K341" s="12"/>
    </row>
    <row r="342" ht="19.5" customHeight="1">
      <c r="A342" s="12"/>
      <c r="C342" s="12"/>
      <c r="D342" s="13"/>
      <c r="F342" s="14"/>
      <c r="G342" s="14"/>
      <c r="H342" s="14"/>
      <c r="I342" s="14"/>
      <c r="J342" s="14"/>
      <c r="K342" s="12"/>
    </row>
    <row r="343" ht="19.5" customHeight="1">
      <c r="A343" s="12"/>
      <c r="C343" s="12"/>
      <c r="D343" s="13"/>
      <c r="F343" s="14"/>
      <c r="G343" s="14"/>
      <c r="H343" s="14"/>
      <c r="I343" s="14"/>
      <c r="J343" s="14"/>
      <c r="K343" s="12"/>
    </row>
    <row r="344" ht="19.5" customHeight="1">
      <c r="A344" s="12"/>
      <c r="C344" s="12"/>
      <c r="D344" s="13"/>
      <c r="F344" s="14"/>
      <c r="G344" s="14"/>
      <c r="H344" s="14"/>
      <c r="I344" s="14"/>
      <c r="J344" s="14"/>
      <c r="K344" s="12"/>
    </row>
    <row r="345" ht="19.5" customHeight="1">
      <c r="A345" s="12"/>
      <c r="C345" s="12"/>
      <c r="D345" s="13"/>
      <c r="F345" s="14"/>
      <c r="G345" s="14"/>
      <c r="H345" s="14"/>
      <c r="I345" s="14"/>
      <c r="J345" s="14"/>
      <c r="K345" s="12"/>
    </row>
    <row r="346" ht="19.5" customHeight="1">
      <c r="A346" s="12"/>
      <c r="C346" s="12"/>
      <c r="D346" s="13"/>
      <c r="F346" s="14"/>
      <c r="G346" s="14"/>
      <c r="H346" s="14"/>
      <c r="I346" s="14"/>
      <c r="J346" s="14"/>
      <c r="K346" s="12"/>
    </row>
    <row r="347" ht="19.5" customHeight="1">
      <c r="A347" s="12"/>
      <c r="C347" s="12"/>
      <c r="D347" s="13"/>
      <c r="F347" s="14"/>
      <c r="G347" s="14"/>
      <c r="H347" s="14"/>
      <c r="I347" s="14"/>
      <c r="J347" s="14"/>
      <c r="K347" s="12"/>
    </row>
    <row r="348" ht="19.5" customHeight="1">
      <c r="A348" s="12"/>
      <c r="C348" s="12"/>
      <c r="D348" s="13"/>
      <c r="F348" s="14"/>
      <c r="G348" s="14"/>
      <c r="H348" s="14"/>
      <c r="I348" s="14"/>
      <c r="J348" s="14"/>
      <c r="K348" s="12"/>
    </row>
    <row r="349" ht="19.5" customHeight="1">
      <c r="A349" s="12"/>
      <c r="C349" s="12"/>
      <c r="D349" s="13"/>
      <c r="F349" s="14"/>
      <c r="G349" s="14"/>
      <c r="H349" s="14"/>
      <c r="I349" s="14"/>
      <c r="J349" s="14"/>
      <c r="K349" s="12"/>
    </row>
    <row r="350" ht="19.5" customHeight="1">
      <c r="A350" s="12"/>
      <c r="C350" s="12"/>
      <c r="D350" s="13"/>
      <c r="F350" s="14"/>
      <c r="G350" s="14"/>
      <c r="H350" s="14"/>
      <c r="I350" s="14"/>
      <c r="J350" s="14"/>
      <c r="K350" s="12"/>
    </row>
    <row r="351" ht="19.5" customHeight="1">
      <c r="A351" s="12"/>
      <c r="C351" s="12"/>
      <c r="D351" s="13"/>
      <c r="F351" s="14"/>
      <c r="G351" s="14"/>
      <c r="H351" s="14"/>
      <c r="I351" s="14"/>
      <c r="J351" s="14"/>
      <c r="K351" s="12"/>
    </row>
    <row r="352" ht="19.5" customHeight="1">
      <c r="A352" s="12"/>
      <c r="C352" s="12"/>
      <c r="D352" s="13"/>
      <c r="F352" s="14"/>
      <c r="G352" s="14"/>
      <c r="H352" s="14"/>
      <c r="I352" s="14"/>
      <c r="J352" s="14"/>
      <c r="K352" s="12"/>
    </row>
    <row r="353" ht="19.5" customHeight="1">
      <c r="A353" s="12"/>
      <c r="C353" s="12"/>
      <c r="D353" s="13"/>
      <c r="F353" s="14"/>
      <c r="G353" s="14"/>
      <c r="H353" s="14"/>
      <c r="I353" s="14"/>
      <c r="J353" s="14"/>
      <c r="K353" s="12"/>
    </row>
    <row r="354" ht="19.5" customHeight="1">
      <c r="A354" s="12"/>
      <c r="C354" s="12"/>
      <c r="D354" s="13"/>
      <c r="F354" s="14"/>
      <c r="G354" s="14"/>
      <c r="H354" s="14"/>
      <c r="I354" s="14"/>
      <c r="J354" s="14"/>
      <c r="K354" s="12"/>
    </row>
    <row r="355" ht="19.5" customHeight="1">
      <c r="A355" s="12"/>
      <c r="C355" s="12"/>
      <c r="D355" s="13"/>
      <c r="F355" s="14"/>
      <c r="G355" s="14"/>
      <c r="H355" s="14"/>
      <c r="I355" s="14"/>
      <c r="J355" s="14"/>
      <c r="K355" s="12"/>
    </row>
    <row r="356" ht="19.5" customHeight="1">
      <c r="A356" s="12"/>
      <c r="C356" s="12"/>
      <c r="D356" s="13"/>
      <c r="F356" s="14"/>
      <c r="G356" s="14"/>
      <c r="H356" s="14"/>
      <c r="I356" s="14"/>
      <c r="J356" s="14"/>
      <c r="K356" s="12"/>
    </row>
    <row r="357" ht="19.5" customHeight="1">
      <c r="A357" s="12"/>
      <c r="C357" s="12"/>
      <c r="D357" s="13"/>
      <c r="F357" s="14"/>
      <c r="G357" s="14"/>
      <c r="H357" s="14"/>
      <c r="I357" s="14"/>
      <c r="J357" s="14"/>
      <c r="K357" s="12"/>
    </row>
    <row r="358" ht="19.5" customHeight="1">
      <c r="A358" s="12"/>
      <c r="C358" s="12"/>
      <c r="D358" s="13"/>
      <c r="F358" s="14"/>
      <c r="G358" s="14"/>
      <c r="H358" s="14"/>
      <c r="I358" s="14"/>
      <c r="J358" s="14"/>
      <c r="K358" s="12"/>
    </row>
    <row r="359" ht="19.5" customHeight="1">
      <c r="A359" s="12"/>
      <c r="C359" s="12"/>
      <c r="D359" s="13"/>
      <c r="F359" s="14"/>
      <c r="G359" s="14"/>
      <c r="H359" s="14"/>
      <c r="I359" s="14"/>
      <c r="J359" s="14"/>
      <c r="K359" s="12"/>
    </row>
    <row r="360" ht="19.5" customHeight="1">
      <c r="A360" s="12"/>
      <c r="C360" s="12"/>
      <c r="D360" s="13"/>
      <c r="F360" s="14"/>
      <c r="G360" s="14"/>
      <c r="H360" s="14"/>
      <c r="I360" s="14"/>
      <c r="J360" s="14"/>
      <c r="K360" s="12"/>
    </row>
    <row r="361" ht="19.5" customHeight="1">
      <c r="A361" s="12"/>
      <c r="C361" s="12"/>
      <c r="D361" s="13"/>
      <c r="F361" s="14"/>
      <c r="G361" s="14"/>
      <c r="H361" s="14"/>
      <c r="I361" s="14"/>
      <c r="J361" s="14"/>
      <c r="K361" s="12"/>
    </row>
    <row r="362" ht="19.5" customHeight="1">
      <c r="A362" s="12"/>
      <c r="C362" s="12"/>
      <c r="D362" s="13"/>
      <c r="F362" s="14"/>
      <c r="G362" s="14"/>
      <c r="H362" s="14"/>
      <c r="I362" s="14"/>
      <c r="J362" s="14"/>
      <c r="K362" s="12"/>
    </row>
    <row r="363" ht="19.5" customHeight="1">
      <c r="A363" s="12"/>
      <c r="C363" s="12"/>
      <c r="D363" s="13"/>
      <c r="F363" s="14"/>
      <c r="G363" s="14"/>
      <c r="H363" s="14"/>
      <c r="I363" s="14"/>
      <c r="J363" s="14"/>
      <c r="K363" s="12"/>
    </row>
    <row r="364" ht="19.5" customHeight="1">
      <c r="A364" s="12"/>
      <c r="C364" s="12"/>
      <c r="D364" s="13"/>
      <c r="F364" s="14"/>
      <c r="G364" s="14"/>
      <c r="H364" s="14"/>
      <c r="I364" s="14"/>
      <c r="J364" s="14"/>
      <c r="K364" s="12"/>
    </row>
    <row r="365" ht="19.5" customHeight="1">
      <c r="A365" s="12"/>
      <c r="C365" s="12"/>
      <c r="D365" s="13"/>
      <c r="F365" s="14"/>
      <c r="G365" s="14"/>
      <c r="H365" s="14"/>
      <c r="I365" s="14"/>
      <c r="J365" s="14"/>
      <c r="K365" s="12"/>
    </row>
    <row r="366" ht="19.5" customHeight="1">
      <c r="A366" s="12"/>
      <c r="C366" s="12"/>
      <c r="D366" s="13"/>
      <c r="F366" s="14"/>
      <c r="G366" s="14"/>
      <c r="H366" s="14"/>
      <c r="I366" s="14"/>
      <c r="J366" s="14"/>
      <c r="K366" s="12"/>
    </row>
    <row r="367" ht="19.5" customHeight="1">
      <c r="A367" s="12"/>
      <c r="C367" s="12"/>
      <c r="D367" s="13"/>
      <c r="F367" s="14"/>
      <c r="G367" s="14"/>
      <c r="H367" s="14"/>
      <c r="I367" s="14"/>
      <c r="J367" s="14"/>
      <c r="K367" s="12"/>
    </row>
    <row r="368" ht="19.5" customHeight="1">
      <c r="A368" s="12"/>
      <c r="C368" s="12"/>
      <c r="D368" s="13"/>
      <c r="F368" s="14"/>
      <c r="G368" s="14"/>
      <c r="H368" s="14"/>
      <c r="I368" s="14"/>
      <c r="J368" s="14"/>
      <c r="K368" s="12"/>
    </row>
    <row r="369" ht="19.5" customHeight="1">
      <c r="A369" s="12"/>
      <c r="C369" s="12"/>
      <c r="D369" s="13"/>
      <c r="F369" s="14"/>
      <c r="G369" s="14"/>
      <c r="H369" s="14"/>
      <c r="I369" s="14"/>
      <c r="J369" s="14"/>
      <c r="K369" s="12"/>
    </row>
    <row r="370" ht="19.5" customHeight="1">
      <c r="A370" s="12"/>
      <c r="C370" s="12"/>
      <c r="D370" s="13"/>
      <c r="F370" s="14"/>
      <c r="G370" s="14"/>
      <c r="H370" s="14"/>
      <c r="I370" s="14"/>
      <c r="J370" s="14"/>
      <c r="K370" s="12"/>
    </row>
    <row r="371" ht="19.5" customHeight="1">
      <c r="A371" s="12"/>
      <c r="C371" s="12"/>
      <c r="D371" s="13"/>
      <c r="F371" s="14"/>
      <c r="G371" s="14"/>
      <c r="H371" s="14"/>
      <c r="I371" s="14"/>
      <c r="J371" s="14"/>
      <c r="K371" s="12"/>
    </row>
    <row r="372" ht="19.5" customHeight="1">
      <c r="A372" s="12"/>
      <c r="C372" s="12"/>
      <c r="D372" s="13"/>
      <c r="F372" s="14"/>
      <c r="G372" s="14"/>
      <c r="H372" s="14"/>
      <c r="I372" s="14"/>
      <c r="J372" s="14"/>
      <c r="K372" s="12"/>
    </row>
    <row r="373" ht="19.5" customHeight="1">
      <c r="A373" s="12"/>
      <c r="C373" s="12"/>
      <c r="D373" s="13"/>
      <c r="F373" s="14"/>
      <c r="G373" s="14"/>
      <c r="H373" s="14"/>
      <c r="I373" s="14"/>
      <c r="J373" s="14"/>
      <c r="K373" s="12"/>
    </row>
    <row r="374" ht="19.5" customHeight="1">
      <c r="A374" s="12"/>
      <c r="C374" s="12"/>
      <c r="D374" s="13"/>
      <c r="F374" s="14"/>
      <c r="G374" s="14"/>
      <c r="H374" s="14"/>
      <c r="I374" s="14"/>
      <c r="J374" s="14"/>
      <c r="K374" s="12"/>
    </row>
    <row r="375" ht="19.5" customHeight="1">
      <c r="A375" s="12"/>
      <c r="C375" s="12"/>
      <c r="D375" s="13"/>
      <c r="F375" s="14"/>
      <c r="G375" s="14"/>
      <c r="H375" s="14"/>
      <c r="I375" s="14"/>
      <c r="J375" s="14"/>
      <c r="K375" s="12"/>
    </row>
    <row r="376" ht="19.5" customHeight="1">
      <c r="A376" s="12"/>
      <c r="C376" s="12"/>
      <c r="D376" s="13"/>
      <c r="F376" s="14"/>
      <c r="G376" s="14"/>
      <c r="H376" s="14"/>
      <c r="I376" s="14"/>
      <c r="J376" s="14"/>
      <c r="K376" s="12"/>
    </row>
    <row r="377" ht="19.5" customHeight="1">
      <c r="A377" s="12"/>
      <c r="C377" s="12"/>
      <c r="D377" s="13"/>
      <c r="F377" s="14"/>
      <c r="G377" s="14"/>
      <c r="H377" s="14"/>
      <c r="I377" s="14"/>
      <c r="J377" s="14"/>
      <c r="K377" s="12"/>
    </row>
    <row r="378" ht="19.5" customHeight="1">
      <c r="A378" s="12"/>
      <c r="C378" s="12"/>
      <c r="D378" s="13"/>
      <c r="F378" s="14"/>
      <c r="G378" s="14"/>
      <c r="H378" s="14"/>
      <c r="I378" s="14"/>
      <c r="J378" s="14"/>
      <c r="K378" s="12"/>
    </row>
    <row r="379" ht="19.5" customHeight="1">
      <c r="A379" s="12"/>
      <c r="C379" s="12"/>
      <c r="D379" s="13"/>
      <c r="F379" s="14"/>
      <c r="G379" s="14"/>
      <c r="H379" s="14"/>
      <c r="I379" s="14"/>
      <c r="J379" s="14"/>
      <c r="K379" s="12"/>
    </row>
    <row r="380" ht="19.5" customHeight="1">
      <c r="A380" s="12"/>
      <c r="C380" s="12"/>
      <c r="D380" s="13"/>
      <c r="F380" s="14"/>
      <c r="G380" s="14"/>
      <c r="H380" s="14"/>
      <c r="I380" s="14"/>
      <c r="J380" s="14"/>
      <c r="K380" s="12"/>
    </row>
    <row r="381" ht="19.5" customHeight="1">
      <c r="A381" s="12"/>
      <c r="C381" s="12"/>
      <c r="D381" s="13"/>
      <c r="F381" s="14"/>
      <c r="G381" s="14"/>
      <c r="H381" s="14"/>
      <c r="I381" s="14"/>
      <c r="J381" s="14"/>
      <c r="K381" s="12"/>
    </row>
    <row r="382" ht="19.5" customHeight="1">
      <c r="A382" s="12"/>
      <c r="C382" s="12"/>
      <c r="D382" s="13"/>
      <c r="F382" s="14"/>
      <c r="G382" s="14"/>
      <c r="H382" s="14"/>
      <c r="I382" s="14"/>
      <c r="J382" s="14"/>
      <c r="K382" s="12"/>
    </row>
    <row r="383" ht="19.5" customHeight="1">
      <c r="A383" s="12"/>
      <c r="C383" s="12"/>
      <c r="D383" s="13"/>
      <c r="F383" s="14"/>
      <c r="G383" s="14"/>
      <c r="H383" s="14"/>
      <c r="I383" s="14"/>
      <c r="J383" s="14"/>
      <c r="K383" s="12"/>
    </row>
    <row r="384" ht="19.5" customHeight="1">
      <c r="A384" s="12"/>
      <c r="C384" s="12"/>
      <c r="D384" s="13"/>
      <c r="F384" s="14"/>
      <c r="G384" s="14"/>
      <c r="H384" s="14"/>
      <c r="I384" s="14"/>
      <c r="J384" s="14"/>
      <c r="K384" s="12"/>
    </row>
    <row r="385" ht="19.5" customHeight="1">
      <c r="A385" s="12"/>
      <c r="C385" s="12"/>
      <c r="D385" s="13"/>
      <c r="F385" s="14"/>
      <c r="G385" s="14"/>
      <c r="H385" s="14"/>
      <c r="I385" s="14"/>
      <c r="J385" s="14"/>
      <c r="K385" s="12"/>
    </row>
    <row r="386" ht="19.5" customHeight="1">
      <c r="A386" s="12"/>
      <c r="C386" s="12"/>
      <c r="D386" s="13"/>
      <c r="F386" s="14"/>
      <c r="G386" s="14"/>
      <c r="H386" s="14"/>
      <c r="I386" s="14"/>
      <c r="J386" s="14"/>
      <c r="K386" s="12"/>
    </row>
    <row r="387" ht="19.5" customHeight="1">
      <c r="A387" s="12"/>
      <c r="C387" s="12"/>
      <c r="D387" s="13"/>
      <c r="F387" s="14"/>
      <c r="G387" s="14"/>
      <c r="H387" s="14"/>
      <c r="I387" s="14"/>
      <c r="J387" s="14"/>
      <c r="K387" s="12"/>
    </row>
    <row r="388" ht="19.5" customHeight="1">
      <c r="A388" s="12"/>
      <c r="C388" s="12"/>
      <c r="D388" s="13"/>
      <c r="F388" s="14"/>
      <c r="G388" s="14"/>
      <c r="H388" s="14"/>
      <c r="I388" s="14"/>
      <c r="J388" s="14"/>
      <c r="K388" s="12"/>
    </row>
    <row r="389" ht="19.5" customHeight="1">
      <c r="A389" s="12"/>
      <c r="C389" s="12"/>
      <c r="D389" s="13"/>
      <c r="F389" s="14"/>
      <c r="G389" s="14"/>
      <c r="H389" s="14"/>
      <c r="I389" s="14"/>
      <c r="J389" s="14"/>
      <c r="K389" s="12"/>
    </row>
    <row r="390" ht="19.5" customHeight="1">
      <c r="A390" s="12"/>
      <c r="C390" s="12"/>
      <c r="D390" s="13"/>
      <c r="F390" s="14"/>
      <c r="G390" s="14"/>
      <c r="H390" s="14"/>
      <c r="I390" s="14"/>
      <c r="J390" s="14"/>
      <c r="K390" s="12"/>
    </row>
    <row r="391" ht="19.5" customHeight="1">
      <c r="A391" s="12"/>
      <c r="C391" s="12"/>
      <c r="D391" s="13"/>
      <c r="F391" s="14"/>
      <c r="G391" s="14"/>
      <c r="H391" s="14"/>
      <c r="I391" s="14"/>
      <c r="J391" s="14"/>
      <c r="K391" s="12"/>
    </row>
    <row r="392" ht="19.5" customHeight="1">
      <c r="A392" s="12"/>
      <c r="C392" s="12"/>
      <c r="D392" s="13"/>
      <c r="F392" s="14"/>
      <c r="G392" s="14"/>
      <c r="H392" s="14"/>
      <c r="I392" s="14"/>
      <c r="J392" s="14"/>
      <c r="K392" s="12"/>
    </row>
    <row r="393" ht="19.5" customHeight="1">
      <c r="A393" s="12"/>
      <c r="C393" s="12"/>
      <c r="D393" s="13"/>
      <c r="F393" s="14"/>
      <c r="G393" s="14"/>
      <c r="H393" s="14"/>
      <c r="I393" s="14"/>
      <c r="J393" s="14"/>
      <c r="K393" s="12"/>
    </row>
    <row r="394" ht="19.5" customHeight="1">
      <c r="A394" s="12"/>
      <c r="C394" s="12"/>
      <c r="D394" s="13"/>
      <c r="F394" s="14"/>
      <c r="G394" s="14"/>
      <c r="H394" s="14"/>
      <c r="I394" s="14"/>
      <c r="J394" s="14"/>
      <c r="K394" s="12"/>
    </row>
    <row r="395" ht="19.5" customHeight="1">
      <c r="A395" s="12"/>
      <c r="C395" s="12"/>
      <c r="D395" s="13"/>
      <c r="F395" s="14"/>
      <c r="G395" s="14"/>
      <c r="H395" s="14"/>
      <c r="I395" s="14"/>
      <c r="J395" s="14"/>
      <c r="K395" s="12"/>
    </row>
    <row r="396" ht="19.5" customHeight="1">
      <c r="A396" s="12"/>
      <c r="C396" s="12"/>
      <c r="D396" s="13"/>
      <c r="F396" s="14"/>
      <c r="G396" s="14"/>
      <c r="H396" s="14"/>
      <c r="I396" s="14"/>
      <c r="J396" s="14"/>
      <c r="K396" s="12"/>
    </row>
    <row r="397" ht="19.5" customHeight="1">
      <c r="A397" s="12"/>
      <c r="C397" s="12"/>
      <c r="D397" s="13"/>
      <c r="F397" s="14"/>
      <c r="G397" s="14"/>
      <c r="H397" s="14"/>
      <c r="I397" s="14"/>
      <c r="J397" s="14"/>
      <c r="K397" s="12"/>
    </row>
    <row r="398" ht="19.5" customHeight="1">
      <c r="A398" s="12"/>
      <c r="C398" s="12"/>
      <c r="D398" s="13"/>
      <c r="F398" s="14"/>
      <c r="G398" s="14"/>
      <c r="H398" s="14"/>
      <c r="I398" s="14"/>
      <c r="J398" s="14"/>
      <c r="K398" s="12"/>
    </row>
    <row r="399" ht="19.5" customHeight="1">
      <c r="A399" s="12"/>
      <c r="C399" s="12"/>
      <c r="D399" s="13"/>
      <c r="F399" s="14"/>
      <c r="G399" s="14"/>
      <c r="H399" s="14"/>
      <c r="I399" s="14"/>
      <c r="J399" s="14"/>
      <c r="K399" s="12"/>
    </row>
    <row r="400" ht="19.5" customHeight="1">
      <c r="A400" s="12"/>
      <c r="C400" s="12"/>
      <c r="D400" s="13"/>
      <c r="F400" s="14"/>
      <c r="G400" s="14"/>
      <c r="H400" s="14"/>
      <c r="I400" s="14"/>
      <c r="J400" s="14"/>
      <c r="K400" s="12"/>
    </row>
    <row r="401" ht="19.5" customHeight="1">
      <c r="A401" s="12"/>
      <c r="C401" s="12"/>
      <c r="D401" s="13"/>
      <c r="F401" s="14"/>
      <c r="G401" s="14"/>
      <c r="H401" s="14"/>
      <c r="I401" s="14"/>
      <c r="J401" s="14"/>
      <c r="K401" s="12"/>
    </row>
    <row r="402" ht="19.5" customHeight="1">
      <c r="A402" s="12"/>
      <c r="C402" s="12"/>
      <c r="D402" s="13"/>
      <c r="F402" s="14"/>
      <c r="G402" s="14"/>
      <c r="H402" s="14"/>
      <c r="I402" s="14"/>
      <c r="J402" s="14"/>
      <c r="K402" s="12"/>
    </row>
    <row r="403" ht="19.5" customHeight="1">
      <c r="A403" s="12"/>
      <c r="C403" s="12"/>
      <c r="D403" s="13"/>
      <c r="F403" s="14"/>
      <c r="G403" s="14"/>
      <c r="H403" s="14"/>
      <c r="I403" s="14"/>
      <c r="J403" s="14"/>
      <c r="K403" s="12"/>
    </row>
    <row r="404" ht="19.5" customHeight="1">
      <c r="A404" s="12"/>
      <c r="C404" s="12"/>
      <c r="D404" s="13"/>
      <c r="F404" s="14"/>
      <c r="G404" s="14"/>
      <c r="H404" s="14"/>
      <c r="I404" s="14"/>
      <c r="J404" s="14"/>
      <c r="K404" s="12"/>
    </row>
    <row r="405" ht="19.5" customHeight="1">
      <c r="A405" s="12"/>
      <c r="C405" s="12"/>
      <c r="D405" s="13"/>
      <c r="F405" s="14"/>
      <c r="G405" s="14"/>
      <c r="H405" s="14"/>
      <c r="I405" s="14"/>
      <c r="J405" s="14"/>
      <c r="K405" s="12"/>
    </row>
    <row r="406" ht="19.5" customHeight="1">
      <c r="A406" s="12"/>
      <c r="C406" s="12"/>
      <c r="D406" s="13"/>
      <c r="F406" s="14"/>
      <c r="G406" s="14"/>
      <c r="H406" s="14"/>
      <c r="I406" s="14"/>
      <c r="J406" s="14"/>
      <c r="K406" s="12"/>
    </row>
    <row r="407" ht="19.5" customHeight="1">
      <c r="A407" s="12"/>
      <c r="C407" s="12"/>
      <c r="D407" s="13"/>
      <c r="F407" s="14"/>
      <c r="G407" s="14"/>
      <c r="H407" s="14"/>
      <c r="I407" s="14"/>
      <c r="J407" s="14"/>
      <c r="K407" s="12"/>
    </row>
    <row r="408" ht="19.5" customHeight="1">
      <c r="A408" s="12"/>
      <c r="C408" s="12"/>
      <c r="D408" s="13"/>
      <c r="F408" s="14"/>
      <c r="G408" s="14"/>
      <c r="H408" s="14"/>
      <c r="I408" s="14"/>
      <c r="J408" s="14"/>
      <c r="K408" s="12"/>
    </row>
    <row r="409" ht="19.5" customHeight="1">
      <c r="A409" s="12"/>
      <c r="C409" s="12"/>
      <c r="D409" s="13"/>
      <c r="F409" s="14"/>
      <c r="G409" s="14"/>
      <c r="H409" s="14"/>
      <c r="I409" s="14"/>
      <c r="J409" s="14"/>
      <c r="K409" s="12"/>
    </row>
    <row r="410" ht="19.5" customHeight="1">
      <c r="A410" s="12"/>
      <c r="C410" s="12"/>
      <c r="D410" s="13"/>
      <c r="F410" s="14"/>
      <c r="G410" s="14"/>
      <c r="H410" s="14"/>
      <c r="I410" s="14"/>
      <c r="J410" s="14"/>
      <c r="K410" s="12"/>
    </row>
    <row r="411" ht="19.5" customHeight="1">
      <c r="A411" s="12"/>
      <c r="C411" s="12"/>
      <c r="D411" s="13"/>
      <c r="F411" s="14"/>
      <c r="G411" s="14"/>
      <c r="H411" s="14"/>
      <c r="I411" s="14"/>
      <c r="J411" s="14"/>
      <c r="K411" s="12"/>
    </row>
    <row r="412" ht="19.5" customHeight="1">
      <c r="A412" s="12"/>
      <c r="C412" s="12"/>
      <c r="D412" s="13"/>
      <c r="F412" s="14"/>
      <c r="G412" s="14"/>
      <c r="H412" s="14"/>
      <c r="I412" s="14"/>
      <c r="J412" s="14"/>
      <c r="K412" s="12"/>
    </row>
    <row r="413" ht="19.5" customHeight="1">
      <c r="A413" s="12"/>
      <c r="C413" s="12"/>
      <c r="D413" s="13"/>
      <c r="F413" s="14"/>
      <c r="G413" s="14"/>
      <c r="H413" s="14"/>
      <c r="I413" s="14"/>
      <c r="J413" s="14"/>
      <c r="K413" s="12"/>
    </row>
    <row r="414" ht="19.5" customHeight="1">
      <c r="A414" s="12"/>
      <c r="C414" s="12"/>
      <c r="D414" s="13"/>
      <c r="F414" s="14"/>
      <c r="G414" s="14"/>
      <c r="H414" s="14"/>
      <c r="I414" s="14"/>
      <c r="J414" s="14"/>
      <c r="K414" s="12"/>
    </row>
    <row r="415" ht="19.5" customHeight="1">
      <c r="A415" s="12"/>
      <c r="C415" s="12"/>
      <c r="D415" s="13"/>
      <c r="F415" s="14"/>
      <c r="G415" s="14"/>
      <c r="H415" s="14"/>
      <c r="I415" s="14"/>
      <c r="J415" s="14"/>
      <c r="K415" s="12"/>
    </row>
    <row r="416" ht="19.5" customHeight="1">
      <c r="A416" s="12"/>
      <c r="C416" s="12"/>
      <c r="D416" s="13"/>
      <c r="F416" s="14"/>
      <c r="G416" s="14"/>
      <c r="H416" s="14"/>
      <c r="I416" s="14"/>
      <c r="J416" s="14"/>
      <c r="K416" s="12"/>
    </row>
    <row r="417" ht="19.5" customHeight="1">
      <c r="A417" s="12"/>
      <c r="C417" s="12"/>
      <c r="D417" s="13"/>
      <c r="F417" s="14"/>
      <c r="G417" s="14"/>
      <c r="H417" s="14"/>
      <c r="I417" s="14"/>
      <c r="J417" s="14"/>
      <c r="K417" s="12"/>
    </row>
    <row r="418" ht="19.5" customHeight="1">
      <c r="A418" s="12"/>
      <c r="C418" s="12"/>
      <c r="D418" s="13"/>
      <c r="F418" s="14"/>
      <c r="G418" s="14"/>
      <c r="H418" s="14"/>
      <c r="I418" s="14"/>
      <c r="J418" s="14"/>
      <c r="K418" s="12"/>
    </row>
    <row r="419" ht="19.5" customHeight="1">
      <c r="A419" s="12"/>
      <c r="C419" s="12"/>
      <c r="D419" s="13"/>
      <c r="F419" s="14"/>
      <c r="G419" s="14"/>
      <c r="H419" s="14"/>
      <c r="I419" s="14"/>
      <c r="J419" s="14"/>
      <c r="K419" s="12"/>
    </row>
    <row r="420" ht="19.5" customHeight="1">
      <c r="A420" s="12"/>
      <c r="C420" s="12"/>
      <c r="D420" s="13"/>
      <c r="F420" s="14"/>
      <c r="G420" s="14"/>
      <c r="H420" s="14"/>
      <c r="I420" s="14"/>
      <c r="J420" s="14"/>
      <c r="K420" s="12"/>
    </row>
    <row r="421" ht="19.5" customHeight="1">
      <c r="A421" s="12"/>
      <c r="C421" s="12"/>
      <c r="D421" s="13"/>
      <c r="F421" s="14"/>
      <c r="G421" s="14"/>
      <c r="H421" s="14"/>
      <c r="I421" s="14"/>
      <c r="J421" s="14"/>
      <c r="K421" s="12"/>
    </row>
    <row r="422" ht="19.5" customHeight="1">
      <c r="A422" s="12"/>
      <c r="C422" s="12"/>
      <c r="D422" s="13"/>
      <c r="F422" s="14"/>
      <c r="G422" s="14"/>
      <c r="H422" s="14"/>
      <c r="I422" s="14"/>
      <c r="J422" s="14"/>
      <c r="K422" s="12"/>
    </row>
    <row r="423" ht="19.5" customHeight="1">
      <c r="A423" s="12"/>
      <c r="C423" s="12"/>
      <c r="D423" s="13"/>
      <c r="F423" s="14"/>
      <c r="G423" s="14"/>
      <c r="H423" s="14"/>
      <c r="I423" s="14"/>
      <c r="J423" s="14"/>
      <c r="K423" s="12"/>
    </row>
    <row r="424" ht="19.5" customHeight="1">
      <c r="A424" s="12"/>
      <c r="C424" s="12"/>
      <c r="D424" s="13"/>
      <c r="F424" s="14"/>
      <c r="G424" s="14"/>
      <c r="H424" s="14"/>
      <c r="I424" s="14"/>
      <c r="J424" s="14"/>
      <c r="K424" s="12"/>
    </row>
    <row r="425" ht="19.5" customHeight="1">
      <c r="A425" s="12"/>
      <c r="C425" s="12"/>
      <c r="D425" s="13"/>
      <c r="F425" s="14"/>
      <c r="G425" s="14"/>
      <c r="H425" s="14"/>
      <c r="I425" s="14"/>
      <c r="J425" s="14"/>
      <c r="K425" s="12"/>
    </row>
    <row r="426" ht="19.5" customHeight="1">
      <c r="A426" s="12"/>
      <c r="C426" s="12"/>
      <c r="D426" s="13"/>
      <c r="F426" s="14"/>
      <c r="G426" s="14"/>
      <c r="H426" s="14"/>
      <c r="I426" s="14"/>
      <c r="J426" s="14"/>
      <c r="K426" s="12"/>
    </row>
    <row r="427" ht="19.5" customHeight="1">
      <c r="A427" s="12"/>
      <c r="C427" s="12"/>
      <c r="D427" s="13"/>
      <c r="F427" s="14"/>
      <c r="G427" s="14"/>
      <c r="H427" s="14"/>
      <c r="I427" s="14"/>
      <c r="J427" s="14"/>
      <c r="K427" s="12"/>
    </row>
    <row r="428" ht="19.5" customHeight="1">
      <c r="A428" s="12"/>
      <c r="C428" s="12"/>
      <c r="D428" s="13"/>
      <c r="F428" s="14"/>
      <c r="G428" s="14"/>
      <c r="H428" s="14"/>
      <c r="I428" s="14"/>
      <c r="J428" s="14"/>
      <c r="K428" s="12"/>
    </row>
    <row r="429" ht="19.5" customHeight="1">
      <c r="A429" s="12"/>
      <c r="C429" s="12"/>
      <c r="D429" s="13"/>
      <c r="F429" s="14"/>
      <c r="G429" s="14"/>
      <c r="H429" s="14"/>
      <c r="I429" s="14"/>
      <c r="J429" s="14"/>
      <c r="K429" s="12"/>
    </row>
    <row r="430" ht="19.5" customHeight="1">
      <c r="A430" s="12"/>
      <c r="C430" s="12"/>
      <c r="D430" s="13"/>
      <c r="F430" s="14"/>
      <c r="G430" s="14"/>
      <c r="H430" s="14"/>
      <c r="I430" s="14"/>
      <c r="J430" s="14"/>
      <c r="K430" s="12"/>
    </row>
    <row r="431" ht="19.5" customHeight="1">
      <c r="A431" s="12"/>
      <c r="C431" s="12"/>
      <c r="D431" s="13"/>
      <c r="F431" s="14"/>
      <c r="G431" s="14"/>
      <c r="H431" s="14"/>
      <c r="I431" s="14"/>
      <c r="J431" s="14"/>
      <c r="K431" s="12"/>
    </row>
    <row r="432" ht="19.5" customHeight="1">
      <c r="A432" s="12"/>
      <c r="C432" s="12"/>
      <c r="D432" s="13"/>
      <c r="F432" s="14"/>
      <c r="G432" s="14"/>
      <c r="H432" s="14"/>
      <c r="I432" s="14"/>
      <c r="J432" s="14"/>
      <c r="K432" s="12"/>
    </row>
    <row r="433" ht="19.5" customHeight="1">
      <c r="A433" s="12"/>
      <c r="C433" s="12"/>
      <c r="D433" s="13"/>
      <c r="F433" s="14"/>
      <c r="G433" s="14"/>
      <c r="H433" s="14"/>
      <c r="I433" s="14"/>
      <c r="J433" s="14"/>
      <c r="K433" s="12"/>
    </row>
    <row r="434" ht="19.5" customHeight="1">
      <c r="A434" s="12"/>
      <c r="C434" s="12"/>
      <c r="D434" s="13"/>
      <c r="F434" s="14"/>
      <c r="G434" s="14"/>
      <c r="H434" s="14"/>
      <c r="I434" s="14"/>
      <c r="J434" s="14"/>
      <c r="K434" s="12"/>
    </row>
    <row r="435" ht="19.5" customHeight="1">
      <c r="A435" s="12"/>
      <c r="C435" s="12"/>
      <c r="D435" s="13"/>
      <c r="F435" s="14"/>
      <c r="G435" s="14"/>
      <c r="H435" s="14"/>
      <c r="I435" s="14"/>
      <c r="J435" s="14"/>
      <c r="K435" s="12"/>
    </row>
    <row r="436" ht="19.5" customHeight="1">
      <c r="A436" s="12"/>
      <c r="C436" s="12"/>
      <c r="D436" s="13"/>
      <c r="F436" s="14"/>
      <c r="G436" s="14"/>
      <c r="H436" s="14"/>
      <c r="I436" s="14"/>
      <c r="J436" s="14"/>
      <c r="K436" s="12"/>
    </row>
    <row r="437" ht="19.5" customHeight="1">
      <c r="A437" s="12"/>
      <c r="C437" s="12"/>
      <c r="D437" s="13"/>
      <c r="F437" s="14"/>
      <c r="G437" s="14"/>
      <c r="H437" s="14"/>
      <c r="I437" s="14"/>
      <c r="J437" s="14"/>
      <c r="K437" s="12"/>
    </row>
    <row r="438" ht="19.5" customHeight="1">
      <c r="A438" s="12"/>
      <c r="C438" s="12"/>
      <c r="D438" s="13"/>
      <c r="F438" s="14"/>
      <c r="G438" s="14"/>
      <c r="H438" s="14"/>
      <c r="I438" s="14"/>
      <c r="J438" s="14"/>
      <c r="K438" s="12"/>
    </row>
    <row r="439" ht="19.5" customHeight="1">
      <c r="A439" s="12"/>
      <c r="C439" s="12"/>
      <c r="D439" s="13"/>
      <c r="F439" s="14"/>
      <c r="G439" s="14"/>
      <c r="H439" s="14"/>
      <c r="I439" s="14"/>
      <c r="J439" s="14"/>
      <c r="K439" s="12"/>
    </row>
    <row r="440" ht="19.5" customHeight="1">
      <c r="A440" s="12"/>
      <c r="C440" s="12"/>
      <c r="D440" s="13"/>
      <c r="F440" s="14"/>
      <c r="G440" s="14"/>
      <c r="H440" s="14"/>
      <c r="I440" s="14"/>
      <c r="J440" s="14"/>
      <c r="K440" s="12"/>
    </row>
    <row r="441" ht="19.5" customHeight="1">
      <c r="A441" s="12"/>
      <c r="C441" s="12"/>
      <c r="D441" s="13"/>
      <c r="F441" s="14"/>
      <c r="G441" s="14"/>
      <c r="H441" s="14"/>
      <c r="I441" s="14"/>
      <c r="J441" s="14"/>
      <c r="K441" s="12"/>
    </row>
    <row r="442" ht="19.5" customHeight="1">
      <c r="A442" s="12"/>
      <c r="C442" s="12"/>
      <c r="D442" s="13"/>
      <c r="F442" s="14"/>
      <c r="G442" s="14"/>
      <c r="H442" s="14"/>
      <c r="I442" s="14"/>
      <c r="J442" s="14"/>
      <c r="K442" s="12"/>
    </row>
    <row r="443" ht="19.5" customHeight="1">
      <c r="A443" s="12"/>
      <c r="C443" s="12"/>
      <c r="D443" s="13"/>
      <c r="F443" s="14"/>
      <c r="G443" s="14"/>
      <c r="H443" s="14"/>
      <c r="I443" s="14"/>
      <c r="J443" s="14"/>
      <c r="K443" s="12"/>
    </row>
    <row r="444" ht="19.5" customHeight="1">
      <c r="A444" s="12"/>
      <c r="C444" s="12"/>
      <c r="D444" s="13"/>
      <c r="F444" s="14"/>
      <c r="G444" s="14"/>
      <c r="H444" s="14"/>
      <c r="I444" s="14"/>
      <c r="J444" s="14"/>
      <c r="K444" s="12"/>
    </row>
    <row r="445" ht="19.5" customHeight="1">
      <c r="A445" s="12"/>
      <c r="C445" s="12"/>
      <c r="D445" s="13"/>
      <c r="F445" s="14"/>
      <c r="G445" s="14"/>
      <c r="H445" s="14"/>
      <c r="I445" s="14"/>
      <c r="J445" s="14"/>
      <c r="K445" s="12"/>
    </row>
    <row r="446" ht="19.5" customHeight="1">
      <c r="A446" s="12"/>
      <c r="C446" s="12"/>
      <c r="D446" s="13"/>
      <c r="F446" s="14"/>
      <c r="G446" s="14"/>
      <c r="H446" s="14"/>
      <c r="I446" s="14"/>
      <c r="J446" s="14"/>
      <c r="K446" s="12"/>
    </row>
    <row r="447" ht="19.5" customHeight="1">
      <c r="A447" s="12"/>
      <c r="C447" s="12"/>
      <c r="D447" s="13"/>
      <c r="F447" s="14"/>
      <c r="G447" s="14"/>
      <c r="H447" s="14"/>
      <c r="I447" s="14"/>
      <c r="J447" s="14"/>
      <c r="K447" s="12"/>
    </row>
    <row r="448" ht="19.5" customHeight="1">
      <c r="A448" s="12"/>
      <c r="C448" s="12"/>
      <c r="D448" s="13"/>
      <c r="F448" s="14"/>
      <c r="G448" s="14"/>
      <c r="H448" s="14"/>
      <c r="I448" s="14"/>
      <c r="J448" s="14"/>
      <c r="K448" s="12"/>
    </row>
    <row r="449" ht="19.5" customHeight="1">
      <c r="A449" s="12"/>
      <c r="C449" s="12"/>
      <c r="D449" s="13"/>
      <c r="F449" s="14"/>
      <c r="G449" s="14"/>
      <c r="H449" s="14"/>
      <c r="I449" s="14"/>
      <c r="J449" s="14"/>
      <c r="K449" s="12"/>
    </row>
    <row r="450" ht="19.5" customHeight="1">
      <c r="A450" s="12"/>
      <c r="C450" s="12"/>
      <c r="D450" s="13"/>
      <c r="F450" s="14"/>
      <c r="G450" s="14"/>
      <c r="H450" s="14"/>
      <c r="I450" s="14"/>
      <c r="J450" s="14"/>
      <c r="K450" s="12"/>
    </row>
    <row r="451" ht="19.5" customHeight="1">
      <c r="A451" s="12"/>
      <c r="C451" s="12"/>
      <c r="D451" s="13"/>
      <c r="F451" s="14"/>
      <c r="G451" s="14"/>
      <c r="H451" s="14"/>
      <c r="I451" s="14"/>
      <c r="J451" s="14"/>
      <c r="K451" s="12"/>
    </row>
    <row r="452" ht="19.5" customHeight="1">
      <c r="A452" s="12"/>
      <c r="C452" s="12"/>
      <c r="D452" s="13"/>
      <c r="F452" s="14"/>
      <c r="G452" s="14"/>
      <c r="H452" s="14"/>
      <c r="I452" s="14"/>
      <c r="J452" s="14"/>
      <c r="K452" s="12"/>
    </row>
    <row r="453" ht="19.5" customHeight="1">
      <c r="A453" s="12"/>
      <c r="C453" s="12"/>
      <c r="D453" s="13"/>
      <c r="F453" s="14"/>
      <c r="G453" s="14"/>
      <c r="H453" s="14"/>
      <c r="I453" s="14"/>
      <c r="J453" s="14"/>
      <c r="K453" s="12"/>
    </row>
    <row r="454" ht="19.5" customHeight="1">
      <c r="A454" s="12"/>
      <c r="C454" s="12"/>
      <c r="D454" s="13"/>
      <c r="F454" s="14"/>
      <c r="G454" s="14"/>
      <c r="H454" s="14"/>
      <c r="I454" s="14"/>
      <c r="J454" s="14"/>
      <c r="K454" s="12"/>
    </row>
    <row r="455" ht="19.5" customHeight="1">
      <c r="A455" s="12"/>
      <c r="C455" s="12"/>
      <c r="D455" s="13"/>
      <c r="F455" s="14"/>
      <c r="G455" s="14"/>
      <c r="H455" s="14"/>
      <c r="I455" s="14"/>
      <c r="J455" s="14"/>
      <c r="K455" s="12"/>
    </row>
    <row r="456" ht="19.5" customHeight="1">
      <c r="A456" s="12"/>
      <c r="C456" s="12"/>
      <c r="D456" s="13"/>
      <c r="F456" s="14"/>
      <c r="G456" s="14"/>
      <c r="H456" s="14"/>
      <c r="I456" s="14"/>
      <c r="J456" s="14"/>
      <c r="K456" s="12"/>
    </row>
    <row r="457" ht="19.5" customHeight="1">
      <c r="A457" s="12"/>
      <c r="C457" s="12"/>
      <c r="D457" s="13"/>
      <c r="F457" s="14"/>
      <c r="G457" s="14"/>
      <c r="H457" s="14"/>
      <c r="I457" s="14"/>
      <c r="J457" s="14"/>
      <c r="K457" s="12"/>
    </row>
    <row r="458" ht="19.5" customHeight="1">
      <c r="A458" s="12"/>
      <c r="C458" s="12"/>
      <c r="D458" s="13"/>
      <c r="F458" s="14"/>
      <c r="G458" s="14"/>
      <c r="H458" s="14"/>
      <c r="I458" s="14"/>
      <c r="J458" s="14"/>
      <c r="K458" s="12"/>
    </row>
    <row r="459" ht="19.5" customHeight="1">
      <c r="A459" s="12"/>
      <c r="C459" s="12"/>
      <c r="D459" s="13"/>
      <c r="F459" s="14"/>
      <c r="G459" s="14"/>
      <c r="H459" s="14"/>
      <c r="I459" s="14"/>
      <c r="J459" s="14"/>
      <c r="K459" s="12"/>
    </row>
    <row r="460" ht="19.5" customHeight="1">
      <c r="A460" s="12"/>
      <c r="C460" s="12"/>
      <c r="D460" s="13"/>
      <c r="F460" s="14"/>
      <c r="G460" s="14"/>
      <c r="H460" s="14"/>
      <c r="I460" s="14"/>
      <c r="J460" s="14"/>
      <c r="K460" s="12"/>
    </row>
    <row r="461" ht="19.5" customHeight="1">
      <c r="A461" s="12"/>
      <c r="C461" s="12"/>
      <c r="D461" s="13"/>
      <c r="F461" s="14"/>
      <c r="G461" s="14"/>
      <c r="H461" s="14"/>
      <c r="I461" s="14"/>
      <c r="J461" s="14"/>
      <c r="K461" s="12"/>
    </row>
    <row r="462" ht="19.5" customHeight="1">
      <c r="A462" s="12"/>
      <c r="C462" s="12"/>
      <c r="D462" s="13"/>
      <c r="F462" s="14"/>
      <c r="G462" s="14"/>
      <c r="H462" s="14"/>
      <c r="I462" s="14"/>
      <c r="J462" s="14"/>
      <c r="K462" s="12"/>
    </row>
    <row r="463" ht="19.5" customHeight="1">
      <c r="A463" s="12"/>
      <c r="C463" s="12"/>
      <c r="D463" s="13"/>
      <c r="F463" s="14"/>
      <c r="G463" s="14"/>
      <c r="H463" s="14"/>
      <c r="I463" s="14"/>
      <c r="J463" s="14"/>
      <c r="K463" s="12"/>
    </row>
    <row r="464" ht="19.5" customHeight="1">
      <c r="A464" s="12"/>
      <c r="C464" s="12"/>
      <c r="D464" s="13"/>
      <c r="F464" s="14"/>
      <c r="G464" s="14"/>
      <c r="H464" s="14"/>
      <c r="I464" s="14"/>
      <c r="J464" s="14"/>
      <c r="K464" s="12"/>
    </row>
    <row r="465" ht="19.5" customHeight="1">
      <c r="A465" s="12"/>
      <c r="C465" s="12"/>
      <c r="D465" s="13"/>
      <c r="F465" s="14"/>
      <c r="G465" s="14"/>
      <c r="H465" s="14"/>
      <c r="I465" s="14"/>
      <c r="J465" s="14"/>
      <c r="K465" s="12"/>
    </row>
    <row r="466" ht="19.5" customHeight="1">
      <c r="A466" s="12"/>
      <c r="C466" s="12"/>
      <c r="D466" s="13"/>
      <c r="F466" s="14"/>
      <c r="G466" s="14"/>
      <c r="H466" s="14"/>
      <c r="I466" s="14"/>
      <c r="J466" s="14"/>
      <c r="K466" s="12"/>
    </row>
    <row r="467" ht="19.5" customHeight="1">
      <c r="A467" s="12"/>
      <c r="C467" s="12"/>
      <c r="D467" s="13"/>
      <c r="F467" s="14"/>
      <c r="G467" s="14"/>
      <c r="H467" s="14"/>
      <c r="I467" s="14"/>
      <c r="J467" s="14"/>
      <c r="K467" s="12"/>
    </row>
    <row r="468" ht="19.5" customHeight="1">
      <c r="A468" s="12"/>
      <c r="C468" s="12"/>
      <c r="D468" s="13"/>
      <c r="F468" s="14"/>
      <c r="G468" s="14"/>
      <c r="H468" s="14"/>
      <c r="I468" s="14"/>
      <c r="J468" s="14"/>
      <c r="K468" s="12"/>
    </row>
    <row r="469" ht="19.5" customHeight="1">
      <c r="A469" s="12"/>
      <c r="C469" s="12"/>
      <c r="D469" s="13"/>
      <c r="F469" s="14"/>
      <c r="G469" s="14"/>
      <c r="H469" s="14"/>
      <c r="I469" s="14"/>
      <c r="J469" s="14"/>
      <c r="K469" s="12"/>
    </row>
    <row r="470" ht="19.5" customHeight="1">
      <c r="A470" s="12"/>
      <c r="C470" s="12"/>
      <c r="D470" s="13"/>
      <c r="F470" s="14"/>
      <c r="G470" s="14"/>
      <c r="H470" s="14"/>
      <c r="I470" s="14"/>
      <c r="J470" s="14"/>
      <c r="K470" s="12"/>
    </row>
    <row r="471" ht="19.5" customHeight="1">
      <c r="A471" s="12"/>
      <c r="C471" s="12"/>
      <c r="D471" s="13"/>
      <c r="F471" s="14"/>
      <c r="G471" s="14"/>
      <c r="H471" s="14"/>
      <c r="I471" s="14"/>
      <c r="J471" s="14"/>
      <c r="K471" s="12"/>
    </row>
    <row r="472" ht="19.5" customHeight="1">
      <c r="A472" s="12"/>
      <c r="C472" s="12"/>
      <c r="D472" s="13"/>
      <c r="F472" s="14"/>
      <c r="G472" s="14"/>
      <c r="H472" s="14"/>
      <c r="I472" s="14"/>
      <c r="J472" s="14"/>
      <c r="K472" s="12"/>
    </row>
    <row r="473" ht="19.5" customHeight="1">
      <c r="A473" s="12"/>
      <c r="C473" s="12"/>
      <c r="D473" s="13"/>
      <c r="F473" s="14"/>
      <c r="G473" s="14"/>
      <c r="H473" s="14"/>
      <c r="I473" s="14"/>
      <c r="J473" s="14"/>
      <c r="K473" s="12"/>
    </row>
    <row r="474" ht="19.5" customHeight="1">
      <c r="A474" s="12"/>
      <c r="C474" s="12"/>
      <c r="D474" s="13"/>
      <c r="F474" s="14"/>
      <c r="G474" s="14"/>
      <c r="H474" s="14"/>
      <c r="I474" s="14"/>
      <c r="J474" s="14"/>
      <c r="K474" s="12"/>
    </row>
    <row r="475" ht="19.5" customHeight="1">
      <c r="A475" s="12"/>
      <c r="C475" s="12"/>
      <c r="D475" s="13"/>
      <c r="F475" s="14"/>
      <c r="G475" s="14"/>
      <c r="H475" s="14"/>
      <c r="I475" s="14"/>
      <c r="J475" s="14"/>
      <c r="K475" s="12"/>
    </row>
    <row r="476" ht="19.5" customHeight="1">
      <c r="A476" s="12"/>
      <c r="C476" s="12"/>
      <c r="D476" s="13"/>
      <c r="F476" s="14"/>
      <c r="G476" s="14"/>
      <c r="H476" s="14"/>
      <c r="I476" s="14"/>
      <c r="J476" s="14"/>
      <c r="K476" s="12"/>
    </row>
    <row r="477" ht="19.5" customHeight="1">
      <c r="A477" s="12"/>
      <c r="C477" s="12"/>
      <c r="D477" s="13"/>
      <c r="F477" s="14"/>
      <c r="G477" s="14"/>
      <c r="H477" s="14"/>
      <c r="I477" s="14"/>
      <c r="J477" s="14"/>
      <c r="K477" s="12"/>
    </row>
    <row r="478" ht="19.5" customHeight="1">
      <c r="A478" s="12"/>
      <c r="C478" s="12"/>
      <c r="D478" s="13"/>
      <c r="F478" s="14"/>
      <c r="G478" s="14"/>
      <c r="H478" s="14"/>
      <c r="I478" s="14"/>
      <c r="J478" s="14"/>
      <c r="K478" s="12"/>
    </row>
    <row r="479" ht="19.5" customHeight="1">
      <c r="A479" s="12"/>
      <c r="C479" s="12"/>
      <c r="D479" s="13"/>
      <c r="F479" s="14"/>
      <c r="G479" s="14"/>
      <c r="H479" s="14"/>
      <c r="I479" s="14"/>
      <c r="J479" s="14"/>
      <c r="K479" s="12"/>
    </row>
    <row r="480" ht="19.5" customHeight="1">
      <c r="A480" s="12"/>
      <c r="C480" s="12"/>
      <c r="D480" s="13"/>
      <c r="F480" s="14"/>
      <c r="G480" s="14"/>
      <c r="H480" s="14"/>
      <c r="I480" s="14"/>
      <c r="J480" s="14"/>
      <c r="K480" s="12"/>
    </row>
    <row r="481" ht="19.5" customHeight="1">
      <c r="A481" s="12"/>
      <c r="C481" s="12"/>
      <c r="D481" s="13"/>
      <c r="F481" s="14"/>
      <c r="G481" s="14"/>
      <c r="H481" s="14"/>
      <c r="I481" s="14"/>
      <c r="J481" s="14"/>
      <c r="K481" s="12"/>
    </row>
    <row r="482" ht="19.5" customHeight="1">
      <c r="A482" s="12"/>
      <c r="C482" s="12"/>
      <c r="D482" s="13"/>
      <c r="F482" s="14"/>
      <c r="G482" s="14"/>
      <c r="H482" s="14"/>
      <c r="I482" s="14"/>
      <c r="J482" s="14"/>
      <c r="K482" s="12"/>
    </row>
    <row r="483" ht="19.5" customHeight="1">
      <c r="A483" s="12"/>
      <c r="C483" s="12"/>
      <c r="D483" s="13"/>
      <c r="F483" s="14"/>
      <c r="G483" s="14"/>
      <c r="H483" s="14"/>
      <c r="I483" s="14"/>
      <c r="J483" s="14"/>
      <c r="K483" s="12"/>
    </row>
    <row r="484" ht="19.5" customHeight="1">
      <c r="A484" s="12"/>
      <c r="C484" s="12"/>
      <c r="D484" s="13"/>
      <c r="F484" s="14"/>
      <c r="G484" s="14"/>
      <c r="H484" s="14"/>
      <c r="I484" s="14"/>
      <c r="J484" s="14"/>
      <c r="K484" s="12"/>
    </row>
    <row r="485" ht="19.5" customHeight="1">
      <c r="A485" s="12"/>
      <c r="C485" s="12"/>
      <c r="D485" s="13"/>
      <c r="F485" s="14"/>
      <c r="G485" s="14"/>
      <c r="H485" s="14"/>
      <c r="I485" s="14"/>
      <c r="J485" s="14"/>
      <c r="K485" s="12"/>
    </row>
    <row r="486" ht="19.5" customHeight="1">
      <c r="A486" s="12"/>
      <c r="C486" s="12"/>
      <c r="D486" s="13"/>
      <c r="F486" s="14"/>
      <c r="G486" s="14"/>
      <c r="H486" s="14"/>
      <c r="I486" s="14"/>
      <c r="J486" s="14"/>
      <c r="K486" s="12"/>
    </row>
    <row r="487" ht="19.5" customHeight="1">
      <c r="A487" s="12"/>
      <c r="C487" s="12"/>
      <c r="D487" s="13"/>
      <c r="F487" s="14"/>
      <c r="G487" s="14"/>
      <c r="H487" s="14"/>
      <c r="I487" s="14"/>
      <c r="J487" s="14"/>
      <c r="K487" s="12"/>
    </row>
    <row r="488" ht="19.5" customHeight="1">
      <c r="A488" s="12"/>
      <c r="C488" s="12"/>
      <c r="D488" s="13"/>
      <c r="F488" s="14"/>
      <c r="G488" s="14"/>
      <c r="H488" s="14"/>
      <c r="I488" s="14"/>
      <c r="J488" s="14"/>
      <c r="K488" s="12"/>
    </row>
    <row r="489" ht="19.5" customHeight="1">
      <c r="A489" s="12"/>
      <c r="C489" s="12"/>
      <c r="D489" s="13"/>
      <c r="F489" s="14"/>
      <c r="G489" s="14"/>
      <c r="H489" s="14"/>
      <c r="I489" s="14"/>
      <c r="J489" s="14"/>
      <c r="K489" s="12"/>
    </row>
    <row r="490" ht="19.5" customHeight="1">
      <c r="A490" s="12"/>
      <c r="C490" s="12"/>
      <c r="D490" s="13"/>
      <c r="F490" s="14"/>
      <c r="G490" s="14"/>
      <c r="H490" s="14"/>
      <c r="I490" s="14"/>
      <c r="J490" s="14"/>
      <c r="K490" s="12"/>
    </row>
    <row r="491" ht="19.5" customHeight="1">
      <c r="A491" s="12"/>
      <c r="C491" s="12"/>
      <c r="D491" s="13"/>
      <c r="F491" s="14"/>
      <c r="G491" s="14"/>
      <c r="H491" s="14"/>
      <c r="I491" s="14"/>
      <c r="J491" s="14"/>
      <c r="K491" s="12"/>
    </row>
    <row r="492" ht="19.5" customHeight="1">
      <c r="A492" s="12"/>
      <c r="C492" s="12"/>
      <c r="D492" s="13"/>
      <c r="F492" s="14"/>
      <c r="G492" s="14"/>
      <c r="H492" s="14"/>
      <c r="I492" s="14"/>
      <c r="J492" s="14"/>
      <c r="K492" s="12"/>
    </row>
    <row r="493" ht="19.5" customHeight="1">
      <c r="A493" s="12"/>
      <c r="C493" s="12"/>
      <c r="D493" s="13"/>
      <c r="F493" s="14"/>
      <c r="G493" s="14"/>
      <c r="H493" s="14"/>
      <c r="I493" s="14"/>
      <c r="J493" s="14"/>
      <c r="K493" s="12"/>
    </row>
    <row r="494" ht="19.5" customHeight="1">
      <c r="A494" s="12"/>
      <c r="C494" s="12"/>
      <c r="D494" s="13"/>
      <c r="F494" s="14"/>
      <c r="G494" s="14"/>
      <c r="H494" s="14"/>
      <c r="I494" s="14"/>
      <c r="J494" s="14"/>
      <c r="K494" s="12"/>
    </row>
    <row r="495" ht="19.5" customHeight="1">
      <c r="A495" s="12"/>
      <c r="C495" s="12"/>
      <c r="D495" s="13"/>
      <c r="F495" s="14"/>
      <c r="G495" s="14"/>
      <c r="H495" s="14"/>
      <c r="I495" s="14"/>
      <c r="J495" s="14"/>
      <c r="K495" s="12"/>
    </row>
    <row r="496" ht="19.5" customHeight="1">
      <c r="A496" s="12"/>
      <c r="C496" s="12"/>
      <c r="D496" s="13"/>
      <c r="F496" s="14"/>
      <c r="G496" s="14"/>
      <c r="H496" s="14"/>
      <c r="I496" s="14"/>
      <c r="J496" s="14"/>
      <c r="K496" s="12"/>
    </row>
    <row r="497" ht="19.5" customHeight="1">
      <c r="A497" s="12"/>
      <c r="C497" s="12"/>
      <c r="D497" s="13"/>
      <c r="F497" s="14"/>
      <c r="G497" s="14"/>
      <c r="H497" s="14"/>
      <c r="I497" s="14"/>
      <c r="J497" s="14"/>
      <c r="K497" s="12"/>
    </row>
    <row r="498" ht="19.5" customHeight="1">
      <c r="A498" s="12"/>
      <c r="C498" s="12"/>
      <c r="D498" s="13"/>
      <c r="F498" s="14"/>
      <c r="G498" s="14"/>
      <c r="H498" s="14"/>
      <c r="I498" s="14"/>
      <c r="J498" s="14"/>
      <c r="K498" s="12"/>
    </row>
    <row r="499" ht="19.5" customHeight="1">
      <c r="A499" s="12"/>
      <c r="C499" s="12"/>
      <c r="D499" s="13"/>
      <c r="F499" s="14"/>
      <c r="G499" s="14"/>
      <c r="H499" s="14"/>
      <c r="I499" s="14"/>
      <c r="J499" s="14"/>
      <c r="K499" s="12"/>
    </row>
    <row r="500" ht="19.5" customHeight="1">
      <c r="A500" s="12"/>
      <c r="C500" s="12"/>
      <c r="D500" s="13"/>
      <c r="F500" s="14"/>
      <c r="G500" s="14"/>
      <c r="H500" s="14"/>
      <c r="I500" s="14"/>
      <c r="J500" s="14"/>
      <c r="K500" s="12"/>
    </row>
    <row r="501" ht="19.5" customHeight="1">
      <c r="A501" s="12"/>
      <c r="C501" s="12"/>
      <c r="D501" s="13"/>
      <c r="F501" s="14"/>
      <c r="G501" s="14"/>
      <c r="H501" s="14"/>
      <c r="I501" s="14"/>
      <c r="J501" s="14"/>
      <c r="K501" s="12"/>
    </row>
    <row r="502" ht="19.5" customHeight="1">
      <c r="A502" s="12"/>
      <c r="C502" s="12"/>
      <c r="D502" s="13"/>
      <c r="F502" s="14"/>
      <c r="G502" s="14"/>
      <c r="H502" s="14"/>
      <c r="I502" s="14"/>
      <c r="J502" s="14"/>
      <c r="K502" s="12"/>
    </row>
    <row r="503" ht="19.5" customHeight="1">
      <c r="A503" s="12"/>
      <c r="C503" s="12"/>
      <c r="D503" s="13"/>
      <c r="F503" s="14"/>
      <c r="G503" s="14"/>
      <c r="H503" s="14"/>
      <c r="I503" s="14"/>
      <c r="J503" s="14"/>
      <c r="K503" s="12"/>
    </row>
    <row r="504" ht="19.5" customHeight="1">
      <c r="A504" s="12"/>
      <c r="C504" s="12"/>
      <c r="D504" s="13"/>
      <c r="F504" s="14"/>
      <c r="G504" s="14"/>
      <c r="H504" s="14"/>
      <c r="I504" s="14"/>
      <c r="J504" s="14"/>
      <c r="K504" s="12"/>
    </row>
    <row r="505" ht="19.5" customHeight="1">
      <c r="A505" s="12"/>
      <c r="C505" s="12"/>
      <c r="D505" s="13"/>
      <c r="F505" s="14"/>
      <c r="G505" s="14"/>
      <c r="H505" s="14"/>
      <c r="I505" s="14"/>
      <c r="J505" s="14"/>
      <c r="K505" s="12"/>
    </row>
    <row r="506" ht="19.5" customHeight="1">
      <c r="A506" s="12"/>
      <c r="C506" s="12"/>
      <c r="D506" s="13"/>
      <c r="F506" s="14"/>
      <c r="G506" s="14"/>
      <c r="H506" s="14"/>
      <c r="I506" s="14"/>
      <c r="J506" s="14"/>
      <c r="K506" s="12"/>
    </row>
    <row r="507" ht="19.5" customHeight="1">
      <c r="A507" s="12"/>
      <c r="C507" s="12"/>
      <c r="D507" s="13"/>
      <c r="F507" s="14"/>
      <c r="G507" s="14"/>
      <c r="H507" s="14"/>
      <c r="I507" s="14"/>
      <c r="J507" s="14"/>
      <c r="K507" s="12"/>
    </row>
    <row r="508" ht="19.5" customHeight="1">
      <c r="A508" s="12"/>
      <c r="C508" s="12"/>
      <c r="D508" s="13"/>
      <c r="F508" s="14"/>
      <c r="G508" s="14"/>
      <c r="H508" s="14"/>
      <c r="I508" s="14"/>
      <c r="J508" s="14"/>
      <c r="K508" s="12"/>
    </row>
    <row r="509" ht="19.5" customHeight="1">
      <c r="A509" s="12"/>
      <c r="C509" s="12"/>
      <c r="D509" s="13"/>
      <c r="F509" s="14"/>
      <c r="G509" s="14"/>
      <c r="H509" s="14"/>
      <c r="I509" s="14"/>
      <c r="J509" s="14"/>
      <c r="K509" s="12"/>
    </row>
    <row r="510" ht="19.5" customHeight="1">
      <c r="A510" s="12"/>
      <c r="C510" s="12"/>
      <c r="D510" s="13"/>
      <c r="F510" s="14"/>
      <c r="G510" s="14"/>
      <c r="H510" s="14"/>
      <c r="I510" s="14"/>
      <c r="J510" s="14"/>
      <c r="K510" s="12"/>
    </row>
    <row r="511" ht="19.5" customHeight="1">
      <c r="A511" s="12"/>
      <c r="C511" s="12"/>
      <c r="D511" s="13"/>
      <c r="F511" s="14"/>
      <c r="G511" s="14"/>
      <c r="H511" s="14"/>
      <c r="I511" s="14"/>
      <c r="J511" s="14"/>
      <c r="K511" s="12"/>
    </row>
    <row r="512" ht="19.5" customHeight="1">
      <c r="A512" s="12"/>
      <c r="C512" s="12"/>
      <c r="D512" s="13"/>
      <c r="F512" s="14"/>
      <c r="G512" s="14"/>
      <c r="H512" s="14"/>
      <c r="I512" s="14"/>
      <c r="J512" s="14"/>
      <c r="K512" s="12"/>
    </row>
    <row r="513" ht="19.5" customHeight="1">
      <c r="A513" s="12"/>
      <c r="C513" s="12"/>
      <c r="D513" s="13"/>
      <c r="F513" s="14"/>
      <c r="G513" s="14"/>
      <c r="H513" s="14"/>
      <c r="I513" s="14"/>
      <c r="J513" s="14"/>
      <c r="K513" s="12"/>
    </row>
    <row r="514" ht="19.5" customHeight="1">
      <c r="A514" s="12"/>
      <c r="C514" s="12"/>
      <c r="D514" s="13"/>
      <c r="F514" s="14"/>
      <c r="G514" s="14"/>
      <c r="H514" s="14"/>
      <c r="I514" s="14"/>
      <c r="J514" s="14"/>
      <c r="K514" s="12"/>
    </row>
    <row r="515" ht="19.5" customHeight="1">
      <c r="A515" s="12"/>
      <c r="C515" s="12"/>
      <c r="D515" s="13"/>
      <c r="F515" s="14"/>
      <c r="G515" s="14"/>
      <c r="H515" s="14"/>
      <c r="I515" s="14"/>
      <c r="J515" s="14"/>
      <c r="K515" s="12"/>
    </row>
    <row r="516" ht="19.5" customHeight="1">
      <c r="A516" s="12"/>
      <c r="C516" s="12"/>
      <c r="D516" s="13"/>
      <c r="F516" s="14"/>
      <c r="G516" s="14"/>
      <c r="H516" s="14"/>
      <c r="I516" s="14"/>
      <c r="J516" s="14"/>
      <c r="K516" s="12"/>
    </row>
    <row r="517" ht="19.5" customHeight="1">
      <c r="A517" s="12"/>
      <c r="C517" s="12"/>
      <c r="D517" s="13"/>
      <c r="F517" s="14"/>
      <c r="G517" s="14"/>
      <c r="H517" s="14"/>
      <c r="I517" s="14"/>
      <c r="J517" s="14"/>
      <c r="K517" s="12"/>
    </row>
    <row r="518" ht="19.5" customHeight="1">
      <c r="A518" s="12"/>
      <c r="C518" s="12"/>
      <c r="D518" s="13"/>
      <c r="F518" s="14"/>
      <c r="G518" s="14"/>
      <c r="H518" s="14"/>
      <c r="I518" s="14"/>
      <c r="J518" s="14"/>
      <c r="K518" s="12"/>
    </row>
    <row r="519" ht="19.5" customHeight="1">
      <c r="A519" s="12"/>
      <c r="C519" s="12"/>
      <c r="D519" s="13"/>
      <c r="F519" s="14"/>
      <c r="G519" s="14"/>
      <c r="H519" s="14"/>
      <c r="I519" s="14"/>
      <c r="J519" s="14"/>
      <c r="K519" s="12"/>
    </row>
    <row r="520" ht="19.5" customHeight="1">
      <c r="A520" s="12"/>
      <c r="C520" s="12"/>
      <c r="D520" s="13"/>
      <c r="F520" s="14"/>
      <c r="G520" s="14"/>
      <c r="H520" s="14"/>
      <c r="I520" s="14"/>
      <c r="J520" s="14"/>
      <c r="K520" s="12"/>
    </row>
    <row r="521" ht="19.5" customHeight="1">
      <c r="A521" s="12"/>
      <c r="C521" s="12"/>
      <c r="D521" s="13"/>
      <c r="F521" s="14"/>
      <c r="G521" s="14"/>
      <c r="H521" s="14"/>
      <c r="I521" s="14"/>
      <c r="J521" s="14"/>
      <c r="K521" s="12"/>
    </row>
    <row r="522" ht="19.5" customHeight="1">
      <c r="A522" s="12"/>
      <c r="C522" s="12"/>
      <c r="D522" s="13"/>
      <c r="F522" s="14"/>
      <c r="G522" s="14"/>
      <c r="H522" s="14"/>
      <c r="I522" s="14"/>
      <c r="J522" s="14"/>
      <c r="K522" s="12"/>
    </row>
    <row r="523" ht="19.5" customHeight="1">
      <c r="A523" s="12"/>
      <c r="C523" s="12"/>
      <c r="D523" s="13"/>
      <c r="F523" s="14"/>
      <c r="G523" s="14"/>
      <c r="H523" s="14"/>
      <c r="I523" s="14"/>
      <c r="J523" s="14"/>
      <c r="K523" s="12"/>
    </row>
    <row r="524" ht="19.5" customHeight="1">
      <c r="A524" s="12"/>
      <c r="C524" s="12"/>
      <c r="D524" s="13"/>
      <c r="F524" s="14"/>
      <c r="G524" s="14"/>
      <c r="H524" s="14"/>
      <c r="I524" s="14"/>
      <c r="J524" s="14"/>
      <c r="K524" s="12"/>
    </row>
    <row r="525" ht="19.5" customHeight="1">
      <c r="A525" s="12"/>
      <c r="C525" s="12"/>
      <c r="D525" s="13"/>
      <c r="F525" s="14"/>
      <c r="G525" s="14"/>
      <c r="H525" s="14"/>
      <c r="I525" s="14"/>
      <c r="J525" s="14"/>
      <c r="K525" s="12"/>
    </row>
    <row r="526" ht="19.5" customHeight="1">
      <c r="A526" s="12"/>
      <c r="C526" s="12"/>
      <c r="D526" s="13"/>
      <c r="F526" s="14"/>
      <c r="G526" s="14"/>
      <c r="H526" s="14"/>
      <c r="I526" s="14"/>
      <c r="J526" s="14"/>
      <c r="K526" s="12"/>
    </row>
    <row r="527" ht="19.5" customHeight="1">
      <c r="A527" s="12"/>
      <c r="C527" s="12"/>
      <c r="D527" s="13"/>
      <c r="F527" s="14"/>
      <c r="G527" s="14"/>
      <c r="H527" s="14"/>
      <c r="I527" s="14"/>
      <c r="J527" s="14"/>
      <c r="K527" s="12"/>
    </row>
    <row r="528" ht="19.5" customHeight="1">
      <c r="A528" s="12"/>
      <c r="C528" s="12"/>
      <c r="D528" s="13"/>
      <c r="F528" s="14"/>
      <c r="G528" s="14"/>
      <c r="H528" s="14"/>
      <c r="I528" s="14"/>
      <c r="J528" s="14"/>
      <c r="K528" s="12"/>
    </row>
    <row r="529" ht="19.5" customHeight="1">
      <c r="A529" s="12"/>
      <c r="C529" s="12"/>
      <c r="D529" s="13"/>
      <c r="F529" s="14"/>
      <c r="G529" s="14"/>
      <c r="H529" s="14"/>
      <c r="I529" s="14"/>
      <c r="J529" s="14"/>
      <c r="K529" s="12"/>
    </row>
    <row r="530" ht="19.5" customHeight="1">
      <c r="A530" s="12"/>
      <c r="C530" s="12"/>
      <c r="D530" s="13"/>
      <c r="F530" s="14"/>
      <c r="G530" s="14"/>
      <c r="H530" s="14"/>
      <c r="I530" s="14"/>
      <c r="J530" s="14"/>
      <c r="K530" s="12"/>
    </row>
    <row r="531" ht="19.5" customHeight="1">
      <c r="A531" s="12"/>
      <c r="C531" s="12"/>
      <c r="D531" s="13"/>
      <c r="F531" s="14"/>
      <c r="G531" s="14"/>
      <c r="H531" s="14"/>
      <c r="I531" s="14"/>
      <c r="J531" s="14"/>
      <c r="K531" s="12"/>
    </row>
    <row r="532" ht="19.5" customHeight="1">
      <c r="A532" s="12"/>
      <c r="C532" s="12"/>
      <c r="D532" s="13"/>
      <c r="F532" s="14"/>
      <c r="G532" s="14"/>
      <c r="H532" s="14"/>
      <c r="I532" s="14"/>
      <c r="J532" s="14"/>
      <c r="K532" s="12"/>
    </row>
    <row r="533" ht="19.5" customHeight="1">
      <c r="A533" s="12"/>
      <c r="C533" s="12"/>
      <c r="D533" s="13"/>
      <c r="F533" s="14"/>
      <c r="G533" s="14"/>
      <c r="H533" s="14"/>
      <c r="I533" s="14"/>
      <c r="J533" s="14"/>
      <c r="K533" s="12"/>
    </row>
    <row r="534" ht="19.5" customHeight="1">
      <c r="A534" s="12"/>
      <c r="C534" s="12"/>
      <c r="D534" s="13"/>
      <c r="F534" s="14"/>
      <c r="G534" s="14"/>
      <c r="H534" s="14"/>
      <c r="I534" s="14"/>
      <c r="J534" s="14"/>
      <c r="K534" s="12"/>
    </row>
    <row r="535" ht="19.5" customHeight="1">
      <c r="A535" s="12"/>
      <c r="C535" s="12"/>
      <c r="D535" s="13"/>
      <c r="F535" s="14"/>
      <c r="G535" s="14"/>
      <c r="H535" s="14"/>
      <c r="I535" s="14"/>
      <c r="J535" s="14"/>
      <c r="K535" s="12"/>
    </row>
    <row r="536" ht="19.5" customHeight="1">
      <c r="A536" s="12"/>
      <c r="C536" s="12"/>
      <c r="D536" s="13"/>
      <c r="F536" s="14"/>
      <c r="G536" s="14"/>
      <c r="H536" s="14"/>
      <c r="I536" s="14"/>
      <c r="J536" s="14"/>
      <c r="K536" s="12"/>
    </row>
    <row r="537" ht="19.5" customHeight="1">
      <c r="A537" s="12"/>
      <c r="C537" s="12"/>
      <c r="D537" s="13"/>
      <c r="F537" s="14"/>
      <c r="G537" s="14"/>
      <c r="H537" s="14"/>
      <c r="I537" s="14"/>
      <c r="J537" s="14"/>
      <c r="K537" s="12"/>
    </row>
    <row r="538" ht="19.5" customHeight="1">
      <c r="A538" s="12"/>
      <c r="C538" s="12"/>
      <c r="D538" s="13"/>
      <c r="F538" s="14"/>
      <c r="G538" s="14"/>
      <c r="H538" s="14"/>
      <c r="I538" s="14"/>
      <c r="J538" s="14"/>
      <c r="K538" s="12"/>
    </row>
    <row r="539" ht="19.5" customHeight="1">
      <c r="A539" s="12"/>
      <c r="C539" s="12"/>
      <c r="D539" s="13"/>
      <c r="F539" s="14"/>
      <c r="G539" s="14"/>
      <c r="H539" s="14"/>
      <c r="I539" s="14"/>
      <c r="J539" s="14"/>
      <c r="K539" s="12"/>
    </row>
    <row r="540" ht="19.5" customHeight="1">
      <c r="A540" s="12"/>
      <c r="C540" s="12"/>
      <c r="D540" s="13"/>
      <c r="F540" s="14"/>
      <c r="G540" s="14"/>
      <c r="H540" s="14"/>
      <c r="I540" s="14"/>
      <c r="J540" s="14"/>
      <c r="K540" s="12"/>
    </row>
    <row r="541" ht="19.5" customHeight="1">
      <c r="A541" s="12"/>
      <c r="C541" s="12"/>
      <c r="D541" s="13"/>
      <c r="F541" s="14"/>
      <c r="G541" s="14"/>
      <c r="H541" s="14"/>
      <c r="I541" s="14"/>
      <c r="J541" s="14"/>
      <c r="K541" s="12"/>
    </row>
    <row r="542" ht="19.5" customHeight="1">
      <c r="A542" s="12"/>
      <c r="C542" s="12"/>
      <c r="D542" s="13"/>
      <c r="F542" s="14"/>
      <c r="G542" s="14"/>
      <c r="H542" s="14"/>
      <c r="I542" s="14"/>
      <c r="J542" s="14"/>
      <c r="K542" s="12"/>
    </row>
    <row r="543" ht="19.5" customHeight="1">
      <c r="A543" s="12"/>
      <c r="C543" s="12"/>
      <c r="D543" s="13"/>
      <c r="F543" s="14"/>
      <c r="G543" s="14"/>
      <c r="H543" s="14"/>
      <c r="I543" s="14"/>
      <c r="J543" s="14"/>
      <c r="K543" s="12"/>
    </row>
    <row r="544" ht="19.5" customHeight="1">
      <c r="A544" s="12"/>
      <c r="C544" s="12"/>
      <c r="D544" s="13"/>
      <c r="F544" s="14"/>
      <c r="G544" s="14"/>
      <c r="H544" s="14"/>
      <c r="I544" s="14"/>
      <c r="J544" s="14"/>
      <c r="K544" s="12"/>
    </row>
    <row r="545" ht="19.5" customHeight="1">
      <c r="A545" s="12"/>
      <c r="C545" s="12"/>
      <c r="D545" s="13"/>
      <c r="F545" s="14"/>
      <c r="G545" s="14"/>
      <c r="H545" s="14"/>
      <c r="I545" s="14"/>
      <c r="J545" s="14"/>
      <c r="K545" s="12"/>
    </row>
    <row r="546" ht="19.5" customHeight="1">
      <c r="A546" s="12"/>
      <c r="C546" s="12"/>
      <c r="D546" s="13"/>
      <c r="F546" s="14"/>
      <c r="G546" s="14"/>
      <c r="H546" s="14"/>
      <c r="I546" s="14"/>
      <c r="J546" s="14"/>
      <c r="K546" s="12"/>
    </row>
    <row r="547" ht="19.5" customHeight="1">
      <c r="A547" s="12"/>
      <c r="C547" s="12"/>
      <c r="D547" s="13"/>
      <c r="F547" s="14"/>
      <c r="G547" s="14"/>
      <c r="H547" s="14"/>
      <c r="I547" s="14"/>
      <c r="J547" s="14"/>
      <c r="K547" s="12"/>
    </row>
    <row r="548" ht="19.5" customHeight="1">
      <c r="A548" s="12"/>
      <c r="C548" s="12"/>
      <c r="D548" s="13"/>
      <c r="F548" s="14"/>
      <c r="G548" s="14"/>
      <c r="H548" s="14"/>
      <c r="I548" s="14"/>
      <c r="J548" s="14"/>
      <c r="K548" s="12"/>
    </row>
    <row r="549" ht="19.5" customHeight="1">
      <c r="A549" s="12"/>
      <c r="C549" s="12"/>
      <c r="D549" s="13"/>
      <c r="F549" s="14"/>
      <c r="G549" s="14"/>
      <c r="H549" s="14"/>
      <c r="I549" s="14"/>
      <c r="J549" s="14"/>
      <c r="K549" s="12"/>
    </row>
    <row r="550" ht="19.5" customHeight="1">
      <c r="A550" s="12"/>
      <c r="C550" s="12"/>
      <c r="D550" s="13"/>
      <c r="F550" s="14"/>
      <c r="G550" s="14"/>
      <c r="H550" s="14"/>
      <c r="I550" s="14"/>
      <c r="J550" s="14"/>
      <c r="K550" s="12"/>
    </row>
    <row r="551" ht="19.5" customHeight="1">
      <c r="A551" s="12"/>
      <c r="C551" s="12"/>
      <c r="D551" s="13"/>
      <c r="F551" s="14"/>
      <c r="G551" s="14"/>
      <c r="H551" s="14"/>
      <c r="I551" s="14"/>
      <c r="J551" s="14"/>
      <c r="K551" s="12"/>
    </row>
    <row r="552" ht="19.5" customHeight="1">
      <c r="A552" s="12"/>
      <c r="C552" s="12"/>
      <c r="D552" s="13"/>
      <c r="F552" s="14"/>
      <c r="G552" s="14"/>
      <c r="H552" s="14"/>
      <c r="I552" s="14"/>
      <c r="J552" s="14"/>
      <c r="K552" s="12"/>
    </row>
    <row r="553" ht="19.5" customHeight="1">
      <c r="A553" s="12"/>
      <c r="C553" s="12"/>
      <c r="D553" s="13"/>
      <c r="F553" s="14"/>
      <c r="G553" s="14"/>
      <c r="H553" s="14"/>
      <c r="I553" s="14"/>
      <c r="J553" s="14"/>
      <c r="K553" s="12"/>
    </row>
    <row r="554" ht="19.5" customHeight="1">
      <c r="A554" s="12"/>
      <c r="C554" s="12"/>
      <c r="D554" s="13"/>
      <c r="F554" s="14"/>
      <c r="G554" s="14"/>
      <c r="H554" s="14"/>
      <c r="I554" s="14"/>
      <c r="J554" s="14"/>
      <c r="K554" s="12"/>
    </row>
    <row r="555" ht="19.5" customHeight="1">
      <c r="A555" s="12"/>
      <c r="C555" s="12"/>
      <c r="D555" s="13"/>
      <c r="F555" s="14"/>
      <c r="G555" s="14"/>
      <c r="H555" s="14"/>
      <c r="I555" s="14"/>
      <c r="J555" s="14"/>
      <c r="K555" s="12"/>
    </row>
    <row r="556" ht="19.5" customHeight="1">
      <c r="A556" s="12"/>
      <c r="C556" s="12"/>
      <c r="D556" s="13"/>
      <c r="F556" s="14"/>
      <c r="G556" s="14"/>
      <c r="H556" s="14"/>
      <c r="I556" s="14"/>
      <c r="J556" s="14"/>
      <c r="K556" s="12"/>
    </row>
    <row r="557" ht="19.5" customHeight="1">
      <c r="A557" s="12"/>
      <c r="C557" s="12"/>
      <c r="D557" s="13"/>
      <c r="F557" s="14"/>
      <c r="G557" s="14"/>
      <c r="H557" s="14"/>
      <c r="I557" s="14"/>
      <c r="J557" s="14"/>
      <c r="K557" s="12"/>
    </row>
    <row r="558" ht="19.5" customHeight="1">
      <c r="A558" s="12"/>
      <c r="C558" s="12"/>
      <c r="D558" s="13"/>
      <c r="F558" s="14"/>
      <c r="G558" s="14"/>
      <c r="H558" s="14"/>
      <c r="I558" s="14"/>
      <c r="J558" s="14"/>
      <c r="K558" s="12"/>
    </row>
    <row r="559" ht="19.5" customHeight="1">
      <c r="A559" s="12"/>
      <c r="C559" s="12"/>
      <c r="D559" s="13"/>
      <c r="F559" s="14"/>
      <c r="G559" s="14"/>
      <c r="H559" s="14"/>
      <c r="I559" s="14"/>
      <c r="J559" s="14"/>
      <c r="K559" s="12"/>
    </row>
    <row r="560" ht="19.5" customHeight="1">
      <c r="A560" s="12"/>
      <c r="C560" s="12"/>
      <c r="D560" s="13"/>
      <c r="F560" s="14"/>
      <c r="G560" s="14"/>
      <c r="H560" s="14"/>
      <c r="I560" s="14"/>
      <c r="J560" s="14"/>
      <c r="K560" s="12"/>
    </row>
    <row r="561" ht="19.5" customHeight="1">
      <c r="A561" s="12"/>
      <c r="C561" s="12"/>
      <c r="D561" s="13"/>
      <c r="F561" s="14"/>
      <c r="G561" s="14"/>
      <c r="H561" s="14"/>
      <c r="I561" s="14"/>
      <c r="J561" s="14"/>
      <c r="K561" s="12"/>
    </row>
    <row r="562" ht="19.5" customHeight="1">
      <c r="A562" s="12"/>
      <c r="C562" s="12"/>
      <c r="D562" s="13"/>
      <c r="F562" s="14"/>
      <c r="G562" s="14"/>
      <c r="H562" s="14"/>
      <c r="I562" s="14"/>
      <c r="J562" s="14"/>
      <c r="K562" s="12"/>
    </row>
    <row r="563" ht="19.5" customHeight="1">
      <c r="A563" s="12"/>
      <c r="C563" s="12"/>
      <c r="D563" s="13"/>
      <c r="F563" s="14"/>
      <c r="G563" s="14"/>
      <c r="H563" s="14"/>
      <c r="I563" s="14"/>
      <c r="J563" s="14"/>
      <c r="K563" s="12"/>
    </row>
    <row r="564" ht="19.5" customHeight="1">
      <c r="A564" s="12"/>
      <c r="C564" s="12"/>
      <c r="D564" s="13"/>
      <c r="F564" s="14"/>
      <c r="G564" s="14"/>
      <c r="H564" s="14"/>
      <c r="I564" s="14"/>
      <c r="J564" s="14"/>
      <c r="K564" s="12"/>
    </row>
    <row r="565" ht="19.5" customHeight="1">
      <c r="A565" s="12"/>
      <c r="C565" s="12"/>
      <c r="D565" s="13"/>
      <c r="F565" s="14"/>
      <c r="G565" s="14"/>
      <c r="H565" s="14"/>
      <c r="I565" s="14"/>
      <c r="J565" s="14"/>
      <c r="K565" s="12"/>
    </row>
    <row r="566" ht="19.5" customHeight="1">
      <c r="A566" s="12"/>
      <c r="C566" s="12"/>
      <c r="D566" s="13"/>
      <c r="F566" s="14"/>
      <c r="G566" s="14"/>
      <c r="H566" s="14"/>
      <c r="I566" s="14"/>
      <c r="J566" s="14"/>
      <c r="K566" s="12"/>
    </row>
    <row r="567" ht="19.5" customHeight="1">
      <c r="A567" s="12"/>
      <c r="C567" s="12"/>
      <c r="D567" s="13"/>
      <c r="F567" s="14"/>
      <c r="G567" s="14"/>
      <c r="H567" s="14"/>
      <c r="I567" s="14"/>
      <c r="J567" s="14"/>
      <c r="K567" s="12"/>
    </row>
    <row r="568" ht="19.5" customHeight="1">
      <c r="A568" s="12"/>
      <c r="C568" s="12"/>
      <c r="D568" s="13"/>
      <c r="F568" s="14"/>
      <c r="G568" s="14"/>
      <c r="H568" s="14"/>
      <c r="I568" s="14"/>
      <c r="J568" s="14"/>
      <c r="K568" s="12"/>
    </row>
    <row r="569" ht="19.5" customHeight="1">
      <c r="A569" s="12"/>
      <c r="C569" s="12"/>
      <c r="D569" s="13"/>
      <c r="F569" s="14"/>
      <c r="G569" s="14"/>
      <c r="H569" s="14"/>
      <c r="I569" s="14"/>
      <c r="J569" s="14"/>
      <c r="K569" s="12"/>
    </row>
    <row r="570" ht="19.5" customHeight="1">
      <c r="A570" s="12"/>
      <c r="C570" s="12"/>
      <c r="D570" s="13"/>
      <c r="F570" s="14"/>
      <c r="G570" s="14"/>
      <c r="H570" s="14"/>
      <c r="I570" s="14"/>
      <c r="J570" s="14"/>
      <c r="K570" s="12"/>
    </row>
    <row r="571" ht="19.5" customHeight="1">
      <c r="A571" s="12"/>
      <c r="C571" s="12"/>
      <c r="D571" s="13"/>
      <c r="F571" s="14"/>
      <c r="G571" s="14"/>
      <c r="H571" s="14"/>
      <c r="I571" s="14"/>
      <c r="J571" s="14"/>
      <c r="K571" s="12"/>
    </row>
    <row r="572" ht="19.5" customHeight="1">
      <c r="A572" s="12"/>
      <c r="C572" s="12"/>
      <c r="D572" s="13"/>
      <c r="F572" s="14"/>
      <c r="G572" s="14"/>
      <c r="H572" s="14"/>
      <c r="I572" s="14"/>
      <c r="J572" s="14"/>
      <c r="K572" s="12"/>
    </row>
    <row r="573" ht="19.5" customHeight="1">
      <c r="A573" s="12"/>
      <c r="C573" s="12"/>
      <c r="D573" s="13"/>
      <c r="F573" s="14"/>
      <c r="G573" s="14"/>
      <c r="H573" s="14"/>
      <c r="I573" s="14"/>
      <c r="J573" s="14"/>
      <c r="K573" s="12"/>
    </row>
    <row r="574" ht="19.5" customHeight="1">
      <c r="A574" s="12"/>
      <c r="C574" s="12"/>
      <c r="D574" s="13"/>
      <c r="F574" s="14"/>
      <c r="G574" s="14"/>
      <c r="H574" s="14"/>
      <c r="I574" s="14"/>
      <c r="J574" s="14"/>
      <c r="K574" s="12"/>
    </row>
    <row r="575" ht="19.5" customHeight="1">
      <c r="A575" s="12"/>
      <c r="C575" s="12"/>
      <c r="D575" s="13"/>
      <c r="F575" s="14"/>
      <c r="G575" s="14"/>
      <c r="H575" s="14"/>
      <c r="I575" s="14"/>
      <c r="J575" s="14"/>
      <c r="K575" s="12"/>
    </row>
    <row r="576" ht="19.5" customHeight="1">
      <c r="A576" s="12"/>
      <c r="C576" s="12"/>
      <c r="D576" s="13"/>
      <c r="F576" s="14"/>
      <c r="G576" s="14"/>
      <c r="H576" s="14"/>
      <c r="I576" s="14"/>
      <c r="J576" s="14"/>
      <c r="K576" s="12"/>
    </row>
    <row r="577" ht="19.5" customHeight="1">
      <c r="A577" s="12"/>
      <c r="C577" s="12"/>
      <c r="D577" s="13"/>
      <c r="F577" s="14"/>
      <c r="G577" s="14"/>
      <c r="H577" s="14"/>
      <c r="I577" s="14"/>
      <c r="J577" s="14"/>
      <c r="K577" s="12"/>
    </row>
    <row r="578" ht="19.5" customHeight="1">
      <c r="A578" s="12"/>
      <c r="C578" s="12"/>
      <c r="D578" s="13"/>
      <c r="F578" s="14"/>
      <c r="G578" s="14"/>
      <c r="H578" s="14"/>
      <c r="I578" s="14"/>
      <c r="J578" s="14"/>
      <c r="K578" s="12"/>
    </row>
    <row r="579" ht="19.5" customHeight="1">
      <c r="A579" s="12"/>
      <c r="C579" s="12"/>
      <c r="D579" s="13"/>
      <c r="F579" s="14"/>
      <c r="G579" s="14"/>
      <c r="H579" s="14"/>
      <c r="I579" s="14"/>
      <c r="J579" s="14"/>
      <c r="K579" s="12"/>
    </row>
    <row r="580" ht="19.5" customHeight="1">
      <c r="A580" s="12"/>
      <c r="C580" s="12"/>
      <c r="D580" s="13"/>
      <c r="F580" s="14"/>
      <c r="G580" s="14"/>
      <c r="H580" s="14"/>
      <c r="I580" s="14"/>
      <c r="J580" s="14"/>
      <c r="K580" s="12"/>
    </row>
    <row r="581" ht="19.5" customHeight="1">
      <c r="A581" s="12"/>
      <c r="C581" s="12"/>
      <c r="D581" s="13"/>
      <c r="F581" s="14"/>
      <c r="G581" s="14"/>
      <c r="H581" s="14"/>
      <c r="I581" s="14"/>
      <c r="J581" s="14"/>
      <c r="K581" s="12"/>
    </row>
    <row r="582" ht="19.5" customHeight="1">
      <c r="A582" s="12"/>
      <c r="C582" s="12"/>
      <c r="D582" s="13"/>
      <c r="F582" s="14"/>
      <c r="G582" s="14"/>
      <c r="H582" s="14"/>
      <c r="I582" s="14"/>
      <c r="J582" s="14"/>
      <c r="K582" s="12"/>
    </row>
    <row r="583" ht="19.5" customHeight="1">
      <c r="A583" s="12"/>
      <c r="C583" s="12"/>
      <c r="D583" s="13"/>
      <c r="F583" s="14"/>
      <c r="G583" s="14"/>
      <c r="H583" s="14"/>
      <c r="I583" s="14"/>
      <c r="J583" s="14"/>
      <c r="K583" s="12"/>
    </row>
    <row r="584" ht="19.5" customHeight="1">
      <c r="A584" s="12"/>
      <c r="C584" s="12"/>
      <c r="D584" s="13"/>
      <c r="F584" s="14"/>
      <c r="G584" s="14"/>
      <c r="H584" s="14"/>
      <c r="I584" s="14"/>
      <c r="J584" s="14"/>
      <c r="K584" s="12"/>
    </row>
    <row r="585" ht="19.5" customHeight="1">
      <c r="A585" s="12"/>
      <c r="C585" s="12"/>
      <c r="D585" s="13"/>
      <c r="F585" s="14"/>
      <c r="G585" s="14"/>
      <c r="H585" s="14"/>
      <c r="I585" s="14"/>
      <c r="J585" s="14"/>
      <c r="K585" s="12"/>
    </row>
    <row r="586" ht="19.5" customHeight="1">
      <c r="A586" s="12"/>
      <c r="C586" s="12"/>
      <c r="D586" s="13"/>
      <c r="F586" s="14"/>
      <c r="G586" s="14"/>
      <c r="H586" s="14"/>
      <c r="I586" s="14"/>
      <c r="J586" s="14"/>
      <c r="K586" s="12"/>
    </row>
    <row r="587" ht="19.5" customHeight="1">
      <c r="A587" s="12"/>
      <c r="C587" s="12"/>
      <c r="D587" s="13"/>
      <c r="F587" s="14"/>
      <c r="G587" s="14"/>
      <c r="H587" s="14"/>
      <c r="I587" s="14"/>
      <c r="J587" s="14"/>
      <c r="K587" s="12"/>
    </row>
    <row r="588" ht="19.5" customHeight="1">
      <c r="A588" s="12"/>
      <c r="C588" s="12"/>
      <c r="D588" s="13"/>
      <c r="F588" s="14"/>
      <c r="G588" s="14"/>
      <c r="H588" s="14"/>
      <c r="I588" s="14"/>
      <c r="J588" s="14"/>
      <c r="K588" s="12"/>
    </row>
    <row r="589" ht="19.5" customHeight="1">
      <c r="A589" s="12"/>
      <c r="C589" s="12"/>
      <c r="D589" s="13"/>
      <c r="F589" s="14"/>
      <c r="G589" s="14"/>
      <c r="H589" s="14"/>
      <c r="I589" s="14"/>
      <c r="J589" s="14"/>
      <c r="K589" s="12"/>
    </row>
    <row r="590" ht="19.5" customHeight="1">
      <c r="A590" s="12"/>
      <c r="C590" s="12"/>
      <c r="D590" s="13"/>
      <c r="F590" s="14"/>
      <c r="G590" s="14"/>
      <c r="H590" s="14"/>
      <c r="I590" s="14"/>
      <c r="J590" s="14"/>
      <c r="K590" s="12"/>
    </row>
    <row r="591" ht="19.5" customHeight="1">
      <c r="A591" s="12"/>
      <c r="C591" s="12"/>
      <c r="D591" s="13"/>
      <c r="F591" s="14"/>
      <c r="G591" s="14"/>
      <c r="H591" s="14"/>
      <c r="I591" s="14"/>
      <c r="J591" s="14"/>
      <c r="K591" s="12"/>
    </row>
    <row r="592" ht="19.5" customHeight="1">
      <c r="A592" s="12"/>
      <c r="C592" s="12"/>
      <c r="D592" s="13"/>
      <c r="F592" s="14"/>
      <c r="G592" s="14"/>
      <c r="H592" s="14"/>
      <c r="I592" s="14"/>
      <c r="J592" s="14"/>
      <c r="K592" s="12"/>
    </row>
    <row r="593" ht="19.5" customHeight="1">
      <c r="A593" s="12"/>
      <c r="C593" s="12"/>
      <c r="D593" s="13"/>
      <c r="F593" s="14"/>
      <c r="G593" s="14"/>
      <c r="H593" s="14"/>
      <c r="I593" s="14"/>
      <c r="J593" s="14"/>
      <c r="K593" s="12"/>
    </row>
    <row r="594" ht="19.5" customHeight="1">
      <c r="A594" s="12"/>
      <c r="C594" s="12"/>
      <c r="D594" s="13"/>
      <c r="F594" s="14"/>
      <c r="G594" s="14"/>
      <c r="H594" s="14"/>
      <c r="I594" s="14"/>
      <c r="J594" s="14"/>
      <c r="K594" s="12"/>
    </row>
    <row r="595" ht="19.5" customHeight="1">
      <c r="A595" s="12"/>
      <c r="C595" s="12"/>
      <c r="D595" s="13"/>
      <c r="F595" s="14"/>
      <c r="G595" s="14"/>
      <c r="H595" s="14"/>
      <c r="I595" s="14"/>
      <c r="J595" s="14"/>
      <c r="K595" s="12"/>
    </row>
    <row r="596" ht="19.5" customHeight="1">
      <c r="A596" s="12"/>
      <c r="C596" s="12"/>
      <c r="D596" s="13"/>
      <c r="F596" s="14"/>
      <c r="G596" s="14"/>
      <c r="H596" s="14"/>
      <c r="I596" s="14"/>
      <c r="J596" s="14"/>
      <c r="K596" s="12"/>
    </row>
    <row r="597" ht="19.5" customHeight="1">
      <c r="A597" s="12"/>
      <c r="C597" s="12"/>
      <c r="D597" s="13"/>
      <c r="F597" s="14"/>
      <c r="G597" s="14"/>
      <c r="H597" s="14"/>
      <c r="I597" s="14"/>
      <c r="J597" s="14"/>
      <c r="K597" s="12"/>
    </row>
    <row r="598" ht="19.5" customHeight="1">
      <c r="A598" s="12"/>
      <c r="C598" s="12"/>
      <c r="D598" s="13"/>
      <c r="F598" s="14"/>
      <c r="G598" s="14"/>
      <c r="H598" s="14"/>
      <c r="I598" s="14"/>
      <c r="J598" s="14"/>
      <c r="K598" s="12"/>
    </row>
    <row r="599" ht="19.5" customHeight="1">
      <c r="A599" s="12"/>
      <c r="C599" s="12"/>
      <c r="D599" s="13"/>
      <c r="F599" s="14"/>
      <c r="G599" s="14"/>
      <c r="H599" s="14"/>
      <c r="I599" s="14"/>
      <c r="J599" s="14"/>
      <c r="K599" s="12"/>
    </row>
    <row r="600" ht="19.5" customHeight="1">
      <c r="A600" s="12"/>
      <c r="C600" s="12"/>
      <c r="D600" s="13"/>
      <c r="F600" s="14"/>
      <c r="G600" s="14"/>
      <c r="H600" s="14"/>
      <c r="I600" s="14"/>
      <c r="J600" s="14"/>
      <c r="K600" s="12"/>
    </row>
    <row r="601" ht="19.5" customHeight="1">
      <c r="A601" s="12"/>
      <c r="C601" s="12"/>
      <c r="D601" s="13"/>
      <c r="F601" s="14"/>
      <c r="G601" s="14"/>
      <c r="H601" s="14"/>
      <c r="I601" s="14"/>
      <c r="J601" s="14"/>
      <c r="K601" s="12"/>
    </row>
    <row r="602" ht="19.5" customHeight="1">
      <c r="A602" s="12"/>
      <c r="C602" s="12"/>
      <c r="D602" s="13"/>
      <c r="F602" s="14"/>
      <c r="G602" s="14"/>
      <c r="H602" s="14"/>
      <c r="I602" s="14"/>
      <c r="J602" s="14"/>
      <c r="K602" s="12"/>
    </row>
    <row r="603" ht="19.5" customHeight="1">
      <c r="A603" s="12"/>
      <c r="C603" s="12"/>
      <c r="D603" s="13"/>
      <c r="F603" s="14"/>
      <c r="G603" s="14"/>
      <c r="H603" s="14"/>
      <c r="I603" s="14"/>
      <c r="J603" s="14"/>
      <c r="K603" s="12"/>
    </row>
    <row r="604" ht="19.5" customHeight="1">
      <c r="A604" s="12"/>
      <c r="C604" s="12"/>
      <c r="D604" s="13"/>
      <c r="F604" s="14"/>
      <c r="G604" s="14"/>
      <c r="H604" s="14"/>
      <c r="I604" s="14"/>
      <c r="J604" s="14"/>
      <c r="K604" s="12"/>
    </row>
    <row r="605" ht="19.5" customHeight="1">
      <c r="A605" s="12"/>
      <c r="C605" s="12"/>
      <c r="D605" s="13"/>
      <c r="F605" s="14"/>
      <c r="G605" s="14"/>
      <c r="H605" s="14"/>
      <c r="I605" s="14"/>
      <c r="J605" s="14"/>
      <c r="K605" s="12"/>
    </row>
    <row r="606" ht="19.5" customHeight="1">
      <c r="A606" s="12"/>
      <c r="C606" s="12"/>
      <c r="D606" s="13"/>
      <c r="F606" s="14"/>
      <c r="G606" s="14"/>
      <c r="H606" s="14"/>
      <c r="I606" s="14"/>
      <c r="J606" s="14"/>
      <c r="K606" s="12"/>
    </row>
    <row r="607" ht="19.5" customHeight="1">
      <c r="A607" s="12"/>
      <c r="C607" s="12"/>
      <c r="D607" s="13"/>
      <c r="F607" s="14"/>
      <c r="G607" s="14"/>
      <c r="H607" s="14"/>
      <c r="I607" s="14"/>
      <c r="J607" s="14"/>
      <c r="K607" s="12"/>
    </row>
    <row r="608" ht="19.5" customHeight="1">
      <c r="A608" s="12"/>
      <c r="C608" s="12"/>
      <c r="D608" s="13"/>
      <c r="F608" s="14"/>
      <c r="G608" s="14"/>
      <c r="H608" s="14"/>
      <c r="I608" s="14"/>
      <c r="J608" s="14"/>
      <c r="K608" s="12"/>
    </row>
    <row r="609" ht="19.5" customHeight="1">
      <c r="A609" s="12"/>
      <c r="C609" s="12"/>
      <c r="D609" s="13"/>
      <c r="F609" s="14"/>
      <c r="G609" s="14"/>
      <c r="H609" s="14"/>
      <c r="I609" s="14"/>
      <c r="J609" s="14"/>
      <c r="K609" s="12"/>
    </row>
    <row r="610" ht="19.5" customHeight="1">
      <c r="A610" s="12"/>
      <c r="C610" s="12"/>
      <c r="D610" s="13"/>
      <c r="F610" s="14"/>
      <c r="G610" s="14"/>
      <c r="H610" s="14"/>
      <c r="I610" s="14"/>
      <c r="J610" s="14"/>
      <c r="K610" s="12"/>
    </row>
    <row r="611" ht="19.5" customHeight="1">
      <c r="A611" s="12"/>
      <c r="C611" s="12"/>
      <c r="D611" s="13"/>
      <c r="F611" s="14"/>
      <c r="G611" s="14"/>
      <c r="H611" s="14"/>
      <c r="I611" s="14"/>
      <c r="J611" s="14"/>
      <c r="K611" s="12"/>
    </row>
    <row r="612" ht="19.5" customHeight="1">
      <c r="A612" s="12"/>
      <c r="C612" s="12"/>
      <c r="D612" s="13"/>
      <c r="F612" s="14"/>
      <c r="G612" s="14"/>
      <c r="H612" s="14"/>
      <c r="I612" s="14"/>
      <c r="J612" s="14"/>
      <c r="K612" s="12"/>
    </row>
    <row r="613" ht="19.5" customHeight="1">
      <c r="A613" s="12"/>
      <c r="C613" s="12"/>
      <c r="D613" s="13"/>
      <c r="F613" s="14"/>
      <c r="G613" s="14"/>
      <c r="H613" s="14"/>
      <c r="I613" s="14"/>
      <c r="J613" s="14"/>
      <c r="K613" s="12"/>
    </row>
    <row r="614" ht="19.5" customHeight="1">
      <c r="A614" s="12"/>
      <c r="C614" s="12"/>
      <c r="D614" s="13"/>
      <c r="F614" s="14"/>
      <c r="G614" s="14"/>
      <c r="H614" s="14"/>
      <c r="I614" s="14"/>
      <c r="J614" s="14"/>
      <c r="K614" s="12"/>
    </row>
    <row r="615" ht="19.5" customHeight="1">
      <c r="A615" s="12"/>
      <c r="C615" s="12"/>
      <c r="D615" s="13"/>
      <c r="F615" s="14"/>
      <c r="G615" s="14"/>
      <c r="H615" s="14"/>
      <c r="I615" s="14"/>
      <c r="J615" s="14"/>
      <c r="K615" s="12"/>
    </row>
    <row r="616" ht="19.5" customHeight="1">
      <c r="A616" s="12"/>
      <c r="C616" s="12"/>
      <c r="D616" s="13"/>
      <c r="F616" s="14"/>
      <c r="G616" s="14"/>
      <c r="H616" s="14"/>
      <c r="I616" s="14"/>
      <c r="J616" s="14"/>
      <c r="K616" s="12"/>
    </row>
    <row r="617" ht="19.5" customHeight="1">
      <c r="A617" s="12"/>
      <c r="C617" s="12"/>
      <c r="D617" s="13"/>
      <c r="F617" s="14"/>
      <c r="G617" s="14"/>
      <c r="H617" s="14"/>
      <c r="I617" s="14"/>
      <c r="J617" s="14"/>
      <c r="K617" s="12"/>
    </row>
    <row r="618" ht="19.5" customHeight="1">
      <c r="A618" s="12"/>
      <c r="C618" s="12"/>
      <c r="D618" s="13"/>
      <c r="F618" s="14"/>
      <c r="G618" s="14"/>
      <c r="H618" s="14"/>
      <c r="I618" s="14"/>
      <c r="J618" s="14"/>
      <c r="K618" s="12"/>
    </row>
    <row r="619" ht="19.5" customHeight="1">
      <c r="A619" s="12"/>
      <c r="C619" s="12"/>
      <c r="D619" s="13"/>
      <c r="F619" s="14"/>
      <c r="G619" s="14"/>
      <c r="H619" s="14"/>
      <c r="I619" s="14"/>
      <c r="J619" s="14"/>
      <c r="K619" s="12"/>
    </row>
    <row r="620" ht="19.5" customHeight="1">
      <c r="A620" s="12"/>
      <c r="C620" s="12"/>
      <c r="D620" s="13"/>
      <c r="F620" s="14"/>
      <c r="G620" s="14"/>
      <c r="H620" s="14"/>
      <c r="I620" s="14"/>
      <c r="J620" s="14"/>
      <c r="K620" s="12"/>
    </row>
    <row r="621" ht="19.5" customHeight="1">
      <c r="A621" s="12"/>
      <c r="C621" s="12"/>
      <c r="D621" s="13"/>
      <c r="F621" s="14"/>
      <c r="G621" s="14"/>
      <c r="H621" s="14"/>
      <c r="I621" s="14"/>
      <c r="J621" s="14"/>
      <c r="K621" s="12"/>
    </row>
    <row r="622" ht="19.5" customHeight="1">
      <c r="A622" s="12"/>
      <c r="C622" s="12"/>
      <c r="D622" s="13"/>
      <c r="F622" s="14"/>
      <c r="G622" s="14"/>
      <c r="H622" s="14"/>
      <c r="I622" s="14"/>
      <c r="J622" s="14"/>
      <c r="K622" s="12"/>
    </row>
    <row r="623" ht="19.5" customHeight="1">
      <c r="A623" s="12"/>
      <c r="C623" s="12"/>
      <c r="D623" s="13"/>
      <c r="F623" s="14"/>
      <c r="G623" s="14"/>
      <c r="H623" s="14"/>
      <c r="I623" s="14"/>
      <c r="J623" s="14"/>
      <c r="K623" s="12"/>
    </row>
    <row r="624" ht="19.5" customHeight="1">
      <c r="A624" s="12"/>
      <c r="C624" s="12"/>
      <c r="D624" s="13"/>
      <c r="F624" s="14"/>
      <c r="G624" s="14"/>
      <c r="H624" s="14"/>
      <c r="I624" s="14"/>
      <c r="J624" s="14"/>
      <c r="K624" s="12"/>
    </row>
    <row r="625" ht="19.5" customHeight="1">
      <c r="A625" s="12"/>
      <c r="C625" s="12"/>
      <c r="D625" s="13"/>
      <c r="F625" s="14"/>
      <c r="G625" s="14"/>
      <c r="H625" s="14"/>
      <c r="I625" s="14"/>
      <c r="J625" s="14"/>
      <c r="K625" s="12"/>
    </row>
    <row r="626" ht="19.5" customHeight="1">
      <c r="A626" s="12"/>
      <c r="C626" s="12"/>
      <c r="D626" s="13"/>
      <c r="F626" s="14"/>
      <c r="G626" s="14"/>
      <c r="H626" s="14"/>
      <c r="I626" s="14"/>
      <c r="J626" s="14"/>
      <c r="K626" s="12"/>
    </row>
    <row r="627" ht="19.5" customHeight="1">
      <c r="A627" s="12"/>
      <c r="C627" s="12"/>
      <c r="D627" s="13"/>
      <c r="F627" s="14"/>
      <c r="G627" s="14"/>
      <c r="H627" s="14"/>
      <c r="I627" s="14"/>
      <c r="J627" s="14"/>
      <c r="K627" s="12"/>
    </row>
    <row r="628" ht="19.5" customHeight="1">
      <c r="A628" s="12"/>
      <c r="C628" s="12"/>
      <c r="D628" s="13"/>
      <c r="F628" s="14"/>
      <c r="G628" s="14"/>
      <c r="H628" s="14"/>
      <c r="I628" s="14"/>
      <c r="J628" s="14"/>
      <c r="K628" s="12"/>
    </row>
    <row r="629" ht="19.5" customHeight="1">
      <c r="A629" s="12"/>
      <c r="C629" s="12"/>
      <c r="D629" s="13"/>
      <c r="F629" s="14"/>
      <c r="G629" s="14"/>
      <c r="H629" s="14"/>
      <c r="I629" s="14"/>
      <c r="J629" s="14"/>
      <c r="K629" s="12"/>
    </row>
    <row r="630" ht="19.5" customHeight="1">
      <c r="A630" s="12"/>
      <c r="C630" s="12"/>
      <c r="D630" s="13"/>
      <c r="F630" s="14"/>
      <c r="G630" s="14"/>
      <c r="H630" s="14"/>
      <c r="I630" s="14"/>
      <c r="J630" s="14"/>
      <c r="K630" s="12"/>
    </row>
    <row r="631" ht="19.5" customHeight="1">
      <c r="A631" s="12"/>
      <c r="C631" s="12"/>
      <c r="D631" s="13"/>
      <c r="F631" s="14"/>
      <c r="G631" s="14"/>
      <c r="H631" s="14"/>
      <c r="I631" s="14"/>
      <c r="J631" s="14"/>
      <c r="K631" s="12"/>
    </row>
    <row r="632" ht="19.5" customHeight="1">
      <c r="A632" s="12"/>
      <c r="C632" s="12"/>
      <c r="D632" s="13"/>
      <c r="F632" s="14"/>
      <c r="G632" s="14"/>
      <c r="H632" s="14"/>
      <c r="I632" s="14"/>
      <c r="J632" s="14"/>
      <c r="K632" s="12"/>
    </row>
    <row r="633" ht="19.5" customHeight="1">
      <c r="A633" s="12"/>
      <c r="C633" s="12"/>
      <c r="D633" s="13"/>
      <c r="F633" s="14"/>
      <c r="G633" s="14"/>
      <c r="H633" s="14"/>
      <c r="I633" s="14"/>
      <c r="J633" s="14"/>
      <c r="K633" s="12"/>
    </row>
    <row r="634" ht="19.5" customHeight="1">
      <c r="A634" s="12"/>
      <c r="C634" s="12"/>
      <c r="D634" s="13"/>
      <c r="F634" s="14"/>
      <c r="G634" s="14"/>
      <c r="H634" s="14"/>
      <c r="I634" s="14"/>
      <c r="J634" s="14"/>
      <c r="K634" s="12"/>
    </row>
    <row r="635" ht="19.5" customHeight="1">
      <c r="A635" s="12"/>
      <c r="C635" s="12"/>
      <c r="D635" s="13"/>
      <c r="F635" s="14"/>
      <c r="G635" s="14"/>
      <c r="H635" s="14"/>
      <c r="I635" s="14"/>
      <c r="J635" s="14"/>
      <c r="K635" s="12"/>
    </row>
    <row r="636" ht="19.5" customHeight="1">
      <c r="A636" s="12"/>
      <c r="C636" s="12"/>
      <c r="D636" s="13"/>
      <c r="F636" s="14"/>
      <c r="G636" s="14"/>
      <c r="H636" s="14"/>
      <c r="I636" s="14"/>
      <c r="J636" s="14"/>
      <c r="K636" s="12"/>
    </row>
    <row r="637" ht="19.5" customHeight="1">
      <c r="A637" s="12"/>
      <c r="C637" s="12"/>
      <c r="D637" s="13"/>
      <c r="F637" s="14"/>
      <c r="G637" s="14"/>
      <c r="H637" s="14"/>
      <c r="I637" s="14"/>
      <c r="J637" s="14"/>
      <c r="K637" s="12"/>
    </row>
    <row r="638" ht="19.5" customHeight="1">
      <c r="A638" s="12"/>
      <c r="C638" s="12"/>
      <c r="D638" s="13"/>
      <c r="F638" s="14"/>
      <c r="G638" s="14"/>
      <c r="H638" s="14"/>
      <c r="I638" s="14"/>
      <c r="J638" s="14"/>
      <c r="K638" s="12"/>
    </row>
    <row r="639" ht="19.5" customHeight="1">
      <c r="A639" s="12"/>
      <c r="C639" s="12"/>
      <c r="D639" s="13"/>
      <c r="F639" s="14"/>
      <c r="G639" s="14"/>
      <c r="H639" s="14"/>
      <c r="I639" s="14"/>
      <c r="J639" s="14"/>
      <c r="K639" s="12"/>
    </row>
    <row r="640" ht="19.5" customHeight="1">
      <c r="A640" s="12"/>
      <c r="C640" s="12"/>
      <c r="D640" s="13"/>
      <c r="F640" s="14"/>
      <c r="G640" s="14"/>
      <c r="H640" s="14"/>
      <c r="I640" s="14"/>
      <c r="J640" s="14"/>
      <c r="K640" s="12"/>
    </row>
    <row r="641" ht="19.5" customHeight="1">
      <c r="A641" s="12"/>
      <c r="C641" s="12"/>
      <c r="D641" s="13"/>
      <c r="F641" s="14"/>
      <c r="G641" s="14"/>
      <c r="H641" s="14"/>
      <c r="I641" s="14"/>
      <c r="J641" s="14"/>
      <c r="K641" s="12"/>
    </row>
    <row r="642" ht="19.5" customHeight="1">
      <c r="A642" s="12"/>
      <c r="C642" s="12"/>
      <c r="D642" s="13"/>
      <c r="F642" s="14"/>
      <c r="G642" s="14"/>
      <c r="H642" s="14"/>
      <c r="I642" s="14"/>
      <c r="J642" s="14"/>
      <c r="K642" s="12"/>
    </row>
    <row r="643" ht="19.5" customHeight="1">
      <c r="A643" s="12"/>
      <c r="C643" s="12"/>
      <c r="D643" s="13"/>
      <c r="F643" s="14"/>
      <c r="G643" s="14"/>
      <c r="H643" s="14"/>
      <c r="I643" s="14"/>
      <c r="J643" s="14"/>
      <c r="K643" s="12"/>
    </row>
    <row r="644" ht="19.5" customHeight="1">
      <c r="A644" s="12"/>
      <c r="C644" s="12"/>
      <c r="D644" s="13"/>
      <c r="F644" s="14"/>
      <c r="G644" s="14"/>
      <c r="H644" s="14"/>
      <c r="I644" s="14"/>
      <c r="J644" s="14"/>
      <c r="K644" s="12"/>
    </row>
    <row r="645" ht="19.5" customHeight="1">
      <c r="A645" s="12"/>
      <c r="C645" s="12"/>
      <c r="D645" s="13"/>
      <c r="F645" s="14"/>
      <c r="G645" s="14"/>
      <c r="H645" s="14"/>
      <c r="I645" s="14"/>
      <c r="J645" s="14"/>
      <c r="K645" s="12"/>
    </row>
    <row r="646" ht="19.5" customHeight="1">
      <c r="A646" s="12"/>
      <c r="C646" s="12"/>
      <c r="D646" s="13"/>
      <c r="F646" s="14"/>
      <c r="G646" s="14"/>
      <c r="H646" s="14"/>
      <c r="I646" s="14"/>
      <c r="J646" s="14"/>
      <c r="K646" s="12"/>
    </row>
    <row r="647" ht="19.5" customHeight="1">
      <c r="A647" s="12"/>
      <c r="C647" s="12"/>
      <c r="D647" s="13"/>
      <c r="F647" s="14"/>
      <c r="G647" s="14"/>
      <c r="H647" s="14"/>
      <c r="I647" s="14"/>
      <c r="J647" s="14"/>
      <c r="K647" s="12"/>
    </row>
    <row r="648" ht="19.5" customHeight="1">
      <c r="A648" s="12"/>
      <c r="C648" s="12"/>
      <c r="D648" s="13"/>
      <c r="F648" s="14"/>
      <c r="G648" s="14"/>
      <c r="H648" s="14"/>
      <c r="I648" s="14"/>
      <c r="J648" s="14"/>
      <c r="K648" s="12"/>
    </row>
    <row r="649" ht="19.5" customHeight="1">
      <c r="A649" s="12"/>
      <c r="C649" s="12"/>
      <c r="D649" s="13"/>
      <c r="F649" s="14"/>
      <c r="G649" s="14"/>
      <c r="H649" s="14"/>
      <c r="I649" s="14"/>
      <c r="J649" s="14"/>
      <c r="K649" s="12"/>
    </row>
    <row r="650" ht="19.5" customHeight="1">
      <c r="A650" s="12"/>
      <c r="C650" s="12"/>
      <c r="D650" s="13"/>
      <c r="F650" s="14"/>
      <c r="G650" s="14"/>
      <c r="H650" s="14"/>
      <c r="I650" s="14"/>
      <c r="J650" s="14"/>
      <c r="K650" s="12"/>
    </row>
    <row r="651" ht="19.5" customHeight="1">
      <c r="A651" s="12"/>
      <c r="C651" s="12"/>
      <c r="D651" s="13"/>
      <c r="F651" s="14"/>
      <c r="G651" s="14"/>
      <c r="H651" s="14"/>
      <c r="I651" s="14"/>
      <c r="J651" s="14"/>
      <c r="K651" s="12"/>
    </row>
    <row r="652" ht="19.5" customHeight="1">
      <c r="A652" s="12"/>
      <c r="C652" s="12"/>
      <c r="D652" s="13"/>
      <c r="F652" s="14"/>
      <c r="G652" s="14"/>
      <c r="H652" s="14"/>
      <c r="I652" s="14"/>
      <c r="J652" s="14"/>
      <c r="K652" s="12"/>
    </row>
    <row r="653" ht="19.5" customHeight="1">
      <c r="A653" s="12"/>
      <c r="C653" s="12"/>
      <c r="D653" s="13"/>
      <c r="F653" s="14"/>
      <c r="G653" s="14"/>
      <c r="H653" s="14"/>
      <c r="I653" s="14"/>
      <c r="J653" s="14"/>
      <c r="K653" s="12"/>
    </row>
    <row r="654" ht="19.5" customHeight="1">
      <c r="A654" s="12"/>
      <c r="C654" s="12"/>
      <c r="D654" s="13"/>
      <c r="F654" s="14"/>
      <c r="G654" s="14"/>
      <c r="H654" s="14"/>
      <c r="I654" s="14"/>
      <c r="J654" s="14"/>
      <c r="K654" s="12"/>
    </row>
    <row r="655" ht="19.5" customHeight="1">
      <c r="A655" s="12"/>
      <c r="C655" s="12"/>
      <c r="D655" s="13"/>
      <c r="F655" s="14"/>
      <c r="G655" s="14"/>
      <c r="H655" s="14"/>
      <c r="I655" s="14"/>
      <c r="J655" s="14"/>
      <c r="K655" s="12"/>
    </row>
    <row r="656" ht="19.5" customHeight="1">
      <c r="A656" s="12"/>
      <c r="C656" s="12"/>
      <c r="D656" s="13"/>
      <c r="F656" s="14"/>
      <c r="G656" s="14"/>
      <c r="H656" s="14"/>
      <c r="I656" s="14"/>
      <c r="J656" s="14"/>
      <c r="K656" s="12"/>
    </row>
    <row r="657" ht="19.5" customHeight="1">
      <c r="A657" s="12"/>
      <c r="C657" s="12"/>
      <c r="D657" s="13"/>
      <c r="F657" s="14"/>
      <c r="G657" s="14"/>
      <c r="H657" s="14"/>
      <c r="I657" s="14"/>
      <c r="J657" s="14"/>
      <c r="K657" s="12"/>
    </row>
    <row r="658" ht="19.5" customHeight="1">
      <c r="A658" s="12"/>
      <c r="C658" s="12"/>
      <c r="D658" s="13"/>
      <c r="F658" s="14"/>
      <c r="G658" s="14"/>
      <c r="H658" s="14"/>
      <c r="I658" s="14"/>
      <c r="J658" s="14"/>
      <c r="K658" s="12"/>
    </row>
    <row r="659" ht="19.5" customHeight="1">
      <c r="A659" s="12"/>
      <c r="C659" s="12"/>
      <c r="D659" s="13"/>
      <c r="F659" s="14"/>
      <c r="G659" s="14"/>
      <c r="H659" s="14"/>
      <c r="I659" s="14"/>
      <c r="J659" s="14"/>
      <c r="K659" s="12"/>
    </row>
    <row r="660" ht="19.5" customHeight="1">
      <c r="A660" s="12"/>
      <c r="C660" s="12"/>
      <c r="D660" s="13"/>
      <c r="F660" s="14"/>
      <c r="G660" s="14"/>
      <c r="H660" s="14"/>
      <c r="I660" s="14"/>
      <c r="J660" s="14"/>
      <c r="K660" s="12"/>
    </row>
    <row r="661" ht="19.5" customHeight="1">
      <c r="A661" s="12"/>
      <c r="C661" s="12"/>
      <c r="D661" s="13"/>
      <c r="F661" s="14"/>
      <c r="G661" s="14"/>
      <c r="H661" s="14"/>
      <c r="I661" s="14"/>
      <c r="J661" s="14"/>
      <c r="K661" s="12"/>
    </row>
    <row r="662" ht="19.5" customHeight="1">
      <c r="A662" s="12"/>
      <c r="C662" s="12"/>
      <c r="D662" s="13"/>
      <c r="F662" s="14"/>
      <c r="G662" s="14"/>
      <c r="H662" s="14"/>
      <c r="I662" s="14"/>
      <c r="J662" s="14"/>
      <c r="K662" s="12"/>
    </row>
    <row r="663" ht="19.5" customHeight="1">
      <c r="A663" s="12"/>
      <c r="C663" s="12"/>
      <c r="D663" s="13"/>
      <c r="F663" s="14"/>
      <c r="G663" s="14"/>
      <c r="H663" s="14"/>
      <c r="I663" s="14"/>
      <c r="J663" s="14"/>
      <c r="K663" s="12"/>
    </row>
    <row r="664" ht="19.5" customHeight="1">
      <c r="A664" s="12"/>
      <c r="C664" s="12"/>
      <c r="D664" s="13"/>
      <c r="F664" s="14"/>
      <c r="G664" s="14"/>
      <c r="H664" s="14"/>
      <c r="I664" s="14"/>
      <c r="J664" s="14"/>
      <c r="K664" s="12"/>
    </row>
    <row r="665" ht="19.5" customHeight="1">
      <c r="A665" s="12"/>
      <c r="C665" s="12"/>
      <c r="D665" s="13"/>
      <c r="F665" s="14"/>
      <c r="G665" s="14"/>
      <c r="H665" s="14"/>
      <c r="I665" s="14"/>
      <c r="J665" s="14"/>
      <c r="K665" s="12"/>
    </row>
    <row r="666" ht="19.5" customHeight="1">
      <c r="A666" s="12"/>
      <c r="C666" s="12"/>
      <c r="D666" s="13"/>
      <c r="F666" s="14"/>
      <c r="G666" s="14"/>
      <c r="H666" s="14"/>
      <c r="I666" s="14"/>
      <c r="J666" s="14"/>
      <c r="K666" s="12"/>
    </row>
    <row r="667" ht="19.5" customHeight="1">
      <c r="A667" s="12"/>
      <c r="C667" s="12"/>
      <c r="D667" s="13"/>
      <c r="F667" s="14"/>
      <c r="G667" s="14"/>
      <c r="H667" s="14"/>
      <c r="I667" s="14"/>
      <c r="J667" s="14"/>
      <c r="K667" s="12"/>
    </row>
    <row r="668" ht="19.5" customHeight="1">
      <c r="A668" s="12"/>
      <c r="C668" s="12"/>
      <c r="D668" s="13"/>
      <c r="F668" s="14"/>
      <c r="G668" s="14"/>
      <c r="H668" s="14"/>
      <c r="I668" s="14"/>
      <c r="J668" s="14"/>
      <c r="K668" s="12"/>
    </row>
    <row r="669" ht="19.5" customHeight="1">
      <c r="A669" s="12"/>
      <c r="C669" s="12"/>
      <c r="D669" s="13"/>
      <c r="F669" s="14"/>
      <c r="G669" s="14"/>
      <c r="H669" s="14"/>
      <c r="I669" s="14"/>
      <c r="J669" s="14"/>
      <c r="K669" s="12"/>
    </row>
    <row r="670" ht="19.5" customHeight="1">
      <c r="A670" s="12"/>
      <c r="C670" s="12"/>
      <c r="D670" s="13"/>
      <c r="F670" s="14"/>
      <c r="G670" s="14"/>
      <c r="H670" s="14"/>
      <c r="I670" s="14"/>
      <c r="J670" s="14"/>
      <c r="K670" s="12"/>
    </row>
    <row r="671" ht="19.5" customHeight="1">
      <c r="A671" s="12"/>
      <c r="C671" s="12"/>
      <c r="D671" s="13"/>
      <c r="F671" s="14"/>
      <c r="G671" s="14"/>
      <c r="H671" s="14"/>
      <c r="I671" s="14"/>
      <c r="J671" s="14"/>
      <c r="K671" s="12"/>
    </row>
    <row r="672" ht="19.5" customHeight="1">
      <c r="A672" s="12"/>
      <c r="C672" s="12"/>
      <c r="D672" s="13"/>
      <c r="F672" s="14"/>
      <c r="G672" s="14"/>
      <c r="H672" s="14"/>
      <c r="I672" s="14"/>
      <c r="J672" s="14"/>
      <c r="K672" s="12"/>
    </row>
    <row r="673" ht="19.5" customHeight="1">
      <c r="A673" s="12"/>
      <c r="C673" s="12"/>
      <c r="D673" s="13"/>
      <c r="F673" s="14"/>
      <c r="G673" s="14"/>
      <c r="H673" s="14"/>
      <c r="I673" s="14"/>
      <c r="J673" s="14"/>
      <c r="K673" s="12"/>
    </row>
    <row r="674" ht="19.5" customHeight="1">
      <c r="A674" s="12"/>
      <c r="C674" s="12"/>
      <c r="D674" s="13"/>
      <c r="F674" s="14"/>
      <c r="G674" s="14"/>
      <c r="H674" s="14"/>
      <c r="I674" s="14"/>
      <c r="J674" s="14"/>
      <c r="K674" s="12"/>
    </row>
    <row r="675" ht="19.5" customHeight="1">
      <c r="A675" s="12"/>
      <c r="C675" s="12"/>
      <c r="D675" s="13"/>
      <c r="F675" s="14"/>
      <c r="G675" s="14"/>
      <c r="H675" s="14"/>
      <c r="I675" s="14"/>
      <c r="J675" s="14"/>
      <c r="K675" s="12"/>
    </row>
    <row r="676" ht="19.5" customHeight="1">
      <c r="A676" s="12"/>
      <c r="C676" s="12"/>
      <c r="D676" s="13"/>
      <c r="F676" s="14"/>
      <c r="G676" s="14"/>
      <c r="H676" s="14"/>
      <c r="I676" s="14"/>
      <c r="J676" s="14"/>
      <c r="K676" s="12"/>
    </row>
    <row r="677" ht="19.5" customHeight="1">
      <c r="A677" s="12"/>
      <c r="C677" s="12"/>
      <c r="D677" s="13"/>
      <c r="F677" s="14"/>
      <c r="G677" s="14"/>
      <c r="H677" s="14"/>
      <c r="I677" s="14"/>
      <c r="J677" s="14"/>
      <c r="K677" s="12"/>
    </row>
    <row r="678" ht="19.5" customHeight="1">
      <c r="A678" s="12"/>
      <c r="C678" s="12"/>
      <c r="D678" s="13"/>
      <c r="F678" s="14"/>
      <c r="G678" s="14"/>
      <c r="H678" s="14"/>
      <c r="I678" s="14"/>
      <c r="J678" s="14"/>
      <c r="K678" s="12"/>
    </row>
    <row r="679" ht="19.5" customHeight="1">
      <c r="A679" s="12"/>
      <c r="C679" s="12"/>
      <c r="D679" s="13"/>
      <c r="F679" s="14"/>
      <c r="G679" s="14"/>
      <c r="H679" s="14"/>
      <c r="I679" s="14"/>
      <c r="J679" s="14"/>
      <c r="K679" s="12"/>
    </row>
    <row r="680" ht="19.5" customHeight="1">
      <c r="A680" s="12"/>
      <c r="C680" s="12"/>
      <c r="D680" s="13"/>
      <c r="F680" s="14"/>
      <c r="G680" s="14"/>
      <c r="H680" s="14"/>
      <c r="I680" s="14"/>
      <c r="J680" s="14"/>
      <c r="K680" s="12"/>
    </row>
    <row r="681" ht="19.5" customHeight="1">
      <c r="A681" s="12"/>
      <c r="C681" s="12"/>
      <c r="D681" s="13"/>
      <c r="F681" s="14"/>
      <c r="G681" s="14"/>
      <c r="H681" s="14"/>
      <c r="I681" s="14"/>
      <c r="J681" s="14"/>
      <c r="K681" s="12"/>
    </row>
    <row r="682" ht="19.5" customHeight="1">
      <c r="A682" s="12"/>
      <c r="C682" s="12"/>
      <c r="D682" s="13"/>
      <c r="F682" s="14"/>
      <c r="G682" s="14"/>
      <c r="H682" s="14"/>
      <c r="I682" s="14"/>
      <c r="J682" s="14"/>
      <c r="K682" s="12"/>
    </row>
    <row r="683" ht="19.5" customHeight="1">
      <c r="A683" s="12"/>
      <c r="C683" s="12"/>
      <c r="D683" s="13"/>
      <c r="F683" s="14"/>
      <c r="G683" s="14"/>
      <c r="H683" s="14"/>
      <c r="I683" s="14"/>
      <c r="J683" s="14"/>
      <c r="K683" s="12"/>
    </row>
    <row r="684" ht="19.5" customHeight="1">
      <c r="A684" s="12"/>
      <c r="C684" s="12"/>
      <c r="D684" s="13"/>
      <c r="F684" s="14"/>
      <c r="G684" s="14"/>
      <c r="H684" s="14"/>
      <c r="I684" s="14"/>
      <c r="J684" s="14"/>
      <c r="K684" s="12"/>
    </row>
    <row r="685" ht="19.5" customHeight="1">
      <c r="A685" s="12"/>
      <c r="C685" s="12"/>
      <c r="D685" s="13"/>
      <c r="F685" s="14"/>
      <c r="G685" s="14"/>
      <c r="H685" s="14"/>
      <c r="I685" s="14"/>
      <c r="J685" s="14"/>
      <c r="K685" s="12"/>
    </row>
    <row r="686" ht="19.5" customHeight="1">
      <c r="A686" s="12"/>
      <c r="C686" s="12"/>
      <c r="D686" s="13"/>
      <c r="F686" s="14"/>
      <c r="G686" s="14"/>
      <c r="H686" s="14"/>
      <c r="I686" s="14"/>
      <c r="J686" s="14"/>
      <c r="K686" s="12"/>
    </row>
    <row r="687" ht="19.5" customHeight="1">
      <c r="A687" s="12"/>
      <c r="C687" s="12"/>
      <c r="D687" s="13"/>
      <c r="F687" s="14"/>
      <c r="G687" s="14"/>
      <c r="H687" s="14"/>
      <c r="I687" s="14"/>
      <c r="J687" s="14"/>
      <c r="K687" s="12"/>
    </row>
    <row r="688" ht="19.5" customHeight="1">
      <c r="A688" s="12"/>
      <c r="C688" s="12"/>
      <c r="D688" s="13"/>
      <c r="F688" s="14"/>
      <c r="G688" s="14"/>
      <c r="H688" s="14"/>
      <c r="I688" s="14"/>
      <c r="J688" s="14"/>
      <c r="K688" s="12"/>
    </row>
    <row r="689" ht="19.5" customHeight="1">
      <c r="A689" s="12"/>
      <c r="C689" s="12"/>
      <c r="D689" s="13"/>
      <c r="F689" s="14"/>
      <c r="G689" s="14"/>
      <c r="H689" s="14"/>
      <c r="I689" s="14"/>
      <c r="J689" s="14"/>
      <c r="K689" s="12"/>
    </row>
    <row r="690" ht="19.5" customHeight="1">
      <c r="A690" s="12"/>
      <c r="C690" s="12"/>
      <c r="D690" s="13"/>
      <c r="F690" s="14"/>
      <c r="G690" s="14"/>
      <c r="H690" s="14"/>
      <c r="I690" s="14"/>
      <c r="J690" s="14"/>
      <c r="K690" s="12"/>
    </row>
    <row r="691" ht="19.5" customHeight="1">
      <c r="A691" s="12"/>
      <c r="C691" s="12"/>
      <c r="D691" s="13"/>
      <c r="F691" s="14"/>
      <c r="G691" s="14"/>
      <c r="H691" s="14"/>
      <c r="I691" s="14"/>
      <c r="J691" s="14"/>
      <c r="K691" s="12"/>
    </row>
    <row r="692" ht="19.5" customHeight="1">
      <c r="A692" s="12"/>
      <c r="C692" s="12"/>
      <c r="D692" s="13"/>
      <c r="F692" s="14"/>
      <c r="G692" s="14"/>
      <c r="H692" s="14"/>
      <c r="I692" s="14"/>
      <c r="J692" s="14"/>
      <c r="K692" s="12"/>
    </row>
    <row r="693" ht="19.5" customHeight="1">
      <c r="A693" s="12"/>
      <c r="C693" s="12"/>
      <c r="D693" s="13"/>
      <c r="F693" s="14"/>
      <c r="G693" s="14"/>
      <c r="H693" s="14"/>
      <c r="I693" s="14"/>
      <c r="J693" s="14"/>
      <c r="K693" s="12"/>
    </row>
    <row r="694" ht="19.5" customHeight="1">
      <c r="A694" s="12"/>
      <c r="C694" s="12"/>
      <c r="D694" s="13"/>
      <c r="F694" s="14"/>
      <c r="G694" s="14"/>
      <c r="H694" s="14"/>
      <c r="I694" s="14"/>
      <c r="J694" s="14"/>
      <c r="K694" s="12"/>
    </row>
    <row r="695" ht="19.5" customHeight="1">
      <c r="A695" s="12"/>
      <c r="C695" s="12"/>
      <c r="D695" s="13"/>
      <c r="F695" s="14"/>
      <c r="G695" s="14"/>
      <c r="H695" s="14"/>
      <c r="I695" s="14"/>
      <c r="J695" s="14"/>
      <c r="K695" s="12"/>
    </row>
    <row r="696" ht="19.5" customHeight="1">
      <c r="A696" s="12"/>
      <c r="C696" s="12"/>
      <c r="D696" s="13"/>
      <c r="F696" s="14"/>
      <c r="G696" s="14"/>
      <c r="H696" s="14"/>
      <c r="I696" s="14"/>
      <c r="J696" s="14"/>
      <c r="K696" s="12"/>
    </row>
    <row r="697" ht="19.5" customHeight="1">
      <c r="A697" s="12"/>
      <c r="C697" s="12"/>
      <c r="D697" s="13"/>
      <c r="F697" s="14"/>
      <c r="G697" s="14"/>
      <c r="H697" s="14"/>
      <c r="I697" s="14"/>
      <c r="J697" s="14"/>
      <c r="K697" s="12"/>
    </row>
    <row r="698" ht="19.5" customHeight="1">
      <c r="A698" s="12"/>
      <c r="C698" s="12"/>
      <c r="D698" s="13"/>
      <c r="F698" s="14"/>
      <c r="G698" s="14"/>
      <c r="H698" s="14"/>
      <c r="I698" s="14"/>
      <c r="J698" s="14"/>
      <c r="K698" s="12"/>
    </row>
    <row r="699" ht="19.5" customHeight="1">
      <c r="A699" s="12"/>
      <c r="C699" s="12"/>
      <c r="D699" s="13"/>
      <c r="F699" s="14"/>
      <c r="G699" s="14"/>
      <c r="H699" s="14"/>
      <c r="I699" s="14"/>
      <c r="J699" s="14"/>
      <c r="K699" s="12"/>
    </row>
    <row r="700" ht="19.5" customHeight="1">
      <c r="A700" s="12"/>
      <c r="C700" s="12"/>
      <c r="D700" s="13"/>
      <c r="F700" s="14"/>
      <c r="G700" s="14"/>
      <c r="H700" s="14"/>
      <c r="I700" s="14"/>
      <c r="J700" s="14"/>
      <c r="K700" s="12"/>
    </row>
    <row r="701" ht="19.5" customHeight="1">
      <c r="A701" s="12"/>
      <c r="C701" s="12"/>
      <c r="D701" s="13"/>
      <c r="F701" s="14"/>
      <c r="G701" s="14"/>
      <c r="H701" s="14"/>
      <c r="I701" s="14"/>
      <c r="J701" s="14"/>
      <c r="K701" s="12"/>
    </row>
    <row r="702" ht="19.5" customHeight="1">
      <c r="A702" s="12"/>
      <c r="C702" s="12"/>
      <c r="D702" s="13"/>
      <c r="F702" s="14"/>
      <c r="G702" s="14"/>
      <c r="H702" s="14"/>
      <c r="I702" s="14"/>
      <c r="J702" s="14"/>
      <c r="K702" s="12"/>
    </row>
    <row r="703" ht="19.5" customHeight="1">
      <c r="A703" s="12"/>
      <c r="C703" s="12"/>
      <c r="D703" s="13"/>
      <c r="F703" s="14"/>
      <c r="G703" s="14"/>
      <c r="H703" s="14"/>
      <c r="I703" s="14"/>
      <c r="J703" s="14"/>
      <c r="K703" s="12"/>
    </row>
    <row r="704" ht="19.5" customHeight="1">
      <c r="A704" s="12"/>
      <c r="C704" s="12"/>
      <c r="D704" s="13"/>
      <c r="F704" s="14"/>
      <c r="G704" s="14"/>
      <c r="H704" s="14"/>
      <c r="I704" s="14"/>
      <c r="J704" s="14"/>
      <c r="K704" s="12"/>
    </row>
    <row r="705" ht="19.5" customHeight="1">
      <c r="A705" s="12"/>
      <c r="C705" s="12"/>
      <c r="D705" s="13"/>
      <c r="F705" s="14"/>
      <c r="G705" s="14"/>
      <c r="H705" s="14"/>
      <c r="I705" s="14"/>
      <c r="J705" s="14"/>
      <c r="K705" s="12"/>
    </row>
    <row r="706" ht="19.5" customHeight="1">
      <c r="A706" s="12"/>
      <c r="C706" s="12"/>
      <c r="D706" s="13"/>
      <c r="F706" s="14"/>
      <c r="G706" s="14"/>
      <c r="H706" s="14"/>
      <c r="I706" s="14"/>
      <c r="J706" s="14"/>
      <c r="K706" s="12"/>
    </row>
    <row r="707" ht="19.5" customHeight="1">
      <c r="A707" s="12"/>
      <c r="C707" s="12"/>
      <c r="D707" s="13"/>
      <c r="F707" s="14"/>
      <c r="G707" s="14"/>
      <c r="H707" s="14"/>
      <c r="I707" s="14"/>
      <c r="J707" s="14"/>
      <c r="K707" s="12"/>
    </row>
    <row r="708" ht="19.5" customHeight="1">
      <c r="A708" s="12"/>
      <c r="C708" s="12"/>
      <c r="D708" s="13"/>
      <c r="F708" s="14"/>
      <c r="G708" s="14"/>
      <c r="H708" s="14"/>
      <c r="I708" s="14"/>
      <c r="J708" s="14"/>
      <c r="K708" s="12"/>
    </row>
    <row r="709" ht="19.5" customHeight="1">
      <c r="A709" s="12"/>
      <c r="C709" s="12"/>
      <c r="D709" s="13"/>
      <c r="F709" s="14"/>
      <c r="G709" s="14"/>
      <c r="H709" s="14"/>
      <c r="I709" s="14"/>
      <c r="J709" s="14"/>
      <c r="K709" s="12"/>
    </row>
    <row r="710" ht="19.5" customHeight="1">
      <c r="A710" s="12"/>
      <c r="C710" s="12"/>
      <c r="D710" s="13"/>
      <c r="F710" s="14"/>
      <c r="G710" s="14"/>
      <c r="H710" s="14"/>
      <c r="I710" s="14"/>
      <c r="J710" s="14"/>
      <c r="K710" s="12"/>
    </row>
    <row r="711" ht="19.5" customHeight="1">
      <c r="A711" s="12"/>
      <c r="C711" s="12"/>
      <c r="D711" s="13"/>
      <c r="F711" s="14"/>
      <c r="G711" s="14"/>
      <c r="H711" s="14"/>
      <c r="I711" s="14"/>
      <c r="J711" s="14"/>
      <c r="K711" s="12"/>
    </row>
    <row r="712" ht="19.5" customHeight="1">
      <c r="A712" s="12"/>
      <c r="C712" s="12"/>
      <c r="D712" s="13"/>
      <c r="F712" s="14"/>
      <c r="G712" s="14"/>
      <c r="H712" s="14"/>
      <c r="I712" s="14"/>
      <c r="J712" s="14"/>
      <c r="K712" s="12"/>
    </row>
    <row r="713" ht="19.5" customHeight="1">
      <c r="A713" s="12"/>
      <c r="C713" s="12"/>
      <c r="D713" s="13"/>
      <c r="F713" s="14"/>
      <c r="G713" s="14"/>
      <c r="H713" s="14"/>
      <c r="I713" s="14"/>
      <c r="J713" s="14"/>
      <c r="K713" s="12"/>
    </row>
    <row r="714" ht="19.5" customHeight="1">
      <c r="A714" s="12"/>
      <c r="C714" s="12"/>
      <c r="D714" s="13"/>
      <c r="F714" s="14"/>
      <c r="G714" s="14"/>
      <c r="H714" s="14"/>
      <c r="I714" s="14"/>
      <c r="J714" s="14"/>
      <c r="K714" s="12"/>
    </row>
    <row r="715" ht="19.5" customHeight="1">
      <c r="A715" s="12"/>
      <c r="C715" s="12"/>
      <c r="D715" s="13"/>
      <c r="F715" s="14"/>
      <c r="G715" s="14"/>
      <c r="H715" s="14"/>
      <c r="I715" s="14"/>
      <c r="J715" s="14"/>
      <c r="K715" s="12"/>
    </row>
    <row r="716" ht="19.5" customHeight="1">
      <c r="A716" s="12"/>
      <c r="C716" s="12"/>
      <c r="D716" s="13"/>
      <c r="F716" s="14"/>
      <c r="G716" s="14"/>
      <c r="H716" s="14"/>
      <c r="I716" s="14"/>
      <c r="J716" s="14"/>
      <c r="K716" s="12"/>
    </row>
    <row r="717" ht="19.5" customHeight="1">
      <c r="A717" s="12"/>
      <c r="C717" s="12"/>
      <c r="D717" s="13"/>
      <c r="F717" s="14"/>
      <c r="G717" s="14"/>
      <c r="H717" s="14"/>
      <c r="I717" s="14"/>
      <c r="J717" s="14"/>
      <c r="K717" s="12"/>
    </row>
    <row r="718" ht="19.5" customHeight="1">
      <c r="A718" s="12"/>
      <c r="C718" s="12"/>
      <c r="D718" s="13"/>
      <c r="F718" s="14"/>
      <c r="G718" s="14"/>
      <c r="H718" s="14"/>
      <c r="I718" s="14"/>
      <c r="J718" s="14"/>
      <c r="K718" s="12"/>
    </row>
    <row r="719" ht="19.5" customHeight="1">
      <c r="A719" s="12"/>
      <c r="C719" s="12"/>
      <c r="D719" s="13"/>
      <c r="F719" s="14"/>
      <c r="G719" s="14"/>
      <c r="H719" s="14"/>
      <c r="I719" s="14"/>
      <c r="J719" s="14"/>
      <c r="K719" s="12"/>
    </row>
    <row r="720" ht="19.5" customHeight="1">
      <c r="A720" s="12"/>
      <c r="C720" s="12"/>
      <c r="D720" s="13"/>
      <c r="F720" s="14"/>
      <c r="G720" s="14"/>
      <c r="H720" s="14"/>
      <c r="I720" s="14"/>
      <c r="J720" s="14"/>
      <c r="K720" s="12"/>
    </row>
    <row r="721" ht="19.5" customHeight="1">
      <c r="A721" s="12"/>
      <c r="C721" s="12"/>
      <c r="D721" s="13"/>
      <c r="F721" s="14"/>
      <c r="G721" s="14"/>
      <c r="H721" s="14"/>
      <c r="I721" s="14"/>
      <c r="J721" s="14"/>
      <c r="K721" s="12"/>
    </row>
    <row r="722" ht="19.5" customHeight="1">
      <c r="A722" s="12"/>
      <c r="C722" s="12"/>
      <c r="D722" s="13"/>
      <c r="F722" s="14"/>
      <c r="G722" s="14"/>
      <c r="H722" s="14"/>
      <c r="I722" s="14"/>
      <c r="J722" s="14"/>
      <c r="K722" s="12"/>
    </row>
    <row r="723" ht="19.5" customHeight="1">
      <c r="A723" s="12"/>
      <c r="C723" s="12"/>
      <c r="D723" s="13"/>
      <c r="F723" s="14"/>
      <c r="G723" s="14"/>
      <c r="H723" s="14"/>
      <c r="I723" s="14"/>
      <c r="J723" s="14"/>
      <c r="K723" s="12"/>
    </row>
    <row r="724" ht="19.5" customHeight="1">
      <c r="A724" s="12"/>
      <c r="C724" s="12"/>
      <c r="D724" s="13"/>
      <c r="F724" s="14"/>
      <c r="G724" s="14"/>
      <c r="H724" s="14"/>
      <c r="I724" s="14"/>
      <c r="J724" s="14"/>
      <c r="K724" s="12"/>
    </row>
    <row r="725" ht="19.5" customHeight="1">
      <c r="A725" s="12"/>
      <c r="C725" s="12"/>
      <c r="D725" s="13"/>
      <c r="F725" s="14"/>
      <c r="G725" s="14"/>
      <c r="H725" s="14"/>
      <c r="I725" s="14"/>
      <c r="J725" s="14"/>
      <c r="K725" s="12"/>
    </row>
    <row r="726" ht="19.5" customHeight="1">
      <c r="A726" s="12"/>
      <c r="C726" s="12"/>
      <c r="D726" s="13"/>
      <c r="F726" s="14"/>
      <c r="G726" s="14"/>
      <c r="H726" s="14"/>
      <c r="I726" s="14"/>
      <c r="J726" s="14"/>
      <c r="K726" s="12"/>
    </row>
    <row r="727" ht="19.5" customHeight="1">
      <c r="A727" s="12"/>
      <c r="C727" s="12"/>
      <c r="D727" s="13"/>
      <c r="F727" s="14"/>
      <c r="G727" s="14"/>
      <c r="H727" s="14"/>
      <c r="I727" s="14"/>
      <c r="J727" s="14"/>
      <c r="K727" s="12"/>
    </row>
    <row r="728" ht="19.5" customHeight="1">
      <c r="A728" s="12"/>
      <c r="C728" s="12"/>
      <c r="D728" s="13"/>
      <c r="F728" s="14"/>
      <c r="G728" s="14"/>
      <c r="H728" s="14"/>
      <c r="I728" s="14"/>
      <c r="J728" s="14"/>
      <c r="K728" s="12"/>
    </row>
    <row r="729" ht="19.5" customHeight="1">
      <c r="A729" s="12"/>
      <c r="C729" s="12"/>
      <c r="D729" s="13"/>
      <c r="F729" s="14"/>
      <c r="G729" s="14"/>
      <c r="H729" s="14"/>
      <c r="I729" s="14"/>
      <c r="J729" s="14"/>
      <c r="K729" s="12"/>
    </row>
    <row r="730" ht="19.5" customHeight="1">
      <c r="A730" s="12"/>
      <c r="C730" s="12"/>
      <c r="D730" s="13"/>
      <c r="F730" s="14"/>
      <c r="G730" s="14"/>
      <c r="H730" s="14"/>
      <c r="I730" s="14"/>
      <c r="J730" s="14"/>
      <c r="K730" s="12"/>
    </row>
    <row r="731" ht="19.5" customHeight="1">
      <c r="A731" s="12"/>
      <c r="C731" s="12"/>
      <c r="D731" s="13"/>
      <c r="F731" s="14"/>
      <c r="G731" s="14"/>
      <c r="H731" s="14"/>
      <c r="I731" s="14"/>
      <c r="J731" s="14"/>
      <c r="K731" s="12"/>
    </row>
    <row r="732" ht="19.5" customHeight="1">
      <c r="A732" s="12"/>
      <c r="C732" s="12"/>
      <c r="D732" s="13"/>
      <c r="F732" s="14"/>
      <c r="G732" s="14"/>
      <c r="H732" s="14"/>
      <c r="I732" s="14"/>
      <c r="J732" s="14"/>
      <c r="K732" s="12"/>
    </row>
    <row r="733" ht="19.5" customHeight="1">
      <c r="A733" s="12"/>
      <c r="C733" s="12"/>
      <c r="D733" s="13"/>
      <c r="F733" s="14"/>
      <c r="G733" s="14"/>
      <c r="H733" s="14"/>
      <c r="I733" s="14"/>
      <c r="J733" s="14"/>
      <c r="K733" s="12"/>
    </row>
    <row r="734" ht="19.5" customHeight="1">
      <c r="A734" s="12"/>
      <c r="C734" s="12"/>
      <c r="D734" s="13"/>
      <c r="F734" s="14"/>
      <c r="G734" s="14"/>
      <c r="H734" s="14"/>
      <c r="I734" s="14"/>
      <c r="J734" s="14"/>
      <c r="K734" s="12"/>
    </row>
    <row r="735" ht="19.5" customHeight="1">
      <c r="A735" s="12"/>
      <c r="C735" s="12"/>
      <c r="D735" s="13"/>
      <c r="F735" s="14"/>
      <c r="G735" s="14"/>
      <c r="H735" s="14"/>
      <c r="I735" s="14"/>
      <c r="J735" s="14"/>
      <c r="K735" s="12"/>
    </row>
    <row r="736" ht="19.5" customHeight="1">
      <c r="A736" s="12"/>
      <c r="C736" s="12"/>
      <c r="D736" s="13"/>
      <c r="F736" s="14"/>
      <c r="G736" s="14"/>
      <c r="H736" s="14"/>
      <c r="I736" s="14"/>
      <c r="J736" s="14"/>
      <c r="K736" s="12"/>
    </row>
    <row r="737" ht="19.5" customHeight="1">
      <c r="A737" s="12"/>
      <c r="C737" s="12"/>
      <c r="D737" s="13"/>
      <c r="F737" s="14"/>
      <c r="G737" s="14"/>
      <c r="H737" s="14"/>
      <c r="I737" s="14"/>
      <c r="J737" s="14"/>
      <c r="K737" s="12"/>
    </row>
    <row r="738" ht="19.5" customHeight="1">
      <c r="A738" s="12"/>
      <c r="C738" s="12"/>
      <c r="D738" s="13"/>
      <c r="F738" s="14"/>
      <c r="G738" s="14"/>
      <c r="H738" s="14"/>
      <c r="I738" s="14"/>
      <c r="J738" s="14"/>
      <c r="K738" s="12"/>
    </row>
    <row r="739" ht="19.5" customHeight="1">
      <c r="A739" s="12"/>
      <c r="C739" s="12"/>
      <c r="D739" s="13"/>
      <c r="F739" s="14"/>
      <c r="G739" s="14"/>
      <c r="H739" s="14"/>
      <c r="I739" s="14"/>
      <c r="J739" s="14"/>
      <c r="K739" s="12"/>
    </row>
    <row r="740" ht="19.5" customHeight="1">
      <c r="A740" s="12"/>
      <c r="C740" s="12"/>
      <c r="D740" s="13"/>
      <c r="F740" s="14"/>
      <c r="G740" s="14"/>
      <c r="H740" s="14"/>
      <c r="I740" s="14"/>
      <c r="J740" s="14"/>
      <c r="K740" s="12"/>
    </row>
    <row r="741" ht="19.5" customHeight="1">
      <c r="A741" s="12"/>
      <c r="C741" s="12"/>
      <c r="D741" s="13"/>
      <c r="F741" s="14"/>
      <c r="G741" s="14"/>
      <c r="H741" s="14"/>
      <c r="I741" s="14"/>
      <c r="J741" s="14"/>
      <c r="K741" s="12"/>
    </row>
    <row r="742" ht="19.5" customHeight="1">
      <c r="A742" s="12"/>
      <c r="C742" s="12"/>
      <c r="D742" s="13"/>
      <c r="F742" s="14"/>
      <c r="G742" s="14"/>
      <c r="H742" s="14"/>
      <c r="I742" s="14"/>
      <c r="J742" s="14"/>
      <c r="K742" s="12"/>
    </row>
    <row r="743" ht="19.5" customHeight="1">
      <c r="A743" s="12"/>
      <c r="C743" s="12"/>
      <c r="D743" s="13"/>
      <c r="F743" s="14"/>
      <c r="G743" s="14"/>
      <c r="H743" s="14"/>
      <c r="I743" s="14"/>
      <c r="J743" s="14"/>
      <c r="K743" s="12"/>
    </row>
    <row r="744" ht="19.5" customHeight="1">
      <c r="A744" s="12"/>
      <c r="C744" s="12"/>
      <c r="D744" s="13"/>
      <c r="F744" s="14"/>
      <c r="G744" s="14"/>
      <c r="H744" s="14"/>
      <c r="I744" s="14"/>
      <c r="J744" s="14"/>
      <c r="K744" s="12"/>
    </row>
    <row r="745" ht="19.5" customHeight="1">
      <c r="A745" s="12"/>
      <c r="C745" s="12"/>
      <c r="D745" s="13"/>
      <c r="F745" s="14"/>
      <c r="G745" s="14"/>
      <c r="H745" s="14"/>
      <c r="I745" s="14"/>
      <c r="J745" s="14"/>
      <c r="K745" s="12"/>
    </row>
    <row r="746" ht="19.5" customHeight="1">
      <c r="A746" s="12"/>
      <c r="C746" s="12"/>
      <c r="D746" s="13"/>
      <c r="F746" s="14"/>
      <c r="G746" s="14"/>
      <c r="H746" s="14"/>
      <c r="I746" s="14"/>
      <c r="J746" s="14"/>
      <c r="K746" s="12"/>
    </row>
    <row r="747" ht="19.5" customHeight="1">
      <c r="A747" s="12"/>
      <c r="C747" s="12"/>
      <c r="D747" s="13"/>
      <c r="F747" s="14"/>
      <c r="G747" s="14"/>
      <c r="H747" s="14"/>
      <c r="I747" s="14"/>
      <c r="J747" s="14"/>
      <c r="K747" s="12"/>
    </row>
    <row r="748" ht="19.5" customHeight="1">
      <c r="A748" s="12"/>
      <c r="C748" s="12"/>
      <c r="D748" s="13"/>
      <c r="F748" s="14"/>
      <c r="G748" s="14"/>
      <c r="H748" s="14"/>
      <c r="I748" s="14"/>
      <c r="J748" s="14"/>
      <c r="K748" s="12"/>
    </row>
    <row r="749" ht="19.5" customHeight="1">
      <c r="A749" s="12"/>
      <c r="C749" s="12"/>
      <c r="D749" s="13"/>
      <c r="F749" s="14"/>
      <c r="G749" s="14"/>
      <c r="H749" s="14"/>
      <c r="I749" s="14"/>
      <c r="J749" s="14"/>
      <c r="K749" s="12"/>
    </row>
    <row r="750" ht="19.5" customHeight="1">
      <c r="A750" s="12"/>
      <c r="C750" s="12"/>
      <c r="D750" s="13"/>
      <c r="F750" s="14"/>
      <c r="G750" s="14"/>
      <c r="H750" s="14"/>
      <c r="I750" s="14"/>
      <c r="J750" s="14"/>
      <c r="K750" s="12"/>
    </row>
    <row r="751" ht="19.5" customHeight="1">
      <c r="A751" s="12"/>
      <c r="C751" s="12"/>
      <c r="D751" s="13"/>
      <c r="F751" s="14"/>
      <c r="G751" s="14"/>
      <c r="H751" s="14"/>
      <c r="I751" s="14"/>
      <c r="J751" s="14"/>
      <c r="K751" s="12"/>
    </row>
    <row r="752" ht="19.5" customHeight="1">
      <c r="A752" s="12"/>
      <c r="C752" s="12"/>
      <c r="D752" s="13"/>
      <c r="F752" s="14"/>
      <c r="G752" s="14"/>
      <c r="H752" s="14"/>
      <c r="I752" s="14"/>
      <c r="J752" s="14"/>
      <c r="K752" s="12"/>
    </row>
    <row r="753" ht="19.5" customHeight="1">
      <c r="A753" s="12"/>
      <c r="C753" s="12"/>
      <c r="D753" s="13"/>
      <c r="F753" s="14"/>
      <c r="G753" s="14"/>
      <c r="H753" s="14"/>
      <c r="I753" s="14"/>
      <c r="J753" s="14"/>
      <c r="K753" s="12"/>
    </row>
    <row r="754" ht="19.5" customHeight="1">
      <c r="A754" s="12"/>
      <c r="C754" s="12"/>
      <c r="D754" s="13"/>
      <c r="F754" s="14"/>
      <c r="G754" s="14"/>
      <c r="H754" s="14"/>
      <c r="I754" s="14"/>
      <c r="J754" s="14"/>
      <c r="K754" s="12"/>
    </row>
    <row r="755" ht="19.5" customHeight="1">
      <c r="A755" s="12"/>
      <c r="C755" s="12"/>
      <c r="D755" s="13"/>
      <c r="F755" s="14"/>
      <c r="G755" s="14"/>
      <c r="H755" s="14"/>
      <c r="I755" s="14"/>
      <c r="J755" s="14"/>
      <c r="K755" s="12"/>
    </row>
    <row r="756" ht="19.5" customHeight="1">
      <c r="A756" s="12"/>
      <c r="C756" s="12"/>
      <c r="D756" s="13"/>
      <c r="F756" s="14"/>
      <c r="G756" s="14"/>
      <c r="H756" s="14"/>
      <c r="I756" s="14"/>
      <c r="J756" s="14"/>
      <c r="K756" s="12"/>
    </row>
    <row r="757" ht="19.5" customHeight="1">
      <c r="A757" s="12"/>
      <c r="C757" s="12"/>
      <c r="D757" s="13"/>
      <c r="F757" s="14"/>
      <c r="G757" s="14"/>
      <c r="H757" s="14"/>
      <c r="I757" s="14"/>
      <c r="J757" s="14"/>
      <c r="K757" s="12"/>
    </row>
    <row r="758" ht="19.5" customHeight="1">
      <c r="A758" s="12"/>
      <c r="C758" s="12"/>
      <c r="D758" s="13"/>
      <c r="F758" s="14"/>
      <c r="G758" s="14"/>
      <c r="H758" s="14"/>
      <c r="I758" s="14"/>
      <c r="J758" s="14"/>
      <c r="K758" s="12"/>
    </row>
    <row r="759" ht="19.5" customHeight="1">
      <c r="A759" s="12"/>
      <c r="C759" s="12"/>
      <c r="D759" s="13"/>
      <c r="F759" s="14"/>
      <c r="G759" s="14"/>
      <c r="H759" s="14"/>
      <c r="I759" s="14"/>
      <c r="J759" s="14"/>
      <c r="K759" s="12"/>
    </row>
    <row r="760" ht="19.5" customHeight="1">
      <c r="A760" s="12"/>
      <c r="C760" s="12"/>
      <c r="D760" s="13"/>
      <c r="F760" s="14"/>
      <c r="G760" s="14"/>
      <c r="H760" s="14"/>
      <c r="I760" s="14"/>
      <c r="J760" s="14"/>
      <c r="K760" s="12"/>
    </row>
    <row r="761" ht="19.5" customHeight="1">
      <c r="A761" s="12"/>
      <c r="C761" s="12"/>
      <c r="D761" s="13"/>
      <c r="F761" s="14"/>
      <c r="G761" s="14"/>
      <c r="H761" s="14"/>
      <c r="I761" s="14"/>
      <c r="J761" s="14"/>
      <c r="K761" s="12"/>
    </row>
    <row r="762" ht="19.5" customHeight="1">
      <c r="A762" s="12"/>
      <c r="C762" s="12"/>
      <c r="D762" s="13"/>
      <c r="F762" s="14"/>
      <c r="G762" s="14"/>
      <c r="H762" s="14"/>
      <c r="I762" s="14"/>
      <c r="J762" s="14"/>
      <c r="K762" s="12"/>
    </row>
    <row r="763" ht="19.5" customHeight="1">
      <c r="A763" s="12"/>
      <c r="C763" s="12"/>
      <c r="D763" s="13"/>
      <c r="F763" s="14"/>
      <c r="G763" s="14"/>
      <c r="H763" s="14"/>
      <c r="I763" s="14"/>
      <c r="J763" s="14"/>
      <c r="K763" s="12"/>
    </row>
    <row r="764" ht="19.5" customHeight="1">
      <c r="A764" s="12"/>
      <c r="C764" s="12"/>
      <c r="D764" s="13"/>
      <c r="F764" s="14"/>
      <c r="G764" s="14"/>
      <c r="H764" s="14"/>
      <c r="I764" s="14"/>
      <c r="J764" s="14"/>
      <c r="K764" s="12"/>
    </row>
    <row r="765" ht="19.5" customHeight="1">
      <c r="A765" s="12"/>
      <c r="C765" s="12"/>
      <c r="D765" s="13"/>
      <c r="F765" s="14"/>
      <c r="G765" s="14"/>
      <c r="H765" s="14"/>
      <c r="I765" s="14"/>
      <c r="J765" s="14"/>
      <c r="K765" s="12"/>
    </row>
    <row r="766" ht="19.5" customHeight="1">
      <c r="A766" s="12"/>
      <c r="C766" s="12"/>
      <c r="D766" s="13"/>
      <c r="F766" s="14"/>
      <c r="G766" s="14"/>
      <c r="H766" s="14"/>
      <c r="I766" s="14"/>
      <c r="J766" s="14"/>
      <c r="K766" s="12"/>
    </row>
    <row r="767" ht="19.5" customHeight="1">
      <c r="A767" s="12"/>
      <c r="C767" s="12"/>
      <c r="D767" s="13"/>
      <c r="F767" s="14"/>
      <c r="G767" s="14"/>
      <c r="H767" s="14"/>
      <c r="I767" s="14"/>
      <c r="J767" s="14"/>
      <c r="K767" s="12"/>
    </row>
    <row r="768" ht="19.5" customHeight="1">
      <c r="A768" s="12"/>
      <c r="C768" s="12"/>
      <c r="D768" s="13"/>
      <c r="F768" s="14"/>
      <c r="G768" s="14"/>
      <c r="H768" s="14"/>
      <c r="I768" s="14"/>
      <c r="J768" s="14"/>
      <c r="K768" s="12"/>
    </row>
    <row r="769" ht="19.5" customHeight="1">
      <c r="A769" s="12"/>
      <c r="C769" s="12"/>
      <c r="D769" s="13"/>
      <c r="F769" s="14"/>
      <c r="G769" s="14"/>
      <c r="H769" s="14"/>
      <c r="I769" s="14"/>
      <c r="J769" s="14"/>
      <c r="K769" s="12"/>
    </row>
    <row r="770" ht="19.5" customHeight="1">
      <c r="A770" s="12"/>
      <c r="C770" s="12"/>
      <c r="D770" s="13"/>
      <c r="F770" s="14"/>
      <c r="G770" s="14"/>
      <c r="H770" s="14"/>
      <c r="I770" s="14"/>
      <c r="J770" s="14"/>
      <c r="K770" s="12"/>
    </row>
    <row r="771" ht="19.5" customHeight="1">
      <c r="A771" s="12"/>
      <c r="C771" s="12"/>
      <c r="D771" s="13"/>
      <c r="F771" s="14"/>
      <c r="G771" s="14"/>
      <c r="H771" s="14"/>
      <c r="I771" s="14"/>
      <c r="J771" s="14"/>
      <c r="K771" s="12"/>
    </row>
    <row r="772" ht="19.5" customHeight="1">
      <c r="A772" s="12"/>
      <c r="C772" s="12"/>
      <c r="D772" s="13"/>
      <c r="F772" s="14"/>
      <c r="G772" s="14"/>
      <c r="H772" s="14"/>
      <c r="I772" s="14"/>
      <c r="J772" s="14"/>
      <c r="K772" s="12"/>
    </row>
    <row r="773" ht="19.5" customHeight="1">
      <c r="A773" s="12"/>
      <c r="C773" s="12"/>
      <c r="D773" s="13"/>
      <c r="F773" s="14"/>
      <c r="G773" s="14"/>
      <c r="H773" s="14"/>
      <c r="I773" s="14"/>
      <c r="J773" s="14"/>
      <c r="K773" s="12"/>
    </row>
    <row r="774" ht="19.5" customHeight="1">
      <c r="A774" s="12"/>
      <c r="C774" s="12"/>
      <c r="D774" s="13"/>
      <c r="F774" s="14"/>
      <c r="G774" s="14"/>
      <c r="H774" s="14"/>
      <c r="I774" s="14"/>
      <c r="J774" s="14"/>
      <c r="K774" s="12"/>
    </row>
    <row r="775" ht="19.5" customHeight="1">
      <c r="A775" s="12"/>
      <c r="C775" s="12"/>
      <c r="D775" s="13"/>
      <c r="F775" s="14"/>
      <c r="G775" s="14"/>
      <c r="H775" s="14"/>
      <c r="I775" s="14"/>
      <c r="J775" s="14"/>
      <c r="K775" s="12"/>
    </row>
    <row r="776" ht="19.5" customHeight="1">
      <c r="A776" s="12"/>
      <c r="C776" s="12"/>
      <c r="D776" s="13"/>
      <c r="F776" s="14"/>
      <c r="G776" s="14"/>
      <c r="H776" s="14"/>
      <c r="I776" s="14"/>
      <c r="J776" s="14"/>
      <c r="K776" s="12"/>
    </row>
    <row r="777" ht="19.5" customHeight="1">
      <c r="A777" s="12"/>
      <c r="C777" s="12"/>
      <c r="D777" s="13"/>
      <c r="F777" s="14"/>
      <c r="G777" s="14"/>
      <c r="H777" s="14"/>
      <c r="I777" s="14"/>
      <c r="J777" s="14"/>
      <c r="K777" s="12"/>
    </row>
    <row r="778" ht="19.5" customHeight="1">
      <c r="A778" s="12"/>
      <c r="C778" s="12"/>
      <c r="D778" s="13"/>
      <c r="F778" s="14"/>
      <c r="G778" s="14"/>
      <c r="H778" s="14"/>
      <c r="I778" s="14"/>
      <c r="J778" s="14"/>
      <c r="K778" s="12"/>
    </row>
    <row r="779" ht="19.5" customHeight="1">
      <c r="A779" s="12"/>
      <c r="C779" s="12"/>
      <c r="D779" s="13"/>
      <c r="F779" s="14"/>
      <c r="G779" s="14"/>
      <c r="H779" s="14"/>
      <c r="I779" s="14"/>
      <c r="J779" s="14"/>
      <c r="K779" s="12"/>
    </row>
    <row r="780" ht="19.5" customHeight="1">
      <c r="A780" s="12"/>
      <c r="C780" s="12"/>
      <c r="D780" s="13"/>
      <c r="F780" s="14"/>
      <c r="G780" s="14"/>
      <c r="H780" s="14"/>
      <c r="I780" s="14"/>
      <c r="J780" s="14"/>
      <c r="K780" s="12"/>
    </row>
    <row r="781" ht="19.5" customHeight="1">
      <c r="A781" s="12"/>
      <c r="C781" s="12"/>
      <c r="D781" s="13"/>
      <c r="F781" s="14"/>
      <c r="G781" s="14"/>
      <c r="H781" s="14"/>
      <c r="I781" s="14"/>
      <c r="J781" s="14"/>
      <c r="K781" s="12"/>
    </row>
    <row r="782" ht="19.5" customHeight="1">
      <c r="A782" s="12"/>
      <c r="C782" s="12"/>
      <c r="D782" s="13"/>
      <c r="F782" s="14"/>
      <c r="G782" s="14"/>
      <c r="H782" s="14"/>
      <c r="I782" s="14"/>
      <c r="J782" s="14"/>
      <c r="K782" s="12"/>
    </row>
    <row r="783" ht="19.5" customHeight="1">
      <c r="A783" s="12"/>
      <c r="C783" s="12"/>
      <c r="D783" s="13"/>
      <c r="F783" s="14"/>
      <c r="G783" s="14"/>
      <c r="H783" s="14"/>
      <c r="I783" s="14"/>
      <c r="J783" s="14"/>
      <c r="K783" s="12"/>
    </row>
    <row r="784" ht="19.5" customHeight="1">
      <c r="A784" s="12"/>
      <c r="C784" s="12"/>
      <c r="D784" s="13"/>
      <c r="F784" s="14"/>
      <c r="G784" s="14"/>
      <c r="H784" s="14"/>
      <c r="I784" s="14"/>
      <c r="J784" s="14"/>
      <c r="K784" s="12"/>
    </row>
    <row r="785" ht="19.5" customHeight="1">
      <c r="A785" s="12"/>
      <c r="C785" s="12"/>
      <c r="D785" s="13"/>
      <c r="F785" s="14"/>
      <c r="G785" s="14"/>
      <c r="H785" s="14"/>
      <c r="I785" s="14"/>
      <c r="J785" s="14"/>
      <c r="K785" s="12"/>
    </row>
    <row r="786" ht="19.5" customHeight="1">
      <c r="A786" s="12"/>
      <c r="C786" s="12"/>
      <c r="D786" s="13"/>
      <c r="F786" s="14"/>
      <c r="G786" s="14"/>
      <c r="H786" s="14"/>
      <c r="I786" s="14"/>
      <c r="J786" s="14"/>
      <c r="K786" s="12"/>
    </row>
    <row r="787" ht="19.5" customHeight="1">
      <c r="A787" s="12"/>
      <c r="C787" s="12"/>
      <c r="D787" s="13"/>
      <c r="F787" s="14"/>
      <c r="G787" s="14"/>
      <c r="H787" s="14"/>
      <c r="I787" s="14"/>
      <c r="J787" s="14"/>
      <c r="K787" s="12"/>
    </row>
    <row r="788" ht="19.5" customHeight="1">
      <c r="A788" s="12"/>
      <c r="C788" s="12"/>
      <c r="D788" s="13"/>
      <c r="F788" s="14"/>
      <c r="G788" s="14"/>
      <c r="H788" s="14"/>
      <c r="I788" s="14"/>
      <c r="J788" s="14"/>
      <c r="K788" s="12"/>
    </row>
    <row r="789" ht="19.5" customHeight="1">
      <c r="A789" s="12"/>
      <c r="C789" s="12"/>
      <c r="D789" s="13"/>
      <c r="F789" s="14"/>
      <c r="G789" s="14"/>
      <c r="H789" s="14"/>
      <c r="I789" s="14"/>
      <c r="J789" s="14"/>
      <c r="K789" s="12"/>
    </row>
    <row r="790" ht="19.5" customHeight="1">
      <c r="A790" s="12"/>
      <c r="C790" s="12"/>
      <c r="D790" s="13"/>
      <c r="F790" s="14"/>
      <c r="G790" s="14"/>
      <c r="H790" s="14"/>
      <c r="I790" s="14"/>
      <c r="J790" s="14"/>
      <c r="K790" s="12"/>
    </row>
    <row r="791" ht="19.5" customHeight="1">
      <c r="A791" s="12"/>
      <c r="C791" s="12"/>
      <c r="D791" s="13"/>
      <c r="F791" s="14"/>
      <c r="G791" s="14"/>
      <c r="H791" s="14"/>
      <c r="I791" s="14"/>
      <c r="J791" s="14"/>
      <c r="K791" s="12"/>
    </row>
    <row r="792" ht="19.5" customHeight="1">
      <c r="A792" s="12"/>
      <c r="C792" s="12"/>
      <c r="D792" s="13"/>
      <c r="F792" s="14"/>
      <c r="G792" s="14"/>
      <c r="H792" s="14"/>
      <c r="I792" s="14"/>
      <c r="J792" s="14"/>
      <c r="K792" s="12"/>
    </row>
    <row r="793" ht="19.5" customHeight="1">
      <c r="A793" s="12"/>
      <c r="C793" s="12"/>
      <c r="D793" s="13"/>
      <c r="F793" s="14"/>
      <c r="G793" s="14"/>
      <c r="H793" s="14"/>
      <c r="I793" s="14"/>
      <c r="J793" s="14"/>
      <c r="K793" s="12"/>
    </row>
    <row r="794" ht="19.5" customHeight="1">
      <c r="A794" s="12"/>
      <c r="C794" s="12"/>
      <c r="D794" s="13"/>
      <c r="F794" s="14"/>
      <c r="G794" s="14"/>
      <c r="H794" s="14"/>
      <c r="I794" s="14"/>
      <c r="J794" s="14"/>
      <c r="K794" s="12"/>
    </row>
    <row r="795" ht="19.5" customHeight="1">
      <c r="A795" s="12"/>
      <c r="C795" s="12"/>
      <c r="D795" s="13"/>
      <c r="F795" s="14"/>
      <c r="G795" s="14"/>
      <c r="H795" s="14"/>
      <c r="I795" s="14"/>
      <c r="J795" s="14"/>
      <c r="K795" s="12"/>
    </row>
    <row r="796" ht="19.5" customHeight="1">
      <c r="A796" s="12"/>
      <c r="C796" s="12"/>
      <c r="D796" s="13"/>
      <c r="F796" s="14"/>
      <c r="G796" s="14"/>
      <c r="H796" s="14"/>
      <c r="I796" s="14"/>
      <c r="J796" s="14"/>
      <c r="K796" s="12"/>
    </row>
    <row r="797" ht="19.5" customHeight="1">
      <c r="A797" s="12"/>
      <c r="C797" s="12"/>
      <c r="D797" s="13"/>
      <c r="F797" s="14"/>
      <c r="G797" s="14"/>
      <c r="H797" s="14"/>
      <c r="I797" s="14"/>
      <c r="J797" s="14"/>
      <c r="K797" s="12"/>
    </row>
    <row r="798" ht="19.5" customHeight="1">
      <c r="A798" s="12"/>
      <c r="C798" s="12"/>
      <c r="D798" s="13"/>
      <c r="F798" s="14"/>
      <c r="G798" s="14"/>
      <c r="H798" s="14"/>
      <c r="I798" s="14"/>
      <c r="J798" s="14"/>
      <c r="K798" s="12"/>
    </row>
    <row r="799" ht="19.5" customHeight="1">
      <c r="A799" s="12"/>
      <c r="C799" s="12"/>
      <c r="D799" s="13"/>
      <c r="F799" s="14"/>
      <c r="G799" s="14"/>
      <c r="H799" s="14"/>
      <c r="I799" s="14"/>
      <c r="J799" s="14"/>
      <c r="K799" s="12"/>
    </row>
    <row r="800" ht="19.5" customHeight="1">
      <c r="A800" s="12"/>
      <c r="C800" s="12"/>
      <c r="D800" s="13"/>
      <c r="F800" s="14"/>
      <c r="G800" s="14"/>
      <c r="H800" s="14"/>
      <c r="I800" s="14"/>
      <c r="J800" s="14"/>
      <c r="K800" s="12"/>
    </row>
    <row r="801" ht="19.5" customHeight="1">
      <c r="A801" s="12"/>
      <c r="C801" s="12"/>
      <c r="D801" s="13"/>
      <c r="F801" s="14"/>
      <c r="G801" s="14"/>
      <c r="H801" s="14"/>
      <c r="I801" s="14"/>
      <c r="J801" s="14"/>
      <c r="K801" s="12"/>
    </row>
    <row r="802" ht="19.5" customHeight="1">
      <c r="A802" s="12"/>
      <c r="C802" s="12"/>
      <c r="D802" s="13"/>
      <c r="F802" s="14"/>
      <c r="G802" s="14"/>
      <c r="H802" s="14"/>
      <c r="I802" s="14"/>
      <c r="J802" s="14"/>
      <c r="K802" s="12"/>
    </row>
    <row r="803" ht="19.5" customHeight="1">
      <c r="A803" s="12"/>
      <c r="C803" s="12"/>
      <c r="D803" s="13"/>
      <c r="F803" s="14"/>
      <c r="G803" s="14"/>
      <c r="H803" s="14"/>
      <c r="I803" s="14"/>
      <c r="J803" s="14"/>
      <c r="K803" s="12"/>
    </row>
    <row r="804" ht="19.5" customHeight="1">
      <c r="A804" s="12"/>
      <c r="C804" s="12"/>
      <c r="D804" s="13"/>
      <c r="F804" s="14"/>
      <c r="G804" s="14"/>
      <c r="H804" s="14"/>
      <c r="I804" s="14"/>
      <c r="J804" s="14"/>
      <c r="K804" s="12"/>
    </row>
    <row r="805" ht="19.5" customHeight="1">
      <c r="A805" s="12"/>
      <c r="C805" s="12"/>
      <c r="D805" s="13"/>
      <c r="F805" s="14"/>
      <c r="G805" s="14"/>
      <c r="H805" s="14"/>
      <c r="I805" s="14"/>
      <c r="J805" s="14"/>
      <c r="K805" s="12"/>
    </row>
    <row r="806" ht="19.5" customHeight="1">
      <c r="A806" s="12"/>
      <c r="C806" s="12"/>
      <c r="D806" s="13"/>
      <c r="F806" s="14"/>
      <c r="G806" s="14"/>
      <c r="H806" s="14"/>
      <c r="I806" s="14"/>
      <c r="J806" s="14"/>
      <c r="K806" s="12"/>
    </row>
    <row r="807" ht="19.5" customHeight="1">
      <c r="A807" s="12"/>
      <c r="C807" s="12"/>
      <c r="D807" s="13"/>
      <c r="F807" s="14"/>
      <c r="G807" s="14"/>
      <c r="H807" s="14"/>
      <c r="I807" s="14"/>
      <c r="J807" s="14"/>
      <c r="K807" s="12"/>
    </row>
    <row r="808" ht="19.5" customHeight="1">
      <c r="A808" s="12"/>
      <c r="C808" s="12"/>
      <c r="D808" s="13"/>
      <c r="F808" s="14"/>
      <c r="G808" s="14"/>
      <c r="H808" s="14"/>
      <c r="I808" s="14"/>
      <c r="J808" s="14"/>
      <c r="K808" s="12"/>
    </row>
    <row r="809" ht="19.5" customHeight="1">
      <c r="A809" s="12"/>
      <c r="C809" s="12"/>
      <c r="D809" s="13"/>
      <c r="F809" s="14"/>
      <c r="G809" s="14"/>
      <c r="H809" s="14"/>
      <c r="I809" s="14"/>
      <c r="J809" s="14"/>
      <c r="K809" s="12"/>
    </row>
    <row r="810" ht="19.5" customHeight="1">
      <c r="A810" s="12"/>
      <c r="C810" s="12"/>
      <c r="D810" s="13"/>
      <c r="F810" s="14"/>
      <c r="G810" s="14"/>
      <c r="H810" s="14"/>
      <c r="I810" s="14"/>
      <c r="J810" s="14"/>
      <c r="K810" s="12"/>
    </row>
    <row r="811" ht="19.5" customHeight="1">
      <c r="A811" s="12"/>
      <c r="C811" s="12"/>
      <c r="D811" s="13"/>
      <c r="F811" s="14"/>
      <c r="G811" s="14"/>
      <c r="H811" s="14"/>
      <c r="I811" s="14"/>
      <c r="J811" s="14"/>
      <c r="K811" s="12"/>
    </row>
    <row r="812" ht="19.5" customHeight="1">
      <c r="A812" s="12"/>
      <c r="C812" s="12"/>
      <c r="D812" s="13"/>
      <c r="F812" s="14"/>
      <c r="G812" s="14"/>
      <c r="H812" s="14"/>
      <c r="I812" s="14"/>
      <c r="J812" s="14"/>
      <c r="K812" s="12"/>
    </row>
    <row r="813" ht="19.5" customHeight="1">
      <c r="A813" s="12"/>
      <c r="C813" s="12"/>
      <c r="D813" s="13"/>
      <c r="F813" s="14"/>
      <c r="G813" s="14"/>
      <c r="H813" s="14"/>
      <c r="I813" s="14"/>
      <c r="J813" s="14"/>
      <c r="K813" s="12"/>
    </row>
    <row r="814" ht="19.5" customHeight="1">
      <c r="A814" s="12"/>
      <c r="C814" s="12"/>
      <c r="D814" s="13"/>
      <c r="F814" s="14"/>
      <c r="G814" s="14"/>
      <c r="H814" s="14"/>
      <c r="I814" s="14"/>
      <c r="J814" s="14"/>
      <c r="K814" s="12"/>
    </row>
    <row r="815" ht="19.5" customHeight="1">
      <c r="A815" s="12"/>
      <c r="C815" s="12"/>
      <c r="D815" s="13"/>
      <c r="F815" s="14"/>
      <c r="G815" s="14"/>
      <c r="H815" s="14"/>
      <c r="I815" s="14"/>
      <c r="J815" s="14"/>
      <c r="K815" s="12"/>
    </row>
    <row r="816" ht="19.5" customHeight="1">
      <c r="A816" s="12"/>
      <c r="C816" s="12"/>
      <c r="D816" s="13"/>
      <c r="F816" s="14"/>
      <c r="G816" s="14"/>
      <c r="H816" s="14"/>
      <c r="I816" s="14"/>
      <c r="J816" s="14"/>
      <c r="K816" s="12"/>
    </row>
    <row r="817" ht="19.5" customHeight="1">
      <c r="A817" s="12"/>
      <c r="C817" s="12"/>
      <c r="D817" s="13"/>
      <c r="F817" s="14"/>
      <c r="G817" s="14"/>
      <c r="H817" s="14"/>
      <c r="I817" s="14"/>
      <c r="J817" s="14"/>
      <c r="K817" s="12"/>
    </row>
    <row r="818" ht="19.5" customHeight="1">
      <c r="A818" s="12"/>
      <c r="C818" s="12"/>
      <c r="D818" s="13"/>
      <c r="F818" s="14"/>
      <c r="G818" s="14"/>
      <c r="H818" s="14"/>
      <c r="I818" s="14"/>
      <c r="J818" s="14"/>
      <c r="K818" s="12"/>
    </row>
    <row r="819" ht="19.5" customHeight="1">
      <c r="A819" s="12"/>
      <c r="C819" s="12"/>
      <c r="D819" s="13"/>
      <c r="F819" s="14"/>
      <c r="G819" s="14"/>
      <c r="H819" s="14"/>
      <c r="I819" s="14"/>
      <c r="J819" s="14"/>
      <c r="K819" s="12"/>
    </row>
    <row r="820" ht="19.5" customHeight="1">
      <c r="A820" s="12"/>
      <c r="C820" s="12"/>
      <c r="D820" s="13"/>
      <c r="F820" s="14"/>
      <c r="G820" s="14"/>
      <c r="H820" s="14"/>
      <c r="I820" s="14"/>
      <c r="J820" s="14"/>
      <c r="K820" s="12"/>
    </row>
    <row r="821" ht="19.5" customHeight="1">
      <c r="A821" s="12"/>
      <c r="C821" s="12"/>
      <c r="D821" s="13"/>
      <c r="F821" s="14"/>
      <c r="G821" s="14"/>
      <c r="H821" s="14"/>
      <c r="I821" s="14"/>
      <c r="J821" s="14"/>
      <c r="K821" s="12"/>
    </row>
    <row r="822" ht="19.5" customHeight="1">
      <c r="A822" s="12"/>
      <c r="C822" s="12"/>
      <c r="D822" s="13"/>
      <c r="F822" s="14"/>
      <c r="G822" s="14"/>
      <c r="H822" s="14"/>
      <c r="I822" s="14"/>
      <c r="J822" s="14"/>
      <c r="K822" s="12"/>
    </row>
    <row r="823" ht="19.5" customHeight="1">
      <c r="A823" s="12"/>
      <c r="C823" s="12"/>
      <c r="D823" s="13"/>
      <c r="F823" s="14"/>
      <c r="G823" s="14"/>
      <c r="H823" s="14"/>
      <c r="I823" s="14"/>
      <c r="J823" s="14"/>
      <c r="K823" s="12"/>
    </row>
    <row r="824" ht="19.5" customHeight="1">
      <c r="A824" s="12"/>
      <c r="C824" s="12"/>
      <c r="D824" s="13"/>
      <c r="F824" s="14"/>
      <c r="G824" s="14"/>
      <c r="H824" s="14"/>
      <c r="I824" s="14"/>
      <c r="J824" s="14"/>
      <c r="K824" s="12"/>
    </row>
    <row r="825" ht="19.5" customHeight="1">
      <c r="A825" s="12"/>
      <c r="C825" s="12"/>
      <c r="D825" s="13"/>
      <c r="F825" s="14"/>
      <c r="G825" s="14"/>
      <c r="H825" s="14"/>
      <c r="I825" s="14"/>
      <c r="J825" s="14"/>
      <c r="K825" s="12"/>
    </row>
    <row r="826" ht="19.5" customHeight="1">
      <c r="A826" s="12"/>
      <c r="C826" s="12"/>
      <c r="D826" s="13"/>
      <c r="F826" s="14"/>
      <c r="G826" s="14"/>
      <c r="H826" s="14"/>
      <c r="I826" s="14"/>
      <c r="J826" s="14"/>
      <c r="K826" s="12"/>
    </row>
    <row r="827" ht="19.5" customHeight="1">
      <c r="A827" s="12"/>
      <c r="C827" s="12"/>
      <c r="D827" s="13"/>
      <c r="F827" s="14"/>
      <c r="G827" s="14"/>
      <c r="H827" s="14"/>
      <c r="I827" s="14"/>
      <c r="J827" s="14"/>
      <c r="K827" s="12"/>
    </row>
    <row r="828" ht="19.5" customHeight="1">
      <c r="A828" s="12"/>
      <c r="C828" s="12"/>
      <c r="D828" s="13"/>
      <c r="F828" s="14"/>
      <c r="G828" s="14"/>
      <c r="H828" s="14"/>
      <c r="I828" s="14"/>
      <c r="J828" s="14"/>
      <c r="K828" s="12"/>
    </row>
    <row r="829" ht="19.5" customHeight="1">
      <c r="A829" s="12"/>
      <c r="C829" s="12"/>
      <c r="D829" s="13"/>
      <c r="F829" s="14"/>
      <c r="G829" s="14"/>
      <c r="H829" s="14"/>
      <c r="I829" s="14"/>
      <c r="J829" s="14"/>
      <c r="K829" s="12"/>
    </row>
    <row r="830" ht="19.5" customHeight="1">
      <c r="A830" s="12"/>
      <c r="C830" s="12"/>
      <c r="D830" s="13"/>
      <c r="F830" s="14"/>
      <c r="G830" s="14"/>
      <c r="H830" s="14"/>
      <c r="I830" s="14"/>
      <c r="J830" s="14"/>
      <c r="K830" s="12"/>
    </row>
    <row r="831" ht="19.5" customHeight="1">
      <c r="A831" s="12"/>
      <c r="C831" s="12"/>
      <c r="D831" s="13"/>
      <c r="F831" s="14"/>
      <c r="G831" s="14"/>
      <c r="H831" s="14"/>
      <c r="I831" s="14"/>
      <c r="J831" s="14"/>
      <c r="K831" s="12"/>
    </row>
    <row r="832" ht="19.5" customHeight="1">
      <c r="A832" s="12"/>
      <c r="C832" s="12"/>
      <c r="D832" s="13"/>
      <c r="F832" s="14"/>
      <c r="G832" s="14"/>
      <c r="H832" s="14"/>
      <c r="I832" s="14"/>
      <c r="J832" s="14"/>
      <c r="K832" s="12"/>
    </row>
    <row r="833" ht="19.5" customHeight="1">
      <c r="A833" s="12"/>
      <c r="C833" s="12"/>
      <c r="D833" s="13"/>
      <c r="F833" s="14"/>
      <c r="G833" s="14"/>
      <c r="H833" s="14"/>
      <c r="I833" s="14"/>
      <c r="J833" s="14"/>
      <c r="K833" s="12"/>
    </row>
    <row r="834" ht="19.5" customHeight="1">
      <c r="A834" s="12"/>
      <c r="C834" s="12"/>
      <c r="D834" s="13"/>
      <c r="F834" s="14"/>
      <c r="G834" s="14"/>
      <c r="H834" s="14"/>
      <c r="I834" s="14"/>
      <c r="J834" s="14"/>
      <c r="K834" s="12"/>
    </row>
    <row r="835" ht="19.5" customHeight="1">
      <c r="A835" s="12"/>
      <c r="C835" s="12"/>
      <c r="D835" s="13"/>
      <c r="F835" s="14"/>
      <c r="G835" s="14"/>
      <c r="H835" s="14"/>
      <c r="I835" s="14"/>
      <c r="J835" s="14"/>
      <c r="K835" s="12"/>
    </row>
    <row r="836" ht="19.5" customHeight="1">
      <c r="A836" s="12"/>
      <c r="C836" s="12"/>
      <c r="D836" s="13"/>
      <c r="F836" s="14"/>
      <c r="G836" s="14"/>
      <c r="H836" s="14"/>
      <c r="I836" s="14"/>
      <c r="J836" s="14"/>
      <c r="K836" s="12"/>
    </row>
    <row r="837" ht="19.5" customHeight="1">
      <c r="A837" s="12"/>
      <c r="C837" s="12"/>
      <c r="D837" s="13"/>
      <c r="F837" s="14"/>
      <c r="G837" s="14"/>
      <c r="H837" s="14"/>
      <c r="I837" s="14"/>
      <c r="J837" s="14"/>
      <c r="K837" s="12"/>
    </row>
    <row r="838" ht="19.5" customHeight="1">
      <c r="A838" s="12"/>
      <c r="C838" s="12"/>
      <c r="D838" s="13"/>
      <c r="F838" s="14"/>
      <c r="G838" s="14"/>
      <c r="H838" s="14"/>
      <c r="I838" s="14"/>
      <c r="J838" s="14"/>
      <c r="K838" s="12"/>
    </row>
    <row r="839" ht="19.5" customHeight="1">
      <c r="A839" s="12"/>
      <c r="C839" s="12"/>
      <c r="D839" s="13"/>
      <c r="F839" s="14"/>
      <c r="G839" s="14"/>
      <c r="H839" s="14"/>
      <c r="I839" s="14"/>
      <c r="J839" s="14"/>
      <c r="K839" s="12"/>
    </row>
    <row r="840" ht="19.5" customHeight="1">
      <c r="A840" s="12"/>
      <c r="C840" s="12"/>
      <c r="D840" s="13"/>
      <c r="F840" s="14"/>
      <c r="G840" s="14"/>
      <c r="H840" s="14"/>
      <c r="I840" s="14"/>
      <c r="J840" s="14"/>
      <c r="K840" s="12"/>
    </row>
    <row r="841" ht="19.5" customHeight="1">
      <c r="A841" s="12"/>
      <c r="C841" s="12"/>
      <c r="D841" s="13"/>
      <c r="F841" s="14"/>
      <c r="G841" s="14"/>
      <c r="H841" s="14"/>
      <c r="I841" s="14"/>
      <c r="J841" s="14"/>
      <c r="K841" s="12"/>
    </row>
    <row r="842" ht="19.5" customHeight="1">
      <c r="A842" s="12"/>
      <c r="C842" s="12"/>
      <c r="D842" s="13"/>
      <c r="F842" s="14"/>
      <c r="G842" s="14"/>
      <c r="H842" s="14"/>
      <c r="I842" s="14"/>
      <c r="J842" s="14"/>
      <c r="K842" s="12"/>
    </row>
    <row r="843" ht="19.5" customHeight="1">
      <c r="A843" s="12"/>
      <c r="C843" s="12"/>
      <c r="D843" s="13"/>
      <c r="F843" s="14"/>
      <c r="G843" s="14"/>
      <c r="H843" s="14"/>
      <c r="I843" s="14"/>
      <c r="J843" s="14"/>
      <c r="K843" s="12"/>
    </row>
    <row r="844" ht="19.5" customHeight="1">
      <c r="A844" s="12"/>
      <c r="C844" s="12"/>
      <c r="D844" s="13"/>
      <c r="F844" s="14"/>
      <c r="G844" s="14"/>
      <c r="H844" s="14"/>
      <c r="I844" s="14"/>
      <c r="J844" s="14"/>
      <c r="K844" s="12"/>
    </row>
    <row r="845" ht="19.5" customHeight="1">
      <c r="A845" s="12"/>
      <c r="C845" s="12"/>
      <c r="D845" s="13"/>
      <c r="F845" s="14"/>
      <c r="G845" s="14"/>
      <c r="H845" s="14"/>
      <c r="I845" s="14"/>
      <c r="J845" s="14"/>
      <c r="K845" s="12"/>
    </row>
    <row r="846" ht="19.5" customHeight="1">
      <c r="A846" s="12"/>
      <c r="C846" s="12"/>
      <c r="D846" s="13"/>
      <c r="F846" s="14"/>
      <c r="G846" s="14"/>
      <c r="H846" s="14"/>
      <c r="I846" s="14"/>
      <c r="J846" s="14"/>
      <c r="K846" s="12"/>
    </row>
    <row r="847" ht="19.5" customHeight="1">
      <c r="A847" s="12"/>
      <c r="C847" s="12"/>
      <c r="D847" s="13"/>
      <c r="F847" s="14"/>
      <c r="G847" s="14"/>
      <c r="H847" s="14"/>
      <c r="I847" s="14"/>
      <c r="J847" s="14"/>
      <c r="K847" s="12"/>
    </row>
    <row r="848" ht="19.5" customHeight="1">
      <c r="A848" s="12"/>
      <c r="C848" s="12"/>
      <c r="D848" s="13"/>
      <c r="F848" s="14"/>
      <c r="G848" s="14"/>
      <c r="H848" s="14"/>
      <c r="I848" s="14"/>
      <c r="J848" s="14"/>
      <c r="K848" s="12"/>
    </row>
    <row r="849" ht="19.5" customHeight="1">
      <c r="A849" s="12"/>
      <c r="C849" s="12"/>
      <c r="D849" s="13"/>
      <c r="F849" s="14"/>
      <c r="G849" s="14"/>
      <c r="H849" s="14"/>
      <c r="I849" s="14"/>
      <c r="J849" s="14"/>
      <c r="K849" s="12"/>
    </row>
    <row r="850" ht="19.5" customHeight="1">
      <c r="A850" s="12"/>
      <c r="C850" s="12"/>
      <c r="D850" s="13"/>
      <c r="F850" s="14"/>
      <c r="G850" s="14"/>
      <c r="H850" s="14"/>
      <c r="I850" s="14"/>
      <c r="J850" s="14"/>
      <c r="K850" s="12"/>
    </row>
    <row r="851" ht="19.5" customHeight="1">
      <c r="A851" s="12"/>
      <c r="C851" s="12"/>
      <c r="D851" s="13"/>
      <c r="F851" s="14"/>
      <c r="G851" s="14"/>
      <c r="H851" s="14"/>
      <c r="I851" s="14"/>
      <c r="J851" s="14"/>
      <c r="K851" s="12"/>
    </row>
    <row r="852" ht="19.5" customHeight="1">
      <c r="A852" s="12"/>
      <c r="C852" s="12"/>
      <c r="D852" s="13"/>
      <c r="F852" s="14"/>
      <c r="G852" s="14"/>
      <c r="H852" s="14"/>
      <c r="I852" s="14"/>
      <c r="J852" s="14"/>
      <c r="K852" s="12"/>
    </row>
    <row r="853" ht="19.5" customHeight="1">
      <c r="A853" s="12"/>
      <c r="C853" s="12"/>
      <c r="D853" s="13"/>
      <c r="F853" s="14"/>
      <c r="G853" s="14"/>
      <c r="H853" s="14"/>
      <c r="I853" s="14"/>
      <c r="J853" s="14"/>
      <c r="K853" s="12"/>
    </row>
    <row r="854" ht="19.5" customHeight="1">
      <c r="A854" s="12"/>
      <c r="C854" s="12"/>
      <c r="D854" s="13"/>
      <c r="F854" s="14"/>
      <c r="G854" s="14"/>
      <c r="H854" s="14"/>
      <c r="I854" s="14"/>
      <c r="J854" s="14"/>
      <c r="K854" s="12"/>
    </row>
    <row r="855" ht="19.5" customHeight="1">
      <c r="A855" s="12"/>
      <c r="C855" s="12"/>
      <c r="D855" s="13"/>
      <c r="F855" s="14"/>
      <c r="G855" s="14"/>
      <c r="H855" s="14"/>
      <c r="I855" s="14"/>
      <c r="J855" s="14"/>
      <c r="K855" s="12"/>
    </row>
    <row r="856" ht="19.5" customHeight="1">
      <c r="A856" s="12"/>
      <c r="C856" s="12"/>
      <c r="D856" s="13"/>
      <c r="F856" s="14"/>
      <c r="G856" s="14"/>
      <c r="H856" s="14"/>
      <c r="I856" s="14"/>
      <c r="J856" s="14"/>
      <c r="K856" s="12"/>
    </row>
    <row r="857" ht="19.5" customHeight="1">
      <c r="A857" s="12"/>
      <c r="C857" s="12"/>
      <c r="D857" s="13"/>
      <c r="F857" s="14"/>
      <c r="G857" s="14"/>
      <c r="H857" s="14"/>
      <c r="I857" s="14"/>
      <c r="J857" s="14"/>
      <c r="K857" s="12"/>
    </row>
    <row r="858" ht="19.5" customHeight="1">
      <c r="A858" s="12"/>
      <c r="C858" s="12"/>
      <c r="D858" s="13"/>
      <c r="F858" s="14"/>
      <c r="G858" s="14"/>
      <c r="H858" s="14"/>
      <c r="I858" s="14"/>
      <c r="J858" s="14"/>
      <c r="K858" s="12"/>
    </row>
    <row r="859" ht="19.5" customHeight="1">
      <c r="A859" s="12"/>
      <c r="C859" s="12"/>
      <c r="D859" s="13"/>
      <c r="F859" s="14"/>
      <c r="G859" s="14"/>
      <c r="H859" s="14"/>
      <c r="I859" s="14"/>
      <c r="J859" s="14"/>
      <c r="K859" s="12"/>
    </row>
    <row r="860" ht="19.5" customHeight="1">
      <c r="A860" s="12"/>
      <c r="C860" s="12"/>
      <c r="D860" s="13"/>
      <c r="F860" s="14"/>
      <c r="G860" s="14"/>
      <c r="H860" s="14"/>
      <c r="I860" s="14"/>
      <c r="J860" s="14"/>
      <c r="K860" s="12"/>
    </row>
    <row r="861" ht="19.5" customHeight="1">
      <c r="A861" s="12"/>
      <c r="C861" s="12"/>
      <c r="D861" s="13"/>
      <c r="F861" s="14"/>
      <c r="G861" s="14"/>
      <c r="H861" s="14"/>
      <c r="I861" s="14"/>
      <c r="J861" s="14"/>
      <c r="K861" s="12"/>
    </row>
    <row r="862" ht="19.5" customHeight="1">
      <c r="A862" s="12"/>
      <c r="C862" s="12"/>
      <c r="D862" s="13"/>
      <c r="F862" s="14"/>
      <c r="G862" s="14"/>
      <c r="H862" s="14"/>
      <c r="I862" s="14"/>
      <c r="J862" s="14"/>
      <c r="K862" s="12"/>
    </row>
    <row r="863" ht="19.5" customHeight="1">
      <c r="A863" s="12"/>
      <c r="C863" s="12"/>
      <c r="D863" s="13"/>
      <c r="F863" s="14"/>
      <c r="G863" s="14"/>
      <c r="H863" s="14"/>
      <c r="I863" s="14"/>
      <c r="J863" s="14"/>
      <c r="K863" s="12"/>
    </row>
    <row r="864" ht="19.5" customHeight="1">
      <c r="A864" s="12"/>
      <c r="C864" s="12"/>
      <c r="D864" s="13"/>
      <c r="F864" s="14"/>
      <c r="G864" s="14"/>
      <c r="H864" s="14"/>
      <c r="I864" s="14"/>
      <c r="J864" s="14"/>
      <c r="K864" s="12"/>
    </row>
    <row r="865" ht="19.5" customHeight="1">
      <c r="A865" s="12"/>
      <c r="C865" s="12"/>
      <c r="D865" s="13"/>
      <c r="F865" s="14"/>
      <c r="G865" s="14"/>
      <c r="H865" s="14"/>
      <c r="I865" s="14"/>
      <c r="J865" s="14"/>
      <c r="K865" s="12"/>
    </row>
    <row r="866" ht="19.5" customHeight="1">
      <c r="A866" s="12"/>
      <c r="C866" s="12"/>
      <c r="D866" s="13"/>
      <c r="F866" s="14"/>
      <c r="G866" s="14"/>
      <c r="H866" s="14"/>
      <c r="I866" s="14"/>
      <c r="J866" s="14"/>
      <c r="K866" s="12"/>
    </row>
    <row r="867" ht="19.5" customHeight="1">
      <c r="A867" s="12"/>
      <c r="C867" s="12"/>
      <c r="D867" s="13"/>
      <c r="F867" s="14"/>
      <c r="G867" s="14"/>
      <c r="H867" s="14"/>
      <c r="I867" s="14"/>
      <c r="J867" s="14"/>
      <c r="K867" s="12"/>
    </row>
    <row r="868" ht="19.5" customHeight="1">
      <c r="A868" s="12"/>
      <c r="C868" s="12"/>
      <c r="D868" s="13"/>
      <c r="F868" s="14"/>
      <c r="G868" s="14"/>
      <c r="H868" s="14"/>
      <c r="I868" s="14"/>
      <c r="J868" s="14"/>
      <c r="K868" s="12"/>
    </row>
    <row r="869" ht="19.5" customHeight="1">
      <c r="A869" s="12"/>
      <c r="C869" s="12"/>
      <c r="D869" s="13"/>
      <c r="F869" s="14"/>
      <c r="G869" s="14"/>
      <c r="H869" s="14"/>
      <c r="I869" s="14"/>
      <c r="J869" s="14"/>
      <c r="K869" s="12"/>
    </row>
    <row r="870" ht="19.5" customHeight="1">
      <c r="A870" s="12"/>
      <c r="C870" s="12"/>
      <c r="D870" s="13"/>
      <c r="F870" s="14"/>
      <c r="G870" s="14"/>
      <c r="H870" s="14"/>
      <c r="I870" s="14"/>
      <c r="J870" s="14"/>
      <c r="K870" s="12"/>
    </row>
    <row r="871" ht="19.5" customHeight="1">
      <c r="A871" s="12"/>
      <c r="C871" s="12"/>
      <c r="D871" s="13"/>
      <c r="F871" s="14"/>
      <c r="G871" s="14"/>
      <c r="H871" s="14"/>
      <c r="I871" s="14"/>
      <c r="J871" s="14"/>
      <c r="K871" s="12"/>
    </row>
    <row r="872" ht="19.5" customHeight="1">
      <c r="A872" s="12"/>
      <c r="C872" s="12"/>
      <c r="D872" s="13"/>
      <c r="F872" s="14"/>
      <c r="G872" s="14"/>
      <c r="H872" s="14"/>
      <c r="I872" s="14"/>
      <c r="J872" s="14"/>
      <c r="K872" s="12"/>
    </row>
    <row r="873" ht="19.5" customHeight="1">
      <c r="A873" s="12"/>
      <c r="C873" s="12"/>
      <c r="D873" s="13"/>
      <c r="F873" s="14"/>
      <c r="G873" s="14"/>
      <c r="H873" s="14"/>
      <c r="I873" s="14"/>
      <c r="J873" s="14"/>
      <c r="K873" s="12"/>
    </row>
    <row r="874" ht="19.5" customHeight="1">
      <c r="A874" s="12"/>
      <c r="C874" s="12"/>
      <c r="D874" s="13"/>
      <c r="F874" s="14"/>
      <c r="G874" s="14"/>
      <c r="H874" s="14"/>
      <c r="I874" s="14"/>
      <c r="J874" s="14"/>
      <c r="K874" s="12"/>
    </row>
    <row r="875" ht="19.5" customHeight="1">
      <c r="A875" s="12"/>
      <c r="C875" s="12"/>
      <c r="D875" s="13"/>
      <c r="F875" s="14"/>
      <c r="G875" s="14"/>
      <c r="H875" s="14"/>
      <c r="I875" s="14"/>
      <c r="J875" s="14"/>
      <c r="K875" s="12"/>
    </row>
    <row r="876" ht="19.5" customHeight="1">
      <c r="A876" s="12"/>
      <c r="C876" s="12"/>
      <c r="D876" s="13"/>
      <c r="F876" s="14"/>
      <c r="G876" s="14"/>
      <c r="H876" s="14"/>
      <c r="I876" s="14"/>
      <c r="J876" s="14"/>
      <c r="K876" s="12"/>
    </row>
    <row r="877" ht="19.5" customHeight="1">
      <c r="A877" s="12"/>
      <c r="C877" s="12"/>
      <c r="D877" s="13"/>
      <c r="F877" s="14"/>
      <c r="G877" s="14"/>
      <c r="H877" s="14"/>
      <c r="I877" s="14"/>
      <c r="J877" s="14"/>
      <c r="K877" s="12"/>
    </row>
    <row r="878" ht="19.5" customHeight="1">
      <c r="A878" s="12"/>
      <c r="C878" s="12"/>
      <c r="D878" s="13"/>
      <c r="F878" s="14"/>
      <c r="G878" s="14"/>
      <c r="H878" s="14"/>
      <c r="I878" s="14"/>
      <c r="J878" s="14"/>
      <c r="K878" s="12"/>
    </row>
    <row r="879" ht="19.5" customHeight="1">
      <c r="A879" s="12"/>
      <c r="C879" s="12"/>
      <c r="D879" s="13"/>
      <c r="F879" s="14"/>
      <c r="G879" s="14"/>
      <c r="H879" s="14"/>
      <c r="I879" s="14"/>
      <c r="J879" s="14"/>
      <c r="K879" s="12"/>
    </row>
    <row r="880" ht="19.5" customHeight="1">
      <c r="A880" s="12"/>
      <c r="C880" s="12"/>
      <c r="D880" s="13"/>
      <c r="F880" s="14"/>
      <c r="G880" s="14"/>
      <c r="H880" s="14"/>
      <c r="I880" s="14"/>
      <c r="J880" s="14"/>
      <c r="K880" s="12"/>
    </row>
    <row r="881" ht="19.5" customHeight="1">
      <c r="A881" s="12"/>
      <c r="C881" s="12"/>
      <c r="D881" s="13"/>
      <c r="F881" s="14"/>
      <c r="G881" s="14"/>
      <c r="H881" s="14"/>
      <c r="I881" s="14"/>
      <c r="J881" s="14"/>
      <c r="K881" s="12"/>
    </row>
    <row r="882" ht="19.5" customHeight="1">
      <c r="A882" s="12"/>
      <c r="C882" s="12"/>
      <c r="D882" s="13"/>
      <c r="F882" s="14"/>
      <c r="G882" s="14"/>
      <c r="H882" s="14"/>
      <c r="I882" s="14"/>
      <c r="J882" s="14"/>
      <c r="K882" s="12"/>
    </row>
    <row r="883" ht="19.5" customHeight="1">
      <c r="A883" s="12"/>
      <c r="C883" s="12"/>
      <c r="D883" s="13"/>
      <c r="F883" s="14"/>
      <c r="G883" s="14"/>
      <c r="H883" s="14"/>
      <c r="I883" s="14"/>
      <c r="J883" s="14"/>
      <c r="K883" s="12"/>
    </row>
    <row r="884" ht="19.5" customHeight="1">
      <c r="A884" s="12"/>
      <c r="C884" s="12"/>
      <c r="D884" s="13"/>
      <c r="F884" s="14"/>
      <c r="G884" s="14"/>
      <c r="H884" s="14"/>
      <c r="I884" s="14"/>
      <c r="J884" s="14"/>
      <c r="K884" s="12"/>
    </row>
    <row r="885" ht="19.5" customHeight="1">
      <c r="A885" s="12"/>
      <c r="C885" s="12"/>
      <c r="D885" s="13"/>
      <c r="F885" s="14"/>
      <c r="G885" s="14"/>
      <c r="H885" s="14"/>
      <c r="I885" s="14"/>
      <c r="J885" s="14"/>
      <c r="K885" s="12"/>
    </row>
    <row r="886" ht="19.5" customHeight="1">
      <c r="A886" s="12"/>
      <c r="C886" s="12"/>
      <c r="D886" s="13"/>
      <c r="F886" s="14"/>
      <c r="G886" s="14"/>
      <c r="H886" s="14"/>
      <c r="I886" s="14"/>
      <c r="J886" s="14"/>
      <c r="K886" s="12"/>
    </row>
    <row r="887" ht="19.5" customHeight="1">
      <c r="A887" s="12"/>
      <c r="C887" s="12"/>
      <c r="D887" s="13"/>
      <c r="F887" s="14"/>
      <c r="G887" s="14"/>
      <c r="H887" s="14"/>
      <c r="I887" s="14"/>
      <c r="J887" s="14"/>
      <c r="K887" s="12"/>
    </row>
    <row r="888" ht="19.5" customHeight="1">
      <c r="A888" s="12"/>
      <c r="C888" s="12"/>
      <c r="D888" s="13"/>
      <c r="F888" s="14"/>
      <c r="G888" s="14"/>
      <c r="H888" s="14"/>
      <c r="I888" s="14"/>
      <c r="J888" s="14"/>
      <c r="K888" s="12"/>
    </row>
    <row r="889" ht="19.5" customHeight="1">
      <c r="A889" s="12"/>
      <c r="C889" s="12"/>
      <c r="D889" s="13"/>
      <c r="F889" s="14"/>
      <c r="G889" s="14"/>
      <c r="H889" s="14"/>
      <c r="I889" s="14"/>
      <c r="J889" s="14"/>
      <c r="K889" s="12"/>
    </row>
    <row r="890" ht="19.5" customHeight="1">
      <c r="A890" s="12"/>
      <c r="C890" s="12"/>
      <c r="D890" s="13"/>
      <c r="F890" s="14"/>
      <c r="G890" s="14"/>
      <c r="H890" s="14"/>
      <c r="I890" s="14"/>
      <c r="J890" s="14"/>
      <c r="K890" s="12"/>
    </row>
    <row r="891" ht="19.5" customHeight="1">
      <c r="A891" s="12"/>
      <c r="C891" s="12"/>
      <c r="D891" s="13"/>
      <c r="F891" s="14"/>
      <c r="G891" s="14"/>
      <c r="H891" s="14"/>
      <c r="I891" s="14"/>
      <c r="J891" s="14"/>
      <c r="K891" s="12"/>
    </row>
    <row r="892" ht="19.5" customHeight="1">
      <c r="A892" s="12"/>
      <c r="C892" s="12"/>
      <c r="D892" s="13"/>
      <c r="F892" s="14"/>
      <c r="G892" s="14"/>
      <c r="H892" s="14"/>
      <c r="I892" s="14"/>
      <c r="J892" s="14"/>
      <c r="K892" s="12"/>
    </row>
    <row r="893" ht="19.5" customHeight="1">
      <c r="A893" s="12"/>
      <c r="C893" s="12"/>
      <c r="D893" s="13"/>
      <c r="F893" s="14"/>
      <c r="G893" s="14"/>
      <c r="H893" s="14"/>
      <c r="I893" s="14"/>
      <c r="J893" s="14"/>
      <c r="K893" s="12"/>
    </row>
    <row r="894" ht="19.5" customHeight="1">
      <c r="A894" s="12"/>
      <c r="C894" s="12"/>
      <c r="D894" s="13"/>
      <c r="F894" s="14"/>
      <c r="G894" s="14"/>
      <c r="H894" s="14"/>
      <c r="I894" s="14"/>
      <c r="J894" s="14"/>
      <c r="K894" s="12"/>
    </row>
    <row r="895" ht="19.5" customHeight="1">
      <c r="A895" s="12"/>
      <c r="C895" s="12"/>
      <c r="D895" s="13"/>
      <c r="F895" s="14"/>
      <c r="G895" s="14"/>
      <c r="H895" s="14"/>
      <c r="I895" s="14"/>
      <c r="J895" s="14"/>
      <c r="K895" s="12"/>
    </row>
    <row r="896" ht="19.5" customHeight="1">
      <c r="A896" s="12"/>
      <c r="C896" s="12"/>
      <c r="D896" s="13"/>
      <c r="F896" s="14"/>
      <c r="G896" s="14"/>
      <c r="H896" s="14"/>
      <c r="I896" s="14"/>
      <c r="J896" s="14"/>
      <c r="K896" s="12"/>
    </row>
    <row r="897" ht="19.5" customHeight="1">
      <c r="A897" s="12"/>
      <c r="C897" s="12"/>
      <c r="D897" s="13"/>
      <c r="F897" s="14"/>
      <c r="G897" s="14"/>
      <c r="H897" s="14"/>
      <c r="I897" s="14"/>
      <c r="J897" s="14"/>
      <c r="K897" s="12"/>
    </row>
    <row r="898" ht="19.5" customHeight="1">
      <c r="A898" s="12"/>
      <c r="C898" s="12"/>
      <c r="D898" s="13"/>
      <c r="F898" s="14"/>
      <c r="G898" s="14"/>
      <c r="H898" s="14"/>
      <c r="I898" s="14"/>
      <c r="J898" s="14"/>
      <c r="K898" s="12"/>
    </row>
    <row r="899" ht="19.5" customHeight="1">
      <c r="A899" s="12"/>
      <c r="C899" s="12"/>
      <c r="D899" s="13"/>
      <c r="F899" s="14"/>
      <c r="G899" s="14"/>
      <c r="H899" s="14"/>
      <c r="I899" s="14"/>
      <c r="J899" s="14"/>
      <c r="K899" s="12"/>
    </row>
    <row r="900" ht="19.5" customHeight="1">
      <c r="A900" s="12"/>
      <c r="C900" s="12"/>
      <c r="D900" s="13"/>
      <c r="F900" s="14"/>
      <c r="G900" s="14"/>
      <c r="H900" s="14"/>
      <c r="I900" s="14"/>
      <c r="J900" s="14"/>
      <c r="K900" s="12"/>
    </row>
    <row r="901" ht="19.5" customHeight="1">
      <c r="A901" s="12"/>
      <c r="C901" s="12"/>
      <c r="D901" s="13"/>
      <c r="F901" s="14"/>
      <c r="G901" s="14"/>
      <c r="H901" s="14"/>
      <c r="I901" s="14"/>
      <c r="J901" s="14"/>
      <c r="K901" s="12"/>
    </row>
    <row r="902" ht="19.5" customHeight="1">
      <c r="A902" s="12"/>
      <c r="C902" s="12"/>
      <c r="D902" s="13"/>
      <c r="F902" s="14"/>
      <c r="G902" s="14"/>
      <c r="H902" s="14"/>
      <c r="I902" s="14"/>
      <c r="J902" s="14"/>
      <c r="K902" s="12"/>
    </row>
    <row r="903" ht="19.5" customHeight="1">
      <c r="A903" s="12"/>
      <c r="C903" s="12"/>
      <c r="D903" s="13"/>
      <c r="F903" s="14"/>
      <c r="G903" s="14"/>
      <c r="H903" s="14"/>
      <c r="I903" s="14"/>
      <c r="J903" s="14"/>
      <c r="K903" s="12"/>
    </row>
    <row r="904" ht="19.5" customHeight="1">
      <c r="A904" s="12"/>
      <c r="C904" s="12"/>
      <c r="D904" s="13"/>
      <c r="F904" s="14"/>
      <c r="G904" s="14"/>
      <c r="H904" s="14"/>
      <c r="I904" s="14"/>
      <c r="J904" s="14"/>
      <c r="K904" s="12"/>
    </row>
    <row r="905" ht="19.5" customHeight="1">
      <c r="A905" s="12"/>
      <c r="C905" s="12"/>
      <c r="D905" s="13"/>
      <c r="F905" s="14"/>
      <c r="G905" s="14"/>
      <c r="H905" s="14"/>
      <c r="I905" s="14"/>
      <c r="J905" s="14"/>
      <c r="K905" s="12"/>
    </row>
    <row r="906" ht="19.5" customHeight="1">
      <c r="A906" s="12"/>
      <c r="C906" s="12"/>
      <c r="D906" s="13"/>
      <c r="F906" s="14"/>
      <c r="G906" s="14"/>
      <c r="H906" s="14"/>
      <c r="I906" s="14"/>
      <c r="J906" s="14"/>
      <c r="K906" s="12"/>
    </row>
    <row r="907" ht="19.5" customHeight="1">
      <c r="A907" s="12"/>
      <c r="C907" s="12"/>
      <c r="D907" s="13"/>
      <c r="F907" s="14"/>
      <c r="G907" s="14"/>
      <c r="H907" s="14"/>
      <c r="I907" s="14"/>
      <c r="J907" s="14"/>
      <c r="K907" s="12"/>
    </row>
    <row r="908" ht="19.5" customHeight="1">
      <c r="A908" s="12"/>
      <c r="C908" s="12"/>
      <c r="D908" s="13"/>
      <c r="F908" s="14"/>
      <c r="G908" s="14"/>
      <c r="H908" s="14"/>
      <c r="I908" s="14"/>
      <c r="J908" s="14"/>
      <c r="K908" s="12"/>
    </row>
    <row r="909" ht="19.5" customHeight="1">
      <c r="A909" s="12"/>
      <c r="C909" s="12"/>
      <c r="D909" s="13"/>
      <c r="F909" s="14"/>
      <c r="G909" s="14"/>
      <c r="H909" s="14"/>
      <c r="I909" s="14"/>
      <c r="J909" s="14"/>
      <c r="K909" s="12"/>
    </row>
    <row r="910" ht="19.5" customHeight="1">
      <c r="A910" s="12"/>
      <c r="C910" s="12"/>
      <c r="D910" s="13"/>
      <c r="F910" s="14"/>
      <c r="G910" s="14"/>
      <c r="H910" s="14"/>
      <c r="I910" s="14"/>
      <c r="J910" s="14"/>
      <c r="K910" s="12"/>
    </row>
    <row r="911" ht="19.5" customHeight="1">
      <c r="A911" s="12"/>
      <c r="C911" s="12"/>
      <c r="D911" s="13"/>
      <c r="F911" s="14"/>
      <c r="G911" s="14"/>
      <c r="H911" s="14"/>
      <c r="I911" s="14"/>
      <c r="J911" s="14"/>
      <c r="K911" s="12"/>
    </row>
    <row r="912" ht="19.5" customHeight="1">
      <c r="A912" s="12"/>
      <c r="C912" s="12"/>
      <c r="D912" s="13"/>
      <c r="F912" s="14"/>
      <c r="G912" s="14"/>
      <c r="H912" s="14"/>
      <c r="I912" s="14"/>
      <c r="J912" s="14"/>
      <c r="K912" s="12"/>
    </row>
    <row r="913" ht="19.5" customHeight="1">
      <c r="A913" s="12"/>
      <c r="C913" s="12"/>
      <c r="D913" s="13"/>
      <c r="F913" s="14"/>
      <c r="G913" s="14"/>
      <c r="H913" s="14"/>
      <c r="I913" s="14"/>
      <c r="J913" s="14"/>
      <c r="K913" s="12"/>
    </row>
    <row r="914" ht="19.5" customHeight="1">
      <c r="A914" s="12"/>
      <c r="C914" s="12"/>
      <c r="D914" s="13"/>
      <c r="F914" s="14"/>
      <c r="G914" s="14"/>
      <c r="H914" s="14"/>
      <c r="I914" s="14"/>
      <c r="J914" s="14"/>
      <c r="K914" s="12"/>
    </row>
    <row r="915" ht="19.5" customHeight="1">
      <c r="A915" s="12"/>
      <c r="C915" s="12"/>
      <c r="D915" s="13"/>
      <c r="F915" s="14"/>
      <c r="G915" s="14"/>
      <c r="H915" s="14"/>
      <c r="I915" s="14"/>
      <c r="J915" s="14"/>
      <c r="K915" s="12"/>
    </row>
    <row r="916" ht="19.5" customHeight="1">
      <c r="A916" s="12"/>
      <c r="C916" s="12"/>
      <c r="D916" s="13"/>
      <c r="F916" s="14"/>
      <c r="G916" s="14"/>
      <c r="H916" s="14"/>
      <c r="I916" s="14"/>
      <c r="J916" s="14"/>
      <c r="K916" s="12"/>
    </row>
    <row r="917" ht="19.5" customHeight="1">
      <c r="A917" s="12"/>
      <c r="C917" s="12"/>
      <c r="D917" s="13"/>
      <c r="F917" s="14"/>
      <c r="G917" s="14"/>
      <c r="H917" s="14"/>
      <c r="I917" s="14"/>
      <c r="J917" s="14"/>
      <c r="K917" s="12"/>
    </row>
    <row r="918" ht="19.5" customHeight="1">
      <c r="A918" s="12"/>
      <c r="C918" s="12"/>
      <c r="D918" s="13"/>
      <c r="F918" s="14"/>
      <c r="G918" s="14"/>
      <c r="H918" s="14"/>
      <c r="I918" s="14"/>
      <c r="J918" s="14"/>
      <c r="K918" s="12"/>
    </row>
    <row r="919" ht="19.5" customHeight="1">
      <c r="A919" s="12"/>
      <c r="C919" s="12"/>
      <c r="D919" s="13"/>
      <c r="F919" s="14"/>
      <c r="G919" s="14"/>
      <c r="H919" s="14"/>
      <c r="I919" s="14"/>
      <c r="J919" s="14"/>
      <c r="K919" s="12"/>
    </row>
    <row r="920" ht="19.5" customHeight="1">
      <c r="A920" s="12"/>
      <c r="C920" s="12"/>
      <c r="D920" s="13"/>
      <c r="F920" s="14"/>
      <c r="G920" s="14"/>
      <c r="H920" s="14"/>
      <c r="I920" s="14"/>
      <c r="J920" s="14"/>
      <c r="K920" s="12"/>
    </row>
    <row r="921" ht="19.5" customHeight="1">
      <c r="A921" s="12"/>
      <c r="C921" s="12"/>
      <c r="D921" s="13"/>
      <c r="F921" s="14"/>
      <c r="G921" s="14"/>
      <c r="H921" s="14"/>
      <c r="I921" s="14"/>
      <c r="J921" s="14"/>
      <c r="K921" s="12"/>
    </row>
    <row r="922" ht="19.5" customHeight="1">
      <c r="A922" s="12"/>
      <c r="C922" s="12"/>
      <c r="D922" s="13"/>
      <c r="F922" s="14"/>
      <c r="G922" s="14"/>
      <c r="H922" s="14"/>
      <c r="I922" s="14"/>
      <c r="J922" s="14"/>
      <c r="K922" s="12"/>
    </row>
    <row r="923" ht="19.5" customHeight="1">
      <c r="A923" s="12"/>
      <c r="C923" s="12"/>
      <c r="D923" s="13"/>
      <c r="F923" s="14"/>
      <c r="G923" s="14"/>
      <c r="H923" s="14"/>
      <c r="I923" s="14"/>
      <c r="J923" s="14"/>
      <c r="K923" s="12"/>
    </row>
    <row r="924" ht="19.5" customHeight="1">
      <c r="A924" s="12"/>
      <c r="C924" s="12"/>
      <c r="D924" s="13"/>
      <c r="F924" s="14"/>
      <c r="G924" s="14"/>
      <c r="H924" s="14"/>
      <c r="I924" s="14"/>
      <c r="J924" s="14"/>
      <c r="K924" s="12"/>
    </row>
    <row r="925" ht="19.5" customHeight="1">
      <c r="A925" s="12"/>
      <c r="C925" s="12"/>
      <c r="D925" s="13"/>
      <c r="F925" s="14"/>
      <c r="G925" s="14"/>
      <c r="H925" s="14"/>
      <c r="I925" s="14"/>
      <c r="J925" s="14"/>
      <c r="K925" s="12"/>
    </row>
    <row r="926" ht="19.5" customHeight="1">
      <c r="A926" s="12"/>
      <c r="C926" s="12"/>
      <c r="D926" s="13"/>
      <c r="F926" s="14"/>
      <c r="G926" s="14"/>
      <c r="H926" s="14"/>
      <c r="I926" s="14"/>
      <c r="J926" s="14"/>
      <c r="K926" s="12"/>
    </row>
    <row r="927" ht="19.5" customHeight="1">
      <c r="A927" s="12"/>
      <c r="C927" s="12"/>
      <c r="D927" s="13"/>
      <c r="F927" s="14"/>
      <c r="G927" s="14"/>
      <c r="H927" s="14"/>
      <c r="I927" s="14"/>
      <c r="J927" s="14"/>
      <c r="K927" s="12"/>
    </row>
    <row r="928" ht="19.5" customHeight="1">
      <c r="A928" s="12"/>
      <c r="C928" s="12"/>
      <c r="D928" s="13"/>
      <c r="F928" s="14"/>
      <c r="G928" s="14"/>
      <c r="H928" s="14"/>
      <c r="I928" s="14"/>
      <c r="J928" s="14"/>
      <c r="K928" s="12"/>
    </row>
    <row r="929" ht="19.5" customHeight="1">
      <c r="A929" s="12"/>
      <c r="C929" s="12"/>
      <c r="D929" s="13"/>
      <c r="F929" s="14"/>
      <c r="G929" s="14"/>
      <c r="H929" s="14"/>
      <c r="I929" s="14"/>
      <c r="J929" s="14"/>
      <c r="K929" s="12"/>
    </row>
    <row r="930" ht="19.5" customHeight="1">
      <c r="A930" s="12"/>
      <c r="C930" s="12"/>
      <c r="D930" s="13"/>
      <c r="F930" s="14"/>
      <c r="G930" s="14"/>
      <c r="H930" s="14"/>
      <c r="I930" s="14"/>
      <c r="J930" s="14"/>
      <c r="K930" s="12"/>
    </row>
    <row r="931" ht="19.5" customHeight="1">
      <c r="A931" s="12"/>
      <c r="C931" s="12"/>
      <c r="D931" s="13"/>
      <c r="F931" s="14"/>
      <c r="G931" s="14"/>
      <c r="H931" s="14"/>
      <c r="I931" s="14"/>
      <c r="J931" s="14"/>
      <c r="K931" s="12"/>
    </row>
    <row r="932" ht="19.5" customHeight="1">
      <c r="A932" s="12"/>
      <c r="C932" s="12"/>
      <c r="D932" s="13"/>
      <c r="F932" s="14"/>
      <c r="G932" s="14"/>
      <c r="H932" s="14"/>
      <c r="I932" s="14"/>
      <c r="J932" s="14"/>
      <c r="K932" s="12"/>
    </row>
    <row r="933" ht="19.5" customHeight="1">
      <c r="A933" s="12"/>
      <c r="C933" s="12"/>
      <c r="D933" s="13"/>
      <c r="F933" s="14"/>
      <c r="G933" s="14"/>
      <c r="H933" s="14"/>
      <c r="I933" s="14"/>
      <c r="J933" s="14"/>
      <c r="K933" s="12"/>
    </row>
    <row r="934" ht="19.5" customHeight="1">
      <c r="A934" s="12"/>
      <c r="C934" s="12"/>
      <c r="D934" s="13"/>
      <c r="F934" s="14"/>
      <c r="G934" s="14"/>
      <c r="H934" s="14"/>
      <c r="I934" s="14"/>
      <c r="J934" s="14"/>
      <c r="K934" s="12"/>
    </row>
    <row r="935" ht="19.5" customHeight="1">
      <c r="A935" s="12"/>
      <c r="C935" s="12"/>
      <c r="D935" s="13"/>
      <c r="F935" s="14"/>
      <c r="G935" s="14"/>
      <c r="H935" s="14"/>
      <c r="I935" s="14"/>
      <c r="J935" s="14"/>
      <c r="K935" s="12"/>
    </row>
    <row r="936" ht="19.5" customHeight="1">
      <c r="A936" s="12"/>
      <c r="C936" s="12"/>
      <c r="D936" s="13"/>
      <c r="F936" s="14"/>
      <c r="G936" s="14"/>
      <c r="H936" s="14"/>
      <c r="I936" s="14"/>
      <c r="J936" s="14"/>
      <c r="K936" s="12"/>
    </row>
    <row r="937" ht="19.5" customHeight="1">
      <c r="A937" s="12"/>
      <c r="C937" s="12"/>
      <c r="D937" s="13"/>
      <c r="F937" s="14"/>
      <c r="G937" s="14"/>
      <c r="H937" s="14"/>
      <c r="I937" s="14"/>
      <c r="J937" s="14"/>
      <c r="K937" s="12"/>
    </row>
    <row r="938" ht="19.5" customHeight="1">
      <c r="A938" s="12"/>
      <c r="C938" s="12"/>
      <c r="D938" s="13"/>
      <c r="F938" s="14"/>
      <c r="G938" s="14"/>
      <c r="H938" s="14"/>
      <c r="I938" s="14"/>
      <c r="J938" s="14"/>
      <c r="K938" s="12"/>
    </row>
    <row r="939" ht="19.5" customHeight="1">
      <c r="A939" s="12"/>
      <c r="C939" s="12"/>
      <c r="D939" s="13"/>
      <c r="F939" s="14"/>
      <c r="G939" s="14"/>
      <c r="H939" s="14"/>
      <c r="I939" s="14"/>
      <c r="J939" s="14"/>
      <c r="K939" s="12"/>
    </row>
    <row r="940" ht="19.5" customHeight="1">
      <c r="A940" s="12"/>
      <c r="C940" s="12"/>
      <c r="D940" s="13"/>
      <c r="F940" s="14"/>
      <c r="G940" s="14"/>
      <c r="H940" s="14"/>
      <c r="I940" s="14"/>
      <c r="J940" s="14"/>
      <c r="K940" s="12"/>
    </row>
    <row r="941" ht="19.5" customHeight="1">
      <c r="A941" s="12"/>
      <c r="C941" s="12"/>
      <c r="D941" s="13"/>
      <c r="F941" s="14"/>
      <c r="G941" s="14"/>
      <c r="H941" s="14"/>
      <c r="I941" s="14"/>
      <c r="J941" s="14"/>
      <c r="K941" s="12"/>
    </row>
    <row r="942" ht="19.5" customHeight="1">
      <c r="A942" s="12"/>
      <c r="C942" s="12"/>
      <c r="D942" s="13"/>
      <c r="F942" s="14"/>
      <c r="G942" s="14"/>
      <c r="H942" s="14"/>
      <c r="I942" s="14"/>
      <c r="J942" s="14"/>
      <c r="K942" s="12"/>
    </row>
    <row r="943" ht="19.5" customHeight="1">
      <c r="A943" s="12"/>
      <c r="C943" s="12"/>
      <c r="D943" s="13"/>
      <c r="F943" s="14"/>
      <c r="G943" s="14"/>
      <c r="H943" s="14"/>
      <c r="I943" s="14"/>
      <c r="J943" s="14"/>
      <c r="K943" s="12"/>
    </row>
    <row r="944" ht="19.5" customHeight="1">
      <c r="A944" s="12"/>
      <c r="C944" s="12"/>
      <c r="D944" s="13"/>
      <c r="F944" s="14"/>
      <c r="G944" s="14"/>
      <c r="H944" s="14"/>
      <c r="I944" s="14"/>
      <c r="J944" s="14"/>
      <c r="K944" s="12"/>
    </row>
    <row r="945" ht="19.5" customHeight="1">
      <c r="A945" s="12"/>
      <c r="C945" s="12"/>
      <c r="D945" s="13"/>
      <c r="F945" s="14"/>
      <c r="G945" s="14"/>
      <c r="H945" s="14"/>
      <c r="I945" s="14"/>
      <c r="J945" s="14"/>
      <c r="K945" s="12"/>
    </row>
    <row r="946" ht="19.5" customHeight="1">
      <c r="A946" s="12"/>
      <c r="C946" s="12"/>
      <c r="D946" s="13"/>
      <c r="F946" s="14"/>
      <c r="G946" s="14"/>
      <c r="H946" s="14"/>
      <c r="I946" s="14"/>
      <c r="J946" s="14"/>
      <c r="K946" s="12"/>
    </row>
    <row r="947" ht="19.5" customHeight="1">
      <c r="A947" s="12"/>
      <c r="C947" s="12"/>
      <c r="D947" s="13"/>
      <c r="F947" s="14"/>
      <c r="G947" s="14"/>
      <c r="H947" s="14"/>
      <c r="I947" s="14"/>
      <c r="J947" s="14"/>
      <c r="K947" s="12"/>
    </row>
    <row r="948" ht="19.5" customHeight="1">
      <c r="A948" s="12"/>
      <c r="C948" s="12"/>
      <c r="D948" s="13"/>
      <c r="F948" s="14"/>
      <c r="G948" s="14"/>
      <c r="H948" s="14"/>
      <c r="I948" s="14"/>
      <c r="J948" s="14"/>
      <c r="K948" s="12"/>
    </row>
    <row r="949" ht="19.5" customHeight="1">
      <c r="A949" s="12"/>
      <c r="C949" s="12"/>
      <c r="D949" s="13"/>
      <c r="F949" s="14"/>
      <c r="G949" s="14"/>
      <c r="H949" s="14"/>
      <c r="I949" s="14"/>
      <c r="J949" s="14"/>
      <c r="K949" s="12"/>
    </row>
    <row r="950" ht="19.5" customHeight="1">
      <c r="A950" s="12"/>
      <c r="C950" s="12"/>
      <c r="D950" s="13"/>
      <c r="F950" s="14"/>
      <c r="G950" s="14"/>
      <c r="H950" s="14"/>
      <c r="I950" s="14"/>
      <c r="J950" s="14"/>
      <c r="K950" s="12"/>
    </row>
    <row r="951" ht="19.5" customHeight="1">
      <c r="A951" s="12"/>
      <c r="C951" s="12"/>
      <c r="D951" s="13"/>
      <c r="F951" s="14"/>
      <c r="G951" s="14"/>
      <c r="H951" s="14"/>
      <c r="I951" s="14"/>
      <c r="J951" s="14"/>
      <c r="K951" s="12"/>
    </row>
    <row r="952" ht="19.5" customHeight="1">
      <c r="A952" s="12"/>
      <c r="C952" s="12"/>
      <c r="D952" s="13"/>
      <c r="F952" s="14"/>
      <c r="G952" s="14"/>
      <c r="H952" s="14"/>
      <c r="I952" s="14"/>
      <c r="J952" s="14"/>
      <c r="K952" s="12"/>
    </row>
    <row r="953" ht="19.5" customHeight="1">
      <c r="A953" s="12"/>
      <c r="C953" s="12"/>
      <c r="D953" s="13"/>
      <c r="F953" s="14"/>
      <c r="G953" s="14"/>
      <c r="H953" s="14"/>
      <c r="I953" s="14"/>
      <c r="J953" s="14"/>
      <c r="K953" s="12"/>
    </row>
    <row r="954" ht="19.5" customHeight="1">
      <c r="A954" s="12"/>
      <c r="C954" s="12"/>
      <c r="D954" s="13"/>
      <c r="F954" s="14"/>
      <c r="G954" s="14"/>
      <c r="H954" s="14"/>
      <c r="I954" s="14"/>
      <c r="J954" s="14"/>
      <c r="K954" s="12"/>
    </row>
    <row r="955" ht="19.5" customHeight="1">
      <c r="A955" s="12"/>
      <c r="C955" s="12"/>
      <c r="D955" s="13"/>
      <c r="F955" s="14"/>
      <c r="G955" s="14"/>
      <c r="H955" s="14"/>
      <c r="I955" s="14"/>
      <c r="J955" s="14"/>
      <c r="K955" s="12"/>
    </row>
    <row r="956" ht="19.5" customHeight="1">
      <c r="A956" s="12"/>
      <c r="C956" s="12"/>
      <c r="D956" s="13"/>
      <c r="F956" s="14"/>
      <c r="G956" s="14"/>
      <c r="H956" s="14"/>
      <c r="I956" s="14"/>
      <c r="J956" s="14"/>
      <c r="K956" s="12"/>
    </row>
    <row r="957" ht="19.5" customHeight="1">
      <c r="A957" s="12"/>
      <c r="C957" s="12"/>
      <c r="D957" s="13"/>
      <c r="F957" s="14"/>
      <c r="G957" s="14"/>
      <c r="H957" s="14"/>
      <c r="I957" s="14"/>
      <c r="J957" s="14"/>
      <c r="K957" s="12"/>
    </row>
    <row r="958" ht="19.5" customHeight="1">
      <c r="A958" s="12"/>
      <c r="C958" s="12"/>
      <c r="D958" s="13"/>
      <c r="F958" s="14"/>
      <c r="G958" s="14"/>
      <c r="H958" s="14"/>
      <c r="I958" s="14"/>
      <c r="J958" s="14"/>
      <c r="K958" s="12"/>
    </row>
    <row r="959" ht="19.5" customHeight="1">
      <c r="A959" s="12"/>
      <c r="C959" s="12"/>
      <c r="D959" s="13"/>
      <c r="F959" s="14"/>
      <c r="G959" s="14"/>
      <c r="H959" s="14"/>
      <c r="I959" s="14"/>
      <c r="J959" s="14"/>
      <c r="K959" s="12"/>
    </row>
    <row r="960" ht="19.5" customHeight="1">
      <c r="A960" s="12"/>
      <c r="C960" s="12"/>
      <c r="D960" s="13"/>
      <c r="F960" s="14"/>
      <c r="G960" s="14"/>
      <c r="H960" s="14"/>
      <c r="I960" s="14"/>
      <c r="J960" s="14"/>
      <c r="K960" s="12"/>
    </row>
    <row r="961" ht="19.5" customHeight="1">
      <c r="A961" s="12"/>
      <c r="C961" s="12"/>
      <c r="D961" s="13"/>
      <c r="F961" s="14"/>
      <c r="G961" s="14"/>
      <c r="H961" s="14"/>
      <c r="I961" s="14"/>
      <c r="J961" s="14"/>
      <c r="K961" s="12"/>
    </row>
    <row r="962" ht="19.5" customHeight="1">
      <c r="A962" s="12"/>
      <c r="C962" s="12"/>
      <c r="D962" s="13"/>
      <c r="F962" s="14"/>
      <c r="G962" s="14"/>
      <c r="H962" s="14"/>
      <c r="I962" s="14"/>
      <c r="J962" s="14"/>
      <c r="K962" s="12"/>
    </row>
    <row r="963" ht="19.5" customHeight="1">
      <c r="A963" s="12"/>
      <c r="C963" s="12"/>
      <c r="D963" s="13"/>
      <c r="F963" s="14"/>
      <c r="G963" s="14"/>
      <c r="H963" s="14"/>
      <c r="I963" s="14"/>
      <c r="J963" s="14"/>
      <c r="K963" s="12"/>
    </row>
    <row r="964" ht="19.5" customHeight="1">
      <c r="A964" s="12"/>
      <c r="C964" s="12"/>
      <c r="D964" s="13"/>
      <c r="F964" s="14"/>
      <c r="G964" s="14"/>
      <c r="H964" s="14"/>
      <c r="I964" s="14"/>
      <c r="J964" s="14"/>
      <c r="K964" s="12"/>
    </row>
    <row r="965" ht="19.5" customHeight="1">
      <c r="A965" s="12"/>
      <c r="C965" s="12"/>
      <c r="D965" s="13"/>
      <c r="F965" s="14"/>
      <c r="G965" s="14"/>
      <c r="H965" s="14"/>
      <c r="I965" s="14"/>
      <c r="J965" s="14"/>
      <c r="K965" s="12"/>
    </row>
    <row r="966" ht="19.5" customHeight="1">
      <c r="A966" s="12"/>
      <c r="C966" s="12"/>
      <c r="D966" s="13"/>
      <c r="F966" s="14"/>
      <c r="G966" s="14"/>
      <c r="H966" s="14"/>
      <c r="I966" s="14"/>
      <c r="J966" s="14"/>
      <c r="K966" s="12"/>
    </row>
    <row r="967" ht="19.5" customHeight="1">
      <c r="A967" s="12"/>
      <c r="C967" s="12"/>
      <c r="D967" s="13"/>
      <c r="F967" s="14"/>
      <c r="G967" s="14"/>
      <c r="H967" s="14"/>
      <c r="I967" s="14"/>
      <c r="J967" s="14"/>
      <c r="K967" s="12"/>
    </row>
    <row r="968" ht="19.5" customHeight="1">
      <c r="A968" s="12"/>
      <c r="C968" s="12"/>
      <c r="D968" s="13"/>
      <c r="F968" s="14"/>
      <c r="G968" s="14"/>
      <c r="H968" s="14"/>
      <c r="I968" s="14"/>
      <c r="J968" s="14"/>
      <c r="K968" s="12"/>
    </row>
    <row r="969" ht="19.5" customHeight="1">
      <c r="A969" s="12"/>
      <c r="C969" s="12"/>
      <c r="D969" s="13"/>
      <c r="F969" s="14"/>
      <c r="G969" s="14"/>
      <c r="H969" s="14"/>
      <c r="I969" s="14"/>
      <c r="J969" s="14"/>
      <c r="K969" s="12"/>
    </row>
    <row r="970" ht="19.5" customHeight="1">
      <c r="A970" s="12"/>
      <c r="C970" s="12"/>
      <c r="D970" s="13"/>
      <c r="F970" s="14"/>
      <c r="G970" s="14"/>
      <c r="H970" s="14"/>
      <c r="I970" s="14"/>
      <c r="J970" s="14"/>
      <c r="K970" s="12"/>
    </row>
    <row r="971" ht="19.5" customHeight="1">
      <c r="A971" s="12"/>
      <c r="C971" s="12"/>
      <c r="D971" s="13"/>
      <c r="F971" s="14"/>
      <c r="G971" s="14"/>
      <c r="H971" s="14"/>
      <c r="I971" s="14"/>
      <c r="J971" s="14"/>
      <c r="K971" s="12"/>
    </row>
    <row r="972" ht="19.5" customHeight="1">
      <c r="A972" s="12"/>
      <c r="C972" s="12"/>
      <c r="D972" s="13"/>
      <c r="F972" s="14"/>
      <c r="G972" s="14"/>
      <c r="H972" s="14"/>
      <c r="I972" s="14"/>
      <c r="J972" s="14"/>
      <c r="K972" s="12"/>
    </row>
    <row r="973" ht="19.5" customHeight="1">
      <c r="A973" s="12"/>
      <c r="C973" s="12"/>
      <c r="D973" s="13"/>
      <c r="F973" s="14"/>
      <c r="G973" s="14"/>
      <c r="H973" s="14"/>
      <c r="I973" s="14"/>
      <c r="J973" s="14"/>
      <c r="K973" s="12"/>
    </row>
    <row r="974" ht="19.5" customHeight="1">
      <c r="A974" s="12"/>
      <c r="C974" s="12"/>
      <c r="D974" s="13"/>
      <c r="F974" s="14"/>
      <c r="G974" s="14"/>
      <c r="H974" s="14"/>
      <c r="I974" s="14"/>
      <c r="J974" s="14"/>
      <c r="K974" s="12"/>
    </row>
    <row r="975" ht="19.5" customHeight="1">
      <c r="A975" s="12"/>
      <c r="C975" s="12"/>
      <c r="D975" s="13"/>
      <c r="F975" s="14"/>
      <c r="G975" s="14"/>
      <c r="H975" s="14"/>
      <c r="I975" s="14"/>
      <c r="J975" s="14"/>
      <c r="K975" s="12"/>
    </row>
    <row r="976" ht="19.5" customHeight="1">
      <c r="A976" s="12"/>
      <c r="C976" s="12"/>
      <c r="D976" s="13"/>
      <c r="F976" s="14"/>
      <c r="G976" s="14"/>
      <c r="H976" s="14"/>
      <c r="I976" s="14"/>
      <c r="J976" s="14"/>
      <c r="K976" s="12"/>
    </row>
    <row r="977" ht="19.5" customHeight="1">
      <c r="A977" s="12"/>
      <c r="C977" s="12"/>
      <c r="D977" s="13"/>
      <c r="F977" s="14"/>
      <c r="G977" s="14"/>
      <c r="H977" s="14"/>
      <c r="I977" s="14"/>
      <c r="J977" s="14"/>
      <c r="K977" s="12"/>
    </row>
    <row r="978" ht="19.5" customHeight="1">
      <c r="A978" s="12"/>
      <c r="C978" s="12"/>
      <c r="D978" s="13"/>
      <c r="F978" s="14"/>
      <c r="G978" s="14"/>
      <c r="H978" s="14"/>
      <c r="I978" s="14"/>
      <c r="J978" s="14"/>
      <c r="K978" s="12"/>
    </row>
    <row r="979" ht="19.5" customHeight="1">
      <c r="A979" s="12"/>
      <c r="C979" s="12"/>
      <c r="D979" s="13"/>
      <c r="F979" s="14"/>
      <c r="G979" s="14"/>
      <c r="H979" s="14"/>
      <c r="I979" s="14"/>
      <c r="J979" s="14"/>
      <c r="K979" s="12"/>
    </row>
    <row r="980" ht="19.5" customHeight="1">
      <c r="A980" s="12"/>
      <c r="C980" s="12"/>
      <c r="D980" s="13"/>
      <c r="F980" s="14"/>
      <c r="G980" s="14"/>
      <c r="H980" s="14"/>
      <c r="I980" s="14"/>
      <c r="J980" s="14"/>
      <c r="K980" s="12"/>
    </row>
    <row r="981" ht="19.5" customHeight="1">
      <c r="A981" s="12"/>
      <c r="C981" s="12"/>
      <c r="D981" s="13"/>
      <c r="F981" s="14"/>
      <c r="G981" s="14"/>
      <c r="H981" s="14"/>
      <c r="I981" s="14"/>
      <c r="J981" s="14"/>
      <c r="K981" s="12"/>
    </row>
    <row r="982" ht="19.5" customHeight="1">
      <c r="A982" s="12"/>
      <c r="C982" s="12"/>
      <c r="D982" s="13"/>
      <c r="F982" s="14"/>
      <c r="G982" s="14"/>
      <c r="H982" s="14"/>
      <c r="I982" s="14"/>
      <c r="J982" s="14"/>
      <c r="K982" s="12"/>
    </row>
    <row r="983" ht="19.5" customHeight="1">
      <c r="A983" s="12"/>
      <c r="C983" s="12"/>
      <c r="D983" s="13"/>
      <c r="F983" s="14"/>
      <c r="G983" s="14"/>
      <c r="H983" s="14"/>
      <c r="I983" s="14"/>
      <c r="J983" s="14"/>
      <c r="K983" s="12"/>
    </row>
    <row r="984" ht="19.5" customHeight="1">
      <c r="A984" s="12"/>
      <c r="C984" s="12"/>
      <c r="D984" s="13"/>
      <c r="F984" s="14"/>
      <c r="G984" s="14"/>
      <c r="H984" s="14"/>
      <c r="I984" s="14"/>
      <c r="J984" s="14"/>
      <c r="K984" s="12"/>
    </row>
    <row r="985" ht="19.5" customHeight="1">
      <c r="A985" s="12"/>
      <c r="C985" s="12"/>
      <c r="D985" s="13"/>
      <c r="F985" s="14"/>
      <c r="G985" s="14"/>
      <c r="H985" s="14"/>
      <c r="I985" s="14"/>
      <c r="J985" s="14"/>
      <c r="K985" s="12"/>
    </row>
    <row r="986" ht="19.5" customHeight="1">
      <c r="A986" s="12"/>
      <c r="C986" s="12"/>
      <c r="D986" s="13"/>
      <c r="F986" s="14"/>
      <c r="G986" s="14"/>
      <c r="H986" s="14"/>
      <c r="I986" s="14"/>
      <c r="J986" s="14"/>
      <c r="K986" s="12"/>
    </row>
    <row r="987" ht="19.5" customHeight="1">
      <c r="A987" s="12"/>
      <c r="C987" s="12"/>
      <c r="D987" s="13"/>
      <c r="F987" s="14"/>
      <c r="G987" s="14"/>
      <c r="H987" s="14"/>
      <c r="I987" s="14"/>
      <c r="J987" s="14"/>
      <c r="K987" s="12"/>
    </row>
    <row r="988" ht="19.5" customHeight="1">
      <c r="A988" s="12"/>
      <c r="C988" s="12"/>
      <c r="D988" s="13"/>
      <c r="F988" s="14"/>
      <c r="G988" s="14"/>
      <c r="H988" s="14"/>
      <c r="I988" s="14"/>
      <c r="J988" s="14"/>
      <c r="K988" s="12"/>
    </row>
    <row r="989" ht="19.5" customHeight="1">
      <c r="A989" s="12"/>
      <c r="C989" s="12"/>
      <c r="D989" s="13"/>
      <c r="F989" s="14"/>
      <c r="G989" s="14"/>
      <c r="H989" s="14"/>
      <c r="I989" s="14"/>
      <c r="J989" s="14"/>
      <c r="K989" s="12"/>
    </row>
    <row r="990" ht="19.5" customHeight="1">
      <c r="A990" s="12"/>
      <c r="C990" s="12"/>
      <c r="D990" s="13"/>
      <c r="F990" s="14"/>
      <c r="G990" s="14"/>
      <c r="H990" s="14"/>
      <c r="I990" s="14"/>
      <c r="J990" s="14"/>
      <c r="K990" s="12"/>
    </row>
    <row r="991" ht="19.5" customHeight="1">
      <c r="A991" s="12"/>
      <c r="C991" s="12"/>
      <c r="D991" s="13"/>
      <c r="F991" s="14"/>
      <c r="G991" s="14"/>
      <c r="H991" s="14"/>
      <c r="I991" s="14"/>
      <c r="J991" s="14"/>
      <c r="K991" s="12"/>
    </row>
    <row r="992" ht="19.5" customHeight="1">
      <c r="A992" s="12"/>
      <c r="C992" s="12"/>
      <c r="D992" s="13"/>
      <c r="F992" s="14"/>
      <c r="G992" s="14"/>
      <c r="H992" s="14"/>
      <c r="I992" s="14"/>
      <c r="J992" s="14"/>
      <c r="K992" s="12"/>
    </row>
    <row r="993" ht="19.5" customHeight="1">
      <c r="A993" s="12"/>
      <c r="C993" s="12"/>
      <c r="D993" s="13"/>
      <c r="F993" s="14"/>
      <c r="G993" s="14"/>
      <c r="H993" s="14"/>
      <c r="I993" s="14"/>
      <c r="J993" s="14"/>
      <c r="K993" s="12"/>
    </row>
    <row r="994" ht="19.5" customHeight="1">
      <c r="A994" s="12"/>
      <c r="C994" s="12"/>
      <c r="D994" s="13"/>
      <c r="F994" s="14"/>
      <c r="G994" s="14"/>
      <c r="H994" s="14"/>
      <c r="I994" s="14"/>
      <c r="J994" s="14"/>
      <c r="K994" s="12"/>
    </row>
    <row r="995" ht="19.5" customHeight="1">
      <c r="A995" s="12"/>
      <c r="C995" s="12"/>
      <c r="D995" s="13"/>
      <c r="F995" s="14"/>
      <c r="G995" s="14"/>
      <c r="H995" s="14"/>
      <c r="I995" s="14"/>
      <c r="J995" s="14"/>
      <c r="K995" s="12"/>
    </row>
    <row r="996" ht="19.5" customHeight="1">
      <c r="A996" s="12"/>
      <c r="C996" s="12"/>
      <c r="D996" s="13"/>
      <c r="F996" s="14"/>
      <c r="G996" s="14"/>
      <c r="H996" s="14"/>
      <c r="I996" s="14"/>
      <c r="J996" s="14"/>
      <c r="K996" s="12"/>
    </row>
    <row r="997" ht="19.5" customHeight="1">
      <c r="A997" s="12"/>
      <c r="C997" s="12"/>
      <c r="D997" s="13"/>
      <c r="F997" s="14"/>
      <c r="G997" s="14"/>
      <c r="H997" s="14"/>
      <c r="I997" s="14"/>
      <c r="J997" s="14"/>
      <c r="K997" s="12"/>
    </row>
    <row r="998" ht="19.5" customHeight="1">
      <c r="A998" s="12"/>
      <c r="C998" s="12"/>
      <c r="D998" s="13"/>
      <c r="F998" s="14"/>
      <c r="G998" s="14"/>
      <c r="H998" s="14"/>
      <c r="I998" s="14"/>
      <c r="J998" s="14"/>
      <c r="K998" s="12"/>
    </row>
    <row r="999" ht="19.5" customHeight="1">
      <c r="A999" s="12"/>
      <c r="C999" s="12"/>
      <c r="D999" s="13"/>
      <c r="F999" s="14"/>
      <c r="G999" s="14"/>
      <c r="H999" s="14"/>
      <c r="I999" s="14"/>
      <c r="J999" s="14"/>
      <c r="K999" s="12"/>
    </row>
    <row r="1000" ht="19.5" customHeight="1">
      <c r="A1000" s="12"/>
      <c r="C1000" s="12"/>
      <c r="D1000" s="13"/>
      <c r="F1000" s="14"/>
      <c r="G1000" s="14"/>
      <c r="H1000" s="14"/>
      <c r="I1000" s="14"/>
      <c r="J1000" s="14"/>
      <c r="K1000" s="12"/>
    </row>
  </sheetData>
  <mergeCells count="10">
    <mergeCell ref="E9:G9"/>
    <mergeCell ref="J9:J10"/>
    <mergeCell ref="A6:K6"/>
    <mergeCell ref="A7:K7"/>
    <mergeCell ref="A8:K8"/>
    <mergeCell ref="A9:A10"/>
    <mergeCell ref="B9:B10"/>
    <mergeCell ref="C9:C10"/>
    <mergeCell ref="D9:D10"/>
    <mergeCell ref="K9:K10"/>
  </mergeCells>
  <printOptions/>
  <pageMargins bottom="0.787401575" footer="0.0" header="0.0" left="0.511811024" right="0.511811024" top="0.787401575"/>
  <pageSetup paperSize="9" scale="60" orientation="landscape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35.38"/>
    <col customWidth="1" min="3" max="3" width="9.13"/>
    <col customWidth="1" min="4" max="4" width="16.25"/>
    <col customWidth="1" min="5" max="5" width="15.75"/>
    <col customWidth="1" min="6" max="6" width="16.25"/>
    <col customWidth="1" min="7" max="7" width="19.0"/>
    <col customWidth="1" min="8" max="8" width="15.88"/>
    <col customWidth="1" min="9" max="9" width="19.0"/>
    <col customWidth="1" min="10" max="10" width="20.63"/>
    <col customWidth="1" min="11" max="11" width="32.75"/>
    <col customWidth="1" min="12" max="26" width="8.63"/>
  </cols>
  <sheetData>
    <row r="1" ht="19.5" customHeight="1">
      <c r="A1" s="4"/>
      <c r="B1" s="5"/>
      <c r="C1" s="6"/>
      <c r="D1" s="7"/>
      <c r="E1" s="5"/>
      <c r="F1" s="8"/>
      <c r="G1" s="8"/>
      <c r="H1" s="8"/>
      <c r="I1" s="8"/>
      <c r="J1" s="8"/>
      <c r="K1" s="9"/>
    </row>
    <row r="2" ht="19.5" customHeight="1">
      <c r="A2" s="10" t="s">
        <v>83</v>
      </c>
      <c r="B2" s="11" t="s">
        <v>84</v>
      </c>
      <c r="C2" s="12"/>
      <c r="D2" s="13"/>
      <c r="F2" s="14"/>
      <c r="G2" s="14"/>
      <c r="H2" s="14"/>
      <c r="I2" s="14"/>
      <c r="J2" s="17" t="s">
        <v>144</v>
      </c>
      <c r="K2" s="18"/>
    </row>
    <row r="3" ht="19.5" customHeight="1">
      <c r="A3" s="10" t="s">
        <v>86</v>
      </c>
      <c r="B3" s="11" t="s">
        <v>87</v>
      </c>
      <c r="C3" s="12"/>
      <c r="D3" s="13"/>
      <c r="F3" s="14"/>
      <c r="G3" s="14"/>
      <c r="H3" s="14"/>
      <c r="I3" s="14"/>
      <c r="J3" s="14"/>
      <c r="K3" s="18"/>
    </row>
    <row r="4" ht="19.5" customHeight="1">
      <c r="A4" s="19"/>
      <c r="C4" s="12"/>
      <c r="D4" s="13"/>
      <c r="F4" s="14"/>
      <c r="G4" s="14"/>
      <c r="H4" s="14"/>
      <c r="I4" s="14"/>
      <c r="J4" s="14"/>
      <c r="K4" s="18"/>
    </row>
    <row r="5" ht="19.5" customHeight="1">
      <c r="A5" s="19"/>
      <c r="C5" s="12"/>
      <c r="D5" s="13"/>
      <c r="F5" s="14"/>
      <c r="G5" s="14"/>
      <c r="H5" s="14"/>
      <c r="I5" s="14"/>
      <c r="J5" s="14"/>
      <c r="K5" s="18"/>
    </row>
    <row r="6" ht="159.0" customHeight="1">
      <c r="A6" s="20" t="s">
        <v>1853</v>
      </c>
      <c r="K6" s="21"/>
    </row>
    <row r="7" ht="64.5" customHeight="1">
      <c r="A7" s="22" t="s">
        <v>1854</v>
      </c>
      <c r="K7" s="21"/>
    </row>
    <row r="8" ht="42.0" customHeight="1">
      <c r="A8" s="88" t="s">
        <v>90</v>
      </c>
      <c r="B8" s="24"/>
      <c r="C8" s="24"/>
      <c r="D8" s="24"/>
      <c r="E8" s="24"/>
      <c r="F8" s="24"/>
      <c r="G8" s="24"/>
      <c r="H8" s="24"/>
      <c r="I8" s="24"/>
      <c r="J8" s="24"/>
      <c r="K8" s="25"/>
    </row>
    <row r="9" ht="19.5" customHeight="1">
      <c r="A9" s="26" t="s">
        <v>1</v>
      </c>
      <c r="B9" s="26" t="s">
        <v>91</v>
      </c>
      <c r="C9" s="26" t="s">
        <v>92</v>
      </c>
      <c r="D9" s="26" t="s">
        <v>93</v>
      </c>
      <c r="E9" s="27" t="s">
        <v>94</v>
      </c>
      <c r="F9" s="28"/>
      <c r="G9" s="29"/>
      <c r="H9" s="30"/>
      <c r="I9" s="30"/>
      <c r="J9" s="31" t="s">
        <v>95</v>
      </c>
      <c r="K9" s="26" t="s">
        <v>96</v>
      </c>
    </row>
    <row r="10" ht="19.5" customHeight="1">
      <c r="A10" s="32"/>
      <c r="B10" s="32"/>
      <c r="C10" s="32"/>
      <c r="D10" s="32"/>
      <c r="E10" s="33" t="s">
        <v>97</v>
      </c>
      <c r="F10" s="34" t="s">
        <v>121</v>
      </c>
      <c r="G10" s="34" t="s">
        <v>99</v>
      </c>
      <c r="H10" s="35" t="s">
        <v>100</v>
      </c>
      <c r="I10" s="35" t="s">
        <v>101</v>
      </c>
      <c r="J10" s="32"/>
      <c r="K10" s="32"/>
    </row>
    <row r="11" ht="19.5" customHeight="1">
      <c r="A11" s="46">
        <v>1.0</v>
      </c>
      <c r="B11" s="37" t="s">
        <v>147</v>
      </c>
      <c r="C11" s="46" t="s">
        <v>148</v>
      </c>
      <c r="D11" s="78">
        <v>1.0</v>
      </c>
      <c r="E11" s="37">
        <v>2.0</v>
      </c>
      <c r="F11" s="40">
        <v>14.0</v>
      </c>
      <c r="G11" s="40">
        <v>4.0</v>
      </c>
      <c r="H11" s="40">
        <f>G11*F11*E11*D11</f>
        <v>112</v>
      </c>
      <c r="I11" s="42"/>
      <c r="J11" s="43">
        <f t="shared" ref="J11:J13" si="1">H11-I11</f>
        <v>112</v>
      </c>
      <c r="K11" s="46"/>
    </row>
    <row r="12" ht="19.5" customHeight="1">
      <c r="A12" s="46"/>
      <c r="B12" s="37"/>
      <c r="C12" s="46"/>
      <c r="D12" s="78"/>
      <c r="E12" s="37"/>
      <c r="F12" s="40"/>
      <c r="G12" s="40"/>
      <c r="H12" s="40"/>
      <c r="I12" s="42"/>
      <c r="J12" s="43">
        <f t="shared" si="1"/>
        <v>0</v>
      </c>
      <c r="K12" s="79"/>
    </row>
    <row r="13" ht="19.5" customHeight="1">
      <c r="A13" s="46"/>
      <c r="B13" s="37"/>
      <c r="C13" s="46"/>
      <c r="D13" s="78"/>
      <c r="E13" s="37"/>
      <c r="F13" s="40"/>
      <c r="G13" s="40"/>
      <c r="H13" s="40"/>
      <c r="I13" s="42"/>
      <c r="J13" s="43">
        <f t="shared" si="1"/>
        <v>0</v>
      </c>
      <c r="K13" s="79"/>
    </row>
    <row r="14" ht="19.5" customHeight="1">
      <c r="A14" s="74" t="s">
        <v>1</v>
      </c>
      <c r="B14" s="74" t="s">
        <v>91</v>
      </c>
      <c r="C14" s="74" t="s">
        <v>92</v>
      </c>
      <c r="D14" s="74" t="s">
        <v>93</v>
      </c>
      <c r="E14" s="50" t="s">
        <v>97</v>
      </c>
      <c r="F14" s="53" t="s">
        <v>121</v>
      </c>
      <c r="G14" s="53" t="s">
        <v>99</v>
      </c>
      <c r="H14" s="75" t="s">
        <v>100</v>
      </c>
      <c r="I14" s="75" t="s">
        <v>101</v>
      </c>
      <c r="J14" s="76" t="s">
        <v>95</v>
      </c>
      <c r="K14" s="74" t="s">
        <v>96</v>
      </c>
    </row>
    <row r="15" ht="19.5" customHeight="1">
      <c r="A15" s="46">
        <v>1.0</v>
      </c>
      <c r="B15" s="37" t="s">
        <v>1320</v>
      </c>
      <c r="C15" s="46" t="s">
        <v>148</v>
      </c>
      <c r="D15" s="78">
        <v>1.0</v>
      </c>
      <c r="E15" s="37">
        <v>0.15</v>
      </c>
      <c r="F15" s="78">
        <v>14.0</v>
      </c>
      <c r="G15" s="40">
        <v>4.0</v>
      </c>
      <c r="H15" s="40">
        <f t="shared" ref="H15:H17" si="2">G15*F15*E15*D15</f>
        <v>8.4</v>
      </c>
      <c r="I15" s="42"/>
      <c r="J15" s="264">
        <f>SUM(H15:H17)</f>
        <v>27.6</v>
      </c>
      <c r="K15" s="46"/>
    </row>
    <row r="16" ht="19.5" customHeight="1">
      <c r="A16" s="46">
        <v>2.0</v>
      </c>
      <c r="B16" s="37" t="s">
        <v>1321</v>
      </c>
      <c r="C16" s="46" t="s">
        <v>148</v>
      </c>
      <c r="D16" s="78">
        <v>1.0</v>
      </c>
      <c r="E16" s="37">
        <v>0.15</v>
      </c>
      <c r="F16" s="78">
        <f>28+4+4</f>
        <v>36</v>
      </c>
      <c r="G16" s="40">
        <v>2.0</v>
      </c>
      <c r="H16" s="40">
        <f t="shared" si="2"/>
        <v>10.8</v>
      </c>
      <c r="I16" s="42"/>
      <c r="J16" s="32"/>
      <c r="K16" s="46"/>
    </row>
    <row r="17" ht="19.5" customHeight="1">
      <c r="A17" s="46">
        <v>3.0</v>
      </c>
      <c r="B17" s="37" t="s">
        <v>1855</v>
      </c>
      <c r="C17" s="46" t="s">
        <v>148</v>
      </c>
      <c r="D17" s="78">
        <v>1.0</v>
      </c>
      <c r="E17" s="37">
        <v>0.15</v>
      </c>
      <c r="F17" s="78">
        <v>14.0</v>
      </c>
      <c r="G17" s="40">
        <v>4.0</v>
      </c>
      <c r="H17" s="40">
        <f t="shared" si="2"/>
        <v>8.4</v>
      </c>
      <c r="I17" s="42"/>
      <c r="J17" s="580"/>
      <c r="K17" s="79"/>
    </row>
    <row r="18" ht="19.5" customHeight="1">
      <c r="A18" s="74" t="s">
        <v>1</v>
      </c>
      <c r="B18" s="74" t="s">
        <v>91</v>
      </c>
      <c r="C18" s="74" t="s">
        <v>92</v>
      </c>
      <c r="D18" s="74" t="s">
        <v>93</v>
      </c>
      <c r="E18" s="50" t="s">
        <v>97</v>
      </c>
      <c r="F18" s="53" t="s">
        <v>121</v>
      </c>
      <c r="G18" s="53" t="s">
        <v>99</v>
      </c>
      <c r="H18" s="75" t="s">
        <v>100</v>
      </c>
      <c r="I18" s="75" t="s">
        <v>101</v>
      </c>
      <c r="J18" s="76" t="s">
        <v>95</v>
      </c>
      <c r="K18" s="74" t="s">
        <v>96</v>
      </c>
    </row>
    <row r="19" ht="19.5" customHeight="1">
      <c r="A19" s="46">
        <v>1.0</v>
      </c>
      <c r="B19" s="37" t="s">
        <v>345</v>
      </c>
      <c r="C19" s="46" t="s">
        <v>148</v>
      </c>
      <c r="D19" s="78"/>
      <c r="E19" s="37"/>
      <c r="F19" s="78"/>
      <c r="G19" s="40"/>
      <c r="H19" s="40"/>
      <c r="I19" s="42"/>
      <c r="J19" s="40"/>
      <c r="K19" s="46"/>
    </row>
    <row r="20" ht="19.5" customHeight="1">
      <c r="A20" s="46"/>
      <c r="B20" s="37"/>
      <c r="C20" s="46"/>
      <c r="D20" s="78"/>
      <c r="E20" s="37"/>
      <c r="F20" s="78"/>
      <c r="G20" s="40"/>
      <c r="H20" s="40"/>
      <c r="I20" s="42"/>
      <c r="J20" s="43">
        <f>SUM(H19:H20)</f>
        <v>0</v>
      </c>
      <c r="K20" s="46"/>
    </row>
    <row r="21" ht="19.5" customHeight="1">
      <c r="A21" s="74" t="s">
        <v>1</v>
      </c>
      <c r="B21" s="74" t="s">
        <v>91</v>
      </c>
      <c r="C21" s="74" t="s">
        <v>92</v>
      </c>
      <c r="D21" s="74" t="s">
        <v>93</v>
      </c>
      <c r="E21" s="50" t="s">
        <v>347</v>
      </c>
      <c r="F21" s="53" t="s">
        <v>121</v>
      </c>
      <c r="G21" s="53" t="s">
        <v>99</v>
      </c>
      <c r="H21" s="75" t="s">
        <v>100</v>
      </c>
      <c r="I21" s="75" t="s">
        <v>101</v>
      </c>
      <c r="J21" s="76" t="s">
        <v>95</v>
      </c>
      <c r="K21" s="74" t="s">
        <v>96</v>
      </c>
    </row>
    <row r="22" ht="19.5" customHeight="1">
      <c r="A22" s="46">
        <v>1.0</v>
      </c>
      <c r="B22" s="37" t="s">
        <v>912</v>
      </c>
      <c r="C22" s="46" t="s">
        <v>103</v>
      </c>
      <c r="D22" s="78">
        <f>J15</f>
        <v>27.6</v>
      </c>
      <c r="E22" s="37">
        <f>H22/D22</f>
        <v>2.463768116</v>
      </c>
      <c r="F22" s="40"/>
      <c r="G22" s="40"/>
      <c r="H22" s="40">
        <f>H35+H36</f>
        <v>68</v>
      </c>
      <c r="I22" s="42"/>
      <c r="J22" s="107">
        <f>H22-I22</f>
        <v>68</v>
      </c>
      <c r="K22" s="46" t="s">
        <v>1322</v>
      </c>
    </row>
    <row r="23" ht="19.5" customHeight="1">
      <c r="A23" s="74" t="s">
        <v>1</v>
      </c>
      <c r="B23" s="74" t="s">
        <v>91</v>
      </c>
      <c r="C23" s="74" t="s">
        <v>92</v>
      </c>
      <c r="D23" s="74" t="s">
        <v>93</v>
      </c>
      <c r="E23" s="50" t="s">
        <v>187</v>
      </c>
      <c r="F23" s="53"/>
      <c r="G23" s="53"/>
      <c r="H23" s="75" t="s">
        <v>100</v>
      </c>
      <c r="I23" s="75" t="s">
        <v>101</v>
      </c>
      <c r="J23" s="76" t="s">
        <v>95</v>
      </c>
      <c r="K23" s="74" t="s">
        <v>96</v>
      </c>
    </row>
    <row r="24" ht="19.5" customHeight="1">
      <c r="A24" s="46">
        <v>1.0</v>
      </c>
      <c r="B24" s="37" t="s">
        <v>1323</v>
      </c>
      <c r="C24" s="46" t="s">
        <v>158</v>
      </c>
      <c r="D24" s="78">
        <f>D22</f>
        <v>27.6</v>
      </c>
      <c r="E24" s="37">
        <v>100.0</v>
      </c>
      <c r="F24" s="40"/>
      <c r="G24" s="40"/>
      <c r="H24" s="40">
        <f>E24*D24</f>
        <v>2760</v>
      </c>
      <c r="I24" s="42"/>
      <c r="J24" s="43">
        <f>H24-I24</f>
        <v>2760</v>
      </c>
      <c r="K24" s="46" t="s">
        <v>355</v>
      </c>
    </row>
    <row r="25" ht="19.5" customHeight="1">
      <c r="A25" s="74" t="s">
        <v>1</v>
      </c>
      <c r="B25" s="74" t="s">
        <v>91</v>
      </c>
      <c r="C25" s="74" t="s">
        <v>92</v>
      </c>
      <c r="D25" s="74" t="s">
        <v>93</v>
      </c>
      <c r="E25" s="50" t="s">
        <v>161</v>
      </c>
      <c r="F25" s="53" t="s">
        <v>121</v>
      </c>
      <c r="G25" s="53" t="s">
        <v>99</v>
      </c>
      <c r="H25" s="75" t="s">
        <v>100</v>
      </c>
      <c r="I25" s="75" t="s">
        <v>101</v>
      </c>
      <c r="J25" s="76" t="s">
        <v>95</v>
      </c>
      <c r="K25" s="74" t="s">
        <v>96</v>
      </c>
    </row>
    <row r="26" ht="19.5" customHeight="1">
      <c r="A26" s="46">
        <v>1.0</v>
      </c>
      <c r="B26" s="37" t="s">
        <v>1324</v>
      </c>
      <c r="C26" s="46" t="s">
        <v>103</v>
      </c>
      <c r="D26" s="39">
        <v>1.0</v>
      </c>
      <c r="E26" s="49">
        <v>2.0</v>
      </c>
      <c r="F26" s="39">
        <v>14.0</v>
      </c>
      <c r="G26" s="41">
        <v>3.0</v>
      </c>
      <c r="H26" s="40">
        <f t="shared" ref="H26:H28" si="3">G26*F26*E26*D26</f>
        <v>84</v>
      </c>
      <c r="I26" s="42"/>
      <c r="J26" s="40"/>
      <c r="K26" s="46"/>
    </row>
    <row r="27" ht="19.5" customHeight="1">
      <c r="A27" s="46">
        <v>2.0</v>
      </c>
      <c r="B27" s="37" t="s">
        <v>1325</v>
      </c>
      <c r="C27" s="46" t="s">
        <v>103</v>
      </c>
      <c r="D27" s="78">
        <v>2.0</v>
      </c>
      <c r="E27" s="49">
        <v>2.0</v>
      </c>
      <c r="F27" s="39">
        <v>14.0</v>
      </c>
      <c r="G27" s="40">
        <v>2.0</v>
      </c>
      <c r="H27" s="40">
        <f t="shared" si="3"/>
        <v>112</v>
      </c>
      <c r="I27" s="42"/>
      <c r="J27" s="40"/>
      <c r="K27" s="46"/>
    </row>
    <row r="28" ht="19.5" customHeight="1">
      <c r="A28" s="46">
        <v>3.0</v>
      </c>
      <c r="B28" s="37" t="s">
        <v>1325</v>
      </c>
      <c r="C28" s="46" t="s">
        <v>574</v>
      </c>
      <c r="D28" s="78">
        <v>2.0</v>
      </c>
      <c r="E28" s="49">
        <v>2.0</v>
      </c>
      <c r="F28" s="39">
        <v>3.0</v>
      </c>
      <c r="G28" s="40">
        <v>2.0</v>
      </c>
      <c r="H28" s="40">
        <f t="shared" si="3"/>
        <v>24</v>
      </c>
      <c r="I28" s="42"/>
      <c r="J28" s="40"/>
      <c r="K28" s="46"/>
    </row>
    <row r="29" ht="19.5" customHeight="1">
      <c r="A29" s="46"/>
      <c r="B29" s="37"/>
      <c r="C29" s="46"/>
      <c r="D29" s="78"/>
      <c r="E29" s="37"/>
      <c r="F29" s="78"/>
      <c r="G29" s="40"/>
      <c r="H29" s="40"/>
      <c r="I29" s="42"/>
      <c r="J29" s="43">
        <f>SUM(H26:H29)</f>
        <v>220</v>
      </c>
      <c r="K29" s="46"/>
    </row>
    <row r="30" ht="19.5" customHeight="1">
      <c r="A30" s="74" t="s">
        <v>1</v>
      </c>
      <c r="B30" s="74" t="s">
        <v>91</v>
      </c>
      <c r="C30" s="74" t="s">
        <v>92</v>
      </c>
      <c r="D30" s="74" t="s">
        <v>93</v>
      </c>
      <c r="E30" s="50" t="s">
        <v>161</v>
      </c>
      <c r="F30" s="53" t="s">
        <v>121</v>
      </c>
      <c r="G30" s="53" t="s">
        <v>99</v>
      </c>
      <c r="H30" s="75" t="s">
        <v>100</v>
      </c>
      <c r="I30" s="75" t="s">
        <v>101</v>
      </c>
      <c r="J30" s="76" t="s">
        <v>95</v>
      </c>
      <c r="K30" s="74" t="s">
        <v>96</v>
      </c>
    </row>
    <row r="31" ht="19.5" customHeight="1">
      <c r="A31" s="46">
        <v>1.0</v>
      </c>
      <c r="B31" s="37" t="s">
        <v>1327</v>
      </c>
      <c r="C31" s="46" t="s">
        <v>103</v>
      </c>
      <c r="D31" s="78">
        <v>1.0</v>
      </c>
      <c r="E31" s="49">
        <v>2.0</v>
      </c>
      <c r="F31" s="78">
        <v>14.0</v>
      </c>
      <c r="G31" s="41">
        <v>3.0</v>
      </c>
      <c r="H31" s="40">
        <f t="shared" ref="H31:H36" si="4">G31*F31*E31*D31</f>
        <v>84</v>
      </c>
      <c r="I31" s="42"/>
      <c r="J31" s="40"/>
      <c r="K31" s="46"/>
    </row>
    <row r="32" ht="19.5" customHeight="1">
      <c r="A32" s="46">
        <v>2.0</v>
      </c>
      <c r="B32" s="37" t="s">
        <v>1327</v>
      </c>
      <c r="C32" s="46" t="s">
        <v>103</v>
      </c>
      <c r="D32" s="78">
        <v>2.0</v>
      </c>
      <c r="E32" s="49">
        <v>2.0</v>
      </c>
      <c r="F32" s="78">
        <v>14.0</v>
      </c>
      <c r="G32" s="40">
        <v>2.0</v>
      </c>
      <c r="H32" s="40">
        <f t="shared" si="4"/>
        <v>112</v>
      </c>
      <c r="I32" s="42"/>
      <c r="J32" s="40"/>
      <c r="K32" s="46"/>
    </row>
    <row r="33" ht="19.5" customHeight="1">
      <c r="A33" s="46">
        <v>3.0</v>
      </c>
      <c r="B33" s="37" t="s">
        <v>1327</v>
      </c>
      <c r="C33" s="46" t="s">
        <v>574</v>
      </c>
      <c r="D33" s="78">
        <v>2.0</v>
      </c>
      <c r="E33" s="49">
        <v>2.0</v>
      </c>
      <c r="F33" s="39">
        <v>3.0</v>
      </c>
      <c r="G33" s="40">
        <v>2.0</v>
      </c>
      <c r="H33" s="40">
        <f t="shared" si="4"/>
        <v>24</v>
      </c>
      <c r="I33" s="42"/>
      <c r="J33" s="43">
        <f>SUM(H31:H33)</f>
        <v>220</v>
      </c>
      <c r="K33" s="46"/>
    </row>
    <row r="34" ht="19.5" customHeight="1">
      <c r="A34" s="46">
        <v>1.0</v>
      </c>
      <c r="B34" s="37" t="s">
        <v>1328</v>
      </c>
      <c r="C34" s="46" t="s">
        <v>103</v>
      </c>
      <c r="D34" s="78">
        <v>1.0</v>
      </c>
      <c r="E34" s="37">
        <v>1.0</v>
      </c>
      <c r="F34" s="78">
        <v>14.0</v>
      </c>
      <c r="G34" s="41">
        <v>3.0</v>
      </c>
      <c r="H34" s="40">
        <f t="shared" si="4"/>
        <v>42</v>
      </c>
      <c r="I34" s="42"/>
      <c r="J34" s="40"/>
      <c r="K34" s="46"/>
    </row>
    <row r="35" ht="19.5" customHeight="1">
      <c r="A35" s="46">
        <v>2.0</v>
      </c>
      <c r="B35" s="37" t="s">
        <v>1328</v>
      </c>
      <c r="C35" s="46" t="s">
        <v>103</v>
      </c>
      <c r="D35" s="78">
        <v>2.0</v>
      </c>
      <c r="E35" s="37">
        <v>1.0</v>
      </c>
      <c r="F35" s="78">
        <v>14.0</v>
      </c>
      <c r="G35" s="40">
        <v>2.0</v>
      </c>
      <c r="H35" s="40">
        <f t="shared" si="4"/>
        <v>56</v>
      </c>
      <c r="I35" s="42"/>
      <c r="J35" s="40"/>
      <c r="K35" s="46"/>
    </row>
    <row r="36" ht="19.5" customHeight="1">
      <c r="A36" s="46">
        <v>3.0</v>
      </c>
      <c r="B36" s="37" t="s">
        <v>1328</v>
      </c>
      <c r="C36" s="46" t="s">
        <v>574</v>
      </c>
      <c r="D36" s="78">
        <v>2.0</v>
      </c>
      <c r="E36" s="37">
        <v>1.0</v>
      </c>
      <c r="F36" s="39">
        <v>3.0</v>
      </c>
      <c r="G36" s="40">
        <v>2.0</v>
      </c>
      <c r="H36" s="40">
        <f t="shared" si="4"/>
        <v>12</v>
      </c>
      <c r="I36" s="42"/>
      <c r="J36" s="40"/>
      <c r="K36" s="46"/>
    </row>
    <row r="37" ht="19.5" customHeight="1">
      <c r="A37" s="46"/>
      <c r="B37" s="37"/>
      <c r="C37" s="46"/>
      <c r="D37" s="78"/>
      <c r="E37" s="37"/>
      <c r="F37" s="78"/>
      <c r="G37" s="40"/>
      <c r="H37" s="40"/>
      <c r="I37" s="42"/>
      <c r="J37" s="43">
        <f>SUM(H34:H36)</f>
        <v>110</v>
      </c>
      <c r="K37" s="46"/>
    </row>
    <row r="38" ht="19.5" hidden="1" customHeight="1">
      <c r="A38" s="74" t="s">
        <v>1</v>
      </c>
      <c r="B38" s="74" t="s">
        <v>91</v>
      </c>
      <c r="C38" s="74" t="s">
        <v>92</v>
      </c>
      <c r="D38" s="74" t="s">
        <v>93</v>
      </c>
      <c r="E38" s="50" t="s">
        <v>97</v>
      </c>
      <c r="F38" s="53" t="s">
        <v>121</v>
      </c>
      <c r="G38" s="53" t="s">
        <v>99</v>
      </c>
      <c r="H38" s="75" t="s">
        <v>100</v>
      </c>
      <c r="I38" s="75" t="s">
        <v>101</v>
      </c>
      <c r="J38" s="76" t="s">
        <v>95</v>
      </c>
      <c r="K38" s="74" t="s">
        <v>96</v>
      </c>
    </row>
    <row r="39" ht="19.5" hidden="1" customHeight="1">
      <c r="A39" s="46">
        <v>1.0</v>
      </c>
      <c r="B39" s="37" t="s">
        <v>1329</v>
      </c>
      <c r="C39" s="46" t="s">
        <v>103</v>
      </c>
      <c r="D39" s="78"/>
      <c r="E39" s="37"/>
      <c r="F39" s="78"/>
      <c r="G39" s="40"/>
      <c r="H39" s="40"/>
      <c r="I39" s="42"/>
      <c r="J39" s="40"/>
      <c r="K39" s="46"/>
    </row>
    <row r="40" ht="19.5" hidden="1" customHeight="1">
      <c r="A40" s="46">
        <v>2.0</v>
      </c>
      <c r="B40" s="37" t="s">
        <v>1330</v>
      </c>
      <c r="C40" s="46" t="s">
        <v>106</v>
      </c>
      <c r="D40" s="78"/>
      <c r="E40" s="37"/>
      <c r="F40" s="78"/>
      <c r="G40" s="40"/>
      <c r="H40" s="40"/>
      <c r="I40" s="42"/>
      <c r="J40" s="64">
        <f>SUM(H39:H40)</f>
        <v>0</v>
      </c>
      <c r="K40" s="46"/>
    </row>
    <row r="41" ht="19.5" hidden="1" customHeight="1">
      <c r="A41" s="74" t="s">
        <v>1</v>
      </c>
      <c r="B41" s="74" t="s">
        <v>91</v>
      </c>
      <c r="C41" s="74" t="s">
        <v>92</v>
      </c>
      <c r="D41" s="74" t="s">
        <v>93</v>
      </c>
      <c r="E41" s="50" t="s">
        <v>161</v>
      </c>
      <c r="F41" s="53" t="s">
        <v>121</v>
      </c>
      <c r="G41" s="53" t="s">
        <v>99</v>
      </c>
      <c r="H41" s="75" t="s">
        <v>100</v>
      </c>
      <c r="I41" s="75" t="s">
        <v>101</v>
      </c>
      <c r="J41" s="76" t="s">
        <v>95</v>
      </c>
      <c r="K41" s="74" t="s">
        <v>96</v>
      </c>
    </row>
    <row r="42" ht="19.5" hidden="1" customHeight="1">
      <c r="A42" s="46">
        <v>1.0</v>
      </c>
      <c r="B42" s="37" t="s">
        <v>1220</v>
      </c>
      <c r="C42" s="46" t="s">
        <v>106</v>
      </c>
      <c r="D42" s="78">
        <v>4.0</v>
      </c>
      <c r="E42" s="37"/>
      <c r="F42" s="78"/>
      <c r="G42" s="40"/>
      <c r="H42" s="40"/>
      <c r="I42" s="42"/>
      <c r="J42" s="40"/>
      <c r="K42" s="46"/>
    </row>
    <row r="43" ht="19.5" hidden="1" customHeight="1">
      <c r="A43" s="46"/>
      <c r="B43" s="37"/>
      <c r="C43" s="46"/>
      <c r="D43" s="78"/>
      <c r="E43" s="37"/>
      <c r="F43" s="78"/>
      <c r="G43" s="40"/>
      <c r="H43" s="40"/>
      <c r="I43" s="42"/>
      <c r="J43" s="64">
        <f>SUM(H42:H43)</f>
        <v>0</v>
      </c>
      <c r="K43" s="46"/>
    </row>
    <row r="44" ht="19.5" customHeight="1">
      <c r="A44" s="74" t="s">
        <v>1</v>
      </c>
      <c r="B44" s="74" t="s">
        <v>91</v>
      </c>
      <c r="C44" s="74" t="s">
        <v>92</v>
      </c>
      <c r="D44" s="74" t="s">
        <v>93</v>
      </c>
      <c r="E44" s="50" t="s">
        <v>97</v>
      </c>
      <c r="F44" s="53" t="s">
        <v>121</v>
      </c>
      <c r="G44" s="53" t="s">
        <v>99</v>
      </c>
      <c r="H44" s="75" t="s">
        <v>100</v>
      </c>
      <c r="I44" s="75" t="s">
        <v>101</v>
      </c>
      <c r="J44" s="76" t="s">
        <v>95</v>
      </c>
      <c r="K44" s="74" t="s">
        <v>96</v>
      </c>
    </row>
    <row r="45" ht="19.5" customHeight="1">
      <c r="A45" s="79">
        <v>1.0</v>
      </c>
      <c r="B45" s="95" t="s">
        <v>1331</v>
      </c>
      <c r="C45" s="79" t="s">
        <v>148</v>
      </c>
      <c r="D45" s="92">
        <v>1.0</v>
      </c>
      <c r="E45" s="37">
        <v>0.2</v>
      </c>
      <c r="F45" s="78">
        <v>14.0</v>
      </c>
      <c r="G45" s="40">
        <v>4.0</v>
      </c>
      <c r="H45" s="59">
        <f>G45*F45*E45*D45</f>
        <v>11.2</v>
      </c>
      <c r="I45" s="93"/>
      <c r="J45" s="133"/>
      <c r="K45" s="79"/>
    </row>
    <row r="46" ht="19.5" hidden="1" customHeight="1">
      <c r="A46" s="74" t="s">
        <v>1</v>
      </c>
      <c r="B46" s="74" t="s">
        <v>91</v>
      </c>
      <c r="C46" s="74" t="s">
        <v>92</v>
      </c>
      <c r="D46" s="76" t="s">
        <v>93</v>
      </c>
      <c r="E46" s="50" t="s">
        <v>161</v>
      </c>
      <c r="F46" s="53" t="s">
        <v>121</v>
      </c>
      <c r="G46" s="53" t="s">
        <v>99</v>
      </c>
      <c r="H46" s="75" t="s">
        <v>100</v>
      </c>
      <c r="I46" s="75" t="s">
        <v>101</v>
      </c>
      <c r="J46" s="76" t="s">
        <v>95</v>
      </c>
      <c r="K46" s="74" t="s">
        <v>96</v>
      </c>
    </row>
    <row r="47" ht="19.5" hidden="1" customHeight="1">
      <c r="A47" s="46">
        <v>1.0</v>
      </c>
      <c r="B47" s="37" t="s">
        <v>1332</v>
      </c>
      <c r="C47" s="46" t="s">
        <v>106</v>
      </c>
      <c r="D47" s="78">
        <v>4.0</v>
      </c>
      <c r="E47" s="37"/>
      <c r="F47" s="78"/>
      <c r="G47" s="40"/>
      <c r="H47" s="40"/>
      <c r="I47" s="42"/>
      <c r="J47" s="64" t="str">
        <f t="shared" ref="J47:J53" si="5">H47</f>
        <v/>
      </c>
      <c r="K47" s="46"/>
    </row>
    <row r="48" ht="19.5" hidden="1" customHeight="1">
      <c r="A48" s="46">
        <f t="shared" ref="A48:A53" si="6">A47+1</f>
        <v>2</v>
      </c>
      <c r="B48" s="37" t="s">
        <v>641</v>
      </c>
      <c r="C48" s="46" t="s">
        <v>108</v>
      </c>
      <c r="D48" s="123">
        <v>300.0</v>
      </c>
      <c r="E48" s="37"/>
      <c r="F48" s="40"/>
      <c r="G48" s="40"/>
      <c r="H48" s="40"/>
      <c r="I48" s="40"/>
      <c r="J48" s="64" t="str">
        <f t="shared" si="5"/>
        <v/>
      </c>
      <c r="K48" s="46"/>
    </row>
    <row r="49" ht="19.5" hidden="1" customHeight="1">
      <c r="A49" s="46">
        <f t="shared" si="6"/>
        <v>3</v>
      </c>
      <c r="B49" s="37" t="s">
        <v>1333</v>
      </c>
      <c r="C49" s="46" t="s">
        <v>108</v>
      </c>
      <c r="D49" s="123">
        <v>4.0</v>
      </c>
      <c r="E49" s="37"/>
      <c r="F49" s="40"/>
      <c r="G49" s="40"/>
      <c r="H49" s="40"/>
      <c r="I49" s="40"/>
      <c r="J49" s="64" t="str">
        <f t="shared" si="5"/>
        <v/>
      </c>
      <c r="K49" s="46"/>
    </row>
    <row r="50" ht="19.5" hidden="1" customHeight="1">
      <c r="A50" s="46">
        <f t="shared" si="6"/>
        <v>4</v>
      </c>
      <c r="B50" s="37" t="s">
        <v>255</v>
      </c>
      <c r="C50" s="46" t="s">
        <v>108</v>
      </c>
      <c r="D50" s="123">
        <v>60.0</v>
      </c>
      <c r="E50" s="37"/>
      <c r="F50" s="40"/>
      <c r="G50" s="40"/>
      <c r="H50" s="40"/>
      <c r="I50" s="40"/>
      <c r="J50" s="64" t="str">
        <f t="shared" si="5"/>
        <v/>
      </c>
      <c r="K50" s="46"/>
    </row>
    <row r="51" ht="19.5" hidden="1" customHeight="1">
      <c r="A51" s="46">
        <f t="shared" si="6"/>
        <v>5</v>
      </c>
      <c r="B51" s="37" t="s">
        <v>1334</v>
      </c>
      <c r="C51" s="46" t="s">
        <v>106</v>
      </c>
      <c r="D51" s="123">
        <v>4.0</v>
      </c>
      <c r="E51" s="37"/>
      <c r="F51" s="40"/>
      <c r="G51" s="40"/>
      <c r="H51" s="40"/>
      <c r="I51" s="40"/>
      <c r="J51" s="64" t="str">
        <f t="shared" si="5"/>
        <v/>
      </c>
      <c r="K51" s="46"/>
    </row>
    <row r="52" ht="19.5" hidden="1" customHeight="1">
      <c r="A52" s="46">
        <f t="shared" si="6"/>
        <v>6</v>
      </c>
      <c r="B52" s="37" t="s">
        <v>1335</v>
      </c>
      <c r="C52" s="46" t="s">
        <v>108</v>
      </c>
      <c r="D52" s="123">
        <v>1.0</v>
      </c>
      <c r="E52" s="37"/>
      <c r="F52" s="40"/>
      <c r="G52" s="40"/>
      <c r="H52" s="40"/>
      <c r="I52" s="40"/>
      <c r="J52" s="64" t="str">
        <f t="shared" si="5"/>
        <v/>
      </c>
      <c r="K52" s="46"/>
    </row>
    <row r="53" ht="19.5" hidden="1" customHeight="1">
      <c r="A53" s="46">
        <f t="shared" si="6"/>
        <v>7</v>
      </c>
      <c r="B53" s="37" t="s">
        <v>1336</v>
      </c>
      <c r="C53" s="46" t="s">
        <v>108</v>
      </c>
      <c r="D53" s="123">
        <v>10.0</v>
      </c>
      <c r="E53" s="37"/>
      <c r="F53" s="40"/>
      <c r="G53" s="40"/>
      <c r="H53" s="40"/>
      <c r="I53" s="40"/>
      <c r="J53" s="64" t="str">
        <f t="shared" si="5"/>
        <v/>
      </c>
      <c r="K53" s="46"/>
    </row>
    <row r="54" ht="19.5" hidden="1" customHeight="1">
      <c r="A54" s="12"/>
      <c r="C54" s="12"/>
      <c r="D54" s="13"/>
      <c r="F54" s="14"/>
      <c r="G54" s="14"/>
      <c r="H54" s="14"/>
      <c r="I54" s="14"/>
      <c r="J54" s="14"/>
      <c r="K54" s="12"/>
    </row>
    <row r="55" ht="19.5" hidden="1" customHeight="1">
      <c r="A55" s="50" t="s">
        <v>1</v>
      </c>
      <c r="B55" s="50" t="s">
        <v>91</v>
      </c>
      <c r="C55" s="50" t="s">
        <v>92</v>
      </c>
      <c r="D55" s="50" t="s">
        <v>93</v>
      </c>
      <c r="E55" s="50" t="s">
        <v>97</v>
      </c>
      <c r="F55" s="53" t="s">
        <v>121</v>
      </c>
      <c r="G55" s="53" t="s">
        <v>99</v>
      </c>
      <c r="H55" s="53" t="s">
        <v>100</v>
      </c>
      <c r="I55" s="53" t="s">
        <v>101</v>
      </c>
      <c r="J55" s="53" t="s">
        <v>95</v>
      </c>
      <c r="K55" s="50" t="s">
        <v>96</v>
      </c>
    </row>
    <row r="56" ht="19.5" hidden="1" customHeight="1">
      <c r="A56" s="46">
        <v>1.0</v>
      </c>
      <c r="B56" s="416" t="s">
        <v>1337</v>
      </c>
      <c r="C56" s="46" t="s">
        <v>108</v>
      </c>
      <c r="D56" s="78">
        <v>1.0</v>
      </c>
      <c r="E56" s="37"/>
      <c r="F56" s="78"/>
      <c r="G56" s="40"/>
      <c r="H56" s="40"/>
      <c r="I56" s="42"/>
      <c r="J56" s="43">
        <f t="shared" ref="J56:J60" si="7">D56</f>
        <v>1</v>
      </c>
      <c r="K56" s="46"/>
    </row>
    <row r="57" ht="19.5" hidden="1" customHeight="1">
      <c r="A57" s="46">
        <v>2.0</v>
      </c>
      <c r="B57" s="416" t="s">
        <v>1338</v>
      </c>
      <c r="C57" s="46" t="s">
        <v>108</v>
      </c>
      <c r="D57" s="78">
        <v>1.0</v>
      </c>
      <c r="E57" s="37"/>
      <c r="F57" s="78"/>
      <c r="G57" s="40"/>
      <c r="H57" s="40"/>
      <c r="I57" s="42"/>
      <c r="J57" s="43">
        <f t="shared" si="7"/>
        <v>1</v>
      </c>
      <c r="K57" s="46"/>
    </row>
    <row r="58" ht="19.5" hidden="1" customHeight="1">
      <c r="A58" s="46">
        <v>3.0</v>
      </c>
      <c r="B58" s="416" t="s">
        <v>1339</v>
      </c>
      <c r="C58" s="46" t="s">
        <v>106</v>
      </c>
      <c r="D58" s="78">
        <v>1.0</v>
      </c>
      <c r="E58" s="37"/>
      <c r="F58" s="78"/>
      <c r="G58" s="40"/>
      <c r="H58" s="40"/>
      <c r="I58" s="42"/>
      <c r="J58" s="43">
        <f t="shared" si="7"/>
        <v>1</v>
      </c>
      <c r="K58" s="40"/>
    </row>
    <row r="59" ht="19.5" hidden="1" customHeight="1">
      <c r="A59" s="46">
        <v>3.0</v>
      </c>
      <c r="B59" s="416" t="s">
        <v>1340</v>
      </c>
      <c r="C59" s="46" t="s">
        <v>106</v>
      </c>
      <c r="D59" s="78">
        <v>6.0</v>
      </c>
      <c r="E59" s="37"/>
      <c r="F59" s="78"/>
      <c r="G59" s="40"/>
      <c r="H59" s="40"/>
      <c r="I59" s="42"/>
      <c r="J59" s="43">
        <f t="shared" si="7"/>
        <v>6</v>
      </c>
      <c r="K59" s="40"/>
    </row>
    <row r="60" ht="19.5" hidden="1" customHeight="1">
      <c r="A60" s="46">
        <v>3.0</v>
      </c>
      <c r="B60" s="416" t="s">
        <v>1341</v>
      </c>
      <c r="C60" s="46" t="s">
        <v>1342</v>
      </c>
      <c r="D60" s="78">
        <v>1.0</v>
      </c>
      <c r="E60" s="37"/>
      <c r="F60" s="78"/>
      <c r="G60" s="40"/>
      <c r="H60" s="40"/>
      <c r="I60" s="42"/>
      <c r="J60" s="43">
        <f t="shared" si="7"/>
        <v>1</v>
      </c>
      <c r="K60" s="40"/>
    </row>
    <row r="61" ht="19.5" hidden="1" customHeight="1">
      <c r="A61" s="12"/>
      <c r="C61" s="12"/>
      <c r="D61" s="13"/>
      <c r="F61" s="14"/>
      <c r="G61" s="14"/>
      <c r="H61" s="14"/>
      <c r="I61" s="14"/>
      <c r="J61" s="14"/>
      <c r="K61" s="12"/>
    </row>
    <row r="62" ht="19.5" customHeight="1">
      <c r="A62" s="74" t="s">
        <v>1</v>
      </c>
      <c r="B62" s="74" t="s">
        <v>91</v>
      </c>
      <c r="C62" s="74" t="s">
        <v>92</v>
      </c>
      <c r="D62" s="74" t="s">
        <v>93</v>
      </c>
      <c r="E62" s="50" t="s">
        <v>97</v>
      </c>
      <c r="F62" s="53" t="s">
        <v>121</v>
      </c>
      <c r="G62" s="53" t="s">
        <v>99</v>
      </c>
      <c r="H62" s="53" t="s">
        <v>100</v>
      </c>
      <c r="I62" s="53" t="s">
        <v>101</v>
      </c>
      <c r="J62" s="53" t="s">
        <v>95</v>
      </c>
      <c r="K62" s="50" t="s">
        <v>96</v>
      </c>
    </row>
    <row r="63" ht="19.5" customHeight="1">
      <c r="A63" s="46">
        <v>1.0</v>
      </c>
      <c r="B63" s="37" t="s">
        <v>1343</v>
      </c>
      <c r="C63" s="46" t="s">
        <v>103</v>
      </c>
      <c r="D63" s="78">
        <v>1.0</v>
      </c>
      <c r="E63" s="37">
        <v>1.0</v>
      </c>
      <c r="F63" s="78">
        <v>1.0</v>
      </c>
      <c r="G63" s="40">
        <v>1.0</v>
      </c>
      <c r="H63" s="40">
        <v>1.0</v>
      </c>
      <c r="I63" s="42"/>
      <c r="J63" s="40"/>
      <c r="K63" s="46"/>
    </row>
    <row r="64" ht="19.5" customHeight="1">
      <c r="A64" s="46"/>
      <c r="B64" s="37"/>
      <c r="C64" s="46"/>
      <c r="D64" s="78"/>
      <c r="E64" s="37"/>
      <c r="F64" s="78"/>
      <c r="G64" s="40"/>
      <c r="H64" s="40"/>
      <c r="I64" s="42"/>
      <c r="J64" s="43">
        <f>SUM(H63:H64)</f>
        <v>1</v>
      </c>
      <c r="K64" s="46"/>
    </row>
    <row r="65" ht="19.5" customHeight="1">
      <c r="A65" s="12"/>
      <c r="C65" s="12"/>
      <c r="D65" s="13"/>
      <c r="F65" s="14"/>
      <c r="G65" s="14"/>
      <c r="H65" s="14"/>
      <c r="I65" s="14"/>
      <c r="J65" s="14"/>
      <c r="K65" s="12"/>
    </row>
    <row r="66" ht="19.5" hidden="1" customHeight="1">
      <c r="A66" s="74" t="s">
        <v>1</v>
      </c>
      <c r="B66" s="74" t="s">
        <v>91</v>
      </c>
      <c r="C66" s="74" t="s">
        <v>92</v>
      </c>
      <c r="D66" s="74" t="s">
        <v>93</v>
      </c>
      <c r="E66" s="50" t="s">
        <v>97</v>
      </c>
      <c r="F66" s="53" t="s">
        <v>121</v>
      </c>
      <c r="G66" s="53" t="s">
        <v>99</v>
      </c>
      <c r="H66" s="53" t="s">
        <v>100</v>
      </c>
      <c r="I66" s="53" t="s">
        <v>101</v>
      </c>
      <c r="J66" s="53" t="s">
        <v>95</v>
      </c>
      <c r="K66" s="50" t="s">
        <v>96</v>
      </c>
    </row>
    <row r="67" ht="19.5" hidden="1" customHeight="1">
      <c r="A67" s="46">
        <v>1.0</v>
      </c>
      <c r="B67" s="37" t="s">
        <v>1344</v>
      </c>
      <c r="C67" s="46" t="s">
        <v>103</v>
      </c>
      <c r="D67" s="78"/>
      <c r="E67" s="37"/>
      <c r="F67" s="78"/>
      <c r="G67" s="40"/>
      <c r="H67" s="40"/>
      <c r="I67" s="42"/>
      <c r="J67" s="40"/>
      <c r="K67" s="12"/>
    </row>
    <row r="68" ht="19.5" hidden="1" customHeight="1">
      <c r="A68" s="46">
        <v>2.0</v>
      </c>
      <c r="B68" s="37" t="s">
        <v>1344</v>
      </c>
      <c r="C68" s="46" t="s">
        <v>103</v>
      </c>
      <c r="D68" s="78"/>
      <c r="E68" s="37"/>
      <c r="F68" s="78"/>
      <c r="G68" s="40"/>
      <c r="H68" s="40"/>
      <c r="I68" s="42"/>
      <c r="J68" s="40"/>
      <c r="K68" s="12"/>
    </row>
    <row r="69" ht="19.5" hidden="1" customHeight="1">
      <c r="A69" s="46">
        <v>3.0</v>
      </c>
      <c r="B69" s="37" t="s">
        <v>1344</v>
      </c>
      <c r="C69" s="46" t="s">
        <v>574</v>
      </c>
      <c r="D69" s="78"/>
      <c r="E69" s="37"/>
      <c r="F69" s="78"/>
      <c r="G69" s="40"/>
      <c r="H69" s="40"/>
      <c r="I69" s="42"/>
      <c r="J69" s="40"/>
      <c r="K69" s="12"/>
    </row>
    <row r="70" ht="19.5" hidden="1" customHeight="1">
      <c r="A70" s="46"/>
      <c r="B70" s="37"/>
      <c r="C70" s="46"/>
      <c r="D70" s="78"/>
      <c r="E70" s="37"/>
      <c r="F70" s="78"/>
      <c r="G70" s="40"/>
      <c r="H70" s="40"/>
      <c r="I70" s="42"/>
      <c r="J70" s="43">
        <f>SUM(H67:H69)</f>
        <v>0</v>
      </c>
      <c r="K70" s="46"/>
    </row>
    <row r="71" ht="19.5" hidden="1" customHeight="1">
      <c r="A71" s="12"/>
      <c r="C71" s="12"/>
      <c r="D71" s="13"/>
      <c r="F71" s="14"/>
      <c r="G71" s="14"/>
      <c r="H71" s="14"/>
      <c r="I71" s="14"/>
      <c r="J71" s="14"/>
      <c r="K71" s="12"/>
    </row>
    <row r="72" ht="19.5" hidden="1" customHeight="1">
      <c r="A72" s="74" t="s">
        <v>1</v>
      </c>
      <c r="B72" s="74" t="s">
        <v>91</v>
      </c>
      <c r="C72" s="74" t="s">
        <v>92</v>
      </c>
      <c r="D72" s="74" t="s">
        <v>93</v>
      </c>
      <c r="E72" s="50" t="s">
        <v>97</v>
      </c>
      <c r="F72" s="53" t="s">
        <v>121</v>
      </c>
      <c r="G72" s="53" t="s">
        <v>99</v>
      </c>
      <c r="H72" s="53" t="s">
        <v>100</v>
      </c>
      <c r="I72" s="53" t="s">
        <v>101</v>
      </c>
      <c r="J72" s="53" t="s">
        <v>95</v>
      </c>
      <c r="K72" s="50" t="s">
        <v>96</v>
      </c>
    </row>
    <row r="73" ht="19.5" hidden="1" customHeight="1">
      <c r="A73" s="46">
        <v>1.0</v>
      </c>
      <c r="B73" s="37" t="s">
        <v>1345</v>
      </c>
      <c r="C73" s="46" t="s">
        <v>103</v>
      </c>
      <c r="D73" s="78"/>
      <c r="E73" s="37"/>
      <c r="F73" s="78"/>
      <c r="G73" s="40"/>
      <c r="H73" s="40"/>
      <c r="I73" s="42"/>
      <c r="J73" s="327">
        <f>SUM(H73:H74)</f>
        <v>0</v>
      </c>
      <c r="K73" s="46"/>
    </row>
    <row r="74" ht="19.5" hidden="1" customHeight="1">
      <c r="A74" s="46">
        <v>2.0</v>
      </c>
      <c r="B74" s="37" t="s">
        <v>1345</v>
      </c>
      <c r="C74" s="46" t="s">
        <v>103</v>
      </c>
      <c r="D74" s="78"/>
      <c r="E74" s="37"/>
      <c r="F74" s="78"/>
      <c r="G74" s="40"/>
      <c r="H74" s="40"/>
      <c r="I74" s="42"/>
      <c r="J74" s="32"/>
      <c r="K74" s="46"/>
    </row>
    <row r="75" ht="19.5" customHeight="1">
      <c r="A75" s="12"/>
      <c r="C75" s="12"/>
      <c r="D75" s="13"/>
      <c r="F75" s="14"/>
      <c r="G75" s="14"/>
      <c r="H75" s="14"/>
      <c r="I75" s="14"/>
      <c r="J75" s="14"/>
      <c r="K75" s="12"/>
    </row>
    <row r="76" ht="19.5" customHeight="1">
      <c r="A76" s="12"/>
      <c r="C76" s="12"/>
      <c r="D76" s="13"/>
      <c r="F76" s="14"/>
      <c r="G76" s="14"/>
      <c r="H76" s="14"/>
      <c r="I76" s="14"/>
      <c r="J76" s="14"/>
      <c r="K76" s="12"/>
    </row>
    <row r="77" ht="19.5" customHeight="1">
      <c r="A77" s="12"/>
      <c r="C77" s="12"/>
      <c r="D77" s="13"/>
      <c r="F77" s="14"/>
      <c r="G77" s="14"/>
      <c r="H77" s="14"/>
      <c r="I77" s="14"/>
      <c r="J77" s="14"/>
      <c r="K77" s="12"/>
    </row>
    <row r="78" ht="19.5" customHeight="1">
      <c r="A78" s="12"/>
      <c r="C78" s="12"/>
      <c r="D78" s="13"/>
      <c r="F78" s="14"/>
      <c r="G78" s="14"/>
      <c r="H78" s="14"/>
      <c r="I78" s="14"/>
      <c r="J78" s="14"/>
      <c r="K78" s="12"/>
    </row>
    <row r="79" ht="19.5" customHeight="1">
      <c r="A79" s="12"/>
      <c r="C79" s="12"/>
      <c r="D79" s="13"/>
      <c r="F79" s="14"/>
      <c r="G79" s="14"/>
      <c r="H79" s="14"/>
      <c r="I79" s="14"/>
      <c r="J79" s="14"/>
      <c r="K79" s="12"/>
    </row>
    <row r="80" ht="19.5" customHeight="1">
      <c r="A80" s="12"/>
      <c r="C80" s="12"/>
      <c r="D80" s="13"/>
      <c r="F80" s="14"/>
      <c r="G80" s="14"/>
      <c r="H80" s="14"/>
      <c r="I80" s="14"/>
      <c r="J80" s="14"/>
      <c r="K80" s="12"/>
    </row>
    <row r="81" ht="19.5" customHeight="1">
      <c r="A81" s="12"/>
      <c r="C81" s="12"/>
      <c r="D81" s="13"/>
      <c r="F81" s="14"/>
      <c r="G81" s="14"/>
      <c r="H81" s="14"/>
      <c r="I81" s="14"/>
      <c r="J81" s="14"/>
      <c r="K81" s="12"/>
    </row>
    <row r="82" ht="19.5" customHeight="1">
      <c r="A82" s="12"/>
      <c r="C82" s="12"/>
      <c r="D82" s="13"/>
      <c r="F82" s="14"/>
      <c r="G82" s="14"/>
      <c r="H82" s="14"/>
      <c r="I82" s="14"/>
      <c r="J82" s="14"/>
      <c r="K82" s="12"/>
    </row>
    <row r="83" ht="19.5" customHeight="1">
      <c r="A83" s="12"/>
      <c r="C83" s="12"/>
      <c r="D83" s="13"/>
      <c r="F83" s="14"/>
      <c r="G83" s="14"/>
      <c r="H83" s="14"/>
      <c r="I83" s="14"/>
      <c r="J83" s="14"/>
      <c r="K83" s="12"/>
    </row>
    <row r="84" ht="19.5" customHeight="1">
      <c r="A84" s="12"/>
      <c r="C84" s="12"/>
      <c r="D84" s="13"/>
      <c r="F84" s="14"/>
      <c r="G84" s="14"/>
      <c r="H84" s="14"/>
      <c r="I84" s="14"/>
      <c r="J84" s="14"/>
      <c r="K84" s="12"/>
    </row>
    <row r="85" ht="19.5" customHeight="1">
      <c r="A85" s="12"/>
      <c r="C85" s="12"/>
      <c r="D85" s="13"/>
      <c r="F85" s="14"/>
      <c r="G85" s="14"/>
      <c r="H85" s="14"/>
      <c r="I85" s="14"/>
      <c r="J85" s="14"/>
      <c r="K85" s="12"/>
    </row>
    <row r="86" ht="19.5" customHeight="1">
      <c r="A86" s="12"/>
      <c r="C86" s="12"/>
      <c r="D86" s="13"/>
      <c r="F86" s="14"/>
      <c r="G86" s="14"/>
      <c r="H86" s="14"/>
      <c r="I86" s="14"/>
      <c r="J86" s="14"/>
      <c r="K86" s="12"/>
    </row>
    <row r="87" ht="19.5" customHeight="1">
      <c r="A87" s="12"/>
      <c r="C87" s="12"/>
      <c r="D87" s="13"/>
      <c r="F87" s="14"/>
      <c r="G87" s="14"/>
      <c r="H87" s="14"/>
      <c r="I87" s="14"/>
      <c r="J87" s="14"/>
      <c r="K87" s="12"/>
    </row>
    <row r="88" ht="19.5" customHeight="1">
      <c r="A88" s="12"/>
      <c r="C88" s="12"/>
      <c r="D88" s="13"/>
      <c r="F88" s="14"/>
      <c r="G88" s="14"/>
      <c r="H88" s="14"/>
      <c r="I88" s="14"/>
      <c r="J88" s="14"/>
      <c r="K88" s="12"/>
    </row>
    <row r="89" ht="19.5" customHeight="1">
      <c r="A89" s="12"/>
      <c r="C89" s="12"/>
      <c r="D89" s="13"/>
      <c r="F89" s="14"/>
      <c r="G89" s="14"/>
      <c r="H89" s="14"/>
      <c r="I89" s="14"/>
      <c r="J89" s="14"/>
      <c r="K89" s="12"/>
    </row>
    <row r="90" ht="19.5" customHeight="1">
      <c r="A90" s="12"/>
      <c r="C90" s="12"/>
      <c r="D90" s="13"/>
      <c r="F90" s="14"/>
      <c r="G90" s="14"/>
      <c r="H90" s="14"/>
      <c r="I90" s="14"/>
      <c r="J90" s="14"/>
      <c r="K90" s="12"/>
    </row>
    <row r="91" ht="19.5" customHeight="1">
      <c r="A91" s="12"/>
      <c r="C91" s="12"/>
      <c r="D91" s="13"/>
      <c r="F91" s="14"/>
      <c r="G91" s="14"/>
      <c r="H91" s="14"/>
      <c r="I91" s="14"/>
      <c r="J91" s="14"/>
      <c r="K91" s="12"/>
    </row>
    <row r="92" ht="19.5" customHeight="1">
      <c r="A92" s="12"/>
      <c r="C92" s="12"/>
      <c r="D92" s="13"/>
      <c r="F92" s="14"/>
      <c r="G92" s="14"/>
      <c r="H92" s="14"/>
      <c r="I92" s="14"/>
      <c r="J92" s="14"/>
      <c r="K92" s="12"/>
    </row>
    <row r="93" ht="19.5" customHeight="1">
      <c r="A93" s="12"/>
      <c r="C93" s="12"/>
      <c r="D93" s="13"/>
      <c r="F93" s="14"/>
      <c r="G93" s="14"/>
      <c r="H93" s="14"/>
      <c r="I93" s="14"/>
      <c r="J93" s="14"/>
      <c r="K93" s="12"/>
    </row>
    <row r="94" ht="19.5" customHeight="1">
      <c r="A94" s="12"/>
      <c r="C94" s="12"/>
      <c r="D94" s="13"/>
      <c r="F94" s="14"/>
      <c r="G94" s="14"/>
      <c r="H94" s="14"/>
      <c r="I94" s="14"/>
      <c r="J94" s="14"/>
      <c r="K94" s="12"/>
    </row>
    <row r="95" ht="19.5" customHeight="1">
      <c r="A95" s="12"/>
      <c r="C95" s="12"/>
      <c r="D95" s="13"/>
      <c r="F95" s="14"/>
      <c r="G95" s="14"/>
      <c r="H95" s="14"/>
      <c r="I95" s="14"/>
      <c r="J95" s="14"/>
      <c r="K95" s="12"/>
    </row>
    <row r="96" ht="19.5" customHeight="1">
      <c r="A96" s="12"/>
      <c r="C96" s="12"/>
      <c r="D96" s="13"/>
      <c r="F96" s="14"/>
      <c r="G96" s="14"/>
      <c r="H96" s="14"/>
      <c r="I96" s="14"/>
      <c r="J96" s="14"/>
      <c r="K96" s="12"/>
    </row>
    <row r="97" ht="19.5" customHeight="1">
      <c r="A97" s="12"/>
      <c r="C97" s="12"/>
      <c r="D97" s="13"/>
      <c r="F97" s="14"/>
      <c r="G97" s="14"/>
      <c r="H97" s="14"/>
      <c r="I97" s="14"/>
      <c r="J97" s="14"/>
      <c r="K97" s="12"/>
    </row>
    <row r="98" ht="19.5" customHeight="1">
      <c r="A98" s="12"/>
      <c r="C98" s="12"/>
      <c r="D98" s="13"/>
      <c r="F98" s="14"/>
      <c r="G98" s="14"/>
      <c r="H98" s="14"/>
      <c r="I98" s="14"/>
      <c r="J98" s="14"/>
      <c r="K98" s="12"/>
    </row>
    <row r="99" ht="19.5" customHeight="1">
      <c r="A99" s="12"/>
      <c r="C99" s="12"/>
      <c r="D99" s="13"/>
      <c r="F99" s="14"/>
      <c r="G99" s="14"/>
      <c r="H99" s="14"/>
      <c r="I99" s="14"/>
      <c r="J99" s="14"/>
      <c r="K99" s="12"/>
    </row>
    <row r="100" ht="19.5" customHeight="1">
      <c r="A100" s="12"/>
      <c r="C100" s="12"/>
      <c r="D100" s="13"/>
      <c r="F100" s="14"/>
      <c r="G100" s="14"/>
      <c r="H100" s="14"/>
      <c r="I100" s="14"/>
      <c r="J100" s="14"/>
      <c r="K100" s="12"/>
    </row>
    <row r="101" ht="19.5" customHeight="1">
      <c r="A101" s="12"/>
      <c r="C101" s="12"/>
      <c r="D101" s="13"/>
      <c r="F101" s="14"/>
      <c r="G101" s="14"/>
      <c r="H101" s="14"/>
      <c r="I101" s="14"/>
      <c r="J101" s="14"/>
      <c r="K101" s="12"/>
    </row>
    <row r="102" ht="19.5" customHeight="1">
      <c r="A102" s="12"/>
      <c r="C102" s="12"/>
      <c r="D102" s="13"/>
      <c r="F102" s="14"/>
      <c r="G102" s="14"/>
      <c r="H102" s="14"/>
      <c r="I102" s="14"/>
      <c r="J102" s="14"/>
      <c r="K102" s="12"/>
    </row>
    <row r="103" ht="19.5" customHeight="1">
      <c r="A103" s="12"/>
      <c r="C103" s="12"/>
      <c r="D103" s="13"/>
      <c r="F103" s="14"/>
      <c r="G103" s="14"/>
      <c r="H103" s="14"/>
      <c r="I103" s="14"/>
      <c r="J103" s="14"/>
      <c r="K103" s="12"/>
    </row>
    <row r="104" ht="19.5" customHeight="1">
      <c r="A104" s="12"/>
      <c r="C104" s="12"/>
      <c r="D104" s="13"/>
      <c r="F104" s="14"/>
      <c r="G104" s="14"/>
      <c r="H104" s="14"/>
      <c r="I104" s="14"/>
      <c r="J104" s="14"/>
      <c r="K104" s="12"/>
    </row>
    <row r="105" ht="19.5" customHeight="1">
      <c r="A105" s="12"/>
      <c r="C105" s="12"/>
      <c r="D105" s="13"/>
      <c r="F105" s="14"/>
      <c r="G105" s="14"/>
      <c r="H105" s="14"/>
      <c r="I105" s="14"/>
      <c r="J105" s="14"/>
      <c r="K105" s="12"/>
    </row>
    <row r="106" ht="19.5" customHeight="1">
      <c r="A106" s="12"/>
      <c r="C106" s="12"/>
      <c r="D106" s="13"/>
      <c r="F106" s="14"/>
      <c r="G106" s="14"/>
      <c r="H106" s="14"/>
      <c r="I106" s="14"/>
      <c r="J106" s="14"/>
      <c r="K106" s="12"/>
    </row>
    <row r="107" ht="19.5" customHeight="1">
      <c r="A107" s="12"/>
      <c r="C107" s="12"/>
      <c r="D107" s="13"/>
      <c r="F107" s="14"/>
      <c r="G107" s="14"/>
      <c r="H107" s="14"/>
      <c r="I107" s="14"/>
      <c r="J107" s="14"/>
      <c r="K107" s="12"/>
    </row>
    <row r="108" ht="19.5" customHeight="1">
      <c r="A108" s="12"/>
      <c r="C108" s="12"/>
      <c r="D108" s="13"/>
      <c r="F108" s="14"/>
      <c r="G108" s="14"/>
      <c r="H108" s="14"/>
      <c r="I108" s="14"/>
      <c r="J108" s="14"/>
      <c r="K108" s="12"/>
    </row>
    <row r="109" ht="19.5" customHeight="1">
      <c r="A109" s="12"/>
      <c r="C109" s="12"/>
      <c r="D109" s="13"/>
      <c r="F109" s="14"/>
      <c r="G109" s="14"/>
      <c r="H109" s="14"/>
      <c r="I109" s="14"/>
      <c r="J109" s="14"/>
      <c r="K109" s="12"/>
    </row>
    <row r="110" ht="19.5" customHeight="1">
      <c r="A110" s="12"/>
      <c r="C110" s="12"/>
      <c r="D110" s="13"/>
      <c r="F110" s="14"/>
      <c r="G110" s="14"/>
      <c r="H110" s="14"/>
      <c r="I110" s="14"/>
      <c r="J110" s="14"/>
      <c r="K110" s="12"/>
    </row>
    <row r="111" ht="19.5" customHeight="1">
      <c r="A111" s="12"/>
      <c r="C111" s="12"/>
      <c r="D111" s="13"/>
      <c r="F111" s="14"/>
      <c r="G111" s="14"/>
      <c r="H111" s="14"/>
      <c r="I111" s="14"/>
      <c r="J111" s="14"/>
      <c r="K111" s="12"/>
    </row>
    <row r="112" ht="19.5" customHeight="1">
      <c r="A112" s="12"/>
      <c r="C112" s="12"/>
      <c r="D112" s="13"/>
      <c r="F112" s="14"/>
      <c r="G112" s="14"/>
      <c r="H112" s="14"/>
      <c r="I112" s="14"/>
      <c r="J112" s="14"/>
      <c r="K112" s="12"/>
    </row>
    <row r="113" ht="19.5" customHeight="1">
      <c r="A113" s="12"/>
      <c r="C113" s="12"/>
      <c r="D113" s="13"/>
      <c r="F113" s="14"/>
      <c r="G113" s="14"/>
      <c r="H113" s="14"/>
      <c r="I113" s="14"/>
      <c r="J113" s="14"/>
      <c r="K113" s="12"/>
    </row>
    <row r="114" ht="19.5" customHeight="1">
      <c r="A114" s="12"/>
      <c r="C114" s="12"/>
      <c r="D114" s="13"/>
      <c r="F114" s="14"/>
      <c r="G114" s="14"/>
      <c r="H114" s="14"/>
      <c r="I114" s="14"/>
      <c r="J114" s="14"/>
      <c r="K114" s="12"/>
    </row>
    <row r="115" ht="19.5" customHeight="1">
      <c r="A115" s="12"/>
      <c r="C115" s="12"/>
      <c r="D115" s="13"/>
      <c r="F115" s="14"/>
      <c r="G115" s="14"/>
      <c r="H115" s="14"/>
      <c r="I115" s="14"/>
      <c r="J115" s="14"/>
      <c r="K115" s="12"/>
    </row>
    <row r="116" ht="19.5" customHeight="1">
      <c r="A116" s="12"/>
      <c r="C116" s="12"/>
      <c r="D116" s="13"/>
      <c r="F116" s="14"/>
      <c r="G116" s="14"/>
      <c r="H116" s="14"/>
      <c r="I116" s="14"/>
      <c r="J116" s="14"/>
      <c r="K116" s="12"/>
    </row>
    <row r="117" ht="19.5" customHeight="1">
      <c r="A117" s="12"/>
      <c r="C117" s="12"/>
      <c r="D117" s="13"/>
      <c r="F117" s="14"/>
      <c r="G117" s="14"/>
      <c r="H117" s="14"/>
      <c r="I117" s="14"/>
      <c r="J117" s="14"/>
      <c r="K117" s="12"/>
    </row>
    <row r="118" ht="19.5" customHeight="1">
      <c r="A118" s="12"/>
      <c r="C118" s="12"/>
      <c r="D118" s="13"/>
      <c r="F118" s="14"/>
      <c r="G118" s="14"/>
      <c r="H118" s="14"/>
      <c r="I118" s="14"/>
      <c r="J118" s="14"/>
      <c r="K118" s="12"/>
    </row>
    <row r="119" ht="19.5" customHeight="1">
      <c r="A119" s="12"/>
      <c r="C119" s="12"/>
      <c r="D119" s="13"/>
      <c r="F119" s="14"/>
      <c r="G119" s="14"/>
      <c r="H119" s="14"/>
      <c r="I119" s="14"/>
      <c r="J119" s="14"/>
      <c r="K119" s="12"/>
    </row>
    <row r="120" ht="19.5" customHeight="1">
      <c r="A120" s="12"/>
      <c r="C120" s="12"/>
      <c r="D120" s="13"/>
      <c r="F120" s="14"/>
      <c r="G120" s="14"/>
      <c r="H120" s="14"/>
      <c r="I120" s="14"/>
      <c r="J120" s="14"/>
      <c r="K120" s="12"/>
    </row>
    <row r="121" ht="19.5" customHeight="1">
      <c r="A121" s="12"/>
      <c r="C121" s="12"/>
      <c r="D121" s="13"/>
      <c r="F121" s="14"/>
      <c r="G121" s="14"/>
      <c r="H121" s="14"/>
      <c r="I121" s="14"/>
      <c r="J121" s="14"/>
      <c r="K121" s="12"/>
    </row>
    <row r="122" ht="19.5" customHeight="1">
      <c r="A122" s="12"/>
      <c r="C122" s="12"/>
      <c r="D122" s="13"/>
      <c r="F122" s="14"/>
      <c r="G122" s="14"/>
      <c r="H122" s="14"/>
      <c r="I122" s="14"/>
      <c r="J122" s="14"/>
      <c r="K122" s="12"/>
    </row>
    <row r="123" ht="19.5" customHeight="1">
      <c r="A123" s="12"/>
      <c r="C123" s="12"/>
      <c r="D123" s="13"/>
      <c r="F123" s="14"/>
      <c r="G123" s="14"/>
      <c r="H123" s="14"/>
      <c r="I123" s="14"/>
      <c r="J123" s="14"/>
      <c r="K123" s="12"/>
    </row>
    <row r="124" ht="19.5" customHeight="1">
      <c r="A124" s="12"/>
      <c r="C124" s="12"/>
      <c r="D124" s="13"/>
      <c r="F124" s="14"/>
      <c r="G124" s="14"/>
      <c r="H124" s="14"/>
      <c r="I124" s="14"/>
      <c r="J124" s="14"/>
      <c r="K124" s="12"/>
    </row>
    <row r="125" ht="19.5" customHeight="1">
      <c r="A125" s="12"/>
      <c r="C125" s="12"/>
      <c r="D125" s="13"/>
      <c r="F125" s="14"/>
      <c r="G125" s="14"/>
      <c r="H125" s="14"/>
      <c r="I125" s="14"/>
      <c r="J125" s="14"/>
      <c r="K125" s="12"/>
    </row>
    <row r="126" ht="19.5" customHeight="1">
      <c r="A126" s="12"/>
      <c r="C126" s="12"/>
      <c r="D126" s="13"/>
      <c r="F126" s="14"/>
      <c r="G126" s="14"/>
      <c r="H126" s="14"/>
      <c r="I126" s="14"/>
      <c r="J126" s="14"/>
      <c r="K126" s="12"/>
    </row>
    <row r="127" ht="19.5" customHeight="1">
      <c r="A127" s="12"/>
      <c r="C127" s="12"/>
      <c r="D127" s="13"/>
      <c r="F127" s="14"/>
      <c r="G127" s="14"/>
      <c r="H127" s="14"/>
      <c r="I127" s="14"/>
      <c r="J127" s="14"/>
      <c r="K127" s="12"/>
    </row>
    <row r="128" ht="19.5" customHeight="1">
      <c r="A128" s="12"/>
      <c r="C128" s="12"/>
      <c r="D128" s="13"/>
      <c r="F128" s="14"/>
      <c r="G128" s="14"/>
      <c r="H128" s="14"/>
      <c r="I128" s="14"/>
      <c r="J128" s="14"/>
      <c r="K128" s="12"/>
    </row>
    <row r="129" ht="19.5" customHeight="1">
      <c r="A129" s="12"/>
      <c r="C129" s="12"/>
      <c r="D129" s="13"/>
      <c r="F129" s="14"/>
      <c r="G129" s="14"/>
      <c r="H129" s="14"/>
      <c r="I129" s="14"/>
      <c r="J129" s="14"/>
      <c r="K129" s="12"/>
    </row>
    <row r="130" ht="19.5" customHeight="1">
      <c r="A130" s="12"/>
      <c r="C130" s="12"/>
      <c r="D130" s="13"/>
      <c r="F130" s="14"/>
      <c r="G130" s="14"/>
      <c r="H130" s="14"/>
      <c r="I130" s="14"/>
      <c r="J130" s="14"/>
      <c r="K130" s="12"/>
    </row>
    <row r="131" ht="19.5" customHeight="1">
      <c r="A131" s="12"/>
      <c r="C131" s="12"/>
      <c r="D131" s="13"/>
      <c r="F131" s="14"/>
      <c r="G131" s="14"/>
      <c r="H131" s="14"/>
      <c r="I131" s="14"/>
      <c r="J131" s="14"/>
      <c r="K131" s="12"/>
    </row>
    <row r="132" ht="19.5" customHeight="1">
      <c r="A132" s="12"/>
      <c r="C132" s="12"/>
      <c r="D132" s="13"/>
      <c r="F132" s="14"/>
      <c r="G132" s="14"/>
      <c r="H132" s="14"/>
      <c r="I132" s="14"/>
      <c r="J132" s="14"/>
      <c r="K132" s="12"/>
    </row>
    <row r="133" ht="19.5" customHeight="1">
      <c r="A133" s="12"/>
      <c r="C133" s="12"/>
      <c r="D133" s="13"/>
      <c r="F133" s="14"/>
      <c r="G133" s="14"/>
      <c r="H133" s="14"/>
      <c r="I133" s="14"/>
      <c r="J133" s="14"/>
      <c r="K133" s="12"/>
    </row>
    <row r="134" ht="19.5" customHeight="1">
      <c r="A134" s="12"/>
      <c r="C134" s="12"/>
      <c r="D134" s="13"/>
      <c r="F134" s="14"/>
      <c r="G134" s="14"/>
      <c r="H134" s="14"/>
      <c r="I134" s="14"/>
      <c r="J134" s="14"/>
      <c r="K134" s="12"/>
    </row>
    <row r="135" ht="19.5" customHeight="1">
      <c r="A135" s="12"/>
      <c r="C135" s="12"/>
      <c r="D135" s="13"/>
      <c r="F135" s="14"/>
      <c r="G135" s="14"/>
      <c r="H135" s="14"/>
      <c r="I135" s="14"/>
      <c r="J135" s="14"/>
      <c r="K135" s="12"/>
    </row>
    <row r="136" ht="19.5" customHeight="1">
      <c r="A136" s="12"/>
      <c r="C136" s="12"/>
      <c r="D136" s="13"/>
      <c r="F136" s="14"/>
      <c r="G136" s="14"/>
      <c r="H136" s="14"/>
      <c r="I136" s="14"/>
      <c r="J136" s="14"/>
      <c r="K136" s="12"/>
    </row>
    <row r="137" ht="19.5" customHeight="1">
      <c r="A137" s="12"/>
      <c r="C137" s="12"/>
      <c r="D137" s="13"/>
      <c r="F137" s="14"/>
      <c r="G137" s="14"/>
      <c r="H137" s="14"/>
      <c r="I137" s="14"/>
      <c r="J137" s="14"/>
      <c r="K137" s="12"/>
    </row>
    <row r="138" ht="19.5" customHeight="1">
      <c r="A138" s="12"/>
      <c r="C138" s="12"/>
      <c r="D138" s="13"/>
      <c r="F138" s="14"/>
      <c r="G138" s="14"/>
      <c r="H138" s="14"/>
      <c r="I138" s="14"/>
      <c r="J138" s="14"/>
      <c r="K138" s="12"/>
    </row>
    <row r="139" ht="19.5" customHeight="1">
      <c r="A139" s="12"/>
      <c r="C139" s="12"/>
      <c r="D139" s="13"/>
      <c r="F139" s="14"/>
      <c r="G139" s="14"/>
      <c r="H139" s="14"/>
      <c r="I139" s="14"/>
      <c r="J139" s="14"/>
      <c r="K139" s="12"/>
    </row>
    <row r="140" ht="19.5" customHeight="1">
      <c r="A140" s="12"/>
      <c r="C140" s="12"/>
      <c r="D140" s="13"/>
      <c r="F140" s="14"/>
      <c r="G140" s="14"/>
      <c r="H140" s="14"/>
      <c r="I140" s="14"/>
      <c r="J140" s="14"/>
      <c r="K140" s="12"/>
    </row>
    <row r="141" ht="19.5" customHeight="1">
      <c r="A141" s="12"/>
      <c r="C141" s="12"/>
      <c r="D141" s="13"/>
      <c r="F141" s="14"/>
      <c r="G141" s="14"/>
      <c r="H141" s="14"/>
      <c r="I141" s="14"/>
      <c r="J141" s="14"/>
      <c r="K141" s="12"/>
    </row>
    <row r="142" ht="19.5" customHeight="1">
      <c r="A142" s="12"/>
      <c r="C142" s="12"/>
      <c r="D142" s="13"/>
      <c r="F142" s="14"/>
      <c r="G142" s="14"/>
      <c r="H142" s="14"/>
      <c r="I142" s="14"/>
      <c r="J142" s="14"/>
      <c r="K142" s="12"/>
    </row>
    <row r="143" ht="19.5" customHeight="1">
      <c r="A143" s="12"/>
      <c r="C143" s="12"/>
      <c r="D143" s="13"/>
      <c r="F143" s="14"/>
      <c r="G143" s="14"/>
      <c r="H143" s="14"/>
      <c r="I143" s="14"/>
      <c r="J143" s="14"/>
      <c r="K143" s="12"/>
    </row>
    <row r="144" ht="19.5" customHeight="1">
      <c r="A144" s="12"/>
      <c r="C144" s="12"/>
      <c r="D144" s="13"/>
      <c r="F144" s="14"/>
      <c r="G144" s="14"/>
      <c r="H144" s="14"/>
      <c r="I144" s="14"/>
      <c r="J144" s="14"/>
      <c r="K144" s="12"/>
    </row>
    <row r="145" ht="19.5" customHeight="1">
      <c r="A145" s="12"/>
      <c r="C145" s="12"/>
      <c r="D145" s="13"/>
      <c r="F145" s="14"/>
      <c r="G145" s="14"/>
      <c r="H145" s="14"/>
      <c r="I145" s="14"/>
      <c r="J145" s="14"/>
      <c r="K145" s="12"/>
    </row>
    <row r="146" ht="19.5" customHeight="1">
      <c r="A146" s="12"/>
      <c r="C146" s="12"/>
      <c r="D146" s="13"/>
      <c r="F146" s="14"/>
      <c r="G146" s="14"/>
      <c r="H146" s="14"/>
      <c r="I146" s="14"/>
      <c r="J146" s="14"/>
      <c r="K146" s="12"/>
    </row>
    <row r="147" ht="19.5" customHeight="1">
      <c r="A147" s="12"/>
      <c r="C147" s="12"/>
      <c r="D147" s="13"/>
      <c r="F147" s="14"/>
      <c r="G147" s="14"/>
      <c r="H147" s="14"/>
      <c r="I147" s="14"/>
      <c r="J147" s="14"/>
      <c r="K147" s="12"/>
    </row>
    <row r="148" ht="19.5" customHeight="1">
      <c r="A148" s="12"/>
      <c r="C148" s="12"/>
      <c r="D148" s="13"/>
      <c r="F148" s="14"/>
      <c r="G148" s="14"/>
      <c r="H148" s="14"/>
      <c r="I148" s="14"/>
      <c r="J148" s="14"/>
      <c r="K148" s="12"/>
    </row>
    <row r="149" ht="19.5" customHeight="1">
      <c r="A149" s="12"/>
      <c r="C149" s="12"/>
      <c r="D149" s="13"/>
      <c r="F149" s="14"/>
      <c r="G149" s="14"/>
      <c r="H149" s="14"/>
      <c r="I149" s="14"/>
      <c r="J149" s="14"/>
      <c r="K149" s="12"/>
    </row>
    <row r="150" ht="19.5" customHeight="1">
      <c r="A150" s="12"/>
      <c r="C150" s="12"/>
      <c r="D150" s="13"/>
      <c r="F150" s="14"/>
      <c r="G150" s="14"/>
      <c r="H150" s="14"/>
      <c r="I150" s="14"/>
      <c r="J150" s="14"/>
      <c r="K150" s="12"/>
    </row>
    <row r="151" ht="19.5" customHeight="1">
      <c r="A151" s="12"/>
      <c r="C151" s="12"/>
      <c r="D151" s="13"/>
      <c r="F151" s="14"/>
      <c r="G151" s="14"/>
      <c r="H151" s="14"/>
      <c r="I151" s="14"/>
      <c r="J151" s="14"/>
      <c r="K151" s="12"/>
    </row>
    <row r="152" ht="19.5" customHeight="1">
      <c r="A152" s="12"/>
      <c r="C152" s="12"/>
      <c r="D152" s="13"/>
      <c r="F152" s="14"/>
      <c r="G152" s="14"/>
      <c r="H152" s="14"/>
      <c r="I152" s="14"/>
      <c r="J152" s="14"/>
      <c r="K152" s="12"/>
    </row>
    <row r="153" ht="19.5" customHeight="1">
      <c r="A153" s="12"/>
      <c r="C153" s="12"/>
      <c r="D153" s="13"/>
      <c r="F153" s="14"/>
      <c r="G153" s="14"/>
      <c r="H153" s="14"/>
      <c r="I153" s="14"/>
      <c r="J153" s="14"/>
      <c r="K153" s="12"/>
    </row>
    <row r="154" ht="19.5" customHeight="1">
      <c r="A154" s="12"/>
      <c r="C154" s="12"/>
      <c r="D154" s="13"/>
      <c r="F154" s="14"/>
      <c r="G154" s="14"/>
      <c r="H154" s="14"/>
      <c r="I154" s="14"/>
      <c r="J154" s="14"/>
      <c r="K154" s="12"/>
    </row>
    <row r="155" ht="19.5" customHeight="1">
      <c r="A155" s="12"/>
      <c r="C155" s="12"/>
      <c r="D155" s="13"/>
      <c r="F155" s="14"/>
      <c r="G155" s="14"/>
      <c r="H155" s="14"/>
      <c r="I155" s="14"/>
      <c r="J155" s="14"/>
      <c r="K155" s="12"/>
    </row>
    <row r="156" ht="19.5" customHeight="1">
      <c r="A156" s="12"/>
      <c r="C156" s="12"/>
      <c r="D156" s="13"/>
      <c r="F156" s="14"/>
      <c r="G156" s="14"/>
      <c r="H156" s="14"/>
      <c r="I156" s="14"/>
      <c r="J156" s="14"/>
      <c r="K156" s="12"/>
    </row>
    <row r="157" ht="19.5" customHeight="1">
      <c r="A157" s="12"/>
      <c r="C157" s="12"/>
      <c r="D157" s="13"/>
      <c r="F157" s="14"/>
      <c r="G157" s="14"/>
      <c r="H157" s="14"/>
      <c r="I157" s="14"/>
      <c r="J157" s="14"/>
      <c r="K157" s="12"/>
    </row>
    <row r="158" ht="19.5" customHeight="1">
      <c r="A158" s="12"/>
      <c r="C158" s="12"/>
      <c r="D158" s="13"/>
      <c r="F158" s="14"/>
      <c r="G158" s="14"/>
      <c r="H158" s="14"/>
      <c r="I158" s="14"/>
      <c r="J158" s="14"/>
      <c r="K158" s="12"/>
    </row>
    <row r="159" ht="19.5" customHeight="1">
      <c r="A159" s="12"/>
      <c r="C159" s="12"/>
      <c r="D159" s="13"/>
      <c r="F159" s="14"/>
      <c r="G159" s="14"/>
      <c r="H159" s="14"/>
      <c r="I159" s="14"/>
      <c r="J159" s="14"/>
      <c r="K159" s="12"/>
    </row>
    <row r="160" ht="19.5" customHeight="1">
      <c r="A160" s="12"/>
      <c r="C160" s="12"/>
      <c r="D160" s="13"/>
      <c r="F160" s="14"/>
      <c r="G160" s="14"/>
      <c r="H160" s="14"/>
      <c r="I160" s="14"/>
      <c r="J160" s="14"/>
      <c r="K160" s="12"/>
    </row>
    <row r="161" ht="19.5" customHeight="1">
      <c r="A161" s="12"/>
      <c r="C161" s="12"/>
      <c r="D161" s="13"/>
      <c r="F161" s="14"/>
      <c r="G161" s="14"/>
      <c r="H161" s="14"/>
      <c r="I161" s="14"/>
      <c r="J161" s="14"/>
      <c r="K161" s="12"/>
    </row>
    <row r="162" ht="19.5" customHeight="1">
      <c r="A162" s="12"/>
      <c r="C162" s="12"/>
      <c r="D162" s="13"/>
      <c r="F162" s="14"/>
      <c r="G162" s="14"/>
      <c r="H162" s="14"/>
      <c r="I162" s="14"/>
      <c r="J162" s="14"/>
      <c r="K162" s="12"/>
    </row>
    <row r="163" ht="19.5" customHeight="1">
      <c r="A163" s="12"/>
      <c r="C163" s="12"/>
      <c r="D163" s="13"/>
      <c r="F163" s="14"/>
      <c r="G163" s="14"/>
      <c r="H163" s="14"/>
      <c r="I163" s="14"/>
      <c r="J163" s="14"/>
      <c r="K163" s="12"/>
    </row>
    <row r="164" ht="19.5" customHeight="1">
      <c r="A164" s="12"/>
      <c r="C164" s="12"/>
      <c r="D164" s="13"/>
      <c r="F164" s="14"/>
      <c r="G164" s="14"/>
      <c r="H164" s="14"/>
      <c r="I164" s="14"/>
      <c r="J164" s="14"/>
      <c r="K164" s="12"/>
    </row>
    <row r="165" ht="19.5" customHeight="1">
      <c r="A165" s="12"/>
      <c r="C165" s="12"/>
      <c r="D165" s="13"/>
      <c r="F165" s="14"/>
      <c r="G165" s="14"/>
      <c r="H165" s="14"/>
      <c r="I165" s="14"/>
      <c r="J165" s="14"/>
      <c r="K165" s="12"/>
    </row>
    <row r="166" ht="19.5" customHeight="1">
      <c r="A166" s="12"/>
      <c r="C166" s="12"/>
      <c r="D166" s="13"/>
      <c r="F166" s="14"/>
      <c r="G166" s="14"/>
      <c r="H166" s="14"/>
      <c r="I166" s="14"/>
      <c r="J166" s="14"/>
      <c r="K166" s="12"/>
    </row>
    <row r="167" ht="19.5" customHeight="1">
      <c r="A167" s="12"/>
      <c r="C167" s="12"/>
      <c r="D167" s="13"/>
      <c r="F167" s="14"/>
      <c r="G167" s="14"/>
      <c r="H167" s="14"/>
      <c r="I167" s="14"/>
      <c r="J167" s="14"/>
      <c r="K167" s="12"/>
    </row>
    <row r="168" ht="19.5" customHeight="1">
      <c r="A168" s="12"/>
      <c r="C168" s="12"/>
      <c r="D168" s="13"/>
      <c r="F168" s="14"/>
      <c r="G168" s="14"/>
      <c r="H168" s="14"/>
      <c r="I168" s="14"/>
      <c r="J168" s="14"/>
      <c r="K168" s="12"/>
    </row>
    <row r="169" ht="19.5" customHeight="1">
      <c r="A169" s="12"/>
      <c r="C169" s="12"/>
      <c r="D169" s="13"/>
      <c r="F169" s="14"/>
      <c r="G169" s="14"/>
      <c r="H169" s="14"/>
      <c r="I169" s="14"/>
      <c r="J169" s="14"/>
      <c r="K169" s="12"/>
    </row>
    <row r="170" ht="19.5" customHeight="1">
      <c r="A170" s="12"/>
      <c r="C170" s="12"/>
      <c r="D170" s="13"/>
      <c r="F170" s="14"/>
      <c r="G170" s="14"/>
      <c r="H170" s="14"/>
      <c r="I170" s="14"/>
      <c r="J170" s="14"/>
      <c r="K170" s="12"/>
    </row>
    <row r="171" ht="19.5" customHeight="1">
      <c r="A171" s="12"/>
      <c r="C171" s="12"/>
      <c r="D171" s="13"/>
      <c r="F171" s="14"/>
      <c r="G171" s="14"/>
      <c r="H171" s="14"/>
      <c r="I171" s="14"/>
      <c r="J171" s="14"/>
      <c r="K171" s="12"/>
    </row>
    <row r="172" ht="19.5" customHeight="1">
      <c r="A172" s="12"/>
      <c r="C172" s="12"/>
      <c r="D172" s="13"/>
      <c r="F172" s="14"/>
      <c r="G172" s="14"/>
      <c r="H172" s="14"/>
      <c r="I172" s="14"/>
      <c r="J172" s="14"/>
      <c r="K172" s="12"/>
    </row>
    <row r="173" ht="19.5" customHeight="1">
      <c r="A173" s="12"/>
      <c r="C173" s="12"/>
      <c r="D173" s="13"/>
      <c r="F173" s="14"/>
      <c r="G173" s="14"/>
      <c r="H173" s="14"/>
      <c r="I173" s="14"/>
      <c r="J173" s="14"/>
      <c r="K173" s="12"/>
    </row>
    <row r="174" ht="19.5" customHeight="1">
      <c r="A174" s="12"/>
      <c r="C174" s="12"/>
      <c r="D174" s="13"/>
      <c r="F174" s="14"/>
      <c r="G174" s="14"/>
      <c r="H174" s="14"/>
      <c r="I174" s="14"/>
      <c r="J174" s="14"/>
      <c r="K174" s="12"/>
    </row>
    <row r="175" ht="19.5" customHeight="1">
      <c r="A175" s="12"/>
      <c r="C175" s="12"/>
      <c r="D175" s="13"/>
      <c r="F175" s="14"/>
      <c r="G175" s="14"/>
      <c r="H175" s="14"/>
      <c r="I175" s="14"/>
      <c r="J175" s="14"/>
      <c r="K175" s="12"/>
    </row>
    <row r="176" ht="19.5" customHeight="1">
      <c r="A176" s="12"/>
      <c r="C176" s="12"/>
      <c r="D176" s="13"/>
      <c r="F176" s="14"/>
      <c r="G176" s="14"/>
      <c r="H176" s="14"/>
      <c r="I176" s="14"/>
      <c r="J176" s="14"/>
      <c r="K176" s="12"/>
    </row>
    <row r="177" ht="19.5" customHeight="1">
      <c r="A177" s="12"/>
      <c r="C177" s="12"/>
      <c r="D177" s="13"/>
      <c r="F177" s="14"/>
      <c r="G177" s="14"/>
      <c r="H177" s="14"/>
      <c r="I177" s="14"/>
      <c r="J177" s="14"/>
      <c r="K177" s="12"/>
    </row>
    <row r="178" ht="19.5" customHeight="1">
      <c r="A178" s="12"/>
      <c r="C178" s="12"/>
      <c r="D178" s="13"/>
      <c r="F178" s="14"/>
      <c r="G178" s="14"/>
      <c r="H178" s="14"/>
      <c r="I178" s="14"/>
      <c r="J178" s="14"/>
      <c r="K178" s="12"/>
    </row>
    <row r="179" ht="19.5" customHeight="1">
      <c r="A179" s="12"/>
      <c r="C179" s="12"/>
      <c r="D179" s="13"/>
      <c r="F179" s="14"/>
      <c r="G179" s="14"/>
      <c r="H179" s="14"/>
      <c r="I179" s="14"/>
      <c r="J179" s="14"/>
      <c r="K179" s="12"/>
    </row>
    <row r="180" ht="19.5" customHeight="1">
      <c r="A180" s="12"/>
      <c r="C180" s="12"/>
      <c r="D180" s="13"/>
      <c r="F180" s="14"/>
      <c r="G180" s="14"/>
      <c r="H180" s="14"/>
      <c r="I180" s="14"/>
      <c r="J180" s="14"/>
      <c r="K180" s="12"/>
    </row>
    <row r="181" ht="19.5" customHeight="1">
      <c r="A181" s="12"/>
      <c r="C181" s="12"/>
      <c r="D181" s="13"/>
      <c r="F181" s="14"/>
      <c r="G181" s="14"/>
      <c r="H181" s="14"/>
      <c r="I181" s="14"/>
      <c r="J181" s="14"/>
      <c r="K181" s="12"/>
    </row>
    <row r="182" ht="19.5" customHeight="1">
      <c r="A182" s="12"/>
      <c r="C182" s="12"/>
      <c r="D182" s="13"/>
      <c r="F182" s="14"/>
      <c r="G182" s="14"/>
      <c r="H182" s="14"/>
      <c r="I182" s="14"/>
      <c r="J182" s="14"/>
      <c r="K182" s="12"/>
    </row>
    <row r="183" ht="19.5" customHeight="1">
      <c r="A183" s="12"/>
      <c r="C183" s="12"/>
      <c r="D183" s="13"/>
      <c r="F183" s="14"/>
      <c r="G183" s="14"/>
      <c r="H183" s="14"/>
      <c r="I183" s="14"/>
      <c r="J183" s="14"/>
      <c r="K183" s="12"/>
    </row>
    <row r="184" ht="19.5" customHeight="1">
      <c r="A184" s="12"/>
      <c r="C184" s="12"/>
      <c r="D184" s="13"/>
      <c r="F184" s="14"/>
      <c r="G184" s="14"/>
      <c r="H184" s="14"/>
      <c r="I184" s="14"/>
      <c r="J184" s="14"/>
      <c r="K184" s="12"/>
    </row>
    <row r="185" ht="19.5" customHeight="1">
      <c r="A185" s="12"/>
      <c r="C185" s="12"/>
      <c r="D185" s="13"/>
      <c r="F185" s="14"/>
      <c r="G185" s="14"/>
      <c r="H185" s="14"/>
      <c r="I185" s="14"/>
      <c r="J185" s="14"/>
      <c r="K185" s="12"/>
    </row>
    <row r="186" ht="19.5" customHeight="1">
      <c r="A186" s="12"/>
      <c r="C186" s="12"/>
      <c r="D186" s="13"/>
      <c r="F186" s="14"/>
      <c r="G186" s="14"/>
      <c r="H186" s="14"/>
      <c r="I186" s="14"/>
      <c r="J186" s="14"/>
      <c r="K186" s="12"/>
    </row>
    <row r="187" ht="19.5" customHeight="1">
      <c r="A187" s="12"/>
      <c r="C187" s="12"/>
      <c r="D187" s="13"/>
      <c r="F187" s="14"/>
      <c r="G187" s="14"/>
      <c r="H187" s="14"/>
      <c r="I187" s="14"/>
      <c r="J187" s="14"/>
      <c r="K187" s="12"/>
    </row>
    <row r="188" ht="19.5" customHeight="1">
      <c r="A188" s="12"/>
      <c r="C188" s="12"/>
      <c r="D188" s="13"/>
      <c r="F188" s="14"/>
      <c r="G188" s="14"/>
      <c r="H188" s="14"/>
      <c r="I188" s="14"/>
      <c r="J188" s="14"/>
      <c r="K188" s="12"/>
    </row>
    <row r="189" ht="19.5" customHeight="1">
      <c r="A189" s="12"/>
      <c r="C189" s="12"/>
      <c r="D189" s="13"/>
      <c r="F189" s="14"/>
      <c r="G189" s="14"/>
      <c r="H189" s="14"/>
      <c r="I189" s="14"/>
      <c r="J189" s="14"/>
      <c r="K189" s="12"/>
    </row>
    <row r="190" ht="19.5" customHeight="1">
      <c r="A190" s="12"/>
      <c r="C190" s="12"/>
      <c r="D190" s="13"/>
      <c r="F190" s="14"/>
      <c r="G190" s="14"/>
      <c r="H190" s="14"/>
      <c r="I190" s="14"/>
      <c r="J190" s="14"/>
      <c r="K190" s="12"/>
    </row>
    <row r="191" ht="19.5" customHeight="1">
      <c r="A191" s="12"/>
      <c r="C191" s="12"/>
      <c r="D191" s="13"/>
      <c r="F191" s="14"/>
      <c r="G191" s="14"/>
      <c r="H191" s="14"/>
      <c r="I191" s="14"/>
      <c r="J191" s="14"/>
      <c r="K191" s="12"/>
    </row>
    <row r="192" ht="19.5" customHeight="1">
      <c r="A192" s="12"/>
      <c r="C192" s="12"/>
      <c r="D192" s="13"/>
      <c r="F192" s="14"/>
      <c r="G192" s="14"/>
      <c r="H192" s="14"/>
      <c r="I192" s="14"/>
      <c r="J192" s="14"/>
      <c r="K192" s="12"/>
    </row>
    <row r="193" ht="19.5" customHeight="1">
      <c r="A193" s="12"/>
      <c r="C193" s="12"/>
      <c r="D193" s="13"/>
      <c r="F193" s="14"/>
      <c r="G193" s="14"/>
      <c r="H193" s="14"/>
      <c r="I193" s="14"/>
      <c r="J193" s="14"/>
      <c r="K193" s="12"/>
    </row>
    <row r="194" ht="19.5" customHeight="1">
      <c r="A194" s="12"/>
      <c r="C194" s="12"/>
      <c r="D194" s="13"/>
      <c r="F194" s="14"/>
      <c r="G194" s="14"/>
      <c r="H194" s="14"/>
      <c r="I194" s="14"/>
      <c r="J194" s="14"/>
      <c r="K194" s="12"/>
    </row>
    <row r="195" ht="19.5" customHeight="1">
      <c r="A195" s="12"/>
      <c r="C195" s="12"/>
      <c r="D195" s="13"/>
      <c r="F195" s="14"/>
      <c r="G195" s="14"/>
      <c r="H195" s="14"/>
      <c r="I195" s="14"/>
      <c r="J195" s="14"/>
      <c r="K195" s="12"/>
    </row>
    <row r="196" ht="19.5" customHeight="1">
      <c r="A196" s="12"/>
      <c r="C196" s="12"/>
      <c r="D196" s="13"/>
      <c r="F196" s="14"/>
      <c r="G196" s="14"/>
      <c r="H196" s="14"/>
      <c r="I196" s="14"/>
      <c r="J196" s="14"/>
      <c r="K196" s="12"/>
    </row>
    <row r="197" ht="19.5" customHeight="1">
      <c r="A197" s="12"/>
      <c r="C197" s="12"/>
      <c r="D197" s="13"/>
      <c r="F197" s="14"/>
      <c r="G197" s="14"/>
      <c r="H197" s="14"/>
      <c r="I197" s="14"/>
      <c r="J197" s="14"/>
      <c r="K197" s="12"/>
    </row>
    <row r="198" ht="19.5" customHeight="1">
      <c r="A198" s="12"/>
      <c r="C198" s="12"/>
      <c r="D198" s="13"/>
      <c r="F198" s="14"/>
      <c r="G198" s="14"/>
      <c r="H198" s="14"/>
      <c r="I198" s="14"/>
      <c r="J198" s="14"/>
      <c r="K198" s="12"/>
    </row>
    <row r="199" ht="19.5" customHeight="1">
      <c r="A199" s="12"/>
      <c r="C199" s="12"/>
      <c r="D199" s="13"/>
      <c r="F199" s="14"/>
      <c r="G199" s="14"/>
      <c r="H199" s="14"/>
      <c r="I199" s="14"/>
      <c r="J199" s="14"/>
      <c r="K199" s="12"/>
    </row>
    <row r="200" ht="19.5" customHeight="1">
      <c r="A200" s="12"/>
      <c r="C200" s="12"/>
      <c r="D200" s="13"/>
      <c r="F200" s="14"/>
      <c r="G200" s="14"/>
      <c r="H200" s="14"/>
      <c r="I200" s="14"/>
      <c r="J200" s="14"/>
      <c r="K200" s="12"/>
    </row>
    <row r="201" ht="19.5" customHeight="1">
      <c r="A201" s="12"/>
      <c r="C201" s="12"/>
      <c r="D201" s="13"/>
      <c r="F201" s="14"/>
      <c r="G201" s="14"/>
      <c r="H201" s="14"/>
      <c r="I201" s="14"/>
      <c r="J201" s="14"/>
      <c r="K201" s="12"/>
    </row>
    <row r="202" ht="19.5" customHeight="1">
      <c r="A202" s="12"/>
      <c r="C202" s="12"/>
      <c r="D202" s="13"/>
      <c r="F202" s="14"/>
      <c r="G202" s="14"/>
      <c r="H202" s="14"/>
      <c r="I202" s="14"/>
      <c r="J202" s="14"/>
      <c r="K202" s="12"/>
    </row>
    <row r="203" ht="19.5" customHeight="1">
      <c r="A203" s="12"/>
      <c r="C203" s="12"/>
      <c r="D203" s="13"/>
      <c r="F203" s="14"/>
      <c r="G203" s="14"/>
      <c r="H203" s="14"/>
      <c r="I203" s="14"/>
      <c r="J203" s="14"/>
      <c r="K203" s="12"/>
    </row>
    <row r="204" ht="19.5" customHeight="1">
      <c r="A204" s="12"/>
      <c r="C204" s="12"/>
      <c r="D204" s="13"/>
      <c r="F204" s="14"/>
      <c r="G204" s="14"/>
      <c r="H204" s="14"/>
      <c r="I204" s="14"/>
      <c r="J204" s="14"/>
      <c r="K204" s="12"/>
    </row>
    <row r="205" ht="19.5" customHeight="1">
      <c r="A205" s="12"/>
      <c r="C205" s="12"/>
      <c r="D205" s="13"/>
      <c r="F205" s="14"/>
      <c r="G205" s="14"/>
      <c r="H205" s="14"/>
      <c r="I205" s="14"/>
      <c r="J205" s="14"/>
      <c r="K205" s="12"/>
    </row>
    <row r="206" ht="19.5" customHeight="1">
      <c r="A206" s="12"/>
      <c r="C206" s="12"/>
      <c r="D206" s="13"/>
      <c r="F206" s="14"/>
      <c r="G206" s="14"/>
      <c r="H206" s="14"/>
      <c r="I206" s="14"/>
      <c r="J206" s="14"/>
      <c r="K206" s="12"/>
    </row>
    <row r="207" ht="19.5" customHeight="1">
      <c r="A207" s="12"/>
      <c r="C207" s="12"/>
      <c r="D207" s="13"/>
      <c r="F207" s="14"/>
      <c r="G207" s="14"/>
      <c r="H207" s="14"/>
      <c r="I207" s="14"/>
      <c r="J207" s="14"/>
      <c r="K207" s="12"/>
    </row>
    <row r="208" ht="19.5" customHeight="1">
      <c r="A208" s="12"/>
      <c r="C208" s="12"/>
      <c r="D208" s="13"/>
      <c r="F208" s="14"/>
      <c r="G208" s="14"/>
      <c r="H208" s="14"/>
      <c r="I208" s="14"/>
      <c r="J208" s="14"/>
      <c r="K208" s="12"/>
    </row>
    <row r="209" ht="19.5" customHeight="1">
      <c r="A209" s="12"/>
      <c r="C209" s="12"/>
      <c r="D209" s="13"/>
      <c r="F209" s="14"/>
      <c r="G209" s="14"/>
      <c r="H209" s="14"/>
      <c r="I209" s="14"/>
      <c r="J209" s="14"/>
      <c r="K209" s="12"/>
    </row>
    <row r="210" ht="19.5" customHeight="1">
      <c r="A210" s="12"/>
      <c r="C210" s="12"/>
      <c r="D210" s="13"/>
      <c r="F210" s="14"/>
      <c r="G210" s="14"/>
      <c r="H210" s="14"/>
      <c r="I210" s="14"/>
      <c r="J210" s="14"/>
      <c r="K210" s="12"/>
    </row>
    <row r="211" ht="19.5" customHeight="1">
      <c r="A211" s="12"/>
      <c r="C211" s="12"/>
      <c r="D211" s="13"/>
      <c r="F211" s="14"/>
      <c r="G211" s="14"/>
      <c r="H211" s="14"/>
      <c r="I211" s="14"/>
      <c r="J211" s="14"/>
      <c r="K211" s="12"/>
    </row>
    <row r="212" ht="19.5" customHeight="1">
      <c r="A212" s="12"/>
      <c r="C212" s="12"/>
      <c r="D212" s="13"/>
      <c r="F212" s="14"/>
      <c r="G212" s="14"/>
      <c r="H212" s="14"/>
      <c r="I212" s="14"/>
      <c r="J212" s="14"/>
      <c r="K212" s="12"/>
    </row>
    <row r="213" ht="19.5" customHeight="1">
      <c r="A213" s="12"/>
      <c r="C213" s="12"/>
      <c r="D213" s="13"/>
      <c r="F213" s="14"/>
      <c r="G213" s="14"/>
      <c r="H213" s="14"/>
      <c r="I213" s="14"/>
      <c r="J213" s="14"/>
      <c r="K213" s="12"/>
    </row>
    <row r="214" ht="19.5" customHeight="1">
      <c r="A214" s="12"/>
      <c r="C214" s="12"/>
      <c r="D214" s="13"/>
      <c r="F214" s="14"/>
      <c r="G214" s="14"/>
      <c r="H214" s="14"/>
      <c r="I214" s="14"/>
      <c r="J214" s="14"/>
      <c r="K214" s="12"/>
    </row>
    <row r="215" ht="19.5" customHeight="1">
      <c r="A215" s="12"/>
      <c r="C215" s="12"/>
      <c r="D215" s="13"/>
      <c r="F215" s="14"/>
      <c r="G215" s="14"/>
      <c r="H215" s="14"/>
      <c r="I215" s="14"/>
      <c r="J215" s="14"/>
      <c r="K215" s="12"/>
    </row>
    <row r="216" ht="19.5" customHeight="1">
      <c r="A216" s="12"/>
      <c r="C216" s="12"/>
      <c r="D216" s="13"/>
      <c r="F216" s="14"/>
      <c r="G216" s="14"/>
      <c r="H216" s="14"/>
      <c r="I216" s="14"/>
      <c r="J216" s="14"/>
      <c r="K216" s="12"/>
    </row>
    <row r="217" ht="19.5" customHeight="1">
      <c r="A217" s="12"/>
      <c r="C217" s="12"/>
      <c r="D217" s="13"/>
      <c r="F217" s="14"/>
      <c r="G217" s="14"/>
      <c r="H217" s="14"/>
      <c r="I217" s="14"/>
      <c r="J217" s="14"/>
      <c r="K217" s="12"/>
    </row>
    <row r="218" ht="19.5" customHeight="1">
      <c r="A218" s="12"/>
      <c r="C218" s="12"/>
      <c r="D218" s="13"/>
      <c r="F218" s="14"/>
      <c r="G218" s="14"/>
      <c r="H218" s="14"/>
      <c r="I218" s="14"/>
      <c r="J218" s="14"/>
      <c r="K218" s="12"/>
    </row>
    <row r="219" ht="19.5" customHeight="1">
      <c r="A219" s="12"/>
      <c r="C219" s="12"/>
      <c r="D219" s="13"/>
      <c r="F219" s="14"/>
      <c r="G219" s="14"/>
      <c r="H219" s="14"/>
      <c r="I219" s="14"/>
      <c r="J219" s="14"/>
      <c r="K219" s="12"/>
    </row>
    <row r="220" ht="19.5" customHeight="1">
      <c r="A220" s="12"/>
      <c r="C220" s="12"/>
      <c r="D220" s="13"/>
      <c r="F220" s="14"/>
      <c r="G220" s="14"/>
      <c r="H220" s="14"/>
      <c r="I220" s="14"/>
      <c r="J220" s="14"/>
      <c r="K220" s="12"/>
    </row>
    <row r="221" ht="19.5" customHeight="1">
      <c r="A221" s="12"/>
      <c r="C221" s="12"/>
      <c r="D221" s="13"/>
      <c r="F221" s="14"/>
      <c r="G221" s="14"/>
      <c r="H221" s="14"/>
      <c r="I221" s="14"/>
      <c r="J221" s="14"/>
      <c r="K221" s="12"/>
    </row>
    <row r="222" ht="19.5" customHeight="1">
      <c r="A222" s="12"/>
      <c r="C222" s="12"/>
      <c r="D222" s="13"/>
      <c r="F222" s="14"/>
      <c r="G222" s="14"/>
      <c r="H222" s="14"/>
      <c r="I222" s="14"/>
      <c r="J222" s="14"/>
      <c r="K222" s="12"/>
    </row>
    <row r="223" ht="19.5" customHeight="1">
      <c r="A223" s="12"/>
      <c r="C223" s="12"/>
      <c r="D223" s="13"/>
      <c r="F223" s="14"/>
      <c r="G223" s="14"/>
      <c r="H223" s="14"/>
      <c r="I223" s="14"/>
      <c r="J223" s="14"/>
      <c r="K223" s="12"/>
    </row>
    <row r="224" ht="19.5" customHeight="1">
      <c r="A224" s="12"/>
      <c r="C224" s="12"/>
      <c r="D224" s="13"/>
      <c r="F224" s="14"/>
      <c r="G224" s="14"/>
      <c r="H224" s="14"/>
      <c r="I224" s="14"/>
      <c r="J224" s="14"/>
      <c r="K224" s="12"/>
    </row>
    <row r="225" ht="19.5" customHeight="1">
      <c r="A225" s="12"/>
      <c r="C225" s="12"/>
      <c r="D225" s="13"/>
      <c r="F225" s="14"/>
      <c r="G225" s="14"/>
      <c r="H225" s="14"/>
      <c r="I225" s="14"/>
      <c r="J225" s="14"/>
      <c r="K225" s="12"/>
    </row>
    <row r="226" ht="19.5" customHeight="1">
      <c r="A226" s="12"/>
      <c r="C226" s="12"/>
      <c r="D226" s="13"/>
      <c r="F226" s="14"/>
      <c r="G226" s="14"/>
      <c r="H226" s="14"/>
      <c r="I226" s="14"/>
      <c r="J226" s="14"/>
      <c r="K226" s="12"/>
    </row>
    <row r="227" ht="19.5" customHeight="1">
      <c r="A227" s="12"/>
      <c r="C227" s="12"/>
      <c r="D227" s="13"/>
      <c r="F227" s="14"/>
      <c r="G227" s="14"/>
      <c r="H227" s="14"/>
      <c r="I227" s="14"/>
      <c r="J227" s="14"/>
      <c r="K227" s="12"/>
    </row>
    <row r="228" ht="19.5" customHeight="1">
      <c r="A228" s="12"/>
      <c r="C228" s="12"/>
      <c r="D228" s="13"/>
      <c r="F228" s="14"/>
      <c r="G228" s="14"/>
      <c r="H228" s="14"/>
      <c r="I228" s="14"/>
      <c r="J228" s="14"/>
      <c r="K228" s="12"/>
    </row>
    <row r="229" ht="19.5" customHeight="1">
      <c r="A229" s="12"/>
      <c r="C229" s="12"/>
      <c r="D229" s="13"/>
      <c r="F229" s="14"/>
      <c r="G229" s="14"/>
      <c r="H229" s="14"/>
      <c r="I229" s="14"/>
      <c r="J229" s="14"/>
      <c r="K229" s="12"/>
    </row>
    <row r="230" ht="19.5" customHeight="1">
      <c r="A230" s="12"/>
      <c r="C230" s="12"/>
      <c r="D230" s="13"/>
      <c r="F230" s="14"/>
      <c r="G230" s="14"/>
      <c r="H230" s="14"/>
      <c r="I230" s="14"/>
      <c r="J230" s="14"/>
      <c r="K230" s="12"/>
    </row>
    <row r="231" ht="19.5" customHeight="1">
      <c r="A231" s="12"/>
      <c r="C231" s="12"/>
      <c r="D231" s="13"/>
      <c r="F231" s="14"/>
      <c r="G231" s="14"/>
      <c r="H231" s="14"/>
      <c r="I231" s="14"/>
      <c r="J231" s="14"/>
      <c r="K231" s="12"/>
    </row>
    <row r="232" ht="19.5" customHeight="1">
      <c r="A232" s="12"/>
      <c r="C232" s="12"/>
      <c r="D232" s="13"/>
      <c r="F232" s="14"/>
      <c r="G232" s="14"/>
      <c r="H232" s="14"/>
      <c r="I232" s="14"/>
      <c r="J232" s="14"/>
      <c r="K232" s="12"/>
    </row>
    <row r="233" ht="19.5" customHeight="1">
      <c r="A233" s="12"/>
      <c r="C233" s="12"/>
      <c r="D233" s="13"/>
      <c r="F233" s="14"/>
      <c r="G233" s="14"/>
      <c r="H233" s="14"/>
      <c r="I233" s="14"/>
      <c r="J233" s="14"/>
      <c r="K233" s="12"/>
    </row>
    <row r="234" ht="19.5" customHeight="1">
      <c r="A234" s="12"/>
      <c r="C234" s="12"/>
      <c r="D234" s="13"/>
      <c r="F234" s="14"/>
      <c r="G234" s="14"/>
      <c r="H234" s="14"/>
      <c r="I234" s="14"/>
      <c r="J234" s="14"/>
      <c r="K234" s="12"/>
    </row>
    <row r="235" ht="19.5" customHeight="1">
      <c r="A235" s="12"/>
      <c r="C235" s="12"/>
      <c r="D235" s="13"/>
      <c r="F235" s="14"/>
      <c r="G235" s="14"/>
      <c r="H235" s="14"/>
      <c r="I235" s="14"/>
      <c r="J235" s="14"/>
      <c r="K235" s="12"/>
    </row>
    <row r="236" ht="19.5" customHeight="1">
      <c r="A236" s="12"/>
      <c r="C236" s="12"/>
      <c r="D236" s="13"/>
      <c r="F236" s="14"/>
      <c r="G236" s="14"/>
      <c r="H236" s="14"/>
      <c r="I236" s="14"/>
      <c r="J236" s="14"/>
      <c r="K236" s="12"/>
    </row>
    <row r="237" ht="19.5" customHeight="1">
      <c r="A237" s="12"/>
      <c r="C237" s="12"/>
      <c r="D237" s="13"/>
      <c r="F237" s="14"/>
      <c r="G237" s="14"/>
      <c r="H237" s="14"/>
      <c r="I237" s="14"/>
      <c r="J237" s="14"/>
      <c r="K237" s="12"/>
    </row>
    <row r="238" ht="19.5" customHeight="1">
      <c r="A238" s="12"/>
      <c r="C238" s="12"/>
      <c r="D238" s="13"/>
      <c r="F238" s="14"/>
      <c r="G238" s="14"/>
      <c r="H238" s="14"/>
      <c r="I238" s="14"/>
      <c r="J238" s="14"/>
      <c r="K238" s="12"/>
    </row>
    <row r="239" ht="19.5" customHeight="1">
      <c r="A239" s="12"/>
      <c r="C239" s="12"/>
      <c r="D239" s="13"/>
      <c r="F239" s="14"/>
      <c r="G239" s="14"/>
      <c r="H239" s="14"/>
      <c r="I239" s="14"/>
      <c r="J239" s="14"/>
      <c r="K239" s="12"/>
    </row>
    <row r="240" ht="19.5" customHeight="1">
      <c r="A240" s="12"/>
      <c r="C240" s="12"/>
      <c r="D240" s="13"/>
      <c r="F240" s="14"/>
      <c r="G240" s="14"/>
      <c r="H240" s="14"/>
      <c r="I240" s="14"/>
      <c r="J240" s="14"/>
      <c r="K240" s="12"/>
    </row>
    <row r="241" ht="19.5" customHeight="1">
      <c r="A241" s="12"/>
      <c r="C241" s="12"/>
      <c r="D241" s="13"/>
      <c r="F241" s="14"/>
      <c r="G241" s="14"/>
      <c r="H241" s="14"/>
      <c r="I241" s="14"/>
      <c r="J241" s="14"/>
      <c r="K241" s="12"/>
    </row>
    <row r="242" ht="19.5" customHeight="1">
      <c r="A242" s="12"/>
      <c r="C242" s="12"/>
      <c r="D242" s="13"/>
      <c r="F242" s="14"/>
      <c r="G242" s="14"/>
      <c r="H242" s="14"/>
      <c r="I242" s="14"/>
      <c r="J242" s="14"/>
      <c r="K242" s="12"/>
    </row>
    <row r="243" ht="19.5" customHeight="1">
      <c r="A243" s="12"/>
      <c r="C243" s="12"/>
      <c r="D243" s="13"/>
      <c r="F243" s="14"/>
      <c r="G243" s="14"/>
      <c r="H243" s="14"/>
      <c r="I243" s="14"/>
      <c r="J243" s="14"/>
      <c r="K243" s="12"/>
    </row>
    <row r="244" ht="19.5" customHeight="1">
      <c r="A244" s="12"/>
      <c r="C244" s="12"/>
      <c r="D244" s="13"/>
      <c r="F244" s="14"/>
      <c r="G244" s="14"/>
      <c r="H244" s="14"/>
      <c r="I244" s="14"/>
      <c r="J244" s="14"/>
      <c r="K244" s="12"/>
    </row>
    <row r="245" ht="19.5" customHeight="1">
      <c r="A245" s="12"/>
      <c r="C245" s="12"/>
      <c r="D245" s="13"/>
      <c r="F245" s="14"/>
      <c r="G245" s="14"/>
      <c r="H245" s="14"/>
      <c r="I245" s="14"/>
      <c r="J245" s="14"/>
      <c r="K245" s="12"/>
    </row>
    <row r="246" ht="19.5" customHeight="1">
      <c r="A246" s="12"/>
      <c r="C246" s="12"/>
      <c r="D246" s="13"/>
      <c r="F246" s="14"/>
      <c r="G246" s="14"/>
      <c r="H246" s="14"/>
      <c r="I246" s="14"/>
      <c r="J246" s="14"/>
      <c r="K246" s="12"/>
    </row>
    <row r="247" ht="19.5" customHeight="1">
      <c r="A247" s="12"/>
      <c r="C247" s="12"/>
      <c r="D247" s="13"/>
      <c r="F247" s="14"/>
      <c r="G247" s="14"/>
      <c r="H247" s="14"/>
      <c r="I247" s="14"/>
      <c r="J247" s="14"/>
      <c r="K247" s="12"/>
    </row>
    <row r="248" ht="19.5" customHeight="1">
      <c r="A248" s="12"/>
      <c r="C248" s="12"/>
      <c r="D248" s="13"/>
      <c r="F248" s="14"/>
      <c r="G248" s="14"/>
      <c r="H248" s="14"/>
      <c r="I248" s="14"/>
      <c r="J248" s="14"/>
      <c r="K248" s="12"/>
    </row>
    <row r="249" ht="19.5" customHeight="1">
      <c r="A249" s="12"/>
      <c r="C249" s="12"/>
      <c r="D249" s="13"/>
      <c r="F249" s="14"/>
      <c r="G249" s="14"/>
      <c r="H249" s="14"/>
      <c r="I249" s="14"/>
      <c r="J249" s="14"/>
      <c r="K249" s="12"/>
    </row>
    <row r="250" ht="19.5" customHeight="1">
      <c r="A250" s="12"/>
      <c r="C250" s="12"/>
      <c r="D250" s="13"/>
      <c r="F250" s="14"/>
      <c r="G250" s="14"/>
      <c r="H250" s="14"/>
      <c r="I250" s="14"/>
      <c r="J250" s="14"/>
      <c r="K250" s="12"/>
    </row>
    <row r="251" ht="19.5" customHeight="1">
      <c r="A251" s="12"/>
      <c r="C251" s="12"/>
      <c r="D251" s="13"/>
      <c r="F251" s="14"/>
      <c r="G251" s="14"/>
      <c r="H251" s="14"/>
      <c r="I251" s="14"/>
      <c r="J251" s="14"/>
      <c r="K251" s="12"/>
    </row>
    <row r="252" ht="19.5" customHeight="1">
      <c r="A252" s="12"/>
      <c r="C252" s="12"/>
      <c r="D252" s="13"/>
      <c r="F252" s="14"/>
      <c r="G252" s="14"/>
      <c r="H252" s="14"/>
      <c r="I252" s="14"/>
      <c r="J252" s="14"/>
      <c r="K252" s="12"/>
    </row>
    <row r="253" ht="19.5" customHeight="1">
      <c r="A253" s="12"/>
      <c r="C253" s="12"/>
      <c r="D253" s="13"/>
      <c r="F253" s="14"/>
      <c r="G253" s="14"/>
      <c r="H253" s="14"/>
      <c r="I253" s="14"/>
      <c r="J253" s="14"/>
      <c r="K253" s="12"/>
    </row>
    <row r="254" ht="19.5" customHeight="1">
      <c r="A254" s="12"/>
      <c r="C254" s="12"/>
      <c r="D254" s="13"/>
      <c r="F254" s="14"/>
      <c r="G254" s="14"/>
      <c r="H254" s="14"/>
      <c r="I254" s="14"/>
      <c r="J254" s="14"/>
      <c r="K254" s="12"/>
    </row>
    <row r="255" ht="19.5" customHeight="1">
      <c r="A255" s="12"/>
      <c r="C255" s="12"/>
      <c r="D255" s="13"/>
      <c r="F255" s="14"/>
      <c r="G255" s="14"/>
      <c r="H255" s="14"/>
      <c r="I255" s="14"/>
      <c r="J255" s="14"/>
      <c r="K255" s="12"/>
    </row>
    <row r="256" ht="19.5" customHeight="1">
      <c r="A256" s="12"/>
      <c r="C256" s="12"/>
      <c r="D256" s="13"/>
      <c r="F256" s="14"/>
      <c r="G256" s="14"/>
      <c r="H256" s="14"/>
      <c r="I256" s="14"/>
      <c r="J256" s="14"/>
      <c r="K256" s="12"/>
    </row>
    <row r="257" ht="19.5" customHeight="1">
      <c r="A257" s="12"/>
      <c r="C257" s="12"/>
      <c r="D257" s="13"/>
      <c r="F257" s="14"/>
      <c r="G257" s="14"/>
      <c r="H257" s="14"/>
      <c r="I257" s="14"/>
      <c r="J257" s="14"/>
      <c r="K257" s="12"/>
    </row>
    <row r="258" ht="19.5" customHeight="1">
      <c r="A258" s="12"/>
      <c r="C258" s="12"/>
      <c r="D258" s="13"/>
      <c r="F258" s="14"/>
      <c r="G258" s="14"/>
      <c r="H258" s="14"/>
      <c r="I258" s="14"/>
      <c r="J258" s="14"/>
      <c r="K258" s="12"/>
    </row>
    <row r="259" ht="19.5" customHeight="1">
      <c r="A259" s="12"/>
      <c r="C259" s="12"/>
      <c r="D259" s="13"/>
      <c r="F259" s="14"/>
      <c r="G259" s="14"/>
      <c r="H259" s="14"/>
      <c r="I259" s="14"/>
      <c r="J259" s="14"/>
      <c r="K259" s="12"/>
    </row>
    <row r="260" ht="19.5" customHeight="1">
      <c r="A260" s="12"/>
      <c r="C260" s="12"/>
      <c r="D260" s="13"/>
      <c r="F260" s="14"/>
      <c r="G260" s="14"/>
      <c r="H260" s="14"/>
      <c r="I260" s="14"/>
      <c r="J260" s="14"/>
      <c r="K260" s="12"/>
    </row>
    <row r="261" ht="19.5" customHeight="1">
      <c r="A261" s="12"/>
      <c r="C261" s="12"/>
      <c r="D261" s="13"/>
      <c r="F261" s="14"/>
      <c r="G261" s="14"/>
      <c r="H261" s="14"/>
      <c r="I261" s="14"/>
      <c r="J261" s="14"/>
      <c r="K261" s="12"/>
    </row>
    <row r="262" ht="19.5" customHeight="1">
      <c r="A262" s="12"/>
      <c r="C262" s="12"/>
      <c r="D262" s="13"/>
      <c r="F262" s="14"/>
      <c r="G262" s="14"/>
      <c r="H262" s="14"/>
      <c r="I262" s="14"/>
      <c r="J262" s="14"/>
      <c r="K262" s="12"/>
    </row>
    <row r="263" ht="19.5" customHeight="1">
      <c r="A263" s="12"/>
      <c r="C263" s="12"/>
      <c r="D263" s="13"/>
      <c r="F263" s="14"/>
      <c r="G263" s="14"/>
      <c r="H263" s="14"/>
      <c r="I263" s="14"/>
      <c r="J263" s="14"/>
      <c r="K263" s="12"/>
    </row>
    <row r="264" ht="19.5" customHeight="1">
      <c r="A264" s="12"/>
      <c r="C264" s="12"/>
      <c r="D264" s="13"/>
      <c r="F264" s="14"/>
      <c r="G264" s="14"/>
      <c r="H264" s="14"/>
      <c r="I264" s="14"/>
      <c r="J264" s="14"/>
      <c r="K264" s="12"/>
    </row>
    <row r="265" ht="19.5" customHeight="1">
      <c r="A265" s="12"/>
      <c r="C265" s="12"/>
      <c r="D265" s="13"/>
      <c r="F265" s="14"/>
      <c r="G265" s="14"/>
      <c r="H265" s="14"/>
      <c r="I265" s="14"/>
      <c r="J265" s="14"/>
      <c r="K265" s="12"/>
    </row>
    <row r="266" ht="19.5" customHeight="1">
      <c r="A266" s="12"/>
      <c r="C266" s="12"/>
      <c r="D266" s="13"/>
      <c r="F266" s="14"/>
      <c r="G266" s="14"/>
      <c r="H266" s="14"/>
      <c r="I266" s="14"/>
      <c r="J266" s="14"/>
      <c r="K266" s="12"/>
    </row>
    <row r="267" ht="19.5" customHeight="1">
      <c r="A267" s="12"/>
      <c r="C267" s="12"/>
      <c r="D267" s="13"/>
      <c r="F267" s="14"/>
      <c r="G267" s="14"/>
      <c r="H267" s="14"/>
      <c r="I267" s="14"/>
      <c r="J267" s="14"/>
      <c r="K267" s="12"/>
    </row>
    <row r="268" ht="19.5" customHeight="1">
      <c r="A268" s="12"/>
      <c r="C268" s="12"/>
      <c r="D268" s="13"/>
      <c r="F268" s="14"/>
      <c r="G268" s="14"/>
      <c r="H268" s="14"/>
      <c r="I268" s="14"/>
      <c r="J268" s="14"/>
      <c r="K268" s="12"/>
    </row>
    <row r="269" ht="19.5" customHeight="1">
      <c r="A269" s="12"/>
      <c r="C269" s="12"/>
      <c r="D269" s="13"/>
      <c r="F269" s="14"/>
      <c r="G269" s="14"/>
      <c r="H269" s="14"/>
      <c r="I269" s="14"/>
      <c r="J269" s="14"/>
      <c r="K269" s="12"/>
    </row>
    <row r="270" ht="19.5" customHeight="1">
      <c r="A270" s="12"/>
      <c r="C270" s="12"/>
      <c r="D270" s="13"/>
      <c r="F270" s="14"/>
      <c r="G270" s="14"/>
      <c r="H270" s="14"/>
      <c r="I270" s="14"/>
      <c r="J270" s="14"/>
      <c r="K270" s="12"/>
    </row>
    <row r="271" ht="19.5" customHeight="1">
      <c r="A271" s="12"/>
      <c r="C271" s="12"/>
      <c r="D271" s="13"/>
      <c r="F271" s="14"/>
      <c r="G271" s="14"/>
      <c r="H271" s="14"/>
      <c r="I271" s="14"/>
      <c r="J271" s="14"/>
      <c r="K271" s="12"/>
    </row>
    <row r="272" ht="19.5" customHeight="1">
      <c r="A272" s="12"/>
      <c r="C272" s="12"/>
      <c r="D272" s="13"/>
      <c r="F272" s="14"/>
      <c r="G272" s="14"/>
      <c r="H272" s="14"/>
      <c r="I272" s="14"/>
      <c r="J272" s="14"/>
      <c r="K272" s="12"/>
    </row>
    <row r="273" ht="19.5" customHeight="1">
      <c r="A273" s="12"/>
      <c r="C273" s="12"/>
      <c r="D273" s="13"/>
      <c r="F273" s="14"/>
      <c r="G273" s="14"/>
      <c r="H273" s="14"/>
      <c r="I273" s="14"/>
      <c r="J273" s="14"/>
      <c r="K273" s="12"/>
    </row>
    <row r="274" ht="19.5" customHeight="1">
      <c r="A274" s="12"/>
      <c r="C274" s="12"/>
      <c r="D274" s="13"/>
      <c r="F274" s="14"/>
      <c r="G274" s="14"/>
      <c r="H274" s="14"/>
      <c r="I274" s="14"/>
      <c r="J274" s="14"/>
      <c r="K274" s="12"/>
    </row>
    <row r="275" ht="19.5" customHeight="1">
      <c r="A275" s="12"/>
      <c r="C275" s="12"/>
      <c r="D275" s="13"/>
      <c r="F275" s="14"/>
      <c r="G275" s="14"/>
      <c r="H275" s="14"/>
      <c r="I275" s="14"/>
      <c r="J275" s="14"/>
      <c r="K275" s="12"/>
    </row>
    <row r="276" ht="19.5" customHeight="1">
      <c r="A276" s="12"/>
      <c r="C276" s="12"/>
      <c r="D276" s="13"/>
      <c r="F276" s="14"/>
      <c r="G276" s="14"/>
      <c r="H276" s="14"/>
      <c r="I276" s="14"/>
      <c r="J276" s="14"/>
      <c r="K276" s="12"/>
    </row>
    <row r="277" ht="19.5" customHeight="1">
      <c r="A277" s="12"/>
      <c r="C277" s="12"/>
      <c r="D277" s="13"/>
      <c r="F277" s="14"/>
      <c r="G277" s="14"/>
      <c r="H277" s="14"/>
      <c r="I277" s="14"/>
      <c r="J277" s="14"/>
      <c r="K277" s="12"/>
    </row>
    <row r="278" ht="19.5" customHeight="1">
      <c r="A278" s="12"/>
      <c r="C278" s="12"/>
      <c r="D278" s="13"/>
      <c r="F278" s="14"/>
      <c r="G278" s="14"/>
      <c r="H278" s="14"/>
      <c r="I278" s="14"/>
      <c r="J278" s="14"/>
      <c r="K278" s="12"/>
    </row>
    <row r="279" ht="19.5" customHeight="1">
      <c r="A279" s="12"/>
      <c r="C279" s="12"/>
      <c r="D279" s="13"/>
      <c r="F279" s="14"/>
      <c r="G279" s="14"/>
      <c r="H279" s="14"/>
      <c r="I279" s="14"/>
      <c r="J279" s="14"/>
      <c r="K279" s="12"/>
    </row>
    <row r="280" ht="19.5" customHeight="1">
      <c r="A280" s="12"/>
      <c r="C280" s="12"/>
      <c r="D280" s="13"/>
      <c r="F280" s="14"/>
      <c r="G280" s="14"/>
      <c r="H280" s="14"/>
      <c r="I280" s="14"/>
      <c r="J280" s="14"/>
      <c r="K280" s="12"/>
    </row>
    <row r="281" ht="19.5" customHeight="1">
      <c r="A281" s="12"/>
      <c r="C281" s="12"/>
      <c r="D281" s="13"/>
      <c r="F281" s="14"/>
      <c r="G281" s="14"/>
      <c r="H281" s="14"/>
      <c r="I281" s="14"/>
      <c r="J281" s="14"/>
      <c r="K281" s="12"/>
    </row>
    <row r="282" ht="19.5" customHeight="1">
      <c r="A282" s="12"/>
      <c r="C282" s="12"/>
      <c r="D282" s="13"/>
      <c r="F282" s="14"/>
      <c r="G282" s="14"/>
      <c r="H282" s="14"/>
      <c r="I282" s="14"/>
      <c r="J282" s="14"/>
      <c r="K282" s="12"/>
    </row>
    <row r="283" ht="19.5" customHeight="1">
      <c r="A283" s="12"/>
      <c r="C283" s="12"/>
      <c r="D283" s="13"/>
      <c r="F283" s="14"/>
      <c r="G283" s="14"/>
      <c r="H283" s="14"/>
      <c r="I283" s="14"/>
      <c r="J283" s="14"/>
      <c r="K283" s="12"/>
    </row>
    <row r="284" ht="19.5" customHeight="1">
      <c r="A284" s="12"/>
      <c r="C284" s="12"/>
      <c r="D284" s="13"/>
      <c r="F284" s="14"/>
      <c r="G284" s="14"/>
      <c r="H284" s="14"/>
      <c r="I284" s="14"/>
      <c r="J284" s="14"/>
      <c r="K284" s="12"/>
    </row>
    <row r="285" ht="19.5" customHeight="1">
      <c r="A285" s="12"/>
      <c r="C285" s="12"/>
      <c r="D285" s="13"/>
      <c r="F285" s="14"/>
      <c r="G285" s="14"/>
      <c r="H285" s="14"/>
      <c r="I285" s="14"/>
      <c r="J285" s="14"/>
      <c r="K285" s="12"/>
    </row>
    <row r="286" ht="19.5" customHeight="1">
      <c r="A286" s="12"/>
      <c r="C286" s="12"/>
      <c r="D286" s="13"/>
      <c r="F286" s="14"/>
      <c r="G286" s="14"/>
      <c r="H286" s="14"/>
      <c r="I286" s="14"/>
      <c r="J286" s="14"/>
      <c r="K286" s="12"/>
    </row>
    <row r="287" ht="19.5" customHeight="1">
      <c r="A287" s="12"/>
      <c r="C287" s="12"/>
      <c r="D287" s="13"/>
      <c r="F287" s="14"/>
      <c r="G287" s="14"/>
      <c r="H287" s="14"/>
      <c r="I287" s="14"/>
      <c r="J287" s="14"/>
      <c r="K287" s="12"/>
    </row>
    <row r="288" ht="19.5" customHeight="1">
      <c r="A288" s="12"/>
      <c r="C288" s="12"/>
      <c r="D288" s="13"/>
      <c r="F288" s="14"/>
      <c r="G288" s="14"/>
      <c r="H288" s="14"/>
      <c r="I288" s="14"/>
      <c r="J288" s="14"/>
      <c r="K288" s="12"/>
    </row>
    <row r="289" ht="19.5" customHeight="1">
      <c r="A289" s="12"/>
      <c r="C289" s="12"/>
      <c r="D289" s="13"/>
      <c r="F289" s="14"/>
      <c r="G289" s="14"/>
      <c r="H289" s="14"/>
      <c r="I289" s="14"/>
      <c r="J289" s="14"/>
      <c r="K289" s="12"/>
    </row>
    <row r="290" ht="19.5" customHeight="1">
      <c r="A290" s="12"/>
      <c r="C290" s="12"/>
      <c r="D290" s="13"/>
      <c r="F290" s="14"/>
      <c r="G290" s="14"/>
      <c r="H290" s="14"/>
      <c r="I290" s="14"/>
      <c r="J290" s="14"/>
      <c r="K290" s="12"/>
    </row>
    <row r="291" ht="19.5" customHeight="1">
      <c r="A291" s="12"/>
      <c r="C291" s="12"/>
      <c r="D291" s="13"/>
      <c r="F291" s="14"/>
      <c r="G291" s="14"/>
      <c r="H291" s="14"/>
      <c r="I291" s="14"/>
      <c r="J291" s="14"/>
      <c r="K291" s="12"/>
    </row>
    <row r="292" ht="19.5" customHeight="1">
      <c r="A292" s="12"/>
      <c r="C292" s="12"/>
      <c r="D292" s="13"/>
      <c r="F292" s="14"/>
      <c r="G292" s="14"/>
      <c r="H292" s="14"/>
      <c r="I292" s="14"/>
      <c r="J292" s="14"/>
      <c r="K292" s="12"/>
    </row>
    <row r="293" ht="19.5" customHeight="1">
      <c r="A293" s="12"/>
      <c r="C293" s="12"/>
      <c r="D293" s="13"/>
      <c r="F293" s="14"/>
      <c r="G293" s="14"/>
      <c r="H293" s="14"/>
      <c r="I293" s="14"/>
      <c r="J293" s="14"/>
      <c r="K293" s="12"/>
    </row>
    <row r="294" ht="19.5" customHeight="1">
      <c r="A294" s="12"/>
      <c r="C294" s="12"/>
      <c r="D294" s="13"/>
      <c r="F294" s="14"/>
      <c r="G294" s="14"/>
      <c r="H294" s="14"/>
      <c r="I294" s="14"/>
      <c r="J294" s="14"/>
      <c r="K294" s="12"/>
    </row>
    <row r="295" ht="19.5" customHeight="1">
      <c r="A295" s="12"/>
      <c r="C295" s="12"/>
      <c r="D295" s="13"/>
      <c r="F295" s="14"/>
      <c r="G295" s="14"/>
      <c r="H295" s="14"/>
      <c r="I295" s="14"/>
      <c r="J295" s="14"/>
      <c r="K295" s="12"/>
    </row>
    <row r="296" ht="19.5" customHeight="1">
      <c r="A296" s="12"/>
      <c r="C296" s="12"/>
      <c r="D296" s="13"/>
      <c r="F296" s="14"/>
      <c r="G296" s="14"/>
      <c r="H296" s="14"/>
      <c r="I296" s="14"/>
      <c r="J296" s="14"/>
      <c r="K296" s="12"/>
    </row>
    <row r="297" ht="19.5" customHeight="1">
      <c r="A297" s="12"/>
      <c r="C297" s="12"/>
      <c r="D297" s="13"/>
      <c r="F297" s="14"/>
      <c r="G297" s="14"/>
      <c r="H297" s="14"/>
      <c r="I297" s="14"/>
      <c r="J297" s="14"/>
      <c r="K297" s="12"/>
    </row>
    <row r="298" ht="19.5" customHeight="1">
      <c r="A298" s="12"/>
      <c r="C298" s="12"/>
      <c r="D298" s="13"/>
      <c r="F298" s="14"/>
      <c r="G298" s="14"/>
      <c r="H298" s="14"/>
      <c r="I298" s="14"/>
      <c r="J298" s="14"/>
      <c r="K298" s="12"/>
    </row>
    <row r="299" ht="19.5" customHeight="1">
      <c r="A299" s="12"/>
      <c r="C299" s="12"/>
      <c r="D299" s="13"/>
      <c r="F299" s="14"/>
      <c r="G299" s="14"/>
      <c r="H299" s="14"/>
      <c r="I299" s="14"/>
      <c r="J299" s="14"/>
      <c r="K299" s="12"/>
    </row>
    <row r="300" ht="19.5" customHeight="1">
      <c r="A300" s="12"/>
      <c r="C300" s="12"/>
      <c r="D300" s="13"/>
      <c r="F300" s="14"/>
      <c r="G300" s="14"/>
      <c r="H300" s="14"/>
      <c r="I300" s="14"/>
      <c r="J300" s="14"/>
      <c r="K300" s="12"/>
    </row>
    <row r="301" ht="19.5" customHeight="1">
      <c r="A301" s="12"/>
      <c r="C301" s="12"/>
      <c r="D301" s="13"/>
      <c r="F301" s="14"/>
      <c r="G301" s="14"/>
      <c r="H301" s="14"/>
      <c r="I301" s="14"/>
      <c r="J301" s="14"/>
      <c r="K301" s="12"/>
    </row>
    <row r="302" ht="19.5" customHeight="1">
      <c r="A302" s="12"/>
      <c r="C302" s="12"/>
      <c r="D302" s="13"/>
      <c r="F302" s="14"/>
      <c r="G302" s="14"/>
      <c r="H302" s="14"/>
      <c r="I302" s="14"/>
      <c r="J302" s="14"/>
      <c r="K302" s="12"/>
    </row>
    <row r="303" ht="19.5" customHeight="1">
      <c r="A303" s="12"/>
      <c r="C303" s="12"/>
      <c r="D303" s="13"/>
      <c r="F303" s="14"/>
      <c r="G303" s="14"/>
      <c r="H303" s="14"/>
      <c r="I303" s="14"/>
      <c r="J303" s="14"/>
      <c r="K303" s="12"/>
    </row>
    <row r="304" ht="19.5" customHeight="1">
      <c r="A304" s="12"/>
      <c r="C304" s="12"/>
      <c r="D304" s="13"/>
      <c r="F304" s="14"/>
      <c r="G304" s="14"/>
      <c r="H304" s="14"/>
      <c r="I304" s="14"/>
      <c r="J304" s="14"/>
      <c r="K304" s="12"/>
    </row>
    <row r="305" ht="19.5" customHeight="1">
      <c r="A305" s="12"/>
      <c r="C305" s="12"/>
      <c r="D305" s="13"/>
      <c r="F305" s="14"/>
      <c r="G305" s="14"/>
      <c r="H305" s="14"/>
      <c r="I305" s="14"/>
      <c r="J305" s="14"/>
      <c r="K305" s="12"/>
    </row>
    <row r="306" ht="19.5" customHeight="1">
      <c r="A306" s="12"/>
      <c r="C306" s="12"/>
      <c r="D306" s="13"/>
      <c r="F306" s="14"/>
      <c r="G306" s="14"/>
      <c r="H306" s="14"/>
      <c r="I306" s="14"/>
      <c r="J306" s="14"/>
      <c r="K306" s="12"/>
    </row>
    <row r="307" ht="19.5" customHeight="1">
      <c r="A307" s="12"/>
      <c r="C307" s="12"/>
      <c r="D307" s="13"/>
      <c r="F307" s="14"/>
      <c r="G307" s="14"/>
      <c r="H307" s="14"/>
      <c r="I307" s="14"/>
      <c r="J307" s="14"/>
      <c r="K307" s="12"/>
    </row>
    <row r="308" ht="19.5" customHeight="1">
      <c r="A308" s="12"/>
      <c r="C308" s="12"/>
      <c r="D308" s="13"/>
      <c r="F308" s="14"/>
      <c r="G308" s="14"/>
      <c r="H308" s="14"/>
      <c r="I308" s="14"/>
      <c r="J308" s="14"/>
      <c r="K308" s="12"/>
    </row>
    <row r="309" ht="19.5" customHeight="1">
      <c r="A309" s="12"/>
      <c r="C309" s="12"/>
      <c r="D309" s="13"/>
      <c r="F309" s="14"/>
      <c r="G309" s="14"/>
      <c r="H309" s="14"/>
      <c r="I309" s="14"/>
      <c r="J309" s="14"/>
      <c r="K309" s="12"/>
    </row>
    <row r="310" ht="19.5" customHeight="1">
      <c r="A310" s="12"/>
      <c r="C310" s="12"/>
      <c r="D310" s="13"/>
      <c r="F310" s="14"/>
      <c r="G310" s="14"/>
      <c r="H310" s="14"/>
      <c r="I310" s="14"/>
      <c r="J310" s="14"/>
      <c r="K310" s="12"/>
    </row>
    <row r="311" ht="19.5" customHeight="1">
      <c r="A311" s="12"/>
      <c r="C311" s="12"/>
      <c r="D311" s="13"/>
      <c r="F311" s="14"/>
      <c r="G311" s="14"/>
      <c r="H311" s="14"/>
      <c r="I311" s="14"/>
      <c r="J311" s="14"/>
      <c r="K311" s="12"/>
    </row>
    <row r="312" ht="19.5" customHeight="1">
      <c r="A312" s="12"/>
      <c r="C312" s="12"/>
      <c r="D312" s="13"/>
      <c r="F312" s="14"/>
      <c r="G312" s="14"/>
      <c r="H312" s="14"/>
      <c r="I312" s="14"/>
      <c r="J312" s="14"/>
      <c r="K312" s="12"/>
    </row>
    <row r="313" ht="19.5" customHeight="1">
      <c r="A313" s="12"/>
      <c r="C313" s="12"/>
      <c r="D313" s="13"/>
      <c r="F313" s="14"/>
      <c r="G313" s="14"/>
      <c r="H313" s="14"/>
      <c r="I313" s="14"/>
      <c r="J313" s="14"/>
      <c r="K313" s="12"/>
    </row>
    <row r="314" ht="19.5" customHeight="1">
      <c r="A314" s="12"/>
      <c r="C314" s="12"/>
      <c r="D314" s="13"/>
      <c r="F314" s="14"/>
      <c r="G314" s="14"/>
      <c r="H314" s="14"/>
      <c r="I314" s="14"/>
      <c r="J314" s="14"/>
      <c r="K314" s="12"/>
    </row>
    <row r="315" ht="19.5" customHeight="1">
      <c r="A315" s="12"/>
      <c r="C315" s="12"/>
      <c r="D315" s="13"/>
      <c r="F315" s="14"/>
      <c r="G315" s="14"/>
      <c r="H315" s="14"/>
      <c r="I315" s="14"/>
      <c r="J315" s="14"/>
      <c r="K315" s="12"/>
    </row>
    <row r="316" ht="19.5" customHeight="1">
      <c r="A316" s="12"/>
      <c r="C316" s="12"/>
      <c r="D316" s="13"/>
      <c r="F316" s="14"/>
      <c r="G316" s="14"/>
      <c r="H316" s="14"/>
      <c r="I316" s="14"/>
      <c r="J316" s="14"/>
      <c r="K316" s="12"/>
    </row>
    <row r="317" ht="19.5" customHeight="1">
      <c r="A317" s="12"/>
      <c r="C317" s="12"/>
      <c r="D317" s="13"/>
      <c r="F317" s="14"/>
      <c r="G317" s="14"/>
      <c r="H317" s="14"/>
      <c r="I317" s="14"/>
      <c r="J317" s="14"/>
      <c r="K317" s="12"/>
    </row>
    <row r="318" ht="19.5" customHeight="1">
      <c r="A318" s="12"/>
      <c r="C318" s="12"/>
      <c r="D318" s="13"/>
      <c r="F318" s="14"/>
      <c r="G318" s="14"/>
      <c r="H318" s="14"/>
      <c r="I318" s="14"/>
      <c r="J318" s="14"/>
      <c r="K318" s="12"/>
    </row>
    <row r="319" ht="19.5" customHeight="1">
      <c r="A319" s="12"/>
      <c r="C319" s="12"/>
      <c r="D319" s="13"/>
      <c r="F319" s="14"/>
      <c r="G319" s="14"/>
      <c r="H319" s="14"/>
      <c r="I319" s="14"/>
      <c r="J319" s="14"/>
      <c r="K319" s="12"/>
    </row>
    <row r="320" ht="19.5" customHeight="1">
      <c r="A320" s="12"/>
      <c r="C320" s="12"/>
      <c r="D320" s="13"/>
      <c r="F320" s="14"/>
      <c r="G320" s="14"/>
      <c r="H320" s="14"/>
      <c r="I320" s="14"/>
      <c r="J320" s="14"/>
      <c r="K320" s="12"/>
    </row>
    <row r="321" ht="19.5" customHeight="1">
      <c r="A321" s="12"/>
      <c r="C321" s="12"/>
      <c r="D321" s="13"/>
      <c r="F321" s="14"/>
      <c r="G321" s="14"/>
      <c r="H321" s="14"/>
      <c r="I321" s="14"/>
      <c r="J321" s="14"/>
      <c r="K321" s="12"/>
    </row>
    <row r="322" ht="19.5" customHeight="1">
      <c r="A322" s="12"/>
      <c r="C322" s="12"/>
      <c r="D322" s="13"/>
      <c r="F322" s="14"/>
      <c r="G322" s="14"/>
      <c r="H322" s="14"/>
      <c r="I322" s="14"/>
      <c r="J322" s="14"/>
      <c r="K322" s="12"/>
    </row>
    <row r="323" ht="19.5" customHeight="1">
      <c r="A323" s="12"/>
      <c r="C323" s="12"/>
      <c r="D323" s="13"/>
      <c r="F323" s="14"/>
      <c r="G323" s="14"/>
      <c r="H323" s="14"/>
      <c r="I323" s="14"/>
      <c r="J323" s="14"/>
      <c r="K323" s="12"/>
    </row>
    <row r="324" ht="19.5" customHeight="1">
      <c r="A324" s="12"/>
      <c r="C324" s="12"/>
      <c r="D324" s="13"/>
      <c r="F324" s="14"/>
      <c r="G324" s="14"/>
      <c r="H324" s="14"/>
      <c r="I324" s="14"/>
      <c r="J324" s="14"/>
      <c r="K324" s="12"/>
    </row>
    <row r="325" ht="19.5" customHeight="1">
      <c r="A325" s="12"/>
      <c r="C325" s="12"/>
      <c r="D325" s="13"/>
      <c r="F325" s="14"/>
      <c r="G325" s="14"/>
      <c r="H325" s="14"/>
      <c r="I325" s="14"/>
      <c r="J325" s="14"/>
      <c r="K325" s="12"/>
    </row>
    <row r="326" ht="19.5" customHeight="1">
      <c r="A326" s="12"/>
      <c r="C326" s="12"/>
      <c r="D326" s="13"/>
      <c r="F326" s="14"/>
      <c r="G326" s="14"/>
      <c r="H326" s="14"/>
      <c r="I326" s="14"/>
      <c r="J326" s="14"/>
      <c r="K326" s="12"/>
    </row>
    <row r="327" ht="19.5" customHeight="1">
      <c r="A327" s="12"/>
      <c r="C327" s="12"/>
      <c r="D327" s="13"/>
      <c r="F327" s="14"/>
      <c r="G327" s="14"/>
      <c r="H327" s="14"/>
      <c r="I327" s="14"/>
      <c r="J327" s="14"/>
      <c r="K327" s="12"/>
    </row>
    <row r="328" ht="19.5" customHeight="1">
      <c r="A328" s="12"/>
      <c r="C328" s="12"/>
      <c r="D328" s="13"/>
      <c r="F328" s="14"/>
      <c r="G328" s="14"/>
      <c r="H328" s="14"/>
      <c r="I328" s="14"/>
      <c r="J328" s="14"/>
      <c r="K328" s="12"/>
    </row>
    <row r="329" ht="19.5" customHeight="1">
      <c r="A329" s="12"/>
      <c r="C329" s="12"/>
      <c r="D329" s="13"/>
      <c r="F329" s="14"/>
      <c r="G329" s="14"/>
      <c r="H329" s="14"/>
      <c r="I329" s="14"/>
      <c r="J329" s="14"/>
      <c r="K329" s="12"/>
    </row>
    <row r="330" ht="19.5" customHeight="1">
      <c r="A330" s="12"/>
      <c r="C330" s="12"/>
      <c r="D330" s="13"/>
      <c r="F330" s="14"/>
      <c r="G330" s="14"/>
      <c r="H330" s="14"/>
      <c r="I330" s="14"/>
      <c r="J330" s="14"/>
      <c r="K330" s="12"/>
    </row>
    <row r="331" ht="19.5" customHeight="1">
      <c r="A331" s="12"/>
      <c r="C331" s="12"/>
      <c r="D331" s="13"/>
      <c r="F331" s="14"/>
      <c r="G331" s="14"/>
      <c r="H331" s="14"/>
      <c r="I331" s="14"/>
      <c r="J331" s="14"/>
      <c r="K331" s="12"/>
    </row>
    <row r="332" ht="19.5" customHeight="1">
      <c r="A332" s="12"/>
      <c r="C332" s="12"/>
      <c r="D332" s="13"/>
      <c r="F332" s="14"/>
      <c r="G332" s="14"/>
      <c r="H332" s="14"/>
      <c r="I332" s="14"/>
      <c r="J332" s="14"/>
      <c r="K332" s="12"/>
    </row>
    <row r="333" ht="19.5" customHeight="1">
      <c r="A333" s="12"/>
      <c r="C333" s="12"/>
      <c r="D333" s="13"/>
      <c r="F333" s="14"/>
      <c r="G333" s="14"/>
      <c r="H333" s="14"/>
      <c r="I333" s="14"/>
      <c r="J333" s="14"/>
      <c r="K333" s="12"/>
    </row>
    <row r="334" ht="19.5" customHeight="1">
      <c r="A334" s="12"/>
      <c r="C334" s="12"/>
      <c r="D334" s="13"/>
      <c r="F334" s="14"/>
      <c r="G334" s="14"/>
      <c r="H334" s="14"/>
      <c r="I334" s="14"/>
      <c r="J334" s="14"/>
      <c r="K334" s="12"/>
    </row>
    <row r="335" ht="19.5" customHeight="1">
      <c r="A335" s="12"/>
      <c r="C335" s="12"/>
      <c r="D335" s="13"/>
      <c r="F335" s="14"/>
      <c r="G335" s="14"/>
      <c r="H335" s="14"/>
      <c r="I335" s="14"/>
      <c r="J335" s="14"/>
      <c r="K335" s="12"/>
    </row>
    <row r="336" ht="19.5" customHeight="1">
      <c r="A336" s="12"/>
      <c r="C336" s="12"/>
      <c r="D336" s="13"/>
      <c r="F336" s="14"/>
      <c r="G336" s="14"/>
      <c r="H336" s="14"/>
      <c r="I336" s="14"/>
      <c r="J336" s="14"/>
      <c r="K336" s="12"/>
    </row>
    <row r="337" ht="19.5" customHeight="1">
      <c r="A337" s="12"/>
      <c r="C337" s="12"/>
      <c r="D337" s="13"/>
      <c r="F337" s="14"/>
      <c r="G337" s="14"/>
      <c r="H337" s="14"/>
      <c r="I337" s="14"/>
      <c r="J337" s="14"/>
      <c r="K337" s="12"/>
    </row>
    <row r="338" ht="19.5" customHeight="1">
      <c r="A338" s="12"/>
      <c r="C338" s="12"/>
      <c r="D338" s="13"/>
      <c r="F338" s="14"/>
      <c r="G338" s="14"/>
      <c r="H338" s="14"/>
      <c r="I338" s="14"/>
      <c r="J338" s="14"/>
      <c r="K338" s="12"/>
    </row>
    <row r="339" ht="19.5" customHeight="1">
      <c r="A339" s="12"/>
      <c r="C339" s="12"/>
      <c r="D339" s="13"/>
      <c r="F339" s="14"/>
      <c r="G339" s="14"/>
      <c r="H339" s="14"/>
      <c r="I339" s="14"/>
      <c r="J339" s="14"/>
      <c r="K339" s="12"/>
    </row>
    <row r="340" ht="19.5" customHeight="1">
      <c r="A340" s="12"/>
      <c r="C340" s="12"/>
      <c r="D340" s="13"/>
      <c r="F340" s="14"/>
      <c r="G340" s="14"/>
      <c r="H340" s="14"/>
      <c r="I340" s="14"/>
      <c r="J340" s="14"/>
      <c r="K340" s="12"/>
    </row>
    <row r="341" ht="19.5" customHeight="1">
      <c r="A341" s="12"/>
      <c r="C341" s="12"/>
      <c r="D341" s="13"/>
      <c r="F341" s="14"/>
      <c r="G341" s="14"/>
      <c r="H341" s="14"/>
      <c r="I341" s="14"/>
      <c r="J341" s="14"/>
      <c r="K341" s="12"/>
    </row>
    <row r="342" ht="19.5" customHeight="1">
      <c r="A342" s="12"/>
      <c r="C342" s="12"/>
      <c r="D342" s="13"/>
      <c r="F342" s="14"/>
      <c r="G342" s="14"/>
      <c r="H342" s="14"/>
      <c r="I342" s="14"/>
      <c r="J342" s="14"/>
      <c r="K342" s="12"/>
    </row>
    <row r="343" ht="19.5" customHeight="1">
      <c r="A343" s="12"/>
      <c r="C343" s="12"/>
      <c r="D343" s="13"/>
      <c r="F343" s="14"/>
      <c r="G343" s="14"/>
      <c r="H343" s="14"/>
      <c r="I343" s="14"/>
      <c r="J343" s="14"/>
      <c r="K343" s="12"/>
    </row>
    <row r="344" ht="19.5" customHeight="1">
      <c r="A344" s="12"/>
      <c r="C344" s="12"/>
      <c r="D344" s="13"/>
      <c r="F344" s="14"/>
      <c r="G344" s="14"/>
      <c r="H344" s="14"/>
      <c r="I344" s="14"/>
      <c r="J344" s="14"/>
      <c r="K344" s="12"/>
    </row>
    <row r="345" ht="19.5" customHeight="1">
      <c r="A345" s="12"/>
      <c r="C345" s="12"/>
      <c r="D345" s="13"/>
      <c r="F345" s="14"/>
      <c r="G345" s="14"/>
      <c r="H345" s="14"/>
      <c r="I345" s="14"/>
      <c r="J345" s="14"/>
      <c r="K345" s="12"/>
    </row>
    <row r="346" ht="19.5" customHeight="1">
      <c r="A346" s="12"/>
      <c r="C346" s="12"/>
      <c r="D346" s="13"/>
      <c r="F346" s="14"/>
      <c r="G346" s="14"/>
      <c r="H346" s="14"/>
      <c r="I346" s="14"/>
      <c r="J346" s="14"/>
      <c r="K346" s="12"/>
    </row>
    <row r="347" ht="19.5" customHeight="1">
      <c r="A347" s="12"/>
      <c r="C347" s="12"/>
      <c r="D347" s="13"/>
      <c r="F347" s="14"/>
      <c r="G347" s="14"/>
      <c r="H347" s="14"/>
      <c r="I347" s="14"/>
      <c r="J347" s="14"/>
      <c r="K347" s="12"/>
    </row>
    <row r="348" ht="19.5" customHeight="1">
      <c r="A348" s="12"/>
      <c r="C348" s="12"/>
      <c r="D348" s="13"/>
      <c r="F348" s="14"/>
      <c r="G348" s="14"/>
      <c r="H348" s="14"/>
      <c r="I348" s="14"/>
      <c r="J348" s="14"/>
      <c r="K348" s="12"/>
    </row>
    <row r="349" ht="19.5" customHeight="1">
      <c r="A349" s="12"/>
      <c r="C349" s="12"/>
      <c r="D349" s="13"/>
      <c r="F349" s="14"/>
      <c r="G349" s="14"/>
      <c r="H349" s="14"/>
      <c r="I349" s="14"/>
      <c r="J349" s="14"/>
      <c r="K349" s="12"/>
    </row>
    <row r="350" ht="19.5" customHeight="1">
      <c r="A350" s="12"/>
      <c r="C350" s="12"/>
      <c r="D350" s="13"/>
      <c r="F350" s="14"/>
      <c r="G350" s="14"/>
      <c r="H350" s="14"/>
      <c r="I350" s="14"/>
      <c r="J350" s="14"/>
      <c r="K350" s="12"/>
    </row>
    <row r="351" ht="19.5" customHeight="1">
      <c r="A351" s="12"/>
      <c r="C351" s="12"/>
      <c r="D351" s="13"/>
      <c r="F351" s="14"/>
      <c r="G351" s="14"/>
      <c r="H351" s="14"/>
      <c r="I351" s="14"/>
      <c r="J351" s="14"/>
      <c r="K351" s="12"/>
    </row>
    <row r="352" ht="19.5" customHeight="1">
      <c r="A352" s="12"/>
      <c r="C352" s="12"/>
      <c r="D352" s="13"/>
      <c r="F352" s="14"/>
      <c r="G352" s="14"/>
      <c r="H352" s="14"/>
      <c r="I352" s="14"/>
      <c r="J352" s="14"/>
      <c r="K352" s="12"/>
    </row>
    <row r="353" ht="19.5" customHeight="1">
      <c r="A353" s="12"/>
      <c r="C353" s="12"/>
      <c r="D353" s="13"/>
      <c r="F353" s="14"/>
      <c r="G353" s="14"/>
      <c r="H353" s="14"/>
      <c r="I353" s="14"/>
      <c r="J353" s="14"/>
      <c r="K353" s="12"/>
    </row>
    <row r="354" ht="19.5" customHeight="1">
      <c r="A354" s="12"/>
      <c r="C354" s="12"/>
      <c r="D354" s="13"/>
      <c r="F354" s="14"/>
      <c r="G354" s="14"/>
      <c r="H354" s="14"/>
      <c r="I354" s="14"/>
      <c r="J354" s="14"/>
      <c r="K354" s="12"/>
    </row>
    <row r="355" ht="19.5" customHeight="1">
      <c r="A355" s="12"/>
      <c r="C355" s="12"/>
      <c r="D355" s="13"/>
      <c r="F355" s="14"/>
      <c r="G355" s="14"/>
      <c r="H355" s="14"/>
      <c r="I355" s="14"/>
      <c r="J355" s="14"/>
      <c r="K355" s="12"/>
    </row>
    <row r="356" ht="19.5" customHeight="1">
      <c r="A356" s="12"/>
      <c r="C356" s="12"/>
      <c r="D356" s="13"/>
      <c r="F356" s="14"/>
      <c r="G356" s="14"/>
      <c r="H356" s="14"/>
      <c r="I356" s="14"/>
      <c r="J356" s="14"/>
      <c r="K356" s="12"/>
    </row>
    <row r="357" ht="19.5" customHeight="1">
      <c r="A357" s="12"/>
      <c r="C357" s="12"/>
      <c r="D357" s="13"/>
      <c r="F357" s="14"/>
      <c r="G357" s="14"/>
      <c r="H357" s="14"/>
      <c r="I357" s="14"/>
      <c r="J357" s="14"/>
      <c r="K357" s="12"/>
    </row>
    <row r="358" ht="19.5" customHeight="1">
      <c r="A358" s="12"/>
      <c r="C358" s="12"/>
      <c r="D358" s="13"/>
      <c r="F358" s="14"/>
      <c r="G358" s="14"/>
      <c r="H358" s="14"/>
      <c r="I358" s="14"/>
      <c r="J358" s="14"/>
      <c r="K358" s="12"/>
    </row>
    <row r="359" ht="19.5" customHeight="1">
      <c r="A359" s="12"/>
      <c r="C359" s="12"/>
      <c r="D359" s="13"/>
      <c r="F359" s="14"/>
      <c r="G359" s="14"/>
      <c r="H359" s="14"/>
      <c r="I359" s="14"/>
      <c r="J359" s="14"/>
      <c r="K359" s="12"/>
    </row>
    <row r="360" ht="19.5" customHeight="1">
      <c r="A360" s="12"/>
      <c r="C360" s="12"/>
      <c r="D360" s="13"/>
      <c r="F360" s="14"/>
      <c r="G360" s="14"/>
      <c r="H360" s="14"/>
      <c r="I360" s="14"/>
      <c r="J360" s="14"/>
      <c r="K360" s="12"/>
    </row>
    <row r="361" ht="19.5" customHeight="1">
      <c r="A361" s="12"/>
      <c r="C361" s="12"/>
      <c r="D361" s="13"/>
      <c r="F361" s="14"/>
      <c r="G361" s="14"/>
      <c r="H361" s="14"/>
      <c r="I361" s="14"/>
      <c r="J361" s="14"/>
      <c r="K361" s="12"/>
    </row>
    <row r="362" ht="19.5" customHeight="1">
      <c r="A362" s="12"/>
      <c r="C362" s="12"/>
      <c r="D362" s="13"/>
      <c r="F362" s="14"/>
      <c r="G362" s="14"/>
      <c r="H362" s="14"/>
      <c r="I362" s="14"/>
      <c r="J362" s="14"/>
      <c r="K362" s="12"/>
    </row>
    <row r="363" ht="19.5" customHeight="1">
      <c r="A363" s="12"/>
      <c r="C363" s="12"/>
      <c r="D363" s="13"/>
      <c r="F363" s="14"/>
      <c r="G363" s="14"/>
      <c r="H363" s="14"/>
      <c r="I363" s="14"/>
      <c r="J363" s="14"/>
      <c r="K363" s="12"/>
    </row>
    <row r="364" ht="19.5" customHeight="1">
      <c r="A364" s="12"/>
      <c r="C364" s="12"/>
      <c r="D364" s="13"/>
      <c r="F364" s="14"/>
      <c r="G364" s="14"/>
      <c r="H364" s="14"/>
      <c r="I364" s="14"/>
      <c r="J364" s="14"/>
      <c r="K364" s="12"/>
    </row>
    <row r="365" ht="19.5" customHeight="1">
      <c r="A365" s="12"/>
      <c r="C365" s="12"/>
      <c r="D365" s="13"/>
      <c r="F365" s="14"/>
      <c r="G365" s="14"/>
      <c r="H365" s="14"/>
      <c r="I365" s="14"/>
      <c r="J365" s="14"/>
      <c r="K365" s="12"/>
    </row>
    <row r="366" ht="19.5" customHeight="1">
      <c r="A366" s="12"/>
      <c r="C366" s="12"/>
      <c r="D366" s="13"/>
      <c r="F366" s="14"/>
      <c r="G366" s="14"/>
      <c r="H366" s="14"/>
      <c r="I366" s="14"/>
      <c r="J366" s="14"/>
      <c r="K366" s="12"/>
    </row>
    <row r="367" ht="19.5" customHeight="1">
      <c r="A367" s="12"/>
      <c r="C367" s="12"/>
      <c r="D367" s="13"/>
      <c r="F367" s="14"/>
      <c r="G367" s="14"/>
      <c r="H367" s="14"/>
      <c r="I367" s="14"/>
      <c r="J367" s="14"/>
      <c r="K367" s="12"/>
    </row>
    <row r="368" ht="19.5" customHeight="1">
      <c r="A368" s="12"/>
      <c r="C368" s="12"/>
      <c r="D368" s="13"/>
      <c r="F368" s="14"/>
      <c r="G368" s="14"/>
      <c r="H368" s="14"/>
      <c r="I368" s="14"/>
      <c r="J368" s="14"/>
      <c r="K368" s="12"/>
    </row>
    <row r="369" ht="19.5" customHeight="1">
      <c r="A369" s="12"/>
      <c r="C369" s="12"/>
      <c r="D369" s="13"/>
      <c r="F369" s="14"/>
      <c r="G369" s="14"/>
      <c r="H369" s="14"/>
      <c r="I369" s="14"/>
      <c r="J369" s="14"/>
      <c r="K369" s="12"/>
    </row>
    <row r="370" ht="19.5" customHeight="1">
      <c r="A370" s="12"/>
      <c r="C370" s="12"/>
      <c r="D370" s="13"/>
      <c r="F370" s="14"/>
      <c r="G370" s="14"/>
      <c r="H370" s="14"/>
      <c r="I370" s="14"/>
      <c r="J370" s="14"/>
      <c r="K370" s="12"/>
    </row>
    <row r="371" ht="19.5" customHeight="1">
      <c r="A371" s="12"/>
      <c r="C371" s="12"/>
      <c r="D371" s="13"/>
      <c r="F371" s="14"/>
      <c r="G371" s="14"/>
      <c r="H371" s="14"/>
      <c r="I371" s="14"/>
      <c r="J371" s="14"/>
      <c r="K371" s="12"/>
    </row>
    <row r="372" ht="19.5" customHeight="1">
      <c r="A372" s="12"/>
      <c r="C372" s="12"/>
      <c r="D372" s="13"/>
      <c r="F372" s="14"/>
      <c r="G372" s="14"/>
      <c r="H372" s="14"/>
      <c r="I372" s="14"/>
      <c r="J372" s="14"/>
      <c r="K372" s="12"/>
    </row>
    <row r="373" ht="19.5" customHeight="1">
      <c r="A373" s="12"/>
      <c r="C373" s="12"/>
      <c r="D373" s="13"/>
      <c r="F373" s="14"/>
      <c r="G373" s="14"/>
      <c r="H373" s="14"/>
      <c r="I373" s="14"/>
      <c r="J373" s="14"/>
      <c r="K373" s="12"/>
    </row>
    <row r="374" ht="19.5" customHeight="1">
      <c r="A374" s="12"/>
      <c r="C374" s="12"/>
      <c r="D374" s="13"/>
      <c r="F374" s="14"/>
      <c r="G374" s="14"/>
      <c r="H374" s="14"/>
      <c r="I374" s="14"/>
      <c r="J374" s="14"/>
      <c r="K374" s="12"/>
    </row>
    <row r="375" ht="19.5" customHeight="1">
      <c r="A375" s="12"/>
      <c r="C375" s="12"/>
      <c r="D375" s="13"/>
      <c r="F375" s="14"/>
      <c r="G375" s="14"/>
      <c r="H375" s="14"/>
      <c r="I375" s="14"/>
      <c r="J375" s="14"/>
      <c r="K375" s="12"/>
    </row>
    <row r="376" ht="19.5" customHeight="1">
      <c r="A376" s="12"/>
      <c r="C376" s="12"/>
      <c r="D376" s="13"/>
      <c r="F376" s="14"/>
      <c r="G376" s="14"/>
      <c r="H376" s="14"/>
      <c r="I376" s="14"/>
      <c r="J376" s="14"/>
      <c r="K376" s="12"/>
    </row>
    <row r="377" ht="19.5" customHeight="1">
      <c r="A377" s="12"/>
      <c r="C377" s="12"/>
      <c r="D377" s="13"/>
      <c r="F377" s="14"/>
      <c r="G377" s="14"/>
      <c r="H377" s="14"/>
      <c r="I377" s="14"/>
      <c r="J377" s="14"/>
      <c r="K377" s="12"/>
    </row>
    <row r="378" ht="19.5" customHeight="1">
      <c r="A378" s="12"/>
      <c r="C378" s="12"/>
      <c r="D378" s="13"/>
      <c r="F378" s="14"/>
      <c r="G378" s="14"/>
      <c r="H378" s="14"/>
      <c r="I378" s="14"/>
      <c r="J378" s="14"/>
      <c r="K378" s="12"/>
    </row>
    <row r="379" ht="19.5" customHeight="1">
      <c r="A379" s="12"/>
      <c r="C379" s="12"/>
      <c r="D379" s="13"/>
      <c r="F379" s="14"/>
      <c r="G379" s="14"/>
      <c r="H379" s="14"/>
      <c r="I379" s="14"/>
      <c r="J379" s="14"/>
      <c r="K379" s="12"/>
    </row>
    <row r="380" ht="19.5" customHeight="1">
      <c r="A380" s="12"/>
      <c r="C380" s="12"/>
      <c r="D380" s="13"/>
      <c r="F380" s="14"/>
      <c r="G380" s="14"/>
      <c r="H380" s="14"/>
      <c r="I380" s="14"/>
      <c r="J380" s="14"/>
      <c r="K380" s="12"/>
    </row>
    <row r="381" ht="19.5" customHeight="1">
      <c r="A381" s="12"/>
      <c r="C381" s="12"/>
      <c r="D381" s="13"/>
      <c r="F381" s="14"/>
      <c r="G381" s="14"/>
      <c r="H381" s="14"/>
      <c r="I381" s="14"/>
      <c r="J381" s="14"/>
      <c r="K381" s="12"/>
    </row>
    <row r="382" ht="19.5" customHeight="1">
      <c r="A382" s="12"/>
      <c r="C382" s="12"/>
      <c r="D382" s="13"/>
      <c r="F382" s="14"/>
      <c r="G382" s="14"/>
      <c r="H382" s="14"/>
      <c r="I382" s="14"/>
      <c r="J382" s="14"/>
      <c r="K382" s="12"/>
    </row>
    <row r="383" ht="19.5" customHeight="1">
      <c r="A383" s="12"/>
      <c r="C383" s="12"/>
      <c r="D383" s="13"/>
      <c r="F383" s="14"/>
      <c r="G383" s="14"/>
      <c r="H383" s="14"/>
      <c r="I383" s="14"/>
      <c r="J383" s="14"/>
      <c r="K383" s="12"/>
    </row>
    <row r="384" ht="19.5" customHeight="1">
      <c r="A384" s="12"/>
      <c r="C384" s="12"/>
      <c r="D384" s="13"/>
      <c r="F384" s="14"/>
      <c r="G384" s="14"/>
      <c r="H384" s="14"/>
      <c r="I384" s="14"/>
      <c r="J384" s="14"/>
      <c r="K384" s="12"/>
    </row>
    <row r="385" ht="19.5" customHeight="1">
      <c r="A385" s="12"/>
      <c r="C385" s="12"/>
      <c r="D385" s="13"/>
      <c r="F385" s="14"/>
      <c r="G385" s="14"/>
      <c r="H385" s="14"/>
      <c r="I385" s="14"/>
      <c r="J385" s="14"/>
      <c r="K385" s="12"/>
    </row>
    <row r="386" ht="19.5" customHeight="1">
      <c r="A386" s="12"/>
      <c r="C386" s="12"/>
      <c r="D386" s="13"/>
      <c r="F386" s="14"/>
      <c r="G386" s="14"/>
      <c r="H386" s="14"/>
      <c r="I386" s="14"/>
      <c r="J386" s="14"/>
      <c r="K386" s="12"/>
    </row>
    <row r="387" ht="19.5" customHeight="1">
      <c r="A387" s="12"/>
      <c r="C387" s="12"/>
      <c r="D387" s="13"/>
      <c r="F387" s="14"/>
      <c r="G387" s="14"/>
      <c r="H387" s="14"/>
      <c r="I387" s="14"/>
      <c r="J387" s="14"/>
      <c r="K387" s="12"/>
    </row>
    <row r="388" ht="19.5" customHeight="1">
      <c r="A388" s="12"/>
      <c r="C388" s="12"/>
      <c r="D388" s="13"/>
      <c r="F388" s="14"/>
      <c r="G388" s="14"/>
      <c r="H388" s="14"/>
      <c r="I388" s="14"/>
      <c r="J388" s="14"/>
      <c r="K388" s="12"/>
    </row>
    <row r="389" ht="19.5" customHeight="1">
      <c r="A389" s="12"/>
      <c r="C389" s="12"/>
      <c r="D389" s="13"/>
      <c r="F389" s="14"/>
      <c r="G389" s="14"/>
      <c r="H389" s="14"/>
      <c r="I389" s="14"/>
      <c r="J389" s="14"/>
      <c r="K389" s="12"/>
    </row>
    <row r="390" ht="19.5" customHeight="1">
      <c r="A390" s="12"/>
      <c r="C390" s="12"/>
      <c r="D390" s="13"/>
      <c r="F390" s="14"/>
      <c r="G390" s="14"/>
      <c r="H390" s="14"/>
      <c r="I390" s="14"/>
      <c r="J390" s="14"/>
      <c r="K390" s="12"/>
    </row>
    <row r="391" ht="19.5" customHeight="1">
      <c r="A391" s="12"/>
      <c r="C391" s="12"/>
      <c r="D391" s="13"/>
      <c r="F391" s="14"/>
      <c r="G391" s="14"/>
      <c r="H391" s="14"/>
      <c r="I391" s="14"/>
      <c r="J391" s="14"/>
      <c r="K391" s="12"/>
    </row>
    <row r="392" ht="19.5" customHeight="1">
      <c r="A392" s="12"/>
      <c r="C392" s="12"/>
      <c r="D392" s="13"/>
      <c r="F392" s="14"/>
      <c r="G392" s="14"/>
      <c r="H392" s="14"/>
      <c r="I392" s="14"/>
      <c r="J392" s="14"/>
      <c r="K392" s="12"/>
    </row>
    <row r="393" ht="19.5" customHeight="1">
      <c r="A393" s="12"/>
      <c r="C393" s="12"/>
      <c r="D393" s="13"/>
      <c r="F393" s="14"/>
      <c r="G393" s="14"/>
      <c r="H393" s="14"/>
      <c r="I393" s="14"/>
      <c r="J393" s="14"/>
      <c r="K393" s="12"/>
    </row>
    <row r="394" ht="19.5" customHeight="1">
      <c r="A394" s="12"/>
      <c r="C394" s="12"/>
      <c r="D394" s="13"/>
      <c r="F394" s="14"/>
      <c r="G394" s="14"/>
      <c r="H394" s="14"/>
      <c r="I394" s="14"/>
      <c r="J394" s="14"/>
      <c r="K394" s="12"/>
    </row>
    <row r="395" ht="19.5" customHeight="1">
      <c r="A395" s="12"/>
      <c r="C395" s="12"/>
      <c r="D395" s="13"/>
      <c r="F395" s="14"/>
      <c r="G395" s="14"/>
      <c r="H395" s="14"/>
      <c r="I395" s="14"/>
      <c r="J395" s="14"/>
      <c r="K395" s="12"/>
    </row>
    <row r="396" ht="19.5" customHeight="1">
      <c r="A396" s="12"/>
      <c r="C396" s="12"/>
      <c r="D396" s="13"/>
      <c r="F396" s="14"/>
      <c r="G396" s="14"/>
      <c r="H396" s="14"/>
      <c r="I396" s="14"/>
      <c r="J396" s="14"/>
      <c r="K396" s="12"/>
    </row>
    <row r="397" ht="19.5" customHeight="1">
      <c r="A397" s="12"/>
      <c r="C397" s="12"/>
      <c r="D397" s="13"/>
      <c r="F397" s="14"/>
      <c r="G397" s="14"/>
      <c r="H397" s="14"/>
      <c r="I397" s="14"/>
      <c r="J397" s="14"/>
      <c r="K397" s="12"/>
    </row>
    <row r="398" ht="19.5" customHeight="1">
      <c r="A398" s="12"/>
      <c r="C398" s="12"/>
      <c r="D398" s="13"/>
      <c r="F398" s="14"/>
      <c r="G398" s="14"/>
      <c r="H398" s="14"/>
      <c r="I398" s="14"/>
      <c r="J398" s="14"/>
      <c r="K398" s="12"/>
    </row>
    <row r="399" ht="19.5" customHeight="1">
      <c r="A399" s="12"/>
      <c r="C399" s="12"/>
      <c r="D399" s="13"/>
      <c r="F399" s="14"/>
      <c r="G399" s="14"/>
      <c r="H399" s="14"/>
      <c r="I399" s="14"/>
      <c r="J399" s="14"/>
      <c r="K399" s="12"/>
    </row>
    <row r="400" ht="19.5" customHeight="1">
      <c r="A400" s="12"/>
      <c r="C400" s="12"/>
      <c r="D400" s="13"/>
      <c r="F400" s="14"/>
      <c r="G400" s="14"/>
      <c r="H400" s="14"/>
      <c r="I400" s="14"/>
      <c r="J400" s="14"/>
      <c r="K400" s="12"/>
    </row>
    <row r="401" ht="19.5" customHeight="1">
      <c r="A401" s="12"/>
      <c r="C401" s="12"/>
      <c r="D401" s="13"/>
      <c r="F401" s="14"/>
      <c r="G401" s="14"/>
      <c r="H401" s="14"/>
      <c r="I401" s="14"/>
      <c r="J401" s="14"/>
      <c r="K401" s="12"/>
    </row>
    <row r="402" ht="19.5" customHeight="1">
      <c r="A402" s="12"/>
      <c r="C402" s="12"/>
      <c r="D402" s="13"/>
      <c r="F402" s="14"/>
      <c r="G402" s="14"/>
      <c r="H402" s="14"/>
      <c r="I402" s="14"/>
      <c r="J402" s="14"/>
      <c r="K402" s="12"/>
    </row>
    <row r="403" ht="19.5" customHeight="1">
      <c r="A403" s="12"/>
      <c r="C403" s="12"/>
      <c r="D403" s="13"/>
      <c r="F403" s="14"/>
      <c r="G403" s="14"/>
      <c r="H403" s="14"/>
      <c r="I403" s="14"/>
      <c r="J403" s="14"/>
      <c r="K403" s="12"/>
    </row>
    <row r="404" ht="19.5" customHeight="1">
      <c r="A404" s="12"/>
      <c r="C404" s="12"/>
      <c r="D404" s="13"/>
      <c r="F404" s="14"/>
      <c r="G404" s="14"/>
      <c r="H404" s="14"/>
      <c r="I404" s="14"/>
      <c r="J404" s="14"/>
      <c r="K404" s="12"/>
    </row>
    <row r="405" ht="19.5" customHeight="1">
      <c r="A405" s="12"/>
      <c r="C405" s="12"/>
      <c r="D405" s="13"/>
      <c r="F405" s="14"/>
      <c r="G405" s="14"/>
      <c r="H405" s="14"/>
      <c r="I405" s="14"/>
      <c r="J405" s="14"/>
      <c r="K405" s="12"/>
    </row>
    <row r="406" ht="19.5" customHeight="1">
      <c r="A406" s="12"/>
      <c r="C406" s="12"/>
      <c r="D406" s="13"/>
      <c r="F406" s="14"/>
      <c r="G406" s="14"/>
      <c r="H406" s="14"/>
      <c r="I406" s="14"/>
      <c r="J406" s="14"/>
      <c r="K406" s="12"/>
    </row>
    <row r="407" ht="19.5" customHeight="1">
      <c r="A407" s="12"/>
      <c r="C407" s="12"/>
      <c r="D407" s="13"/>
      <c r="F407" s="14"/>
      <c r="G407" s="14"/>
      <c r="H407" s="14"/>
      <c r="I407" s="14"/>
      <c r="J407" s="14"/>
      <c r="K407" s="12"/>
    </row>
    <row r="408" ht="19.5" customHeight="1">
      <c r="A408" s="12"/>
      <c r="C408" s="12"/>
      <c r="D408" s="13"/>
      <c r="F408" s="14"/>
      <c r="G408" s="14"/>
      <c r="H408" s="14"/>
      <c r="I408" s="14"/>
      <c r="J408" s="14"/>
      <c r="K408" s="12"/>
    </row>
    <row r="409" ht="19.5" customHeight="1">
      <c r="A409" s="12"/>
      <c r="C409" s="12"/>
      <c r="D409" s="13"/>
      <c r="F409" s="14"/>
      <c r="G409" s="14"/>
      <c r="H409" s="14"/>
      <c r="I409" s="14"/>
      <c r="J409" s="14"/>
      <c r="K409" s="12"/>
    </row>
    <row r="410" ht="19.5" customHeight="1">
      <c r="A410" s="12"/>
      <c r="C410" s="12"/>
      <c r="D410" s="13"/>
      <c r="F410" s="14"/>
      <c r="G410" s="14"/>
      <c r="H410" s="14"/>
      <c r="I410" s="14"/>
      <c r="J410" s="14"/>
      <c r="K410" s="12"/>
    </row>
    <row r="411" ht="19.5" customHeight="1">
      <c r="A411" s="12"/>
      <c r="C411" s="12"/>
      <c r="D411" s="13"/>
      <c r="F411" s="14"/>
      <c r="G411" s="14"/>
      <c r="H411" s="14"/>
      <c r="I411" s="14"/>
      <c r="J411" s="14"/>
      <c r="K411" s="12"/>
    </row>
    <row r="412" ht="19.5" customHeight="1">
      <c r="A412" s="12"/>
      <c r="C412" s="12"/>
      <c r="D412" s="13"/>
      <c r="F412" s="14"/>
      <c r="G412" s="14"/>
      <c r="H412" s="14"/>
      <c r="I412" s="14"/>
      <c r="J412" s="14"/>
      <c r="K412" s="12"/>
    </row>
    <row r="413" ht="19.5" customHeight="1">
      <c r="A413" s="12"/>
      <c r="C413" s="12"/>
      <c r="D413" s="13"/>
      <c r="F413" s="14"/>
      <c r="G413" s="14"/>
      <c r="H413" s="14"/>
      <c r="I413" s="14"/>
      <c r="J413" s="14"/>
      <c r="K413" s="12"/>
    </row>
    <row r="414" ht="19.5" customHeight="1">
      <c r="A414" s="12"/>
      <c r="C414" s="12"/>
      <c r="D414" s="13"/>
      <c r="F414" s="14"/>
      <c r="G414" s="14"/>
      <c r="H414" s="14"/>
      <c r="I414" s="14"/>
      <c r="J414" s="14"/>
      <c r="K414" s="12"/>
    </row>
    <row r="415" ht="19.5" customHeight="1">
      <c r="A415" s="12"/>
      <c r="C415" s="12"/>
      <c r="D415" s="13"/>
      <c r="F415" s="14"/>
      <c r="G415" s="14"/>
      <c r="H415" s="14"/>
      <c r="I415" s="14"/>
      <c r="J415" s="14"/>
      <c r="K415" s="12"/>
    </row>
    <row r="416" ht="19.5" customHeight="1">
      <c r="A416" s="12"/>
      <c r="C416" s="12"/>
      <c r="D416" s="13"/>
      <c r="F416" s="14"/>
      <c r="G416" s="14"/>
      <c r="H416" s="14"/>
      <c r="I416" s="14"/>
      <c r="J416" s="14"/>
      <c r="K416" s="12"/>
    </row>
    <row r="417" ht="19.5" customHeight="1">
      <c r="A417" s="12"/>
      <c r="C417" s="12"/>
      <c r="D417" s="13"/>
      <c r="F417" s="14"/>
      <c r="G417" s="14"/>
      <c r="H417" s="14"/>
      <c r="I417" s="14"/>
      <c r="J417" s="14"/>
      <c r="K417" s="12"/>
    </row>
    <row r="418" ht="19.5" customHeight="1">
      <c r="A418" s="12"/>
      <c r="C418" s="12"/>
      <c r="D418" s="13"/>
      <c r="F418" s="14"/>
      <c r="G418" s="14"/>
      <c r="H418" s="14"/>
      <c r="I418" s="14"/>
      <c r="J418" s="14"/>
      <c r="K418" s="12"/>
    </row>
    <row r="419" ht="19.5" customHeight="1">
      <c r="A419" s="12"/>
      <c r="C419" s="12"/>
      <c r="D419" s="13"/>
      <c r="F419" s="14"/>
      <c r="G419" s="14"/>
      <c r="H419" s="14"/>
      <c r="I419" s="14"/>
      <c r="J419" s="14"/>
      <c r="K419" s="12"/>
    </row>
    <row r="420" ht="19.5" customHeight="1">
      <c r="A420" s="12"/>
      <c r="C420" s="12"/>
      <c r="D420" s="13"/>
      <c r="F420" s="14"/>
      <c r="G420" s="14"/>
      <c r="H420" s="14"/>
      <c r="I420" s="14"/>
      <c r="J420" s="14"/>
      <c r="K420" s="12"/>
    </row>
    <row r="421" ht="19.5" customHeight="1">
      <c r="A421" s="12"/>
      <c r="C421" s="12"/>
      <c r="D421" s="13"/>
      <c r="F421" s="14"/>
      <c r="G421" s="14"/>
      <c r="H421" s="14"/>
      <c r="I421" s="14"/>
      <c r="J421" s="14"/>
      <c r="K421" s="12"/>
    </row>
    <row r="422" ht="19.5" customHeight="1">
      <c r="A422" s="12"/>
      <c r="C422" s="12"/>
      <c r="D422" s="13"/>
      <c r="F422" s="14"/>
      <c r="G422" s="14"/>
      <c r="H422" s="14"/>
      <c r="I422" s="14"/>
      <c r="J422" s="14"/>
      <c r="K422" s="12"/>
    </row>
    <row r="423" ht="19.5" customHeight="1">
      <c r="A423" s="12"/>
      <c r="C423" s="12"/>
      <c r="D423" s="13"/>
      <c r="F423" s="14"/>
      <c r="G423" s="14"/>
      <c r="H423" s="14"/>
      <c r="I423" s="14"/>
      <c r="J423" s="14"/>
      <c r="K423" s="12"/>
    </row>
    <row r="424" ht="19.5" customHeight="1">
      <c r="A424" s="12"/>
      <c r="C424" s="12"/>
      <c r="D424" s="13"/>
      <c r="F424" s="14"/>
      <c r="G424" s="14"/>
      <c r="H424" s="14"/>
      <c r="I424" s="14"/>
      <c r="J424" s="14"/>
      <c r="K424" s="12"/>
    </row>
    <row r="425" ht="19.5" customHeight="1">
      <c r="A425" s="12"/>
      <c r="C425" s="12"/>
      <c r="D425" s="13"/>
      <c r="F425" s="14"/>
      <c r="G425" s="14"/>
      <c r="H425" s="14"/>
      <c r="I425" s="14"/>
      <c r="J425" s="14"/>
      <c r="K425" s="12"/>
    </row>
    <row r="426" ht="19.5" customHeight="1">
      <c r="A426" s="12"/>
      <c r="C426" s="12"/>
      <c r="D426" s="13"/>
      <c r="F426" s="14"/>
      <c r="G426" s="14"/>
      <c r="H426" s="14"/>
      <c r="I426" s="14"/>
      <c r="J426" s="14"/>
      <c r="K426" s="12"/>
    </row>
    <row r="427" ht="19.5" customHeight="1">
      <c r="A427" s="12"/>
      <c r="C427" s="12"/>
      <c r="D427" s="13"/>
      <c r="F427" s="14"/>
      <c r="G427" s="14"/>
      <c r="H427" s="14"/>
      <c r="I427" s="14"/>
      <c r="J427" s="14"/>
      <c r="K427" s="12"/>
    </row>
    <row r="428" ht="19.5" customHeight="1">
      <c r="A428" s="12"/>
      <c r="C428" s="12"/>
      <c r="D428" s="13"/>
      <c r="F428" s="14"/>
      <c r="G428" s="14"/>
      <c r="H428" s="14"/>
      <c r="I428" s="14"/>
      <c r="J428" s="14"/>
      <c r="K428" s="12"/>
    </row>
    <row r="429" ht="19.5" customHeight="1">
      <c r="A429" s="12"/>
      <c r="C429" s="12"/>
      <c r="D429" s="13"/>
      <c r="F429" s="14"/>
      <c r="G429" s="14"/>
      <c r="H429" s="14"/>
      <c r="I429" s="14"/>
      <c r="J429" s="14"/>
      <c r="K429" s="12"/>
    </row>
    <row r="430" ht="19.5" customHeight="1">
      <c r="A430" s="12"/>
      <c r="C430" s="12"/>
      <c r="D430" s="13"/>
      <c r="F430" s="14"/>
      <c r="G430" s="14"/>
      <c r="H430" s="14"/>
      <c r="I430" s="14"/>
      <c r="J430" s="14"/>
      <c r="K430" s="12"/>
    </row>
    <row r="431" ht="19.5" customHeight="1">
      <c r="A431" s="12"/>
      <c r="C431" s="12"/>
      <c r="D431" s="13"/>
      <c r="F431" s="14"/>
      <c r="G431" s="14"/>
      <c r="H431" s="14"/>
      <c r="I431" s="14"/>
      <c r="J431" s="14"/>
      <c r="K431" s="12"/>
    </row>
    <row r="432" ht="19.5" customHeight="1">
      <c r="A432" s="12"/>
      <c r="C432" s="12"/>
      <c r="D432" s="13"/>
      <c r="F432" s="14"/>
      <c r="G432" s="14"/>
      <c r="H432" s="14"/>
      <c r="I432" s="14"/>
      <c r="J432" s="14"/>
      <c r="K432" s="12"/>
    </row>
    <row r="433" ht="19.5" customHeight="1">
      <c r="A433" s="12"/>
      <c r="C433" s="12"/>
      <c r="D433" s="13"/>
      <c r="F433" s="14"/>
      <c r="G433" s="14"/>
      <c r="H433" s="14"/>
      <c r="I433" s="14"/>
      <c r="J433" s="14"/>
      <c r="K433" s="12"/>
    </row>
    <row r="434" ht="19.5" customHeight="1">
      <c r="A434" s="12"/>
      <c r="C434" s="12"/>
      <c r="D434" s="13"/>
      <c r="F434" s="14"/>
      <c r="G434" s="14"/>
      <c r="H434" s="14"/>
      <c r="I434" s="14"/>
      <c r="J434" s="14"/>
      <c r="K434" s="12"/>
    </row>
    <row r="435" ht="19.5" customHeight="1">
      <c r="A435" s="12"/>
      <c r="C435" s="12"/>
      <c r="D435" s="13"/>
      <c r="F435" s="14"/>
      <c r="G435" s="14"/>
      <c r="H435" s="14"/>
      <c r="I435" s="14"/>
      <c r="J435" s="14"/>
      <c r="K435" s="12"/>
    </row>
    <row r="436" ht="19.5" customHeight="1">
      <c r="A436" s="12"/>
      <c r="C436" s="12"/>
      <c r="D436" s="13"/>
      <c r="F436" s="14"/>
      <c r="G436" s="14"/>
      <c r="H436" s="14"/>
      <c r="I436" s="14"/>
      <c r="J436" s="14"/>
      <c r="K436" s="12"/>
    </row>
    <row r="437" ht="19.5" customHeight="1">
      <c r="A437" s="12"/>
      <c r="C437" s="12"/>
      <c r="D437" s="13"/>
      <c r="F437" s="14"/>
      <c r="G437" s="14"/>
      <c r="H437" s="14"/>
      <c r="I437" s="14"/>
      <c r="J437" s="14"/>
      <c r="K437" s="12"/>
    </row>
    <row r="438" ht="19.5" customHeight="1">
      <c r="A438" s="12"/>
      <c r="C438" s="12"/>
      <c r="D438" s="13"/>
      <c r="F438" s="14"/>
      <c r="G438" s="14"/>
      <c r="H438" s="14"/>
      <c r="I438" s="14"/>
      <c r="J438" s="14"/>
      <c r="K438" s="12"/>
    </row>
    <row r="439" ht="19.5" customHeight="1">
      <c r="A439" s="12"/>
      <c r="C439" s="12"/>
      <c r="D439" s="13"/>
      <c r="F439" s="14"/>
      <c r="G439" s="14"/>
      <c r="H439" s="14"/>
      <c r="I439" s="14"/>
      <c r="J439" s="14"/>
      <c r="K439" s="12"/>
    </row>
    <row r="440" ht="19.5" customHeight="1">
      <c r="A440" s="12"/>
      <c r="C440" s="12"/>
      <c r="D440" s="13"/>
      <c r="F440" s="14"/>
      <c r="G440" s="14"/>
      <c r="H440" s="14"/>
      <c r="I440" s="14"/>
      <c r="J440" s="14"/>
      <c r="K440" s="12"/>
    </row>
    <row r="441" ht="19.5" customHeight="1">
      <c r="A441" s="12"/>
      <c r="C441" s="12"/>
      <c r="D441" s="13"/>
      <c r="F441" s="14"/>
      <c r="G441" s="14"/>
      <c r="H441" s="14"/>
      <c r="I441" s="14"/>
      <c r="J441" s="14"/>
      <c r="K441" s="12"/>
    </row>
    <row r="442" ht="19.5" customHeight="1">
      <c r="A442" s="12"/>
      <c r="C442" s="12"/>
      <c r="D442" s="13"/>
      <c r="F442" s="14"/>
      <c r="G442" s="14"/>
      <c r="H442" s="14"/>
      <c r="I442" s="14"/>
      <c r="J442" s="14"/>
      <c r="K442" s="12"/>
    </row>
    <row r="443" ht="19.5" customHeight="1">
      <c r="A443" s="12"/>
      <c r="C443" s="12"/>
      <c r="D443" s="13"/>
      <c r="F443" s="14"/>
      <c r="G443" s="14"/>
      <c r="H443" s="14"/>
      <c r="I443" s="14"/>
      <c r="J443" s="14"/>
      <c r="K443" s="12"/>
    </row>
    <row r="444" ht="19.5" customHeight="1">
      <c r="A444" s="12"/>
      <c r="C444" s="12"/>
      <c r="D444" s="13"/>
      <c r="F444" s="14"/>
      <c r="G444" s="14"/>
      <c r="H444" s="14"/>
      <c r="I444" s="14"/>
      <c r="J444" s="14"/>
      <c r="K444" s="12"/>
    </row>
    <row r="445" ht="19.5" customHeight="1">
      <c r="A445" s="12"/>
      <c r="C445" s="12"/>
      <c r="D445" s="13"/>
      <c r="F445" s="14"/>
      <c r="G445" s="14"/>
      <c r="H445" s="14"/>
      <c r="I445" s="14"/>
      <c r="J445" s="14"/>
      <c r="K445" s="12"/>
    </row>
    <row r="446" ht="19.5" customHeight="1">
      <c r="A446" s="12"/>
      <c r="C446" s="12"/>
      <c r="D446" s="13"/>
      <c r="F446" s="14"/>
      <c r="G446" s="14"/>
      <c r="H446" s="14"/>
      <c r="I446" s="14"/>
      <c r="J446" s="14"/>
      <c r="K446" s="12"/>
    </row>
    <row r="447" ht="19.5" customHeight="1">
      <c r="A447" s="12"/>
      <c r="C447" s="12"/>
      <c r="D447" s="13"/>
      <c r="F447" s="14"/>
      <c r="G447" s="14"/>
      <c r="H447" s="14"/>
      <c r="I447" s="14"/>
      <c r="J447" s="14"/>
      <c r="K447" s="12"/>
    </row>
    <row r="448" ht="19.5" customHeight="1">
      <c r="A448" s="12"/>
      <c r="C448" s="12"/>
      <c r="D448" s="13"/>
      <c r="F448" s="14"/>
      <c r="G448" s="14"/>
      <c r="H448" s="14"/>
      <c r="I448" s="14"/>
      <c r="J448" s="14"/>
      <c r="K448" s="12"/>
    </row>
    <row r="449" ht="19.5" customHeight="1">
      <c r="A449" s="12"/>
      <c r="C449" s="12"/>
      <c r="D449" s="13"/>
      <c r="F449" s="14"/>
      <c r="G449" s="14"/>
      <c r="H449" s="14"/>
      <c r="I449" s="14"/>
      <c r="J449" s="14"/>
      <c r="K449" s="12"/>
    </row>
    <row r="450" ht="19.5" customHeight="1">
      <c r="A450" s="12"/>
      <c r="C450" s="12"/>
      <c r="D450" s="13"/>
      <c r="F450" s="14"/>
      <c r="G450" s="14"/>
      <c r="H450" s="14"/>
      <c r="I450" s="14"/>
      <c r="J450" s="14"/>
      <c r="K450" s="12"/>
    </row>
    <row r="451" ht="19.5" customHeight="1">
      <c r="A451" s="12"/>
      <c r="C451" s="12"/>
      <c r="D451" s="13"/>
      <c r="F451" s="14"/>
      <c r="G451" s="14"/>
      <c r="H451" s="14"/>
      <c r="I451" s="14"/>
      <c r="J451" s="14"/>
      <c r="K451" s="12"/>
    </row>
    <row r="452" ht="19.5" customHeight="1">
      <c r="A452" s="12"/>
      <c r="C452" s="12"/>
      <c r="D452" s="13"/>
      <c r="F452" s="14"/>
      <c r="G452" s="14"/>
      <c r="H452" s="14"/>
      <c r="I452" s="14"/>
      <c r="J452" s="14"/>
      <c r="K452" s="12"/>
    </row>
    <row r="453" ht="19.5" customHeight="1">
      <c r="A453" s="12"/>
      <c r="C453" s="12"/>
      <c r="D453" s="13"/>
      <c r="F453" s="14"/>
      <c r="G453" s="14"/>
      <c r="H453" s="14"/>
      <c r="I453" s="14"/>
      <c r="J453" s="14"/>
      <c r="K453" s="12"/>
    </row>
    <row r="454" ht="19.5" customHeight="1">
      <c r="A454" s="12"/>
      <c r="C454" s="12"/>
      <c r="D454" s="13"/>
      <c r="F454" s="14"/>
      <c r="G454" s="14"/>
      <c r="H454" s="14"/>
      <c r="I454" s="14"/>
      <c r="J454" s="14"/>
      <c r="K454" s="12"/>
    </row>
    <row r="455" ht="19.5" customHeight="1">
      <c r="A455" s="12"/>
      <c r="C455" s="12"/>
      <c r="D455" s="13"/>
      <c r="F455" s="14"/>
      <c r="G455" s="14"/>
      <c r="H455" s="14"/>
      <c r="I455" s="14"/>
      <c r="J455" s="14"/>
      <c r="K455" s="12"/>
    </row>
    <row r="456" ht="19.5" customHeight="1">
      <c r="A456" s="12"/>
      <c r="C456" s="12"/>
      <c r="D456" s="13"/>
      <c r="F456" s="14"/>
      <c r="G456" s="14"/>
      <c r="H456" s="14"/>
      <c r="I456" s="14"/>
      <c r="J456" s="14"/>
      <c r="K456" s="12"/>
    </row>
    <row r="457" ht="19.5" customHeight="1">
      <c r="A457" s="12"/>
      <c r="C457" s="12"/>
      <c r="D457" s="13"/>
      <c r="F457" s="14"/>
      <c r="G457" s="14"/>
      <c r="H457" s="14"/>
      <c r="I457" s="14"/>
      <c r="J457" s="14"/>
      <c r="K457" s="12"/>
    </row>
    <row r="458" ht="19.5" customHeight="1">
      <c r="A458" s="12"/>
      <c r="C458" s="12"/>
      <c r="D458" s="13"/>
      <c r="F458" s="14"/>
      <c r="G458" s="14"/>
      <c r="H458" s="14"/>
      <c r="I458" s="14"/>
      <c r="J458" s="14"/>
      <c r="K458" s="12"/>
    </row>
    <row r="459" ht="19.5" customHeight="1">
      <c r="A459" s="12"/>
      <c r="C459" s="12"/>
      <c r="D459" s="13"/>
      <c r="F459" s="14"/>
      <c r="G459" s="14"/>
      <c r="H459" s="14"/>
      <c r="I459" s="14"/>
      <c r="J459" s="14"/>
      <c r="K459" s="12"/>
    </row>
    <row r="460" ht="19.5" customHeight="1">
      <c r="A460" s="12"/>
      <c r="C460" s="12"/>
      <c r="D460" s="13"/>
      <c r="F460" s="14"/>
      <c r="G460" s="14"/>
      <c r="H460" s="14"/>
      <c r="I460" s="14"/>
      <c r="J460" s="14"/>
      <c r="K460" s="12"/>
    </row>
    <row r="461" ht="19.5" customHeight="1">
      <c r="A461" s="12"/>
      <c r="C461" s="12"/>
      <c r="D461" s="13"/>
      <c r="F461" s="14"/>
      <c r="G461" s="14"/>
      <c r="H461" s="14"/>
      <c r="I461" s="14"/>
      <c r="J461" s="14"/>
      <c r="K461" s="12"/>
    </row>
    <row r="462" ht="19.5" customHeight="1">
      <c r="A462" s="12"/>
      <c r="C462" s="12"/>
      <c r="D462" s="13"/>
      <c r="F462" s="14"/>
      <c r="G462" s="14"/>
      <c r="H462" s="14"/>
      <c r="I462" s="14"/>
      <c r="J462" s="14"/>
      <c r="K462" s="12"/>
    </row>
    <row r="463" ht="19.5" customHeight="1">
      <c r="A463" s="12"/>
      <c r="C463" s="12"/>
      <c r="D463" s="13"/>
      <c r="F463" s="14"/>
      <c r="G463" s="14"/>
      <c r="H463" s="14"/>
      <c r="I463" s="14"/>
      <c r="J463" s="14"/>
      <c r="K463" s="12"/>
    </row>
    <row r="464" ht="19.5" customHeight="1">
      <c r="A464" s="12"/>
      <c r="C464" s="12"/>
      <c r="D464" s="13"/>
      <c r="F464" s="14"/>
      <c r="G464" s="14"/>
      <c r="H464" s="14"/>
      <c r="I464" s="14"/>
      <c r="J464" s="14"/>
      <c r="K464" s="12"/>
    </row>
    <row r="465" ht="19.5" customHeight="1">
      <c r="A465" s="12"/>
      <c r="C465" s="12"/>
      <c r="D465" s="13"/>
      <c r="F465" s="14"/>
      <c r="G465" s="14"/>
      <c r="H465" s="14"/>
      <c r="I465" s="14"/>
      <c r="J465" s="14"/>
      <c r="K465" s="12"/>
    </row>
    <row r="466" ht="19.5" customHeight="1">
      <c r="A466" s="12"/>
      <c r="C466" s="12"/>
      <c r="D466" s="13"/>
      <c r="F466" s="14"/>
      <c r="G466" s="14"/>
      <c r="H466" s="14"/>
      <c r="I466" s="14"/>
      <c r="J466" s="14"/>
      <c r="K466" s="12"/>
    </row>
    <row r="467" ht="19.5" customHeight="1">
      <c r="A467" s="12"/>
      <c r="C467" s="12"/>
      <c r="D467" s="13"/>
      <c r="F467" s="14"/>
      <c r="G467" s="14"/>
      <c r="H467" s="14"/>
      <c r="I467" s="14"/>
      <c r="J467" s="14"/>
      <c r="K467" s="12"/>
    </row>
    <row r="468" ht="19.5" customHeight="1">
      <c r="A468" s="12"/>
      <c r="C468" s="12"/>
      <c r="D468" s="13"/>
      <c r="F468" s="14"/>
      <c r="G468" s="14"/>
      <c r="H468" s="14"/>
      <c r="I468" s="14"/>
      <c r="J468" s="14"/>
      <c r="K468" s="12"/>
    </row>
    <row r="469" ht="19.5" customHeight="1">
      <c r="A469" s="12"/>
      <c r="C469" s="12"/>
      <c r="D469" s="13"/>
      <c r="F469" s="14"/>
      <c r="G469" s="14"/>
      <c r="H469" s="14"/>
      <c r="I469" s="14"/>
      <c r="J469" s="14"/>
      <c r="K469" s="12"/>
    </row>
    <row r="470" ht="19.5" customHeight="1">
      <c r="A470" s="12"/>
      <c r="C470" s="12"/>
      <c r="D470" s="13"/>
      <c r="F470" s="14"/>
      <c r="G470" s="14"/>
      <c r="H470" s="14"/>
      <c r="I470" s="14"/>
      <c r="J470" s="14"/>
      <c r="K470" s="12"/>
    </row>
    <row r="471" ht="19.5" customHeight="1">
      <c r="A471" s="12"/>
      <c r="C471" s="12"/>
      <c r="D471" s="13"/>
      <c r="F471" s="14"/>
      <c r="G471" s="14"/>
      <c r="H471" s="14"/>
      <c r="I471" s="14"/>
      <c r="J471" s="14"/>
      <c r="K471" s="12"/>
    </row>
    <row r="472" ht="19.5" customHeight="1">
      <c r="A472" s="12"/>
      <c r="C472" s="12"/>
      <c r="D472" s="13"/>
      <c r="F472" s="14"/>
      <c r="G472" s="14"/>
      <c r="H472" s="14"/>
      <c r="I472" s="14"/>
      <c r="J472" s="14"/>
      <c r="K472" s="12"/>
    </row>
    <row r="473" ht="19.5" customHeight="1">
      <c r="A473" s="12"/>
      <c r="C473" s="12"/>
      <c r="D473" s="13"/>
      <c r="F473" s="14"/>
      <c r="G473" s="14"/>
      <c r="H473" s="14"/>
      <c r="I473" s="14"/>
      <c r="J473" s="14"/>
      <c r="K473" s="12"/>
    </row>
    <row r="474" ht="19.5" customHeight="1">
      <c r="A474" s="12"/>
      <c r="C474" s="12"/>
      <c r="D474" s="13"/>
      <c r="F474" s="14"/>
      <c r="G474" s="14"/>
      <c r="H474" s="14"/>
      <c r="I474" s="14"/>
      <c r="J474" s="14"/>
      <c r="K474" s="12"/>
    </row>
    <row r="475" ht="19.5" customHeight="1">
      <c r="A475" s="12"/>
      <c r="C475" s="12"/>
      <c r="D475" s="13"/>
      <c r="F475" s="14"/>
      <c r="G475" s="14"/>
      <c r="H475" s="14"/>
      <c r="I475" s="14"/>
      <c r="J475" s="14"/>
      <c r="K475" s="12"/>
    </row>
    <row r="476" ht="19.5" customHeight="1">
      <c r="A476" s="12"/>
      <c r="C476" s="12"/>
      <c r="D476" s="13"/>
      <c r="F476" s="14"/>
      <c r="G476" s="14"/>
      <c r="H476" s="14"/>
      <c r="I476" s="14"/>
      <c r="J476" s="14"/>
      <c r="K476" s="12"/>
    </row>
    <row r="477" ht="19.5" customHeight="1">
      <c r="A477" s="12"/>
      <c r="C477" s="12"/>
      <c r="D477" s="13"/>
      <c r="F477" s="14"/>
      <c r="G477" s="14"/>
      <c r="H477" s="14"/>
      <c r="I477" s="14"/>
      <c r="J477" s="14"/>
      <c r="K477" s="12"/>
    </row>
    <row r="478" ht="19.5" customHeight="1">
      <c r="A478" s="12"/>
      <c r="C478" s="12"/>
      <c r="D478" s="13"/>
      <c r="F478" s="14"/>
      <c r="G478" s="14"/>
      <c r="H478" s="14"/>
      <c r="I478" s="14"/>
      <c r="J478" s="14"/>
      <c r="K478" s="12"/>
    </row>
    <row r="479" ht="19.5" customHeight="1">
      <c r="A479" s="12"/>
      <c r="C479" s="12"/>
      <c r="D479" s="13"/>
      <c r="F479" s="14"/>
      <c r="G479" s="14"/>
      <c r="H479" s="14"/>
      <c r="I479" s="14"/>
      <c r="J479" s="14"/>
      <c r="K479" s="12"/>
    </row>
    <row r="480" ht="19.5" customHeight="1">
      <c r="A480" s="12"/>
      <c r="C480" s="12"/>
      <c r="D480" s="13"/>
      <c r="F480" s="14"/>
      <c r="G480" s="14"/>
      <c r="H480" s="14"/>
      <c r="I480" s="14"/>
      <c r="J480" s="14"/>
      <c r="K480" s="12"/>
    </row>
    <row r="481" ht="19.5" customHeight="1">
      <c r="A481" s="12"/>
      <c r="C481" s="12"/>
      <c r="D481" s="13"/>
      <c r="F481" s="14"/>
      <c r="G481" s="14"/>
      <c r="H481" s="14"/>
      <c r="I481" s="14"/>
      <c r="J481" s="14"/>
      <c r="K481" s="12"/>
    </row>
    <row r="482" ht="19.5" customHeight="1">
      <c r="A482" s="12"/>
      <c r="C482" s="12"/>
      <c r="D482" s="13"/>
      <c r="F482" s="14"/>
      <c r="G482" s="14"/>
      <c r="H482" s="14"/>
      <c r="I482" s="14"/>
      <c r="J482" s="14"/>
      <c r="K482" s="12"/>
    </row>
    <row r="483" ht="19.5" customHeight="1">
      <c r="A483" s="12"/>
      <c r="C483" s="12"/>
      <c r="D483" s="13"/>
      <c r="F483" s="14"/>
      <c r="G483" s="14"/>
      <c r="H483" s="14"/>
      <c r="I483" s="14"/>
      <c r="J483" s="14"/>
      <c r="K483" s="12"/>
    </row>
    <row r="484" ht="19.5" customHeight="1">
      <c r="A484" s="12"/>
      <c r="C484" s="12"/>
      <c r="D484" s="13"/>
      <c r="F484" s="14"/>
      <c r="G484" s="14"/>
      <c r="H484" s="14"/>
      <c r="I484" s="14"/>
      <c r="J484" s="14"/>
      <c r="K484" s="12"/>
    </row>
    <row r="485" ht="19.5" customHeight="1">
      <c r="A485" s="12"/>
      <c r="C485" s="12"/>
      <c r="D485" s="13"/>
      <c r="F485" s="14"/>
      <c r="G485" s="14"/>
      <c r="H485" s="14"/>
      <c r="I485" s="14"/>
      <c r="J485" s="14"/>
      <c r="K485" s="12"/>
    </row>
    <row r="486" ht="19.5" customHeight="1">
      <c r="A486" s="12"/>
      <c r="C486" s="12"/>
      <c r="D486" s="13"/>
      <c r="F486" s="14"/>
      <c r="G486" s="14"/>
      <c r="H486" s="14"/>
      <c r="I486" s="14"/>
      <c r="J486" s="14"/>
      <c r="K486" s="12"/>
    </row>
    <row r="487" ht="19.5" customHeight="1">
      <c r="A487" s="12"/>
      <c r="C487" s="12"/>
      <c r="D487" s="13"/>
      <c r="F487" s="14"/>
      <c r="G487" s="14"/>
      <c r="H487" s="14"/>
      <c r="I487" s="14"/>
      <c r="J487" s="14"/>
      <c r="K487" s="12"/>
    </row>
    <row r="488" ht="19.5" customHeight="1">
      <c r="A488" s="12"/>
      <c r="C488" s="12"/>
      <c r="D488" s="13"/>
      <c r="F488" s="14"/>
      <c r="G488" s="14"/>
      <c r="H488" s="14"/>
      <c r="I488" s="14"/>
      <c r="J488" s="14"/>
      <c r="K488" s="12"/>
    </row>
    <row r="489" ht="19.5" customHeight="1">
      <c r="A489" s="12"/>
      <c r="C489" s="12"/>
      <c r="D489" s="13"/>
      <c r="F489" s="14"/>
      <c r="G489" s="14"/>
      <c r="H489" s="14"/>
      <c r="I489" s="14"/>
      <c r="J489" s="14"/>
      <c r="K489" s="12"/>
    </row>
    <row r="490" ht="19.5" customHeight="1">
      <c r="A490" s="12"/>
      <c r="C490" s="12"/>
      <c r="D490" s="13"/>
      <c r="F490" s="14"/>
      <c r="G490" s="14"/>
      <c r="H490" s="14"/>
      <c r="I490" s="14"/>
      <c r="J490" s="14"/>
      <c r="K490" s="12"/>
    </row>
    <row r="491" ht="19.5" customHeight="1">
      <c r="A491" s="12"/>
      <c r="C491" s="12"/>
      <c r="D491" s="13"/>
      <c r="F491" s="14"/>
      <c r="G491" s="14"/>
      <c r="H491" s="14"/>
      <c r="I491" s="14"/>
      <c r="J491" s="14"/>
      <c r="K491" s="12"/>
    </row>
    <row r="492" ht="19.5" customHeight="1">
      <c r="A492" s="12"/>
      <c r="C492" s="12"/>
      <c r="D492" s="13"/>
      <c r="F492" s="14"/>
      <c r="G492" s="14"/>
      <c r="H492" s="14"/>
      <c r="I492" s="14"/>
      <c r="J492" s="14"/>
      <c r="K492" s="12"/>
    </row>
    <row r="493" ht="19.5" customHeight="1">
      <c r="A493" s="12"/>
      <c r="C493" s="12"/>
      <c r="D493" s="13"/>
      <c r="F493" s="14"/>
      <c r="G493" s="14"/>
      <c r="H493" s="14"/>
      <c r="I493" s="14"/>
      <c r="J493" s="14"/>
      <c r="K493" s="12"/>
    </row>
    <row r="494" ht="19.5" customHeight="1">
      <c r="A494" s="12"/>
      <c r="C494" s="12"/>
      <c r="D494" s="13"/>
      <c r="F494" s="14"/>
      <c r="G494" s="14"/>
      <c r="H494" s="14"/>
      <c r="I494" s="14"/>
      <c r="J494" s="14"/>
      <c r="K494" s="12"/>
    </row>
    <row r="495" ht="19.5" customHeight="1">
      <c r="A495" s="12"/>
      <c r="C495" s="12"/>
      <c r="D495" s="13"/>
      <c r="F495" s="14"/>
      <c r="G495" s="14"/>
      <c r="H495" s="14"/>
      <c r="I495" s="14"/>
      <c r="J495" s="14"/>
      <c r="K495" s="12"/>
    </row>
    <row r="496" ht="19.5" customHeight="1">
      <c r="A496" s="12"/>
      <c r="C496" s="12"/>
      <c r="D496" s="13"/>
      <c r="F496" s="14"/>
      <c r="G496" s="14"/>
      <c r="H496" s="14"/>
      <c r="I496" s="14"/>
      <c r="J496" s="14"/>
      <c r="K496" s="12"/>
    </row>
    <row r="497" ht="19.5" customHeight="1">
      <c r="A497" s="12"/>
      <c r="C497" s="12"/>
      <c r="D497" s="13"/>
      <c r="F497" s="14"/>
      <c r="G497" s="14"/>
      <c r="H497" s="14"/>
      <c r="I497" s="14"/>
      <c r="J497" s="14"/>
      <c r="K497" s="12"/>
    </row>
    <row r="498" ht="19.5" customHeight="1">
      <c r="A498" s="12"/>
      <c r="C498" s="12"/>
      <c r="D498" s="13"/>
      <c r="F498" s="14"/>
      <c r="G498" s="14"/>
      <c r="H498" s="14"/>
      <c r="I498" s="14"/>
      <c r="J498" s="14"/>
      <c r="K498" s="12"/>
    </row>
    <row r="499" ht="19.5" customHeight="1">
      <c r="A499" s="12"/>
      <c r="C499" s="12"/>
      <c r="D499" s="13"/>
      <c r="F499" s="14"/>
      <c r="G499" s="14"/>
      <c r="H499" s="14"/>
      <c r="I499" s="14"/>
      <c r="J499" s="14"/>
      <c r="K499" s="12"/>
    </row>
    <row r="500" ht="19.5" customHeight="1">
      <c r="A500" s="12"/>
      <c r="C500" s="12"/>
      <c r="D500" s="13"/>
      <c r="F500" s="14"/>
      <c r="G500" s="14"/>
      <c r="H500" s="14"/>
      <c r="I500" s="14"/>
      <c r="J500" s="14"/>
      <c r="K500" s="12"/>
    </row>
    <row r="501" ht="19.5" customHeight="1">
      <c r="A501" s="12"/>
      <c r="C501" s="12"/>
      <c r="D501" s="13"/>
      <c r="F501" s="14"/>
      <c r="G501" s="14"/>
      <c r="H501" s="14"/>
      <c r="I501" s="14"/>
      <c r="J501" s="14"/>
      <c r="K501" s="12"/>
    </row>
    <row r="502" ht="19.5" customHeight="1">
      <c r="A502" s="12"/>
      <c r="C502" s="12"/>
      <c r="D502" s="13"/>
      <c r="F502" s="14"/>
      <c r="G502" s="14"/>
      <c r="H502" s="14"/>
      <c r="I502" s="14"/>
      <c r="J502" s="14"/>
      <c r="K502" s="12"/>
    </row>
    <row r="503" ht="19.5" customHeight="1">
      <c r="A503" s="12"/>
      <c r="C503" s="12"/>
      <c r="D503" s="13"/>
      <c r="F503" s="14"/>
      <c r="G503" s="14"/>
      <c r="H503" s="14"/>
      <c r="I503" s="14"/>
      <c r="J503" s="14"/>
      <c r="K503" s="12"/>
    </row>
    <row r="504" ht="19.5" customHeight="1">
      <c r="A504" s="12"/>
      <c r="C504" s="12"/>
      <c r="D504" s="13"/>
      <c r="F504" s="14"/>
      <c r="G504" s="14"/>
      <c r="H504" s="14"/>
      <c r="I504" s="14"/>
      <c r="J504" s="14"/>
      <c r="K504" s="12"/>
    </row>
    <row r="505" ht="19.5" customHeight="1">
      <c r="A505" s="12"/>
      <c r="C505" s="12"/>
      <c r="D505" s="13"/>
      <c r="F505" s="14"/>
      <c r="G505" s="14"/>
      <c r="H505" s="14"/>
      <c r="I505" s="14"/>
      <c r="J505" s="14"/>
      <c r="K505" s="12"/>
    </row>
    <row r="506" ht="19.5" customHeight="1">
      <c r="A506" s="12"/>
      <c r="C506" s="12"/>
      <c r="D506" s="13"/>
      <c r="F506" s="14"/>
      <c r="G506" s="14"/>
      <c r="H506" s="14"/>
      <c r="I506" s="14"/>
      <c r="J506" s="14"/>
      <c r="K506" s="12"/>
    </row>
    <row r="507" ht="19.5" customHeight="1">
      <c r="A507" s="12"/>
      <c r="C507" s="12"/>
      <c r="D507" s="13"/>
      <c r="F507" s="14"/>
      <c r="G507" s="14"/>
      <c r="H507" s="14"/>
      <c r="I507" s="14"/>
      <c r="J507" s="14"/>
      <c r="K507" s="12"/>
    </row>
    <row r="508" ht="19.5" customHeight="1">
      <c r="A508" s="12"/>
      <c r="C508" s="12"/>
      <c r="D508" s="13"/>
      <c r="F508" s="14"/>
      <c r="G508" s="14"/>
      <c r="H508" s="14"/>
      <c r="I508" s="14"/>
      <c r="J508" s="14"/>
      <c r="K508" s="12"/>
    </row>
    <row r="509" ht="19.5" customHeight="1">
      <c r="A509" s="12"/>
      <c r="C509" s="12"/>
      <c r="D509" s="13"/>
      <c r="F509" s="14"/>
      <c r="G509" s="14"/>
      <c r="H509" s="14"/>
      <c r="I509" s="14"/>
      <c r="J509" s="14"/>
      <c r="K509" s="12"/>
    </row>
    <row r="510" ht="19.5" customHeight="1">
      <c r="A510" s="12"/>
      <c r="C510" s="12"/>
      <c r="D510" s="13"/>
      <c r="F510" s="14"/>
      <c r="G510" s="14"/>
      <c r="H510" s="14"/>
      <c r="I510" s="14"/>
      <c r="J510" s="14"/>
      <c r="K510" s="12"/>
    </row>
    <row r="511" ht="19.5" customHeight="1">
      <c r="A511" s="12"/>
      <c r="C511" s="12"/>
      <c r="D511" s="13"/>
      <c r="F511" s="14"/>
      <c r="G511" s="14"/>
      <c r="H511" s="14"/>
      <c r="I511" s="14"/>
      <c r="J511" s="14"/>
      <c r="K511" s="12"/>
    </row>
    <row r="512" ht="19.5" customHeight="1">
      <c r="A512" s="12"/>
      <c r="C512" s="12"/>
      <c r="D512" s="13"/>
      <c r="F512" s="14"/>
      <c r="G512" s="14"/>
      <c r="H512" s="14"/>
      <c r="I512" s="14"/>
      <c r="J512" s="14"/>
      <c r="K512" s="12"/>
    </row>
    <row r="513" ht="19.5" customHeight="1">
      <c r="A513" s="12"/>
      <c r="C513" s="12"/>
      <c r="D513" s="13"/>
      <c r="F513" s="14"/>
      <c r="G513" s="14"/>
      <c r="H513" s="14"/>
      <c r="I513" s="14"/>
      <c r="J513" s="14"/>
      <c r="K513" s="12"/>
    </row>
    <row r="514" ht="19.5" customHeight="1">
      <c r="A514" s="12"/>
      <c r="C514" s="12"/>
      <c r="D514" s="13"/>
      <c r="F514" s="14"/>
      <c r="G514" s="14"/>
      <c r="H514" s="14"/>
      <c r="I514" s="14"/>
      <c r="J514" s="14"/>
      <c r="K514" s="12"/>
    </row>
    <row r="515" ht="19.5" customHeight="1">
      <c r="A515" s="12"/>
      <c r="C515" s="12"/>
      <c r="D515" s="13"/>
      <c r="F515" s="14"/>
      <c r="G515" s="14"/>
      <c r="H515" s="14"/>
      <c r="I515" s="14"/>
      <c r="J515" s="14"/>
      <c r="K515" s="12"/>
    </row>
    <row r="516" ht="19.5" customHeight="1">
      <c r="A516" s="12"/>
      <c r="C516" s="12"/>
      <c r="D516" s="13"/>
      <c r="F516" s="14"/>
      <c r="G516" s="14"/>
      <c r="H516" s="14"/>
      <c r="I516" s="14"/>
      <c r="J516" s="14"/>
      <c r="K516" s="12"/>
    </row>
    <row r="517" ht="19.5" customHeight="1">
      <c r="A517" s="12"/>
      <c r="C517" s="12"/>
      <c r="D517" s="13"/>
      <c r="F517" s="14"/>
      <c r="G517" s="14"/>
      <c r="H517" s="14"/>
      <c r="I517" s="14"/>
      <c r="J517" s="14"/>
      <c r="K517" s="12"/>
    </row>
    <row r="518" ht="19.5" customHeight="1">
      <c r="A518" s="12"/>
      <c r="C518" s="12"/>
      <c r="D518" s="13"/>
      <c r="F518" s="14"/>
      <c r="G518" s="14"/>
      <c r="H518" s="14"/>
      <c r="I518" s="14"/>
      <c r="J518" s="14"/>
      <c r="K518" s="12"/>
    </row>
    <row r="519" ht="19.5" customHeight="1">
      <c r="A519" s="12"/>
      <c r="C519" s="12"/>
      <c r="D519" s="13"/>
      <c r="F519" s="14"/>
      <c r="G519" s="14"/>
      <c r="H519" s="14"/>
      <c r="I519" s="14"/>
      <c r="J519" s="14"/>
      <c r="K519" s="12"/>
    </row>
    <row r="520" ht="19.5" customHeight="1">
      <c r="A520" s="12"/>
      <c r="C520" s="12"/>
      <c r="D520" s="13"/>
      <c r="F520" s="14"/>
      <c r="G520" s="14"/>
      <c r="H520" s="14"/>
      <c r="I520" s="14"/>
      <c r="J520" s="14"/>
      <c r="K520" s="12"/>
    </row>
    <row r="521" ht="19.5" customHeight="1">
      <c r="A521" s="12"/>
      <c r="C521" s="12"/>
      <c r="D521" s="13"/>
      <c r="F521" s="14"/>
      <c r="G521" s="14"/>
      <c r="H521" s="14"/>
      <c r="I521" s="14"/>
      <c r="J521" s="14"/>
      <c r="K521" s="12"/>
    </row>
    <row r="522" ht="19.5" customHeight="1">
      <c r="A522" s="12"/>
      <c r="C522" s="12"/>
      <c r="D522" s="13"/>
      <c r="F522" s="14"/>
      <c r="G522" s="14"/>
      <c r="H522" s="14"/>
      <c r="I522" s="14"/>
      <c r="J522" s="14"/>
      <c r="K522" s="12"/>
    </row>
    <row r="523" ht="19.5" customHeight="1">
      <c r="A523" s="12"/>
      <c r="C523" s="12"/>
      <c r="D523" s="13"/>
      <c r="F523" s="14"/>
      <c r="G523" s="14"/>
      <c r="H523" s="14"/>
      <c r="I523" s="14"/>
      <c r="J523" s="14"/>
      <c r="K523" s="12"/>
    </row>
    <row r="524" ht="19.5" customHeight="1">
      <c r="A524" s="12"/>
      <c r="C524" s="12"/>
      <c r="D524" s="13"/>
      <c r="F524" s="14"/>
      <c r="G524" s="14"/>
      <c r="H524" s="14"/>
      <c r="I524" s="14"/>
      <c r="J524" s="14"/>
      <c r="K524" s="12"/>
    </row>
    <row r="525" ht="19.5" customHeight="1">
      <c r="A525" s="12"/>
      <c r="C525" s="12"/>
      <c r="D525" s="13"/>
      <c r="F525" s="14"/>
      <c r="G525" s="14"/>
      <c r="H525" s="14"/>
      <c r="I525" s="14"/>
      <c r="J525" s="14"/>
      <c r="K525" s="12"/>
    </row>
    <row r="526" ht="19.5" customHeight="1">
      <c r="A526" s="12"/>
      <c r="C526" s="12"/>
      <c r="D526" s="13"/>
      <c r="F526" s="14"/>
      <c r="G526" s="14"/>
      <c r="H526" s="14"/>
      <c r="I526" s="14"/>
      <c r="J526" s="14"/>
      <c r="K526" s="12"/>
    </row>
    <row r="527" ht="19.5" customHeight="1">
      <c r="A527" s="12"/>
      <c r="C527" s="12"/>
      <c r="D527" s="13"/>
      <c r="F527" s="14"/>
      <c r="G527" s="14"/>
      <c r="H527" s="14"/>
      <c r="I527" s="14"/>
      <c r="J527" s="14"/>
      <c r="K527" s="12"/>
    </row>
    <row r="528" ht="19.5" customHeight="1">
      <c r="A528" s="12"/>
      <c r="C528" s="12"/>
      <c r="D528" s="13"/>
      <c r="F528" s="14"/>
      <c r="G528" s="14"/>
      <c r="H528" s="14"/>
      <c r="I528" s="14"/>
      <c r="J528" s="14"/>
      <c r="K528" s="12"/>
    </row>
    <row r="529" ht="19.5" customHeight="1">
      <c r="A529" s="12"/>
      <c r="C529" s="12"/>
      <c r="D529" s="13"/>
      <c r="F529" s="14"/>
      <c r="G529" s="14"/>
      <c r="H529" s="14"/>
      <c r="I529" s="14"/>
      <c r="J529" s="14"/>
      <c r="K529" s="12"/>
    </row>
    <row r="530" ht="19.5" customHeight="1">
      <c r="A530" s="12"/>
      <c r="C530" s="12"/>
      <c r="D530" s="13"/>
      <c r="F530" s="14"/>
      <c r="G530" s="14"/>
      <c r="H530" s="14"/>
      <c r="I530" s="14"/>
      <c r="J530" s="14"/>
      <c r="K530" s="12"/>
    </row>
    <row r="531" ht="19.5" customHeight="1">
      <c r="A531" s="12"/>
      <c r="C531" s="12"/>
      <c r="D531" s="13"/>
      <c r="F531" s="14"/>
      <c r="G531" s="14"/>
      <c r="H531" s="14"/>
      <c r="I531" s="14"/>
      <c r="J531" s="14"/>
      <c r="K531" s="12"/>
    </row>
    <row r="532" ht="19.5" customHeight="1">
      <c r="A532" s="12"/>
      <c r="C532" s="12"/>
      <c r="D532" s="13"/>
      <c r="F532" s="14"/>
      <c r="G532" s="14"/>
      <c r="H532" s="14"/>
      <c r="I532" s="14"/>
      <c r="J532" s="14"/>
      <c r="K532" s="12"/>
    </row>
    <row r="533" ht="19.5" customHeight="1">
      <c r="A533" s="12"/>
      <c r="C533" s="12"/>
      <c r="D533" s="13"/>
      <c r="F533" s="14"/>
      <c r="G533" s="14"/>
      <c r="H533" s="14"/>
      <c r="I533" s="14"/>
      <c r="J533" s="14"/>
      <c r="K533" s="12"/>
    </row>
    <row r="534" ht="19.5" customHeight="1">
      <c r="A534" s="12"/>
      <c r="C534" s="12"/>
      <c r="D534" s="13"/>
      <c r="F534" s="14"/>
      <c r="G534" s="14"/>
      <c r="H534" s="14"/>
      <c r="I534" s="14"/>
      <c r="J534" s="14"/>
      <c r="K534" s="12"/>
    </row>
    <row r="535" ht="19.5" customHeight="1">
      <c r="A535" s="12"/>
      <c r="C535" s="12"/>
      <c r="D535" s="13"/>
      <c r="F535" s="14"/>
      <c r="G535" s="14"/>
      <c r="H535" s="14"/>
      <c r="I535" s="14"/>
      <c r="J535" s="14"/>
      <c r="K535" s="12"/>
    </row>
    <row r="536" ht="19.5" customHeight="1">
      <c r="A536" s="12"/>
      <c r="C536" s="12"/>
      <c r="D536" s="13"/>
      <c r="F536" s="14"/>
      <c r="G536" s="14"/>
      <c r="H536" s="14"/>
      <c r="I536" s="14"/>
      <c r="J536" s="14"/>
      <c r="K536" s="12"/>
    </row>
    <row r="537" ht="19.5" customHeight="1">
      <c r="A537" s="12"/>
      <c r="C537" s="12"/>
      <c r="D537" s="13"/>
      <c r="F537" s="14"/>
      <c r="G537" s="14"/>
      <c r="H537" s="14"/>
      <c r="I537" s="14"/>
      <c r="J537" s="14"/>
      <c r="K537" s="12"/>
    </row>
    <row r="538" ht="19.5" customHeight="1">
      <c r="A538" s="12"/>
      <c r="C538" s="12"/>
      <c r="D538" s="13"/>
      <c r="F538" s="14"/>
      <c r="G538" s="14"/>
      <c r="H538" s="14"/>
      <c r="I538" s="14"/>
      <c r="J538" s="14"/>
      <c r="K538" s="12"/>
    </row>
    <row r="539" ht="19.5" customHeight="1">
      <c r="A539" s="12"/>
      <c r="C539" s="12"/>
      <c r="D539" s="13"/>
      <c r="F539" s="14"/>
      <c r="G539" s="14"/>
      <c r="H539" s="14"/>
      <c r="I539" s="14"/>
      <c r="J539" s="14"/>
      <c r="K539" s="12"/>
    </row>
    <row r="540" ht="19.5" customHeight="1">
      <c r="A540" s="12"/>
      <c r="C540" s="12"/>
      <c r="D540" s="13"/>
      <c r="F540" s="14"/>
      <c r="G540" s="14"/>
      <c r="H540" s="14"/>
      <c r="I540" s="14"/>
      <c r="J540" s="14"/>
      <c r="K540" s="12"/>
    </row>
    <row r="541" ht="19.5" customHeight="1">
      <c r="A541" s="12"/>
      <c r="C541" s="12"/>
      <c r="D541" s="13"/>
      <c r="F541" s="14"/>
      <c r="G541" s="14"/>
      <c r="H541" s="14"/>
      <c r="I541" s="14"/>
      <c r="J541" s="14"/>
      <c r="K541" s="12"/>
    </row>
    <row r="542" ht="19.5" customHeight="1">
      <c r="A542" s="12"/>
      <c r="C542" s="12"/>
      <c r="D542" s="13"/>
      <c r="F542" s="14"/>
      <c r="G542" s="14"/>
      <c r="H542" s="14"/>
      <c r="I542" s="14"/>
      <c r="J542" s="14"/>
      <c r="K542" s="12"/>
    </row>
    <row r="543" ht="19.5" customHeight="1">
      <c r="A543" s="12"/>
      <c r="C543" s="12"/>
      <c r="D543" s="13"/>
      <c r="F543" s="14"/>
      <c r="G543" s="14"/>
      <c r="H543" s="14"/>
      <c r="I543" s="14"/>
      <c r="J543" s="14"/>
      <c r="K543" s="12"/>
    </row>
    <row r="544" ht="19.5" customHeight="1">
      <c r="A544" s="12"/>
      <c r="C544" s="12"/>
      <c r="D544" s="13"/>
      <c r="F544" s="14"/>
      <c r="G544" s="14"/>
      <c r="H544" s="14"/>
      <c r="I544" s="14"/>
      <c r="J544" s="14"/>
      <c r="K544" s="12"/>
    </row>
    <row r="545" ht="19.5" customHeight="1">
      <c r="A545" s="12"/>
      <c r="C545" s="12"/>
      <c r="D545" s="13"/>
      <c r="F545" s="14"/>
      <c r="G545" s="14"/>
      <c r="H545" s="14"/>
      <c r="I545" s="14"/>
      <c r="J545" s="14"/>
      <c r="K545" s="12"/>
    </row>
    <row r="546" ht="19.5" customHeight="1">
      <c r="A546" s="12"/>
      <c r="C546" s="12"/>
      <c r="D546" s="13"/>
      <c r="F546" s="14"/>
      <c r="G546" s="14"/>
      <c r="H546" s="14"/>
      <c r="I546" s="14"/>
      <c r="J546" s="14"/>
      <c r="K546" s="12"/>
    </row>
    <row r="547" ht="19.5" customHeight="1">
      <c r="A547" s="12"/>
      <c r="C547" s="12"/>
      <c r="D547" s="13"/>
      <c r="F547" s="14"/>
      <c r="G547" s="14"/>
      <c r="H547" s="14"/>
      <c r="I547" s="14"/>
      <c r="J547" s="14"/>
      <c r="K547" s="12"/>
    </row>
    <row r="548" ht="19.5" customHeight="1">
      <c r="A548" s="12"/>
      <c r="C548" s="12"/>
      <c r="D548" s="13"/>
      <c r="F548" s="14"/>
      <c r="G548" s="14"/>
      <c r="H548" s="14"/>
      <c r="I548" s="14"/>
      <c r="J548" s="14"/>
      <c r="K548" s="12"/>
    </row>
    <row r="549" ht="19.5" customHeight="1">
      <c r="A549" s="12"/>
      <c r="C549" s="12"/>
      <c r="D549" s="13"/>
      <c r="F549" s="14"/>
      <c r="G549" s="14"/>
      <c r="H549" s="14"/>
      <c r="I549" s="14"/>
      <c r="J549" s="14"/>
      <c r="K549" s="12"/>
    </row>
    <row r="550" ht="19.5" customHeight="1">
      <c r="A550" s="12"/>
      <c r="C550" s="12"/>
      <c r="D550" s="13"/>
      <c r="F550" s="14"/>
      <c r="G550" s="14"/>
      <c r="H550" s="14"/>
      <c r="I550" s="14"/>
      <c r="J550" s="14"/>
      <c r="K550" s="12"/>
    </row>
    <row r="551" ht="19.5" customHeight="1">
      <c r="A551" s="12"/>
      <c r="C551" s="12"/>
      <c r="D551" s="13"/>
      <c r="F551" s="14"/>
      <c r="G551" s="14"/>
      <c r="H551" s="14"/>
      <c r="I551" s="14"/>
      <c r="J551" s="14"/>
      <c r="K551" s="12"/>
    </row>
    <row r="552" ht="19.5" customHeight="1">
      <c r="A552" s="12"/>
      <c r="C552" s="12"/>
      <c r="D552" s="13"/>
      <c r="F552" s="14"/>
      <c r="G552" s="14"/>
      <c r="H552" s="14"/>
      <c r="I552" s="14"/>
      <c r="J552" s="14"/>
      <c r="K552" s="12"/>
    </row>
    <row r="553" ht="19.5" customHeight="1">
      <c r="A553" s="12"/>
      <c r="C553" s="12"/>
      <c r="D553" s="13"/>
      <c r="F553" s="14"/>
      <c r="G553" s="14"/>
      <c r="H553" s="14"/>
      <c r="I553" s="14"/>
      <c r="J553" s="14"/>
      <c r="K553" s="12"/>
    </row>
    <row r="554" ht="19.5" customHeight="1">
      <c r="A554" s="12"/>
      <c r="C554" s="12"/>
      <c r="D554" s="13"/>
      <c r="F554" s="14"/>
      <c r="G554" s="14"/>
      <c r="H554" s="14"/>
      <c r="I554" s="14"/>
      <c r="J554" s="14"/>
      <c r="K554" s="12"/>
    </row>
    <row r="555" ht="19.5" customHeight="1">
      <c r="A555" s="12"/>
      <c r="C555" s="12"/>
      <c r="D555" s="13"/>
      <c r="F555" s="14"/>
      <c r="G555" s="14"/>
      <c r="H555" s="14"/>
      <c r="I555" s="14"/>
      <c r="J555" s="14"/>
      <c r="K555" s="12"/>
    </row>
    <row r="556" ht="19.5" customHeight="1">
      <c r="A556" s="12"/>
      <c r="C556" s="12"/>
      <c r="D556" s="13"/>
      <c r="F556" s="14"/>
      <c r="G556" s="14"/>
      <c r="H556" s="14"/>
      <c r="I556" s="14"/>
      <c r="J556" s="14"/>
      <c r="K556" s="12"/>
    </row>
    <row r="557" ht="19.5" customHeight="1">
      <c r="A557" s="12"/>
      <c r="C557" s="12"/>
      <c r="D557" s="13"/>
      <c r="F557" s="14"/>
      <c r="G557" s="14"/>
      <c r="H557" s="14"/>
      <c r="I557" s="14"/>
      <c r="J557" s="14"/>
      <c r="K557" s="12"/>
    </row>
    <row r="558" ht="19.5" customHeight="1">
      <c r="A558" s="12"/>
      <c r="C558" s="12"/>
      <c r="D558" s="13"/>
      <c r="F558" s="14"/>
      <c r="G558" s="14"/>
      <c r="H558" s="14"/>
      <c r="I558" s="14"/>
      <c r="J558" s="14"/>
      <c r="K558" s="12"/>
    </row>
    <row r="559" ht="19.5" customHeight="1">
      <c r="A559" s="12"/>
      <c r="C559" s="12"/>
      <c r="D559" s="13"/>
      <c r="F559" s="14"/>
      <c r="G559" s="14"/>
      <c r="H559" s="14"/>
      <c r="I559" s="14"/>
      <c r="J559" s="14"/>
      <c r="K559" s="12"/>
    </row>
    <row r="560" ht="19.5" customHeight="1">
      <c r="A560" s="12"/>
      <c r="C560" s="12"/>
      <c r="D560" s="13"/>
      <c r="F560" s="14"/>
      <c r="G560" s="14"/>
      <c r="H560" s="14"/>
      <c r="I560" s="14"/>
      <c r="J560" s="14"/>
      <c r="K560" s="12"/>
    </row>
    <row r="561" ht="19.5" customHeight="1">
      <c r="A561" s="12"/>
      <c r="C561" s="12"/>
      <c r="D561" s="13"/>
      <c r="F561" s="14"/>
      <c r="G561" s="14"/>
      <c r="H561" s="14"/>
      <c r="I561" s="14"/>
      <c r="J561" s="14"/>
      <c r="K561" s="12"/>
    </row>
    <row r="562" ht="19.5" customHeight="1">
      <c r="A562" s="12"/>
      <c r="C562" s="12"/>
      <c r="D562" s="13"/>
      <c r="F562" s="14"/>
      <c r="G562" s="14"/>
      <c r="H562" s="14"/>
      <c r="I562" s="14"/>
      <c r="J562" s="14"/>
      <c r="K562" s="12"/>
    </row>
    <row r="563" ht="19.5" customHeight="1">
      <c r="A563" s="12"/>
      <c r="C563" s="12"/>
      <c r="D563" s="13"/>
      <c r="F563" s="14"/>
      <c r="G563" s="14"/>
      <c r="H563" s="14"/>
      <c r="I563" s="14"/>
      <c r="J563" s="14"/>
      <c r="K563" s="12"/>
    </row>
    <row r="564" ht="19.5" customHeight="1">
      <c r="A564" s="12"/>
      <c r="C564" s="12"/>
      <c r="D564" s="13"/>
      <c r="F564" s="14"/>
      <c r="G564" s="14"/>
      <c r="H564" s="14"/>
      <c r="I564" s="14"/>
      <c r="J564" s="14"/>
      <c r="K564" s="12"/>
    </row>
    <row r="565" ht="19.5" customHeight="1">
      <c r="A565" s="12"/>
      <c r="C565" s="12"/>
      <c r="D565" s="13"/>
      <c r="F565" s="14"/>
      <c r="G565" s="14"/>
      <c r="H565" s="14"/>
      <c r="I565" s="14"/>
      <c r="J565" s="14"/>
      <c r="K565" s="12"/>
    </row>
    <row r="566" ht="19.5" customHeight="1">
      <c r="A566" s="12"/>
      <c r="C566" s="12"/>
      <c r="D566" s="13"/>
      <c r="F566" s="14"/>
      <c r="G566" s="14"/>
      <c r="H566" s="14"/>
      <c r="I566" s="14"/>
      <c r="J566" s="14"/>
      <c r="K566" s="12"/>
    </row>
    <row r="567" ht="19.5" customHeight="1">
      <c r="A567" s="12"/>
      <c r="C567" s="12"/>
      <c r="D567" s="13"/>
      <c r="F567" s="14"/>
      <c r="G567" s="14"/>
      <c r="H567" s="14"/>
      <c r="I567" s="14"/>
      <c r="J567" s="14"/>
      <c r="K567" s="12"/>
    </row>
    <row r="568" ht="19.5" customHeight="1">
      <c r="A568" s="12"/>
      <c r="C568" s="12"/>
      <c r="D568" s="13"/>
      <c r="F568" s="14"/>
      <c r="G568" s="14"/>
      <c r="H568" s="14"/>
      <c r="I568" s="14"/>
      <c r="J568" s="14"/>
      <c r="K568" s="12"/>
    </row>
    <row r="569" ht="19.5" customHeight="1">
      <c r="A569" s="12"/>
      <c r="C569" s="12"/>
      <c r="D569" s="13"/>
      <c r="F569" s="14"/>
      <c r="G569" s="14"/>
      <c r="H569" s="14"/>
      <c r="I569" s="14"/>
      <c r="J569" s="14"/>
      <c r="K569" s="12"/>
    </row>
    <row r="570" ht="19.5" customHeight="1">
      <c r="A570" s="12"/>
      <c r="C570" s="12"/>
      <c r="D570" s="13"/>
      <c r="F570" s="14"/>
      <c r="G570" s="14"/>
      <c r="H570" s="14"/>
      <c r="I570" s="14"/>
      <c r="J570" s="14"/>
      <c r="K570" s="12"/>
    </row>
    <row r="571" ht="19.5" customHeight="1">
      <c r="A571" s="12"/>
      <c r="C571" s="12"/>
      <c r="D571" s="13"/>
      <c r="F571" s="14"/>
      <c r="G571" s="14"/>
      <c r="H571" s="14"/>
      <c r="I571" s="14"/>
      <c r="J571" s="14"/>
      <c r="K571" s="12"/>
    </row>
    <row r="572" ht="19.5" customHeight="1">
      <c r="A572" s="12"/>
      <c r="C572" s="12"/>
      <c r="D572" s="13"/>
      <c r="F572" s="14"/>
      <c r="G572" s="14"/>
      <c r="H572" s="14"/>
      <c r="I572" s="14"/>
      <c r="J572" s="14"/>
      <c r="K572" s="12"/>
    </row>
    <row r="573" ht="19.5" customHeight="1">
      <c r="A573" s="12"/>
      <c r="C573" s="12"/>
      <c r="D573" s="13"/>
      <c r="F573" s="14"/>
      <c r="G573" s="14"/>
      <c r="H573" s="14"/>
      <c r="I573" s="14"/>
      <c r="J573" s="14"/>
      <c r="K573" s="12"/>
    </row>
    <row r="574" ht="19.5" customHeight="1">
      <c r="A574" s="12"/>
      <c r="C574" s="12"/>
      <c r="D574" s="13"/>
      <c r="F574" s="14"/>
      <c r="G574" s="14"/>
      <c r="H574" s="14"/>
      <c r="I574" s="14"/>
      <c r="J574" s="14"/>
      <c r="K574" s="12"/>
    </row>
    <row r="575" ht="19.5" customHeight="1">
      <c r="A575" s="12"/>
      <c r="C575" s="12"/>
      <c r="D575" s="13"/>
      <c r="F575" s="14"/>
      <c r="G575" s="14"/>
      <c r="H575" s="14"/>
      <c r="I575" s="14"/>
      <c r="J575" s="14"/>
      <c r="K575" s="12"/>
    </row>
    <row r="576" ht="19.5" customHeight="1">
      <c r="A576" s="12"/>
      <c r="C576" s="12"/>
      <c r="D576" s="13"/>
      <c r="F576" s="14"/>
      <c r="G576" s="14"/>
      <c r="H576" s="14"/>
      <c r="I576" s="14"/>
      <c r="J576" s="14"/>
      <c r="K576" s="12"/>
    </row>
    <row r="577" ht="19.5" customHeight="1">
      <c r="A577" s="12"/>
      <c r="C577" s="12"/>
      <c r="D577" s="13"/>
      <c r="F577" s="14"/>
      <c r="G577" s="14"/>
      <c r="H577" s="14"/>
      <c r="I577" s="14"/>
      <c r="J577" s="14"/>
      <c r="K577" s="12"/>
    </row>
    <row r="578" ht="19.5" customHeight="1">
      <c r="A578" s="12"/>
      <c r="C578" s="12"/>
      <c r="D578" s="13"/>
      <c r="F578" s="14"/>
      <c r="G578" s="14"/>
      <c r="H578" s="14"/>
      <c r="I578" s="14"/>
      <c r="J578" s="14"/>
      <c r="K578" s="12"/>
    </row>
    <row r="579" ht="19.5" customHeight="1">
      <c r="A579" s="12"/>
      <c r="C579" s="12"/>
      <c r="D579" s="13"/>
      <c r="F579" s="14"/>
      <c r="G579" s="14"/>
      <c r="H579" s="14"/>
      <c r="I579" s="14"/>
      <c r="J579" s="14"/>
      <c r="K579" s="12"/>
    </row>
    <row r="580" ht="19.5" customHeight="1">
      <c r="A580" s="12"/>
      <c r="C580" s="12"/>
      <c r="D580" s="13"/>
      <c r="F580" s="14"/>
      <c r="G580" s="14"/>
      <c r="H580" s="14"/>
      <c r="I580" s="14"/>
      <c r="J580" s="14"/>
      <c r="K580" s="12"/>
    </row>
    <row r="581" ht="19.5" customHeight="1">
      <c r="A581" s="12"/>
      <c r="C581" s="12"/>
      <c r="D581" s="13"/>
      <c r="F581" s="14"/>
      <c r="G581" s="14"/>
      <c r="H581" s="14"/>
      <c r="I581" s="14"/>
      <c r="J581" s="14"/>
      <c r="K581" s="12"/>
    </row>
    <row r="582" ht="19.5" customHeight="1">
      <c r="A582" s="12"/>
      <c r="C582" s="12"/>
      <c r="D582" s="13"/>
      <c r="F582" s="14"/>
      <c r="G582" s="14"/>
      <c r="H582" s="14"/>
      <c r="I582" s="14"/>
      <c r="J582" s="14"/>
      <c r="K582" s="12"/>
    </row>
    <row r="583" ht="19.5" customHeight="1">
      <c r="A583" s="12"/>
      <c r="C583" s="12"/>
      <c r="D583" s="13"/>
      <c r="F583" s="14"/>
      <c r="G583" s="14"/>
      <c r="H583" s="14"/>
      <c r="I583" s="14"/>
      <c r="J583" s="14"/>
      <c r="K583" s="12"/>
    </row>
    <row r="584" ht="19.5" customHeight="1">
      <c r="A584" s="12"/>
      <c r="C584" s="12"/>
      <c r="D584" s="13"/>
      <c r="F584" s="14"/>
      <c r="G584" s="14"/>
      <c r="H584" s="14"/>
      <c r="I584" s="14"/>
      <c r="J584" s="14"/>
      <c r="K584" s="12"/>
    </row>
    <row r="585" ht="19.5" customHeight="1">
      <c r="A585" s="12"/>
      <c r="C585" s="12"/>
      <c r="D585" s="13"/>
      <c r="F585" s="14"/>
      <c r="G585" s="14"/>
      <c r="H585" s="14"/>
      <c r="I585" s="14"/>
      <c r="J585" s="14"/>
      <c r="K585" s="12"/>
    </row>
    <row r="586" ht="19.5" customHeight="1">
      <c r="A586" s="12"/>
      <c r="C586" s="12"/>
      <c r="D586" s="13"/>
      <c r="F586" s="14"/>
      <c r="G586" s="14"/>
      <c r="H586" s="14"/>
      <c r="I586" s="14"/>
      <c r="J586" s="14"/>
      <c r="K586" s="12"/>
    </row>
    <row r="587" ht="19.5" customHeight="1">
      <c r="A587" s="12"/>
      <c r="C587" s="12"/>
      <c r="D587" s="13"/>
      <c r="F587" s="14"/>
      <c r="G587" s="14"/>
      <c r="H587" s="14"/>
      <c r="I587" s="14"/>
      <c r="J587" s="14"/>
      <c r="K587" s="12"/>
    </row>
    <row r="588" ht="19.5" customHeight="1">
      <c r="A588" s="12"/>
      <c r="C588" s="12"/>
      <c r="D588" s="13"/>
      <c r="F588" s="14"/>
      <c r="G588" s="14"/>
      <c r="H588" s="14"/>
      <c r="I588" s="14"/>
      <c r="J588" s="14"/>
      <c r="K588" s="12"/>
    </row>
    <row r="589" ht="19.5" customHeight="1">
      <c r="A589" s="12"/>
      <c r="C589" s="12"/>
      <c r="D589" s="13"/>
      <c r="F589" s="14"/>
      <c r="G589" s="14"/>
      <c r="H589" s="14"/>
      <c r="I589" s="14"/>
      <c r="J589" s="14"/>
      <c r="K589" s="12"/>
    </row>
    <row r="590" ht="19.5" customHeight="1">
      <c r="A590" s="12"/>
      <c r="C590" s="12"/>
      <c r="D590" s="13"/>
      <c r="F590" s="14"/>
      <c r="G590" s="14"/>
      <c r="H590" s="14"/>
      <c r="I590" s="14"/>
      <c r="J590" s="14"/>
      <c r="K590" s="12"/>
    </row>
    <row r="591" ht="19.5" customHeight="1">
      <c r="A591" s="12"/>
      <c r="C591" s="12"/>
      <c r="D591" s="13"/>
      <c r="F591" s="14"/>
      <c r="G591" s="14"/>
      <c r="H591" s="14"/>
      <c r="I591" s="14"/>
      <c r="J591" s="14"/>
      <c r="K591" s="12"/>
    </row>
    <row r="592" ht="19.5" customHeight="1">
      <c r="A592" s="12"/>
      <c r="C592" s="12"/>
      <c r="D592" s="13"/>
      <c r="F592" s="14"/>
      <c r="G592" s="14"/>
      <c r="H592" s="14"/>
      <c r="I592" s="14"/>
      <c r="J592" s="14"/>
      <c r="K592" s="12"/>
    </row>
    <row r="593" ht="19.5" customHeight="1">
      <c r="A593" s="12"/>
      <c r="C593" s="12"/>
      <c r="D593" s="13"/>
      <c r="F593" s="14"/>
      <c r="G593" s="14"/>
      <c r="H593" s="14"/>
      <c r="I593" s="14"/>
      <c r="J593" s="14"/>
      <c r="K593" s="12"/>
    </row>
    <row r="594" ht="19.5" customHeight="1">
      <c r="A594" s="12"/>
      <c r="C594" s="12"/>
      <c r="D594" s="13"/>
      <c r="F594" s="14"/>
      <c r="G594" s="14"/>
      <c r="H594" s="14"/>
      <c r="I594" s="14"/>
      <c r="J594" s="14"/>
      <c r="K594" s="12"/>
    </row>
    <row r="595" ht="19.5" customHeight="1">
      <c r="A595" s="12"/>
      <c r="C595" s="12"/>
      <c r="D595" s="13"/>
      <c r="F595" s="14"/>
      <c r="G595" s="14"/>
      <c r="H595" s="14"/>
      <c r="I595" s="14"/>
      <c r="J595" s="14"/>
      <c r="K595" s="12"/>
    </row>
    <row r="596" ht="19.5" customHeight="1">
      <c r="A596" s="12"/>
      <c r="C596" s="12"/>
      <c r="D596" s="13"/>
      <c r="F596" s="14"/>
      <c r="G596" s="14"/>
      <c r="H596" s="14"/>
      <c r="I596" s="14"/>
      <c r="J596" s="14"/>
      <c r="K596" s="12"/>
    </row>
    <row r="597" ht="19.5" customHeight="1">
      <c r="A597" s="12"/>
      <c r="C597" s="12"/>
      <c r="D597" s="13"/>
      <c r="F597" s="14"/>
      <c r="G597" s="14"/>
      <c r="H597" s="14"/>
      <c r="I597" s="14"/>
      <c r="J597" s="14"/>
      <c r="K597" s="12"/>
    </row>
    <row r="598" ht="19.5" customHeight="1">
      <c r="A598" s="12"/>
      <c r="C598" s="12"/>
      <c r="D598" s="13"/>
      <c r="F598" s="14"/>
      <c r="G598" s="14"/>
      <c r="H598" s="14"/>
      <c r="I598" s="14"/>
      <c r="J598" s="14"/>
      <c r="K598" s="12"/>
    </row>
    <row r="599" ht="19.5" customHeight="1">
      <c r="A599" s="12"/>
      <c r="C599" s="12"/>
      <c r="D599" s="13"/>
      <c r="F599" s="14"/>
      <c r="G599" s="14"/>
      <c r="H599" s="14"/>
      <c r="I599" s="14"/>
      <c r="J599" s="14"/>
      <c r="K599" s="12"/>
    </row>
    <row r="600" ht="19.5" customHeight="1">
      <c r="A600" s="12"/>
      <c r="C600" s="12"/>
      <c r="D600" s="13"/>
      <c r="F600" s="14"/>
      <c r="G600" s="14"/>
      <c r="H600" s="14"/>
      <c r="I600" s="14"/>
      <c r="J600" s="14"/>
      <c r="K600" s="12"/>
    </row>
    <row r="601" ht="19.5" customHeight="1">
      <c r="A601" s="12"/>
      <c r="C601" s="12"/>
      <c r="D601" s="13"/>
      <c r="F601" s="14"/>
      <c r="G601" s="14"/>
      <c r="H601" s="14"/>
      <c r="I601" s="14"/>
      <c r="J601" s="14"/>
      <c r="K601" s="12"/>
    </row>
    <row r="602" ht="19.5" customHeight="1">
      <c r="A602" s="12"/>
      <c r="C602" s="12"/>
      <c r="D602" s="13"/>
      <c r="F602" s="14"/>
      <c r="G602" s="14"/>
      <c r="H602" s="14"/>
      <c r="I602" s="14"/>
      <c r="J602" s="14"/>
      <c r="K602" s="12"/>
    </row>
    <row r="603" ht="19.5" customHeight="1">
      <c r="A603" s="12"/>
      <c r="C603" s="12"/>
      <c r="D603" s="13"/>
      <c r="F603" s="14"/>
      <c r="G603" s="14"/>
      <c r="H603" s="14"/>
      <c r="I603" s="14"/>
      <c r="J603" s="14"/>
      <c r="K603" s="12"/>
    </row>
    <row r="604" ht="19.5" customHeight="1">
      <c r="A604" s="12"/>
      <c r="C604" s="12"/>
      <c r="D604" s="13"/>
      <c r="F604" s="14"/>
      <c r="G604" s="14"/>
      <c r="H604" s="14"/>
      <c r="I604" s="14"/>
      <c r="J604" s="14"/>
      <c r="K604" s="12"/>
    </row>
    <row r="605" ht="19.5" customHeight="1">
      <c r="A605" s="12"/>
      <c r="C605" s="12"/>
      <c r="D605" s="13"/>
      <c r="F605" s="14"/>
      <c r="G605" s="14"/>
      <c r="H605" s="14"/>
      <c r="I605" s="14"/>
      <c r="J605" s="14"/>
      <c r="K605" s="12"/>
    </row>
    <row r="606" ht="19.5" customHeight="1">
      <c r="A606" s="12"/>
      <c r="C606" s="12"/>
      <c r="D606" s="13"/>
      <c r="F606" s="14"/>
      <c r="G606" s="14"/>
      <c r="H606" s="14"/>
      <c r="I606" s="14"/>
      <c r="J606" s="14"/>
      <c r="K606" s="12"/>
    </row>
    <row r="607" ht="19.5" customHeight="1">
      <c r="A607" s="12"/>
      <c r="C607" s="12"/>
      <c r="D607" s="13"/>
      <c r="F607" s="14"/>
      <c r="G607" s="14"/>
      <c r="H607" s="14"/>
      <c r="I607" s="14"/>
      <c r="J607" s="14"/>
      <c r="K607" s="12"/>
    </row>
    <row r="608" ht="19.5" customHeight="1">
      <c r="A608" s="12"/>
      <c r="C608" s="12"/>
      <c r="D608" s="13"/>
      <c r="F608" s="14"/>
      <c r="G608" s="14"/>
      <c r="H608" s="14"/>
      <c r="I608" s="14"/>
      <c r="J608" s="14"/>
      <c r="K608" s="12"/>
    </row>
    <row r="609" ht="19.5" customHeight="1">
      <c r="A609" s="12"/>
      <c r="C609" s="12"/>
      <c r="D609" s="13"/>
      <c r="F609" s="14"/>
      <c r="G609" s="14"/>
      <c r="H609" s="14"/>
      <c r="I609" s="14"/>
      <c r="J609" s="14"/>
      <c r="K609" s="12"/>
    </row>
    <row r="610" ht="19.5" customHeight="1">
      <c r="A610" s="12"/>
      <c r="C610" s="12"/>
      <c r="D610" s="13"/>
      <c r="F610" s="14"/>
      <c r="G610" s="14"/>
      <c r="H610" s="14"/>
      <c r="I610" s="14"/>
      <c r="J610" s="14"/>
      <c r="K610" s="12"/>
    </row>
    <row r="611" ht="19.5" customHeight="1">
      <c r="A611" s="12"/>
      <c r="C611" s="12"/>
      <c r="D611" s="13"/>
      <c r="F611" s="14"/>
      <c r="G611" s="14"/>
      <c r="H611" s="14"/>
      <c r="I611" s="14"/>
      <c r="J611" s="14"/>
      <c r="K611" s="12"/>
    </row>
    <row r="612" ht="19.5" customHeight="1">
      <c r="A612" s="12"/>
      <c r="C612" s="12"/>
      <c r="D612" s="13"/>
      <c r="F612" s="14"/>
      <c r="G612" s="14"/>
      <c r="H612" s="14"/>
      <c r="I612" s="14"/>
      <c r="J612" s="14"/>
      <c r="K612" s="12"/>
    </row>
    <row r="613" ht="19.5" customHeight="1">
      <c r="A613" s="12"/>
      <c r="C613" s="12"/>
      <c r="D613" s="13"/>
      <c r="F613" s="14"/>
      <c r="G613" s="14"/>
      <c r="H613" s="14"/>
      <c r="I613" s="14"/>
      <c r="J613" s="14"/>
      <c r="K613" s="12"/>
    </row>
    <row r="614" ht="19.5" customHeight="1">
      <c r="A614" s="12"/>
      <c r="C614" s="12"/>
      <c r="D614" s="13"/>
      <c r="F614" s="14"/>
      <c r="G614" s="14"/>
      <c r="H614" s="14"/>
      <c r="I614" s="14"/>
      <c r="J614" s="14"/>
      <c r="K614" s="12"/>
    </row>
    <row r="615" ht="19.5" customHeight="1">
      <c r="A615" s="12"/>
      <c r="C615" s="12"/>
      <c r="D615" s="13"/>
      <c r="F615" s="14"/>
      <c r="G615" s="14"/>
      <c r="H615" s="14"/>
      <c r="I615" s="14"/>
      <c r="J615" s="14"/>
      <c r="K615" s="12"/>
    </row>
    <row r="616" ht="19.5" customHeight="1">
      <c r="A616" s="12"/>
      <c r="C616" s="12"/>
      <c r="D616" s="13"/>
      <c r="F616" s="14"/>
      <c r="G616" s="14"/>
      <c r="H616" s="14"/>
      <c r="I616" s="14"/>
      <c r="J616" s="14"/>
      <c r="K616" s="12"/>
    </row>
    <row r="617" ht="19.5" customHeight="1">
      <c r="A617" s="12"/>
      <c r="C617" s="12"/>
      <c r="D617" s="13"/>
      <c r="F617" s="14"/>
      <c r="G617" s="14"/>
      <c r="H617" s="14"/>
      <c r="I617" s="14"/>
      <c r="J617" s="14"/>
      <c r="K617" s="12"/>
    </row>
    <row r="618" ht="19.5" customHeight="1">
      <c r="A618" s="12"/>
      <c r="C618" s="12"/>
      <c r="D618" s="13"/>
      <c r="F618" s="14"/>
      <c r="G618" s="14"/>
      <c r="H618" s="14"/>
      <c r="I618" s="14"/>
      <c r="J618" s="14"/>
      <c r="K618" s="12"/>
    </row>
    <row r="619" ht="19.5" customHeight="1">
      <c r="A619" s="12"/>
      <c r="C619" s="12"/>
      <c r="D619" s="13"/>
      <c r="F619" s="14"/>
      <c r="G619" s="14"/>
      <c r="H619" s="14"/>
      <c r="I619" s="14"/>
      <c r="J619" s="14"/>
      <c r="K619" s="12"/>
    </row>
    <row r="620" ht="19.5" customHeight="1">
      <c r="A620" s="12"/>
      <c r="C620" s="12"/>
      <c r="D620" s="13"/>
      <c r="F620" s="14"/>
      <c r="G620" s="14"/>
      <c r="H620" s="14"/>
      <c r="I620" s="14"/>
      <c r="J620" s="14"/>
      <c r="K620" s="12"/>
    </row>
    <row r="621" ht="19.5" customHeight="1">
      <c r="A621" s="12"/>
      <c r="C621" s="12"/>
      <c r="D621" s="13"/>
      <c r="F621" s="14"/>
      <c r="G621" s="14"/>
      <c r="H621" s="14"/>
      <c r="I621" s="14"/>
      <c r="J621" s="14"/>
      <c r="K621" s="12"/>
    </row>
    <row r="622" ht="19.5" customHeight="1">
      <c r="A622" s="12"/>
      <c r="C622" s="12"/>
      <c r="D622" s="13"/>
      <c r="F622" s="14"/>
      <c r="G622" s="14"/>
      <c r="H622" s="14"/>
      <c r="I622" s="14"/>
      <c r="J622" s="14"/>
      <c r="K622" s="12"/>
    </row>
    <row r="623" ht="19.5" customHeight="1">
      <c r="A623" s="12"/>
      <c r="C623" s="12"/>
      <c r="D623" s="13"/>
      <c r="F623" s="14"/>
      <c r="G623" s="14"/>
      <c r="H623" s="14"/>
      <c r="I623" s="14"/>
      <c r="J623" s="14"/>
      <c r="K623" s="12"/>
    </row>
    <row r="624" ht="19.5" customHeight="1">
      <c r="A624" s="12"/>
      <c r="C624" s="12"/>
      <c r="D624" s="13"/>
      <c r="F624" s="14"/>
      <c r="G624" s="14"/>
      <c r="H624" s="14"/>
      <c r="I624" s="14"/>
      <c r="J624" s="14"/>
      <c r="K624" s="12"/>
    </row>
    <row r="625" ht="19.5" customHeight="1">
      <c r="A625" s="12"/>
      <c r="C625" s="12"/>
      <c r="D625" s="13"/>
      <c r="F625" s="14"/>
      <c r="G625" s="14"/>
      <c r="H625" s="14"/>
      <c r="I625" s="14"/>
      <c r="J625" s="14"/>
      <c r="K625" s="12"/>
    </row>
    <row r="626" ht="19.5" customHeight="1">
      <c r="A626" s="12"/>
      <c r="C626" s="12"/>
      <c r="D626" s="13"/>
      <c r="F626" s="14"/>
      <c r="G626" s="14"/>
      <c r="H626" s="14"/>
      <c r="I626" s="14"/>
      <c r="J626" s="14"/>
      <c r="K626" s="12"/>
    </row>
    <row r="627" ht="19.5" customHeight="1">
      <c r="A627" s="12"/>
      <c r="C627" s="12"/>
      <c r="D627" s="13"/>
      <c r="F627" s="14"/>
      <c r="G627" s="14"/>
      <c r="H627" s="14"/>
      <c r="I627" s="14"/>
      <c r="J627" s="14"/>
      <c r="K627" s="12"/>
    </row>
    <row r="628" ht="19.5" customHeight="1">
      <c r="A628" s="12"/>
      <c r="C628" s="12"/>
      <c r="D628" s="13"/>
      <c r="F628" s="14"/>
      <c r="G628" s="14"/>
      <c r="H628" s="14"/>
      <c r="I628" s="14"/>
      <c r="J628" s="14"/>
      <c r="K628" s="12"/>
    </row>
    <row r="629" ht="19.5" customHeight="1">
      <c r="A629" s="12"/>
      <c r="C629" s="12"/>
      <c r="D629" s="13"/>
      <c r="F629" s="14"/>
      <c r="G629" s="14"/>
      <c r="H629" s="14"/>
      <c r="I629" s="14"/>
      <c r="J629" s="14"/>
      <c r="K629" s="12"/>
    </row>
    <row r="630" ht="19.5" customHeight="1">
      <c r="A630" s="12"/>
      <c r="C630" s="12"/>
      <c r="D630" s="13"/>
      <c r="F630" s="14"/>
      <c r="G630" s="14"/>
      <c r="H630" s="14"/>
      <c r="I630" s="14"/>
      <c r="J630" s="14"/>
      <c r="K630" s="12"/>
    </row>
    <row r="631" ht="19.5" customHeight="1">
      <c r="A631" s="12"/>
      <c r="C631" s="12"/>
      <c r="D631" s="13"/>
      <c r="F631" s="14"/>
      <c r="G631" s="14"/>
      <c r="H631" s="14"/>
      <c r="I631" s="14"/>
      <c r="J631" s="14"/>
      <c r="K631" s="12"/>
    </row>
    <row r="632" ht="19.5" customHeight="1">
      <c r="A632" s="12"/>
      <c r="C632" s="12"/>
      <c r="D632" s="13"/>
      <c r="F632" s="14"/>
      <c r="G632" s="14"/>
      <c r="H632" s="14"/>
      <c r="I632" s="14"/>
      <c r="J632" s="14"/>
      <c r="K632" s="12"/>
    </row>
    <row r="633" ht="19.5" customHeight="1">
      <c r="A633" s="12"/>
      <c r="C633" s="12"/>
      <c r="D633" s="13"/>
      <c r="F633" s="14"/>
      <c r="G633" s="14"/>
      <c r="H633" s="14"/>
      <c r="I633" s="14"/>
      <c r="J633" s="14"/>
      <c r="K633" s="12"/>
    </row>
    <row r="634" ht="19.5" customHeight="1">
      <c r="A634" s="12"/>
      <c r="C634" s="12"/>
      <c r="D634" s="13"/>
      <c r="F634" s="14"/>
      <c r="G634" s="14"/>
      <c r="H634" s="14"/>
      <c r="I634" s="14"/>
      <c r="J634" s="14"/>
      <c r="K634" s="12"/>
    </row>
    <row r="635" ht="19.5" customHeight="1">
      <c r="A635" s="12"/>
      <c r="C635" s="12"/>
      <c r="D635" s="13"/>
      <c r="F635" s="14"/>
      <c r="G635" s="14"/>
      <c r="H635" s="14"/>
      <c r="I635" s="14"/>
      <c r="J635" s="14"/>
      <c r="K635" s="12"/>
    </row>
    <row r="636" ht="19.5" customHeight="1">
      <c r="A636" s="12"/>
      <c r="C636" s="12"/>
      <c r="D636" s="13"/>
      <c r="F636" s="14"/>
      <c r="G636" s="14"/>
      <c r="H636" s="14"/>
      <c r="I636" s="14"/>
      <c r="J636" s="14"/>
      <c r="K636" s="12"/>
    </row>
    <row r="637" ht="19.5" customHeight="1">
      <c r="A637" s="12"/>
      <c r="C637" s="12"/>
      <c r="D637" s="13"/>
      <c r="F637" s="14"/>
      <c r="G637" s="14"/>
      <c r="H637" s="14"/>
      <c r="I637" s="14"/>
      <c r="J637" s="14"/>
      <c r="K637" s="12"/>
    </row>
    <row r="638" ht="19.5" customHeight="1">
      <c r="A638" s="12"/>
      <c r="C638" s="12"/>
      <c r="D638" s="13"/>
      <c r="F638" s="14"/>
      <c r="G638" s="14"/>
      <c r="H638" s="14"/>
      <c r="I638" s="14"/>
      <c r="J638" s="14"/>
      <c r="K638" s="12"/>
    </row>
    <row r="639" ht="19.5" customHeight="1">
      <c r="A639" s="12"/>
      <c r="C639" s="12"/>
      <c r="D639" s="13"/>
      <c r="F639" s="14"/>
      <c r="G639" s="14"/>
      <c r="H639" s="14"/>
      <c r="I639" s="14"/>
      <c r="J639" s="14"/>
      <c r="K639" s="12"/>
    </row>
    <row r="640" ht="19.5" customHeight="1">
      <c r="A640" s="12"/>
      <c r="C640" s="12"/>
      <c r="D640" s="13"/>
      <c r="F640" s="14"/>
      <c r="G640" s="14"/>
      <c r="H640" s="14"/>
      <c r="I640" s="14"/>
      <c r="J640" s="14"/>
      <c r="K640" s="12"/>
    </row>
    <row r="641" ht="19.5" customHeight="1">
      <c r="A641" s="12"/>
      <c r="C641" s="12"/>
      <c r="D641" s="13"/>
      <c r="F641" s="14"/>
      <c r="G641" s="14"/>
      <c r="H641" s="14"/>
      <c r="I641" s="14"/>
      <c r="J641" s="14"/>
      <c r="K641" s="12"/>
    </row>
    <row r="642" ht="19.5" customHeight="1">
      <c r="A642" s="12"/>
      <c r="C642" s="12"/>
      <c r="D642" s="13"/>
      <c r="F642" s="14"/>
      <c r="G642" s="14"/>
      <c r="H642" s="14"/>
      <c r="I642" s="14"/>
      <c r="J642" s="14"/>
      <c r="K642" s="12"/>
    </row>
    <row r="643" ht="19.5" customHeight="1">
      <c r="A643" s="12"/>
      <c r="C643" s="12"/>
      <c r="D643" s="13"/>
      <c r="F643" s="14"/>
      <c r="G643" s="14"/>
      <c r="H643" s="14"/>
      <c r="I643" s="14"/>
      <c r="J643" s="14"/>
      <c r="K643" s="12"/>
    </row>
    <row r="644" ht="19.5" customHeight="1">
      <c r="A644" s="12"/>
      <c r="C644" s="12"/>
      <c r="D644" s="13"/>
      <c r="F644" s="14"/>
      <c r="G644" s="14"/>
      <c r="H644" s="14"/>
      <c r="I644" s="14"/>
      <c r="J644" s="14"/>
      <c r="K644" s="12"/>
    </row>
    <row r="645" ht="19.5" customHeight="1">
      <c r="A645" s="12"/>
      <c r="C645" s="12"/>
      <c r="D645" s="13"/>
      <c r="F645" s="14"/>
      <c r="G645" s="14"/>
      <c r="H645" s="14"/>
      <c r="I645" s="14"/>
      <c r="J645" s="14"/>
      <c r="K645" s="12"/>
    </row>
    <row r="646" ht="19.5" customHeight="1">
      <c r="A646" s="12"/>
      <c r="C646" s="12"/>
      <c r="D646" s="13"/>
      <c r="F646" s="14"/>
      <c r="G646" s="14"/>
      <c r="H646" s="14"/>
      <c r="I646" s="14"/>
      <c r="J646" s="14"/>
      <c r="K646" s="12"/>
    </row>
    <row r="647" ht="19.5" customHeight="1">
      <c r="A647" s="12"/>
      <c r="C647" s="12"/>
      <c r="D647" s="13"/>
      <c r="F647" s="14"/>
      <c r="G647" s="14"/>
      <c r="H647" s="14"/>
      <c r="I647" s="14"/>
      <c r="J647" s="14"/>
      <c r="K647" s="12"/>
    </row>
    <row r="648" ht="19.5" customHeight="1">
      <c r="A648" s="12"/>
      <c r="C648" s="12"/>
      <c r="D648" s="13"/>
      <c r="F648" s="14"/>
      <c r="G648" s="14"/>
      <c r="H648" s="14"/>
      <c r="I648" s="14"/>
      <c r="J648" s="14"/>
      <c r="K648" s="12"/>
    </row>
    <row r="649" ht="19.5" customHeight="1">
      <c r="A649" s="12"/>
      <c r="C649" s="12"/>
      <c r="D649" s="13"/>
      <c r="F649" s="14"/>
      <c r="G649" s="14"/>
      <c r="H649" s="14"/>
      <c r="I649" s="14"/>
      <c r="J649" s="14"/>
      <c r="K649" s="12"/>
    </row>
    <row r="650" ht="19.5" customHeight="1">
      <c r="A650" s="12"/>
      <c r="C650" s="12"/>
      <c r="D650" s="13"/>
      <c r="F650" s="14"/>
      <c r="G650" s="14"/>
      <c r="H650" s="14"/>
      <c r="I650" s="14"/>
      <c r="J650" s="14"/>
      <c r="K650" s="12"/>
    </row>
    <row r="651" ht="19.5" customHeight="1">
      <c r="A651" s="12"/>
      <c r="C651" s="12"/>
      <c r="D651" s="13"/>
      <c r="F651" s="14"/>
      <c r="G651" s="14"/>
      <c r="H651" s="14"/>
      <c r="I651" s="14"/>
      <c r="J651" s="14"/>
      <c r="K651" s="12"/>
    </row>
    <row r="652" ht="19.5" customHeight="1">
      <c r="A652" s="12"/>
      <c r="C652" s="12"/>
      <c r="D652" s="13"/>
      <c r="F652" s="14"/>
      <c r="G652" s="14"/>
      <c r="H652" s="14"/>
      <c r="I652" s="14"/>
      <c r="J652" s="14"/>
      <c r="K652" s="12"/>
    </row>
    <row r="653" ht="19.5" customHeight="1">
      <c r="A653" s="12"/>
      <c r="C653" s="12"/>
      <c r="D653" s="13"/>
      <c r="F653" s="14"/>
      <c r="G653" s="14"/>
      <c r="H653" s="14"/>
      <c r="I653" s="14"/>
      <c r="J653" s="14"/>
      <c r="K653" s="12"/>
    </row>
    <row r="654" ht="19.5" customHeight="1">
      <c r="A654" s="12"/>
      <c r="C654" s="12"/>
      <c r="D654" s="13"/>
      <c r="F654" s="14"/>
      <c r="G654" s="14"/>
      <c r="H654" s="14"/>
      <c r="I654" s="14"/>
      <c r="J654" s="14"/>
      <c r="K654" s="12"/>
    </row>
    <row r="655" ht="19.5" customHeight="1">
      <c r="A655" s="12"/>
      <c r="C655" s="12"/>
      <c r="D655" s="13"/>
      <c r="F655" s="14"/>
      <c r="G655" s="14"/>
      <c r="H655" s="14"/>
      <c r="I655" s="14"/>
      <c r="J655" s="14"/>
      <c r="K655" s="12"/>
    </row>
    <row r="656" ht="19.5" customHeight="1">
      <c r="A656" s="12"/>
      <c r="C656" s="12"/>
      <c r="D656" s="13"/>
      <c r="F656" s="14"/>
      <c r="G656" s="14"/>
      <c r="H656" s="14"/>
      <c r="I656" s="14"/>
      <c r="J656" s="14"/>
      <c r="K656" s="12"/>
    </row>
    <row r="657" ht="19.5" customHeight="1">
      <c r="A657" s="12"/>
      <c r="C657" s="12"/>
      <c r="D657" s="13"/>
      <c r="F657" s="14"/>
      <c r="G657" s="14"/>
      <c r="H657" s="14"/>
      <c r="I657" s="14"/>
      <c r="J657" s="14"/>
      <c r="K657" s="12"/>
    </row>
    <row r="658" ht="19.5" customHeight="1">
      <c r="A658" s="12"/>
      <c r="C658" s="12"/>
      <c r="D658" s="13"/>
      <c r="F658" s="14"/>
      <c r="G658" s="14"/>
      <c r="H658" s="14"/>
      <c r="I658" s="14"/>
      <c r="J658" s="14"/>
      <c r="K658" s="12"/>
    </row>
    <row r="659" ht="19.5" customHeight="1">
      <c r="A659" s="12"/>
      <c r="C659" s="12"/>
      <c r="D659" s="13"/>
      <c r="F659" s="14"/>
      <c r="G659" s="14"/>
      <c r="H659" s="14"/>
      <c r="I659" s="14"/>
      <c r="J659" s="14"/>
      <c r="K659" s="12"/>
    </row>
    <row r="660" ht="19.5" customHeight="1">
      <c r="A660" s="12"/>
      <c r="C660" s="12"/>
      <c r="D660" s="13"/>
      <c r="F660" s="14"/>
      <c r="G660" s="14"/>
      <c r="H660" s="14"/>
      <c r="I660" s="14"/>
      <c r="J660" s="14"/>
      <c r="K660" s="12"/>
    </row>
    <row r="661" ht="19.5" customHeight="1">
      <c r="A661" s="12"/>
      <c r="C661" s="12"/>
      <c r="D661" s="13"/>
      <c r="F661" s="14"/>
      <c r="G661" s="14"/>
      <c r="H661" s="14"/>
      <c r="I661" s="14"/>
      <c r="J661" s="14"/>
      <c r="K661" s="12"/>
    </row>
    <row r="662" ht="19.5" customHeight="1">
      <c r="A662" s="12"/>
      <c r="C662" s="12"/>
      <c r="D662" s="13"/>
      <c r="F662" s="14"/>
      <c r="G662" s="14"/>
      <c r="H662" s="14"/>
      <c r="I662" s="14"/>
      <c r="J662" s="14"/>
      <c r="K662" s="12"/>
    </row>
    <row r="663" ht="19.5" customHeight="1">
      <c r="A663" s="12"/>
      <c r="C663" s="12"/>
      <c r="D663" s="13"/>
      <c r="F663" s="14"/>
      <c r="G663" s="14"/>
      <c r="H663" s="14"/>
      <c r="I663" s="14"/>
      <c r="J663" s="14"/>
      <c r="K663" s="12"/>
    </row>
    <row r="664" ht="19.5" customHeight="1">
      <c r="A664" s="12"/>
      <c r="C664" s="12"/>
      <c r="D664" s="13"/>
      <c r="F664" s="14"/>
      <c r="G664" s="14"/>
      <c r="H664" s="14"/>
      <c r="I664" s="14"/>
      <c r="J664" s="14"/>
      <c r="K664" s="12"/>
    </row>
    <row r="665" ht="19.5" customHeight="1">
      <c r="A665" s="12"/>
      <c r="C665" s="12"/>
      <c r="D665" s="13"/>
      <c r="F665" s="14"/>
      <c r="G665" s="14"/>
      <c r="H665" s="14"/>
      <c r="I665" s="14"/>
      <c r="J665" s="14"/>
      <c r="K665" s="12"/>
    </row>
    <row r="666" ht="19.5" customHeight="1">
      <c r="A666" s="12"/>
      <c r="C666" s="12"/>
      <c r="D666" s="13"/>
      <c r="F666" s="14"/>
      <c r="G666" s="14"/>
      <c r="H666" s="14"/>
      <c r="I666" s="14"/>
      <c r="J666" s="14"/>
      <c r="K666" s="12"/>
    </row>
    <row r="667" ht="19.5" customHeight="1">
      <c r="A667" s="12"/>
      <c r="C667" s="12"/>
      <c r="D667" s="13"/>
      <c r="F667" s="14"/>
      <c r="G667" s="14"/>
      <c r="H667" s="14"/>
      <c r="I667" s="14"/>
      <c r="J667" s="14"/>
      <c r="K667" s="12"/>
    </row>
    <row r="668" ht="19.5" customHeight="1">
      <c r="A668" s="12"/>
      <c r="C668" s="12"/>
      <c r="D668" s="13"/>
      <c r="F668" s="14"/>
      <c r="G668" s="14"/>
      <c r="H668" s="14"/>
      <c r="I668" s="14"/>
      <c r="J668" s="14"/>
      <c r="K668" s="12"/>
    </row>
    <row r="669" ht="19.5" customHeight="1">
      <c r="A669" s="12"/>
      <c r="C669" s="12"/>
      <c r="D669" s="13"/>
      <c r="F669" s="14"/>
      <c r="G669" s="14"/>
      <c r="H669" s="14"/>
      <c r="I669" s="14"/>
      <c r="J669" s="14"/>
      <c r="K669" s="12"/>
    </row>
    <row r="670" ht="19.5" customHeight="1">
      <c r="A670" s="12"/>
      <c r="C670" s="12"/>
      <c r="D670" s="13"/>
      <c r="F670" s="14"/>
      <c r="G670" s="14"/>
      <c r="H670" s="14"/>
      <c r="I670" s="14"/>
      <c r="J670" s="14"/>
      <c r="K670" s="12"/>
    </row>
    <row r="671" ht="19.5" customHeight="1">
      <c r="A671" s="12"/>
      <c r="C671" s="12"/>
      <c r="D671" s="13"/>
      <c r="F671" s="14"/>
      <c r="G671" s="14"/>
      <c r="H671" s="14"/>
      <c r="I671" s="14"/>
      <c r="J671" s="14"/>
      <c r="K671" s="12"/>
    </row>
    <row r="672" ht="19.5" customHeight="1">
      <c r="A672" s="12"/>
      <c r="C672" s="12"/>
      <c r="D672" s="13"/>
      <c r="F672" s="14"/>
      <c r="G672" s="14"/>
      <c r="H672" s="14"/>
      <c r="I672" s="14"/>
      <c r="J672" s="14"/>
      <c r="K672" s="12"/>
    </row>
    <row r="673" ht="19.5" customHeight="1">
      <c r="A673" s="12"/>
      <c r="C673" s="12"/>
      <c r="D673" s="13"/>
      <c r="F673" s="14"/>
      <c r="G673" s="14"/>
      <c r="H673" s="14"/>
      <c r="I673" s="14"/>
      <c r="J673" s="14"/>
      <c r="K673" s="12"/>
    </row>
    <row r="674" ht="19.5" customHeight="1">
      <c r="A674" s="12"/>
      <c r="C674" s="12"/>
      <c r="D674" s="13"/>
      <c r="F674" s="14"/>
      <c r="G674" s="14"/>
      <c r="H674" s="14"/>
      <c r="I674" s="14"/>
      <c r="J674" s="14"/>
      <c r="K674" s="12"/>
    </row>
    <row r="675" ht="19.5" customHeight="1">
      <c r="A675" s="12"/>
      <c r="C675" s="12"/>
      <c r="D675" s="13"/>
      <c r="F675" s="14"/>
      <c r="G675" s="14"/>
      <c r="H675" s="14"/>
      <c r="I675" s="14"/>
      <c r="J675" s="14"/>
      <c r="K675" s="12"/>
    </row>
    <row r="676" ht="19.5" customHeight="1">
      <c r="A676" s="12"/>
      <c r="C676" s="12"/>
      <c r="D676" s="13"/>
      <c r="F676" s="14"/>
      <c r="G676" s="14"/>
      <c r="H676" s="14"/>
      <c r="I676" s="14"/>
      <c r="J676" s="14"/>
      <c r="K676" s="12"/>
    </row>
    <row r="677" ht="19.5" customHeight="1">
      <c r="A677" s="12"/>
      <c r="C677" s="12"/>
      <c r="D677" s="13"/>
      <c r="F677" s="14"/>
      <c r="G677" s="14"/>
      <c r="H677" s="14"/>
      <c r="I677" s="14"/>
      <c r="J677" s="14"/>
      <c r="K677" s="12"/>
    </row>
    <row r="678" ht="19.5" customHeight="1">
      <c r="A678" s="12"/>
      <c r="C678" s="12"/>
      <c r="D678" s="13"/>
      <c r="F678" s="14"/>
      <c r="G678" s="14"/>
      <c r="H678" s="14"/>
      <c r="I678" s="14"/>
      <c r="J678" s="14"/>
      <c r="K678" s="12"/>
    </row>
    <row r="679" ht="19.5" customHeight="1">
      <c r="A679" s="12"/>
      <c r="C679" s="12"/>
      <c r="D679" s="13"/>
      <c r="F679" s="14"/>
      <c r="G679" s="14"/>
      <c r="H679" s="14"/>
      <c r="I679" s="14"/>
      <c r="J679" s="14"/>
      <c r="K679" s="12"/>
    </row>
    <row r="680" ht="19.5" customHeight="1">
      <c r="A680" s="12"/>
      <c r="C680" s="12"/>
      <c r="D680" s="13"/>
      <c r="F680" s="14"/>
      <c r="G680" s="14"/>
      <c r="H680" s="14"/>
      <c r="I680" s="14"/>
      <c r="J680" s="14"/>
      <c r="K680" s="12"/>
    </row>
    <row r="681" ht="19.5" customHeight="1">
      <c r="A681" s="12"/>
      <c r="C681" s="12"/>
      <c r="D681" s="13"/>
      <c r="F681" s="14"/>
      <c r="G681" s="14"/>
      <c r="H681" s="14"/>
      <c r="I681" s="14"/>
      <c r="J681" s="14"/>
      <c r="K681" s="12"/>
    </row>
    <row r="682" ht="19.5" customHeight="1">
      <c r="A682" s="12"/>
      <c r="C682" s="12"/>
      <c r="D682" s="13"/>
      <c r="F682" s="14"/>
      <c r="G682" s="14"/>
      <c r="H682" s="14"/>
      <c r="I682" s="14"/>
      <c r="J682" s="14"/>
      <c r="K682" s="12"/>
    </row>
    <row r="683" ht="19.5" customHeight="1">
      <c r="A683" s="12"/>
      <c r="C683" s="12"/>
      <c r="D683" s="13"/>
      <c r="F683" s="14"/>
      <c r="G683" s="14"/>
      <c r="H683" s="14"/>
      <c r="I683" s="14"/>
      <c r="J683" s="14"/>
      <c r="K683" s="12"/>
    </row>
    <row r="684" ht="19.5" customHeight="1">
      <c r="A684" s="12"/>
      <c r="C684" s="12"/>
      <c r="D684" s="13"/>
      <c r="F684" s="14"/>
      <c r="G684" s="14"/>
      <c r="H684" s="14"/>
      <c r="I684" s="14"/>
      <c r="J684" s="14"/>
      <c r="K684" s="12"/>
    </row>
    <row r="685" ht="19.5" customHeight="1">
      <c r="A685" s="12"/>
      <c r="C685" s="12"/>
      <c r="D685" s="13"/>
      <c r="F685" s="14"/>
      <c r="G685" s="14"/>
      <c r="H685" s="14"/>
      <c r="I685" s="14"/>
      <c r="J685" s="14"/>
      <c r="K685" s="12"/>
    </row>
    <row r="686" ht="19.5" customHeight="1">
      <c r="A686" s="12"/>
      <c r="C686" s="12"/>
      <c r="D686" s="13"/>
      <c r="F686" s="14"/>
      <c r="G686" s="14"/>
      <c r="H686" s="14"/>
      <c r="I686" s="14"/>
      <c r="J686" s="14"/>
      <c r="K686" s="12"/>
    </row>
    <row r="687" ht="19.5" customHeight="1">
      <c r="A687" s="12"/>
      <c r="C687" s="12"/>
      <c r="D687" s="13"/>
      <c r="F687" s="14"/>
      <c r="G687" s="14"/>
      <c r="H687" s="14"/>
      <c r="I687" s="14"/>
      <c r="J687" s="14"/>
      <c r="K687" s="12"/>
    </row>
    <row r="688" ht="19.5" customHeight="1">
      <c r="A688" s="12"/>
      <c r="C688" s="12"/>
      <c r="D688" s="13"/>
      <c r="F688" s="14"/>
      <c r="G688" s="14"/>
      <c r="H688" s="14"/>
      <c r="I688" s="14"/>
      <c r="J688" s="14"/>
      <c r="K688" s="12"/>
    </row>
    <row r="689" ht="19.5" customHeight="1">
      <c r="A689" s="12"/>
      <c r="C689" s="12"/>
      <c r="D689" s="13"/>
      <c r="F689" s="14"/>
      <c r="G689" s="14"/>
      <c r="H689" s="14"/>
      <c r="I689" s="14"/>
      <c r="J689" s="14"/>
      <c r="K689" s="12"/>
    </row>
    <row r="690" ht="19.5" customHeight="1">
      <c r="A690" s="12"/>
      <c r="C690" s="12"/>
      <c r="D690" s="13"/>
      <c r="F690" s="14"/>
      <c r="G690" s="14"/>
      <c r="H690" s="14"/>
      <c r="I690" s="14"/>
      <c r="J690" s="14"/>
      <c r="K690" s="12"/>
    </row>
    <row r="691" ht="19.5" customHeight="1">
      <c r="A691" s="12"/>
      <c r="C691" s="12"/>
      <c r="D691" s="13"/>
      <c r="F691" s="14"/>
      <c r="G691" s="14"/>
      <c r="H691" s="14"/>
      <c r="I691" s="14"/>
      <c r="J691" s="14"/>
      <c r="K691" s="12"/>
    </row>
    <row r="692" ht="19.5" customHeight="1">
      <c r="A692" s="12"/>
      <c r="C692" s="12"/>
      <c r="D692" s="13"/>
      <c r="F692" s="14"/>
      <c r="G692" s="14"/>
      <c r="H692" s="14"/>
      <c r="I692" s="14"/>
      <c r="J692" s="14"/>
      <c r="K692" s="12"/>
    </row>
    <row r="693" ht="19.5" customHeight="1">
      <c r="A693" s="12"/>
      <c r="C693" s="12"/>
      <c r="D693" s="13"/>
      <c r="F693" s="14"/>
      <c r="G693" s="14"/>
      <c r="H693" s="14"/>
      <c r="I693" s="14"/>
      <c r="J693" s="14"/>
      <c r="K693" s="12"/>
    </row>
    <row r="694" ht="19.5" customHeight="1">
      <c r="A694" s="12"/>
      <c r="C694" s="12"/>
      <c r="D694" s="13"/>
      <c r="F694" s="14"/>
      <c r="G694" s="14"/>
      <c r="H694" s="14"/>
      <c r="I694" s="14"/>
      <c r="J694" s="14"/>
      <c r="K694" s="12"/>
    </row>
    <row r="695" ht="19.5" customHeight="1">
      <c r="A695" s="12"/>
      <c r="C695" s="12"/>
      <c r="D695" s="13"/>
      <c r="F695" s="14"/>
      <c r="G695" s="14"/>
      <c r="H695" s="14"/>
      <c r="I695" s="14"/>
      <c r="J695" s="14"/>
      <c r="K695" s="12"/>
    </row>
    <row r="696" ht="19.5" customHeight="1">
      <c r="A696" s="12"/>
      <c r="C696" s="12"/>
      <c r="D696" s="13"/>
      <c r="F696" s="14"/>
      <c r="G696" s="14"/>
      <c r="H696" s="14"/>
      <c r="I696" s="14"/>
      <c r="J696" s="14"/>
      <c r="K696" s="12"/>
    </row>
    <row r="697" ht="19.5" customHeight="1">
      <c r="A697" s="12"/>
      <c r="C697" s="12"/>
      <c r="D697" s="13"/>
      <c r="F697" s="14"/>
      <c r="G697" s="14"/>
      <c r="H697" s="14"/>
      <c r="I697" s="14"/>
      <c r="J697" s="14"/>
      <c r="K697" s="12"/>
    </row>
    <row r="698" ht="19.5" customHeight="1">
      <c r="A698" s="12"/>
      <c r="C698" s="12"/>
      <c r="D698" s="13"/>
      <c r="F698" s="14"/>
      <c r="G698" s="14"/>
      <c r="H698" s="14"/>
      <c r="I698" s="14"/>
      <c r="J698" s="14"/>
      <c r="K698" s="12"/>
    </row>
    <row r="699" ht="19.5" customHeight="1">
      <c r="A699" s="12"/>
      <c r="C699" s="12"/>
      <c r="D699" s="13"/>
      <c r="F699" s="14"/>
      <c r="G699" s="14"/>
      <c r="H699" s="14"/>
      <c r="I699" s="14"/>
      <c r="J699" s="14"/>
      <c r="K699" s="12"/>
    </row>
    <row r="700" ht="19.5" customHeight="1">
      <c r="A700" s="12"/>
      <c r="C700" s="12"/>
      <c r="D700" s="13"/>
      <c r="F700" s="14"/>
      <c r="G700" s="14"/>
      <c r="H700" s="14"/>
      <c r="I700" s="14"/>
      <c r="J700" s="14"/>
      <c r="K700" s="12"/>
    </row>
    <row r="701" ht="19.5" customHeight="1">
      <c r="A701" s="12"/>
      <c r="C701" s="12"/>
      <c r="D701" s="13"/>
      <c r="F701" s="14"/>
      <c r="G701" s="14"/>
      <c r="H701" s="14"/>
      <c r="I701" s="14"/>
      <c r="J701" s="14"/>
      <c r="K701" s="12"/>
    </row>
    <row r="702" ht="19.5" customHeight="1">
      <c r="A702" s="12"/>
      <c r="C702" s="12"/>
      <c r="D702" s="13"/>
      <c r="F702" s="14"/>
      <c r="G702" s="14"/>
      <c r="H702" s="14"/>
      <c r="I702" s="14"/>
      <c r="J702" s="14"/>
      <c r="K702" s="12"/>
    </row>
    <row r="703" ht="19.5" customHeight="1">
      <c r="A703" s="12"/>
      <c r="C703" s="12"/>
      <c r="D703" s="13"/>
      <c r="F703" s="14"/>
      <c r="G703" s="14"/>
      <c r="H703" s="14"/>
      <c r="I703" s="14"/>
      <c r="J703" s="14"/>
      <c r="K703" s="12"/>
    </row>
    <row r="704" ht="19.5" customHeight="1">
      <c r="A704" s="12"/>
      <c r="C704" s="12"/>
      <c r="D704" s="13"/>
      <c r="F704" s="14"/>
      <c r="G704" s="14"/>
      <c r="H704" s="14"/>
      <c r="I704" s="14"/>
      <c r="J704" s="14"/>
      <c r="K704" s="12"/>
    </row>
    <row r="705" ht="19.5" customHeight="1">
      <c r="A705" s="12"/>
      <c r="C705" s="12"/>
      <c r="D705" s="13"/>
      <c r="F705" s="14"/>
      <c r="G705" s="14"/>
      <c r="H705" s="14"/>
      <c r="I705" s="14"/>
      <c r="J705" s="14"/>
      <c r="K705" s="12"/>
    </row>
    <row r="706" ht="19.5" customHeight="1">
      <c r="A706" s="12"/>
      <c r="C706" s="12"/>
      <c r="D706" s="13"/>
      <c r="F706" s="14"/>
      <c r="G706" s="14"/>
      <c r="H706" s="14"/>
      <c r="I706" s="14"/>
      <c r="J706" s="14"/>
      <c r="K706" s="12"/>
    </row>
    <row r="707" ht="19.5" customHeight="1">
      <c r="A707" s="12"/>
      <c r="C707" s="12"/>
      <c r="D707" s="13"/>
      <c r="F707" s="14"/>
      <c r="G707" s="14"/>
      <c r="H707" s="14"/>
      <c r="I707" s="14"/>
      <c r="J707" s="14"/>
      <c r="K707" s="12"/>
    </row>
    <row r="708" ht="19.5" customHeight="1">
      <c r="A708" s="12"/>
      <c r="C708" s="12"/>
      <c r="D708" s="13"/>
      <c r="F708" s="14"/>
      <c r="G708" s="14"/>
      <c r="H708" s="14"/>
      <c r="I708" s="14"/>
      <c r="J708" s="14"/>
      <c r="K708" s="12"/>
    </row>
    <row r="709" ht="19.5" customHeight="1">
      <c r="A709" s="12"/>
      <c r="C709" s="12"/>
      <c r="D709" s="13"/>
      <c r="F709" s="14"/>
      <c r="G709" s="14"/>
      <c r="H709" s="14"/>
      <c r="I709" s="14"/>
      <c r="J709" s="14"/>
      <c r="K709" s="12"/>
    </row>
    <row r="710" ht="19.5" customHeight="1">
      <c r="A710" s="12"/>
      <c r="C710" s="12"/>
      <c r="D710" s="13"/>
      <c r="F710" s="14"/>
      <c r="G710" s="14"/>
      <c r="H710" s="14"/>
      <c r="I710" s="14"/>
      <c r="J710" s="14"/>
      <c r="K710" s="12"/>
    </row>
    <row r="711" ht="19.5" customHeight="1">
      <c r="A711" s="12"/>
      <c r="C711" s="12"/>
      <c r="D711" s="13"/>
      <c r="F711" s="14"/>
      <c r="G711" s="14"/>
      <c r="H711" s="14"/>
      <c r="I711" s="14"/>
      <c r="J711" s="14"/>
      <c r="K711" s="12"/>
    </row>
    <row r="712" ht="19.5" customHeight="1">
      <c r="A712" s="12"/>
      <c r="C712" s="12"/>
      <c r="D712" s="13"/>
      <c r="F712" s="14"/>
      <c r="G712" s="14"/>
      <c r="H712" s="14"/>
      <c r="I712" s="14"/>
      <c r="J712" s="14"/>
      <c r="K712" s="12"/>
    </row>
    <row r="713" ht="19.5" customHeight="1">
      <c r="A713" s="12"/>
      <c r="C713" s="12"/>
      <c r="D713" s="13"/>
      <c r="F713" s="14"/>
      <c r="G713" s="14"/>
      <c r="H713" s="14"/>
      <c r="I713" s="14"/>
      <c r="J713" s="14"/>
      <c r="K713" s="12"/>
    </row>
    <row r="714" ht="19.5" customHeight="1">
      <c r="A714" s="12"/>
      <c r="C714" s="12"/>
      <c r="D714" s="13"/>
      <c r="F714" s="14"/>
      <c r="G714" s="14"/>
      <c r="H714" s="14"/>
      <c r="I714" s="14"/>
      <c r="J714" s="14"/>
      <c r="K714" s="12"/>
    </row>
    <row r="715" ht="19.5" customHeight="1">
      <c r="A715" s="12"/>
      <c r="C715" s="12"/>
      <c r="D715" s="13"/>
      <c r="F715" s="14"/>
      <c r="G715" s="14"/>
      <c r="H715" s="14"/>
      <c r="I715" s="14"/>
      <c r="J715" s="14"/>
      <c r="K715" s="12"/>
    </row>
    <row r="716" ht="19.5" customHeight="1">
      <c r="A716" s="12"/>
      <c r="C716" s="12"/>
      <c r="D716" s="13"/>
      <c r="F716" s="14"/>
      <c r="G716" s="14"/>
      <c r="H716" s="14"/>
      <c r="I716" s="14"/>
      <c r="J716" s="14"/>
      <c r="K716" s="12"/>
    </row>
    <row r="717" ht="19.5" customHeight="1">
      <c r="A717" s="12"/>
      <c r="C717" s="12"/>
      <c r="D717" s="13"/>
      <c r="F717" s="14"/>
      <c r="G717" s="14"/>
      <c r="H717" s="14"/>
      <c r="I717" s="14"/>
      <c r="J717" s="14"/>
      <c r="K717" s="12"/>
    </row>
    <row r="718" ht="19.5" customHeight="1">
      <c r="A718" s="12"/>
      <c r="C718" s="12"/>
      <c r="D718" s="13"/>
      <c r="F718" s="14"/>
      <c r="G718" s="14"/>
      <c r="H718" s="14"/>
      <c r="I718" s="14"/>
      <c r="J718" s="14"/>
      <c r="K718" s="12"/>
    </row>
    <row r="719" ht="19.5" customHeight="1">
      <c r="A719" s="12"/>
      <c r="C719" s="12"/>
      <c r="D719" s="13"/>
      <c r="F719" s="14"/>
      <c r="G719" s="14"/>
      <c r="H719" s="14"/>
      <c r="I719" s="14"/>
      <c r="J719" s="14"/>
      <c r="K719" s="12"/>
    </row>
    <row r="720" ht="19.5" customHeight="1">
      <c r="A720" s="12"/>
      <c r="C720" s="12"/>
      <c r="D720" s="13"/>
      <c r="F720" s="14"/>
      <c r="G720" s="14"/>
      <c r="H720" s="14"/>
      <c r="I720" s="14"/>
      <c r="J720" s="14"/>
      <c r="K720" s="12"/>
    </row>
    <row r="721" ht="19.5" customHeight="1">
      <c r="A721" s="12"/>
      <c r="C721" s="12"/>
      <c r="D721" s="13"/>
      <c r="F721" s="14"/>
      <c r="G721" s="14"/>
      <c r="H721" s="14"/>
      <c r="I721" s="14"/>
      <c r="J721" s="14"/>
      <c r="K721" s="12"/>
    </row>
    <row r="722" ht="19.5" customHeight="1">
      <c r="A722" s="12"/>
      <c r="C722" s="12"/>
      <c r="D722" s="13"/>
      <c r="F722" s="14"/>
      <c r="G722" s="14"/>
      <c r="H722" s="14"/>
      <c r="I722" s="14"/>
      <c r="J722" s="14"/>
      <c r="K722" s="12"/>
    </row>
    <row r="723" ht="19.5" customHeight="1">
      <c r="A723" s="12"/>
      <c r="C723" s="12"/>
      <c r="D723" s="13"/>
      <c r="F723" s="14"/>
      <c r="G723" s="14"/>
      <c r="H723" s="14"/>
      <c r="I723" s="14"/>
      <c r="J723" s="14"/>
      <c r="K723" s="12"/>
    </row>
    <row r="724" ht="19.5" customHeight="1">
      <c r="A724" s="12"/>
      <c r="C724" s="12"/>
      <c r="D724" s="13"/>
      <c r="F724" s="14"/>
      <c r="G724" s="14"/>
      <c r="H724" s="14"/>
      <c r="I724" s="14"/>
      <c r="J724" s="14"/>
      <c r="K724" s="12"/>
    </row>
    <row r="725" ht="19.5" customHeight="1">
      <c r="A725" s="12"/>
      <c r="C725" s="12"/>
      <c r="D725" s="13"/>
      <c r="F725" s="14"/>
      <c r="G725" s="14"/>
      <c r="H725" s="14"/>
      <c r="I725" s="14"/>
      <c r="J725" s="14"/>
      <c r="K725" s="12"/>
    </row>
    <row r="726" ht="19.5" customHeight="1">
      <c r="A726" s="12"/>
      <c r="C726" s="12"/>
      <c r="D726" s="13"/>
      <c r="F726" s="14"/>
      <c r="G726" s="14"/>
      <c r="H726" s="14"/>
      <c r="I726" s="14"/>
      <c r="J726" s="14"/>
      <c r="K726" s="12"/>
    </row>
    <row r="727" ht="19.5" customHeight="1">
      <c r="A727" s="12"/>
      <c r="C727" s="12"/>
      <c r="D727" s="13"/>
      <c r="F727" s="14"/>
      <c r="G727" s="14"/>
      <c r="H727" s="14"/>
      <c r="I727" s="14"/>
      <c r="J727" s="14"/>
      <c r="K727" s="12"/>
    </row>
    <row r="728" ht="19.5" customHeight="1">
      <c r="A728" s="12"/>
      <c r="C728" s="12"/>
      <c r="D728" s="13"/>
      <c r="F728" s="14"/>
      <c r="G728" s="14"/>
      <c r="H728" s="14"/>
      <c r="I728" s="14"/>
      <c r="J728" s="14"/>
      <c r="K728" s="12"/>
    </row>
    <row r="729" ht="19.5" customHeight="1">
      <c r="A729" s="12"/>
      <c r="C729" s="12"/>
      <c r="D729" s="13"/>
      <c r="F729" s="14"/>
      <c r="G729" s="14"/>
      <c r="H729" s="14"/>
      <c r="I729" s="14"/>
      <c r="J729" s="14"/>
      <c r="K729" s="12"/>
    </row>
    <row r="730" ht="19.5" customHeight="1">
      <c r="A730" s="12"/>
      <c r="C730" s="12"/>
      <c r="D730" s="13"/>
      <c r="F730" s="14"/>
      <c r="G730" s="14"/>
      <c r="H730" s="14"/>
      <c r="I730" s="14"/>
      <c r="J730" s="14"/>
      <c r="K730" s="12"/>
    </row>
    <row r="731" ht="19.5" customHeight="1">
      <c r="A731" s="12"/>
      <c r="C731" s="12"/>
      <c r="D731" s="13"/>
      <c r="F731" s="14"/>
      <c r="G731" s="14"/>
      <c r="H731" s="14"/>
      <c r="I731" s="14"/>
      <c r="J731" s="14"/>
      <c r="K731" s="12"/>
    </row>
    <row r="732" ht="19.5" customHeight="1">
      <c r="A732" s="12"/>
      <c r="C732" s="12"/>
      <c r="D732" s="13"/>
      <c r="F732" s="14"/>
      <c r="G732" s="14"/>
      <c r="H732" s="14"/>
      <c r="I732" s="14"/>
      <c r="J732" s="14"/>
      <c r="K732" s="12"/>
    </row>
    <row r="733" ht="19.5" customHeight="1">
      <c r="A733" s="12"/>
      <c r="C733" s="12"/>
      <c r="D733" s="13"/>
      <c r="F733" s="14"/>
      <c r="G733" s="14"/>
      <c r="H733" s="14"/>
      <c r="I733" s="14"/>
      <c r="J733" s="14"/>
      <c r="K733" s="12"/>
    </row>
    <row r="734" ht="19.5" customHeight="1">
      <c r="A734" s="12"/>
      <c r="C734" s="12"/>
      <c r="D734" s="13"/>
      <c r="F734" s="14"/>
      <c r="G734" s="14"/>
      <c r="H734" s="14"/>
      <c r="I734" s="14"/>
      <c r="J734" s="14"/>
      <c r="K734" s="12"/>
    </row>
    <row r="735" ht="19.5" customHeight="1">
      <c r="A735" s="12"/>
      <c r="C735" s="12"/>
      <c r="D735" s="13"/>
      <c r="F735" s="14"/>
      <c r="G735" s="14"/>
      <c r="H735" s="14"/>
      <c r="I735" s="14"/>
      <c r="J735" s="14"/>
      <c r="K735" s="12"/>
    </row>
    <row r="736" ht="19.5" customHeight="1">
      <c r="A736" s="12"/>
      <c r="C736" s="12"/>
      <c r="D736" s="13"/>
      <c r="F736" s="14"/>
      <c r="G736" s="14"/>
      <c r="H736" s="14"/>
      <c r="I736" s="14"/>
      <c r="J736" s="14"/>
      <c r="K736" s="12"/>
    </row>
    <row r="737" ht="19.5" customHeight="1">
      <c r="A737" s="12"/>
      <c r="C737" s="12"/>
      <c r="D737" s="13"/>
      <c r="F737" s="14"/>
      <c r="G737" s="14"/>
      <c r="H737" s="14"/>
      <c r="I737" s="14"/>
      <c r="J737" s="14"/>
      <c r="K737" s="12"/>
    </row>
    <row r="738" ht="19.5" customHeight="1">
      <c r="A738" s="12"/>
      <c r="C738" s="12"/>
      <c r="D738" s="13"/>
      <c r="F738" s="14"/>
      <c r="G738" s="14"/>
      <c r="H738" s="14"/>
      <c r="I738" s="14"/>
      <c r="J738" s="14"/>
      <c r="K738" s="12"/>
    </row>
    <row r="739" ht="19.5" customHeight="1">
      <c r="A739" s="12"/>
      <c r="C739" s="12"/>
      <c r="D739" s="13"/>
      <c r="F739" s="14"/>
      <c r="G739" s="14"/>
      <c r="H739" s="14"/>
      <c r="I739" s="14"/>
      <c r="J739" s="14"/>
      <c r="K739" s="12"/>
    </row>
    <row r="740" ht="19.5" customHeight="1">
      <c r="A740" s="12"/>
      <c r="C740" s="12"/>
      <c r="D740" s="13"/>
      <c r="F740" s="14"/>
      <c r="G740" s="14"/>
      <c r="H740" s="14"/>
      <c r="I740" s="14"/>
      <c r="J740" s="14"/>
      <c r="K740" s="12"/>
    </row>
    <row r="741" ht="19.5" customHeight="1">
      <c r="A741" s="12"/>
      <c r="C741" s="12"/>
      <c r="D741" s="13"/>
      <c r="F741" s="14"/>
      <c r="G741" s="14"/>
      <c r="H741" s="14"/>
      <c r="I741" s="14"/>
      <c r="J741" s="14"/>
      <c r="K741" s="12"/>
    </row>
    <row r="742" ht="19.5" customHeight="1">
      <c r="A742" s="12"/>
      <c r="C742" s="12"/>
      <c r="D742" s="13"/>
      <c r="F742" s="14"/>
      <c r="G742" s="14"/>
      <c r="H742" s="14"/>
      <c r="I742" s="14"/>
      <c r="J742" s="14"/>
      <c r="K742" s="12"/>
    </row>
    <row r="743" ht="19.5" customHeight="1">
      <c r="A743" s="12"/>
      <c r="C743" s="12"/>
      <c r="D743" s="13"/>
      <c r="F743" s="14"/>
      <c r="G743" s="14"/>
      <c r="H743" s="14"/>
      <c r="I743" s="14"/>
      <c r="J743" s="14"/>
      <c r="K743" s="12"/>
    </row>
    <row r="744" ht="19.5" customHeight="1">
      <c r="A744" s="12"/>
      <c r="C744" s="12"/>
      <c r="D744" s="13"/>
      <c r="F744" s="14"/>
      <c r="G744" s="14"/>
      <c r="H744" s="14"/>
      <c r="I744" s="14"/>
      <c r="J744" s="14"/>
      <c r="K744" s="12"/>
    </row>
    <row r="745" ht="19.5" customHeight="1">
      <c r="A745" s="12"/>
      <c r="C745" s="12"/>
      <c r="D745" s="13"/>
      <c r="F745" s="14"/>
      <c r="G745" s="14"/>
      <c r="H745" s="14"/>
      <c r="I745" s="14"/>
      <c r="J745" s="14"/>
      <c r="K745" s="12"/>
    </row>
    <row r="746" ht="19.5" customHeight="1">
      <c r="A746" s="12"/>
      <c r="C746" s="12"/>
      <c r="D746" s="13"/>
      <c r="F746" s="14"/>
      <c r="G746" s="14"/>
      <c r="H746" s="14"/>
      <c r="I746" s="14"/>
      <c r="J746" s="14"/>
      <c r="K746" s="12"/>
    </row>
    <row r="747" ht="19.5" customHeight="1">
      <c r="A747" s="12"/>
      <c r="C747" s="12"/>
      <c r="D747" s="13"/>
      <c r="F747" s="14"/>
      <c r="G747" s="14"/>
      <c r="H747" s="14"/>
      <c r="I747" s="14"/>
      <c r="J747" s="14"/>
      <c r="K747" s="12"/>
    </row>
    <row r="748" ht="19.5" customHeight="1">
      <c r="A748" s="12"/>
      <c r="C748" s="12"/>
      <c r="D748" s="13"/>
      <c r="F748" s="14"/>
      <c r="G748" s="14"/>
      <c r="H748" s="14"/>
      <c r="I748" s="14"/>
      <c r="J748" s="14"/>
      <c r="K748" s="12"/>
    </row>
    <row r="749" ht="19.5" customHeight="1">
      <c r="A749" s="12"/>
      <c r="C749" s="12"/>
      <c r="D749" s="13"/>
      <c r="F749" s="14"/>
      <c r="G749" s="14"/>
      <c r="H749" s="14"/>
      <c r="I749" s="14"/>
      <c r="J749" s="14"/>
      <c r="K749" s="12"/>
    </row>
    <row r="750" ht="19.5" customHeight="1">
      <c r="A750" s="12"/>
      <c r="C750" s="12"/>
      <c r="D750" s="13"/>
      <c r="F750" s="14"/>
      <c r="G750" s="14"/>
      <c r="H750" s="14"/>
      <c r="I750" s="14"/>
      <c r="J750" s="14"/>
      <c r="K750" s="12"/>
    </row>
    <row r="751" ht="19.5" customHeight="1">
      <c r="A751" s="12"/>
      <c r="C751" s="12"/>
      <c r="D751" s="13"/>
      <c r="F751" s="14"/>
      <c r="G751" s="14"/>
      <c r="H751" s="14"/>
      <c r="I751" s="14"/>
      <c r="J751" s="14"/>
      <c r="K751" s="12"/>
    </row>
    <row r="752" ht="19.5" customHeight="1">
      <c r="A752" s="12"/>
      <c r="C752" s="12"/>
      <c r="D752" s="13"/>
      <c r="F752" s="14"/>
      <c r="G752" s="14"/>
      <c r="H752" s="14"/>
      <c r="I752" s="14"/>
      <c r="J752" s="14"/>
      <c r="K752" s="12"/>
    </row>
    <row r="753" ht="19.5" customHeight="1">
      <c r="A753" s="12"/>
      <c r="C753" s="12"/>
      <c r="D753" s="13"/>
      <c r="F753" s="14"/>
      <c r="G753" s="14"/>
      <c r="H753" s="14"/>
      <c r="I753" s="14"/>
      <c r="J753" s="14"/>
      <c r="K753" s="12"/>
    </row>
    <row r="754" ht="19.5" customHeight="1">
      <c r="A754" s="12"/>
      <c r="C754" s="12"/>
      <c r="D754" s="13"/>
      <c r="F754" s="14"/>
      <c r="G754" s="14"/>
      <c r="H754" s="14"/>
      <c r="I754" s="14"/>
      <c r="J754" s="14"/>
      <c r="K754" s="12"/>
    </row>
    <row r="755" ht="19.5" customHeight="1">
      <c r="A755" s="12"/>
      <c r="C755" s="12"/>
      <c r="D755" s="13"/>
      <c r="F755" s="14"/>
      <c r="G755" s="14"/>
      <c r="H755" s="14"/>
      <c r="I755" s="14"/>
      <c r="J755" s="14"/>
      <c r="K755" s="12"/>
    </row>
    <row r="756" ht="19.5" customHeight="1">
      <c r="A756" s="12"/>
      <c r="C756" s="12"/>
      <c r="D756" s="13"/>
      <c r="F756" s="14"/>
      <c r="G756" s="14"/>
      <c r="H756" s="14"/>
      <c r="I756" s="14"/>
      <c r="J756" s="14"/>
      <c r="K756" s="12"/>
    </row>
    <row r="757" ht="19.5" customHeight="1">
      <c r="A757" s="12"/>
      <c r="C757" s="12"/>
      <c r="D757" s="13"/>
      <c r="F757" s="14"/>
      <c r="G757" s="14"/>
      <c r="H757" s="14"/>
      <c r="I757" s="14"/>
      <c r="J757" s="14"/>
      <c r="K757" s="12"/>
    </row>
    <row r="758" ht="19.5" customHeight="1">
      <c r="A758" s="12"/>
      <c r="C758" s="12"/>
      <c r="D758" s="13"/>
      <c r="F758" s="14"/>
      <c r="G758" s="14"/>
      <c r="H758" s="14"/>
      <c r="I758" s="14"/>
      <c r="J758" s="14"/>
      <c r="K758" s="12"/>
    </row>
    <row r="759" ht="19.5" customHeight="1">
      <c r="A759" s="12"/>
      <c r="C759" s="12"/>
      <c r="D759" s="13"/>
      <c r="F759" s="14"/>
      <c r="G759" s="14"/>
      <c r="H759" s="14"/>
      <c r="I759" s="14"/>
      <c r="J759" s="14"/>
      <c r="K759" s="12"/>
    </row>
    <row r="760" ht="19.5" customHeight="1">
      <c r="A760" s="12"/>
      <c r="C760" s="12"/>
      <c r="D760" s="13"/>
      <c r="F760" s="14"/>
      <c r="G760" s="14"/>
      <c r="H760" s="14"/>
      <c r="I760" s="14"/>
      <c r="J760" s="14"/>
      <c r="K760" s="12"/>
    </row>
    <row r="761" ht="19.5" customHeight="1">
      <c r="A761" s="12"/>
      <c r="C761" s="12"/>
      <c r="D761" s="13"/>
      <c r="F761" s="14"/>
      <c r="G761" s="14"/>
      <c r="H761" s="14"/>
      <c r="I761" s="14"/>
      <c r="J761" s="14"/>
      <c r="K761" s="12"/>
    </row>
    <row r="762" ht="19.5" customHeight="1">
      <c r="A762" s="12"/>
      <c r="C762" s="12"/>
      <c r="D762" s="13"/>
      <c r="F762" s="14"/>
      <c r="G762" s="14"/>
      <c r="H762" s="14"/>
      <c r="I762" s="14"/>
      <c r="J762" s="14"/>
      <c r="K762" s="12"/>
    </row>
    <row r="763" ht="19.5" customHeight="1">
      <c r="A763" s="12"/>
      <c r="C763" s="12"/>
      <c r="D763" s="13"/>
      <c r="F763" s="14"/>
      <c r="G763" s="14"/>
      <c r="H763" s="14"/>
      <c r="I763" s="14"/>
      <c r="J763" s="14"/>
      <c r="K763" s="12"/>
    </row>
    <row r="764" ht="19.5" customHeight="1">
      <c r="A764" s="12"/>
      <c r="C764" s="12"/>
      <c r="D764" s="13"/>
      <c r="F764" s="14"/>
      <c r="G764" s="14"/>
      <c r="H764" s="14"/>
      <c r="I764" s="14"/>
      <c r="J764" s="14"/>
      <c r="K764" s="12"/>
    </row>
    <row r="765" ht="19.5" customHeight="1">
      <c r="A765" s="12"/>
      <c r="C765" s="12"/>
      <c r="D765" s="13"/>
      <c r="F765" s="14"/>
      <c r="G765" s="14"/>
      <c r="H765" s="14"/>
      <c r="I765" s="14"/>
      <c r="J765" s="14"/>
      <c r="K765" s="12"/>
    </row>
    <row r="766" ht="19.5" customHeight="1">
      <c r="A766" s="12"/>
      <c r="C766" s="12"/>
      <c r="D766" s="13"/>
      <c r="F766" s="14"/>
      <c r="G766" s="14"/>
      <c r="H766" s="14"/>
      <c r="I766" s="14"/>
      <c r="J766" s="14"/>
      <c r="K766" s="12"/>
    </row>
    <row r="767" ht="19.5" customHeight="1">
      <c r="A767" s="12"/>
      <c r="C767" s="12"/>
      <c r="D767" s="13"/>
      <c r="F767" s="14"/>
      <c r="G767" s="14"/>
      <c r="H767" s="14"/>
      <c r="I767" s="14"/>
      <c r="J767" s="14"/>
      <c r="K767" s="12"/>
    </row>
    <row r="768" ht="19.5" customHeight="1">
      <c r="A768" s="12"/>
      <c r="C768" s="12"/>
      <c r="D768" s="13"/>
      <c r="F768" s="14"/>
      <c r="G768" s="14"/>
      <c r="H768" s="14"/>
      <c r="I768" s="14"/>
      <c r="J768" s="14"/>
      <c r="K768" s="12"/>
    </row>
    <row r="769" ht="19.5" customHeight="1">
      <c r="A769" s="12"/>
      <c r="C769" s="12"/>
      <c r="D769" s="13"/>
      <c r="F769" s="14"/>
      <c r="G769" s="14"/>
      <c r="H769" s="14"/>
      <c r="I769" s="14"/>
      <c r="J769" s="14"/>
      <c r="K769" s="12"/>
    </row>
    <row r="770" ht="19.5" customHeight="1">
      <c r="A770" s="12"/>
      <c r="C770" s="12"/>
      <c r="D770" s="13"/>
      <c r="F770" s="14"/>
      <c r="G770" s="14"/>
      <c r="H770" s="14"/>
      <c r="I770" s="14"/>
      <c r="J770" s="14"/>
      <c r="K770" s="12"/>
    </row>
    <row r="771" ht="19.5" customHeight="1">
      <c r="A771" s="12"/>
      <c r="C771" s="12"/>
      <c r="D771" s="13"/>
      <c r="F771" s="14"/>
      <c r="G771" s="14"/>
      <c r="H771" s="14"/>
      <c r="I771" s="14"/>
      <c r="J771" s="14"/>
      <c r="K771" s="12"/>
    </row>
    <row r="772" ht="19.5" customHeight="1">
      <c r="A772" s="12"/>
      <c r="C772" s="12"/>
      <c r="D772" s="13"/>
      <c r="F772" s="14"/>
      <c r="G772" s="14"/>
      <c r="H772" s="14"/>
      <c r="I772" s="14"/>
      <c r="J772" s="14"/>
      <c r="K772" s="12"/>
    </row>
    <row r="773" ht="19.5" customHeight="1">
      <c r="A773" s="12"/>
      <c r="C773" s="12"/>
      <c r="D773" s="13"/>
      <c r="F773" s="14"/>
      <c r="G773" s="14"/>
      <c r="H773" s="14"/>
      <c r="I773" s="14"/>
      <c r="J773" s="14"/>
      <c r="K773" s="12"/>
    </row>
    <row r="774" ht="19.5" customHeight="1">
      <c r="A774" s="12"/>
      <c r="C774" s="12"/>
      <c r="D774" s="13"/>
      <c r="F774" s="14"/>
      <c r="G774" s="14"/>
      <c r="H774" s="14"/>
      <c r="I774" s="14"/>
      <c r="J774" s="14"/>
      <c r="K774" s="12"/>
    </row>
    <row r="775" ht="19.5" customHeight="1">
      <c r="A775" s="12"/>
      <c r="C775" s="12"/>
      <c r="D775" s="13"/>
      <c r="F775" s="14"/>
      <c r="G775" s="14"/>
      <c r="H775" s="14"/>
      <c r="I775" s="14"/>
      <c r="J775" s="14"/>
      <c r="K775" s="12"/>
    </row>
    <row r="776" ht="19.5" customHeight="1">
      <c r="A776" s="12"/>
      <c r="C776" s="12"/>
      <c r="D776" s="13"/>
      <c r="F776" s="14"/>
      <c r="G776" s="14"/>
      <c r="H776" s="14"/>
      <c r="I776" s="14"/>
      <c r="J776" s="14"/>
      <c r="K776" s="12"/>
    </row>
    <row r="777" ht="19.5" customHeight="1">
      <c r="A777" s="12"/>
      <c r="C777" s="12"/>
      <c r="D777" s="13"/>
      <c r="F777" s="14"/>
      <c r="G777" s="14"/>
      <c r="H777" s="14"/>
      <c r="I777" s="14"/>
      <c r="J777" s="14"/>
      <c r="K777" s="12"/>
    </row>
    <row r="778" ht="19.5" customHeight="1">
      <c r="A778" s="12"/>
      <c r="C778" s="12"/>
      <c r="D778" s="13"/>
      <c r="F778" s="14"/>
      <c r="G778" s="14"/>
      <c r="H778" s="14"/>
      <c r="I778" s="14"/>
      <c r="J778" s="14"/>
      <c r="K778" s="12"/>
    </row>
    <row r="779" ht="19.5" customHeight="1">
      <c r="A779" s="12"/>
      <c r="C779" s="12"/>
      <c r="D779" s="13"/>
      <c r="F779" s="14"/>
      <c r="G779" s="14"/>
      <c r="H779" s="14"/>
      <c r="I779" s="14"/>
      <c r="J779" s="14"/>
      <c r="K779" s="12"/>
    </row>
    <row r="780" ht="19.5" customHeight="1">
      <c r="A780" s="12"/>
      <c r="C780" s="12"/>
      <c r="D780" s="13"/>
      <c r="F780" s="14"/>
      <c r="G780" s="14"/>
      <c r="H780" s="14"/>
      <c r="I780" s="14"/>
      <c r="J780" s="14"/>
      <c r="K780" s="12"/>
    </row>
    <row r="781" ht="19.5" customHeight="1">
      <c r="A781" s="12"/>
      <c r="C781" s="12"/>
      <c r="D781" s="13"/>
      <c r="F781" s="14"/>
      <c r="G781" s="14"/>
      <c r="H781" s="14"/>
      <c r="I781" s="14"/>
      <c r="J781" s="14"/>
      <c r="K781" s="12"/>
    </row>
    <row r="782" ht="19.5" customHeight="1">
      <c r="A782" s="12"/>
      <c r="C782" s="12"/>
      <c r="D782" s="13"/>
      <c r="F782" s="14"/>
      <c r="G782" s="14"/>
      <c r="H782" s="14"/>
      <c r="I782" s="14"/>
      <c r="J782" s="14"/>
      <c r="K782" s="12"/>
    </row>
    <row r="783" ht="19.5" customHeight="1">
      <c r="A783" s="12"/>
      <c r="C783" s="12"/>
      <c r="D783" s="13"/>
      <c r="F783" s="14"/>
      <c r="G783" s="14"/>
      <c r="H783" s="14"/>
      <c r="I783" s="14"/>
      <c r="J783" s="14"/>
      <c r="K783" s="12"/>
    </row>
    <row r="784" ht="19.5" customHeight="1">
      <c r="A784" s="12"/>
      <c r="C784" s="12"/>
      <c r="D784" s="13"/>
      <c r="F784" s="14"/>
      <c r="G784" s="14"/>
      <c r="H784" s="14"/>
      <c r="I784" s="14"/>
      <c r="J784" s="14"/>
      <c r="K784" s="12"/>
    </row>
    <row r="785" ht="19.5" customHeight="1">
      <c r="A785" s="12"/>
      <c r="C785" s="12"/>
      <c r="D785" s="13"/>
      <c r="F785" s="14"/>
      <c r="G785" s="14"/>
      <c r="H785" s="14"/>
      <c r="I785" s="14"/>
      <c r="J785" s="14"/>
      <c r="K785" s="12"/>
    </row>
    <row r="786" ht="19.5" customHeight="1">
      <c r="A786" s="12"/>
      <c r="C786" s="12"/>
      <c r="D786" s="13"/>
      <c r="F786" s="14"/>
      <c r="G786" s="14"/>
      <c r="H786" s="14"/>
      <c r="I786" s="14"/>
      <c r="J786" s="14"/>
      <c r="K786" s="12"/>
    </row>
    <row r="787" ht="19.5" customHeight="1">
      <c r="A787" s="12"/>
      <c r="C787" s="12"/>
      <c r="D787" s="13"/>
      <c r="F787" s="14"/>
      <c r="G787" s="14"/>
      <c r="H787" s="14"/>
      <c r="I787" s="14"/>
      <c r="J787" s="14"/>
      <c r="K787" s="12"/>
    </row>
    <row r="788" ht="19.5" customHeight="1">
      <c r="A788" s="12"/>
      <c r="C788" s="12"/>
      <c r="D788" s="13"/>
      <c r="F788" s="14"/>
      <c r="G788" s="14"/>
      <c r="H788" s="14"/>
      <c r="I788" s="14"/>
      <c r="J788" s="14"/>
      <c r="K788" s="12"/>
    </row>
    <row r="789" ht="19.5" customHeight="1">
      <c r="A789" s="12"/>
      <c r="C789" s="12"/>
      <c r="D789" s="13"/>
      <c r="F789" s="14"/>
      <c r="G789" s="14"/>
      <c r="H789" s="14"/>
      <c r="I789" s="14"/>
      <c r="J789" s="14"/>
      <c r="K789" s="12"/>
    </row>
    <row r="790" ht="19.5" customHeight="1">
      <c r="A790" s="12"/>
      <c r="C790" s="12"/>
      <c r="D790" s="13"/>
      <c r="F790" s="14"/>
      <c r="G790" s="14"/>
      <c r="H790" s="14"/>
      <c r="I790" s="14"/>
      <c r="J790" s="14"/>
      <c r="K790" s="12"/>
    </row>
    <row r="791" ht="19.5" customHeight="1">
      <c r="A791" s="12"/>
      <c r="C791" s="12"/>
      <c r="D791" s="13"/>
      <c r="F791" s="14"/>
      <c r="G791" s="14"/>
      <c r="H791" s="14"/>
      <c r="I791" s="14"/>
      <c r="J791" s="14"/>
      <c r="K791" s="12"/>
    </row>
    <row r="792" ht="19.5" customHeight="1">
      <c r="A792" s="12"/>
      <c r="C792" s="12"/>
      <c r="D792" s="13"/>
      <c r="F792" s="14"/>
      <c r="G792" s="14"/>
      <c r="H792" s="14"/>
      <c r="I792" s="14"/>
      <c r="J792" s="14"/>
      <c r="K792" s="12"/>
    </row>
    <row r="793" ht="19.5" customHeight="1">
      <c r="A793" s="12"/>
      <c r="C793" s="12"/>
      <c r="D793" s="13"/>
      <c r="F793" s="14"/>
      <c r="G793" s="14"/>
      <c r="H793" s="14"/>
      <c r="I793" s="14"/>
      <c r="J793" s="14"/>
      <c r="K793" s="12"/>
    </row>
    <row r="794" ht="19.5" customHeight="1">
      <c r="A794" s="12"/>
      <c r="C794" s="12"/>
      <c r="D794" s="13"/>
      <c r="F794" s="14"/>
      <c r="G794" s="14"/>
      <c r="H794" s="14"/>
      <c r="I794" s="14"/>
      <c r="J794" s="14"/>
      <c r="K794" s="12"/>
    </row>
    <row r="795" ht="19.5" customHeight="1">
      <c r="A795" s="12"/>
      <c r="C795" s="12"/>
      <c r="D795" s="13"/>
      <c r="F795" s="14"/>
      <c r="G795" s="14"/>
      <c r="H795" s="14"/>
      <c r="I795" s="14"/>
      <c r="J795" s="14"/>
      <c r="K795" s="12"/>
    </row>
    <row r="796" ht="19.5" customHeight="1">
      <c r="A796" s="12"/>
      <c r="C796" s="12"/>
      <c r="D796" s="13"/>
      <c r="F796" s="14"/>
      <c r="G796" s="14"/>
      <c r="H796" s="14"/>
      <c r="I796" s="14"/>
      <c r="J796" s="14"/>
      <c r="K796" s="12"/>
    </row>
    <row r="797" ht="19.5" customHeight="1">
      <c r="A797" s="12"/>
      <c r="C797" s="12"/>
      <c r="D797" s="13"/>
      <c r="F797" s="14"/>
      <c r="G797" s="14"/>
      <c r="H797" s="14"/>
      <c r="I797" s="14"/>
      <c r="J797" s="14"/>
      <c r="K797" s="12"/>
    </row>
    <row r="798" ht="19.5" customHeight="1">
      <c r="A798" s="12"/>
      <c r="C798" s="12"/>
      <c r="D798" s="13"/>
      <c r="F798" s="14"/>
      <c r="G798" s="14"/>
      <c r="H798" s="14"/>
      <c r="I798" s="14"/>
      <c r="J798" s="14"/>
      <c r="K798" s="12"/>
    </row>
    <row r="799" ht="19.5" customHeight="1">
      <c r="A799" s="12"/>
      <c r="C799" s="12"/>
      <c r="D799" s="13"/>
      <c r="F799" s="14"/>
      <c r="G799" s="14"/>
      <c r="H799" s="14"/>
      <c r="I799" s="14"/>
      <c r="J799" s="14"/>
      <c r="K799" s="12"/>
    </row>
    <row r="800" ht="19.5" customHeight="1">
      <c r="A800" s="12"/>
      <c r="C800" s="12"/>
      <c r="D800" s="13"/>
      <c r="F800" s="14"/>
      <c r="G800" s="14"/>
      <c r="H800" s="14"/>
      <c r="I800" s="14"/>
      <c r="J800" s="14"/>
      <c r="K800" s="12"/>
    </row>
    <row r="801" ht="19.5" customHeight="1">
      <c r="A801" s="12"/>
      <c r="C801" s="12"/>
      <c r="D801" s="13"/>
      <c r="F801" s="14"/>
      <c r="G801" s="14"/>
      <c r="H801" s="14"/>
      <c r="I801" s="14"/>
      <c r="J801" s="14"/>
      <c r="K801" s="12"/>
    </row>
    <row r="802" ht="19.5" customHeight="1">
      <c r="A802" s="12"/>
      <c r="C802" s="12"/>
      <c r="D802" s="13"/>
      <c r="F802" s="14"/>
      <c r="G802" s="14"/>
      <c r="H802" s="14"/>
      <c r="I802" s="14"/>
      <c r="J802" s="14"/>
      <c r="K802" s="12"/>
    </row>
    <row r="803" ht="19.5" customHeight="1">
      <c r="A803" s="12"/>
      <c r="C803" s="12"/>
      <c r="D803" s="13"/>
      <c r="F803" s="14"/>
      <c r="G803" s="14"/>
      <c r="H803" s="14"/>
      <c r="I803" s="14"/>
      <c r="J803" s="14"/>
      <c r="K803" s="12"/>
    </row>
    <row r="804" ht="19.5" customHeight="1">
      <c r="A804" s="12"/>
      <c r="C804" s="12"/>
      <c r="D804" s="13"/>
      <c r="F804" s="14"/>
      <c r="G804" s="14"/>
      <c r="H804" s="14"/>
      <c r="I804" s="14"/>
      <c r="J804" s="14"/>
      <c r="K804" s="12"/>
    </row>
    <row r="805" ht="19.5" customHeight="1">
      <c r="A805" s="12"/>
      <c r="C805" s="12"/>
      <c r="D805" s="13"/>
      <c r="F805" s="14"/>
      <c r="G805" s="14"/>
      <c r="H805" s="14"/>
      <c r="I805" s="14"/>
      <c r="J805" s="14"/>
      <c r="K805" s="12"/>
    </row>
    <row r="806" ht="19.5" customHeight="1">
      <c r="A806" s="12"/>
      <c r="C806" s="12"/>
      <c r="D806" s="13"/>
      <c r="F806" s="14"/>
      <c r="G806" s="14"/>
      <c r="H806" s="14"/>
      <c r="I806" s="14"/>
      <c r="J806" s="14"/>
      <c r="K806" s="12"/>
    </row>
    <row r="807" ht="19.5" customHeight="1">
      <c r="A807" s="12"/>
      <c r="C807" s="12"/>
      <c r="D807" s="13"/>
      <c r="F807" s="14"/>
      <c r="G807" s="14"/>
      <c r="H807" s="14"/>
      <c r="I807" s="14"/>
      <c r="J807" s="14"/>
      <c r="K807" s="12"/>
    </row>
    <row r="808" ht="19.5" customHeight="1">
      <c r="A808" s="12"/>
      <c r="C808" s="12"/>
      <c r="D808" s="13"/>
      <c r="F808" s="14"/>
      <c r="G808" s="14"/>
      <c r="H808" s="14"/>
      <c r="I808" s="14"/>
      <c r="J808" s="14"/>
      <c r="K808" s="12"/>
    </row>
    <row r="809" ht="19.5" customHeight="1">
      <c r="A809" s="12"/>
      <c r="C809" s="12"/>
      <c r="D809" s="13"/>
      <c r="F809" s="14"/>
      <c r="G809" s="14"/>
      <c r="H809" s="14"/>
      <c r="I809" s="14"/>
      <c r="J809" s="14"/>
      <c r="K809" s="12"/>
    </row>
    <row r="810" ht="19.5" customHeight="1">
      <c r="A810" s="12"/>
      <c r="C810" s="12"/>
      <c r="D810" s="13"/>
      <c r="F810" s="14"/>
      <c r="G810" s="14"/>
      <c r="H810" s="14"/>
      <c r="I810" s="14"/>
      <c r="J810" s="14"/>
      <c r="K810" s="12"/>
    </row>
    <row r="811" ht="19.5" customHeight="1">
      <c r="A811" s="12"/>
      <c r="C811" s="12"/>
      <c r="D811" s="13"/>
      <c r="F811" s="14"/>
      <c r="G811" s="14"/>
      <c r="H811" s="14"/>
      <c r="I811" s="14"/>
      <c r="J811" s="14"/>
      <c r="K811" s="12"/>
    </row>
    <row r="812" ht="19.5" customHeight="1">
      <c r="A812" s="12"/>
      <c r="C812" s="12"/>
      <c r="D812" s="13"/>
      <c r="F812" s="14"/>
      <c r="G812" s="14"/>
      <c r="H812" s="14"/>
      <c r="I812" s="14"/>
      <c r="J812" s="14"/>
      <c r="K812" s="12"/>
    </row>
    <row r="813" ht="19.5" customHeight="1">
      <c r="A813" s="12"/>
      <c r="C813" s="12"/>
      <c r="D813" s="13"/>
      <c r="F813" s="14"/>
      <c r="G813" s="14"/>
      <c r="H813" s="14"/>
      <c r="I813" s="14"/>
      <c r="J813" s="14"/>
      <c r="K813" s="12"/>
    </row>
    <row r="814" ht="19.5" customHeight="1">
      <c r="A814" s="12"/>
      <c r="C814" s="12"/>
      <c r="D814" s="13"/>
      <c r="F814" s="14"/>
      <c r="G814" s="14"/>
      <c r="H814" s="14"/>
      <c r="I814" s="14"/>
      <c r="J814" s="14"/>
      <c r="K814" s="12"/>
    </row>
    <row r="815" ht="19.5" customHeight="1">
      <c r="A815" s="12"/>
      <c r="C815" s="12"/>
      <c r="D815" s="13"/>
      <c r="F815" s="14"/>
      <c r="G815" s="14"/>
      <c r="H815" s="14"/>
      <c r="I815" s="14"/>
      <c r="J815" s="14"/>
      <c r="K815" s="12"/>
    </row>
    <row r="816" ht="19.5" customHeight="1">
      <c r="A816" s="12"/>
      <c r="C816" s="12"/>
      <c r="D816" s="13"/>
      <c r="F816" s="14"/>
      <c r="G816" s="14"/>
      <c r="H816" s="14"/>
      <c r="I816" s="14"/>
      <c r="J816" s="14"/>
      <c r="K816" s="12"/>
    </row>
    <row r="817" ht="19.5" customHeight="1">
      <c r="A817" s="12"/>
      <c r="C817" s="12"/>
      <c r="D817" s="13"/>
      <c r="F817" s="14"/>
      <c r="G817" s="14"/>
      <c r="H817" s="14"/>
      <c r="I817" s="14"/>
      <c r="J817" s="14"/>
      <c r="K817" s="12"/>
    </row>
    <row r="818" ht="19.5" customHeight="1">
      <c r="A818" s="12"/>
      <c r="C818" s="12"/>
      <c r="D818" s="13"/>
      <c r="F818" s="14"/>
      <c r="G818" s="14"/>
      <c r="H818" s="14"/>
      <c r="I818" s="14"/>
      <c r="J818" s="14"/>
      <c r="K818" s="12"/>
    </row>
    <row r="819" ht="19.5" customHeight="1">
      <c r="A819" s="12"/>
      <c r="C819" s="12"/>
      <c r="D819" s="13"/>
      <c r="F819" s="14"/>
      <c r="G819" s="14"/>
      <c r="H819" s="14"/>
      <c r="I819" s="14"/>
      <c r="J819" s="14"/>
      <c r="K819" s="12"/>
    </row>
    <row r="820" ht="19.5" customHeight="1">
      <c r="A820" s="12"/>
      <c r="C820" s="12"/>
      <c r="D820" s="13"/>
      <c r="F820" s="14"/>
      <c r="G820" s="14"/>
      <c r="H820" s="14"/>
      <c r="I820" s="14"/>
      <c r="J820" s="14"/>
      <c r="K820" s="12"/>
    </row>
    <row r="821" ht="19.5" customHeight="1">
      <c r="A821" s="12"/>
      <c r="C821" s="12"/>
      <c r="D821" s="13"/>
      <c r="F821" s="14"/>
      <c r="G821" s="14"/>
      <c r="H821" s="14"/>
      <c r="I821" s="14"/>
      <c r="J821" s="14"/>
      <c r="K821" s="12"/>
    </row>
    <row r="822" ht="19.5" customHeight="1">
      <c r="A822" s="12"/>
      <c r="C822" s="12"/>
      <c r="D822" s="13"/>
      <c r="F822" s="14"/>
      <c r="G822" s="14"/>
      <c r="H822" s="14"/>
      <c r="I822" s="14"/>
      <c r="J822" s="14"/>
      <c r="K822" s="12"/>
    </row>
    <row r="823" ht="19.5" customHeight="1">
      <c r="A823" s="12"/>
      <c r="C823" s="12"/>
      <c r="D823" s="13"/>
      <c r="F823" s="14"/>
      <c r="G823" s="14"/>
      <c r="H823" s="14"/>
      <c r="I823" s="14"/>
      <c r="J823" s="14"/>
      <c r="K823" s="12"/>
    </row>
    <row r="824" ht="19.5" customHeight="1">
      <c r="A824" s="12"/>
      <c r="C824" s="12"/>
      <c r="D824" s="13"/>
      <c r="F824" s="14"/>
      <c r="G824" s="14"/>
      <c r="H824" s="14"/>
      <c r="I824" s="14"/>
      <c r="J824" s="14"/>
      <c r="K824" s="12"/>
    </row>
    <row r="825" ht="19.5" customHeight="1">
      <c r="A825" s="12"/>
      <c r="C825" s="12"/>
      <c r="D825" s="13"/>
      <c r="F825" s="14"/>
      <c r="G825" s="14"/>
      <c r="H825" s="14"/>
      <c r="I825" s="14"/>
      <c r="J825" s="14"/>
      <c r="K825" s="12"/>
    </row>
    <row r="826" ht="19.5" customHeight="1">
      <c r="A826" s="12"/>
      <c r="C826" s="12"/>
      <c r="D826" s="13"/>
      <c r="F826" s="14"/>
      <c r="G826" s="14"/>
      <c r="H826" s="14"/>
      <c r="I826" s="14"/>
      <c r="J826" s="14"/>
      <c r="K826" s="12"/>
    </row>
    <row r="827" ht="19.5" customHeight="1">
      <c r="A827" s="12"/>
      <c r="C827" s="12"/>
      <c r="D827" s="13"/>
      <c r="F827" s="14"/>
      <c r="G827" s="14"/>
      <c r="H827" s="14"/>
      <c r="I827" s="14"/>
      <c r="J827" s="14"/>
      <c r="K827" s="12"/>
    </row>
    <row r="828" ht="19.5" customHeight="1">
      <c r="A828" s="12"/>
      <c r="C828" s="12"/>
      <c r="D828" s="13"/>
      <c r="F828" s="14"/>
      <c r="G828" s="14"/>
      <c r="H828" s="14"/>
      <c r="I828" s="14"/>
      <c r="J828" s="14"/>
      <c r="K828" s="12"/>
    </row>
    <row r="829" ht="19.5" customHeight="1">
      <c r="A829" s="12"/>
      <c r="C829" s="12"/>
      <c r="D829" s="13"/>
      <c r="F829" s="14"/>
      <c r="G829" s="14"/>
      <c r="H829" s="14"/>
      <c r="I829" s="14"/>
      <c r="J829" s="14"/>
      <c r="K829" s="12"/>
    </row>
    <row r="830" ht="19.5" customHeight="1">
      <c r="A830" s="12"/>
      <c r="C830" s="12"/>
      <c r="D830" s="13"/>
      <c r="F830" s="14"/>
      <c r="G830" s="14"/>
      <c r="H830" s="14"/>
      <c r="I830" s="14"/>
      <c r="J830" s="14"/>
      <c r="K830" s="12"/>
    </row>
    <row r="831" ht="19.5" customHeight="1">
      <c r="A831" s="12"/>
      <c r="C831" s="12"/>
      <c r="D831" s="13"/>
      <c r="F831" s="14"/>
      <c r="G831" s="14"/>
      <c r="H831" s="14"/>
      <c r="I831" s="14"/>
      <c r="J831" s="14"/>
      <c r="K831" s="12"/>
    </row>
    <row r="832" ht="19.5" customHeight="1">
      <c r="A832" s="12"/>
      <c r="C832" s="12"/>
      <c r="D832" s="13"/>
      <c r="F832" s="14"/>
      <c r="G832" s="14"/>
      <c r="H832" s="14"/>
      <c r="I832" s="14"/>
      <c r="J832" s="14"/>
      <c r="K832" s="12"/>
    </row>
    <row r="833" ht="19.5" customHeight="1">
      <c r="A833" s="12"/>
      <c r="C833" s="12"/>
      <c r="D833" s="13"/>
      <c r="F833" s="14"/>
      <c r="G833" s="14"/>
      <c r="H833" s="14"/>
      <c r="I833" s="14"/>
      <c r="J833" s="14"/>
      <c r="K833" s="12"/>
    </row>
    <row r="834" ht="19.5" customHeight="1">
      <c r="A834" s="12"/>
      <c r="C834" s="12"/>
      <c r="D834" s="13"/>
      <c r="F834" s="14"/>
      <c r="G834" s="14"/>
      <c r="H834" s="14"/>
      <c r="I834" s="14"/>
      <c r="J834" s="14"/>
      <c r="K834" s="12"/>
    </row>
    <row r="835" ht="19.5" customHeight="1">
      <c r="A835" s="12"/>
      <c r="C835" s="12"/>
      <c r="D835" s="13"/>
      <c r="F835" s="14"/>
      <c r="G835" s="14"/>
      <c r="H835" s="14"/>
      <c r="I835" s="14"/>
      <c r="J835" s="14"/>
      <c r="K835" s="12"/>
    </row>
    <row r="836" ht="19.5" customHeight="1">
      <c r="A836" s="12"/>
      <c r="C836" s="12"/>
      <c r="D836" s="13"/>
      <c r="F836" s="14"/>
      <c r="G836" s="14"/>
      <c r="H836" s="14"/>
      <c r="I836" s="14"/>
      <c r="J836" s="14"/>
      <c r="K836" s="12"/>
    </row>
    <row r="837" ht="19.5" customHeight="1">
      <c r="A837" s="12"/>
      <c r="C837" s="12"/>
      <c r="D837" s="13"/>
      <c r="F837" s="14"/>
      <c r="G837" s="14"/>
      <c r="H837" s="14"/>
      <c r="I837" s="14"/>
      <c r="J837" s="14"/>
      <c r="K837" s="12"/>
    </row>
    <row r="838" ht="19.5" customHeight="1">
      <c r="A838" s="12"/>
      <c r="C838" s="12"/>
      <c r="D838" s="13"/>
      <c r="F838" s="14"/>
      <c r="G838" s="14"/>
      <c r="H838" s="14"/>
      <c r="I838" s="14"/>
      <c r="J838" s="14"/>
      <c r="K838" s="12"/>
    </row>
    <row r="839" ht="19.5" customHeight="1">
      <c r="A839" s="12"/>
      <c r="C839" s="12"/>
      <c r="D839" s="13"/>
      <c r="F839" s="14"/>
      <c r="G839" s="14"/>
      <c r="H839" s="14"/>
      <c r="I839" s="14"/>
      <c r="J839" s="14"/>
      <c r="K839" s="12"/>
    </row>
    <row r="840" ht="19.5" customHeight="1">
      <c r="A840" s="12"/>
      <c r="C840" s="12"/>
      <c r="D840" s="13"/>
      <c r="F840" s="14"/>
      <c r="G840" s="14"/>
      <c r="H840" s="14"/>
      <c r="I840" s="14"/>
      <c r="J840" s="14"/>
      <c r="K840" s="12"/>
    </row>
    <row r="841" ht="19.5" customHeight="1">
      <c r="A841" s="12"/>
      <c r="C841" s="12"/>
      <c r="D841" s="13"/>
      <c r="F841" s="14"/>
      <c r="G841" s="14"/>
      <c r="H841" s="14"/>
      <c r="I841" s="14"/>
      <c r="J841" s="14"/>
      <c r="K841" s="12"/>
    </row>
    <row r="842" ht="19.5" customHeight="1">
      <c r="A842" s="12"/>
      <c r="C842" s="12"/>
      <c r="D842" s="13"/>
      <c r="F842" s="14"/>
      <c r="G842" s="14"/>
      <c r="H842" s="14"/>
      <c r="I842" s="14"/>
      <c r="J842" s="14"/>
      <c r="K842" s="12"/>
    </row>
    <row r="843" ht="19.5" customHeight="1">
      <c r="A843" s="12"/>
      <c r="C843" s="12"/>
      <c r="D843" s="13"/>
      <c r="F843" s="14"/>
      <c r="G843" s="14"/>
      <c r="H843" s="14"/>
      <c r="I843" s="14"/>
      <c r="J843" s="14"/>
      <c r="K843" s="12"/>
    </row>
    <row r="844" ht="19.5" customHeight="1">
      <c r="A844" s="12"/>
      <c r="C844" s="12"/>
      <c r="D844" s="13"/>
      <c r="F844" s="14"/>
      <c r="G844" s="14"/>
      <c r="H844" s="14"/>
      <c r="I844" s="14"/>
      <c r="J844" s="14"/>
      <c r="K844" s="12"/>
    </row>
    <row r="845" ht="19.5" customHeight="1">
      <c r="A845" s="12"/>
      <c r="C845" s="12"/>
      <c r="D845" s="13"/>
      <c r="F845" s="14"/>
      <c r="G845" s="14"/>
      <c r="H845" s="14"/>
      <c r="I845" s="14"/>
      <c r="J845" s="14"/>
      <c r="K845" s="12"/>
    </row>
    <row r="846" ht="19.5" customHeight="1">
      <c r="A846" s="12"/>
      <c r="C846" s="12"/>
      <c r="D846" s="13"/>
      <c r="F846" s="14"/>
      <c r="G846" s="14"/>
      <c r="H846" s="14"/>
      <c r="I846" s="14"/>
      <c r="J846" s="14"/>
      <c r="K846" s="12"/>
    </row>
    <row r="847" ht="19.5" customHeight="1">
      <c r="A847" s="12"/>
      <c r="C847" s="12"/>
      <c r="D847" s="13"/>
      <c r="F847" s="14"/>
      <c r="G847" s="14"/>
      <c r="H847" s="14"/>
      <c r="I847" s="14"/>
      <c r="J847" s="14"/>
      <c r="K847" s="12"/>
    </row>
    <row r="848" ht="19.5" customHeight="1">
      <c r="A848" s="12"/>
      <c r="C848" s="12"/>
      <c r="D848" s="13"/>
      <c r="F848" s="14"/>
      <c r="G848" s="14"/>
      <c r="H848" s="14"/>
      <c r="I848" s="14"/>
      <c r="J848" s="14"/>
      <c r="K848" s="12"/>
    </row>
    <row r="849" ht="19.5" customHeight="1">
      <c r="A849" s="12"/>
      <c r="C849" s="12"/>
      <c r="D849" s="13"/>
      <c r="F849" s="14"/>
      <c r="G849" s="14"/>
      <c r="H849" s="14"/>
      <c r="I849" s="14"/>
      <c r="J849" s="14"/>
      <c r="K849" s="12"/>
    </row>
    <row r="850" ht="19.5" customHeight="1">
      <c r="A850" s="12"/>
      <c r="C850" s="12"/>
      <c r="D850" s="13"/>
      <c r="F850" s="14"/>
      <c r="G850" s="14"/>
      <c r="H850" s="14"/>
      <c r="I850" s="14"/>
      <c r="J850" s="14"/>
      <c r="K850" s="12"/>
    </row>
    <row r="851" ht="19.5" customHeight="1">
      <c r="A851" s="12"/>
      <c r="C851" s="12"/>
      <c r="D851" s="13"/>
      <c r="F851" s="14"/>
      <c r="G851" s="14"/>
      <c r="H851" s="14"/>
      <c r="I851" s="14"/>
      <c r="J851" s="14"/>
      <c r="K851" s="12"/>
    </row>
    <row r="852" ht="19.5" customHeight="1">
      <c r="A852" s="12"/>
      <c r="C852" s="12"/>
      <c r="D852" s="13"/>
      <c r="F852" s="14"/>
      <c r="G852" s="14"/>
      <c r="H852" s="14"/>
      <c r="I852" s="14"/>
      <c r="J852" s="14"/>
      <c r="K852" s="12"/>
    </row>
    <row r="853" ht="19.5" customHeight="1">
      <c r="A853" s="12"/>
      <c r="C853" s="12"/>
      <c r="D853" s="13"/>
      <c r="F853" s="14"/>
      <c r="G853" s="14"/>
      <c r="H853" s="14"/>
      <c r="I853" s="14"/>
      <c r="J853" s="14"/>
      <c r="K853" s="12"/>
    </row>
    <row r="854" ht="19.5" customHeight="1">
      <c r="A854" s="12"/>
      <c r="C854" s="12"/>
      <c r="D854" s="13"/>
      <c r="F854" s="14"/>
      <c r="G854" s="14"/>
      <c r="H854" s="14"/>
      <c r="I854" s="14"/>
      <c r="J854" s="14"/>
      <c r="K854" s="12"/>
    </row>
    <row r="855" ht="19.5" customHeight="1">
      <c r="A855" s="12"/>
      <c r="C855" s="12"/>
      <c r="D855" s="13"/>
      <c r="F855" s="14"/>
      <c r="G855" s="14"/>
      <c r="H855" s="14"/>
      <c r="I855" s="14"/>
      <c r="J855" s="14"/>
      <c r="K855" s="12"/>
    </row>
    <row r="856" ht="19.5" customHeight="1">
      <c r="A856" s="12"/>
      <c r="C856" s="12"/>
      <c r="D856" s="13"/>
      <c r="F856" s="14"/>
      <c r="G856" s="14"/>
      <c r="H856" s="14"/>
      <c r="I856" s="14"/>
      <c r="J856" s="14"/>
      <c r="K856" s="12"/>
    </row>
    <row r="857" ht="19.5" customHeight="1">
      <c r="A857" s="12"/>
      <c r="C857" s="12"/>
      <c r="D857" s="13"/>
      <c r="F857" s="14"/>
      <c r="G857" s="14"/>
      <c r="H857" s="14"/>
      <c r="I857" s="14"/>
      <c r="J857" s="14"/>
      <c r="K857" s="12"/>
    </row>
    <row r="858" ht="19.5" customHeight="1">
      <c r="A858" s="12"/>
      <c r="C858" s="12"/>
      <c r="D858" s="13"/>
      <c r="F858" s="14"/>
      <c r="G858" s="14"/>
      <c r="H858" s="14"/>
      <c r="I858" s="14"/>
      <c r="J858" s="14"/>
      <c r="K858" s="12"/>
    </row>
    <row r="859" ht="19.5" customHeight="1">
      <c r="A859" s="12"/>
      <c r="C859" s="12"/>
      <c r="D859" s="13"/>
      <c r="F859" s="14"/>
      <c r="G859" s="14"/>
      <c r="H859" s="14"/>
      <c r="I859" s="14"/>
      <c r="J859" s="14"/>
      <c r="K859" s="12"/>
    </row>
    <row r="860" ht="19.5" customHeight="1">
      <c r="A860" s="12"/>
      <c r="C860" s="12"/>
      <c r="D860" s="13"/>
      <c r="F860" s="14"/>
      <c r="G860" s="14"/>
      <c r="H860" s="14"/>
      <c r="I860" s="14"/>
      <c r="J860" s="14"/>
      <c r="K860" s="12"/>
    </row>
    <row r="861" ht="19.5" customHeight="1">
      <c r="A861" s="12"/>
      <c r="C861" s="12"/>
      <c r="D861" s="13"/>
      <c r="F861" s="14"/>
      <c r="G861" s="14"/>
      <c r="H861" s="14"/>
      <c r="I861" s="14"/>
      <c r="J861" s="14"/>
      <c r="K861" s="12"/>
    </row>
    <row r="862" ht="19.5" customHeight="1">
      <c r="A862" s="12"/>
      <c r="C862" s="12"/>
      <c r="D862" s="13"/>
      <c r="F862" s="14"/>
      <c r="G862" s="14"/>
      <c r="H862" s="14"/>
      <c r="I862" s="14"/>
      <c r="J862" s="14"/>
      <c r="K862" s="12"/>
    </row>
    <row r="863" ht="19.5" customHeight="1">
      <c r="A863" s="12"/>
      <c r="C863" s="12"/>
      <c r="D863" s="13"/>
      <c r="F863" s="14"/>
      <c r="G863" s="14"/>
      <c r="H863" s="14"/>
      <c r="I863" s="14"/>
      <c r="J863" s="14"/>
      <c r="K863" s="12"/>
    </row>
    <row r="864" ht="19.5" customHeight="1">
      <c r="A864" s="12"/>
      <c r="C864" s="12"/>
      <c r="D864" s="13"/>
      <c r="F864" s="14"/>
      <c r="G864" s="14"/>
      <c r="H864" s="14"/>
      <c r="I864" s="14"/>
      <c r="J864" s="14"/>
      <c r="K864" s="12"/>
    </row>
    <row r="865" ht="19.5" customHeight="1">
      <c r="A865" s="12"/>
      <c r="C865" s="12"/>
      <c r="D865" s="13"/>
      <c r="F865" s="14"/>
      <c r="G865" s="14"/>
      <c r="H865" s="14"/>
      <c r="I865" s="14"/>
      <c r="J865" s="14"/>
      <c r="K865" s="12"/>
    </row>
    <row r="866" ht="19.5" customHeight="1">
      <c r="A866" s="12"/>
      <c r="C866" s="12"/>
      <c r="D866" s="13"/>
      <c r="F866" s="14"/>
      <c r="G866" s="14"/>
      <c r="H866" s="14"/>
      <c r="I866" s="14"/>
      <c r="J866" s="14"/>
      <c r="K866" s="12"/>
    </row>
    <row r="867" ht="19.5" customHeight="1">
      <c r="A867" s="12"/>
      <c r="C867" s="12"/>
      <c r="D867" s="13"/>
      <c r="F867" s="14"/>
      <c r="G867" s="14"/>
      <c r="H867" s="14"/>
      <c r="I867" s="14"/>
      <c r="J867" s="14"/>
      <c r="K867" s="12"/>
    </row>
    <row r="868" ht="19.5" customHeight="1">
      <c r="A868" s="12"/>
      <c r="C868" s="12"/>
      <c r="D868" s="13"/>
      <c r="F868" s="14"/>
      <c r="G868" s="14"/>
      <c r="H868" s="14"/>
      <c r="I868" s="14"/>
      <c r="J868" s="14"/>
      <c r="K868" s="12"/>
    </row>
    <row r="869" ht="19.5" customHeight="1">
      <c r="A869" s="12"/>
      <c r="C869" s="12"/>
      <c r="D869" s="13"/>
      <c r="F869" s="14"/>
      <c r="G869" s="14"/>
      <c r="H869" s="14"/>
      <c r="I869" s="14"/>
      <c r="J869" s="14"/>
      <c r="K869" s="12"/>
    </row>
    <row r="870" ht="19.5" customHeight="1">
      <c r="A870" s="12"/>
      <c r="C870" s="12"/>
      <c r="D870" s="13"/>
      <c r="F870" s="14"/>
      <c r="G870" s="14"/>
      <c r="H870" s="14"/>
      <c r="I870" s="14"/>
      <c r="J870" s="14"/>
      <c r="K870" s="12"/>
    </row>
    <row r="871" ht="19.5" customHeight="1">
      <c r="A871" s="12"/>
      <c r="C871" s="12"/>
      <c r="D871" s="13"/>
      <c r="F871" s="14"/>
      <c r="G871" s="14"/>
      <c r="H871" s="14"/>
      <c r="I871" s="14"/>
      <c r="J871" s="14"/>
      <c r="K871" s="12"/>
    </row>
    <row r="872" ht="19.5" customHeight="1">
      <c r="A872" s="12"/>
      <c r="C872" s="12"/>
      <c r="D872" s="13"/>
      <c r="F872" s="14"/>
      <c r="G872" s="14"/>
      <c r="H872" s="14"/>
      <c r="I872" s="14"/>
      <c r="J872" s="14"/>
      <c r="K872" s="12"/>
    </row>
    <row r="873" ht="19.5" customHeight="1">
      <c r="A873" s="12"/>
      <c r="C873" s="12"/>
      <c r="D873" s="13"/>
      <c r="F873" s="14"/>
      <c r="G873" s="14"/>
      <c r="H873" s="14"/>
      <c r="I873" s="14"/>
      <c r="J873" s="14"/>
      <c r="K873" s="12"/>
    </row>
    <row r="874" ht="19.5" customHeight="1">
      <c r="A874" s="12"/>
      <c r="C874" s="12"/>
      <c r="D874" s="13"/>
      <c r="F874" s="14"/>
      <c r="G874" s="14"/>
      <c r="H874" s="14"/>
      <c r="I874" s="14"/>
      <c r="J874" s="14"/>
      <c r="K874" s="12"/>
    </row>
    <row r="875" ht="19.5" customHeight="1">
      <c r="A875" s="12"/>
      <c r="C875" s="12"/>
      <c r="D875" s="13"/>
      <c r="F875" s="14"/>
      <c r="G875" s="14"/>
      <c r="H875" s="14"/>
      <c r="I875" s="14"/>
      <c r="J875" s="14"/>
      <c r="K875" s="12"/>
    </row>
    <row r="876" ht="19.5" customHeight="1">
      <c r="A876" s="12"/>
      <c r="C876" s="12"/>
      <c r="D876" s="13"/>
      <c r="F876" s="14"/>
      <c r="G876" s="14"/>
      <c r="H876" s="14"/>
      <c r="I876" s="14"/>
      <c r="J876" s="14"/>
      <c r="K876" s="12"/>
    </row>
    <row r="877" ht="19.5" customHeight="1">
      <c r="A877" s="12"/>
      <c r="C877" s="12"/>
      <c r="D877" s="13"/>
      <c r="F877" s="14"/>
      <c r="G877" s="14"/>
      <c r="H877" s="14"/>
      <c r="I877" s="14"/>
      <c r="J877" s="14"/>
      <c r="K877" s="12"/>
    </row>
    <row r="878" ht="19.5" customHeight="1">
      <c r="A878" s="12"/>
      <c r="C878" s="12"/>
      <c r="D878" s="13"/>
      <c r="F878" s="14"/>
      <c r="G878" s="14"/>
      <c r="H878" s="14"/>
      <c r="I878" s="14"/>
      <c r="J878" s="14"/>
      <c r="K878" s="12"/>
    </row>
    <row r="879" ht="19.5" customHeight="1">
      <c r="A879" s="12"/>
      <c r="C879" s="12"/>
      <c r="D879" s="13"/>
      <c r="F879" s="14"/>
      <c r="G879" s="14"/>
      <c r="H879" s="14"/>
      <c r="I879" s="14"/>
      <c r="J879" s="14"/>
      <c r="K879" s="12"/>
    </row>
    <row r="880" ht="19.5" customHeight="1">
      <c r="A880" s="12"/>
      <c r="C880" s="12"/>
      <c r="D880" s="13"/>
      <c r="F880" s="14"/>
      <c r="G880" s="14"/>
      <c r="H880" s="14"/>
      <c r="I880" s="14"/>
      <c r="J880" s="14"/>
      <c r="K880" s="12"/>
    </row>
    <row r="881" ht="19.5" customHeight="1">
      <c r="A881" s="12"/>
      <c r="C881" s="12"/>
      <c r="D881" s="13"/>
      <c r="F881" s="14"/>
      <c r="G881" s="14"/>
      <c r="H881" s="14"/>
      <c r="I881" s="14"/>
      <c r="J881" s="14"/>
      <c r="K881" s="12"/>
    </row>
    <row r="882" ht="19.5" customHeight="1">
      <c r="A882" s="12"/>
      <c r="C882" s="12"/>
      <c r="D882" s="13"/>
      <c r="F882" s="14"/>
      <c r="G882" s="14"/>
      <c r="H882" s="14"/>
      <c r="I882" s="14"/>
      <c r="J882" s="14"/>
      <c r="K882" s="12"/>
    </row>
    <row r="883" ht="19.5" customHeight="1">
      <c r="A883" s="12"/>
      <c r="C883" s="12"/>
      <c r="D883" s="13"/>
      <c r="F883" s="14"/>
      <c r="G883" s="14"/>
      <c r="H883" s="14"/>
      <c r="I883" s="14"/>
      <c r="J883" s="14"/>
      <c r="K883" s="12"/>
    </row>
    <row r="884" ht="19.5" customHeight="1">
      <c r="A884" s="12"/>
      <c r="C884" s="12"/>
      <c r="D884" s="13"/>
      <c r="F884" s="14"/>
      <c r="G884" s="14"/>
      <c r="H884" s="14"/>
      <c r="I884" s="14"/>
      <c r="J884" s="14"/>
      <c r="K884" s="12"/>
    </row>
    <row r="885" ht="19.5" customHeight="1">
      <c r="A885" s="12"/>
      <c r="C885" s="12"/>
      <c r="D885" s="13"/>
      <c r="F885" s="14"/>
      <c r="G885" s="14"/>
      <c r="H885" s="14"/>
      <c r="I885" s="14"/>
      <c r="J885" s="14"/>
      <c r="K885" s="12"/>
    </row>
    <row r="886" ht="19.5" customHeight="1">
      <c r="A886" s="12"/>
      <c r="C886" s="12"/>
      <c r="D886" s="13"/>
      <c r="F886" s="14"/>
      <c r="G886" s="14"/>
      <c r="H886" s="14"/>
      <c r="I886" s="14"/>
      <c r="J886" s="14"/>
      <c r="K886" s="12"/>
    </row>
    <row r="887" ht="19.5" customHeight="1">
      <c r="A887" s="12"/>
      <c r="C887" s="12"/>
      <c r="D887" s="13"/>
      <c r="F887" s="14"/>
      <c r="G887" s="14"/>
      <c r="H887" s="14"/>
      <c r="I887" s="14"/>
      <c r="J887" s="14"/>
      <c r="K887" s="12"/>
    </row>
    <row r="888" ht="19.5" customHeight="1">
      <c r="A888" s="12"/>
      <c r="C888" s="12"/>
      <c r="D888" s="13"/>
      <c r="F888" s="14"/>
      <c r="G888" s="14"/>
      <c r="H888" s="14"/>
      <c r="I888" s="14"/>
      <c r="J888" s="14"/>
      <c r="K888" s="12"/>
    </row>
    <row r="889" ht="19.5" customHeight="1">
      <c r="A889" s="12"/>
      <c r="C889" s="12"/>
      <c r="D889" s="13"/>
      <c r="F889" s="14"/>
      <c r="G889" s="14"/>
      <c r="H889" s="14"/>
      <c r="I889" s="14"/>
      <c r="J889" s="14"/>
      <c r="K889" s="12"/>
    </row>
    <row r="890" ht="19.5" customHeight="1">
      <c r="A890" s="12"/>
      <c r="C890" s="12"/>
      <c r="D890" s="13"/>
      <c r="F890" s="14"/>
      <c r="G890" s="14"/>
      <c r="H890" s="14"/>
      <c r="I890" s="14"/>
      <c r="J890" s="14"/>
      <c r="K890" s="12"/>
    </row>
    <row r="891" ht="19.5" customHeight="1">
      <c r="A891" s="12"/>
      <c r="C891" s="12"/>
      <c r="D891" s="13"/>
      <c r="F891" s="14"/>
      <c r="G891" s="14"/>
      <c r="H891" s="14"/>
      <c r="I891" s="14"/>
      <c r="J891" s="14"/>
      <c r="K891" s="12"/>
    </row>
    <row r="892" ht="19.5" customHeight="1">
      <c r="A892" s="12"/>
      <c r="C892" s="12"/>
      <c r="D892" s="13"/>
      <c r="F892" s="14"/>
      <c r="G892" s="14"/>
      <c r="H892" s="14"/>
      <c r="I892" s="14"/>
      <c r="J892" s="14"/>
      <c r="K892" s="12"/>
    </row>
    <row r="893" ht="19.5" customHeight="1">
      <c r="A893" s="12"/>
      <c r="C893" s="12"/>
      <c r="D893" s="13"/>
      <c r="F893" s="14"/>
      <c r="G893" s="14"/>
      <c r="H893" s="14"/>
      <c r="I893" s="14"/>
      <c r="J893" s="14"/>
      <c r="K893" s="12"/>
    </row>
    <row r="894" ht="19.5" customHeight="1">
      <c r="A894" s="12"/>
      <c r="C894" s="12"/>
      <c r="D894" s="13"/>
      <c r="F894" s="14"/>
      <c r="G894" s="14"/>
      <c r="H894" s="14"/>
      <c r="I894" s="14"/>
      <c r="J894" s="14"/>
      <c r="K894" s="12"/>
    </row>
    <row r="895" ht="19.5" customHeight="1">
      <c r="A895" s="12"/>
      <c r="C895" s="12"/>
      <c r="D895" s="13"/>
      <c r="F895" s="14"/>
      <c r="G895" s="14"/>
      <c r="H895" s="14"/>
      <c r="I895" s="14"/>
      <c r="J895" s="14"/>
      <c r="K895" s="12"/>
    </row>
    <row r="896" ht="19.5" customHeight="1">
      <c r="A896" s="12"/>
      <c r="C896" s="12"/>
      <c r="D896" s="13"/>
      <c r="F896" s="14"/>
      <c r="G896" s="14"/>
      <c r="H896" s="14"/>
      <c r="I896" s="14"/>
      <c r="J896" s="14"/>
      <c r="K896" s="12"/>
    </row>
    <row r="897" ht="19.5" customHeight="1">
      <c r="A897" s="12"/>
      <c r="C897" s="12"/>
      <c r="D897" s="13"/>
      <c r="F897" s="14"/>
      <c r="G897" s="14"/>
      <c r="H897" s="14"/>
      <c r="I897" s="14"/>
      <c r="J897" s="14"/>
      <c r="K897" s="12"/>
    </row>
    <row r="898" ht="19.5" customHeight="1">
      <c r="A898" s="12"/>
      <c r="C898" s="12"/>
      <c r="D898" s="13"/>
      <c r="F898" s="14"/>
      <c r="G898" s="14"/>
      <c r="H898" s="14"/>
      <c r="I898" s="14"/>
      <c r="J898" s="14"/>
      <c r="K898" s="12"/>
    </row>
    <row r="899" ht="19.5" customHeight="1">
      <c r="A899" s="12"/>
      <c r="C899" s="12"/>
      <c r="D899" s="13"/>
      <c r="F899" s="14"/>
      <c r="G899" s="14"/>
      <c r="H899" s="14"/>
      <c r="I899" s="14"/>
      <c r="J899" s="14"/>
      <c r="K899" s="12"/>
    </row>
    <row r="900" ht="19.5" customHeight="1">
      <c r="A900" s="12"/>
      <c r="C900" s="12"/>
      <c r="D900" s="13"/>
      <c r="F900" s="14"/>
      <c r="G900" s="14"/>
      <c r="H900" s="14"/>
      <c r="I900" s="14"/>
      <c r="J900" s="14"/>
      <c r="K900" s="12"/>
    </row>
    <row r="901" ht="19.5" customHeight="1">
      <c r="A901" s="12"/>
      <c r="C901" s="12"/>
      <c r="D901" s="13"/>
      <c r="F901" s="14"/>
      <c r="G901" s="14"/>
      <c r="H901" s="14"/>
      <c r="I901" s="14"/>
      <c r="J901" s="14"/>
      <c r="K901" s="12"/>
    </row>
    <row r="902" ht="19.5" customHeight="1">
      <c r="A902" s="12"/>
      <c r="C902" s="12"/>
      <c r="D902" s="13"/>
      <c r="F902" s="14"/>
      <c r="G902" s="14"/>
      <c r="H902" s="14"/>
      <c r="I902" s="14"/>
      <c r="J902" s="14"/>
      <c r="K902" s="12"/>
    </row>
    <row r="903" ht="19.5" customHeight="1">
      <c r="A903" s="12"/>
      <c r="C903" s="12"/>
      <c r="D903" s="13"/>
      <c r="F903" s="14"/>
      <c r="G903" s="14"/>
      <c r="H903" s="14"/>
      <c r="I903" s="14"/>
      <c r="J903" s="14"/>
      <c r="K903" s="12"/>
    </row>
    <row r="904" ht="19.5" customHeight="1">
      <c r="A904" s="12"/>
      <c r="C904" s="12"/>
      <c r="D904" s="13"/>
      <c r="F904" s="14"/>
      <c r="G904" s="14"/>
      <c r="H904" s="14"/>
      <c r="I904" s="14"/>
      <c r="J904" s="14"/>
      <c r="K904" s="12"/>
    </row>
    <row r="905" ht="19.5" customHeight="1">
      <c r="A905" s="12"/>
      <c r="C905" s="12"/>
      <c r="D905" s="13"/>
      <c r="F905" s="14"/>
      <c r="G905" s="14"/>
      <c r="H905" s="14"/>
      <c r="I905" s="14"/>
      <c r="J905" s="14"/>
      <c r="K905" s="12"/>
    </row>
    <row r="906" ht="19.5" customHeight="1">
      <c r="A906" s="12"/>
      <c r="C906" s="12"/>
      <c r="D906" s="13"/>
      <c r="F906" s="14"/>
      <c r="G906" s="14"/>
      <c r="H906" s="14"/>
      <c r="I906" s="14"/>
      <c r="J906" s="14"/>
      <c r="K906" s="12"/>
    </row>
    <row r="907" ht="19.5" customHeight="1">
      <c r="A907" s="12"/>
      <c r="C907" s="12"/>
      <c r="D907" s="13"/>
      <c r="F907" s="14"/>
      <c r="G907" s="14"/>
      <c r="H907" s="14"/>
      <c r="I907" s="14"/>
      <c r="J907" s="14"/>
      <c r="K907" s="12"/>
    </row>
    <row r="908" ht="19.5" customHeight="1">
      <c r="A908" s="12"/>
      <c r="C908" s="12"/>
      <c r="D908" s="13"/>
      <c r="F908" s="14"/>
      <c r="G908" s="14"/>
      <c r="H908" s="14"/>
      <c r="I908" s="14"/>
      <c r="J908" s="14"/>
      <c r="K908" s="12"/>
    </row>
    <row r="909" ht="19.5" customHeight="1">
      <c r="A909" s="12"/>
      <c r="C909" s="12"/>
      <c r="D909" s="13"/>
      <c r="F909" s="14"/>
      <c r="G909" s="14"/>
      <c r="H909" s="14"/>
      <c r="I909" s="14"/>
      <c r="J909" s="14"/>
      <c r="K909" s="12"/>
    </row>
    <row r="910" ht="19.5" customHeight="1">
      <c r="A910" s="12"/>
      <c r="C910" s="12"/>
      <c r="D910" s="13"/>
      <c r="F910" s="14"/>
      <c r="G910" s="14"/>
      <c r="H910" s="14"/>
      <c r="I910" s="14"/>
      <c r="J910" s="14"/>
      <c r="K910" s="12"/>
    </row>
    <row r="911" ht="19.5" customHeight="1">
      <c r="A911" s="12"/>
      <c r="C911" s="12"/>
      <c r="D911" s="13"/>
      <c r="F911" s="14"/>
      <c r="G911" s="14"/>
      <c r="H911" s="14"/>
      <c r="I911" s="14"/>
      <c r="J911" s="14"/>
      <c r="K911" s="12"/>
    </row>
    <row r="912" ht="19.5" customHeight="1">
      <c r="A912" s="12"/>
      <c r="C912" s="12"/>
      <c r="D912" s="13"/>
      <c r="F912" s="14"/>
      <c r="G912" s="14"/>
      <c r="H912" s="14"/>
      <c r="I912" s="14"/>
      <c r="J912" s="14"/>
      <c r="K912" s="12"/>
    </row>
    <row r="913" ht="19.5" customHeight="1">
      <c r="A913" s="12"/>
      <c r="C913" s="12"/>
      <c r="D913" s="13"/>
      <c r="F913" s="14"/>
      <c r="G913" s="14"/>
      <c r="H913" s="14"/>
      <c r="I913" s="14"/>
      <c r="J913" s="14"/>
      <c r="K913" s="12"/>
    </row>
    <row r="914" ht="19.5" customHeight="1">
      <c r="A914" s="12"/>
      <c r="C914" s="12"/>
      <c r="D914" s="13"/>
      <c r="F914" s="14"/>
      <c r="G914" s="14"/>
      <c r="H914" s="14"/>
      <c r="I914" s="14"/>
      <c r="J914" s="14"/>
      <c r="K914" s="12"/>
    </row>
    <row r="915" ht="19.5" customHeight="1">
      <c r="A915" s="12"/>
      <c r="C915" s="12"/>
      <c r="D915" s="13"/>
      <c r="F915" s="14"/>
      <c r="G915" s="14"/>
      <c r="H915" s="14"/>
      <c r="I915" s="14"/>
      <c r="J915" s="14"/>
      <c r="K915" s="12"/>
    </row>
    <row r="916" ht="19.5" customHeight="1">
      <c r="A916" s="12"/>
      <c r="C916" s="12"/>
      <c r="D916" s="13"/>
      <c r="F916" s="14"/>
      <c r="G916" s="14"/>
      <c r="H916" s="14"/>
      <c r="I916" s="14"/>
      <c r="J916" s="14"/>
      <c r="K916" s="12"/>
    </row>
    <row r="917" ht="19.5" customHeight="1">
      <c r="A917" s="12"/>
      <c r="C917" s="12"/>
      <c r="D917" s="13"/>
      <c r="F917" s="14"/>
      <c r="G917" s="14"/>
      <c r="H917" s="14"/>
      <c r="I917" s="14"/>
      <c r="J917" s="14"/>
      <c r="K917" s="12"/>
    </row>
    <row r="918" ht="19.5" customHeight="1">
      <c r="A918" s="12"/>
      <c r="C918" s="12"/>
      <c r="D918" s="13"/>
      <c r="F918" s="14"/>
      <c r="G918" s="14"/>
      <c r="H918" s="14"/>
      <c r="I918" s="14"/>
      <c r="J918" s="14"/>
      <c r="K918" s="12"/>
    </row>
    <row r="919" ht="19.5" customHeight="1">
      <c r="A919" s="12"/>
      <c r="C919" s="12"/>
      <c r="D919" s="13"/>
      <c r="F919" s="14"/>
      <c r="G919" s="14"/>
      <c r="H919" s="14"/>
      <c r="I919" s="14"/>
      <c r="J919" s="14"/>
      <c r="K919" s="12"/>
    </row>
    <row r="920" ht="19.5" customHeight="1">
      <c r="A920" s="12"/>
      <c r="C920" s="12"/>
      <c r="D920" s="13"/>
      <c r="F920" s="14"/>
      <c r="G920" s="14"/>
      <c r="H920" s="14"/>
      <c r="I920" s="14"/>
      <c r="J920" s="14"/>
      <c r="K920" s="12"/>
    </row>
    <row r="921" ht="19.5" customHeight="1">
      <c r="A921" s="12"/>
      <c r="C921" s="12"/>
      <c r="D921" s="13"/>
      <c r="F921" s="14"/>
      <c r="G921" s="14"/>
      <c r="H921" s="14"/>
      <c r="I921" s="14"/>
      <c r="J921" s="14"/>
      <c r="K921" s="12"/>
    </row>
    <row r="922" ht="19.5" customHeight="1">
      <c r="A922" s="12"/>
      <c r="C922" s="12"/>
      <c r="D922" s="13"/>
      <c r="F922" s="14"/>
      <c r="G922" s="14"/>
      <c r="H922" s="14"/>
      <c r="I922" s="14"/>
      <c r="J922" s="14"/>
      <c r="K922" s="12"/>
    </row>
    <row r="923" ht="19.5" customHeight="1">
      <c r="A923" s="12"/>
      <c r="C923" s="12"/>
      <c r="D923" s="13"/>
      <c r="F923" s="14"/>
      <c r="G923" s="14"/>
      <c r="H923" s="14"/>
      <c r="I923" s="14"/>
      <c r="J923" s="14"/>
      <c r="K923" s="12"/>
    </row>
    <row r="924" ht="19.5" customHeight="1">
      <c r="A924" s="12"/>
      <c r="C924" s="12"/>
      <c r="D924" s="13"/>
      <c r="F924" s="14"/>
      <c r="G924" s="14"/>
      <c r="H924" s="14"/>
      <c r="I924" s="14"/>
      <c r="J924" s="14"/>
      <c r="K924" s="12"/>
    </row>
    <row r="925" ht="19.5" customHeight="1">
      <c r="A925" s="12"/>
      <c r="C925" s="12"/>
      <c r="D925" s="13"/>
      <c r="F925" s="14"/>
      <c r="G925" s="14"/>
      <c r="H925" s="14"/>
      <c r="I925" s="14"/>
      <c r="J925" s="14"/>
      <c r="K925" s="12"/>
    </row>
    <row r="926" ht="19.5" customHeight="1">
      <c r="A926" s="12"/>
      <c r="C926" s="12"/>
      <c r="D926" s="13"/>
      <c r="F926" s="14"/>
      <c r="G926" s="14"/>
      <c r="H926" s="14"/>
      <c r="I926" s="14"/>
      <c r="J926" s="14"/>
      <c r="K926" s="12"/>
    </row>
    <row r="927" ht="19.5" customHeight="1">
      <c r="A927" s="12"/>
      <c r="C927" s="12"/>
      <c r="D927" s="13"/>
      <c r="F927" s="14"/>
      <c r="G927" s="14"/>
      <c r="H927" s="14"/>
      <c r="I927" s="14"/>
      <c r="J927" s="14"/>
      <c r="K927" s="12"/>
    </row>
    <row r="928" ht="19.5" customHeight="1">
      <c r="A928" s="12"/>
      <c r="C928" s="12"/>
      <c r="D928" s="13"/>
      <c r="F928" s="14"/>
      <c r="G928" s="14"/>
      <c r="H928" s="14"/>
      <c r="I928" s="14"/>
      <c r="J928" s="14"/>
      <c r="K928" s="12"/>
    </row>
    <row r="929" ht="19.5" customHeight="1">
      <c r="A929" s="12"/>
      <c r="C929" s="12"/>
      <c r="D929" s="13"/>
      <c r="F929" s="14"/>
      <c r="G929" s="14"/>
      <c r="H929" s="14"/>
      <c r="I929" s="14"/>
      <c r="J929" s="14"/>
      <c r="K929" s="12"/>
    </row>
    <row r="930" ht="19.5" customHeight="1">
      <c r="A930" s="12"/>
      <c r="C930" s="12"/>
      <c r="D930" s="13"/>
      <c r="F930" s="14"/>
      <c r="G930" s="14"/>
      <c r="H930" s="14"/>
      <c r="I930" s="14"/>
      <c r="J930" s="14"/>
      <c r="K930" s="12"/>
    </row>
    <row r="931" ht="19.5" customHeight="1">
      <c r="A931" s="12"/>
      <c r="C931" s="12"/>
      <c r="D931" s="13"/>
      <c r="F931" s="14"/>
      <c r="G931" s="14"/>
      <c r="H931" s="14"/>
      <c r="I931" s="14"/>
      <c r="J931" s="14"/>
      <c r="K931" s="12"/>
    </row>
    <row r="932" ht="19.5" customHeight="1">
      <c r="A932" s="12"/>
      <c r="C932" s="12"/>
      <c r="D932" s="13"/>
      <c r="F932" s="14"/>
      <c r="G932" s="14"/>
      <c r="H932" s="14"/>
      <c r="I932" s="14"/>
      <c r="J932" s="14"/>
      <c r="K932" s="12"/>
    </row>
    <row r="933" ht="19.5" customHeight="1">
      <c r="A933" s="12"/>
      <c r="C933" s="12"/>
      <c r="D933" s="13"/>
      <c r="F933" s="14"/>
      <c r="G933" s="14"/>
      <c r="H933" s="14"/>
      <c r="I933" s="14"/>
      <c r="J933" s="14"/>
      <c r="K933" s="12"/>
    </row>
    <row r="934" ht="19.5" customHeight="1">
      <c r="A934" s="12"/>
      <c r="C934" s="12"/>
      <c r="D934" s="13"/>
      <c r="F934" s="14"/>
      <c r="G934" s="14"/>
      <c r="H934" s="14"/>
      <c r="I934" s="14"/>
      <c r="J934" s="14"/>
      <c r="K934" s="12"/>
    </row>
    <row r="935" ht="19.5" customHeight="1">
      <c r="A935" s="12"/>
      <c r="C935" s="12"/>
      <c r="D935" s="13"/>
      <c r="F935" s="14"/>
      <c r="G935" s="14"/>
      <c r="H935" s="14"/>
      <c r="I935" s="14"/>
      <c r="J935" s="14"/>
      <c r="K935" s="12"/>
    </row>
    <row r="936" ht="19.5" customHeight="1">
      <c r="A936" s="12"/>
      <c r="C936" s="12"/>
      <c r="D936" s="13"/>
      <c r="F936" s="14"/>
      <c r="G936" s="14"/>
      <c r="H936" s="14"/>
      <c r="I936" s="14"/>
      <c r="J936" s="14"/>
      <c r="K936" s="12"/>
    </row>
    <row r="937" ht="19.5" customHeight="1">
      <c r="A937" s="12"/>
      <c r="C937" s="12"/>
      <c r="D937" s="13"/>
      <c r="F937" s="14"/>
      <c r="G937" s="14"/>
      <c r="H937" s="14"/>
      <c r="I937" s="14"/>
      <c r="J937" s="14"/>
      <c r="K937" s="12"/>
    </row>
    <row r="938" ht="19.5" customHeight="1">
      <c r="A938" s="12"/>
      <c r="C938" s="12"/>
      <c r="D938" s="13"/>
      <c r="F938" s="14"/>
      <c r="G938" s="14"/>
      <c r="H938" s="14"/>
      <c r="I938" s="14"/>
      <c r="J938" s="14"/>
      <c r="K938" s="12"/>
    </row>
    <row r="939" ht="19.5" customHeight="1">
      <c r="A939" s="12"/>
      <c r="C939" s="12"/>
      <c r="D939" s="13"/>
      <c r="F939" s="14"/>
      <c r="G939" s="14"/>
      <c r="H939" s="14"/>
      <c r="I939" s="14"/>
      <c r="J939" s="14"/>
      <c r="K939" s="12"/>
    </row>
    <row r="940" ht="19.5" customHeight="1">
      <c r="A940" s="12"/>
      <c r="C940" s="12"/>
      <c r="D940" s="13"/>
      <c r="F940" s="14"/>
      <c r="G940" s="14"/>
      <c r="H940" s="14"/>
      <c r="I940" s="14"/>
      <c r="J940" s="14"/>
      <c r="K940" s="12"/>
    </row>
    <row r="941" ht="19.5" customHeight="1">
      <c r="A941" s="12"/>
      <c r="C941" s="12"/>
      <c r="D941" s="13"/>
      <c r="F941" s="14"/>
      <c r="G941" s="14"/>
      <c r="H941" s="14"/>
      <c r="I941" s="14"/>
      <c r="J941" s="14"/>
      <c r="K941" s="12"/>
    </row>
    <row r="942" ht="19.5" customHeight="1">
      <c r="A942" s="12"/>
      <c r="C942" s="12"/>
      <c r="D942" s="13"/>
      <c r="F942" s="14"/>
      <c r="G942" s="14"/>
      <c r="H942" s="14"/>
      <c r="I942" s="14"/>
      <c r="J942" s="14"/>
      <c r="K942" s="12"/>
    </row>
    <row r="943" ht="19.5" customHeight="1">
      <c r="A943" s="12"/>
      <c r="C943" s="12"/>
      <c r="D943" s="13"/>
      <c r="F943" s="14"/>
      <c r="G943" s="14"/>
      <c r="H943" s="14"/>
      <c r="I943" s="14"/>
      <c r="J943" s="14"/>
      <c r="K943" s="12"/>
    </row>
    <row r="944" ht="19.5" customHeight="1">
      <c r="A944" s="12"/>
      <c r="C944" s="12"/>
      <c r="D944" s="13"/>
      <c r="F944" s="14"/>
      <c r="G944" s="14"/>
      <c r="H944" s="14"/>
      <c r="I944" s="14"/>
      <c r="J944" s="14"/>
      <c r="K944" s="12"/>
    </row>
    <row r="945" ht="19.5" customHeight="1">
      <c r="A945" s="12"/>
      <c r="C945" s="12"/>
      <c r="D945" s="13"/>
      <c r="F945" s="14"/>
      <c r="G945" s="14"/>
      <c r="H945" s="14"/>
      <c r="I945" s="14"/>
      <c r="J945" s="14"/>
      <c r="K945" s="12"/>
    </row>
    <row r="946" ht="19.5" customHeight="1">
      <c r="A946" s="12"/>
      <c r="C946" s="12"/>
      <c r="D946" s="13"/>
      <c r="F946" s="14"/>
      <c r="G946" s="14"/>
      <c r="H946" s="14"/>
      <c r="I946" s="14"/>
      <c r="J946" s="14"/>
      <c r="K946" s="12"/>
    </row>
    <row r="947" ht="19.5" customHeight="1">
      <c r="A947" s="12"/>
      <c r="C947" s="12"/>
      <c r="D947" s="13"/>
      <c r="F947" s="14"/>
      <c r="G947" s="14"/>
      <c r="H947" s="14"/>
      <c r="I947" s="14"/>
      <c r="J947" s="14"/>
      <c r="K947" s="12"/>
    </row>
    <row r="948" ht="19.5" customHeight="1">
      <c r="A948" s="12"/>
      <c r="C948" s="12"/>
      <c r="D948" s="13"/>
      <c r="F948" s="14"/>
      <c r="G948" s="14"/>
      <c r="H948" s="14"/>
      <c r="I948" s="14"/>
      <c r="J948" s="14"/>
      <c r="K948" s="12"/>
    </row>
    <row r="949" ht="19.5" customHeight="1">
      <c r="A949" s="12"/>
      <c r="C949" s="12"/>
      <c r="D949" s="13"/>
      <c r="F949" s="14"/>
      <c r="G949" s="14"/>
      <c r="H949" s="14"/>
      <c r="I949" s="14"/>
      <c r="J949" s="14"/>
      <c r="K949" s="12"/>
    </row>
    <row r="950" ht="19.5" customHeight="1">
      <c r="A950" s="12"/>
      <c r="C950" s="12"/>
      <c r="D950" s="13"/>
      <c r="F950" s="14"/>
      <c r="G950" s="14"/>
      <c r="H950" s="14"/>
      <c r="I950" s="14"/>
      <c r="J950" s="14"/>
      <c r="K950" s="12"/>
    </row>
    <row r="951" ht="19.5" customHeight="1">
      <c r="A951" s="12"/>
      <c r="C951" s="12"/>
      <c r="D951" s="13"/>
      <c r="F951" s="14"/>
      <c r="G951" s="14"/>
      <c r="H951" s="14"/>
      <c r="I951" s="14"/>
      <c r="J951" s="14"/>
      <c r="K951" s="12"/>
    </row>
    <row r="952" ht="19.5" customHeight="1">
      <c r="A952" s="12"/>
      <c r="C952" s="12"/>
      <c r="D952" s="13"/>
      <c r="F952" s="14"/>
      <c r="G952" s="14"/>
      <c r="H952" s="14"/>
      <c r="I952" s="14"/>
      <c r="J952" s="14"/>
      <c r="K952" s="12"/>
    </row>
    <row r="953" ht="19.5" customHeight="1">
      <c r="A953" s="12"/>
      <c r="C953" s="12"/>
      <c r="D953" s="13"/>
      <c r="F953" s="14"/>
      <c r="G953" s="14"/>
      <c r="H953" s="14"/>
      <c r="I953" s="14"/>
      <c r="J953" s="14"/>
      <c r="K953" s="12"/>
    </row>
    <row r="954" ht="19.5" customHeight="1">
      <c r="A954" s="12"/>
      <c r="C954" s="12"/>
      <c r="D954" s="13"/>
      <c r="F954" s="14"/>
      <c r="G954" s="14"/>
      <c r="H954" s="14"/>
      <c r="I954" s="14"/>
      <c r="J954" s="14"/>
      <c r="K954" s="12"/>
    </row>
    <row r="955" ht="19.5" customHeight="1">
      <c r="A955" s="12"/>
      <c r="C955" s="12"/>
      <c r="D955" s="13"/>
      <c r="F955" s="14"/>
      <c r="G955" s="14"/>
      <c r="H955" s="14"/>
      <c r="I955" s="14"/>
      <c r="J955" s="14"/>
      <c r="K955" s="12"/>
    </row>
    <row r="956" ht="19.5" customHeight="1">
      <c r="A956" s="12"/>
      <c r="C956" s="12"/>
      <c r="D956" s="13"/>
      <c r="F956" s="14"/>
      <c r="G956" s="14"/>
      <c r="H956" s="14"/>
      <c r="I956" s="14"/>
      <c r="J956" s="14"/>
      <c r="K956" s="12"/>
    </row>
    <row r="957" ht="19.5" customHeight="1">
      <c r="A957" s="12"/>
      <c r="C957" s="12"/>
      <c r="D957" s="13"/>
      <c r="F957" s="14"/>
      <c r="G957" s="14"/>
      <c r="H957" s="14"/>
      <c r="I957" s="14"/>
      <c r="J957" s="14"/>
      <c r="K957" s="12"/>
    </row>
    <row r="958" ht="19.5" customHeight="1">
      <c r="A958" s="12"/>
      <c r="C958" s="12"/>
      <c r="D958" s="13"/>
      <c r="F958" s="14"/>
      <c r="G958" s="14"/>
      <c r="H958" s="14"/>
      <c r="I958" s="14"/>
      <c r="J958" s="14"/>
      <c r="K958" s="12"/>
    </row>
    <row r="959" ht="19.5" customHeight="1">
      <c r="A959" s="12"/>
      <c r="C959" s="12"/>
      <c r="D959" s="13"/>
      <c r="F959" s="14"/>
      <c r="G959" s="14"/>
      <c r="H959" s="14"/>
      <c r="I959" s="14"/>
      <c r="J959" s="14"/>
      <c r="K959" s="12"/>
    </row>
    <row r="960" ht="19.5" customHeight="1">
      <c r="A960" s="12"/>
      <c r="C960" s="12"/>
      <c r="D960" s="13"/>
      <c r="F960" s="14"/>
      <c r="G960" s="14"/>
      <c r="H960" s="14"/>
      <c r="I960" s="14"/>
      <c r="J960" s="14"/>
      <c r="K960" s="12"/>
    </row>
    <row r="961" ht="19.5" customHeight="1">
      <c r="A961" s="12"/>
      <c r="C961" s="12"/>
      <c r="D961" s="13"/>
      <c r="F961" s="14"/>
      <c r="G961" s="14"/>
      <c r="H961" s="14"/>
      <c r="I961" s="14"/>
      <c r="J961" s="14"/>
      <c r="K961" s="12"/>
    </row>
    <row r="962" ht="19.5" customHeight="1">
      <c r="A962" s="12"/>
      <c r="C962" s="12"/>
      <c r="D962" s="13"/>
      <c r="F962" s="14"/>
      <c r="G962" s="14"/>
      <c r="H962" s="14"/>
      <c r="I962" s="14"/>
      <c r="J962" s="14"/>
      <c r="K962" s="12"/>
    </row>
    <row r="963" ht="19.5" customHeight="1">
      <c r="A963" s="12"/>
      <c r="C963" s="12"/>
      <c r="D963" s="13"/>
      <c r="F963" s="14"/>
      <c r="G963" s="14"/>
      <c r="H963" s="14"/>
      <c r="I963" s="14"/>
      <c r="J963" s="14"/>
      <c r="K963" s="12"/>
    </row>
    <row r="964" ht="19.5" customHeight="1">
      <c r="A964" s="12"/>
      <c r="C964" s="12"/>
      <c r="D964" s="13"/>
      <c r="F964" s="14"/>
      <c r="G964" s="14"/>
      <c r="H964" s="14"/>
      <c r="I964" s="14"/>
      <c r="J964" s="14"/>
      <c r="K964" s="12"/>
    </row>
    <row r="965" ht="19.5" customHeight="1">
      <c r="A965" s="12"/>
      <c r="C965" s="12"/>
      <c r="D965" s="13"/>
      <c r="F965" s="14"/>
      <c r="G965" s="14"/>
      <c r="H965" s="14"/>
      <c r="I965" s="14"/>
      <c r="J965" s="14"/>
      <c r="K965" s="12"/>
    </row>
    <row r="966" ht="19.5" customHeight="1">
      <c r="A966" s="12"/>
      <c r="C966" s="12"/>
      <c r="D966" s="13"/>
      <c r="F966" s="14"/>
      <c r="G966" s="14"/>
      <c r="H966" s="14"/>
      <c r="I966" s="14"/>
      <c r="J966" s="14"/>
      <c r="K966" s="12"/>
    </row>
    <row r="967" ht="19.5" customHeight="1">
      <c r="A967" s="12"/>
      <c r="C967" s="12"/>
      <c r="D967" s="13"/>
      <c r="F967" s="14"/>
      <c r="G967" s="14"/>
      <c r="H967" s="14"/>
      <c r="I967" s="14"/>
      <c r="J967" s="14"/>
      <c r="K967" s="12"/>
    </row>
    <row r="968" ht="19.5" customHeight="1">
      <c r="A968" s="12"/>
      <c r="C968" s="12"/>
      <c r="D968" s="13"/>
      <c r="F968" s="14"/>
      <c r="G968" s="14"/>
      <c r="H968" s="14"/>
      <c r="I968" s="14"/>
      <c r="J968" s="14"/>
      <c r="K968" s="12"/>
    </row>
    <row r="969" ht="19.5" customHeight="1">
      <c r="A969" s="12"/>
      <c r="C969" s="12"/>
      <c r="D969" s="13"/>
      <c r="F969" s="14"/>
      <c r="G969" s="14"/>
      <c r="H969" s="14"/>
      <c r="I969" s="14"/>
      <c r="J969" s="14"/>
      <c r="K969" s="12"/>
    </row>
    <row r="970" ht="19.5" customHeight="1">
      <c r="A970" s="12"/>
      <c r="C970" s="12"/>
      <c r="D970" s="13"/>
      <c r="F970" s="14"/>
      <c r="G970" s="14"/>
      <c r="H970" s="14"/>
      <c r="I970" s="14"/>
      <c r="J970" s="14"/>
      <c r="K970" s="12"/>
    </row>
    <row r="971" ht="19.5" customHeight="1">
      <c r="A971" s="12"/>
      <c r="C971" s="12"/>
      <c r="D971" s="13"/>
      <c r="F971" s="14"/>
      <c r="G971" s="14"/>
      <c r="H971" s="14"/>
      <c r="I971" s="14"/>
      <c r="J971" s="14"/>
      <c r="K971" s="12"/>
    </row>
    <row r="972" ht="19.5" customHeight="1">
      <c r="A972" s="12"/>
      <c r="C972" s="12"/>
      <c r="D972" s="13"/>
      <c r="F972" s="14"/>
      <c r="G972" s="14"/>
      <c r="H972" s="14"/>
      <c r="I972" s="14"/>
      <c r="J972" s="14"/>
      <c r="K972" s="12"/>
    </row>
    <row r="973" ht="19.5" customHeight="1">
      <c r="A973" s="12"/>
      <c r="C973" s="12"/>
      <c r="D973" s="13"/>
      <c r="F973" s="14"/>
      <c r="G973" s="14"/>
      <c r="H973" s="14"/>
      <c r="I973" s="14"/>
      <c r="J973" s="14"/>
      <c r="K973" s="12"/>
    </row>
    <row r="974" ht="19.5" customHeight="1">
      <c r="A974" s="12"/>
      <c r="C974" s="12"/>
      <c r="D974" s="13"/>
      <c r="F974" s="14"/>
      <c r="G974" s="14"/>
      <c r="H974" s="14"/>
      <c r="I974" s="14"/>
      <c r="J974" s="14"/>
      <c r="K974" s="12"/>
    </row>
    <row r="975" ht="19.5" customHeight="1">
      <c r="A975" s="12"/>
      <c r="C975" s="12"/>
      <c r="D975" s="13"/>
      <c r="F975" s="14"/>
      <c r="G975" s="14"/>
      <c r="H975" s="14"/>
      <c r="I975" s="14"/>
      <c r="J975" s="14"/>
      <c r="K975" s="12"/>
    </row>
    <row r="976" ht="19.5" customHeight="1">
      <c r="A976" s="12"/>
      <c r="C976" s="12"/>
      <c r="D976" s="13"/>
      <c r="F976" s="14"/>
      <c r="G976" s="14"/>
      <c r="H976" s="14"/>
      <c r="I976" s="14"/>
      <c r="J976" s="14"/>
      <c r="K976" s="12"/>
    </row>
    <row r="977" ht="19.5" customHeight="1">
      <c r="A977" s="12"/>
      <c r="C977" s="12"/>
      <c r="D977" s="13"/>
      <c r="F977" s="14"/>
      <c r="G977" s="14"/>
      <c r="H977" s="14"/>
      <c r="I977" s="14"/>
      <c r="J977" s="14"/>
      <c r="K977" s="12"/>
    </row>
    <row r="978" ht="19.5" customHeight="1">
      <c r="A978" s="12"/>
      <c r="C978" s="12"/>
      <c r="D978" s="13"/>
      <c r="F978" s="14"/>
      <c r="G978" s="14"/>
      <c r="H978" s="14"/>
      <c r="I978" s="14"/>
      <c r="J978" s="14"/>
      <c r="K978" s="12"/>
    </row>
    <row r="979" ht="19.5" customHeight="1">
      <c r="A979" s="12"/>
      <c r="C979" s="12"/>
      <c r="D979" s="13"/>
      <c r="F979" s="14"/>
      <c r="G979" s="14"/>
      <c r="H979" s="14"/>
      <c r="I979" s="14"/>
      <c r="J979" s="14"/>
      <c r="K979" s="12"/>
    </row>
    <row r="980" ht="19.5" customHeight="1">
      <c r="A980" s="12"/>
      <c r="C980" s="12"/>
      <c r="D980" s="13"/>
      <c r="F980" s="14"/>
      <c r="G980" s="14"/>
      <c r="H980" s="14"/>
      <c r="I980" s="14"/>
      <c r="J980" s="14"/>
      <c r="K980" s="12"/>
    </row>
    <row r="981" ht="19.5" customHeight="1">
      <c r="A981" s="12"/>
      <c r="C981" s="12"/>
      <c r="D981" s="13"/>
      <c r="F981" s="14"/>
      <c r="G981" s="14"/>
      <c r="H981" s="14"/>
      <c r="I981" s="14"/>
      <c r="J981" s="14"/>
      <c r="K981" s="12"/>
    </row>
    <row r="982" ht="19.5" customHeight="1">
      <c r="A982" s="12"/>
      <c r="C982" s="12"/>
      <c r="D982" s="13"/>
      <c r="F982" s="14"/>
      <c r="G982" s="14"/>
      <c r="H982" s="14"/>
      <c r="I982" s="14"/>
      <c r="J982" s="14"/>
      <c r="K982" s="12"/>
    </row>
    <row r="983" ht="19.5" customHeight="1">
      <c r="A983" s="12"/>
      <c r="C983" s="12"/>
      <c r="D983" s="13"/>
      <c r="F983" s="14"/>
      <c r="G983" s="14"/>
      <c r="H983" s="14"/>
      <c r="I983" s="14"/>
      <c r="J983" s="14"/>
      <c r="K983" s="12"/>
    </row>
    <row r="984" ht="19.5" customHeight="1">
      <c r="A984" s="12"/>
      <c r="C984" s="12"/>
      <c r="D984" s="13"/>
      <c r="F984" s="14"/>
      <c r="G984" s="14"/>
      <c r="H984" s="14"/>
      <c r="I984" s="14"/>
      <c r="J984" s="14"/>
      <c r="K984" s="12"/>
    </row>
    <row r="985" ht="19.5" customHeight="1">
      <c r="A985" s="12"/>
      <c r="C985" s="12"/>
      <c r="D985" s="13"/>
      <c r="F985" s="14"/>
      <c r="G985" s="14"/>
      <c r="H985" s="14"/>
      <c r="I985" s="14"/>
      <c r="J985" s="14"/>
      <c r="K985" s="12"/>
    </row>
    <row r="986" ht="19.5" customHeight="1">
      <c r="A986" s="12"/>
      <c r="C986" s="12"/>
      <c r="D986" s="13"/>
      <c r="F986" s="14"/>
      <c r="G986" s="14"/>
      <c r="H986" s="14"/>
      <c r="I986" s="14"/>
      <c r="J986" s="14"/>
      <c r="K986" s="12"/>
    </row>
    <row r="987" ht="19.5" customHeight="1">
      <c r="A987" s="12"/>
      <c r="C987" s="12"/>
      <c r="D987" s="13"/>
      <c r="F987" s="14"/>
      <c r="G987" s="14"/>
      <c r="H987" s="14"/>
      <c r="I987" s="14"/>
      <c r="J987" s="14"/>
      <c r="K987" s="12"/>
    </row>
    <row r="988" ht="19.5" customHeight="1">
      <c r="A988" s="12"/>
      <c r="C988" s="12"/>
      <c r="D988" s="13"/>
      <c r="F988" s="14"/>
      <c r="G988" s="14"/>
      <c r="H988" s="14"/>
      <c r="I988" s="14"/>
      <c r="J988" s="14"/>
      <c r="K988" s="12"/>
    </row>
    <row r="989" ht="19.5" customHeight="1">
      <c r="A989" s="12"/>
      <c r="C989" s="12"/>
      <c r="D989" s="13"/>
      <c r="F989" s="14"/>
      <c r="G989" s="14"/>
      <c r="H989" s="14"/>
      <c r="I989" s="14"/>
      <c r="J989" s="14"/>
      <c r="K989" s="12"/>
    </row>
    <row r="990" ht="19.5" customHeight="1">
      <c r="A990" s="12"/>
      <c r="C990" s="12"/>
      <c r="D990" s="13"/>
      <c r="F990" s="14"/>
      <c r="G990" s="14"/>
      <c r="H990" s="14"/>
      <c r="I990" s="14"/>
      <c r="J990" s="14"/>
      <c r="K990" s="12"/>
    </row>
    <row r="991" ht="19.5" customHeight="1">
      <c r="A991" s="12"/>
      <c r="C991" s="12"/>
      <c r="D991" s="13"/>
      <c r="F991" s="14"/>
      <c r="G991" s="14"/>
      <c r="H991" s="14"/>
      <c r="I991" s="14"/>
      <c r="J991" s="14"/>
      <c r="K991" s="12"/>
    </row>
    <row r="992" ht="19.5" customHeight="1">
      <c r="A992" s="12"/>
      <c r="C992" s="12"/>
      <c r="D992" s="13"/>
      <c r="F992" s="14"/>
      <c r="G992" s="14"/>
      <c r="H992" s="14"/>
      <c r="I992" s="14"/>
      <c r="J992" s="14"/>
      <c r="K992" s="12"/>
    </row>
  </sheetData>
  <mergeCells count="12">
    <mergeCell ref="E9:G9"/>
    <mergeCell ref="J9:J10"/>
    <mergeCell ref="J15:J16"/>
    <mergeCell ref="J73:J74"/>
    <mergeCell ref="A6:K6"/>
    <mergeCell ref="A7:K7"/>
    <mergeCell ref="A8:K8"/>
    <mergeCell ref="A9:A10"/>
    <mergeCell ref="B9:B10"/>
    <mergeCell ref="C9:C10"/>
    <mergeCell ref="D9:D10"/>
    <mergeCell ref="K9:K10"/>
  </mergeCells>
  <printOptions/>
  <pageMargins bottom="0.787401575" footer="0.0" header="0.0" left="0.511811024" right="0.511811024" top="0.787401575"/>
  <pageSetup paperSize="9" scale="6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35.88"/>
    <col customWidth="1" min="3" max="3" width="9.13"/>
    <col customWidth="1" min="4" max="4" width="16.25"/>
    <col customWidth="1" min="5" max="5" width="16.38"/>
    <col customWidth="1" min="6" max="6" width="18.0"/>
    <col customWidth="1" min="7" max="7" width="16.13"/>
    <col customWidth="1" min="8" max="8" width="16.63"/>
    <col customWidth="1" min="9" max="9" width="15.75"/>
    <col customWidth="1" min="10" max="10" width="20.63"/>
    <col customWidth="1" min="11" max="11" width="51.88"/>
    <col customWidth="1" min="12" max="15" width="8.63"/>
  </cols>
  <sheetData>
    <row r="1" ht="19.5" customHeight="1">
      <c r="A1" s="4"/>
      <c r="B1" s="5"/>
      <c r="C1" s="6"/>
      <c r="D1" s="7"/>
      <c r="E1" s="5"/>
      <c r="F1" s="8"/>
      <c r="G1" s="8"/>
      <c r="H1" s="8"/>
      <c r="I1" s="8"/>
      <c r="J1" s="8"/>
      <c r="K1" s="9"/>
    </row>
    <row r="2" ht="19.5" customHeight="1">
      <c r="A2" s="10" t="s">
        <v>83</v>
      </c>
      <c r="B2" s="11" t="s">
        <v>84</v>
      </c>
      <c r="C2" s="12"/>
      <c r="D2" s="13"/>
      <c r="G2" s="14"/>
      <c r="H2" s="15"/>
      <c r="I2" s="16" t="s">
        <v>85</v>
      </c>
      <c r="J2" s="17"/>
      <c r="K2" s="18"/>
    </row>
    <row r="3" ht="19.5" customHeight="1">
      <c r="A3" s="10" t="s">
        <v>86</v>
      </c>
      <c r="B3" s="11" t="s">
        <v>87</v>
      </c>
      <c r="C3" s="12"/>
      <c r="D3" s="13"/>
      <c r="F3" s="14"/>
      <c r="G3" s="14"/>
      <c r="H3" s="14"/>
      <c r="I3" s="14"/>
      <c r="J3" s="14"/>
      <c r="K3" s="18"/>
    </row>
    <row r="4" ht="19.5" customHeight="1">
      <c r="A4" s="19"/>
      <c r="C4" s="12"/>
      <c r="D4" s="13"/>
      <c r="F4" s="14"/>
      <c r="G4" s="14"/>
      <c r="H4" s="14"/>
      <c r="I4" s="14"/>
      <c r="J4" s="14"/>
      <c r="K4" s="18"/>
    </row>
    <row r="5" ht="19.5" customHeight="1">
      <c r="A5" s="19"/>
      <c r="C5" s="12"/>
      <c r="D5" s="13"/>
      <c r="F5" s="14"/>
      <c r="G5" s="14"/>
      <c r="H5" s="14"/>
      <c r="I5" s="14"/>
      <c r="J5" s="14"/>
      <c r="K5" s="18"/>
    </row>
    <row r="6" ht="38.25" customHeight="1">
      <c r="A6" s="20" t="s">
        <v>88</v>
      </c>
      <c r="K6" s="21"/>
    </row>
    <row r="7" ht="64.5" customHeight="1">
      <c r="A7" s="22" t="s">
        <v>142</v>
      </c>
      <c r="K7" s="21"/>
    </row>
    <row r="8" ht="28.5" customHeight="1">
      <c r="A8" s="23" t="s">
        <v>90</v>
      </c>
      <c r="B8" s="24"/>
      <c r="C8" s="24"/>
      <c r="D8" s="24"/>
      <c r="E8" s="24"/>
      <c r="F8" s="24"/>
      <c r="G8" s="24"/>
      <c r="H8" s="24"/>
      <c r="I8" s="24"/>
      <c r="J8" s="24"/>
      <c r="K8" s="25"/>
    </row>
    <row r="9" ht="19.5" customHeight="1">
      <c r="A9" s="26" t="s">
        <v>1</v>
      </c>
      <c r="B9" s="26" t="s">
        <v>91</v>
      </c>
      <c r="C9" s="26" t="s">
        <v>92</v>
      </c>
      <c r="D9" s="26" t="s">
        <v>93</v>
      </c>
      <c r="E9" s="27" t="s">
        <v>94</v>
      </c>
      <c r="F9" s="28"/>
      <c r="G9" s="29"/>
      <c r="H9" s="30"/>
      <c r="I9" s="30"/>
      <c r="J9" s="31" t="s">
        <v>95</v>
      </c>
      <c r="K9" s="26" t="s">
        <v>96</v>
      </c>
    </row>
    <row r="10" ht="19.5" customHeight="1">
      <c r="A10" s="32"/>
      <c r="B10" s="32"/>
      <c r="C10" s="32"/>
      <c r="D10" s="32"/>
      <c r="E10" s="33" t="s">
        <v>97</v>
      </c>
      <c r="F10" s="34" t="s">
        <v>98</v>
      </c>
      <c r="G10" s="34" t="s">
        <v>99</v>
      </c>
      <c r="H10" s="35" t="s">
        <v>100</v>
      </c>
      <c r="I10" s="35" t="s">
        <v>101</v>
      </c>
      <c r="J10" s="32"/>
      <c r="K10" s="32"/>
    </row>
    <row r="11" ht="21.0" customHeight="1">
      <c r="A11" s="36">
        <v>36923.0</v>
      </c>
      <c r="B11" s="37" t="s">
        <v>102</v>
      </c>
      <c r="C11" s="38" t="s">
        <v>103</v>
      </c>
      <c r="D11" s="39">
        <v>1.0</v>
      </c>
      <c r="E11" s="37"/>
      <c r="F11" s="40"/>
      <c r="G11" s="40"/>
      <c r="H11" s="41">
        <v>54841.8</v>
      </c>
      <c r="I11" s="42"/>
      <c r="J11" s="43">
        <f>H11*D11</f>
        <v>54841.8</v>
      </c>
      <c r="M11" s="44" t="s">
        <v>143</v>
      </c>
      <c r="N11" s="45" t="str">
        <f>H11/#REF!</f>
        <v>#REF!</v>
      </c>
    </row>
    <row r="12" ht="19.5" customHeight="1">
      <c r="A12" s="36">
        <v>37653.0</v>
      </c>
      <c r="B12" s="49" t="s">
        <v>107</v>
      </c>
      <c r="C12" s="38" t="s">
        <v>108</v>
      </c>
      <c r="D12" s="39">
        <v>1163.29</v>
      </c>
      <c r="E12" s="46"/>
      <c r="F12" s="47"/>
      <c r="G12" s="47"/>
      <c r="H12" s="41">
        <f>D12</f>
        <v>1163.29</v>
      </c>
      <c r="I12" s="47"/>
      <c r="J12" s="43">
        <f>H12</f>
        <v>1163.29</v>
      </c>
      <c r="K12" s="48"/>
    </row>
    <row r="13" ht="19.5" customHeight="1">
      <c r="A13" s="50" t="s">
        <v>1</v>
      </c>
      <c r="B13" s="50" t="s">
        <v>91</v>
      </c>
      <c r="C13" s="50" t="s">
        <v>92</v>
      </c>
      <c r="D13" s="50" t="s">
        <v>93</v>
      </c>
      <c r="E13" s="50" t="s">
        <v>97</v>
      </c>
      <c r="F13" s="53" t="s">
        <v>121</v>
      </c>
      <c r="G13" s="53" t="s">
        <v>99</v>
      </c>
      <c r="H13" s="53" t="s">
        <v>100</v>
      </c>
      <c r="I13" s="53" t="s">
        <v>101</v>
      </c>
      <c r="J13" s="53" t="s">
        <v>95</v>
      </c>
      <c r="K13" s="50" t="s">
        <v>96</v>
      </c>
    </row>
    <row r="14" ht="19.5" customHeight="1">
      <c r="A14" s="36">
        <v>36951.0</v>
      </c>
      <c r="B14" s="54" t="s">
        <v>112</v>
      </c>
      <c r="C14" s="55" t="s">
        <v>113</v>
      </c>
      <c r="D14" s="56">
        <v>1556.0</v>
      </c>
      <c r="E14" s="57"/>
      <c r="F14" s="59"/>
      <c r="G14" s="59"/>
      <c r="H14" s="59">
        <f t="shared" ref="H14:H18" si="1">D14</f>
        <v>1556</v>
      </c>
      <c r="I14" s="59"/>
      <c r="J14" s="60">
        <f t="shared" ref="J14:J18" si="2">H14</f>
        <v>1556</v>
      </c>
      <c r="K14" s="61"/>
    </row>
    <row r="15" ht="19.5" customHeight="1">
      <c r="A15" s="36">
        <v>37316.0</v>
      </c>
      <c r="B15" s="63" t="s">
        <v>115</v>
      </c>
      <c r="C15" s="38" t="s">
        <v>140</v>
      </c>
      <c r="D15" s="2">
        <v>18.0</v>
      </c>
      <c r="E15" s="67"/>
      <c r="F15" s="40"/>
      <c r="G15" s="40"/>
      <c r="H15" s="59">
        <f t="shared" si="1"/>
        <v>18</v>
      </c>
      <c r="I15" s="40"/>
      <c r="J15" s="64">
        <f t="shared" si="2"/>
        <v>18</v>
      </c>
      <c r="K15" s="65"/>
    </row>
    <row r="16" ht="19.5" customHeight="1">
      <c r="A16" s="36">
        <v>37681.0</v>
      </c>
      <c r="B16" s="63" t="s">
        <v>141</v>
      </c>
      <c r="C16" s="38" t="s">
        <v>113</v>
      </c>
      <c r="D16" s="56">
        <v>1556.0</v>
      </c>
      <c r="E16" s="67"/>
      <c r="F16" s="40"/>
      <c r="G16" s="40"/>
      <c r="H16" s="59">
        <f t="shared" si="1"/>
        <v>1556</v>
      </c>
      <c r="I16" s="40"/>
      <c r="J16" s="64">
        <f t="shared" si="2"/>
        <v>1556</v>
      </c>
      <c r="K16" s="65"/>
    </row>
    <row r="17" ht="19.5" customHeight="1">
      <c r="A17" s="36">
        <v>38047.0</v>
      </c>
      <c r="B17" s="63" t="s">
        <v>118</v>
      </c>
      <c r="C17" s="38" t="s">
        <v>140</v>
      </c>
      <c r="D17" s="56">
        <v>18.0</v>
      </c>
      <c r="E17" s="67"/>
      <c r="F17" s="40"/>
      <c r="G17" s="40"/>
      <c r="H17" s="59">
        <f t="shared" si="1"/>
        <v>18</v>
      </c>
      <c r="I17" s="40"/>
      <c r="J17" s="64">
        <f t="shared" si="2"/>
        <v>18</v>
      </c>
      <c r="K17" s="65"/>
    </row>
    <row r="18" ht="19.5" customHeight="1">
      <c r="A18" s="36">
        <v>38412.0</v>
      </c>
      <c r="B18" s="63" t="s">
        <v>119</v>
      </c>
      <c r="C18" s="38" t="s">
        <v>140</v>
      </c>
      <c r="D18" s="56">
        <v>18.0</v>
      </c>
      <c r="E18" s="67"/>
      <c r="F18" s="40"/>
      <c r="G18" s="40"/>
      <c r="H18" s="59">
        <f t="shared" si="1"/>
        <v>18</v>
      </c>
      <c r="I18" s="40"/>
      <c r="J18" s="64">
        <f t="shared" si="2"/>
        <v>18</v>
      </c>
      <c r="K18" s="65"/>
    </row>
    <row r="19" ht="19.5" customHeight="1">
      <c r="A19" s="12"/>
      <c r="C19" s="12"/>
      <c r="D19" s="13"/>
      <c r="F19" s="14"/>
      <c r="G19" s="14"/>
      <c r="H19" s="14"/>
      <c r="I19" s="14"/>
      <c r="J19" s="14"/>
      <c r="K19" s="12"/>
    </row>
    <row r="20" ht="19.5" customHeight="1">
      <c r="A20" s="50" t="s">
        <v>1</v>
      </c>
      <c r="B20" s="50" t="s">
        <v>91</v>
      </c>
      <c r="C20" s="50" t="s">
        <v>92</v>
      </c>
      <c r="D20" s="50" t="s">
        <v>93</v>
      </c>
      <c r="E20" s="50" t="s">
        <v>97</v>
      </c>
      <c r="F20" s="53" t="s">
        <v>121</v>
      </c>
      <c r="G20" s="53" t="s">
        <v>99</v>
      </c>
      <c r="H20" s="53" t="s">
        <v>100</v>
      </c>
      <c r="I20" s="53" t="s">
        <v>101</v>
      </c>
      <c r="J20" s="53" t="s">
        <v>95</v>
      </c>
      <c r="K20" s="50" t="s">
        <v>96</v>
      </c>
    </row>
    <row r="21" ht="19.5" customHeight="1">
      <c r="A21" s="36">
        <v>36982.0</v>
      </c>
      <c r="B21" s="2" t="s">
        <v>122</v>
      </c>
      <c r="C21" s="12" t="s">
        <v>103</v>
      </c>
      <c r="D21" s="68">
        <v>1.0</v>
      </c>
      <c r="F21" s="14"/>
      <c r="G21" s="14"/>
      <c r="H21" s="16">
        <v>4.5</v>
      </c>
      <c r="I21" s="14"/>
      <c r="J21" s="69">
        <f t="shared" ref="J21:J32" si="3">H21</f>
        <v>4.5</v>
      </c>
      <c r="K21" s="70"/>
    </row>
    <row r="22" ht="19.5" customHeight="1">
      <c r="A22" s="36">
        <v>38808.0</v>
      </c>
      <c r="B22" s="2" t="s">
        <v>123</v>
      </c>
      <c r="C22" s="12" t="s">
        <v>103</v>
      </c>
      <c r="D22" s="13">
        <v>1.0</v>
      </c>
      <c r="F22" s="14"/>
      <c r="G22" s="14"/>
      <c r="H22" s="16">
        <v>54.09</v>
      </c>
      <c r="I22" s="14"/>
      <c r="J22" s="71">
        <f t="shared" si="3"/>
        <v>54.09</v>
      </c>
      <c r="K22" s="72" t="s">
        <v>124</v>
      </c>
    </row>
    <row r="23" ht="19.5" customHeight="1">
      <c r="A23" s="36">
        <v>37712.0</v>
      </c>
      <c r="B23" s="45" t="s">
        <v>125</v>
      </c>
      <c r="C23" s="12" t="s">
        <v>103</v>
      </c>
      <c r="D23" s="13">
        <v>1.0</v>
      </c>
      <c r="F23" s="14"/>
      <c r="G23" s="14"/>
      <c r="H23" s="16">
        <v>39.2</v>
      </c>
      <c r="I23" s="14"/>
      <c r="J23" s="71">
        <f t="shared" si="3"/>
        <v>39.2</v>
      </c>
    </row>
    <row r="24" ht="19.5" customHeight="1">
      <c r="A24" s="36">
        <v>38078.0</v>
      </c>
      <c r="B24" s="2" t="s">
        <v>126</v>
      </c>
      <c r="C24" s="12" t="s">
        <v>103</v>
      </c>
      <c r="D24" s="13">
        <v>1.0</v>
      </c>
      <c r="F24" s="14"/>
      <c r="G24" s="14"/>
      <c r="H24" s="16">
        <v>41.74</v>
      </c>
      <c r="I24" s="14"/>
      <c r="J24" s="71">
        <f t="shared" si="3"/>
        <v>41.74</v>
      </c>
    </row>
    <row r="25" ht="19.5" customHeight="1">
      <c r="A25" s="36">
        <v>38443.0</v>
      </c>
      <c r="B25" s="2" t="s">
        <v>127</v>
      </c>
      <c r="C25" s="12" t="s">
        <v>103</v>
      </c>
      <c r="D25" s="13">
        <v>1.0</v>
      </c>
      <c r="F25" s="14"/>
      <c r="G25" s="14"/>
      <c r="H25" s="16">
        <v>59.86</v>
      </c>
      <c r="I25" s="14"/>
      <c r="J25" s="71">
        <f t="shared" si="3"/>
        <v>59.86</v>
      </c>
    </row>
    <row r="26" ht="19.5" customHeight="1">
      <c r="A26" s="36">
        <v>39173.0</v>
      </c>
      <c r="B26" s="2" t="s">
        <v>128</v>
      </c>
      <c r="C26" s="70" t="s">
        <v>106</v>
      </c>
      <c r="D26" s="68">
        <v>50.0</v>
      </c>
      <c r="F26" s="14"/>
      <c r="G26" s="14"/>
      <c r="H26" s="16">
        <f>D26</f>
        <v>50</v>
      </c>
      <c r="I26" s="14"/>
      <c r="J26" s="71">
        <f t="shared" si="3"/>
        <v>50</v>
      </c>
    </row>
    <row r="27" ht="19.5" customHeight="1">
      <c r="A27" s="36">
        <v>39539.0</v>
      </c>
      <c r="B27" s="2" t="s">
        <v>129</v>
      </c>
      <c r="C27" s="70" t="s">
        <v>106</v>
      </c>
      <c r="D27" s="68">
        <v>1.0</v>
      </c>
      <c r="F27" s="14"/>
      <c r="G27" s="14"/>
      <c r="H27" s="16">
        <v>1.0</v>
      </c>
      <c r="I27" s="14"/>
      <c r="J27" s="71">
        <f t="shared" si="3"/>
        <v>1</v>
      </c>
    </row>
    <row r="28" ht="19.5" customHeight="1">
      <c r="A28" s="36">
        <v>39904.0</v>
      </c>
      <c r="B28" s="2" t="s">
        <v>130</v>
      </c>
      <c r="C28" s="70" t="s">
        <v>106</v>
      </c>
      <c r="D28" s="68">
        <v>1.0</v>
      </c>
      <c r="F28" s="14"/>
      <c r="G28" s="14"/>
      <c r="H28" s="16">
        <v>1.0</v>
      </c>
      <c r="I28" s="14"/>
      <c r="J28" s="71">
        <f t="shared" si="3"/>
        <v>1</v>
      </c>
      <c r="K28" s="12"/>
    </row>
    <row r="29" ht="19.5" customHeight="1">
      <c r="A29" s="36">
        <v>40269.0</v>
      </c>
      <c r="B29" s="2" t="s">
        <v>131</v>
      </c>
      <c r="C29" s="70" t="s">
        <v>106</v>
      </c>
      <c r="D29" s="68">
        <v>1.0</v>
      </c>
      <c r="F29" s="14"/>
      <c r="G29" s="14"/>
      <c r="H29" s="16">
        <v>1.0</v>
      </c>
      <c r="I29" s="14"/>
      <c r="J29" s="71">
        <f t="shared" si="3"/>
        <v>1</v>
      </c>
      <c r="K29" s="12"/>
    </row>
    <row r="30" ht="18.75" customHeight="1">
      <c r="A30" s="36">
        <v>40634.0</v>
      </c>
      <c r="B30" s="2" t="s">
        <v>132</v>
      </c>
      <c r="C30" s="12" t="s">
        <v>103</v>
      </c>
      <c r="D30" s="13">
        <v>1.0</v>
      </c>
      <c r="F30" s="14"/>
      <c r="G30" s="14"/>
      <c r="H30" s="16">
        <v>60.4</v>
      </c>
      <c r="I30" s="14"/>
      <c r="J30" s="71">
        <f t="shared" si="3"/>
        <v>60.4</v>
      </c>
      <c r="K30" s="12"/>
    </row>
    <row r="31" ht="19.5" customHeight="1">
      <c r="A31" s="36">
        <v>41000.0</v>
      </c>
      <c r="B31" s="2" t="s">
        <v>133</v>
      </c>
      <c r="C31" s="12" t="s">
        <v>103</v>
      </c>
      <c r="D31" s="13">
        <v>1.0</v>
      </c>
      <c r="F31" s="14"/>
      <c r="G31" s="14"/>
      <c r="H31" s="16">
        <v>10.35</v>
      </c>
      <c r="I31" s="14"/>
      <c r="J31" s="71">
        <f t="shared" si="3"/>
        <v>10.35</v>
      </c>
      <c r="K31" s="12"/>
    </row>
    <row r="32" ht="19.5" customHeight="1">
      <c r="A32" s="36">
        <v>37347.0</v>
      </c>
      <c r="B32" s="45" t="s">
        <v>134</v>
      </c>
      <c r="C32" s="12" t="s">
        <v>103</v>
      </c>
      <c r="D32" s="13">
        <v>1.0</v>
      </c>
      <c r="E32" s="2">
        <v>2.0</v>
      </c>
      <c r="F32" s="14">
        <f>(26*2)+24+24</f>
        <v>100</v>
      </c>
      <c r="G32" s="14"/>
      <c r="H32" s="14">
        <f>F32*E32*D32</f>
        <v>200</v>
      </c>
      <c r="I32" s="14"/>
      <c r="J32" s="71">
        <f t="shared" si="3"/>
        <v>200</v>
      </c>
      <c r="K32" s="12"/>
    </row>
    <row r="33" ht="19.5" customHeight="1">
      <c r="A33" s="12"/>
      <c r="C33" s="12"/>
      <c r="D33" s="13"/>
      <c r="F33" s="14"/>
      <c r="G33" s="14"/>
      <c r="H33" s="14"/>
      <c r="I33" s="14"/>
      <c r="J33" s="14"/>
      <c r="K33" s="12"/>
    </row>
    <row r="34" ht="19.5" customHeight="1">
      <c r="A34" s="50" t="s">
        <v>1</v>
      </c>
      <c r="B34" s="50" t="s">
        <v>91</v>
      </c>
      <c r="C34" s="50" t="s">
        <v>92</v>
      </c>
      <c r="D34" s="50" t="s">
        <v>93</v>
      </c>
      <c r="E34" s="50" t="s">
        <v>97</v>
      </c>
      <c r="F34" s="53" t="s">
        <v>121</v>
      </c>
      <c r="G34" s="53" t="s">
        <v>99</v>
      </c>
      <c r="H34" s="53" t="s">
        <v>100</v>
      </c>
      <c r="I34" s="53" t="s">
        <v>101</v>
      </c>
      <c r="J34" s="53" t="s">
        <v>95</v>
      </c>
      <c r="K34" s="50" t="s">
        <v>96</v>
      </c>
    </row>
    <row r="35" ht="19.5" customHeight="1">
      <c r="A35" s="36">
        <v>36892.0</v>
      </c>
      <c r="B35" s="2" t="s">
        <v>135</v>
      </c>
      <c r="C35" s="70" t="s">
        <v>106</v>
      </c>
      <c r="D35" s="13">
        <v>1.0</v>
      </c>
      <c r="E35" s="2"/>
      <c r="F35" s="14"/>
      <c r="G35" s="14"/>
      <c r="H35" s="14">
        <f t="shared" ref="H35:H37" si="4">D35</f>
        <v>1</v>
      </c>
      <c r="I35" s="14"/>
      <c r="J35" s="71">
        <f t="shared" ref="J35:J37" si="5">H35</f>
        <v>1</v>
      </c>
      <c r="K35" s="12"/>
    </row>
    <row r="36" ht="19.5" customHeight="1">
      <c r="A36" s="36">
        <v>37257.0</v>
      </c>
      <c r="B36" s="2" t="s">
        <v>136</v>
      </c>
      <c r="C36" s="70" t="s">
        <v>103</v>
      </c>
      <c r="D36" s="68">
        <v>6417.91</v>
      </c>
      <c r="E36" s="2"/>
      <c r="F36" s="14"/>
      <c r="G36" s="14"/>
      <c r="H36" s="14">
        <f t="shared" si="4"/>
        <v>6417.91</v>
      </c>
      <c r="I36" s="14"/>
      <c r="J36" s="71">
        <f t="shared" si="5"/>
        <v>6417.91</v>
      </c>
      <c r="K36" s="12"/>
    </row>
    <row r="37" ht="19.5" customHeight="1">
      <c r="A37" s="36">
        <v>37622.0</v>
      </c>
      <c r="B37" s="2" t="s">
        <v>137</v>
      </c>
      <c r="C37" s="70" t="s">
        <v>103</v>
      </c>
      <c r="D37" s="68">
        <v>6417.91</v>
      </c>
      <c r="E37" s="2"/>
      <c r="F37" s="14"/>
      <c r="G37" s="14"/>
      <c r="H37" s="14">
        <f t="shared" si="4"/>
        <v>6417.91</v>
      </c>
      <c r="I37" s="14"/>
      <c r="J37" s="71">
        <f t="shared" si="5"/>
        <v>6417.91</v>
      </c>
      <c r="K37" s="12"/>
    </row>
    <row r="38" ht="19.5" customHeight="1">
      <c r="A38" s="12"/>
      <c r="C38" s="12"/>
      <c r="D38" s="13"/>
      <c r="F38" s="14"/>
      <c r="G38" s="14"/>
      <c r="H38" s="14"/>
      <c r="I38" s="14"/>
      <c r="J38" s="14"/>
      <c r="K38" s="12"/>
    </row>
    <row r="39" ht="19.5" customHeight="1">
      <c r="A39" s="12"/>
      <c r="C39" s="12"/>
      <c r="D39" s="13"/>
      <c r="F39" s="14"/>
      <c r="G39" s="14"/>
      <c r="H39" s="14"/>
      <c r="I39" s="14"/>
      <c r="J39" s="14"/>
      <c r="K39" s="12"/>
    </row>
    <row r="40" ht="19.5" customHeight="1">
      <c r="A40" s="12"/>
      <c r="C40" s="12"/>
      <c r="D40" s="13"/>
      <c r="F40" s="14"/>
      <c r="G40" s="14"/>
      <c r="H40" s="14"/>
      <c r="I40" s="14"/>
      <c r="J40" s="14"/>
      <c r="K40" s="12"/>
    </row>
    <row r="41" ht="19.5" customHeight="1">
      <c r="A41" s="12"/>
      <c r="C41" s="12"/>
      <c r="D41" s="13"/>
      <c r="F41" s="14"/>
      <c r="G41" s="14"/>
      <c r="H41" s="14"/>
      <c r="I41" s="14"/>
      <c r="J41" s="14"/>
      <c r="K41" s="12"/>
    </row>
    <row r="42" ht="19.5" customHeight="1">
      <c r="A42" s="12"/>
      <c r="C42" s="12"/>
      <c r="D42" s="13"/>
      <c r="F42" s="14"/>
      <c r="G42" s="14"/>
      <c r="H42" s="14"/>
      <c r="I42" s="14"/>
      <c r="J42" s="14"/>
      <c r="K42" s="12"/>
    </row>
    <row r="43" ht="19.5" customHeight="1">
      <c r="A43" s="12"/>
      <c r="C43" s="12"/>
      <c r="D43" s="13"/>
      <c r="F43" s="14"/>
      <c r="G43" s="14"/>
      <c r="H43" s="14"/>
      <c r="I43" s="14"/>
      <c r="J43" s="14"/>
      <c r="K43" s="12"/>
    </row>
    <row r="44" ht="19.5" customHeight="1">
      <c r="A44" s="12"/>
      <c r="C44" s="12"/>
      <c r="D44" s="13"/>
      <c r="F44" s="14"/>
      <c r="G44" s="14"/>
      <c r="H44" s="14"/>
      <c r="I44" s="14"/>
      <c r="J44" s="14"/>
      <c r="K44" s="12"/>
    </row>
    <row r="45" ht="19.5" customHeight="1">
      <c r="A45" s="12"/>
      <c r="C45" s="12"/>
      <c r="D45" s="13"/>
      <c r="F45" s="14"/>
      <c r="G45" s="14"/>
      <c r="H45" s="14"/>
      <c r="I45" s="14"/>
      <c r="J45" s="14"/>
      <c r="K45" s="12"/>
    </row>
    <row r="46" ht="19.5" customHeight="1">
      <c r="A46" s="12"/>
      <c r="C46" s="12"/>
      <c r="D46" s="13"/>
      <c r="F46" s="14"/>
      <c r="G46" s="14"/>
      <c r="H46" s="14"/>
      <c r="I46" s="14"/>
      <c r="J46" s="14"/>
      <c r="K46" s="12"/>
    </row>
    <row r="47" ht="19.5" customHeight="1">
      <c r="A47" s="12"/>
      <c r="C47" s="12"/>
      <c r="D47" s="13"/>
      <c r="F47" s="14"/>
      <c r="G47" s="14"/>
      <c r="H47" s="14"/>
      <c r="I47" s="14"/>
      <c r="J47" s="14"/>
      <c r="K47" s="12"/>
    </row>
    <row r="48" ht="19.5" customHeight="1">
      <c r="A48" s="12"/>
      <c r="C48" s="12"/>
      <c r="D48" s="13"/>
      <c r="F48" s="14"/>
      <c r="G48" s="14"/>
      <c r="H48" s="14"/>
      <c r="I48" s="14"/>
      <c r="J48" s="14"/>
      <c r="K48" s="12"/>
    </row>
    <row r="49" ht="19.5" customHeight="1">
      <c r="A49" s="12"/>
      <c r="C49" s="12"/>
      <c r="D49" s="13"/>
      <c r="F49" s="14"/>
      <c r="G49" s="14"/>
      <c r="H49" s="14"/>
      <c r="I49" s="14"/>
      <c r="J49" s="14"/>
      <c r="K49" s="12"/>
    </row>
    <row r="50" ht="19.5" customHeight="1">
      <c r="A50" s="12"/>
      <c r="C50" s="12"/>
      <c r="D50" s="13"/>
      <c r="F50" s="14"/>
      <c r="G50" s="14"/>
      <c r="H50" s="14"/>
      <c r="I50" s="14"/>
      <c r="J50" s="14"/>
      <c r="K50" s="12"/>
    </row>
    <row r="51" ht="19.5" customHeight="1">
      <c r="A51" s="12"/>
      <c r="C51" s="12"/>
      <c r="D51" s="13"/>
      <c r="F51" s="14"/>
      <c r="G51" s="14"/>
      <c r="H51" s="14"/>
      <c r="I51" s="14"/>
      <c r="J51" s="14"/>
      <c r="K51" s="12"/>
    </row>
    <row r="52" ht="19.5" customHeight="1">
      <c r="A52" s="12"/>
      <c r="C52" s="12"/>
      <c r="D52" s="13"/>
      <c r="F52" s="14"/>
      <c r="G52" s="14"/>
      <c r="H52" s="14"/>
      <c r="I52" s="14"/>
      <c r="J52" s="14"/>
      <c r="K52" s="12"/>
    </row>
    <row r="53" ht="19.5" customHeight="1">
      <c r="A53" s="12"/>
      <c r="C53" s="12"/>
      <c r="D53" s="13"/>
      <c r="F53" s="14"/>
      <c r="G53" s="14"/>
      <c r="H53" s="14"/>
      <c r="I53" s="14"/>
      <c r="J53" s="14"/>
      <c r="K53" s="12"/>
    </row>
    <row r="54" ht="19.5" customHeight="1">
      <c r="A54" s="12"/>
      <c r="C54" s="12"/>
      <c r="D54" s="13"/>
      <c r="F54" s="14"/>
      <c r="G54" s="14"/>
      <c r="H54" s="14"/>
      <c r="I54" s="14"/>
      <c r="J54" s="14"/>
      <c r="K54" s="12"/>
    </row>
    <row r="55" ht="19.5" customHeight="1">
      <c r="A55" s="12"/>
      <c r="C55" s="12"/>
      <c r="D55" s="13"/>
      <c r="F55" s="14"/>
      <c r="G55" s="14"/>
      <c r="H55" s="14"/>
      <c r="I55" s="14"/>
      <c r="J55" s="14"/>
      <c r="K55" s="12"/>
    </row>
    <row r="56" ht="19.5" customHeight="1">
      <c r="A56" s="12"/>
      <c r="C56" s="12"/>
      <c r="D56" s="13"/>
      <c r="F56" s="14"/>
      <c r="G56" s="14"/>
      <c r="H56" s="14"/>
      <c r="I56" s="14"/>
      <c r="J56" s="14"/>
      <c r="K56" s="12"/>
    </row>
    <row r="57" ht="19.5" customHeight="1">
      <c r="A57" s="12"/>
      <c r="C57" s="12"/>
      <c r="D57" s="13"/>
      <c r="F57" s="14"/>
      <c r="G57" s="14"/>
      <c r="H57" s="14"/>
      <c r="I57" s="14"/>
      <c r="J57" s="14"/>
      <c r="K57" s="12"/>
    </row>
    <row r="58" ht="19.5" customHeight="1">
      <c r="A58" s="12"/>
      <c r="C58" s="12"/>
      <c r="D58" s="13"/>
      <c r="F58" s="14"/>
      <c r="G58" s="14"/>
      <c r="H58" s="14"/>
      <c r="I58" s="14"/>
      <c r="J58" s="14"/>
      <c r="K58" s="12"/>
    </row>
    <row r="59" ht="19.5" customHeight="1">
      <c r="A59" s="12"/>
      <c r="C59" s="12"/>
      <c r="D59" s="13"/>
      <c r="F59" s="14"/>
      <c r="G59" s="14"/>
      <c r="H59" s="14"/>
      <c r="I59" s="14"/>
      <c r="J59" s="14"/>
      <c r="K59" s="12"/>
    </row>
    <row r="60" ht="19.5" customHeight="1">
      <c r="A60" s="12"/>
      <c r="C60" s="12"/>
      <c r="D60" s="13"/>
      <c r="F60" s="14"/>
      <c r="G60" s="14"/>
      <c r="H60" s="14"/>
      <c r="I60" s="14"/>
      <c r="J60" s="14"/>
      <c r="K60" s="12"/>
    </row>
    <row r="61" ht="19.5" customHeight="1">
      <c r="A61" s="12"/>
      <c r="C61" s="12"/>
      <c r="D61" s="13"/>
      <c r="F61" s="14"/>
      <c r="G61" s="14"/>
      <c r="H61" s="14"/>
      <c r="I61" s="14"/>
      <c r="J61" s="14"/>
      <c r="K61" s="12"/>
    </row>
    <row r="62" ht="19.5" customHeight="1">
      <c r="A62" s="12"/>
      <c r="C62" s="12"/>
      <c r="D62" s="13"/>
      <c r="F62" s="14"/>
      <c r="G62" s="14"/>
      <c r="H62" s="14"/>
      <c r="I62" s="14"/>
      <c r="J62" s="14"/>
      <c r="K62" s="12"/>
    </row>
    <row r="63" ht="19.5" customHeight="1">
      <c r="A63" s="12"/>
      <c r="C63" s="12"/>
      <c r="D63" s="13"/>
      <c r="F63" s="14"/>
      <c r="G63" s="14"/>
      <c r="H63" s="14"/>
      <c r="I63" s="14"/>
      <c r="J63" s="14"/>
      <c r="K63" s="12"/>
    </row>
    <row r="64" ht="19.5" customHeight="1">
      <c r="A64" s="12"/>
      <c r="C64" s="12"/>
      <c r="D64" s="13"/>
      <c r="F64" s="14"/>
      <c r="G64" s="14"/>
      <c r="H64" s="14"/>
      <c r="I64" s="14"/>
      <c r="J64" s="14"/>
      <c r="K64" s="12"/>
    </row>
    <row r="65" ht="19.5" customHeight="1">
      <c r="A65" s="12"/>
      <c r="C65" s="12"/>
      <c r="D65" s="13"/>
      <c r="F65" s="14"/>
      <c r="G65" s="14"/>
      <c r="H65" s="14"/>
      <c r="I65" s="14"/>
      <c r="J65" s="14"/>
      <c r="K65" s="12"/>
    </row>
    <row r="66" ht="19.5" customHeight="1">
      <c r="A66" s="12"/>
      <c r="C66" s="12"/>
      <c r="D66" s="13"/>
      <c r="F66" s="14"/>
      <c r="G66" s="14"/>
      <c r="H66" s="14"/>
      <c r="I66" s="14"/>
      <c r="J66" s="14"/>
      <c r="K66" s="12"/>
    </row>
    <row r="67" ht="19.5" customHeight="1">
      <c r="A67" s="12"/>
      <c r="C67" s="12"/>
      <c r="D67" s="13"/>
      <c r="F67" s="14"/>
      <c r="G67" s="14"/>
      <c r="H67" s="14"/>
      <c r="I67" s="14"/>
      <c r="J67" s="14"/>
      <c r="K67" s="12"/>
    </row>
    <row r="68" ht="19.5" customHeight="1">
      <c r="A68" s="12"/>
      <c r="C68" s="12"/>
      <c r="D68" s="13"/>
      <c r="F68" s="14"/>
      <c r="G68" s="14"/>
      <c r="H68" s="14"/>
      <c r="I68" s="14"/>
      <c r="J68" s="14"/>
      <c r="K68" s="12"/>
    </row>
    <row r="69" ht="19.5" customHeight="1">
      <c r="A69" s="12"/>
      <c r="C69" s="12"/>
      <c r="D69" s="13"/>
      <c r="F69" s="14"/>
      <c r="G69" s="14"/>
      <c r="H69" s="14"/>
      <c r="I69" s="14"/>
      <c r="J69" s="14"/>
      <c r="K69" s="12"/>
    </row>
    <row r="70" ht="19.5" customHeight="1">
      <c r="A70" s="12"/>
      <c r="C70" s="12"/>
      <c r="D70" s="13"/>
      <c r="F70" s="14"/>
      <c r="G70" s="14"/>
      <c r="H70" s="14"/>
      <c r="I70" s="14"/>
      <c r="J70" s="14"/>
      <c r="K70" s="12"/>
    </row>
    <row r="71" ht="19.5" customHeight="1">
      <c r="A71" s="12"/>
      <c r="C71" s="12"/>
      <c r="D71" s="13"/>
      <c r="F71" s="14"/>
      <c r="G71" s="14"/>
      <c r="H71" s="14"/>
      <c r="I71" s="14"/>
      <c r="J71" s="14"/>
      <c r="K71" s="12"/>
    </row>
    <row r="72" ht="19.5" customHeight="1">
      <c r="A72" s="12"/>
      <c r="C72" s="12"/>
      <c r="D72" s="13"/>
      <c r="F72" s="14"/>
      <c r="G72" s="14"/>
      <c r="H72" s="14"/>
      <c r="I72" s="14"/>
      <c r="J72" s="14"/>
      <c r="K72" s="12"/>
    </row>
    <row r="73" ht="19.5" customHeight="1">
      <c r="A73" s="12"/>
      <c r="C73" s="12"/>
      <c r="D73" s="13"/>
      <c r="F73" s="14"/>
      <c r="G73" s="14"/>
      <c r="H73" s="14"/>
      <c r="I73" s="14"/>
      <c r="J73" s="14"/>
      <c r="K73" s="12"/>
    </row>
    <row r="74" ht="19.5" customHeight="1">
      <c r="A74" s="12"/>
      <c r="C74" s="12"/>
      <c r="D74" s="13"/>
      <c r="F74" s="14"/>
      <c r="G74" s="14"/>
      <c r="H74" s="14"/>
      <c r="I74" s="14"/>
      <c r="J74" s="14"/>
      <c r="K74" s="12"/>
    </row>
    <row r="75" ht="19.5" customHeight="1">
      <c r="A75" s="12"/>
      <c r="C75" s="12"/>
      <c r="D75" s="13"/>
      <c r="F75" s="14"/>
      <c r="G75" s="14"/>
      <c r="H75" s="14"/>
      <c r="I75" s="14"/>
      <c r="J75" s="14"/>
      <c r="K75" s="12"/>
    </row>
    <row r="76" ht="19.5" customHeight="1">
      <c r="A76" s="12"/>
      <c r="C76" s="12"/>
      <c r="D76" s="13"/>
      <c r="F76" s="14"/>
      <c r="G76" s="14"/>
      <c r="H76" s="14"/>
      <c r="I76" s="14"/>
      <c r="J76" s="14"/>
      <c r="K76" s="12"/>
    </row>
    <row r="77" ht="19.5" customHeight="1">
      <c r="A77" s="12"/>
      <c r="C77" s="12"/>
      <c r="D77" s="13"/>
      <c r="F77" s="14"/>
      <c r="G77" s="14"/>
      <c r="H77" s="14"/>
      <c r="I77" s="14"/>
      <c r="J77" s="14"/>
      <c r="K77" s="12"/>
    </row>
    <row r="78" ht="19.5" customHeight="1">
      <c r="A78" s="12"/>
      <c r="C78" s="12"/>
      <c r="D78" s="13"/>
      <c r="F78" s="14"/>
      <c r="G78" s="14"/>
      <c r="H78" s="14"/>
      <c r="I78" s="14"/>
      <c r="J78" s="14"/>
      <c r="K78" s="12"/>
    </row>
    <row r="79" ht="19.5" customHeight="1">
      <c r="A79" s="12"/>
      <c r="C79" s="12"/>
      <c r="D79" s="13"/>
      <c r="F79" s="14"/>
      <c r="G79" s="14"/>
      <c r="H79" s="14"/>
      <c r="I79" s="14"/>
      <c r="J79" s="14"/>
      <c r="K79" s="12"/>
    </row>
    <row r="80" ht="19.5" customHeight="1">
      <c r="A80" s="12"/>
      <c r="C80" s="12"/>
      <c r="D80" s="13"/>
      <c r="F80" s="14"/>
      <c r="G80" s="14"/>
      <c r="H80" s="14"/>
      <c r="I80" s="14"/>
      <c r="J80" s="14"/>
      <c r="K80" s="12"/>
    </row>
    <row r="81" ht="19.5" customHeight="1">
      <c r="A81" s="12"/>
      <c r="C81" s="12"/>
      <c r="D81" s="13"/>
      <c r="F81" s="14"/>
      <c r="G81" s="14"/>
      <c r="H81" s="14"/>
      <c r="I81" s="14"/>
      <c r="J81" s="14"/>
      <c r="K81" s="12"/>
    </row>
    <row r="82" ht="19.5" customHeight="1">
      <c r="A82" s="12"/>
      <c r="C82" s="12"/>
      <c r="D82" s="13"/>
      <c r="F82" s="14"/>
      <c r="G82" s="14"/>
      <c r="H82" s="14"/>
      <c r="I82" s="14"/>
      <c r="J82" s="14"/>
      <c r="K82" s="12"/>
    </row>
    <row r="83" ht="19.5" customHeight="1">
      <c r="A83" s="12"/>
      <c r="C83" s="12"/>
      <c r="D83" s="13"/>
      <c r="F83" s="14"/>
      <c r="G83" s="14"/>
      <c r="H83" s="14"/>
      <c r="I83" s="14"/>
      <c r="J83" s="14"/>
      <c r="K83" s="12"/>
    </row>
    <row r="84" ht="19.5" customHeight="1">
      <c r="A84" s="12"/>
      <c r="C84" s="12"/>
      <c r="D84" s="13"/>
      <c r="F84" s="14"/>
      <c r="G84" s="14"/>
      <c r="H84" s="14"/>
      <c r="I84" s="14"/>
      <c r="J84" s="14"/>
      <c r="K84" s="12"/>
    </row>
    <row r="85" ht="19.5" customHeight="1">
      <c r="A85" s="12"/>
      <c r="C85" s="12"/>
      <c r="D85" s="13"/>
      <c r="F85" s="14"/>
      <c r="G85" s="14"/>
      <c r="H85" s="14"/>
      <c r="I85" s="14"/>
      <c r="J85" s="14"/>
      <c r="K85" s="12"/>
    </row>
    <row r="86" ht="19.5" customHeight="1">
      <c r="A86" s="12"/>
      <c r="C86" s="12"/>
      <c r="D86" s="13"/>
      <c r="F86" s="14"/>
      <c r="G86" s="14"/>
      <c r="H86" s="14"/>
      <c r="I86" s="14"/>
      <c r="J86" s="14"/>
      <c r="K86" s="12"/>
    </row>
    <row r="87" ht="19.5" customHeight="1">
      <c r="A87" s="12"/>
      <c r="C87" s="12"/>
      <c r="D87" s="13"/>
      <c r="F87" s="14"/>
      <c r="G87" s="14"/>
      <c r="H87" s="14"/>
      <c r="I87" s="14"/>
      <c r="J87" s="14"/>
      <c r="K87" s="12"/>
    </row>
    <row r="88" ht="19.5" customHeight="1">
      <c r="A88" s="12"/>
      <c r="C88" s="12"/>
      <c r="D88" s="13"/>
      <c r="F88" s="14"/>
      <c r="G88" s="14"/>
      <c r="H88" s="14"/>
      <c r="I88" s="14"/>
      <c r="J88" s="14"/>
      <c r="K88" s="12"/>
    </row>
    <row r="89" ht="19.5" customHeight="1">
      <c r="A89" s="12"/>
      <c r="C89" s="12"/>
      <c r="D89" s="13"/>
      <c r="F89" s="14"/>
      <c r="G89" s="14"/>
      <c r="H89" s="14"/>
      <c r="I89" s="14"/>
      <c r="J89" s="14"/>
      <c r="K89" s="12"/>
    </row>
    <row r="90" ht="19.5" customHeight="1">
      <c r="A90" s="12"/>
      <c r="C90" s="12"/>
      <c r="D90" s="13"/>
      <c r="F90" s="14"/>
      <c r="G90" s="14"/>
      <c r="H90" s="14"/>
      <c r="I90" s="14"/>
      <c r="J90" s="14"/>
      <c r="K90" s="12"/>
    </row>
    <row r="91" ht="19.5" customHeight="1">
      <c r="A91" s="12"/>
      <c r="C91" s="12"/>
      <c r="D91" s="13"/>
      <c r="F91" s="14"/>
      <c r="G91" s="14"/>
      <c r="H91" s="14"/>
      <c r="I91" s="14"/>
      <c r="J91" s="14"/>
      <c r="K91" s="12"/>
    </row>
    <row r="92" ht="19.5" customHeight="1">
      <c r="A92" s="12"/>
      <c r="C92" s="12"/>
      <c r="D92" s="13"/>
      <c r="F92" s="14"/>
      <c r="G92" s="14"/>
      <c r="H92" s="14"/>
      <c r="I92" s="14"/>
      <c r="J92" s="14"/>
      <c r="K92" s="12"/>
    </row>
    <row r="93" ht="19.5" customHeight="1">
      <c r="A93" s="12"/>
      <c r="C93" s="12"/>
      <c r="D93" s="13"/>
      <c r="F93" s="14"/>
      <c r="G93" s="14"/>
      <c r="H93" s="14"/>
      <c r="I93" s="14"/>
      <c r="J93" s="14"/>
      <c r="K93" s="12"/>
    </row>
    <row r="94" ht="19.5" customHeight="1">
      <c r="A94" s="12"/>
      <c r="C94" s="12"/>
      <c r="D94" s="13"/>
      <c r="F94" s="14"/>
      <c r="G94" s="14"/>
      <c r="H94" s="14"/>
      <c r="I94" s="14"/>
      <c r="J94" s="14"/>
      <c r="K94" s="12"/>
    </row>
    <row r="95" ht="19.5" customHeight="1">
      <c r="A95" s="12"/>
      <c r="C95" s="12"/>
      <c r="D95" s="13"/>
      <c r="F95" s="14"/>
      <c r="G95" s="14"/>
      <c r="H95" s="14"/>
      <c r="I95" s="14"/>
      <c r="J95" s="14"/>
      <c r="K95" s="12"/>
    </row>
    <row r="96" ht="19.5" customHeight="1">
      <c r="A96" s="12"/>
      <c r="C96" s="12"/>
      <c r="D96" s="13"/>
      <c r="F96" s="14"/>
      <c r="G96" s="14"/>
      <c r="H96" s="14"/>
      <c r="I96" s="14"/>
      <c r="J96" s="14"/>
      <c r="K96" s="12"/>
    </row>
    <row r="97" ht="19.5" customHeight="1">
      <c r="A97" s="12"/>
      <c r="C97" s="12"/>
      <c r="D97" s="13"/>
      <c r="F97" s="14"/>
      <c r="G97" s="14"/>
      <c r="H97" s="14"/>
      <c r="I97" s="14"/>
      <c r="J97" s="14"/>
      <c r="K97" s="12"/>
    </row>
    <row r="98" ht="19.5" customHeight="1">
      <c r="A98" s="12"/>
      <c r="C98" s="12"/>
      <c r="D98" s="13"/>
      <c r="F98" s="14"/>
      <c r="G98" s="14"/>
      <c r="H98" s="14"/>
      <c r="I98" s="14"/>
      <c r="J98" s="14"/>
      <c r="K98" s="12"/>
    </row>
    <row r="99" ht="19.5" customHeight="1">
      <c r="A99" s="12"/>
      <c r="C99" s="12"/>
      <c r="D99" s="13"/>
      <c r="F99" s="14"/>
      <c r="G99" s="14"/>
      <c r="H99" s="14"/>
      <c r="I99" s="14"/>
      <c r="J99" s="14"/>
      <c r="K99" s="12"/>
    </row>
    <row r="100" ht="19.5" customHeight="1">
      <c r="A100" s="12"/>
      <c r="C100" s="12"/>
      <c r="D100" s="13"/>
      <c r="F100" s="14"/>
      <c r="G100" s="14"/>
      <c r="H100" s="14"/>
      <c r="I100" s="14"/>
      <c r="J100" s="14"/>
      <c r="K100" s="12"/>
    </row>
    <row r="101" ht="19.5" customHeight="1">
      <c r="A101" s="12"/>
      <c r="C101" s="12"/>
      <c r="D101" s="13"/>
      <c r="F101" s="14"/>
      <c r="G101" s="14"/>
      <c r="H101" s="14"/>
      <c r="I101" s="14"/>
      <c r="J101" s="14"/>
      <c r="K101" s="12"/>
    </row>
    <row r="102" ht="19.5" customHeight="1">
      <c r="A102" s="12"/>
      <c r="C102" s="12"/>
      <c r="D102" s="13"/>
      <c r="F102" s="14"/>
      <c r="G102" s="14"/>
      <c r="H102" s="14"/>
      <c r="I102" s="14"/>
      <c r="J102" s="14"/>
      <c r="K102" s="12"/>
    </row>
    <row r="103" ht="19.5" customHeight="1">
      <c r="A103" s="12"/>
      <c r="C103" s="12"/>
      <c r="D103" s="13"/>
      <c r="F103" s="14"/>
      <c r="G103" s="14"/>
      <c r="H103" s="14"/>
      <c r="I103" s="14"/>
      <c r="J103" s="14"/>
      <c r="K103" s="12"/>
    </row>
    <row r="104" ht="19.5" customHeight="1">
      <c r="A104" s="12"/>
      <c r="C104" s="12"/>
      <c r="D104" s="13"/>
      <c r="F104" s="14"/>
      <c r="G104" s="14"/>
      <c r="H104" s="14"/>
      <c r="I104" s="14"/>
      <c r="J104" s="14"/>
      <c r="K104" s="12"/>
    </row>
    <row r="105" ht="19.5" customHeight="1">
      <c r="A105" s="12"/>
      <c r="C105" s="12"/>
      <c r="D105" s="13"/>
      <c r="F105" s="14"/>
      <c r="G105" s="14"/>
      <c r="H105" s="14"/>
      <c r="I105" s="14"/>
      <c r="J105" s="14"/>
      <c r="K105" s="12"/>
    </row>
    <row r="106" ht="19.5" customHeight="1">
      <c r="A106" s="12"/>
      <c r="C106" s="12"/>
      <c r="D106" s="13"/>
      <c r="F106" s="14"/>
      <c r="G106" s="14"/>
      <c r="H106" s="14"/>
      <c r="I106" s="14"/>
      <c r="J106" s="14"/>
      <c r="K106" s="12"/>
    </row>
    <row r="107" ht="19.5" customHeight="1">
      <c r="A107" s="12"/>
      <c r="C107" s="12"/>
      <c r="D107" s="13"/>
      <c r="F107" s="14"/>
      <c r="G107" s="14"/>
      <c r="H107" s="14"/>
      <c r="I107" s="14"/>
      <c r="J107" s="14"/>
      <c r="K107" s="12"/>
    </row>
    <row r="108" ht="19.5" customHeight="1">
      <c r="A108" s="12"/>
      <c r="C108" s="12"/>
      <c r="D108" s="13"/>
      <c r="F108" s="14"/>
      <c r="G108" s="14"/>
      <c r="H108" s="14"/>
      <c r="I108" s="14"/>
      <c r="J108" s="14"/>
      <c r="K108" s="12"/>
    </row>
    <row r="109" ht="19.5" customHeight="1">
      <c r="A109" s="12"/>
      <c r="C109" s="12"/>
      <c r="D109" s="13"/>
      <c r="F109" s="14"/>
      <c r="G109" s="14"/>
      <c r="H109" s="14"/>
      <c r="I109" s="14"/>
      <c r="J109" s="14"/>
      <c r="K109" s="12"/>
    </row>
    <row r="110" ht="19.5" customHeight="1">
      <c r="A110" s="12"/>
      <c r="C110" s="12"/>
      <c r="D110" s="13"/>
      <c r="F110" s="14"/>
      <c r="G110" s="14"/>
      <c r="H110" s="14"/>
      <c r="I110" s="14"/>
      <c r="J110" s="14"/>
      <c r="K110" s="12"/>
    </row>
    <row r="111" ht="19.5" customHeight="1">
      <c r="A111" s="12"/>
      <c r="C111" s="12"/>
      <c r="D111" s="13"/>
      <c r="F111" s="14"/>
      <c r="G111" s="14"/>
      <c r="H111" s="14"/>
      <c r="I111" s="14"/>
      <c r="J111" s="14"/>
      <c r="K111" s="12"/>
    </row>
    <row r="112" ht="19.5" customHeight="1">
      <c r="A112" s="12"/>
      <c r="C112" s="12"/>
      <c r="D112" s="13"/>
      <c r="F112" s="14"/>
      <c r="G112" s="14"/>
      <c r="H112" s="14"/>
      <c r="I112" s="14"/>
      <c r="J112" s="14"/>
      <c r="K112" s="12"/>
    </row>
    <row r="113" ht="19.5" customHeight="1">
      <c r="A113" s="12"/>
      <c r="C113" s="12"/>
      <c r="D113" s="13"/>
      <c r="F113" s="14"/>
      <c r="G113" s="14"/>
      <c r="H113" s="14"/>
      <c r="I113" s="14"/>
      <c r="J113" s="14"/>
      <c r="K113" s="12"/>
    </row>
    <row r="114" ht="19.5" customHeight="1">
      <c r="A114" s="12"/>
      <c r="C114" s="12"/>
      <c r="D114" s="13"/>
      <c r="F114" s="14"/>
      <c r="G114" s="14"/>
      <c r="H114" s="14"/>
      <c r="I114" s="14"/>
      <c r="J114" s="14"/>
      <c r="K114" s="12"/>
    </row>
    <row r="115" ht="19.5" customHeight="1">
      <c r="A115" s="12"/>
      <c r="C115" s="12"/>
      <c r="D115" s="13"/>
      <c r="F115" s="14"/>
      <c r="G115" s="14"/>
      <c r="H115" s="14"/>
      <c r="I115" s="14"/>
      <c r="J115" s="14"/>
      <c r="K115" s="12"/>
    </row>
    <row r="116" ht="19.5" customHeight="1">
      <c r="A116" s="12"/>
      <c r="C116" s="12"/>
      <c r="D116" s="13"/>
      <c r="F116" s="14"/>
      <c r="G116" s="14"/>
      <c r="H116" s="14"/>
      <c r="I116" s="14"/>
      <c r="J116" s="14"/>
      <c r="K116" s="12"/>
    </row>
    <row r="117" ht="19.5" customHeight="1">
      <c r="A117" s="12"/>
      <c r="C117" s="12"/>
      <c r="D117" s="13"/>
      <c r="F117" s="14"/>
      <c r="G117" s="14"/>
      <c r="H117" s="14"/>
      <c r="I117" s="14"/>
      <c r="J117" s="14"/>
      <c r="K117" s="12"/>
    </row>
    <row r="118" ht="19.5" customHeight="1">
      <c r="A118" s="12"/>
      <c r="C118" s="12"/>
      <c r="D118" s="13"/>
      <c r="F118" s="14"/>
      <c r="G118" s="14"/>
      <c r="H118" s="14"/>
      <c r="I118" s="14"/>
      <c r="J118" s="14"/>
      <c r="K118" s="12"/>
    </row>
    <row r="119" ht="19.5" customHeight="1">
      <c r="A119" s="12"/>
      <c r="C119" s="12"/>
      <c r="D119" s="13"/>
      <c r="F119" s="14"/>
      <c r="G119" s="14"/>
      <c r="H119" s="14"/>
      <c r="I119" s="14"/>
      <c r="J119" s="14"/>
      <c r="K119" s="12"/>
    </row>
    <row r="120" ht="19.5" customHeight="1">
      <c r="A120" s="12"/>
      <c r="C120" s="12"/>
      <c r="D120" s="13"/>
      <c r="F120" s="14"/>
      <c r="G120" s="14"/>
      <c r="H120" s="14"/>
      <c r="I120" s="14"/>
      <c r="J120" s="14"/>
      <c r="K120" s="12"/>
    </row>
    <row r="121" ht="19.5" customHeight="1">
      <c r="A121" s="12"/>
      <c r="C121" s="12"/>
      <c r="D121" s="13"/>
      <c r="F121" s="14"/>
      <c r="G121" s="14"/>
      <c r="H121" s="14"/>
      <c r="I121" s="14"/>
      <c r="J121" s="14"/>
      <c r="K121" s="12"/>
    </row>
    <row r="122" ht="19.5" customHeight="1">
      <c r="A122" s="12"/>
      <c r="C122" s="12"/>
      <c r="D122" s="13"/>
      <c r="F122" s="14"/>
      <c r="G122" s="14"/>
      <c r="H122" s="14"/>
      <c r="I122" s="14"/>
      <c r="J122" s="14"/>
      <c r="K122" s="12"/>
    </row>
    <row r="123" ht="19.5" customHeight="1">
      <c r="A123" s="12"/>
      <c r="C123" s="12"/>
      <c r="D123" s="13"/>
      <c r="F123" s="14"/>
      <c r="G123" s="14"/>
      <c r="H123" s="14"/>
      <c r="I123" s="14"/>
      <c r="J123" s="14"/>
      <c r="K123" s="12"/>
    </row>
    <row r="124" ht="19.5" customHeight="1">
      <c r="A124" s="12"/>
      <c r="C124" s="12"/>
      <c r="D124" s="13"/>
      <c r="F124" s="14"/>
      <c r="G124" s="14"/>
      <c r="H124" s="14"/>
      <c r="I124" s="14"/>
      <c r="J124" s="14"/>
      <c r="K124" s="12"/>
    </row>
    <row r="125" ht="19.5" customHeight="1">
      <c r="A125" s="12"/>
      <c r="C125" s="12"/>
      <c r="D125" s="13"/>
      <c r="F125" s="14"/>
      <c r="G125" s="14"/>
      <c r="H125" s="14"/>
      <c r="I125" s="14"/>
      <c r="J125" s="14"/>
      <c r="K125" s="12"/>
    </row>
    <row r="126" ht="19.5" customHeight="1">
      <c r="A126" s="12"/>
      <c r="C126" s="12"/>
      <c r="D126" s="13"/>
      <c r="F126" s="14"/>
      <c r="G126" s="14"/>
      <c r="H126" s="14"/>
      <c r="I126" s="14"/>
      <c r="J126" s="14"/>
      <c r="K126" s="12"/>
    </row>
    <row r="127" ht="19.5" customHeight="1">
      <c r="A127" s="12"/>
      <c r="C127" s="12"/>
      <c r="D127" s="13"/>
      <c r="F127" s="14"/>
      <c r="G127" s="14"/>
      <c r="H127" s="14"/>
      <c r="I127" s="14"/>
      <c r="J127" s="14"/>
      <c r="K127" s="12"/>
    </row>
    <row r="128" ht="19.5" customHeight="1">
      <c r="A128" s="12"/>
      <c r="C128" s="12"/>
      <c r="D128" s="13"/>
      <c r="F128" s="14"/>
      <c r="G128" s="14"/>
      <c r="H128" s="14"/>
      <c r="I128" s="14"/>
      <c r="J128" s="14"/>
      <c r="K128" s="12"/>
    </row>
    <row r="129" ht="19.5" customHeight="1">
      <c r="A129" s="12"/>
      <c r="C129" s="12"/>
      <c r="D129" s="13"/>
      <c r="F129" s="14"/>
      <c r="G129" s="14"/>
      <c r="H129" s="14"/>
      <c r="I129" s="14"/>
      <c r="J129" s="14"/>
      <c r="K129" s="12"/>
    </row>
    <row r="130" ht="19.5" customHeight="1">
      <c r="A130" s="12"/>
      <c r="C130" s="12"/>
      <c r="D130" s="13"/>
      <c r="F130" s="14"/>
      <c r="G130" s="14"/>
      <c r="H130" s="14"/>
      <c r="I130" s="14"/>
      <c r="J130" s="14"/>
      <c r="K130" s="12"/>
    </row>
    <row r="131" ht="19.5" customHeight="1">
      <c r="A131" s="12"/>
      <c r="C131" s="12"/>
      <c r="D131" s="13"/>
      <c r="F131" s="14"/>
      <c r="G131" s="14"/>
      <c r="H131" s="14"/>
      <c r="I131" s="14"/>
      <c r="J131" s="14"/>
      <c r="K131" s="12"/>
    </row>
    <row r="132" ht="19.5" customHeight="1">
      <c r="A132" s="12"/>
      <c r="C132" s="12"/>
      <c r="D132" s="13"/>
      <c r="F132" s="14"/>
      <c r="G132" s="14"/>
      <c r="H132" s="14"/>
      <c r="I132" s="14"/>
      <c r="J132" s="14"/>
      <c r="K132" s="12"/>
    </row>
    <row r="133" ht="19.5" customHeight="1">
      <c r="A133" s="12"/>
      <c r="C133" s="12"/>
      <c r="D133" s="13"/>
      <c r="F133" s="14"/>
      <c r="G133" s="14"/>
      <c r="H133" s="14"/>
      <c r="I133" s="14"/>
      <c r="J133" s="14"/>
      <c r="K133" s="12"/>
    </row>
    <row r="134" ht="19.5" customHeight="1">
      <c r="A134" s="12"/>
      <c r="C134" s="12"/>
      <c r="D134" s="13"/>
      <c r="F134" s="14"/>
      <c r="G134" s="14"/>
      <c r="H134" s="14"/>
      <c r="I134" s="14"/>
      <c r="J134" s="14"/>
      <c r="K134" s="12"/>
    </row>
    <row r="135" ht="19.5" customHeight="1">
      <c r="A135" s="12"/>
      <c r="C135" s="12"/>
      <c r="D135" s="13"/>
      <c r="F135" s="14"/>
      <c r="G135" s="14"/>
      <c r="H135" s="14"/>
      <c r="I135" s="14"/>
      <c r="J135" s="14"/>
      <c r="K135" s="12"/>
    </row>
    <row r="136" ht="19.5" customHeight="1">
      <c r="A136" s="12"/>
      <c r="C136" s="12"/>
      <c r="D136" s="13"/>
      <c r="F136" s="14"/>
      <c r="G136" s="14"/>
      <c r="H136" s="14"/>
      <c r="I136" s="14"/>
      <c r="J136" s="14"/>
      <c r="K136" s="12"/>
    </row>
    <row r="137" ht="19.5" customHeight="1">
      <c r="A137" s="12"/>
      <c r="C137" s="12"/>
      <c r="D137" s="13"/>
      <c r="F137" s="14"/>
      <c r="G137" s="14"/>
      <c r="H137" s="14"/>
      <c r="I137" s="14"/>
      <c r="J137" s="14"/>
      <c r="K137" s="12"/>
    </row>
    <row r="138" ht="19.5" customHeight="1">
      <c r="A138" s="12"/>
      <c r="C138" s="12"/>
      <c r="D138" s="13"/>
      <c r="F138" s="14"/>
      <c r="G138" s="14"/>
      <c r="H138" s="14"/>
      <c r="I138" s="14"/>
      <c r="J138" s="14"/>
      <c r="K138" s="12"/>
    </row>
    <row r="139" ht="19.5" customHeight="1">
      <c r="A139" s="12"/>
      <c r="C139" s="12"/>
      <c r="D139" s="13"/>
      <c r="F139" s="14"/>
      <c r="G139" s="14"/>
      <c r="H139" s="14"/>
      <c r="I139" s="14"/>
      <c r="J139" s="14"/>
      <c r="K139" s="12"/>
    </row>
    <row r="140" ht="19.5" customHeight="1">
      <c r="A140" s="12"/>
      <c r="C140" s="12"/>
      <c r="D140" s="13"/>
      <c r="F140" s="14"/>
      <c r="G140" s="14"/>
      <c r="H140" s="14"/>
      <c r="I140" s="14"/>
      <c r="J140" s="14"/>
      <c r="K140" s="12"/>
    </row>
    <row r="141" ht="19.5" customHeight="1">
      <c r="A141" s="12"/>
      <c r="C141" s="12"/>
      <c r="D141" s="13"/>
      <c r="F141" s="14"/>
      <c r="G141" s="14"/>
      <c r="H141" s="14"/>
      <c r="I141" s="14"/>
      <c r="J141" s="14"/>
      <c r="K141" s="12"/>
    </row>
    <row r="142" ht="19.5" customHeight="1">
      <c r="A142" s="12"/>
      <c r="C142" s="12"/>
      <c r="D142" s="13"/>
      <c r="F142" s="14"/>
      <c r="G142" s="14"/>
      <c r="H142" s="14"/>
      <c r="I142" s="14"/>
      <c r="J142" s="14"/>
      <c r="K142" s="12"/>
    </row>
    <row r="143" ht="19.5" customHeight="1">
      <c r="A143" s="12"/>
      <c r="C143" s="12"/>
      <c r="D143" s="13"/>
      <c r="F143" s="14"/>
      <c r="G143" s="14"/>
      <c r="H143" s="14"/>
      <c r="I143" s="14"/>
      <c r="J143" s="14"/>
      <c r="K143" s="12"/>
    </row>
    <row r="144" ht="19.5" customHeight="1">
      <c r="A144" s="12"/>
      <c r="C144" s="12"/>
      <c r="D144" s="13"/>
      <c r="F144" s="14"/>
      <c r="G144" s="14"/>
      <c r="H144" s="14"/>
      <c r="I144" s="14"/>
      <c r="J144" s="14"/>
      <c r="K144" s="12"/>
    </row>
    <row r="145" ht="19.5" customHeight="1">
      <c r="A145" s="12"/>
      <c r="C145" s="12"/>
      <c r="D145" s="13"/>
      <c r="F145" s="14"/>
      <c r="G145" s="14"/>
      <c r="H145" s="14"/>
      <c r="I145" s="14"/>
      <c r="J145" s="14"/>
      <c r="K145" s="12"/>
    </row>
    <row r="146" ht="19.5" customHeight="1">
      <c r="A146" s="12"/>
      <c r="C146" s="12"/>
      <c r="D146" s="13"/>
      <c r="F146" s="14"/>
      <c r="G146" s="14"/>
      <c r="H146" s="14"/>
      <c r="I146" s="14"/>
      <c r="J146" s="14"/>
      <c r="K146" s="12"/>
    </row>
    <row r="147" ht="19.5" customHeight="1">
      <c r="A147" s="12"/>
      <c r="C147" s="12"/>
      <c r="D147" s="13"/>
      <c r="F147" s="14"/>
      <c r="G147" s="14"/>
      <c r="H147" s="14"/>
      <c r="I147" s="14"/>
      <c r="J147" s="14"/>
      <c r="K147" s="12"/>
    </row>
    <row r="148" ht="19.5" customHeight="1">
      <c r="A148" s="12"/>
      <c r="C148" s="12"/>
      <c r="D148" s="13"/>
      <c r="F148" s="14"/>
      <c r="G148" s="14"/>
      <c r="H148" s="14"/>
      <c r="I148" s="14"/>
      <c r="J148" s="14"/>
      <c r="K148" s="12"/>
    </row>
    <row r="149" ht="19.5" customHeight="1">
      <c r="A149" s="12"/>
      <c r="C149" s="12"/>
      <c r="D149" s="13"/>
      <c r="F149" s="14"/>
      <c r="G149" s="14"/>
      <c r="H149" s="14"/>
      <c r="I149" s="14"/>
      <c r="J149" s="14"/>
      <c r="K149" s="12"/>
    </row>
    <row r="150" ht="19.5" customHeight="1">
      <c r="A150" s="12"/>
      <c r="C150" s="12"/>
      <c r="D150" s="13"/>
      <c r="F150" s="14"/>
      <c r="G150" s="14"/>
      <c r="H150" s="14"/>
      <c r="I150" s="14"/>
      <c r="J150" s="14"/>
      <c r="K150" s="12"/>
    </row>
    <row r="151" ht="19.5" customHeight="1">
      <c r="A151" s="12"/>
      <c r="C151" s="12"/>
      <c r="D151" s="13"/>
      <c r="F151" s="14"/>
      <c r="G151" s="14"/>
      <c r="H151" s="14"/>
      <c r="I151" s="14"/>
      <c r="J151" s="14"/>
      <c r="K151" s="12"/>
    </row>
    <row r="152" ht="19.5" customHeight="1">
      <c r="A152" s="12"/>
      <c r="C152" s="12"/>
      <c r="D152" s="13"/>
      <c r="F152" s="14"/>
      <c r="G152" s="14"/>
      <c r="H152" s="14"/>
      <c r="I152" s="14"/>
      <c r="J152" s="14"/>
      <c r="K152" s="12"/>
    </row>
    <row r="153" ht="19.5" customHeight="1">
      <c r="A153" s="12"/>
      <c r="C153" s="12"/>
      <c r="D153" s="13"/>
      <c r="F153" s="14"/>
      <c r="G153" s="14"/>
      <c r="H153" s="14"/>
      <c r="I153" s="14"/>
      <c r="J153" s="14"/>
      <c r="K153" s="12"/>
    </row>
    <row r="154" ht="19.5" customHeight="1">
      <c r="A154" s="12"/>
      <c r="C154" s="12"/>
      <c r="D154" s="13"/>
      <c r="F154" s="14"/>
      <c r="G154" s="14"/>
      <c r="H154" s="14"/>
      <c r="I154" s="14"/>
      <c r="J154" s="14"/>
      <c r="K154" s="12"/>
    </row>
    <row r="155" ht="19.5" customHeight="1">
      <c r="A155" s="12"/>
      <c r="C155" s="12"/>
      <c r="D155" s="13"/>
      <c r="F155" s="14"/>
      <c r="G155" s="14"/>
      <c r="H155" s="14"/>
      <c r="I155" s="14"/>
      <c r="J155" s="14"/>
      <c r="K155" s="12"/>
    </row>
    <row r="156" ht="19.5" customHeight="1">
      <c r="A156" s="12"/>
      <c r="C156" s="12"/>
      <c r="D156" s="13"/>
      <c r="F156" s="14"/>
      <c r="G156" s="14"/>
      <c r="H156" s="14"/>
      <c r="I156" s="14"/>
      <c r="J156" s="14"/>
      <c r="K156" s="12"/>
    </row>
    <row r="157" ht="19.5" customHeight="1">
      <c r="A157" s="12"/>
      <c r="C157" s="12"/>
      <c r="D157" s="13"/>
      <c r="F157" s="14"/>
      <c r="G157" s="14"/>
      <c r="H157" s="14"/>
      <c r="I157" s="14"/>
      <c r="J157" s="14"/>
      <c r="K157" s="12"/>
    </row>
    <row r="158" ht="19.5" customHeight="1">
      <c r="A158" s="12"/>
      <c r="C158" s="12"/>
      <c r="D158" s="13"/>
      <c r="F158" s="14"/>
      <c r="G158" s="14"/>
      <c r="H158" s="14"/>
      <c r="I158" s="14"/>
      <c r="J158" s="14"/>
      <c r="K158" s="12"/>
    </row>
    <row r="159" ht="19.5" customHeight="1">
      <c r="A159" s="12"/>
      <c r="C159" s="12"/>
      <c r="D159" s="13"/>
      <c r="F159" s="14"/>
      <c r="G159" s="14"/>
      <c r="H159" s="14"/>
      <c r="I159" s="14"/>
      <c r="J159" s="14"/>
      <c r="K159" s="12"/>
    </row>
    <row r="160" ht="19.5" customHeight="1">
      <c r="A160" s="12"/>
      <c r="C160" s="12"/>
      <c r="D160" s="13"/>
      <c r="F160" s="14"/>
      <c r="G160" s="14"/>
      <c r="H160" s="14"/>
      <c r="I160" s="14"/>
      <c r="J160" s="14"/>
      <c r="K160" s="12"/>
    </row>
    <row r="161" ht="19.5" customHeight="1">
      <c r="A161" s="12"/>
      <c r="C161" s="12"/>
      <c r="D161" s="13"/>
      <c r="F161" s="14"/>
      <c r="G161" s="14"/>
      <c r="H161" s="14"/>
      <c r="I161" s="14"/>
      <c r="J161" s="14"/>
      <c r="K161" s="12"/>
    </row>
    <row r="162" ht="19.5" customHeight="1">
      <c r="A162" s="12"/>
      <c r="C162" s="12"/>
      <c r="D162" s="13"/>
      <c r="F162" s="14"/>
      <c r="G162" s="14"/>
      <c r="H162" s="14"/>
      <c r="I162" s="14"/>
      <c r="J162" s="14"/>
      <c r="K162" s="12"/>
    </row>
    <row r="163" ht="19.5" customHeight="1">
      <c r="A163" s="12"/>
      <c r="C163" s="12"/>
      <c r="D163" s="13"/>
      <c r="F163" s="14"/>
      <c r="G163" s="14"/>
      <c r="H163" s="14"/>
      <c r="I163" s="14"/>
      <c r="J163" s="14"/>
      <c r="K163" s="12"/>
    </row>
    <row r="164" ht="19.5" customHeight="1">
      <c r="A164" s="12"/>
      <c r="C164" s="12"/>
      <c r="D164" s="13"/>
      <c r="F164" s="14"/>
      <c r="G164" s="14"/>
      <c r="H164" s="14"/>
      <c r="I164" s="14"/>
      <c r="J164" s="14"/>
      <c r="K164" s="12"/>
    </row>
    <row r="165" ht="19.5" customHeight="1">
      <c r="A165" s="12"/>
      <c r="C165" s="12"/>
      <c r="D165" s="13"/>
      <c r="F165" s="14"/>
      <c r="G165" s="14"/>
      <c r="H165" s="14"/>
      <c r="I165" s="14"/>
      <c r="J165" s="14"/>
      <c r="K165" s="12"/>
    </row>
    <row r="166" ht="19.5" customHeight="1">
      <c r="A166" s="12"/>
      <c r="C166" s="12"/>
      <c r="D166" s="13"/>
      <c r="F166" s="14"/>
      <c r="G166" s="14"/>
      <c r="H166" s="14"/>
      <c r="I166" s="14"/>
      <c r="J166" s="14"/>
      <c r="K166" s="12"/>
    </row>
    <row r="167" ht="19.5" customHeight="1">
      <c r="A167" s="12"/>
      <c r="C167" s="12"/>
      <c r="D167" s="13"/>
      <c r="F167" s="14"/>
      <c r="G167" s="14"/>
      <c r="H167" s="14"/>
      <c r="I167" s="14"/>
      <c r="J167" s="14"/>
      <c r="K167" s="12"/>
    </row>
    <row r="168" ht="19.5" customHeight="1">
      <c r="A168" s="12"/>
      <c r="C168" s="12"/>
      <c r="D168" s="13"/>
      <c r="F168" s="14"/>
      <c r="G168" s="14"/>
      <c r="H168" s="14"/>
      <c r="I168" s="14"/>
      <c r="J168" s="14"/>
      <c r="K168" s="12"/>
    </row>
    <row r="169" ht="19.5" customHeight="1">
      <c r="A169" s="12"/>
      <c r="C169" s="12"/>
      <c r="D169" s="13"/>
      <c r="F169" s="14"/>
      <c r="G169" s="14"/>
      <c r="H169" s="14"/>
      <c r="I169" s="14"/>
      <c r="J169" s="14"/>
      <c r="K169" s="12"/>
    </row>
    <row r="170" ht="19.5" customHeight="1">
      <c r="A170" s="12"/>
      <c r="C170" s="12"/>
      <c r="D170" s="13"/>
      <c r="F170" s="14"/>
      <c r="G170" s="14"/>
      <c r="H170" s="14"/>
      <c r="I170" s="14"/>
      <c r="J170" s="14"/>
      <c r="K170" s="12"/>
    </row>
    <row r="171" ht="19.5" customHeight="1">
      <c r="A171" s="12"/>
      <c r="C171" s="12"/>
      <c r="D171" s="13"/>
      <c r="F171" s="14"/>
      <c r="G171" s="14"/>
      <c r="H171" s="14"/>
      <c r="I171" s="14"/>
      <c r="J171" s="14"/>
      <c r="K171" s="12"/>
    </row>
    <row r="172" ht="19.5" customHeight="1">
      <c r="A172" s="12"/>
      <c r="C172" s="12"/>
      <c r="D172" s="13"/>
      <c r="F172" s="14"/>
      <c r="G172" s="14"/>
      <c r="H172" s="14"/>
      <c r="I172" s="14"/>
      <c r="J172" s="14"/>
      <c r="K172" s="12"/>
    </row>
    <row r="173" ht="19.5" customHeight="1">
      <c r="A173" s="12"/>
      <c r="C173" s="12"/>
      <c r="D173" s="13"/>
      <c r="F173" s="14"/>
      <c r="G173" s="14"/>
      <c r="H173" s="14"/>
      <c r="I173" s="14"/>
      <c r="J173" s="14"/>
      <c r="K173" s="12"/>
    </row>
    <row r="174" ht="19.5" customHeight="1">
      <c r="A174" s="12"/>
      <c r="C174" s="12"/>
      <c r="D174" s="13"/>
      <c r="F174" s="14"/>
      <c r="G174" s="14"/>
      <c r="H174" s="14"/>
      <c r="I174" s="14"/>
      <c r="J174" s="14"/>
      <c r="K174" s="12"/>
    </row>
    <row r="175" ht="19.5" customHeight="1">
      <c r="A175" s="12"/>
      <c r="C175" s="12"/>
      <c r="D175" s="13"/>
      <c r="F175" s="14"/>
      <c r="G175" s="14"/>
      <c r="H175" s="14"/>
      <c r="I175" s="14"/>
      <c r="J175" s="14"/>
      <c r="K175" s="12"/>
    </row>
    <row r="176" ht="19.5" customHeight="1">
      <c r="A176" s="12"/>
      <c r="C176" s="12"/>
      <c r="D176" s="13"/>
      <c r="F176" s="14"/>
      <c r="G176" s="14"/>
      <c r="H176" s="14"/>
      <c r="I176" s="14"/>
      <c r="J176" s="14"/>
      <c r="K176" s="12"/>
    </row>
    <row r="177" ht="19.5" customHeight="1">
      <c r="A177" s="12"/>
      <c r="C177" s="12"/>
      <c r="D177" s="13"/>
      <c r="F177" s="14"/>
      <c r="G177" s="14"/>
      <c r="H177" s="14"/>
      <c r="I177" s="14"/>
      <c r="J177" s="14"/>
      <c r="K177" s="12"/>
    </row>
    <row r="178" ht="19.5" customHeight="1">
      <c r="A178" s="12"/>
      <c r="C178" s="12"/>
      <c r="D178" s="13"/>
      <c r="F178" s="14"/>
      <c r="G178" s="14"/>
      <c r="H178" s="14"/>
      <c r="I178" s="14"/>
      <c r="J178" s="14"/>
      <c r="K178" s="12"/>
    </row>
    <row r="179" ht="19.5" customHeight="1">
      <c r="A179" s="12"/>
      <c r="C179" s="12"/>
      <c r="D179" s="13"/>
      <c r="F179" s="14"/>
      <c r="G179" s="14"/>
      <c r="H179" s="14"/>
      <c r="I179" s="14"/>
      <c r="J179" s="14"/>
      <c r="K179" s="12"/>
    </row>
    <row r="180" ht="19.5" customHeight="1">
      <c r="A180" s="12"/>
      <c r="C180" s="12"/>
      <c r="D180" s="13"/>
      <c r="F180" s="14"/>
      <c r="G180" s="14"/>
      <c r="H180" s="14"/>
      <c r="I180" s="14"/>
      <c r="J180" s="14"/>
      <c r="K180" s="12"/>
    </row>
    <row r="181" ht="19.5" customHeight="1">
      <c r="A181" s="12"/>
      <c r="C181" s="12"/>
      <c r="D181" s="13"/>
      <c r="F181" s="14"/>
      <c r="G181" s="14"/>
      <c r="H181" s="14"/>
      <c r="I181" s="14"/>
      <c r="J181" s="14"/>
      <c r="K181" s="12"/>
    </row>
    <row r="182" ht="19.5" customHeight="1">
      <c r="A182" s="12"/>
      <c r="C182" s="12"/>
      <c r="D182" s="13"/>
      <c r="F182" s="14"/>
      <c r="G182" s="14"/>
      <c r="H182" s="14"/>
      <c r="I182" s="14"/>
      <c r="J182" s="14"/>
      <c r="K182" s="12"/>
    </row>
    <row r="183" ht="19.5" customHeight="1">
      <c r="A183" s="12"/>
      <c r="C183" s="12"/>
      <c r="D183" s="13"/>
      <c r="F183" s="14"/>
      <c r="G183" s="14"/>
      <c r="H183" s="14"/>
      <c r="I183" s="14"/>
      <c r="J183" s="14"/>
      <c r="K183" s="12"/>
    </row>
    <row r="184" ht="19.5" customHeight="1">
      <c r="A184" s="12"/>
      <c r="C184" s="12"/>
      <c r="D184" s="13"/>
      <c r="F184" s="14"/>
      <c r="G184" s="14"/>
      <c r="H184" s="14"/>
      <c r="I184" s="14"/>
      <c r="J184" s="14"/>
      <c r="K184" s="12"/>
    </row>
    <row r="185" ht="19.5" customHeight="1">
      <c r="A185" s="12"/>
      <c r="C185" s="12"/>
      <c r="D185" s="13"/>
      <c r="F185" s="14"/>
      <c r="G185" s="14"/>
      <c r="H185" s="14"/>
      <c r="I185" s="14"/>
      <c r="J185" s="14"/>
      <c r="K185" s="12"/>
    </row>
    <row r="186" ht="19.5" customHeight="1">
      <c r="A186" s="12"/>
      <c r="C186" s="12"/>
      <c r="D186" s="13"/>
      <c r="F186" s="14"/>
      <c r="G186" s="14"/>
      <c r="H186" s="14"/>
      <c r="I186" s="14"/>
      <c r="J186" s="14"/>
      <c r="K186" s="12"/>
    </row>
    <row r="187" ht="19.5" customHeight="1">
      <c r="A187" s="12"/>
      <c r="C187" s="12"/>
      <c r="D187" s="13"/>
      <c r="F187" s="14"/>
      <c r="G187" s="14"/>
      <c r="H187" s="14"/>
      <c r="I187" s="14"/>
      <c r="J187" s="14"/>
      <c r="K187" s="12"/>
    </row>
    <row r="188" ht="19.5" customHeight="1">
      <c r="A188" s="12"/>
      <c r="C188" s="12"/>
      <c r="D188" s="13"/>
      <c r="F188" s="14"/>
      <c r="G188" s="14"/>
      <c r="H188" s="14"/>
      <c r="I188" s="14"/>
      <c r="J188" s="14"/>
      <c r="K188" s="12"/>
    </row>
    <row r="189" ht="19.5" customHeight="1">
      <c r="A189" s="12"/>
      <c r="C189" s="12"/>
      <c r="D189" s="13"/>
      <c r="F189" s="14"/>
      <c r="G189" s="14"/>
      <c r="H189" s="14"/>
      <c r="I189" s="14"/>
      <c r="J189" s="14"/>
      <c r="K189" s="12"/>
    </row>
    <row r="190" ht="19.5" customHeight="1">
      <c r="A190" s="12"/>
      <c r="C190" s="12"/>
      <c r="D190" s="13"/>
      <c r="F190" s="14"/>
      <c r="G190" s="14"/>
      <c r="H190" s="14"/>
      <c r="I190" s="14"/>
      <c r="J190" s="14"/>
      <c r="K190" s="12"/>
    </row>
    <row r="191" ht="19.5" customHeight="1">
      <c r="A191" s="12"/>
      <c r="C191" s="12"/>
      <c r="D191" s="13"/>
      <c r="F191" s="14"/>
      <c r="G191" s="14"/>
      <c r="H191" s="14"/>
      <c r="I191" s="14"/>
      <c r="J191" s="14"/>
      <c r="K191" s="12"/>
    </row>
    <row r="192" ht="19.5" customHeight="1">
      <c r="A192" s="12"/>
      <c r="C192" s="12"/>
      <c r="D192" s="13"/>
      <c r="F192" s="14"/>
      <c r="G192" s="14"/>
      <c r="H192" s="14"/>
      <c r="I192" s="14"/>
      <c r="J192" s="14"/>
      <c r="K192" s="12"/>
    </row>
    <row r="193" ht="19.5" customHeight="1">
      <c r="A193" s="12"/>
      <c r="C193" s="12"/>
      <c r="D193" s="13"/>
      <c r="F193" s="14"/>
      <c r="G193" s="14"/>
      <c r="H193" s="14"/>
      <c r="I193" s="14"/>
      <c r="J193" s="14"/>
      <c r="K193" s="12"/>
    </row>
    <row r="194" ht="19.5" customHeight="1">
      <c r="A194" s="12"/>
      <c r="C194" s="12"/>
      <c r="D194" s="13"/>
      <c r="F194" s="14"/>
      <c r="G194" s="14"/>
      <c r="H194" s="14"/>
      <c r="I194" s="14"/>
      <c r="J194" s="14"/>
      <c r="K194" s="12"/>
    </row>
    <row r="195" ht="19.5" customHeight="1">
      <c r="A195" s="12"/>
      <c r="C195" s="12"/>
      <c r="D195" s="13"/>
      <c r="F195" s="14"/>
      <c r="G195" s="14"/>
      <c r="H195" s="14"/>
      <c r="I195" s="14"/>
      <c r="J195" s="14"/>
      <c r="K195" s="12"/>
    </row>
    <row r="196" ht="19.5" customHeight="1">
      <c r="A196" s="12"/>
      <c r="C196" s="12"/>
      <c r="D196" s="13"/>
      <c r="F196" s="14"/>
      <c r="G196" s="14"/>
      <c r="H196" s="14"/>
      <c r="I196" s="14"/>
      <c r="J196" s="14"/>
      <c r="K196" s="12"/>
    </row>
    <row r="197" ht="19.5" customHeight="1">
      <c r="A197" s="12"/>
      <c r="C197" s="12"/>
      <c r="D197" s="13"/>
      <c r="F197" s="14"/>
      <c r="G197" s="14"/>
      <c r="H197" s="14"/>
      <c r="I197" s="14"/>
      <c r="J197" s="14"/>
      <c r="K197" s="12"/>
    </row>
    <row r="198" ht="19.5" customHeight="1">
      <c r="A198" s="12"/>
      <c r="C198" s="12"/>
      <c r="D198" s="13"/>
      <c r="F198" s="14"/>
      <c r="G198" s="14"/>
      <c r="H198" s="14"/>
      <c r="I198" s="14"/>
      <c r="J198" s="14"/>
      <c r="K198" s="12"/>
    </row>
    <row r="199" ht="19.5" customHeight="1">
      <c r="A199" s="12"/>
      <c r="C199" s="12"/>
      <c r="D199" s="13"/>
      <c r="F199" s="14"/>
      <c r="G199" s="14"/>
      <c r="H199" s="14"/>
      <c r="I199" s="14"/>
      <c r="J199" s="14"/>
      <c r="K199" s="12"/>
    </row>
    <row r="200" ht="19.5" customHeight="1">
      <c r="A200" s="12"/>
      <c r="C200" s="12"/>
      <c r="D200" s="13"/>
      <c r="F200" s="14"/>
      <c r="G200" s="14"/>
      <c r="H200" s="14"/>
      <c r="I200" s="14"/>
      <c r="J200" s="14"/>
      <c r="K200" s="12"/>
    </row>
    <row r="201" ht="19.5" customHeight="1">
      <c r="A201" s="12"/>
      <c r="C201" s="12"/>
      <c r="D201" s="13"/>
      <c r="F201" s="14"/>
      <c r="G201" s="14"/>
      <c r="H201" s="14"/>
      <c r="I201" s="14"/>
      <c r="J201" s="14"/>
      <c r="K201" s="12"/>
    </row>
    <row r="202" ht="19.5" customHeight="1">
      <c r="A202" s="12"/>
      <c r="C202" s="12"/>
      <c r="D202" s="13"/>
      <c r="F202" s="14"/>
      <c r="G202" s="14"/>
      <c r="H202" s="14"/>
      <c r="I202" s="14"/>
      <c r="J202" s="14"/>
      <c r="K202" s="12"/>
    </row>
    <row r="203" ht="19.5" customHeight="1">
      <c r="A203" s="12"/>
      <c r="C203" s="12"/>
      <c r="D203" s="13"/>
      <c r="F203" s="14"/>
      <c r="G203" s="14"/>
      <c r="H203" s="14"/>
      <c r="I203" s="14"/>
      <c r="J203" s="14"/>
      <c r="K203" s="12"/>
    </row>
    <row r="204" ht="19.5" customHeight="1">
      <c r="A204" s="12"/>
      <c r="C204" s="12"/>
      <c r="D204" s="13"/>
      <c r="F204" s="14"/>
      <c r="G204" s="14"/>
      <c r="H204" s="14"/>
      <c r="I204" s="14"/>
      <c r="J204" s="14"/>
      <c r="K204" s="12"/>
    </row>
    <row r="205" ht="19.5" customHeight="1">
      <c r="A205" s="12"/>
      <c r="C205" s="12"/>
      <c r="D205" s="13"/>
      <c r="F205" s="14"/>
      <c r="G205" s="14"/>
      <c r="H205" s="14"/>
      <c r="I205" s="14"/>
      <c r="J205" s="14"/>
      <c r="K205" s="12"/>
    </row>
    <row r="206" ht="19.5" customHeight="1">
      <c r="A206" s="12"/>
      <c r="C206" s="12"/>
      <c r="D206" s="13"/>
      <c r="F206" s="14"/>
      <c r="G206" s="14"/>
      <c r="H206" s="14"/>
      <c r="I206" s="14"/>
      <c r="J206" s="14"/>
      <c r="K206" s="12"/>
    </row>
    <row r="207" ht="19.5" customHeight="1">
      <c r="A207" s="12"/>
      <c r="C207" s="12"/>
      <c r="D207" s="13"/>
      <c r="F207" s="14"/>
      <c r="G207" s="14"/>
      <c r="H207" s="14"/>
      <c r="I207" s="14"/>
      <c r="J207" s="14"/>
      <c r="K207" s="12"/>
    </row>
    <row r="208" ht="19.5" customHeight="1">
      <c r="A208" s="12"/>
      <c r="C208" s="12"/>
      <c r="D208" s="13"/>
      <c r="F208" s="14"/>
      <c r="G208" s="14"/>
      <c r="H208" s="14"/>
      <c r="I208" s="14"/>
      <c r="J208" s="14"/>
      <c r="K208" s="12"/>
    </row>
    <row r="209" ht="19.5" customHeight="1">
      <c r="A209" s="12"/>
      <c r="C209" s="12"/>
      <c r="D209" s="13"/>
      <c r="F209" s="14"/>
      <c r="G209" s="14"/>
      <c r="H209" s="14"/>
      <c r="I209" s="14"/>
      <c r="J209" s="14"/>
      <c r="K209" s="12"/>
    </row>
    <row r="210" ht="19.5" customHeight="1">
      <c r="A210" s="12"/>
      <c r="C210" s="12"/>
      <c r="D210" s="13"/>
      <c r="F210" s="14"/>
      <c r="G210" s="14"/>
      <c r="H210" s="14"/>
      <c r="I210" s="14"/>
      <c r="J210" s="14"/>
      <c r="K210" s="12"/>
    </row>
    <row r="211" ht="19.5" customHeight="1">
      <c r="A211" s="12"/>
      <c r="C211" s="12"/>
      <c r="D211" s="13"/>
      <c r="F211" s="14"/>
      <c r="G211" s="14"/>
      <c r="H211" s="14"/>
      <c r="I211" s="14"/>
      <c r="J211" s="14"/>
      <c r="K211" s="12"/>
    </row>
    <row r="212" ht="19.5" customHeight="1">
      <c r="A212" s="12"/>
      <c r="C212" s="12"/>
      <c r="D212" s="13"/>
      <c r="F212" s="14"/>
      <c r="G212" s="14"/>
      <c r="H212" s="14"/>
      <c r="I212" s="14"/>
      <c r="J212" s="14"/>
      <c r="K212" s="12"/>
    </row>
    <row r="213" ht="19.5" customHeight="1">
      <c r="A213" s="12"/>
      <c r="C213" s="12"/>
      <c r="D213" s="13"/>
      <c r="F213" s="14"/>
      <c r="G213" s="14"/>
      <c r="H213" s="14"/>
      <c r="I213" s="14"/>
      <c r="J213" s="14"/>
      <c r="K213" s="12"/>
    </row>
    <row r="214" ht="19.5" customHeight="1">
      <c r="A214" s="12"/>
      <c r="C214" s="12"/>
      <c r="D214" s="13"/>
      <c r="F214" s="14"/>
      <c r="G214" s="14"/>
      <c r="H214" s="14"/>
      <c r="I214" s="14"/>
      <c r="J214" s="14"/>
      <c r="K214" s="12"/>
    </row>
    <row r="215" ht="19.5" customHeight="1">
      <c r="A215" s="12"/>
      <c r="C215" s="12"/>
      <c r="D215" s="13"/>
      <c r="F215" s="14"/>
      <c r="G215" s="14"/>
      <c r="H215" s="14"/>
      <c r="I215" s="14"/>
      <c r="J215" s="14"/>
      <c r="K215" s="12"/>
    </row>
    <row r="216" ht="19.5" customHeight="1">
      <c r="A216" s="12"/>
      <c r="C216" s="12"/>
      <c r="D216" s="13"/>
      <c r="F216" s="14"/>
      <c r="G216" s="14"/>
      <c r="H216" s="14"/>
      <c r="I216" s="14"/>
      <c r="J216" s="14"/>
      <c r="K216" s="12"/>
    </row>
    <row r="217" ht="19.5" customHeight="1">
      <c r="A217" s="12"/>
      <c r="C217" s="12"/>
      <c r="D217" s="13"/>
      <c r="F217" s="14"/>
      <c r="G217" s="14"/>
      <c r="H217" s="14"/>
      <c r="I217" s="14"/>
      <c r="J217" s="14"/>
      <c r="K217" s="12"/>
    </row>
    <row r="218" ht="19.5" customHeight="1">
      <c r="A218" s="12"/>
      <c r="C218" s="12"/>
      <c r="D218" s="13"/>
      <c r="F218" s="14"/>
      <c r="G218" s="14"/>
      <c r="H218" s="14"/>
      <c r="I218" s="14"/>
      <c r="J218" s="14"/>
      <c r="K218" s="12"/>
    </row>
    <row r="219" ht="19.5" customHeight="1">
      <c r="A219" s="12"/>
      <c r="C219" s="12"/>
      <c r="D219" s="13"/>
      <c r="F219" s="14"/>
      <c r="G219" s="14"/>
      <c r="H219" s="14"/>
      <c r="I219" s="14"/>
      <c r="J219" s="14"/>
      <c r="K219" s="12"/>
    </row>
    <row r="220" ht="19.5" customHeight="1">
      <c r="A220" s="12"/>
      <c r="C220" s="12"/>
      <c r="D220" s="13"/>
      <c r="F220" s="14"/>
      <c r="G220" s="14"/>
      <c r="H220" s="14"/>
      <c r="I220" s="14"/>
      <c r="J220" s="14"/>
      <c r="K220" s="12"/>
    </row>
    <row r="221" ht="19.5" customHeight="1">
      <c r="A221" s="12"/>
      <c r="C221" s="12"/>
      <c r="D221" s="13"/>
      <c r="F221" s="14"/>
      <c r="G221" s="14"/>
      <c r="H221" s="14"/>
      <c r="I221" s="14"/>
      <c r="J221" s="14"/>
      <c r="K221" s="12"/>
    </row>
    <row r="222" ht="19.5" customHeight="1">
      <c r="A222" s="12"/>
      <c r="C222" s="12"/>
      <c r="D222" s="13"/>
      <c r="F222" s="14"/>
      <c r="G222" s="14"/>
      <c r="H222" s="14"/>
      <c r="I222" s="14"/>
      <c r="J222" s="14"/>
      <c r="K222" s="12"/>
    </row>
    <row r="223" ht="19.5" customHeight="1">
      <c r="A223" s="12"/>
      <c r="C223" s="12"/>
      <c r="D223" s="13"/>
      <c r="F223" s="14"/>
      <c r="G223" s="14"/>
      <c r="H223" s="14"/>
      <c r="I223" s="14"/>
      <c r="J223" s="14"/>
      <c r="K223" s="12"/>
    </row>
    <row r="224" ht="19.5" customHeight="1">
      <c r="A224" s="12"/>
      <c r="C224" s="12"/>
      <c r="D224" s="13"/>
      <c r="F224" s="14"/>
      <c r="G224" s="14"/>
      <c r="H224" s="14"/>
      <c r="I224" s="14"/>
      <c r="J224" s="14"/>
      <c r="K224" s="12"/>
    </row>
    <row r="225" ht="19.5" customHeight="1">
      <c r="A225" s="12"/>
      <c r="C225" s="12"/>
      <c r="D225" s="13"/>
      <c r="F225" s="14"/>
      <c r="G225" s="14"/>
      <c r="H225" s="14"/>
      <c r="I225" s="14"/>
      <c r="J225" s="14"/>
      <c r="K225" s="12"/>
    </row>
    <row r="226" ht="19.5" customHeight="1">
      <c r="A226" s="12"/>
      <c r="C226" s="12"/>
      <c r="D226" s="13"/>
      <c r="F226" s="14"/>
      <c r="G226" s="14"/>
      <c r="H226" s="14"/>
      <c r="I226" s="14"/>
      <c r="J226" s="14"/>
      <c r="K226" s="12"/>
    </row>
    <row r="227" ht="19.5" customHeight="1">
      <c r="A227" s="12"/>
      <c r="C227" s="12"/>
      <c r="D227" s="13"/>
      <c r="F227" s="14"/>
      <c r="G227" s="14"/>
      <c r="H227" s="14"/>
      <c r="I227" s="14"/>
      <c r="J227" s="14"/>
      <c r="K227" s="12"/>
    </row>
    <row r="228" ht="19.5" customHeight="1">
      <c r="A228" s="12"/>
      <c r="C228" s="12"/>
      <c r="D228" s="13"/>
      <c r="F228" s="14"/>
      <c r="G228" s="14"/>
      <c r="H228" s="14"/>
      <c r="I228" s="14"/>
      <c r="J228" s="14"/>
      <c r="K228" s="12"/>
    </row>
    <row r="229" ht="19.5" customHeight="1">
      <c r="A229" s="12"/>
      <c r="C229" s="12"/>
      <c r="D229" s="13"/>
      <c r="F229" s="14"/>
      <c r="G229" s="14"/>
      <c r="H229" s="14"/>
      <c r="I229" s="14"/>
      <c r="J229" s="14"/>
      <c r="K229" s="12"/>
    </row>
    <row r="230" ht="19.5" customHeight="1">
      <c r="A230" s="12"/>
      <c r="C230" s="12"/>
      <c r="D230" s="13"/>
      <c r="F230" s="14"/>
      <c r="G230" s="14"/>
      <c r="H230" s="14"/>
      <c r="I230" s="14"/>
      <c r="J230" s="14"/>
      <c r="K230" s="12"/>
    </row>
    <row r="231" ht="19.5" customHeight="1">
      <c r="A231" s="12"/>
      <c r="C231" s="12"/>
      <c r="D231" s="13"/>
      <c r="F231" s="14"/>
      <c r="G231" s="14"/>
      <c r="H231" s="14"/>
      <c r="I231" s="14"/>
      <c r="J231" s="14"/>
      <c r="K231" s="12"/>
    </row>
    <row r="232" ht="19.5" customHeight="1">
      <c r="A232" s="12"/>
      <c r="C232" s="12"/>
      <c r="D232" s="13"/>
      <c r="F232" s="14"/>
      <c r="G232" s="14"/>
      <c r="H232" s="14"/>
      <c r="I232" s="14"/>
      <c r="J232" s="14"/>
      <c r="K232" s="12"/>
    </row>
    <row r="233" ht="19.5" customHeight="1">
      <c r="A233" s="12"/>
      <c r="C233" s="12"/>
      <c r="D233" s="13"/>
      <c r="F233" s="14"/>
      <c r="G233" s="14"/>
      <c r="H233" s="14"/>
      <c r="I233" s="14"/>
      <c r="J233" s="14"/>
      <c r="K233" s="12"/>
    </row>
    <row r="234" ht="19.5" customHeight="1">
      <c r="A234" s="12"/>
      <c r="C234" s="12"/>
      <c r="D234" s="13"/>
      <c r="F234" s="14"/>
      <c r="G234" s="14"/>
      <c r="H234" s="14"/>
      <c r="I234" s="14"/>
      <c r="J234" s="14"/>
      <c r="K234" s="12"/>
    </row>
    <row r="235" ht="19.5" customHeight="1">
      <c r="A235" s="12"/>
      <c r="C235" s="12"/>
      <c r="D235" s="13"/>
      <c r="F235" s="14"/>
      <c r="G235" s="14"/>
      <c r="H235" s="14"/>
      <c r="I235" s="14"/>
      <c r="J235" s="14"/>
      <c r="K235" s="12"/>
    </row>
    <row r="236" ht="19.5" customHeight="1">
      <c r="A236" s="12"/>
      <c r="C236" s="12"/>
      <c r="D236" s="13"/>
      <c r="F236" s="14"/>
      <c r="G236" s="14"/>
      <c r="H236" s="14"/>
      <c r="I236" s="14"/>
      <c r="J236" s="14"/>
      <c r="K236" s="12"/>
    </row>
    <row r="237" ht="19.5" customHeight="1">
      <c r="A237" s="12"/>
      <c r="C237" s="12"/>
      <c r="D237" s="13"/>
      <c r="F237" s="14"/>
      <c r="G237" s="14"/>
      <c r="H237" s="14"/>
      <c r="I237" s="14"/>
      <c r="J237" s="14"/>
      <c r="K237" s="12"/>
    </row>
    <row r="238" ht="19.5" customHeight="1">
      <c r="A238" s="12"/>
      <c r="C238" s="12"/>
      <c r="D238" s="13"/>
      <c r="F238" s="14"/>
      <c r="G238" s="14"/>
      <c r="H238" s="14"/>
      <c r="I238" s="14"/>
      <c r="J238" s="14"/>
      <c r="K238" s="12"/>
    </row>
    <row r="239" ht="19.5" customHeight="1">
      <c r="A239" s="12"/>
      <c r="C239" s="12"/>
      <c r="D239" s="13"/>
      <c r="F239" s="14"/>
      <c r="G239" s="14"/>
      <c r="H239" s="14"/>
      <c r="I239" s="14"/>
      <c r="J239" s="14"/>
      <c r="K239" s="12"/>
    </row>
    <row r="240" ht="19.5" customHeight="1">
      <c r="A240" s="12"/>
      <c r="C240" s="12"/>
      <c r="D240" s="13"/>
      <c r="F240" s="14"/>
      <c r="G240" s="14"/>
      <c r="H240" s="14"/>
      <c r="I240" s="14"/>
      <c r="J240" s="14"/>
      <c r="K240" s="12"/>
    </row>
    <row r="241" ht="19.5" customHeight="1">
      <c r="A241" s="12"/>
      <c r="C241" s="12"/>
      <c r="D241" s="13"/>
      <c r="F241" s="14"/>
      <c r="G241" s="14"/>
      <c r="H241" s="14"/>
      <c r="I241" s="14"/>
      <c r="J241" s="14"/>
      <c r="K241" s="12"/>
    </row>
    <row r="242" ht="19.5" customHeight="1">
      <c r="A242" s="12"/>
      <c r="C242" s="12"/>
      <c r="D242" s="13"/>
      <c r="F242" s="14"/>
      <c r="G242" s="14"/>
      <c r="H242" s="14"/>
      <c r="I242" s="14"/>
      <c r="J242" s="14"/>
      <c r="K242" s="12"/>
    </row>
    <row r="243" ht="19.5" customHeight="1">
      <c r="A243" s="12"/>
      <c r="C243" s="12"/>
      <c r="D243" s="13"/>
      <c r="F243" s="14"/>
      <c r="G243" s="14"/>
      <c r="H243" s="14"/>
      <c r="I243" s="14"/>
      <c r="J243" s="14"/>
      <c r="K243" s="12"/>
    </row>
    <row r="244" ht="19.5" customHeight="1">
      <c r="A244" s="12"/>
      <c r="C244" s="12"/>
      <c r="D244" s="13"/>
      <c r="F244" s="14"/>
      <c r="G244" s="14"/>
      <c r="H244" s="14"/>
      <c r="I244" s="14"/>
      <c r="J244" s="14"/>
      <c r="K244" s="12"/>
    </row>
    <row r="245" ht="19.5" customHeight="1">
      <c r="A245" s="12"/>
      <c r="C245" s="12"/>
      <c r="D245" s="13"/>
      <c r="F245" s="14"/>
      <c r="G245" s="14"/>
      <c r="H245" s="14"/>
      <c r="I245" s="14"/>
      <c r="J245" s="14"/>
      <c r="K245" s="12"/>
    </row>
    <row r="246" ht="19.5" customHeight="1">
      <c r="A246" s="12"/>
      <c r="C246" s="12"/>
      <c r="D246" s="13"/>
      <c r="F246" s="14"/>
      <c r="G246" s="14"/>
      <c r="H246" s="14"/>
      <c r="I246" s="14"/>
      <c r="J246" s="14"/>
      <c r="K246" s="12"/>
    </row>
    <row r="247" ht="19.5" customHeight="1">
      <c r="A247" s="12"/>
      <c r="C247" s="12"/>
      <c r="D247" s="13"/>
      <c r="F247" s="14"/>
      <c r="G247" s="14"/>
      <c r="H247" s="14"/>
      <c r="I247" s="14"/>
      <c r="J247" s="14"/>
      <c r="K247" s="12"/>
    </row>
    <row r="248" ht="19.5" customHeight="1">
      <c r="A248" s="12"/>
      <c r="C248" s="12"/>
      <c r="D248" s="13"/>
      <c r="F248" s="14"/>
      <c r="G248" s="14"/>
      <c r="H248" s="14"/>
      <c r="I248" s="14"/>
      <c r="J248" s="14"/>
      <c r="K248" s="12"/>
    </row>
    <row r="249" ht="19.5" customHeight="1">
      <c r="A249" s="12"/>
      <c r="C249" s="12"/>
      <c r="D249" s="13"/>
      <c r="F249" s="14"/>
      <c r="G249" s="14"/>
      <c r="H249" s="14"/>
      <c r="I249" s="14"/>
      <c r="J249" s="14"/>
      <c r="K249" s="12"/>
    </row>
    <row r="250" ht="19.5" customHeight="1">
      <c r="A250" s="12"/>
      <c r="C250" s="12"/>
      <c r="D250" s="13"/>
      <c r="F250" s="14"/>
      <c r="G250" s="14"/>
      <c r="H250" s="14"/>
      <c r="I250" s="14"/>
      <c r="J250" s="14"/>
      <c r="K250" s="12"/>
    </row>
    <row r="251" ht="19.5" customHeight="1">
      <c r="A251" s="12"/>
      <c r="C251" s="12"/>
      <c r="D251" s="13"/>
      <c r="F251" s="14"/>
      <c r="G251" s="14"/>
      <c r="H251" s="14"/>
      <c r="I251" s="14"/>
      <c r="J251" s="14"/>
      <c r="K251" s="12"/>
    </row>
    <row r="252" ht="19.5" customHeight="1">
      <c r="A252" s="12"/>
      <c r="C252" s="12"/>
      <c r="D252" s="13"/>
      <c r="F252" s="14"/>
      <c r="G252" s="14"/>
      <c r="H252" s="14"/>
      <c r="I252" s="14"/>
      <c r="J252" s="14"/>
      <c r="K252" s="12"/>
    </row>
    <row r="253" ht="19.5" customHeight="1">
      <c r="A253" s="12"/>
      <c r="C253" s="12"/>
      <c r="D253" s="13"/>
      <c r="F253" s="14"/>
      <c r="G253" s="14"/>
      <c r="H253" s="14"/>
      <c r="I253" s="14"/>
      <c r="J253" s="14"/>
      <c r="K253" s="12"/>
    </row>
    <row r="254" ht="19.5" customHeight="1">
      <c r="A254" s="12"/>
      <c r="C254" s="12"/>
      <c r="D254" s="13"/>
      <c r="F254" s="14"/>
      <c r="G254" s="14"/>
      <c r="H254" s="14"/>
      <c r="I254" s="14"/>
      <c r="J254" s="14"/>
      <c r="K254" s="12"/>
    </row>
    <row r="255" ht="19.5" customHeight="1">
      <c r="A255" s="12"/>
      <c r="C255" s="12"/>
      <c r="D255" s="13"/>
      <c r="F255" s="14"/>
      <c r="G255" s="14"/>
      <c r="H255" s="14"/>
      <c r="I255" s="14"/>
      <c r="J255" s="14"/>
      <c r="K255" s="12"/>
    </row>
    <row r="256" ht="19.5" customHeight="1">
      <c r="A256" s="12"/>
      <c r="C256" s="12"/>
      <c r="D256" s="13"/>
      <c r="F256" s="14"/>
      <c r="G256" s="14"/>
      <c r="H256" s="14"/>
      <c r="I256" s="14"/>
      <c r="J256" s="14"/>
      <c r="K256" s="12"/>
    </row>
    <row r="257" ht="19.5" customHeight="1">
      <c r="A257" s="12"/>
      <c r="C257" s="12"/>
      <c r="D257" s="13"/>
      <c r="F257" s="14"/>
      <c r="G257" s="14"/>
      <c r="H257" s="14"/>
      <c r="I257" s="14"/>
      <c r="J257" s="14"/>
      <c r="K257" s="12"/>
    </row>
    <row r="258" ht="19.5" customHeight="1">
      <c r="A258" s="12"/>
      <c r="C258" s="12"/>
      <c r="D258" s="13"/>
      <c r="F258" s="14"/>
      <c r="G258" s="14"/>
      <c r="H258" s="14"/>
      <c r="I258" s="14"/>
      <c r="J258" s="14"/>
      <c r="K258" s="12"/>
    </row>
    <row r="259" ht="19.5" customHeight="1">
      <c r="A259" s="12"/>
      <c r="C259" s="12"/>
      <c r="D259" s="13"/>
      <c r="F259" s="14"/>
      <c r="G259" s="14"/>
      <c r="H259" s="14"/>
      <c r="I259" s="14"/>
      <c r="J259" s="14"/>
      <c r="K259" s="12"/>
    </row>
    <row r="260" ht="19.5" customHeight="1">
      <c r="A260" s="12"/>
      <c r="C260" s="12"/>
      <c r="D260" s="13"/>
      <c r="F260" s="14"/>
      <c r="G260" s="14"/>
      <c r="H260" s="14"/>
      <c r="I260" s="14"/>
      <c r="J260" s="14"/>
      <c r="K260" s="12"/>
    </row>
    <row r="261" ht="19.5" customHeight="1">
      <c r="A261" s="12"/>
      <c r="C261" s="12"/>
      <c r="D261" s="13"/>
      <c r="F261" s="14"/>
      <c r="G261" s="14"/>
      <c r="H261" s="14"/>
      <c r="I261" s="14"/>
      <c r="J261" s="14"/>
      <c r="K261" s="12"/>
    </row>
    <row r="262" ht="19.5" customHeight="1">
      <c r="A262" s="12"/>
      <c r="C262" s="12"/>
      <c r="D262" s="13"/>
      <c r="F262" s="14"/>
      <c r="G262" s="14"/>
      <c r="H262" s="14"/>
      <c r="I262" s="14"/>
      <c r="J262" s="14"/>
      <c r="K262" s="12"/>
    </row>
    <row r="263" ht="19.5" customHeight="1">
      <c r="A263" s="12"/>
      <c r="C263" s="12"/>
      <c r="D263" s="13"/>
      <c r="F263" s="14"/>
      <c r="G263" s="14"/>
      <c r="H263" s="14"/>
      <c r="I263" s="14"/>
      <c r="J263" s="14"/>
      <c r="K263" s="12"/>
    </row>
    <row r="264" ht="19.5" customHeight="1">
      <c r="A264" s="12"/>
      <c r="C264" s="12"/>
      <c r="D264" s="13"/>
      <c r="F264" s="14"/>
      <c r="G264" s="14"/>
      <c r="H264" s="14"/>
      <c r="I264" s="14"/>
      <c r="J264" s="14"/>
      <c r="K264" s="12"/>
    </row>
    <row r="265" ht="19.5" customHeight="1">
      <c r="A265" s="12"/>
      <c r="C265" s="12"/>
      <c r="D265" s="13"/>
      <c r="F265" s="14"/>
      <c r="G265" s="14"/>
      <c r="H265" s="14"/>
      <c r="I265" s="14"/>
      <c r="J265" s="14"/>
      <c r="K265" s="12"/>
    </row>
    <row r="266" ht="19.5" customHeight="1">
      <c r="A266" s="12"/>
      <c r="C266" s="12"/>
      <c r="D266" s="13"/>
      <c r="F266" s="14"/>
      <c r="G266" s="14"/>
      <c r="H266" s="14"/>
      <c r="I266" s="14"/>
      <c r="J266" s="14"/>
      <c r="K266" s="12"/>
    </row>
    <row r="267" ht="19.5" customHeight="1">
      <c r="A267" s="12"/>
      <c r="C267" s="12"/>
      <c r="D267" s="13"/>
      <c r="F267" s="14"/>
      <c r="G267" s="14"/>
      <c r="H267" s="14"/>
      <c r="I267" s="14"/>
      <c r="J267" s="14"/>
      <c r="K267" s="12"/>
    </row>
    <row r="268" ht="19.5" customHeight="1">
      <c r="A268" s="12"/>
      <c r="C268" s="12"/>
      <c r="D268" s="13"/>
      <c r="F268" s="14"/>
      <c r="G268" s="14"/>
      <c r="H268" s="14"/>
      <c r="I268" s="14"/>
      <c r="J268" s="14"/>
      <c r="K268" s="12"/>
    </row>
    <row r="269" ht="19.5" customHeight="1">
      <c r="A269" s="12"/>
      <c r="C269" s="12"/>
      <c r="D269" s="13"/>
      <c r="F269" s="14"/>
      <c r="G269" s="14"/>
      <c r="H269" s="14"/>
      <c r="I269" s="14"/>
      <c r="J269" s="14"/>
      <c r="K269" s="12"/>
    </row>
    <row r="270" ht="19.5" customHeight="1">
      <c r="A270" s="12"/>
      <c r="C270" s="12"/>
      <c r="D270" s="13"/>
      <c r="F270" s="14"/>
      <c r="G270" s="14"/>
      <c r="H270" s="14"/>
      <c r="I270" s="14"/>
      <c r="J270" s="14"/>
      <c r="K270" s="12"/>
    </row>
    <row r="271" ht="19.5" customHeight="1">
      <c r="A271" s="12"/>
      <c r="C271" s="12"/>
      <c r="D271" s="13"/>
      <c r="F271" s="14"/>
      <c r="G271" s="14"/>
      <c r="H271" s="14"/>
      <c r="I271" s="14"/>
      <c r="J271" s="14"/>
      <c r="K271" s="12"/>
    </row>
    <row r="272" ht="19.5" customHeight="1">
      <c r="A272" s="12"/>
      <c r="C272" s="12"/>
      <c r="D272" s="13"/>
      <c r="F272" s="14"/>
      <c r="G272" s="14"/>
      <c r="H272" s="14"/>
      <c r="I272" s="14"/>
      <c r="J272" s="14"/>
      <c r="K272" s="12"/>
    </row>
    <row r="273" ht="19.5" customHeight="1">
      <c r="A273" s="12"/>
      <c r="C273" s="12"/>
      <c r="D273" s="13"/>
      <c r="F273" s="14"/>
      <c r="G273" s="14"/>
      <c r="H273" s="14"/>
      <c r="I273" s="14"/>
      <c r="J273" s="14"/>
      <c r="K273" s="12"/>
    </row>
    <row r="274" ht="19.5" customHeight="1">
      <c r="A274" s="12"/>
      <c r="C274" s="12"/>
      <c r="D274" s="13"/>
      <c r="F274" s="14"/>
      <c r="G274" s="14"/>
      <c r="H274" s="14"/>
      <c r="I274" s="14"/>
      <c r="J274" s="14"/>
      <c r="K274" s="12"/>
    </row>
    <row r="275" ht="19.5" customHeight="1">
      <c r="A275" s="12"/>
      <c r="C275" s="12"/>
      <c r="D275" s="13"/>
      <c r="F275" s="14"/>
      <c r="G275" s="14"/>
      <c r="H275" s="14"/>
      <c r="I275" s="14"/>
      <c r="J275" s="14"/>
      <c r="K275" s="12"/>
    </row>
    <row r="276" ht="19.5" customHeight="1">
      <c r="A276" s="12"/>
      <c r="C276" s="12"/>
      <c r="D276" s="13"/>
      <c r="F276" s="14"/>
      <c r="G276" s="14"/>
      <c r="H276" s="14"/>
      <c r="I276" s="14"/>
      <c r="J276" s="14"/>
      <c r="K276" s="12"/>
    </row>
    <row r="277" ht="19.5" customHeight="1">
      <c r="A277" s="12"/>
      <c r="C277" s="12"/>
      <c r="D277" s="13"/>
      <c r="F277" s="14"/>
      <c r="G277" s="14"/>
      <c r="H277" s="14"/>
      <c r="I277" s="14"/>
      <c r="J277" s="14"/>
      <c r="K277" s="12"/>
    </row>
    <row r="278" ht="19.5" customHeight="1">
      <c r="A278" s="12"/>
      <c r="C278" s="12"/>
      <c r="D278" s="13"/>
      <c r="F278" s="14"/>
      <c r="G278" s="14"/>
      <c r="H278" s="14"/>
      <c r="I278" s="14"/>
      <c r="J278" s="14"/>
      <c r="K278" s="12"/>
    </row>
    <row r="279" ht="19.5" customHeight="1">
      <c r="A279" s="12"/>
      <c r="C279" s="12"/>
      <c r="D279" s="13"/>
      <c r="F279" s="14"/>
      <c r="G279" s="14"/>
      <c r="H279" s="14"/>
      <c r="I279" s="14"/>
      <c r="J279" s="14"/>
      <c r="K279" s="12"/>
    </row>
    <row r="280" ht="19.5" customHeight="1">
      <c r="A280" s="12"/>
      <c r="C280" s="12"/>
      <c r="D280" s="13"/>
      <c r="F280" s="14"/>
      <c r="G280" s="14"/>
      <c r="H280" s="14"/>
      <c r="I280" s="14"/>
      <c r="J280" s="14"/>
      <c r="K280" s="12"/>
    </row>
    <row r="281" ht="19.5" customHeight="1">
      <c r="A281" s="12"/>
      <c r="C281" s="12"/>
      <c r="D281" s="13"/>
      <c r="F281" s="14"/>
      <c r="G281" s="14"/>
      <c r="H281" s="14"/>
      <c r="I281" s="14"/>
      <c r="J281" s="14"/>
      <c r="K281" s="12"/>
    </row>
    <row r="282" ht="19.5" customHeight="1">
      <c r="A282" s="12"/>
      <c r="C282" s="12"/>
      <c r="D282" s="13"/>
      <c r="F282" s="14"/>
      <c r="G282" s="14"/>
      <c r="H282" s="14"/>
      <c r="I282" s="14"/>
      <c r="J282" s="14"/>
      <c r="K282" s="12"/>
    </row>
    <row r="283" ht="19.5" customHeight="1">
      <c r="A283" s="12"/>
      <c r="C283" s="12"/>
      <c r="D283" s="13"/>
      <c r="F283" s="14"/>
      <c r="G283" s="14"/>
      <c r="H283" s="14"/>
      <c r="I283" s="14"/>
      <c r="J283" s="14"/>
      <c r="K283" s="12"/>
    </row>
    <row r="284" ht="19.5" customHeight="1">
      <c r="A284" s="12"/>
      <c r="C284" s="12"/>
      <c r="D284" s="13"/>
      <c r="F284" s="14"/>
      <c r="G284" s="14"/>
      <c r="H284" s="14"/>
      <c r="I284" s="14"/>
      <c r="J284" s="14"/>
      <c r="K284" s="12"/>
    </row>
    <row r="285" ht="19.5" customHeight="1">
      <c r="A285" s="12"/>
      <c r="C285" s="12"/>
      <c r="D285" s="13"/>
      <c r="F285" s="14"/>
      <c r="G285" s="14"/>
      <c r="H285" s="14"/>
      <c r="I285" s="14"/>
      <c r="J285" s="14"/>
      <c r="K285" s="12"/>
    </row>
    <row r="286" ht="19.5" customHeight="1">
      <c r="A286" s="12"/>
      <c r="C286" s="12"/>
      <c r="D286" s="13"/>
      <c r="F286" s="14"/>
      <c r="G286" s="14"/>
      <c r="H286" s="14"/>
      <c r="I286" s="14"/>
      <c r="J286" s="14"/>
      <c r="K286" s="12"/>
    </row>
    <row r="287" ht="19.5" customHeight="1">
      <c r="A287" s="12"/>
      <c r="C287" s="12"/>
      <c r="D287" s="13"/>
      <c r="F287" s="14"/>
      <c r="G287" s="14"/>
      <c r="H287" s="14"/>
      <c r="I287" s="14"/>
      <c r="J287" s="14"/>
      <c r="K287" s="12"/>
    </row>
    <row r="288" ht="19.5" customHeight="1">
      <c r="A288" s="12"/>
      <c r="C288" s="12"/>
      <c r="D288" s="13"/>
      <c r="F288" s="14"/>
      <c r="G288" s="14"/>
      <c r="H288" s="14"/>
      <c r="I288" s="14"/>
      <c r="J288" s="14"/>
      <c r="K288" s="12"/>
    </row>
    <row r="289" ht="19.5" customHeight="1">
      <c r="A289" s="12"/>
      <c r="C289" s="12"/>
      <c r="D289" s="13"/>
      <c r="F289" s="14"/>
      <c r="G289" s="14"/>
      <c r="H289" s="14"/>
      <c r="I289" s="14"/>
      <c r="J289" s="14"/>
      <c r="K289" s="12"/>
    </row>
    <row r="290" ht="19.5" customHeight="1">
      <c r="A290" s="12"/>
      <c r="C290" s="12"/>
      <c r="D290" s="13"/>
      <c r="F290" s="14"/>
      <c r="G290" s="14"/>
      <c r="H290" s="14"/>
      <c r="I290" s="14"/>
      <c r="J290" s="14"/>
      <c r="K290" s="12"/>
    </row>
    <row r="291" ht="19.5" customHeight="1">
      <c r="A291" s="12"/>
      <c r="C291" s="12"/>
      <c r="D291" s="13"/>
      <c r="F291" s="14"/>
      <c r="G291" s="14"/>
      <c r="H291" s="14"/>
      <c r="I291" s="14"/>
      <c r="J291" s="14"/>
      <c r="K291" s="12"/>
    </row>
    <row r="292" ht="19.5" customHeight="1">
      <c r="A292" s="12"/>
      <c r="C292" s="12"/>
      <c r="D292" s="13"/>
      <c r="F292" s="14"/>
      <c r="G292" s="14"/>
      <c r="H292" s="14"/>
      <c r="I292" s="14"/>
      <c r="J292" s="14"/>
      <c r="K292" s="12"/>
    </row>
    <row r="293" ht="19.5" customHeight="1">
      <c r="A293" s="12"/>
      <c r="C293" s="12"/>
      <c r="D293" s="13"/>
      <c r="F293" s="14"/>
      <c r="G293" s="14"/>
      <c r="H293" s="14"/>
      <c r="I293" s="14"/>
      <c r="J293" s="14"/>
      <c r="K293" s="12"/>
    </row>
    <row r="294" ht="19.5" customHeight="1">
      <c r="A294" s="12"/>
      <c r="C294" s="12"/>
      <c r="D294" s="13"/>
      <c r="F294" s="14"/>
      <c r="G294" s="14"/>
      <c r="H294" s="14"/>
      <c r="I294" s="14"/>
      <c r="J294" s="14"/>
      <c r="K294" s="12"/>
    </row>
    <row r="295" ht="19.5" customHeight="1">
      <c r="A295" s="12"/>
      <c r="C295" s="12"/>
      <c r="D295" s="13"/>
      <c r="F295" s="14"/>
      <c r="G295" s="14"/>
      <c r="H295" s="14"/>
      <c r="I295" s="14"/>
      <c r="J295" s="14"/>
      <c r="K295" s="12"/>
    </row>
    <row r="296" ht="19.5" customHeight="1">
      <c r="A296" s="12"/>
      <c r="C296" s="12"/>
      <c r="D296" s="13"/>
      <c r="F296" s="14"/>
      <c r="G296" s="14"/>
      <c r="H296" s="14"/>
      <c r="I296" s="14"/>
      <c r="J296" s="14"/>
      <c r="K296" s="12"/>
    </row>
    <row r="297" ht="19.5" customHeight="1">
      <c r="A297" s="12"/>
      <c r="C297" s="12"/>
      <c r="D297" s="13"/>
      <c r="F297" s="14"/>
      <c r="G297" s="14"/>
      <c r="H297" s="14"/>
      <c r="I297" s="14"/>
      <c r="J297" s="14"/>
      <c r="K297" s="12"/>
    </row>
    <row r="298" ht="19.5" customHeight="1">
      <c r="A298" s="12"/>
      <c r="C298" s="12"/>
      <c r="D298" s="13"/>
      <c r="F298" s="14"/>
      <c r="G298" s="14"/>
      <c r="H298" s="14"/>
      <c r="I298" s="14"/>
      <c r="J298" s="14"/>
      <c r="K298" s="12"/>
    </row>
    <row r="299" ht="19.5" customHeight="1">
      <c r="A299" s="12"/>
      <c r="C299" s="12"/>
      <c r="D299" s="13"/>
      <c r="F299" s="14"/>
      <c r="G299" s="14"/>
      <c r="H299" s="14"/>
      <c r="I299" s="14"/>
      <c r="J299" s="14"/>
      <c r="K299" s="12"/>
    </row>
    <row r="300" ht="19.5" customHeight="1">
      <c r="A300" s="12"/>
      <c r="C300" s="12"/>
      <c r="D300" s="13"/>
      <c r="F300" s="14"/>
      <c r="G300" s="14"/>
      <c r="H300" s="14"/>
      <c r="I300" s="14"/>
      <c r="J300" s="14"/>
      <c r="K300" s="12"/>
    </row>
    <row r="301" ht="19.5" customHeight="1">
      <c r="A301" s="12"/>
      <c r="C301" s="12"/>
      <c r="D301" s="13"/>
      <c r="F301" s="14"/>
      <c r="G301" s="14"/>
      <c r="H301" s="14"/>
      <c r="I301" s="14"/>
      <c r="J301" s="14"/>
      <c r="K301" s="12"/>
    </row>
    <row r="302" ht="19.5" customHeight="1">
      <c r="A302" s="12"/>
      <c r="C302" s="12"/>
      <c r="D302" s="13"/>
      <c r="F302" s="14"/>
      <c r="G302" s="14"/>
      <c r="H302" s="14"/>
      <c r="I302" s="14"/>
      <c r="J302" s="14"/>
      <c r="K302" s="12"/>
    </row>
    <row r="303" ht="19.5" customHeight="1">
      <c r="A303" s="12"/>
      <c r="C303" s="12"/>
      <c r="D303" s="13"/>
      <c r="F303" s="14"/>
      <c r="G303" s="14"/>
      <c r="H303" s="14"/>
      <c r="I303" s="14"/>
      <c r="J303" s="14"/>
      <c r="K303" s="12"/>
    </row>
    <row r="304" ht="19.5" customHeight="1">
      <c r="A304" s="12"/>
      <c r="C304" s="12"/>
      <c r="D304" s="13"/>
      <c r="F304" s="14"/>
      <c r="G304" s="14"/>
      <c r="H304" s="14"/>
      <c r="I304" s="14"/>
      <c r="J304" s="14"/>
      <c r="K304" s="12"/>
    </row>
    <row r="305" ht="19.5" customHeight="1">
      <c r="A305" s="12"/>
      <c r="C305" s="12"/>
      <c r="D305" s="13"/>
      <c r="F305" s="14"/>
      <c r="G305" s="14"/>
      <c r="H305" s="14"/>
      <c r="I305" s="14"/>
      <c r="J305" s="14"/>
      <c r="K305" s="12"/>
    </row>
    <row r="306" ht="19.5" customHeight="1">
      <c r="A306" s="12"/>
      <c r="C306" s="12"/>
      <c r="D306" s="13"/>
      <c r="F306" s="14"/>
      <c r="G306" s="14"/>
      <c r="H306" s="14"/>
      <c r="I306" s="14"/>
      <c r="J306" s="14"/>
      <c r="K306" s="12"/>
    </row>
    <row r="307" ht="19.5" customHeight="1">
      <c r="A307" s="12"/>
      <c r="C307" s="12"/>
      <c r="D307" s="13"/>
      <c r="F307" s="14"/>
      <c r="G307" s="14"/>
      <c r="H307" s="14"/>
      <c r="I307" s="14"/>
      <c r="J307" s="14"/>
      <c r="K307" s="12"/>
    </row>
    <row r="308" ht="19.5" customHeight="1">
      <c r="A308" s="12"/>
      <c r="C308" s="12"/>
      <c r="D308" s="13"/>
      <c r="F308" s="14"/>
      <c r="G308" s="14"/>
      <c r="H308" s="14"/>
      <c r="I308" s="14"/>
      <c r="J308" s="14"/>
      <c r="K308" s="12"/>
    </row>
    <row r="309" ht="19.5" customHeight="1">
      <c r="A309" s="12"/>
      <c r="C309" s="12"/>
      <c r="D309" s="13"/>
      <c r="F309" s="14"/>
      <c r="G309" s="14"/>
      <c r="H309" s="14"/>
      <c r="I309" s="14"/>
      <c r="J309" s="14"/>
      <c r="K309" s="12"/>
    </row>
    <row r="310" ht="19.5" customHeight="1">
      <c r="A310" s="12"/>
      <c r="C310" s="12"/>
      <c r="D310" s="13"/>
      <c r="F310" s="14"/>
      <c r="G310" s="14"/>
      <c r="H310" s="14"/>
      <c r="I310" s="14"/>
      <c r="J310" s="14"/>
      <c r="K310" s="12"/>
    </row>
    <row r="311" ht="19.5" customHeight="1">
      <c r="A311" s="12"/>
      <c r="C311" s="12"/>
      <c r="D311" s="13"/>
      <c r="F311" s="14"/>
      <c r="G311" s="14"/>
      <c r="H311" s="14"/>
      <c r="I311" s="14"/>
      <c r="J311" s="14"/>
      <c r="K311" s="12"/>
    </row>
    <row r="312" ht="19.5" customHeight="1">
      <c r="A312" s="12"/>
      <c r="C312" s="12"/>
      <c r="D312" s="13"/>
      <c r="F312" s="14"/>
      <c r="G312" s="14"/>
      <c r="H312" s="14"/>
      <c r="I312" s="14"/>
      <c r="J312" s="14"/>
      <c r="K312" s="12"/>
    </row>
    <row r="313" ht="19.5" customHeight="1">
      <c r="A313" s="12"/>
      <c r="C313" s="12"/>
      <c r="D313" s="13"/>
      <c r="F313" s="14"/>
      <c r="G313" s="14"/>
      <c r="H313" s="14"/>
      <c r="I313" s="14"/>
      <c r="J313" s="14"/>
      <c r="K313" s="12"/>
    </row>
    <row r="314" ht="19.5" customHeight="1">
      <c r="A314" s="12"/>
      <c r="C314" s="12"/>
      <c r="D314" s="13"/>
      <c r="F314" s="14"/>
      <c r="G314" s="14"/>
      <c r="H314" s="14"/>
      <c r="I314" s="14"/>
      <c r="J314" s="14"/>
      <c r="K314" s="12"/>
    </row>
    <row r="315" ht="19.5" customHeight="1">
      <c r="A315" s="12"/>
      <c r="C315" s="12"/>
      <c r="D315" s="13"/>
      <c r="F315" s="14"/>
      <c r="G315" s="14"/>
      <c r="H315" s="14"/>
      <c r="I315" s="14"/>
      <c r="J315" s="14"/>
      <c r="K315" s="12"/>
    </row>
    <row r="316" ht="19.5" customHeight="1">
      <c r="A316" s="12"/>
      <c r="C316" s="12"/>
      <c r="D316" s="13"/>
      <c r="F316" s="14"/>
      <c r="G316" s="14"/>
      <c r="H316" s="14"/>
      <c r="I316" s="14"/>
      <c r="J316" s="14"/>
      <c r="K316" s="12"/>
    </row>
    <row r="317" ht="19.5" customHeight="1">
      <c r="A317" s="12"/>
      <c r="C317" s="12"/>
      <c r="D317" s="13"/>
      <c r="F317" s="14"/>
      <c r="G317" s="14"/>
      <c r="H317" s="14"/>
      <c r="I317" s="14"/>
      <c r="J317" s="14"/>
      <c r="K317" s="12"/>
    </row>
    <row r="318" ht="19.5" customHeight="1">
      <c r="A318" s="12"/>
      <c r="C318" s="12"/>
      <c r="D318" s="13"/>
      <c r="F318" s="14"/>
      <c r="G318" s="14"/>
      <c r="H318" s="14"/>
      <c r="I318" s="14"/>
      <c r="J318" s="14"/>
      <c r="K318" s="12"/>
    </row>
    <row r="319" ht="19.5" customHeight="1">
      <c r="A319" s="12"/>
      <c r="C319" s="12"/>
      <c r="D319" s="13"/>
      <c r="F319" s="14"/>
      <c r="G319" s="14"/>
      <c r="H319" s="14"/>
      <c r="I319" s="14"/>
      <c r="J319" s="14"/>
      <c r="K319" s="12"/>
    </row>
    <row r="320" ht="19.5" customHeight="1">
      <c r="A320" s="12"/>
      <c r="C320" s="12"/>
      <c r="D320" s="13"/>
      <c r="F320" s="14"/>
      <c r="G320" s="14"/>
      <c r="H320" s="14"/>
      <c r="I320" s="14"/>
      <c r="J320" s="14"/>
      <c r="K320" s="12"/>
    </row>
    <row r="321" ht="19.5" customHeight="1">
      <c r="A321" s="12"/>
      <c r="C321" s="12"/>
      <c r="D321" s="13"/>
      <c r="F321" s="14"/>
      <c r="G321" s="14"/>
      <c r="H321" s="14"/>
      <c r="I321" s="14"/>
      <c r="J321" s="14"/>
      <c r="K321" s="12"/>
    </row>
    <row r="322" ht="19.5" customHeight="1">
      <c r="A322" s="12"/>
      <c r="C322" s="12"/>
      <c r="D322" s="13"/>
      <c r="F322" s="14"/>
      <c r="G322" s="14"/>
      <c r="H322" s="14"/>
      <c r="I322" s="14"/>
      <c r="J322" s="14"/>
      <c r="K322" s="12"/>
    </row>
    <row r="323" ht="19.5" customHeight="1">
      <c r="A323" s="12"/>
      <c r="C323" s="12"/>
      <c r="D323" s="13"/>
      <c r="F323" s="14"/>
      <c r="G323" s="14"/>
      <c r="H323" s="14"/>
      <c r="I323" s="14"/>
      <c r="J323" s="14"/>
      <c r="K323" s="12"/>
    </row>
    <row r="324" ht="19.5" customHeight="1">
      <c r="A324" s="12"/>
      <c r="C324" s="12"/>
      <c r="D324" s="13"/>
      <c r="F324" s="14"/>
      <c r="G324" s="14"/>
      <c r="H324" s="14"/>
      <c r="I324" s="14"/>
      <c r="J324" s="14"/>
      <c r="K324" s="12"/>
    </row>
    <row r="325" ht="19.5" customHeight="1">
      <c r="A325" s="12"/>
      <c r="C325" s="12"/>
      <c r="D325" s="13"/>
      <c r="F325" s="14"/>
      <c r="G325" s="14"/>
      <c r="H325" s="14"/>
      <c r="I325" s="14"/>
      <c r="J325" s="14"/>
      <c r="K325" s="12"/>
    </row>
    <row r="326" ht="19.5" customHeight="1">
      <c r="A326" s="12"/>
      <c r="C326" s="12"/>
      <c r="D326" s="13"/>
      <c r="F326" s="14"/>
      <c r="G326" s="14"/>
      <c r="H326" s="14"/>
      <c r="I326" s="14"/>
      <c r="J326" s="14"/>
      <c r="K326" s="12"/>
    </row>
    <row r="327" ht="19.5" customHeight="1">
      <c r="A327" s="12"/>
      <c r="C327" s="12"/>
      <c r="D327" s="13"/>
      <c r="F327" s="14"/>
      <c r="G327" s="14"/>
      <c r="H327" s="14"/>
      <c r="I327" s="14"/>
      <c r="J327" s="14"/>
      <c r="K327" s="12"/>
    </row>
    <row r="328" ht="19.5" customHeight="1">
      <c r="A328" s="12"/>
      <c r="C328" s="12"/>
      <c r="D328" s="13"/>
      <c r="F328" s="14"/>
      <c r="G328" s="14"/>
      <c r="H328" s="14"/>
      <c r="I328" s="14"/>
      <c r="J328" s="14"/>
      <c r="K328" s="12"/>
    </row>
    <row r="329" ht="19.5" customHeight="1">
      <c r="A329" s="12"/>
      <c r="C329" s="12"/>
      <c r="D329" s="13"/>
      <c r="F329" s="14"/>
      <c r="G329" s="14"/>
      <c r="H329" s="14"/>
      <c r="I329" s="14"/>
      <c r="J329" s="14"/>
      <c r="K329" s="12"/>
    </row>
    <row r="330" ht="19.5" customHeight="1">
      <c r="A330" s="12"/>
      <c r="C330" s="12"/>
      <c r="D330" s="13"/>
      <c r="F330" s="14"/>
      <c r="G330" s="14"/>
      <c r="H330" s="14"/>
      <c r="I330" s="14"/>
      <c r="J330" s="14"/>
      <c r="K330" s="12"/>
    </row>
    <row r="331" ht="19.5" customHeight="1">
      <c r="A331" s="12"/>
      <c r="C331" s="12"/>
      <c r="D331" s="13"/>
      <c r="F331" s="14"/>
      <c r="G331" s="14"/>
      <c r="H331" s="14"/>
      <c r="I331" s="14"/>
      <c r="J331" s="14"/>
      <c r="K331" s="12"/>
    </row>
    <row r="332" ht="19.5" customHeight="1">
      <c r="A332" s="12"/>
      <c r="C332" s="12"/>
      <c r="D332" s="13"/>
      <c r="F332" s="14"/>
      <c r="G332" s="14"/>
      <c r="H332" s="14"/>
      <c r="I332" s="14"/>
      <c r="J332" s="14"/>
      <c r="K332" s="12"/>
    </row>
    <row r="333" ht="19.5" customHeight="1">
      <c r="A333" s="12"/>
      <c r="C333" s="12"/>
      <c r="D333" s="13"/>
      <c r="F333" s="14"/>
      <c r="G333" s="14"/>
      <c r="H333" s="14"/>
      <c r="I333" s="14"/>
      <c r="J333" s="14"/>
      <c r="K333" s="12"/>
    </row>
    <row r="334" ht="19.5" customHeight="1">
      <c r="A334" s="12"/>
      <c r="C334" s="12"/>
      <c r="D334" s="13"/>
      <c r="F334" s="14"/>
      <c r="G334" s="14"/>
      <c r="H334" s="14"/>
      <c r="I334" s="14"/>
      <c r="J334" s="14"/>
      <c r="K334" s="12"/>
    </row>
    <row r="335" ht="19.5" customHeight="1">
      <c r="A335" s="12"/>
      <c r="C335" s="12"/>
      <c r="D335" s="13"/>
      <c r="F335" s="14"/>
      <c r="G335" s="14"/>
      <c r="H335" s="14"/>
      <c r="I335" s="14"/>
      <c r="J335" s="14"/>
      <c r="K335" s="12"/>
    </row>
    <row r="336" ht="19.5" customHeight="1">
      <c r="A336" s="12"/>
      <c r="C336" s="12"/>
      <c r="D336" s="13"/>
      <c r="F336" s="14"/>
      <c r="G336" s="14"/>
      <c r="H336" s="14"/>
      <c r="I336" s="14"/>
      <c r="J336" s="14"/>
      <c r="K336" s="12"/>
    </row>
    <row r="337" ht="19.5" customHeight="1">
      <c r="A337" s="12"/>
      <c r="C337" s="12"/>
      <c r="D337" s="13"/>
      <c r="F337" s="14"/>
      <c r="G337" s="14"/>
      <c r="H337" s="14"/>
      <c r="I337" s="14"/>
      <c r="J337" s="14"/>
      <c r="K337" s="12"/>
    </row>
    <row r="338" ht="19.5" customHeight="1">
      <c r="A338" s="12"/>
      <c r="C338" s="12"/>
      <c r="D338" s="13"/>
      <c r="F338" s="14"/>
      <c r="G338" s="14"/>
      <c r="H338" s="14"/>
      <c r="I338" s="14"/>
      <c r="J338" s="14"/>
      <c r="K338" s="12"/>
    </row>
    <row r="339" ht="19.5" customHeight="1">
      <c r="A339" s="12"/>
      <c r="C339" s="12"/>
      <c r="D339" s="13"/>
      <c r="F339" s="14"/>
      <c r="G339" s="14"/>
      <c r="H339" s="14"/>
      <c r="I339" s="14"/>
      <c r="J339" s="14"/>
      <c r="K339" s="12"/>
    </row>
    <row r="340" ht="19.5" customHeight="1">
      <c r="A340" s="12"/>
      <c r="C340" s="12"/>
      <c r="D340" s="13"/>
      <c r="F340" s="14"/>
      <c r="G340" s="14"/>
      <c r="H340" s="14"/>
      <c r="I340" s="14"/>
      <c r="J340" s="14"/>
      <c r="K340" s="12"/>
    </row>
    <row r="341" ht="19.5" customHeight="1">
      <c r="A341" s="12"/>
      <c r="C341" s="12"/>
      <c r="D341" s="13"/>
      <c r="F341" s="14"/>
      <c r="G341" s="14"/>
      <c r="H341" s="14"/>
      <c r="I341" s="14"/>
      <c r="J341" s="14"/>
      <c r="K341" s="12"/>
    </row>
    <row r="342" ht="19.5" customHeight="1">
      <c r="A342" s="12"/>
      <c r="C342" s="12"/>
      <c r="D342" s="13"/>
      <c r="F342" s="14"/>
      <c r="G342" s="14"/>
      <c r="H342" s="14"/>
      <c r="I342" s="14"/>
      <c r="J342" s="14"/>
      <c r="K342" s="12"/>
    </row>
    <row r="343" ht="19.5" customHeight="1">
      <c r="A343" s="12"/>
      <c r="C343" s="12"/>
      <c r="D343" s="13"/>
      <c r="F343" s="14"/>
      <c r="G343" s="14"/>
      <c r="H343" s="14"/>
      <c r="I343" s="14"/>
      <c r="J343" s="14"/>
      <c r="K343" s="12"/>
    </row>
    <row r="344" ht="19.5" customHeight="1">
      <c r="A344" s="12"/>
      <c r="C344" s="12"/>
      <c r="D344" s="13"/>
      <c r="F344" s="14"/>
      <c r="G344" s="14"/>
      <c r="H344" s="14"/>
      <c r="I344" s="14"/>
      <c r="J344" s="14"/>
      <c r="K344" s="12"/>
    </row>
    <row r="345" ht="19.5" customHeight="1">
      <c r="A345" s="12"/>
      <c r="C345" s="12"/>
      <c r="D345" s="13"/>
      <c r="F345" s="14"/>
      <c r="G345" s="14"/>
      <c r="H345" s="14"/>
      <c r="I345" s="14"/>
      <c r="J345" s="14"/>
      <c r="K345" s="12"/>
    </row>
    <row r="346" ht="19.5" customHeight="1">
      <c r="A346" s="12"/>
      <c r="C346" s="12"/>
      <c r="D346" s="13"/>
      <c r="F346" s="14"/>
      <c r="G346" s="14"/>
      <c r="H346" s="14"/>
      <c r="I346" s="14"/>
      <c r="J346" s="14"/>
      <c r="K346" s="12"/>
    </row>
    <row r="347" ht="19.5" customHeight="1">
      <c r="A347" s="12"/>
      <c r="C347" s="12"/>
      <c r="D347" s="13"/>
      <c r="F347" s="14"/>
      <c r="G347" s="14"/>
      <c r="H347" s="14"/>
      <c r="I347" s="14"/>
      <c r="J347" s="14"/>
      <c r="K347" s="12"/>
    </row>
    <row r="348" ht="19.5" customHeight="1">
      <c r="A348" s="12"/>
      <c r="C348" s="12"/>
      <c r="D348" s="13"/>
      <c r="F348" s="14"/>
      <c r="G348" s="14"/>
      <c r="H348" s="14"/>
      <c r="I348" s="14"/>
      <c r="J348" s="14"/>
      <c r="K348" s="12"/>
    </row>
    <row r="349" ht="19.5" customHeight="1">
      <c r="A349" s="12"/>
      <c r="C349" s="12"/>
      <c r="D349" s="13"/>
      <c r="F349" s="14"/>
      <c r="G349" s="14"/>
      <c r="H349" s="14"/>
      <c r="I349" s="14"/>
      <c r="J349" s="14"/>
      <c r="K349" s="12"/>
    </row>
    <row r="350" ht="19.5" customHeight="1">
      <c r="A350" s="12"/>
      <c r="C350" s="12"/>
      <c r="D350" s="13"/>
      <c r="F350" s="14"/>
      <c r="G350" s="14"/>
      <c r="H350" s="14"/>
      <c r="I350" s="14"/>
      <c r="J350" s="14"/>
      <c r="K350" s="12"/>
    </row>
    <row r="351" ht="19.5" customHeight="1">
      <c r="A351" s="12"/>
      <c r="C351" s="12"/>
      <c r="D351" s="13"/>
      <c r="F351" s="14"/>
      <c r="G351" s="14"/>
      <c r="H351" s="14"/>
      <c r="I351" s="14"/>
      <c r="J351" s="14"/>
      <c r="K351" s="12"/>
    </row>
    <row r="352" ht="19.5" customHeight="1">
      <c r="A352" s="12"/>
      <c r="C352" s="12"/>
      <c r="D352" s="13"/>
      <c r="F352" s="14"/>
      <c r="G352" s="14"/>
      <c r="H352" s="14"/>
      <c r="I352" s="14"/>
      <c r="J352" s="14"/>
      <c r="K352" s="12"/>
    </row>
    <row r="353" ht="19.5" customHeight="1">
      <c r="A353" s="12"/>
      <c r="C353" s="12"/>
      <c r="D353" s="13"/>
      <c r="F353" s="14"/>
      <c r="G353" s="14"/>
      <c r="H353" s="14"/>
      <c r="I353" s="14"/>
      <c r="J353" s="14"/>
      <c r="K353" s="12"/>
    </row>
    <row r="354" ht="19.5" customHeight="1">
      <c r="A354" s="12"/>
      <c r="C354" s="12"/>
      <c r="D354" s="13"/>
      <c r="F354" s="14"/>
      <c r="G354" s="14"/>
      <c r="H354" s="14"/>
      <c r="I354" s="14"/>
      <c r="J354" s="14"/>
      <c r="K354" s="12"/>
    </row>
    <row r="355" ht="19.5" customHeight="1">
      <c r="A355" s="12"/>
      <c r="C355" s="12"/>
      <c r="D355" s="13"/>
      <c r="F355" s="14"/>
      <c r="G355" s="14"/>
      <c r="H355" s="14"/>
      <c r="I355" s="14"/>
      <c r="J355" s="14"/>
      <c r="K355" s="12"/>
    </row>
    <row r="356" ht="19.5" customHeight="1">
      <c r="A356" s="12"/>
      <c r="C356" s="12"/>
      <c r="D356" s="13"/>
      <c r="F356" s="14"/>
      <c r="G356" s="14"/>
      <c r="H356" s="14"/>
      <c r="I356" s="14"/>
      <c r="J356" s="14"/>
      <c r="K356" s="12"/>
    </row>
    <row r="357" ht="19.5" customHeight="1">
      <c r="A357" s="12"/>
      <c r="C357" s="12"/>
      <c r="D357" s="13"/>
      <c r="F357" s="14"/>
      <c r="G357" s="14"/>
      <c r="H357" s="14"/>
      <c r="I357" s="14"/>
      <c r="J357" s="14"/>
      <c r="K357" s="12"/>
    </row>
    <row r="358" ht="19.5" customHeight="1">
      <c r="A358" s="12"/>
      <c r="C358" s="12"/>
      <c r="D358" s="13"/>
      <c r="F358" s="14"/>
      <c r="G358" s="14"/>
      <c r="H358" s="14"/>
      <c r="I358" s="14"/>
      <c r="J358" s="14"/>
      <c r="K358" s="12"/>
    </row>
    <row r="359" ht="19.5" customHeight="1">
      <c r="A359" s="12"/>
      <c r="C359" s="12"/>
      <c r="D359" s="13"/>
      <c r="F359" s="14"/>
      <c r="G359" s="14"/>
      <c r="H359" s="14"/>
      <c r="I359" s="14"/>
      <c r="J359" s="14"/>
      <c r="K359" s="12"/>
    </row>
    <row r="360" ht="19.5" customHeight="1">
      <c r="A360" s="12"/>
      <c r="C360" s="12"/>
      <c r="D360" s="13"/>
      <c r="F360" s="14"/>
      <c r="G360" s="14"/>
      <c r="H360" s="14"/>
      <c r="I360" s="14"/>
      <c r="J360" s="14"/>
      <c r="K360" s="12"/>
    </row>
    <row r="361" ht="19.5" customHeight="1">
      <c r="A361" s="12"/>
      <c r="C361" s="12"/>
      <c r="D361" s="13"/>
      <c r="F361" s="14"/>
      <c r="G361" s="14"/>
      <c r="H361" s="14"/>
      <c r="I361" s="14"/>
      <c r="J361" s="14"/>
      <c r="K361" s="12"/>
    </row>
    <row r="362" ht="19.5" customHeight="1">
      <c r="A362" s="12"/>
      <c r="C362" s="12"/>
      <c r="D362" s="13"/>
      <c r="F362" s="14"/>
      <c r="G362" s="14"/>
      <c r="H362" s="14"/>
      <c r="I362" s="14"/>
      <c r="J362" s="14"/>
      <c r="K362" s="12"/>
    </row>
    <row r="363" ht="19.5" customHeight="1">
      <c r="A363" s="12"/>
      <c r="C363" s="12"/>
      <c r="D363" s="13"/>
      <c r="F363" s="14"/>
      <c r="G363" s="14"/>
      <c r="H363" s="14"/>
      <c r="I363" s="14"/>
      <c r="J363" s="14"/>
      <c r="K363" s="12"/>
    </row>
    <row r="364" ht="19.5" customHeight="1">
      <c r="A364" s="12"/>
      <c r="C364" s="12"/>
      <c r="D364" s="13"/>
      <c r="F364" s="14"/>
      <c r="G364" s="14"/>
      <c r="H364" s="14"/>
      <c r="I364" s="14"/>
      <c r="J364" s="14"/>
      <c r="K364" s="12"/>
    </row>
    <row r="365" ht="19.5" customHeight="1">
      <c r="A365" s="12"/>
      <c r="C365" s="12"/>
      <c r="D365" s="13"/>
      <c r="F365" s="14"/>
      <c r="G365" s="14"/>
      <c r="H365" s="14"/>
      <c r="I365" s="14"/>
      <c r="J365" s="14"/>
      <c r="K365" s="12"/>
    </row>
    <row r="366" ht="19.5" customHeight="1">
      <c r="A366" s="12"/>
      <c r="C366" s="12"/>
      <c r="D366" s="13"/>
      <c r="F366" s="14"/>
      <c r="G366" s="14"/>
      <c r="H366" s="14"/>
      <c r="I366" s="14"/>
      <c r="J366" s="14"/>
      <c r="K366" s="12"/>
    </row>
    <row r="367" ht="19.5" customHeight="1">
      <c r="A367" s="12"/>
      <c r="C367" s="12"/>
      <c r="D367" s="13"/>
      <c r="F367" s="14"/>
      <c r="G367" s="14"/>
      <c r="H367" s="14"/>
      <c r="I367" s="14"/>
      <c r="J367" s="14"/>
      <c r="K367" s="12"/>
    </row>
    <row r="368" ht="19.5" customHeight="1">
      <c r="A368" s="12"/>
      <c r="C368" s="12"/>
      <c r="D368" s="13"/>
      <c r="F368" s="14"/>
      <c r="G368" s="14"/>
      <c r="H368" s="14"/>
      <c r="I368" s="14"/>
      <c r="J368" s="14"/>
      <c r="K368" s="12"/>
    </row>
    <row r="369" ht="19.5" customHeight="1">
      <c r="A369" s="12"/>
      <c r="C369" s="12"/>
      <c r="D369" s="13"/>
      <c r="F369" s="14"/>
      <c r="G369" s="14"/>
      <c r="H369" s="14"/>
      <c r="I369" s="14"/>
      <c r="J369" s="14"/>
      <c r="K369" s="12"/>
    </row>
    <row r="370" ht="19.5" customHeight="1">
      <c r="A370" s="12"/>
      <c r="C370" s="12"/>
      <c r="D370" s="13"/>
      <c r="F370" s="14"/>
      <c r="G370" s="14"/>
      <c r="H370" s="14"/>
      <c r="I370" s="14"/>
      <c r="J370" s="14"/>
      <c r="K370" s="12"/>
    </row>
    <row r="371" ht="19.5" customHeight="1">
      <c r="A371" s="12"/>
      <c r="C371" s="12"/>
      <c r="D371" s="13"/>
      <c r="F371" s="14"/>
      <c r="G371" s="14"/>
      <c r="H371" s="14"/>
      <c r="I371" s="14"/>
      <c r="J371" s="14"/>
      <c r="K371" s="12"/>
    </row>
    <row r="372" ht="19.5" customHeight="1">
      <c r="A372" s="12"/>
      <c r="C372" s="12"/>
      <c r="D372" s="13"/>
      <c r="F372" s="14"/>
      <c r="G372" s="14"/>
      <c r="H372" s="14"/>
      <c r="I372" s="14"/>
      <c r="J372" s="14"/>
      <c r="K372" s="12"/>
    </row>
    <row r="373" ht="19.5" customHeight="1">
      <c r="A373" s="12"/>
      <c r="C373" s="12"/>
      <c r="D373" s="13"/>
      <c r="F373" s="14"/>
      <c r="G373" s="14"/>
      <c r="H373" s="14"/>
      <c r="I373" s="14"/>
      <c r="J373" s="14"/>
      <c r="K373" s="12"/>
    </row>
    <row r="374" ht="19.5" customHeight="1">
      <c r="A374" s="12"/>
      <c r="C374" s="12"/>
      <c r="D374" s="13"/>
      <c r="F374" s="14"/>
      <c r="G374" s="14"/>
      <c r="H374" s="14"/>
      <c r="I374" s="14"/>
      <c r="J374" s="14"/>
      <c r="K374" s="12"/>
    </row>
    <row r="375" ht="19.5" customHeight="1">
      <c r="A375" s="12"/>
      <c r="C375" s="12"/>
      <c r="D375" s="13"/>
      <c r="F375" s="14"/>
      <c r="G375" s="14"/>
      <c r="H375" s="14"/>
      <c r="I375" s="14"/>
      <c r="J375" s="14"/>
      <c r="K375" s="12"/>
    </row>
    <row r="376" ht="19.5" customHeight="1">
      <c r="A376" s="12"/>
      <c r="C376" s="12"/>
      <c r="D376" s="13"/>
      <c r="F376" s="14"/>
      <c r="G376" s="14"/>
      <c r="H376" s="14"/>
      <c r="I376" s="14"/>
      <c r="J376" s="14"/>
      <c r="K376" s="12"/>
    </row>
    <row r="377" ht="19.5" customHeight="1">
      <c r="A377" s="12"/>
      <c r="C377" s="12"/>
      <c r="D377" s="13"/>
      <c r="F377" s="14"/>
      <c r="G377" s="14"/>
      <c r="H377" s="14"/>
      <c r="I377" s="14"/>
      <c r="J377" s="14"/>
      <c r="K377" s="12"/>
    </row>
    <row r="378" ht="19.5" customHeight="1">
      <c r="A378" s="12"/>
      <c r="C378" s="12"/>
      <c r="D378" s="13"/>
      <c r="F378" s="14"/>
      <c r="G378" s="14"/>
      <c r="H378" s="14"/>
      <c r="I378" s="14"/>
      <c r="J378" s="14"/>
      <c r="K378" s="12"/>
    </row>
    <row r="379" ht="19.5" customHeight="1">
      <c r="A379" s="12"/>
      <c r="C379" s="12"/>
      <c r="D379" s="13"/>
      <c r="F379" s="14"/>
      <c r="G379" s="14"/>
      <c r="H379" s="14"/>
      <c r="I379" s="14"/>
      <c r="J379" s="14"/>
      <c r="K379" s="12"/>
    </row>
    <row r="380" ht="19.5" customHeight="1">
      <c r="A380" s="12"/>
      <c r="C380" s="12"/>
      <c r="D380" s="13"/>
      <c r="F380" s="14"/>
      <c r="G380" s="14"/>
      <c r="H380" s="14"/>
      <c r="I380" s="14"/>
      <c r="J380" s="14"/>
      <c r="K380" s="12"/>
    </row>
    <row r="381" ht="19.5" customHeight="1">
      <c r="A381" s="12"/>
      <c r="C381" s="12"/>
      <c r="D381" s="13"/>
      <c r="F381" s="14"/>
      <c r="G381" s="14"/>
      <c r="H381" s="14"/>
      <c r="I381" s="14"/>
      <c r="J381" s="14"/>
      <c r="K381" s="12"/>
    </row>
    <row r="382" ht="19.5" customHeight="1">
      <c r="A382" s="12"/>
      <c r="C382" s="12"/>
      <c r="D382" s="13"/>
      <c r="F382" s="14"/>
      <c r="G382" s="14"/>
      <c r="H382" s="14"/>
      <c r="I382" s="14"/>
      <c r="J382" s="14"/>
      <c r="K382" s="12"/>
    </row>
    <row r="383" ht="19.5" customHeight="1">
      <c r="A383" s="12"/>
      <c r="C383" s="12"/>
      <c r="D383" s="13"/>
      <c r="F383" s="14"/>
      <c r="G383" s="14"/>
      <c r="H383" s="14"/>
      <c r="I383" s="14"/>
      <c r="J383" s="14"/>
      <c r="K383" s="12"/>
    </row>
    <row r="384" ht="19.5" customHeight="1">
      <c r="A384" s="12"/>
      <c r="C384" s="12"/>
      <c r="D384" s="13"/>
      <c r="F384" s="14"/>
      <c r="G384" s="14"/>
      <c r="H384" s="14"/>
      <c r="I384" s="14"/>
      <c r="J384" s="14"/>
      <c r="K384" s="12"/>
    </row>
    <row r="385" ht="19.5" customHeight="1">
      <c r="A385" s="12"/>
      <c r="C385" s="12"/>
      <c r="D385" s="13"/>
      <c r="F385" s="14"/>
      <c r="G385" s="14"/>
      <c r="H385" s="14"/>
      <c r="I385" s="14"/>
      <c r="J385" s="14"/>
      <c r="K385" s="12"/>
    </row>
    <row r="386" ht="19.5" customHeight="1">
      <c r="A386" s="12"/>
      <c r="C386" s="12"/>
      <c r="D386" s="13"/>
      <c r="F386" s="14"/>
      <c r="G386" s="14"/>
      <c r="H386" s="14"/>
      <c r="I386" s="14"/>
      <c r="J386" s="14"/>
      <c r="K386" s="12"/>
    </row>
    <row r="387" ht="19.5" customHeight="1">
      <c r="A387" s="12"/>
      <c r="C387" s="12"/>
      <c r="D387" s="13"/>
      <c r="F387" s="14"/>
      <c r="G387" s="14"/>
      <c r="H387" s="14"/>
      <c r="I387" s="14"/>
      <c r="J387" s="14"/>
      <c r="K387" s="12"/>
    </row>
    <row r="388" ht="19.5" customHeight="1">
      <c r="A388" s="12"/>
      <c r="C388" s="12"/>
      <c r="D388" s="13"/>
      <c r="F388" s="14"/>
      <c r="G388" s="14"/>
      <c r="H388" s="14"/>
      <c r="I388" s="14"/>
      <c r="J388" s="14"/>
      <c r="K388" s="12"/>
    </row>
    <row r="389" ht="19.5" customHeight="1">
      <c r="A389" s="12"/>
      <c r="C389" s="12"/>
      <c r="D389" s="13"/>
      <c r="F389" s="14"/>
      <c r="G389" s="14"/>
      <c r="H389" s="14"/>
      <c r="I389" s="14"/>
      <c r="J389" s="14"/>
      <c r="K389" s="12"/>
    </row>
    <row r="390" ht="19.5" customHeight="1">
      <c r="A390" s="12"/>
      <c r="C390" s="12"/>
      <c r="D390" s="13"/>
      <c r="F390" s="14"/>
      <c r="G390" s="14"/>
      <c r="H390" s="14"/>
      <c r="I390" s="14"/>
      <c r="J390" s="14"/>
      <c r="K390" s="12"/>
    </row>
    <row r="391" ht="19.5" customHeight="1">
      <c r="A391" s="12"/>
      <c r="C391" s="12"/>
      <c r="D391" s="13"/>
      <c r="F391" s="14"/>
      <c r="G391" s="14"/>
      <c r="H391" s="14"/>
      <c r="I391" s="14"/>
      <c r="J391" s="14"/>
      <c r="K391" s="12"/>
    </row>
    <row r="392" ht="19.5" customHeight="1">
      <c r="A392" s="12"/>
      <c r="C392" s="12"/>
      <c r="D392" s="13"/>
      <c r="F392" s="14"/>
      <c r="G392" s="14"/>
      <c r="H392" s="14"/>
      <c r="I392" s="14"/>
      <c r="J392" s="14"/>
      <c r="K392" s="12"/>
    </row>
    <row r="393" ht="19.5" customHeight="1">
      <c r="A393" s="12"/>
      <c r="C393" s="12"/>
      <c r="D393" s="13"/>
      <c r="F393" s="14"/>
      <c r="G393" s="14"/>
      <c r="H393" s="14"/>
      <c r="I393" s="14"/>
      <c r="J393" s="14"/>
      <c r="K393" s="12"/>
    </row>
    <row r="394" ht="19.5" customHeight="1">
      <c r="A394" s="12"/>
      <c r="C394" s="12"/>
      <c r="D394" s="13"/>
      <c r="F394" s="14"/>
      <c r="G394" s="14"/>
      <c r="H394" s="14"/>
      <c r="I394" s="14"/>
      <c r="J394" s="14"/>
      <c r="K394" s="12"/>
    </row>
    <row r="395" ht="19.5" customHeight="1">
      <c r="A395" s="12"/>
      <c r="C395" s="12"/>
      <c r="D395" s="13"/>
      <c r="F395" s="14"/>
      <c r="G395" s="14"/>
      <c r="H395" s="14"/>
      <c r="I395" s="14"/>
      <c r="J395" s="14"/>
      <c r="K395" s="12"/>
    </row>
    <row r="396" ht="19.5" customHeight="1">
      <c r="A396" s="12"/>
      <c r="C396" s="12"/>
      <c r="D396" s="13"/>
      <c r="F396" s="14"/>
      <c r="G396" s="14"/>
      <c r="H396" s="14"/>
      <c r="I396" s="14"/>
      <c r="J396" s="14"/>
      <c r="K396" s="12"/>
    </row>
    <row r="397" ht="19.5" customHeight="1">
      <c r="A397" s="12"/>
      <c r="C397" s="12"/>
      <c r="D397" s="13"/>
      <c r="F397" s="14"/>
      <c r="G397" s="14"/>
      <c r="H397" s="14"/>
      <c r="I397" s="14"/>
      <c r="J397" s="14"/>
      <c r="K397" s="12"/>
    </row>
    <row r="398" ht="19.5" customHeight="1">
      <c r="A398" s="12"/>
      <c r="C398" s="12"/>
      <c r="D398" s="13"/>
      <c r="F398" s="14"/>
      <c r="G398" s="14"/>
      <c r="H398" s="14"/>
      <c r="I398" s="14"/>
      <c r="J398" s="14"/>
      <c r="K398" s="12"/>
    </row>
    <row r="399" ht="19.5" customHeight="1">
      <c r="A399" s="12"/>
      <c r="C399" s="12"/>
      <c r="D399" s="13"/>
      <c r="F399" s="14"/>
      <c r="G399" s="14"/>
      <c r="H399" s="14"/>
      <c r="I399" s="14"/>
      <c r="J399" s="14"/>
      <c r="K399" s="12"/>
    </row>
    <row r="400" ht="19.5" customHeight="1">
      <c r="A400" s="12"/>
      <c r="C400" s="12"/>
      <c r="D400" s="13"/>
      <c r="F400" s="14"/>
      <c r="G400" s="14"/>
      <c r="H400" s="14"/>
      <c r="I400" s="14"/>
      <c r="J400" s="14"/>
      <c r="K400" s="12"/>
    </row>
    <row r="401" ht="19.5" customHeight="1">
      <c r="A401" s="12"/>
      <c r="C401" s="12"/>
      <c r="D401" s="13"/>
      <c r="F401" s="14"/>
      <c r="G401" s="14"/>
      <c r="H401" s="14"/>
      <c r="I401" s="14"/>
      <c r="J401" s="14"/>
      <c r="K401" s="12"/>
    </row>
    <row r="402" ht="19.5" customHeight="1">
      <c r="A402" s="12"/>
      <c r="C402" s="12"/>
      <c r="D402" s="13"/>
      <c r="F402" s="14"/>
      <c r="G402" s="14"/>
      <c r="H402" s="14"/>
      <c r="I402" s="14"/>
      <c r="J402" s="14"/>
      <c r="K402" s="12"/>
    </row>
    <row r="403" ht="19.5" customHeight="1">
      <c r="A403" s="12"/>
      <c r="C403" s="12"/>
      <c r="D403" s="13"/>
      <c r="F403" s="14"/>
      <c r="G403" s="14"/>
      <c r="H403" s="14"/>
      <c r="I403" s="14"/>
      <c r="J403" s="14"/>
      <c r="K403" s="12"/>
    </row>
    <row r="404" ht="19.5" customHeight="1">
      <c r="A404" s="12"/>
      <c r="C404" s="12"/>
      <c r="D404" s="13"/>
      <c r="F404" s="14"/>
      <c r="G404" s="14"/>
      <c r="H404" s="14"/>
      <c r="I404" s="14"/>
      <c r="J404" s="14"/>
      <c r="K404" s="12"/>
    </row>
    <row r="405" ht="19.5" customHeight="1">
      <c r="A405" s="12"/>
      <c r="C405" s="12"/>
      <c r="D405" s="13"/>
      <c r="F405" s="14"/>
      <c r="G405" s="14"/>
      <c r="H405" s="14"/>
      <c r="I405" s="14"/>
      <c r="J405" s="14"/>
      <c r="K405" s="12"/>
    </row>
    <row r="406" ht="19.5" customHeight="1">
      <c r="A406" s="12"/>
      <c r="C406" s="12"/>
      <c r="D406" s="13"/>
      <c r="F406" s="14"/>
      <c r="G406" s="14"/>
      <c r="H406" s="14"/>
      <c r="I406" s="14"/>
      <c r="J406" s="14"/>
      <c r="K406" s="12"/>
    </row>
    <row r="407" ht="19.5" customHeight="1">
      <c r="A407" s="12"/>
      <c r="C407" s="12"/>
      <c r="D407" s="13"/>
      <c r="F407" s="14"/>
      <c r="G407" s="14"/>
      <c r="H407" s="14"/>
      <c r="I407" s="14"/>
      <c r="J407" s="14"/>
      <c r="K407" s="12"/>
    </row>
    <row r="408" ht="19.5" customHeight="1">
      <c r="A408" s="12"/>
      <c r="C408" s="12"/>
      <c r="D408" s="13"/>
      <c r="F408" s="14"/>
      <c r="G408" s="14"/>
      <c r="H408" s="14"/>
      <c r="I408" s="14"/>
      <c r="J408" s="14"/>
      <c r="K408" s="12"/>
    </row>
    <row r="409" ht="19.5" customHeight="1">
      <c r="A409" s="12"/>
      <c r="C409" s="12"/>
      <c r="D409" s="13"/>
      <c r="F409" s="14"/>
      <c r="G409" s="14"/>
      <c r="H409" s="14"/>
      <c r="I409" s="14"/>
      <c r="J409" s="14"/>
      <c r="K409" s="12"/>
    </row>
    <row r="410" ht="19.5" customHeight="1">
      <c r="A410" s="12"/>
      <c r="C410" s="12"/>
      <c r="D410" s="13"/>
      <c r="F410" s="14"/>
      <c r="G410" s="14"/>
      <c r="H410" s="14"/>
      <c r="I410" s="14"/>
      <c r="J410" s="14"/>
      <c r="K410" s="12"/>
    </row>
    <row r="411" ht="19.5" customHeight="1">
      <c r="A411" s="12"/>
      <c r="C411" s="12"/>
      <c r="D411" s="13"/>
      <c r="F411" s="14"/>
      <c r="G411" s="14"/>
      <c r="H411" s="14"/>
      <c r="I411" s="14"/>
      <c r="J411" s="14"/>
      <c r="K411" s="12"/>
    </row>
    <row r="412" ht="19.5" customHeight="1">
      <c r="A412" s="12"/>
      <c r="C412" s="12"/>
      <c r="D412" s="13"/>
      <c r="F412" s="14"/>
      <c r="G412" s="14"/>
      <c r="H412" s="14"/>
      <c r="I412" s="14"/>
      <c r="J412" s="14"/>
      <c r="K412" s="12"/>
    </row>
    <row r="413" ht="19.5" customHeight="1">
      <c r="A413" s="12"/>
      <c r="C413" s="12"/>
      <c r="D413" s="13"/>
      <c r="F413" s="14"/>
      <c r="G413" s="14"/>
      <c r="H413" s="14"/>
      <c r="I413" s="14"/>
      <c r="J413" s="14"/>
      <c r="K413" s="12"/>
    </row>
    <row r="414" ht="19.5" customHeight="1">
      <c r="A414" s="12"/>
      <c r="C414" s="12"/>
      <c r="D414" s="13"/>
      <c r="F414" s="14"/>
      <c r="G414" s="14"/>
      <c r="H414" s="14"/>
      <c r="I414" s="14"/>
      <c r="J414" s="14"/>
      <c r="K414" s="12"/>
    </row>
    <row r="415" ht="19.5" customHeight="1">
      <c r="A415" s="12"/>
      <c r="C415" s="12"/>
      <c r="D415" s="13"/>
      <c r="F415" s="14"/>
      <c r="G415" s="14"/>
      <c r="H415" s="14"/>
      <c r="I415" s="14"/>
      <c r="J415" s="14"/>
      <c r="K415" s="12"/>
    </row>
    <row r="416" ht="19.5" customHeight="1">
      <c r="A416" s="12"/>
      <c r="C416" s="12"/>
      <c r="D416" s="13"/>
      <c r="F416" s="14"/>
      <c r="G416" s="14"/>
      <c r="H416" s="14"/>
      <c r="I416" s="14"/>
      <c r="J416" s="14"/>
      <c r="K416" s="12"/>
    </row>
    <row r="417" ht="19.5" customHeight="1">
      <c r="A417" s="12"/>
      <c r="C417" s="12"/>
      <c r="D417" s="13"/>
      <c r="F417" s="14"/>
      <c r="G417" s="14"/>
      <c r="H417" s="14"/>
      <c r="I417" s="14"/>
      <c r="J417" s="14"/>
      <c r="K417" s="12"/>
    </row>
    <row r="418" ht="19.5" customHeight="1">
      <c r="A418" s="12"/>
      <c r="C418" s="12"/>
      <c r="D418" s="13"/>
      <c r="F418" s="14"/>
      <c r="G418" s="14"/>
      <c r="H418" s="14"/>
      <c r="I418" s="14"/>
      <c r="J418" s="14"/>
      <c r="K418" s="12"/>
    </row>
    <row r="419" ht="19.5" customHeight="1">
      <c r="A419" s="12"/>
      <c r="C419" s="12"/>
      <c r="D419" s="13"/>
      <c r="F419" s="14"/>
      <c r="G419" s="14"/>
      <c r="H419" s="14"/>
      <c r="I419" s="14"/>
      <c r="J419" s="14"/>
      <c r="K419" s="12"/>
    </row>
    <row r="420" ht="19.5" customHeight="1">
      <c r="A420" s="12"/>
      <c r="C420" s="12"/>
      <c r="D420" s="13"/>
      <c r="F420" s="14"/>
      <c r="G420" s="14"/>
      <c r="H420" s="14"/>
      <c r="I420" s="14"/>
      <c r="J420" s="14"/>
      <c r="K420" s="12"/>
    </row>
    <row r="421" ht="19.5" customHeight="1">
      <c r="A421" s="12"/>
      <c r="C421" s="12"/>
      <c r="D421" s="13"/>
      <c r="F421" s="14"/>
      <c r="G421" s="14"/>
      <c r="H421" s="14"/>
      <c r="I421" s="14"/>
      <c r="J421" s="14"/>
      <c r="K421" s="12"/>
    </row>
    <row r="422" ht="19.5" customHeight="1">
      <c r="A422" s="12"/>
      <c r="C422" s="12"/>
      <c r="D422" s="13"/>
      <c r="F422" s="14"/>
      <c r="G422" s="14"/>
      <c r="H422" s="14"/>
      <c r="I422" s="14"/>
      <c r="J422" s="14"/>
      <c r="K422" s="12"/>
    </row>
    <row r="423" ht="19.5" customHeight="1">
      <c r="A423" s="12"/>
      <c r="C423" s="12"/>
      <c r="D423" s="13"/>
      <c r="F423" s="14"/>
      <c r="G423" s="14"/>
      <c r="H423" s="14"/>
      <c r="I423" s="14"/>
      <c r="J423" s="14"/>
      <c r="K423" s="12"/>
    </row>
    <row r="424" ht="19.5" customHeight="1">
      <c r="A424" s="12"/>
      <c r="C424" s="12"/>
      <c r="D424" s="13"/>
      <c r="F424" s="14"/>
      <c r="G424" s="14"/>
      <c r="H424" s="14"/>
      <c r="I424" s="14"/>
      <c r="J424" s="14"/>
      <c r="K424" s="12"/>
    </row>
    <row r="425" ht="19.5" customHeight="1">
      <c r="A425" s="12"/>
      <c r="C425" s="12"/>
      <c r="D425" s="13"/>
      <c r="F425" s="14"/>
      <c r="G425" s="14"/>
      <c r="H425" s="14"/>
      <c r="I425" s="14"/>
      <c r="J425" s="14"/>
      <c r="K425" s="12"/>
    </row>
    <row r="426" ht="19.5" customHeight="1">
      <c r="A426" s="12"/>
      <c r="C426" s="12"/>
      <c r="D426" s="13"/>
      <c r="F426" s="14"/>
      <c r="G426" s="14"/>
      <c r="H426" s="14"/>
      <c r="I426" s="14"/>
      <c r="J426" s="14"/>
      <c r="K426" s="12"/>
    </row>
    <row r="427" ht="19.5" customHeight="1">
      <c r="A427" s="12"/>
      <c r="C427" s="12"/>
      <c r="D427" s="13"/>
      <c r="F427" s="14"/>
      <c r="G427" s="14"/>
      <c r="H427" s="14"/>
      <c r="I427" s="14"/>
      <c r="J427" s="14"/>
      <c r="K427" s="12"/>
    </row>
    <row r="428" ht="19.5" customHeight="1">
      <c r="A428" s="12"/>
      <c r="C428" s="12"/>
      <c r="D428" s="13"/>
      <c r="F428" s="14"/>
      <c r="G428" s="14"/>
      <c r="H428" s="14"/>
      <c r="I428" s="14"/>
      <c r="J428" s="14"/>
      <c r="K428" s="12"/>
    </row>
    <row r="429" ht="19.5" customHeight="1">
      <c r="A429" s="12"/>
      <c r="C429" s="12"/>
      <c r="D429" s="13"/>
      <c r="F429" s="14"/>
      <c r="G429" s="14"/>
      <c r="H429" s="14"/>
      <c r="I429" s="14"/>
      <c r="J429" s="14"/>
      <c r="K429" s="12"/>
    </row>
    <row r="430" ht="19.5" customHeight="1">
      <c r="A430" s="12"/>
      <c r="C430" s="12"/>
      <c r="D430" s="13"/>
      <c r="F430" s="14"/>
      <c r="G430" s="14"/>
      <c r="H430" s="14"/>
      <c r="I430" s="14"/>
      <c r="J430" s="14"/>
      <c r="K430" s="12"/>
    </row>
    <row r="431" ht="19.5" customHeight="1">
      <c r="A431" s="12"/>
      <c r="C431" s="12"/>
      <c r="D431" s="13"/>
      <c r="F431" s="14"/>
      <c r="G431" s="14"/>
      <c r="H431" s="14"/>
      <c r="I431" s="14"/>
      <c r="J431" s="14"/>
      <c r="K431" s="12"/>
    </row>
    <row r="432" ht="19.5" customHeight="1">
      <c r="A432" s="12"/>
      <c r="C432" s="12"/>
      <c r="D432" s="13"/>
      <c r="F432" s="14"/>
      <c r="G432" s="14"/>
      <c r="H432" s="14"/>
      <c r="I432" s="14"/>
      <c r="J432" s="14"/>
      <c r="K432" s="12"/>
    </row>
    <row r="433" ht="19.5" customHeight="1">
      <c r="A433" s="12"/>
      <c r="C433" s="12"/>
      <c r="D433" s="13"/>
      <c r="F433" s="14"/>
      <c r="G433" s="14"/>
      <c r="H433" s="14"/>
      <c r="I433" s="14"/>
      <c r="J433" s="14"/>
      <c r="K433" s="12"/>
    </row>
    <row r="434" ht="19.5" customHeight="1">
      <c r="A434" s="12"/>
      <c r="C434" s="12"/>
      <c r="D434" s="13"/>
      <c r="F434" s="14"/>
      <c r="G434" s="14"/>
      <c r="H434" s="14"/>
      <c r="I434" s="14"/>
      <c r="J434" s="14"/>
      <c r="K434" s="12"/>
    </row>
    <row r="435" ht="19.5" customHeight="1">
      <c r="A435" s="12"/>
      <c r="C435" s="12"/>
      <c r="D435" s="13"/>
      <c r="F435" s="14"/>
      <c r="G435" s="14"/>
      <c r="H435" s="14"/>
      <c r="I435" s="14"/>
      <c r="J435" s="14"/>
      <c r="K435" s="12"/>
    </row>
    <row r="436" ht="19.5" customHeight="1">
      <c r="A436" s="12"/>
      <c r="C436" s="12"/>
      <c r="D436" s="13"/>
      <c r="F436" s="14"/>
      <c r="G436" s="14"/>
      <c r="H436" s="14"/>
      <c r="I436" s="14"/>
      <c r="J436" s="14"/>
      <c r="K436" s="12"/>
    </row>
    <row r="437" ht="19.5" customHeight="1">
      <c r="A437" s="12"/>
      <c r="C437" s="12"/>
      <c r="D437" s="13"/>
      <c r="F437" s="14"/>
      <c r="G437" s="14"/>
      <c r="H437" s="14"/>
      <c r="I437" s="14"/>
      <c r="J437" s="14"/>
      <c r="K437" s="12"/>
    </row>
    <row r="438" ht="19.5" customHeight="1">
      <c r="A438" s="12"/>
      <c r="C438" s="12"/>
      <c r="D438" s="13"/>
      <c r="F438" s="14"/>
      <c r="G438" s="14"/>
      <c r="H438" s="14"/>
      <c r="I438" s="14"/>
      <c r="J438" s="14"/>
      <c r="K438" s="12"/>
    </row>
    <row r="439" ht="19.5" customHeight="1">
      <c r="A439" s="12"/>
      <c r="C439" s="12"/>
      <c r="D439" s="13"/>
      <c r="F439" s="14"/>
      <c r="G439" s="14"/>
      <c r="H439" s="14"/>
      <c r="I439" s="14"/>
      <c r="J439" s="14"/>
      <c r="K439" s="12"/>
    </row>
    <row r="440" ht="19.5" customHeight="1">
      <c r="A440" s="12"/>
      <c r="C440" s="12"/>
      <c r="D440" s="13"/>
      <c r="F440" s="14"/>
      <c r="G440" s="14"/>
      <c r="H440" s="14"/>
      <c r="I440" s="14"/>
      <c r="J440" s="14"/>
      <c r="K440" s="12"/>
    </row>
    <row r="441" ht="19.5" customHeight="1">
      <c r="A441" s="12"/>
      <c r="C441" s="12"/>
      <c r="D441" s="13"/>
      <c r="F441" s="14"/>
      <c r="G441" s="14"/>
      <c r="H441" s="14"/>
      <c r="I441" s="14"/>
      <c r="J441" s="14"/>
      <c r="K441" s="12"/>
    </row>
    <row r="442" ht="19.5" customHeight="1">
      <c r="A442" s="12"/>
      <c r="C442" s="12"/>
      <c r="D442" s="13"/>
      <c r="F442" s="14"/>
      <c r="G442" s="14"/>
      <c r="H442" s="14"/>
      <c r="I442" s="14"/>
      <c r="J442" s="14"/>
      <c r="K442" s="12"/>
    </row>
    <row r="443" ht="19.5" customHeight="1">
      <c r="A443" s="12"/>
      <c r="C443" s="12"/>
      <c r="D443" s="13"/>
      <c r="F443" s="14"/>
      <c r="G443" s="14"/>
      <c r="H443" s="14"/>
      <c r="I443" s="14"/>
      <c r="J443" s="14"/>
      <c r="K443" s="12"/>
    </row>
    <row r="444" ht="19.5" customHeight="1">
      <c r="A444" s="12"/>
      <c r="C444" s="12"/>
      <c r="D444" s="13"/>
      <c r="F444" s="14"/>
      <c r="G444" s="14"/>
      <c r="H444" s="14"/>
      <c r="I444" s="14"/>
      <c r="J444" s="14"/>
      <c r="K444" s="12"/>
    </row>
    <row r="445" ht="19.5" customHeight="1">
      <c r="A445" s="12"/>
      <c r="C445" s="12"/>
      <c r="D445" s="13"/>
      <c r="F445" s="14"/>
      <c r="G445" s="14"/>
      <c r="H445" s="14"/>
      <c r="I445" s="14"/>
      <c r="J445" s="14"/>
      <c r="K445" s="12"/>
    </row>
    <row r="446" ht="19.5" customHeight="1">
      <c r="A446" s="12"/>
      <c r="C446" s="12"/>
      <c r="D446" s="13"/>
      <c r="F446" s="14"/>
      <c r="G446" s="14"/>
      <c r="H446" s="14"/>
      <c r="I446" s="14"/>
      <c r="J446" s="14"/>
      <c r="K446" s="12"/>
    </row>
    <row r="447" ht="19.5" customHeight="1">
      <c r="A447" s="12"/>
      <c r="C447" s="12"/>
      <c r="D447" s="13"/>
      <c r="F447" s="14"/>
      <c r="G447" s="14"/>
      <c r="H447" s="14"/>
      <c r="I447" s="14"/>
      <c r="J447" s="14"/>
      <c r="K447" s="12"/>
    </row>
    <row r="448" ht="19.5" customHeight="1">
      <c r="A448" s="12"/>
      <c r="C448" s="12"/>
      <c r="D448" s="13"/>
      <c r="F448" s="14"/>
      <c r="G448" s="14"/>
      <c r="H448" s="14"/>
      <c r="I448" s="14"/>
      <c r="J448" s="14"/>
      <c r="K448" s="12"/>
    </row>
    <row r="449" ht="19.5" customHeight="1">
      <c r="A449" s="12"/>
      <c r="C449" s="12"/>
      <c r="D449" s="13"/>
      <c r="F449" s="14"/>
      <c r="G449" s="14"/>
      <c r="H449" s="14"/>
      <c r="I449" s="14"/>
      <c r="J449" s="14"/>
      <c r="K449" s="12"/>
    </row>
    <row r="450" ht="19.5" customHeight="1">
      <c r="A450" s="12"/>
      <c r="C450" s="12"/>
      <c r="D450" s="13"/>
      <c r="F450" s="14"/>
      <c r="G450" s="14"/>
      <c r="H450" s="14"/>
      <c r="I450" s="14"/>
      <c r="J450" s="14"/>
      <c r="K450" s="12"/>
    </row>
    <row r="451" ht="19.5" customHeight="1">
      <c r="A451" s="12"/>
      <c r="C451" s="12"/>
      <c r="D451" s="13"/>
      <c r="F451" s="14"/>
      <c r="G451" s="14"/>
      <c r="H451" s="14"/>
      <c r="I451" s="14"/>
      <c r="J451" s="14"/>
      <c r="K451" s="12"/>
    </row>
    <row r="452" ht="19.5" customHeight="1">
      <c r="A452" s="12"/>
      <c r="C452" s="12"/>
      <c r="D452" s="13"/>
      <c r="F452" s="14"/>
      <c r="G452" s="14"/>
      <c r="H452" s="14"/>
      <c r="I452" s="14"/>
      <c r="J452" s="14"/>
      <c r="K452" s="12"/>
    </row>
    <row r="453" ht="19.5" customHeight="1">
      <c r="A453" s="12"/>
      <c r="C453" s="12"/>
      <c r="D453" s="13"/>
      <c r="F453" s="14"/>
      <c r="G453" s="14"/>
      <c r="H453" s="14"/>
      <c r="I453" s="14"/>
      <c r="J453" s="14"/>
      <c r="K453" s="12"/>
    </row>
    <row r="454" ht="19.5" customHeight="1">
      <c r="A454" s="12"/>
      <c r="C454" s="12"/>
      <c r="D454" s="13"/>
      <c r="F454" s="14"/>
      <c r="G454" s="14"/>
      <c r="H454" s="14"/>
      <c r="I454" s="14"/>
      <c r="J454" s="14"/>
      <c r="K454" s="12"/>
    </row>
    <row r="455" ht="19.5" customHeight="1">
      <c r="A455" s="12"/>
      <c r="C455" s="12"/>
      <c r="D455" s="13"/>
      <c r="F455" s="14"/>
      <c r="G455" s="14"/>
      <c r="H455" s="14"/>
      <c r="I455" s="14"/>
      <c r="J455" s="14"/>
      <c r="K455" s="12"/>
    </row>
    <row r="456" ht="19.5" customHeight="1">
      <c r="A456" s="12"/>
      <c r="C456" s="12"/>
      <c r="D456" s="13"/>
      <c r="F456" s="14"/>
      <c r="G456" s="14"/>
      <c r="H456" s="14"/>
      <c r="I456" s="14"/>
      <c r="J456" s="14"/>
      <c r="K456" s="12"/>
    </row>
    <row r="457" ht="19.5" customHeight="1">
      <c r="A457" s="12"/>
      <c r="C457" s="12"/>
      <c r="D457" s="13"/>
      <c r="F457" s="14"/>
      <c r="G457" s="14"/>
      <c r="H457" s="14"/>
      <c r="I457" s="14"/>
      <c r="J457" s="14"/>
      <c r="K457" s="12"/>
    </row>
    <row r="458" ht="19.5" customHeight="1">
      <c r="A458" s="12"/>
      <c r="C458" s="12"/>
      <c r="D458" s="13"/>
      <c r="F458" s="14"/>
      <c r="G458" s="14"/>
      <c r="H458" s="14"/>
      <c r="I458" s="14"/>
      <c r="J458" s="14"/>
      <c r="K458" s="12"/>
    </row>
    <row r="459" ht="19.5" customHeight="1">
      <c r="A459" s="12"/>
      <c r="C459" s="12"/>
      <c r="D459" s="13"/>
      <c r="F459" s="14"/>
      <c r="G459" s="14"/>
      <c r="H459" s="14"/>
      <c r="I459" s="14"/>
      <c r="J459" s="14"/>
      <c r="K459" s="12"/>
    </row>
    <row r="460" ht="19.5" customHeight="1">
      <c r="A460" s="12"/>
      <c r="C460" s="12"/>
      <c r="D460" s="13"/>
      <c r="F460" s="14"/>
      <c r="G460" s="14"/>
      <c r="H460" s="14"/>
      <c r="I460" s="14"/>
      <c r="J460" s="14"/>
      <c r="K460" s="12"/>
    </row>
    <row r="461" ht="19.5" customHeight="1">
      <c r="A461" s="12"/>
      <c r="C461" s="12"/>
      <c r="D461" s="13"/>
      <c r="F461" s="14"/>
      <c r="G461" s="14"/>
      <c r="H461" s="14"/>
      <c r="I461" s="14"/>
      <c r="J461" s="14"/>
      <c r="K461" s="12"/>
    </row>
    <row r="462" ht="19.5" customHeight="1">
      <c r="A462" s="12"/>
      <c r="C462" s="12"/>
      <c r="D462" s="13"/>
      <c r="F462" s="14"/>
      <c r="G462" s="14"/>
      <c r="H462" s="14"/>
      <c r="I462" s="14"/>
      <c r="J462" s="14"/>
      <c r="K462" s="12"/>
    </row>
    <row r="463" ht="19.5" customHeight="1">
      <c r="A463" s="12"/>
      <c r="C463" s="12"/>
      <c r="D463" s="13"/>
      <c r="F463" s="14"/>
      <c r="G463" s="14"/>
      <c r="H463" s="14"/>
      <c r="I463" s="14"/>
      <c r="J463" s="14"/>
      <c r="K463" s="12"/>
    </row>
    <row r="464" ht="19.5" customHeight="1">
      <c r="A464" s="12"/>
      <c r="C464" s="12"/>
      <c r="D464" s="13"/>
      <c r="F464" s="14"/>
      <c r="G464" s="14"/>
      <c r="H464" s="14"/>
      <c r="I464" s="14"/>
      <c r="J464" s="14"/>
      <c r="K464" s="12"/>
    </row>
    <row r="465" ht="19.5" customHeight="1">
      <c r="A465" s="12"/>
      <c r="C465" s="12"/>
      <c r="D465" s="13"/>
      <c r="F465" s="14"/>
      <c r="G465" s="14"/>
      <c r="H465" s="14"/>
      <c r="I465" s="14"/>
      <c r="J465" s="14"/>
      <c r="K465" s="12"/>
    </row>
    <row r="466" ht="19.5" customHeight="1">
      <c r="A466" s="12"/>
      <c r="C466" s="12"/>
      <c r="D466" s="13"/>
      <c r="F466" s="14"/>
      <c r="G466" s="14"/>
      <c r="H466" s="14"/>
      <c r="I466" s="14"/>
      <c r="J466" s="14"/>
      <c r="K466" s="12"/>
    </row>
    <row r="467" ht="19.5" customHeight="1">
      <c r="A467" s="12"/>
      <c r="C467" s="12"/>
      <c r="D467" s="13"/>
      <c r="F467" s="14"/>
      <c r="G467" s="14"/>
      <c r="H467" s="14"/>
      <c r="I467" s="14"/>
      <c r="J467" s="14"/>
      <c r="K467" s="12"/>
    </row>
    <row r="468" ht="19.5" customHeight="1">
      <c r="A468" s="12"/>
      <c r="C468" s="12"/>
      <c r="D468" s="13"/>
      <c r="F468" s="14"/>
      <c r="G468" s="14"/>
      <c r="H468" s="14"/>
      <c r="I468" s="14"/>
      <c r="J468" s="14"/>
      <c r="K468" s="12"/>
    </row>
    <row r="469" ht="19.5" customHeight="1">
      <c r="A469" s="12"/>
      <c r="C469" s="12"/>
      <c r="D469" s="13"/>
      <c r="F469" s="14"/>
      <c r="G469" s="14"/>
      <c r="H469" s="14"/>
      <c r="I469" s="14"/>
      <c r="J469" s="14"/>
      <c r="K469" s="12"/>
    </row>
    <row r="470" ht="19.5" customHeight="1">
      <c r="A470" s="12"/>
      <c r="C470" s="12"/>
      <c r="D470" s="13"/>
      <c r="F470" s="14"/>
      <c r="G470" s="14"/>
      <c r="H470" s="14"/>
      <c r="I470" s="14"/>
      <c r="J470" s="14"/>
      <c r="K470" s="12"/>
    </row>
    <row r="471" ht="19.5" customHeight="1">
      <c r="A471" s="12"/>
      <c r="C471" s="12"/>
      <c r="D471" s="13"/>
      <c r="F471" s="14"/>
      <c r="G471" s="14"/>
      <c r="H471" s="14"/>
      <c r="I471" s="14"/>
      <c r="J471" s="14"/>
      <c r="K471" s="12"/>
    </row>
    <row r="472" ht="19.5" customHeight="1">
      <c r="A472" s="12"/>
      <c r="C472" s="12"/>
      <c r="D472" s="13"/>
      <c r="F472" s="14"/>
      <c r="G472" s="14"/>
      <c r="H472" s="14"/>
      <c r="I472" s="14"/>
      <c r="J472" s="14"/>
      <c r="K472" s="12"/>
    </row>
    <row r="473" ht="19.5" customHeight="1">
      <c r="A473" s="12"/>
      <c r="C473" s="12"/>
      <c r="D473" s="13"/>
      <c r="F473" s="14"/>
      <c r="G473" s="14"/>
      <c r="H473" s="14"/>
      <c r="I473" s="14"/>
      <c r="J473" s="14"/>
      <c r="K473" s="12"/>
    </row>
    <row r="474" ht="19.5" customHeight="1">
      <c r="A474" s="12"/>
      <c r="C474" s="12"/>
      <c r="D474" s="13"/>
      <c r="F474" s="14"/>
      <c r="G474" s="14"/>
      <c r="H474" s="14"/>
      <c r="I474" s="14"/>
      <c r="J474" s="14"/>
      <c r="K474" s="12"/>
    </row>
    <row r="475" ht="19.5" customHeight="1">
      <c r="A475" s="12"/>
      <c r="C475" s="12"/>
      <c r="D475" s="13"/>
      <c r="F475" s="14"/>
      <c r="G475" s="14"/>
      <c r="H475" s="14"/>
      <c r="I475" s="14"/>
      <c r="J475" s="14"/>
      <c r="K475" s="12"/>
    </row>
    <row r="476" ht="19.5" customHeight="1">
      <c r="A476" s="12"/>
      <c r="C476" s="12"/>
      <c r="D476" s="13"/>
      <c r="F476" s="14"/>
      <c r="G476" s="14"/>
      <c r="H476" s="14"/>
      <c r="I476" s="14"/>
      <c r="J476" s="14"/>
      <c r="K476" s="12"/>
    </row>
    <row r="477" ht="19.5" customHeight="1">
      <c r="A477" s="12"/>
      <c r="C477" s="12"/>
      <c r="D477" s="13"/>
      <c r="F477" s="14"/>
      <c r="G477" s="14"/>
      <c r="H477" s="14"/>
      <c r="I477" s="14"/>
      <c r="J477" s="14"/>
      <c r="K477" s="12"/>
    </row>
    <row r="478" ht="19.5" customHeight="1">
      <c r="A478" s="12"/>
      <c r="C478" s="12"/>
      <c r="D478" s="13"/>
      <c r="F478" s="14"/>
      <c r="G478" s="14"/>
      <c r="H478" s="14"/>
      <c r="I478" s="14"/>
      <c r="J478" s="14"/>
      <c r="K478" s="12"/>
    </row>
    <row r="479" ht="19.5" customHeight="1">
      <c r="A479" s="12"/>
      <c r="C479" s="12"/>
      <c r="D479" s="13"/>
      <c r="F479" s="14"/>
      <c r="G479" s="14"/>
      <c r="H479" s="14"/>
      <c r="I479" s="14"/>
      <c r="J479" s="14"/>
      <c r="K479" s="12"/>
    </row>
    <row r="480" ht="19.5" customHeight="1">
      <c r="A480" s="12"/>
      <c r="C480" s="12"/>
      <c r="D480" s="13"/>
      <c r="F480" s="14"/>
      <c r="G480" s="14"/>
      <c r="H480" s="14"/>
      <c r="I480" s="14"/>
      <c r="J480" s="14"/>
      <c r="K480" s="12"/>
    </row>
    <row r="481" ht="19.5" customHeight="1">
      <c r="A481" s="12"/>
      <c r="C481" s="12"/>
      <c r="D481" s="13"/>
      <c r="F481" s="14"/>
      <c r="G481" s="14"/>
      <c r="H481" s="14"/>
      <c r="I481" s="14"/>
      <c r="J481" s="14"/>
      <c r="K481" s="12"/>
    </row>
    <row r="482" ht="19.5" customHeight="1">
      <c r="A482" s="12"/>
      <c r="C482" s="12"/>
      <c r="D482" s="13"/>
      <c r="F482" s="14"/>
      <c r="G482" s="14"/>
      <c r="H482" s="14"/>
      <c r="I482" s="14"/>
      <c r="J482" s="14"/>
      <c r="K482" s="12"/>
    </row>
    <row r="483" ht="19.5" customHeight="1">
      <c r="A483" s="12"/>
      <c r="C483" s="12"/>
      <c r="D483" s="13"/>
      <c r="F483" s="14"/>
      <c r="G483" s="14"/>
      <c r="H483" s="14"/>
      <c r="I483" s="14"/>
      <c r="J483" s="14"/>
      <c r="K483" s="12"/>
    </row>
    <row r="484" ht="19.5" customHeight="1">
      <c r="A484" s="12"/>
      <c r="C484" s="12"/>
      <c r="D484" s="13"/>
      <c r="F484" s="14"/>
      <c r="G484" s="14"/>
      <c r="H484" s="14"/>
      <c r="I484" s="14"/>
      <c r="J484" s="14"/>
      <c r="K484" s="12"/>
    </row>
    <row r="485" ht="19.5" customHeight="1">
      <c r="A485" s="12"/>
      <c r="C485" s="12"/>
      <c r="D485" s="13"/>
      <c r="F485" s="14"/>
      <c r="G485" s="14"/>
      <c r="H485" s="14"/>
      <c r="I485" s="14"/>
      <c r="J485" s="14"/>
      <c r="K485" s="12"/>
    </row>
    <row r="486" ht="19.5" customHeight="1">
      <c r="A486" s="12"/>
      <c r="C486" s="12"/>
      <c r="D486" s="13"/>
      <c r="F486" s="14"/>
      <c r="G486" s="14"/>
      <c r="H486" s="14"/>
      <c r="I486" s="14"/>
      <c r="J486" s="14"/>
      <c r="K486" s="12"/>
    </row>
    <row r="487" ht="19.5" customHeight="1">
      <c r="A487" s="12"/>
      <c r="C487" s="12"/>
      <c r="D487" s="13"/>
      <c r="F487" s="14"/>
      <c r="G487" s="14"/>
      <c r="H487" s="14"/>
      <c r="I487" s="14"/>
      <c r="J487" s="14"/>
      <c r="K487" s="12"/>
    </row>
    <row r="488" ht="19.5" customHeight="1">
      <c r="A488" s="12"/>
      <c r="C488" s="12"/>
      <c r="D488" s="13"/>
      <c r="F488" s="14"/>
      <c r="G488" s="14"/>
      <c r="H488" s="14"/>
      <c r="I488" s="14"/>
      <c r="J488" s="14"/>
      <c r="K488" s="12"/>
    </row>
    <row r="489" ht="19.5" customHeight="1">
      <c r="A489" s="12"/>
      <c r="C489" s="12"/>
      <c r="D489" s="13"/>
      <c r="F489" s="14"/>
      <c r="G489" s="14"/>
      <c r="H489" s="14"/>
      <c r="I489" s="14"/>
      <c r="J489" s="14"/>
      <c r="K489" s="12"/>
    </row>
    <row r="490" ht="19.5" customHeight="1">
      <c r="A490" s="12"/>
      <c r="C490" s="12"/>
      <c r="D490" s="13"/>
      <c r="F490" s="14"/>
      <c r="G490" s="14"/>
      <c r="H490" s="14"/>
      <c r="I490" s="14"/>
      <c r="J490" s="14"/>
      <c r="K490" s="12"/>
    </row>
    <row r="491" ht="19.5" customHeight="1">
      <c r="A491" s="12"/>
      <c r="C491" s="12"/>
      <c r="D491" s="13"/>
      <c r="F491" s="14"/>
      <c r="G491" s="14"/>
      <c r="H491" s="14"/>
      <c r="I491" s="14"/>
      <c r="J491" s="14"/>
      <c r="K491" s="12"/>
    </row>
    <row r="492" ht="19.5" customHeight="1">
      <c r="A492" s="12"/>
      <c r="C492" s="12"/>
      <c r="D492" s="13"/>
      <c r="F492" s="14"/>
      <c r="G492" s="14"/>
      <c r="H492" s="14"/>
      <c r="I492" s="14"/>
      <c r="J492" s="14"/>
      <c r="K492" s="12"/>
    </row>
    <row r="493" ht="19.5" customHeight="1">
      <c r="A493" s="12"/>
      <c r="C493" s="12"/>
      <c r="D493" s="13"/>
      <c r="F493" s="14"/>
      <c r="G493" s="14"/>
      <c r="H493" s="14"/>
      <c r="I493" s="14"/>
      <c r="J493" s="14"/>
      <c r="K493" s="12"/>
    </row>
    <row r="494" ht="19.5" customHeight="1">
      <c r="A494" s="12"/>
      <c r="C494" s="12"/>
      <c r="D494" s="13"/>
      <c r="F494" s="14"/>
      <c r="G494" s="14"/>
      <c r="H494" s="14"/>
      <c r="I494" s="14"/>
      <c r="J494" s="14"/>
      <c r="K494" s="12"/>
    </row>
    <row r="495" ht="19.5" customHeight="1">
      <c r="A495" s="12"/>
      <c r="C495" s="12"/>
      <c r="D495" s="13"/>
      <c r="F495" s="14"/>
      <c r="G495" s="14"/>
      <c r="H495" s="14"/>
      <c r="I495" s="14"/>
      <c r="J495" s="14"/>
      <c r="K495" s="12"/>
    </row>
    <row r="496" ht="19.5" customHeight="1">
      <c r="A496" s="12"/>
      <c r="C496" s="12"/>
      <c r="D496" s="13"/>
      <c r="F496" s="14"/>
      <c r="G496" s="14"/>
      <c r="H496" s="14"/>
      <c r="I496" s="14"/>
      <c r="J496" s="14"/>
      <c r="K496" s="12"/>
    </row>
    <row r="497" ht="19.5" customHeight="1">
      <c r="A497" s="12"/>
      <c r="C497" s="12"/>
      <c r="D497" s="13"/>
      <c r="F497" s="14"/>
      <c r="G497" s="14"/>
      <c r="H497" s="14"/>
      <c r="I497" s="14"/>
      <c r="J497" s="14"/>
      <c r="K497" s="12"/>
    </row>
    <row r="498" ht="19.5" customHeight="1">
      <c r="A498" s="12"/>
      <c r="C498" s="12"/>
      <c r="D498" s="13"/>
      <c r="F498" s="14"/>
      <c r="G498" s="14"/>
      <c r="H498" s="14"/>
      <c r="I498" s="14"/>
      <c r="J498" s="14"/>
      <c r="K498" s="12"/>
    </row>
    <row r="499" ht="19.5" customHeight="1">
      <c r="A499" s="12"/>
      <c r="C499" s="12"/>
      <c r="D499" s="13"/>
      <c r="F499" s="14"/>
      <c r="G499" s="14"/>
      <c r="H499" s="14"/>
      <c r="I499" s="14"/>
      <c r="J499" s="14"/>
      <c r="K499" s="12"/>
    </row>
    <row r="500" ht="19.5" customHeight="1">
      <c r="A500" s="12"/>
      <c r="C500" s="12"/>
      <c r="D500" s="13"/>
      <c r="F500" s="14"/>
      <c r="G500" s="14"/>
      <c r="H500" s="14"/>
      <c r="I500" s="14"/>
      <c r="J500" s="14"/>
      <c r="K500" s="12"/>
    </row>
    <row r="501" ht="19.5" customHeight="1">
      <c r="A501" s="12"/>
      <c r="C501" s="12"/>
      <c r="D501" s="13"/>
      <c r="F501" s="14"/>
      <c r="G501" s="14"/>
      <c r="H501" s="14"/>
      <c r="I501" s="14"/>
      <c r="J501" s="14"/>
      <c r="K501" s="12"/>
    </row>
    <row r="502" ht="19.5" customHeight="1">
      <c r="A502" s="12"/>
      <c r="C502" s="12"/>
      <c r="D502" s="13"/>
      <c r="F502" s="14"/>
      <c r="G502" s="14"/>
      <c r="H502" s="14"/>
      <c r="I502" s="14"/>
      <c r="J502" s="14"/>
      <c r="K502" s="12"/>
    </row>
    <row r="503" ht="19.5" customHeight="1">
      <c r="A503" s="12"/>
      <c r="C503" s="12"/>
      <c r="D503" s="13"/>
      <c r="F503" s="14"/>
      <c r="G503" s="14"/>
      <c r="H503" s="14"/>
      <c r="I503" s="14"/>
      <c r="J503" s="14"/>
      <c r="K503" s="12"/>
    </row>
    <row r="504" ht="19.5" customHeight="1">
      <c r="A504" s="12"/>
      <c r="C504" s="12"/>
      <c r="D504" s="13"/>
      <c r="F504" s="14"/>
      <c r="G504" s="14"/>
      <c r="H504" s="14"/>
      <c r="I504" s="14"/>
      <c r="J504" s="14"/>
      <c r="K504" s="12"/>
    </row>
    <row r="505" ht="19.5" customHeight="1">
      <c r="A505" s="12"/>
      <c r="C505" s="12"/>
      <c r="D505" s="13"/>
      <c r="F505" s="14"/>
      <c r="G505" s="14"/>
      <c r="H505" s="14"/>
      <c r="I505" s="14"/>
      <c r="J505" s="14"/>
      <c r="K505" s="12"/>
    </row>
    <row r="506" ht="19.5" customHeight="1">
      <c r="A506" s="12"/>
      <c r="C506" s="12"/>
      <c r="D506" s="13"/>
      <c r="F506" s="14"/>
      <c r="G506" s="14"/>
      <c r="H506" s="14"/>
      <c r="I506" s="14"/>
      <c r="J506" s="14"/>
      <c r="K506" s="12"/>
    </row>
    <row r="507" ht="19.5" customHeight="1">
      <c r="A507" s="12"/>
      <c r="C507" s="12"/>
      <c r="D507" s="13"/>
      <c r="F507" s="14"/>
      <c r="G507" s="14"/>
      <c r="H507" s="14"/>
      <c r="I507" s="14"/>
      <c r="J507" s="14"/>
      <c r="K507" s="12"/>
    </row>
    <row r="508" ht="19.5" customHeight="1">
      <c r="A508" s="12"/>
      <c r="C508" s="12"/>
      <c r="D508" s="13"/>
      <c r="F508" s="14"/>
      <c r="G508" s="14"/>
      <c r="H508" s="14"/>
      <c r="I508" s="14"/>
      <c r="J508" s="14"/>
      <c r="K508" s="12"/>
    </row>
    <row r="509" ht="19.5" customHeight="1">
      <c r="A509" s="12"/>
      <c r="C509" s="12"/>
      <c r="D509" s="13"/>
      <c r="F509" s="14"/>
      <c r="G509" s="14"/>
      <c r="H509" s="14"/>
      <c r="I509" s="14"/>
      <c r="J509" s="14"/>
      <c r="K509" s="12"/>
    </row>
    <row r="510" ht="19.5" customHeight="1">
      <c r="A510" s="12"/>
      <c r="C510" s="12"/>
      <c r="D510" s="13"/>
      <c r="F510" s="14"/>
      <c r="G510" s="14"/>
      <c r="H510" s="14"/>
      <c r="I510" s="14"/>
      <c r="J510" s="14"/>
      <c r="K510" s="12"/>
    </row>
    <row r="511" ht="19.5" customHeight="1">
      <c r="A511" s="12"/>
      <c r="C511" s="12"/>
      <c r="D511" s="13"/>
      <c r="F511" s="14"/>
      <c r="G511" s="14"/>
      <c r="H511" s="14"/>
      <c r="I511" s="14"/>
      <c r="J511" s="14"/>
      <c r="K511" s="12"/>
    </row>
    <row r="512" ht="19.5" customHeight="1">
      <c r="A512" s="12"/>
      <c r="C512" s="12"/>
      <c r="D512" s="13"/>
      <c r="F512" s="14"/>
      <c r="G512" s="14"/>
      <c r="H512" s="14"/>
      <c r="I512" s="14"/>
      <c r="J512" s="14"/>
      <c r="K512" s="12"/>
    </row>
    <row r="513" ht="19.5" customHeight="1">
      <c r="A513" s="12"/>
      <c r="C513" s="12"/>
      <c r="D513" s="13"/>
      <c r="F513" s="14"/>
      <c r="G513" s="14"/>
      <c r="H513" s="14"/>
      <c r="I513" s="14"/>
      <c r="J513" s="14"/>
      <c r="K513" s="12"/>
    </row>
    <row r="514" ht="19.5" customHeight="1">
      <c r="A514" s="12"/>
      <c r="C514" s="12"/>
      <c r="D514" s="13"/>
      <c r="F514" s="14"/>
      <c r="G514" s="14"/>
      <c r="H514" s="14"/>
      <c r="I514" s="14"/>
      <c r="J514" s="14"/>
      <c r="K514" s="12"/>
    </row>
    <row r="515" ht="19.5" customHeight="1">
      <c r="A515" s="12"/>
      <c r="C515" s="12"/>
      <c r="D515" s="13"/>
      <c r="F515" s="14"/>
      <c r="G515" s="14"/>
      <c r="H515" s="14"/>
      <c r="I515" s="14"/>
      <c r="J515" s="14"/>
      <c r="K515" s="12"/>
    </row>
    <row r="516" ht="19.5" customHeight="1">
      <c r="A516" s="12"/>
      <c r="C516" s="12"/>
      <c r="D516" s="13"/>
      <c r="F516" s="14"/>
      <c r="G516" s="14"/>
      <c r="H516" s="14"/>
      <c r="I516" s="14"/>
      <c r="J516" s="14"/>
      <c r="K516" s="12"/>
    </row>
    <row r="517" ht="19.5" customHeight="1">
      <c r="A517" s="12"/>
      <c r="C517" s="12"/>
      <c r="D517" s="13"/>
      <c r="F517" s="14"/>
      <c r="G517" s="14"/>
      <c r="H517" s="14"/>
      <c r="I517" s="14"/>
      <c r="J517" s="14"/>
      <c r="K517" s="12"/>
    </row>
    <row r="518" ht="19.5" customHeight="1">
      <c r="A518" s="12"/>
      <c r="C518" s="12"/>
      <c r="D518" s="13"/>
      <c r="F518" s="14"/>
      <c r="G518" s="14"/>
      <c r="H518" s="14"/>
      <c r="I518" s="14"/>
      <c r="J518" s="14"/>
      <c r="K518" s="12"/>
    </row>
    <row r="519" ht="19.5" customHeight="1">
      <c r="A519" s="12"/>
      <c r="C519" s="12"/>
      <c r="D519" s="13"/>
      <c r="F519" s="14"/>
      <c r="G519" s="14"/>
      <c r="H519" s="14"/>
      <c r="I519" s="14"/>
      <c r="J519" s="14"/>
      <c r="K519" s="12"/>
    </row>
    <row r="520" ht="19.5" customHeight="1">
      <c r="A520" s="12"/>
      <c r="C520" s="12"/>
      <c r="D520" s="13"/>
      <c r="F520" s="14"/>
      <c r="G520" s="14"/>
      <c r="H520" s="14"/>
      <c r="I520" s="14"/>
      <c r="J520" s="14"/>
      <c r="K520" s="12"/>
    </row>
    <row r="521" ht="19.5" customHeight="1">
      <c r="A521" s="12"/>
      <c r="C521" s="12"/>
      <c r="D521" s="13"/>
      <c r="F521" s="14"/>
      <c r="G521" s="14"/>
      <c r="H521" s="14"/>
      <c r="I521" s="14"/>
      <c r="J521" s="14"/>
      <c r="K521" s="12"/>
    </row>
    <row r="522" ht="19.5" customHeight="1">
      <c r="A522" s="12"/>
      <c r="C522" s="12"/>
      <c r="D522" s="13"/>
      <c r="F522" s="14"/>
      <c r="G522" s="14"/>
      <c r="H522" s="14"/>
      <c r="I522" s="14"/>
      <c r="J522" s="14"/>
      <c r="K522" s="12"/>
    </row>
    <row r="523" ht="19.5" customHeight="1">
      <c r="A523" s="12"/>
      <c r="C523" s="12"/>
      <c r="D523" s="13"/>
      <c r="F523" s="14"/>
      <c r="G523" s="14"/>
      <c r="H523" s="14"/>
      <c r="I523" s="14"/>
      <c r="J523" s="14"/>
      <c r="K523" s="12"/>
    </row>
    <row r="524" ht="19.5" customHeight="1">
      <c r="A524" s="12"/>
      <c r="C524" s="12"/>
      <c r="D524" s="13"/>
      <c r="F524" s="14"/>
      <c r="G524" s="14"/>
      <c r="H524" s="14"/>
      <c r="I524" s="14"/>
      <c r="J524" s="14"/>
      <c r="K524" s="12"/>
    </row>
    <row r="525" ht="19.5" customHeight="1">
      <c r="A525" s="12"/>
      <c r="C525" s="12"/>
      <c r="D525" s="13"/>
      <c r="F525" s="14"/>
      <c r="G525" s="14"/>
      <c r="H525" s="14"/>
      <c r="I525" s="14"/>
      <c r="J525" s="14"/>
      <c r="K525" s="12"/>
    </row>
    <row r="526" ht="19.5" customHeight="1">
      <c r="A526" s="12"/>
      <c r="C526" s="12"/>
      <c r="D526" s="13"/>
      <c r="F526" s="14"/>
      <c r="G526" s="14"/>
      <c r="H526" s="14"/>
      <c r="I526" s="14"/>
      <c r="J526" s="14"/>
      <c r="K526" s="12"/>
    </row>
    <row r="527" ht="19.5" customHeight="1">
      <c r="A527" s="12"/>
      <c r="C527" s="12"/>
      <c r="D527" s="13"/>
      <c r="F527" s="14"/>
      <c r="G527" s="14"/>
      <c r="H527" s="14"/>
      <c r="I527" s="14"/>
      <c r="J527" s="14"/>
      <c r="K527" s="12"/>
    </row>
    <row r="528" ht="19.5" customHeight="1">
      <c r="A528" s="12"/>
      <c r="C528" s="12"/>
      <c r="D528" s="13"/>
      <c r="F528" s="14"/>
      <c r="G528" s="14"/>
      <c r="H528" s="14"/>
      <c r="I528" s="14"/>
      <c r="J528" s="14"/>
      <c r="K528" s="12"/>
    </row>
    <row r="529" ht="19.5" customHeight="1">
      <c r="A529" s="12"/>
      <c r="C529" s="12"/>
      <c r="D529" s="13"/>
      <c r="F529" s="14"/>
      <c r="G529" s="14"/>
      <c r="H529" s="14"/>
      <c r="I529" s="14"/>
      <c r="J529" s="14"/>
      <c r="K529" s="12"/>
    </row>
    <row r="530" ht="19.5" customHeight="1">
      <c r="A530" s="12"/>
      <c r="C530" s="12"/>
      <c r="D530" s="13"/>
      <c r="F530" s="14"/>
      <c r="G530" s="14"/>
      <c r="H530" s="14"/>
      <c r="I530" s="14"/>
      <c r="J530" s="14"/>
      <c r="K530" s="12"/>
    </row>
    <row r="531" ht="19.5" customHeight="1">
      <c r="A531" s="12"/>
      <c r="C531" s="12"/>
      <c r="D531" s="13"/>
      <c r="F531" s="14"/>
      <c r="G531" s="14"/>
      <c r="H531" s="14"/>
      <c r="I531" s="14"/>
      <c r="J531" s="14"/>
      <c r="K531" s="12"/>
    </row>
    <row r="532" ht="19.5" customHeight="1">
      <c r="A532" s="12"/>
      <c r="C532" s="12"/>
      <c r="D532" s="13"/>
      <c r="F532" s="14"/>
      <c r="G532" s="14"/>
      <c r="H532" s="14"/>
      <c r="I532" s="14"/>
      <c r="J532" s="14"/>
      <c r="K532" s="12"/>
    </row>
    <row r="533" ht="19.5" customHeight="1">
      <c r="A533" s="12"/>
      <c r="C533" s="12"/>
      <c r="D533" s="13"/>
      <c r="F533" s="14"/>
      <c r="G533" s="14"/>
      <c r="H533" s="14"/>
      <c r="I533" s="14"/>
      <c r="J533" s="14"/>
      <c r="K533" s="12"/>
    </row>
    <row r="534" ht="19.5" customHeight="1">
      <c r="A534" s="12"/>
      <c r="C534" s="12"/>
      <c r="D534" s="13"/>
      <c r="F534" s="14"/>
      <c r="G534" s="14"/>
      <c r="H534" s="14"/>
      <c r="I534" s="14"/>
      <c r="J534" s="14"/>
      <c r="K534" s="12"/>
    </row>
    <row r="535" ht="19.5" customHeight="1">
      <c r="A535" s="12"/>
      <c r="C535" s="12"/>
      <c r="D535" s="13"/>
      <c r="F535" s="14"/>
      <c r="G535" s="14"/>
      <c r="H535" s="14"/>
      <c r="I535" s="14"/>
      <c r="J535" s="14"/>
      <c r="K535" s="12"/>
    </row>
    <row r="536" ht="19.5" customHeight="1">
      <c r="A536" s="12"/>
      <c r="C536" s="12"/>
      <c r="D536" s="13"/>
      <c r="F536" s="14"/>
      <c r="G536" s="14"/>
      <c r="H536" s="14"/>
      <c r="I536" s="14"/>
      <c r="J536" s="14"/>
      <c r="K536" s="12"/>
    </row>
    <row r="537" ht="19.5" customHeight="1">
      <c r="A537" s="12"/>
      <c r="C537" s="12"/>
      <c r="D537" s="13"/>
      <c r="F537" s="14"/>
      <c r="G537" s="14"/>
      <c r="H537" s="14"/>
      <c r="I537" s="14"/>
      <c r="J537" s="14"/>
      <c r="K537" s="12"/>
    </row>
    <row r="538" ht="19.5" customHeight="1">
      <c r="A538" s="12"/>
      <c r="C538" s="12"/>
      <c r="D538" s="13"/>
      <c r="F538" s="14"/>
      <c r="G538" s="14"/>
      <c r="H538" s="14"/>
      <c r="I538" s="14"/>
      <c r="J538" s="14"/>
      <c r="K538" s="12"/>
    </row>
    <row r="539" ht="19.5" customHeight="1">
      <c r="A539" s="12"/>
      <c r="C539" s="12"/>
      <c r="D539" s="13"/>
      <c r="F539" s="14"/>
      <c r="G539" s="14"/>
      <c r="H539" s="14"/>
      <c r="I539" s="14"/>
      <c r="J539" s="14"/>
      <c r="K539" s="12"/>
    </row>
    <row r="540" ht="19.5" customHeight="1">
      <c r="A540" s="12"/>
      <c r="C540" s="12"/>
      <c r="D540" s="13"/>
      <c r="F540" s="14"/>
      <c r="G540" s="14"/>
      <c r="H540" s="14"/>
      <c r="I540" s="14"/>
      <c r="J540" s="14"/>
      <c r="K540" s="12"/>
    </row>
    <row r="541" ht="19.5" customHeight="1">
      <c r="A541" s="12"/>
      <c r="C541" s="12"/>
      <c r="D541" s="13"/>
      <c r="F541" s="14"/>
      <c r="G541" s="14"/>
      <c r="H541" s="14"/>
      <c r="I541" s="14"/>
      <c r="J541" s="14"/>
      <c r="K541" s="12"/>
    </row>
    <row r="542" ht="19.5" customHeight="1">
      <c r="A542" s="12"/>
      <c r="C542" s="12"/>
      <c r="D542" s="13"/>
      <c r="F542" s="14"/>
      <c r="G542" s="14"/>
      <c r="H542" s="14"/>
      <c r="I542" s="14"/>
      <c r="J542" s="14"/>
      <c r="K542" s="12"/>
    </row>
    <row r="543" ht="19.5" customHeight="1">
      <c r="A543" s="12"/>
      <c r="C543" s="12"/>
      <c r="D543" s="13"/>
      <c r="F543" s="14"/>
      <c r="G543" s="14"/>
      <c r="H543" s="14"/>
      <c r="I543" s="14"/>
      <c r="J543" s="14"/>
      <c r="K543" s="12"/>
    </row>
    <row r="544" ht="19.5" customHeight="1">
      <c r="A544" s="12"/>
      <c r="C544" s="12"/>
      <c r="D544" s="13"/>
      <c r="F544" s="14"/>
      <c r="G544" s="14"/>
      <c r="H544" s="14"/>
      <c r="I544" s="14"/>
      <c r="J544" s="14"/>
      <c r="K544" s="12"/>
    </row>
    <row r="545" ht="19.5" customHeight="1">
      <c r="A545" s="12"/>
      <c r="C545" s="12"/>
      <c r="D545" s="13"/>
      <c r="F545" s="14"/>
      <c r="G545" s="14"/>
      <c r="H545" s="14"/>
      <c r="I545" s="14"/>
      <c r="J545" s="14"/>
      <c r="K545" s="12"/>
    </row>
    <row r="546" ht="19.5" customHeight="1">
      <c r="A546" s="12"/>
      <c r="C546" s="12"/>
      <c r="D546" s="13"/>
      <c r="F546" s="14"/>
      <c r="G546" s="14"/>
      <c r="H546" s="14"/>
      <c r="I546" s="14"/>
      <c r="J546" s="14"/>
      <c r="K546" s="12"/>
    </row>
    <row r="547" ht="19.5" customHeight="1">
      <c r="A547" s="12"/>
      <c r="C547" s="12"/>
      <c r="D547" s="13"/>
      <c r="F547" s="14"/>
      <c r="G547" s="14"/>
      <c r="H547" s="14"/>
      <c r="I547" s="14"/>
      <c r="J547" s="14"/>
      <c r="K547" s="12"/>
    </row>
    <row r="548" ht="19.5" customHeight="1">
      <c r="A548" s="12"/>
      <c r="C548" s="12"/>
      <c r="D548" s="13"/>
      <c r="F548" s="14"/>
      <c r="G548" s="14"/>
      <c r="H548" s="14"/>
      <c r="I548" s="14"/>
      <c r="J548" s="14"/>
      <c r="K548" s="12"/>
    </row>
    <row r="549" ht="19.5" customHeight="1">
      <c r="A549" s="12"/>
      <c r="C549" s="12"/>
      <c r="D549" s="13"/>
      <c r="F549" s="14"/>
      <c r="G549" s="14"/>
      <c r="H549" s="14"/>
      <c r="I549" s="14"/>
      <c r="J549" s="14"/>
      <c r="K549" s="12"/>
    </row>
    <row r="550" ht="19.5" customHeight="1">
      <c r="A550" s="12"/>
      <c r="C550" s="12"/>
      <c r="D550" s="13"/>
      <c r="F550" s="14"/>
      <c r="G550" s="14"/>
      <c r="H550" s="14"/>
      <c r="I550" s="14"/>
      <c r="J550" s="14"/>
      <c r="K550" s="12"/>
    </row>
    <row r="551" ht="19.5" customHeight="1">
      <c r="A551" s="12"/>
      <c r="C551" s="12"/>
      <c r="D551" s="13"/>
      <c r="F551" s="14"/>
      <c r="G551" s="14"/>
      <c r="H551" s="14"/>
      <c r="I551" s="14"/>
      <c r="J551" s="14"/>
      <c r="K551" s="12"/>
    </row>
    <row r="552" ht="19.5" customHeight="1">
      <c r="A552" s="12"/>
      <c r="C552" s="12"/>
      <c r="D552" s="13"/>
      <c r="F552" s="14"/>
      <c r="G552" s="14"/>
      <c r="H552" s="14"/>
      <c r="I552" s="14"/>
      <c r="J552" s="14"/>
      <c r="K552" s="12"/>
    </row>
    <row r="553" ht="19.5" customHeight="1">
      <c r="A553" s="12"/>
      <c r="C553" s="12"/>
      <c r="D553" s="13"/>
      <c r="F553" s="14"/>
      <c r="G553" s="14"/>
      <c r="H553" s="14"/>
      <c r="I553" s="14"/>
      <c r="J553" s="14"/>
      <c r="K553" s="12"/>
    </row>
    <row r="554" ht="19.5" customHeight="1">
      <c r="A554" s="12"/>
      <c r="C554" s="12"/>
      <c r="D554" s="13"/>
      <c r="F554" s="14"/>
      <c r="G554" s="14"/>
      <c r="H554" s="14"/>
      <c r="I554" s="14"/>
      <c r="J554" s="14"/>
      <c r="K554" s="12"/>
    </row>
    <row r="555" ht="19.5" customHeight="1">
      <c r="A555" s="12"/>
      <c r="C555" s="12"/>
      <c r="D555" s="13"/>
      <c r="F555" s="14"/>
      <c r="G555" s="14"/>
      <c r="H555" s="14"/>
      <c r="I555" s="14"/>
      <c r="J555" s="14"/>
      <c r="K555" s="12"/>
    </row>
    <row r="556" ht="19.5" customHeight="1">
      <c r="A556" s="12"/>
      <c r="C556" s="12"/>
      <c r="D556" s="13"/>
      <c r="F556" s="14"/>
      <c r="G556" s="14"/>
      <c r="H556" s="14"/>
      <c r="I556" s="14"/>
      <c r="J556" s="14"/>
      <c r="K556" s="12"/>
    </row>
    <row r="557" ht="19.5" customHeight="1">
      <c r="A557" s="12"/>
      <c r="C557" s="12"/>
      <c r="D557" s="13"/>
      <c r="F557" s="14"/>
      <c r="G557" s="14"/>
      <c r="H557" s="14"/>
      <c r="I557" s="14"/>
      <c r="J557" s="14"/>
      <c r="K557" s="12"/>
    </row>
    <row r="558" ht="19.5" customHeight="1">
      <c r="A558" s="12"/>
      <c r="C558" s="12"/>
      <c r="D558" s="13"/>
      <c r="F558" s="14"/>
      <c r="G558" s="14"/>
      <c r="H558" s="14"/>
      <c r="I558" s="14"/>
      <c r="J558" s="14"/>
      <c r="K558" s="12"/>
    </row>
    <row r="559" ht="19.5" customHeight="1">
      <c r="A559" s="12"/>
      <c r="C559" s="12"/>
      <c r="D559" s="13"/>
      <c r="F559" s="14"/>
      <c r="G559" s="14"/>
      <c r="H559" s="14"/>
      <c r="I559" s="14"/>
      <c r="J559" s="14"/>
      <c r="K559" s="12"/>
    </row>
    <row r="560" ht="19.5" customHeight="1">
      <c r="A560" s="12"/>
      <c r="C560" s="12"/>
      <c r="D560" s="13"/>
      <c r="F560" s="14"/>
      <c r="G560" s="14"/>
      <c r="H560" s="14"/>
      <c r="I560" s="14"/>
      <c r="J560" s="14"/>
      <c r="K560" s="12"/>
    </row>
    <row r="561" ht="19.5" customHeight="1">
      <c r="A561" s="12"/>
      <c r="C561" s="12"/>
      <c r="D561" s="13"/>
      <c r="F561" s="14"/>
      <c r="G561" s="14"/>
      <c r="H561" s="14"/>
      <c r="I561" s="14"/>
      <c r="J561" s="14"/>
      <c r="K561" s="12"/>
    </row>
    <row r="562" ht="19.5" customHeight="1">
      <c r="A562" s="12"/>
      <c r="C562" s="12"/>
      <c r="D562" s="13"/>
      <c r="F562" s="14"/>
      <c r="G562" s="14"/>
      <c r="H562" s="14"/>
      <c r="I562" s="14"/>
      <c r="J562" s="14"/>
      <c r="K562" s="12"/>
    </row>
    <row r="563" ht="19.5" customHeight="1">
      <c r="A563" s="12"/>
      <c r="C563" s="12"/>
      <c r="D563" s="13"/>
      <c r="F563" s="14"/>
      <c r="G563" s="14"/>
      <c r="H563" s="14"/>
      <c r="I563" s="14"/>
      <c r="J563" s="14"/>
      <c r="K563" s="12"/>
    </row>
    <row r="564" ht="19.5" customHeight="1">
      <c r="A564" s="12"/>
      <c r="C564" s="12"/>
      <c r="D564" s="13"/>
      <c r="F564" s="14"/>
      <c r="G564" s="14"/>
      <c r="H564" s="14"/>
      <c r="I564" s="14"/>
      <c r="J564" s="14"/>
      <c r="K564" s="12"/>
    </row>
    <row r="565" ht="19.5" customHeight="1">
      <c r="A565" s="12"/>
      <c r="C565" s="12"/>
      <c r="D565" s="13"/>
      <c r="F565" s="14"/>
      <c r="G565" s="14"/>
      <c r="H565" s="14"/>
      <c r="I565" s="14"/>
      <c r="J565" s="14"/>
      <c r="K565" s="12"/>
    </row>
    <row r="566" ht="19.5" customHeight="1">
      <c r="A566" s="12"/>
      <c r="C566" s="12"/>
      <c r="D566" s="13"/>
      <c r="F566" s="14"/>
      <c r="G566" s="14"/>
      <c r="H566" s="14"/>
      <c r="I566" s="14"/>
      <c r="J566" s="14"/>
      <c r="K566" s="12"/>
    </row>
    <row r="567" ht="19.5" customHeight="1">
      <c r="A567" s="12"/>
      <c r="C567" s="12"/>
      <c r="D567" s="13"/>
      <c r="F567" s="14"/>
      <c r="G567" s="14"/>
      <c r="H567" s="14"/>
      <c r="I567" s="14"/>
      <c r="J567" s="14"/>
      <c r="K567" s="12"/>
    </row>
    <row r="568" ht="19.5" customHeight="1">
      <c r="A568" s="12"/>
      <c r="C568" s="12"/>
      <c r="D568" s="13"/>
      <c r="F568" s="14"/>
      <c r="G568" s="14"/>
      <c r="H568" s="14"/>
      <c r="I568" s="14"/>
      <c r="J568" s="14"/>
      <c r="K568" s="12"/>
    </row>
    <row r="569" ht="19.5" customHeight="1">
      <c r="A569" s="12"/>
      <c r="C569" s="12"/>
      <c r="D569" s="13"/>
      <c r="F569" s="14"/>
      <c r="G569" s="14"/>
      <c r="H569" s="14"/>
      <c r="I569" s="14"/>
      <c r="J569" s="14"/>
      <c r="K569" s="12"/>
    </row>
    <row r="570" ht="19.5" customHeight="1">
      <c r="A570" s="12"/>
      <c r="C570" s="12"/>
      <c r="D570" s="13"/>
      <c r="F570" s="14"/>
      <c r="G570" s="14"/>
      <c r="H570" s="14"/>
      <c r="I570" s="14"/>
      <c r="J570" s="14"/>
      <c r="K570" s="12"/>
    </row>
    <row r="571" ht="19.5" customHeight="1">
      <c r="A571" s="12"/>
      <c r="C571" s="12"/>
      <c r="D571" s="13"/>
      <c r="F571" s="14"/>
      <c r="G571" s="14"/>
      <c r="H571" s="14"/>
      <c r="I571" s="14"/>
      <c r="J571" s="14"/>
      <c r="K571" s="12"/>
    </row>
    <row r="572" ht="19.5" customHeight="1">
      <c r="A572" s="12"/>
      <c r="C572" s="12"/>
      <c r="D572" s="13"/>
      <c r="F572" s="14"/>
      <c r="G572" s="14"/>
      <c r="H572" s="14"/>
      <c r="I572" s="14"/>
      <c r="J572" s="14"/>
      <c r="K572" s="12"/>
    </row>
    <row r="573" ht="19.5" customHeight="1">
      <c r="A573" s="12"/>
      <c r="C573" s="12"/>
      <c r="D573" s="13"/>
      <c r="F573" s="14"/>
      <c r="G573" s="14"/>
      <c r="H573" s="14"/>
      <c r="I573" s="14"/>
      <c r="J573" s="14"/>
      <c r="K573" s="12"/>
    </row>
    <row r="574" ht="19.5" customHeight="1">
      <c r="A574" s="12"/>
      <c r="C574" s="12"/>
      <c r="D574" s="13"/>
      <c r="F574" s="14"/>
      <c r="G574" s="14"/>
      <c r="H574" s="14"/>
      <c r="I574" s="14"/>
      <c r="J574" s="14"/>
      <c r="K574" s="12"/>
    </row>
    <row r="575" ht="19.5" customHeight="1">
      <c r="A575" s="12"/>
      <c r="C575" s="12"/>
      <c r="D575" s="13"/>
      <c r="F575" s="14"/>
      <c r="G575" s="14"/>
      <c r="H575" s="14"/>
      <c r="I575" s="14"/>
      <c r="J575" s="14"/>
      <c r="K575" s="12"/>
    </row>
    <row r="576" ht="19.5" customHeight="1">
      <c r="A576" s="12"/>
      <c r="C576" s="12"/>
      <c r="D576" s="13"/>
      <c r="F576" s="14"/>
      <c r="G576" s="14"/>
      <c r="H576" s="14"/>
      <c r="I576" s="14"/>
      <c r="J576" s="14"/>
      <c r="K576" s="12"/>
    </row>
    <row r="577" ht="19.5" customHeight="1">
      <c r="A577" s="12"/>
      <c r="C577" s="12"/>
      <c r="D577" s="13"/>
      <c r="F577" s="14"/>
      <c r="G577" s="14"/>
      <c r="H577" s="14"/>
      <c r="I577" s="14"/>
      <c r="J577" s="14"/>
      <c r="K577" s="12"/>
    </row>
    <row r="578" ht="19.5" customHeight="1">
      <c r="A578" s="12"/>
      <c r="C578" s="12"/>
      <c r="D578" s="13"/>
      <c r="F578" s="14"/>
      <c r="G578" s="14"/>
      <c r="H578" s="14"/>
      <c r="I578" s="14"/>
      <c r="J578" s="14"/>
      <c r="K578" s="12"/>
    </row>
    <row r="579" ht="19.5" customHeight="1">
      <c r="A579" s="12"/>
      <c r="C579" s="12"/>
      <c r="D579" s="13"/>
      <c r="F579" s="14"/>
      <c r="G579" s="14"/>
      <c r="H579" s="14"/>
      <c r="I579" s="14"/>
      <c r="J579" s="14"/>
      <c r="K579" s="12"/>
    </row>
    <row r="580" ht="19.5" customHeight="1">
      <c r="A580" s="12"/>
      <c r="C580" s="12"/>
      <c r="D580" s="13"/>
      <c r="F580" s="14"/>
      <c r="G580" s="14"/>
      <c r="H580" s="14"/>
      <c r="I580" s="14"/>
      <c r="J580" s="14"/>
      <c r="K580" s="12"/>
    </row>
    <row r="581" ht="19.5" customHeight="1">
      <c r="A581" s="12"/>
      <c r="C581" s="12"/>
      <c r="D581" s="13"/>
      <c r="F581" s="14"/>
      <c r="G581" s="14"/>
      <c r="H581" s="14"/>
      <c r="I581" s="14"/>
      <c r="J581" s="14"/>
      <c r="K581" s="12"/>
    </row>
    <row r="582" ht="19.5" customHeight="1">
      <c r="A582" s="12"/>
      <c r="C582" s="12"/>
      <c r="D582" s="13"/>
      <c r="F582" s="14"/>
      <c r="G582" s="14"/>
      <c r="H582" s="14"/>
      <c r="I582" s="14"/>
      <c r="J582" s="14"/>
      <c r="K582" s="12"/>
    </row>
    <row r="583" ht="19.5" customHeight="1">
      <c r="A583" s="12"/>
      <c r="C583" s="12"/>
      <c r="D583" s="13"/>
      <c r="F583" s="14"/>
      <c r="G583" s="14"/>
      <c r="H583" s="14"/>
      <c r="I583" s="14"/>
      <c r="J583" s="14"/>
      <c r="K583" s="12"/>
    </row>
    <row r="584" ht="19.5" customHeight="1">
      <c r="A584" s="12"/>
      <c r="C584" s="12"/>
      <c r="D584" s="13"/>
      <c r="F584" s="14"/>
      <c r="G584" s="14"/>
      <c r="H584" s="14"/>
      <c r="I584" s="14"/>
      <c r="J584" s="14"/>
      <c r="K584" s="12"/>
    </row>
    <row r="585" ht="19.5" customHeight="1">
      <c r="A585" s="12"/>
      <c r="C585" s="12"/>
      <c r="D585" s="13"/>
      <c r="F585" s="14"/>
      <c r="G585" s="14"/>
      <c r="H585" s="14"/>
      <c r="I585" s="14"/>
      <c r="J585" s="14"/>
      <c r="K585" s="12"/>
    </row>
    <row r="586" ht="19.5" customHeight="1">
      <c r="A586" s="12"/>
      <c r="C586" s="12"/>
      <c r="D586" s="13"/>
      <c r="F586" s="14"/>
      <c r="G586" s="14"/>
      <c r="H586" s="14"/>
      <c r="I586" s="14"/>
      <c r="J586" s="14"/>
      <c r="K586" s="12"/>
    </row>
    <row r="587" ht="19.5" customHeight="1">
      <c r="A587" s="12"/>
      <c r="C587" s="12"/>
      <c r="D587" s="13"/>
      <c r="F587" s="14"/>
      <c r="G587" s="14"/>
      <c r="H587" s="14"/>
      <c r="I587" s="14"/>
      <c r="J587" s="14"/>
      <c r="K587" s="12"/>
    </row>
    <row r="588" ht="19.5" customHeight="1">
      <c r="A588" s="12"/>
      <c r="C588" s="12"/>
      <c r="D588" s="13"/>
      <c r="F588" s="14"/>
      <c r="G588" s="14"/>
      <c r="H588" s="14"/>
      <c r="I588" s="14"/>
      <c r="J588" s="14"/>
      <c r="K588" s="12"/>
    </row>
    <row r="589" ht="19.5" customHeight="1">
      <c r="A589" s="12"/>
      <c r="C589" s="12"/>
      <c r="D589" s="13"/>
      <c r="F589" s="14"/>
      <c r="G589" s="14"/>
      <c r="H589" s="14"/>
      <c r="I589" s="14"/>
      <c r="J589" s="14"/>
      <c r="K589" s="12"/>
    </row>
    <row r="590" ht="19.5" customHeight="1">
      <c r="A590" s="12"/>
      <c r="C590" s="12"/>
      <c r="D590" s="13"/>
      <c r="F590" s="14"/>
      <c r="G590" s="14"/>
      <c r="H590" s="14"/>
      <c r="I590" s="14"/>
      <c r="J590" s="14"/>
      <c r="K590" s="12"/>
    </row>
    <row r="591" ht="19.5" customHeight="1">
      <c r="A591" s="12"/>
      <c r="C591" s="12"/>
      <c r="D591" s="13"/>
      <c r="F591" s="14"/>
      <c r="G591" s="14"/>
      <c r="H591" s="14"/>
      <c r="I591" s="14"/>
      <c r="J591" s="14"/>
      <c r="K591" s="12"/>
    </row>
    <row r="592" ht="19.5" customHeight="1">
      <c r="A592" s="12"/>
      <c r="C592" s="12"/>
      <c r="D592" s="13"/>
      <c r="F592" s="14"/>
      <c r="G592" s="14"/>
      <c r="H592" s="14"/>
      <c r="I592" s="14"/>
      <c r="J592" s="14"/>
      <c r="K592" s="12"/>
    </row>
    <row r="593" ht="19.5" customHeight="1">
      <c r="A593" s="12"/>
      <c r="C593" s="12"/>
      <c r="D593" s="13"/>
      <c r="F593" s="14"/>
      <c r="G593" s="14"/>
      <c r="H593" s="14"/>
      <c r="I593" s="14"/>
      <c r="J593" s="14"/>
      <c r="K593" s="12"/>
    </row>
    <row r="594" ht="19.5" customHeight="1">
      <c r="A594" s="12"/>
      <c r="C594" s="12"/>
      <c r="D594" s="13"/>
      <c r="F594" s="14"/>
      <c r="G594" s="14"/>
      <c r="H594" s="14"/>
      <c r="I594" s="14"/>
      <c r="J594" s="14"/>
      <c r="K594" s="12"/>
    </row>
    <row r="595" ht="19.5" customHeight="1">
      <c r="A595" s="12"/>
      <c r="C595" s="12"/>
      <c r="D595" s="13"/>
      <c r="F595" s="14"/>
      <c r="G595" s="14"/>
      <c r="H595" s="14"/>
      <c r="I595" s="14"/>
      <c r="J595" s="14"/>
      <c r="K595" s="12"/>
    </row>
    <row r="596" ht="19.5" customHeight="1">
      <c r="A596" s="12"/>
      <c r="C596" s="12"/>
      <c r="D596" s="13"/>
      <c r="F596" s="14"/>
      <c r="G596" s="14"/>
      <c r="H596" s="14"/>
      <c r="I596" s="14"/>
      <c r="J596" s="14"/>
      <c r="K596" s="12"/>
    </row>
    <row r="597" ht="19.5" customHeight="1">
      <c r="A597" s="12"/>
      <c r="C597" s="12"/>
      <c r="D597" s="13"/>
      <c r="F597" s="14"/>
      <c r="G597" s="14"/>
      <c r="H597" s="14"/>
      <c r="I597" s="14"/>
      <c r="J597" s="14"/>
      <c r="K597" s="12"/>
    </row>
    <row r="598" ht="19.5" customHeight="1">
      <c r="A598" s="12"/>
      <c r="C598" s="12"/>
      <c r="D598" s="13"/>
      <c r="F598" s="14"/>
      <c r="G598" s="14"/>
      <c r="H598" s="14"/>
      <c r="I598" s="14"/>
      <c r="J598" s="14"/>
      <c r="K598" s="12"/>
    </row>
    <row r="599" ht="19.5" customHeight="1">
      <c r="A599" s="12"/>
      <c r="C599" s="12"/>
      <c r="D599" s="13"/>
      <c r="F599" s="14"/>
      <c r="G599" s="14"/>
      <c r="H599" s="14"/>
      <c r="I599" s="14"/>
      <c r="J599" s="14"/>
      <c r="K599" s="12"/>
    </row>
    <row r="600" ht="19.5" customHeight="1">
      <c r="A600" s="12"/>
      <c r="C600" s="12"/>
      <c r="D600" s="13"/>
      <c r="F600" s="14"/>
      <c r="G600" s="14"/>
      <c r="H600" s="14"/>
      <c r="I600" s="14"/>
      <c r="J600" s="14"/>
      <c r="K600" s="12"/>
    </row>
    <row r="601" ht="19.5" customHeight="1">
      <c r="A601" s="12"/>
      <c r="C601" s="12"/>
      <c r="D601" s="13"/>
      <c r="F601" s="14"/>
      <c r="G601" s="14"/>
      <c r="H601" s="14"/>
      <c r="I601" s="14"/>
      <c r="J601" s="14"/>
      <c r="K601" s="12"/>
    </row>
    <row r="602" ht="19.5" customHeight="1">
      <c r="A602" s="12"/>
      <c r="C602" s="12"/>
      <c r="D602" s="13"/>
      <c r="F602" s="14"/>
      <c r="G602" s="14"/>
      <c r="H602" s="14"/>
      <c r="I602" s="14"/>
      <c r="J602" s="14"/>
      <c r="K602" s="12"/>
    </row>
    <row r="603" ht="19.5" customHeight="1">
      <c r="A603" s="12"/>
      <c r="C603" s="12"/>
      <c r="D603" s="13"/>
      <c r="F603" s="14"/>
      <c r="G603" s="14"/>
      <c r="H603" s="14"/>
      <c r="I603" s="14"/>
      <c r="J603" s="14"/>
      <c r="K603" s="12"/>
    </row>
    <row r="604" ht="19.5" customHeight="1">
      <c r="A604" s="12"/>
      <c r="C604" s="12"/>
      <c r="D604" s="13"/>
      <c r="F604" s="14"/>
      <c r="G604" s="14"/>
      <c r="H604" s="14"/>
      <c r="I604" s="14"/>
      <c r="J604" s="14"/>
      <c r="K604" s="12"/>
    </row>
    <row r="605" ht="19.5" customHeight="1">
      <c r="A605" s="12"/>
      <c r="C605" s="12"/>
      <c r="D605" s="13"/>
      <c r="F605" s="14"/>
      <c r="G605" s="14"/>
      <c r="H605" s="14"/>
      <c r="I605" s="14"/>
      <c r="J605" s="14"/>
      <c r="K605" s="12"/>
    </row>
    <row r="606" ht="19.5" customHeight="1">
      <c r="A606" s="12"/>
      <c r="C606" s="12"/>
      <c r="D606" s="13"/>
      <c r="F606" s="14"/>
      <c r="G606" s="14"/>
      <c r="H606" s="14"/>
      <c r="I606" s="14"/>
      <c r="J606" s="14"/>
      <c r="K606" s="12"/>
    </row>
    <row r="607" ht="19.5" customHeight="1">
      <c r="A607" s="12"/>
      <c r="C607" s="12"/>
      <c r="D607" s="13"/>
      <c r="F607" s="14"/>
      <c r="G607" s="14"/>
      <c r="H607" s="14"/>
      <c r="I607" s="14"/>
      <c r="J607" s="14"/>
      <c r="K607" s="12"/>
    </row>
    <row r="608" ht="19.5" customHeight="1">
      <c r="A608" s="12"/>
      <c r="C608" s="12"/>
      <c r="D608" s="13"/>
      <c r="F608" s="14"/>
      <c r="G608" s="14"/>
      <c r="H608" s="14"/>
      <c r="I608" s="14"/>
      <c r="J608" s="14"/>
      <c r="K608" s="12"/>
    </row>
    <row r="609" ht="19.5" customHeight="1">
      <c r="A609" s="12"/>
      <c r="C609" s="12"/>
      <c r="D609" s="13"/>
      <c r="F609" s="14"/>
      <c r="G609" s="14"/>
      <c r="H609" s="14"/>
      <c r="I609" s="14"/>
      <c r="J609" s="14"/>
      <c r="K609" s="12"/>
    </row>
    <row r="610" ht="19.5" customHeight="1">
      <c r="A610" s="12"/>
      <c r="C610" s="12"/>
      <c r="D610" s="13"/>
      <c r="F610" s="14"/>
      <c r="G610" s="14"/>
      <c r="H610" s="14"/>
      <c r="I610" s="14"/>
      <c r="J610" s="14"/>
      <c r="K610" s="12"/>
    </row>
    <row r="611" ht="19.5" customHeight="1">
      <c r="A611" s="12"/>
      <c r="C611" s="12"/>
      <c r="D611" s="13"/>
      <c r="F611" s="14"/>
      <c r="G611" s="14"/>
      <c r="H611" s="14"/>
      <c r="I611" s="14"/>
      <c r="J611" s="14"/>
      <c r="K611" s="12"/>
    </row>
    <row r="612" ht="19.5" customHeight="1">
      <c r="A612" s="12"/>
      <c r="C612" s="12"/>
      <c r="D612" s="13"/>
      <c r="F612" s="14"/>
      <c r="G612" s="14"/>
      <c r="H612" s="14"/>
      <c r="I612" s="14"/>
      <c r="J612" s="14"/>
      <c r="K612" s="12"/>
    </row>
    <row r="613" ht="19.5" customHeight="1">
      <c r="A613" s="12"/>
      <c r="C613" s="12"/>
      <c r="D613" s="13"/>
      <c r="F613" s="14"/>
      <c r="G613" s="14"/>
      <c r="H613" s="14"/>
      <c r="I613" s="14"/>
      <c r="J613" s="14"/>
      <c r="K613" s="12"/>
    </row>
    <row r="614" ht="19.5" customHeight="1">
      <c r="A614" s="12"/>
      <c r="C614" s="12"/>
      <c r="D614" s="13"/>
      <c r="F614" s="14"/>
      <c r="G614" s="14"/>
      <c r="H614" s="14"/>
      <c r="I614" s="14"/>
      <c r="J614" s="14"/>
      <c r="K614" s="12"/>
    </row>
    <row r="615" ht="19.5" customHeight="1">
      <c r="A615" s="12"/>
      <c r="C615" s="12"/>
      <c r="D615" s="13"/>
      <c r="F615" s="14"/>
      <c r="G615" s="14"/>
      <c r="H615" s="14"/>
      <c r="I615" s="14"/>
      <c r="J615" s="14"/>
      <c r="K615" s="12"/>
    </row>
    <row r="616" ht="19.5" customHeight="1">
      <c r="A616" s="12"/>
      <c r="C616" s="12"/>
      <c r="D616" s="13"/>
      <c r="F616" s="14"/>
      <c r="G616" s="14"/>
      <c r="H616" s="14"/>
      <c r="I616" s="14"/>
      <c r="J616" s="14"/>
      <c r="K616" s="12"/>
    </row>
    <row r="617" ht="19.5" customHeight="1">
      <c r="A617" s="12"/>
      <c r="C617" s="12"/>
      <c r="D617" s="13"/>
      <c r="F617" s="14"/>
      <c r="G617" s="14"/>
      <c r="H617" s="14"/>
      <c r="I617" s="14"/>
      <c r="J617" s="14"/>
      <c r="K617" s="12"/>
    </row>
    <row r="618" ht="19.5" customHeight="1">
      <c r="A618" s="12"/>
      <c r="C618" s="12"/>
      <c r="D618" s="13"/>
      <c r="F618" s="14"/>
      <c r="G618" s="14"/>
      <c r="H618" s="14"/>
      <c r="I618" s="14"/>
      <c r="J618" s="14"/>
      <c r="K618" s="12"/>
    </row>
    <row r="619" ht="19.5" customHeight="1">
      <c r="A619" s="12"/>
      <c r="C619" s="12"/>
      <c r="D619" s="13"/>
      <c r="F619" s="14"/>
      <c r="G619" s="14"/>
      <c r="H619" s="14"/>
      <c r="I619" s="14"/>
      <c r="J619" s="14"/>
      <c r="K619" s="12"/>
    </row>
    <row r="620" ht="19.5" customHeight="1">
      <c r="A620" s="12"/>
      <c r="C620" s="12"/>
      <c r="D620" s="13"/>
      <c r="F620" s="14"/>
      <c r="G620" s="14"/>
      <c r="H620" s="14"/>
      <c r="I620" s="14"/>
      <c r="J620" s="14"/>
      <c r="K620" s="12"/>
    </row>
    <row r="621" ht="19.5" customHeight="1">
      <c r="A621" s="12"/>
      <c r="C621" s="12"/>
      <c r="D621" s="13"/>
      <c r="F621" s="14"/>
      <c r="G621" s="14"/>
      <c r="H621" s="14"/>
      <c r="I621" s="14"/>
      <c r="J621" s="14"/>
      <c r="K621" s="12"/>
    </row>
    <row r="622" ht="19.5" customHeight="1">
      <c r="A622" s="12"/>
      <c r="C622" s="12"/>
      <c r="D622" s="13"/>
      <c r="F622" s="14"/>
      <c r="G622" s="14"/>
      <c r="H622" s="14"/>
      <c r="I622" s="14"/>
      <c r="J622" s="14"/>
      <c r="K622" s="12"/>
    </row>
    <row r="623" ht="19.5" customHeight="1">
      <c r="A623" s="12"/>
      <c r="C623" s="12"/>
      <c r="D623" s="13"/>
      <c r="F623" s="14"/>
      <c r="G623" s="14"/>
      <c r="H623" s="14"/>
      <c r="I623" s="14"/>
      <c r="J623" s="14"/>
      <c r="K623" s="12"/>
    </row>
    <row r="624" ht="19.5" customHeight="1">
      <c r="A624" s="12"/>
      <c r="C624" s="12"/>
      <c r="D624" s="13"/>
      <c r="F624" s="14"/>
      <c r="G624" s="14"/>
      <c r="H624" s="14"/>
      <c r="I624" s="14"/>
      <c r="J624" s="14"/>
      <c r="K624" s="12"/>
    </row>
    <row r="625" ht="19.5" customHeight="1">
      <c r="A625" s="12"/>
      <c r="C625" s="12"/>
      <c r="D625" s="13"/>
      <c r="F625" s="14"/>
      <c r="G625" s="14"/>
      <c r="H625" s="14"/>
      <c r="I625" s="14"/>
      <c r="J625" s="14"/>
      <c r="K625" s="12"/>
    </row>
    <row r="626" ht="19.5" customHeight="1">
      <c r="A626" s="12"/>
      <c r="C626" s="12"/>
      <c r="D626" s="13"/>
      <c r="F626" s="14"/>
      <c r="G626" s="14"/>
      <c r="H626" s="14"/>
      <c r="I626" s="14"/>
      <c r="J626" s="14"/>
      <c r="K626" s="12"/>
    </row>
    <row r="627" ht="19.5" customHeight="1">
      <c r="A627" s="12"/>
      <c r="C627" s="12"/>
      <c r="D627" s="13"/>
      <c r="F627" s="14"/>
      <c r="G627" s="14"/>
      <c r="H627" s="14"/>
      <c r="I627" s="14"/>
      <c r="J627" s="14"/>
      <c r="K627" s="12"/>
    </row>
    <row r="628" ht="19.5" customHeight="1">
      <c r="A628" s="12"/>
      <c r="C628" s="12"/>
      <c r="D628" s="13"/>
      <c r="F628" s="14"/>
      <c r="G628" s="14"/>
      <c r="H628" s="14"/>
      <c r="I628" s="14"/>
      <c r="J628" s="14"/>
      <c r="K628" s="12"/>
    </row>
    <row r="629" ht="19.5" customHeight="1">
      <c r="A629" s="12"/>
      <c r="C629" s="12"/>
      <c r="D629" s="13"/>
      <c r="F629" s="14"/>
      <c r="G629" s="14"/>
      <c r="H629" s="14"/>
      <c r="I629" s="14"/>
      <c r="J629" s="14"/>
      <c r="K629" s="12"/>
    </row>
    <row r="630" ht="19.5" customHeight="1">
      <c r="A630" s="12"/>
      <c r="C630" s="12"/>
      <c r="D630" s="13"/>
      <c r="F630" s="14"/>
      <c r="G630" s="14"/>
      <c r="H630" s="14"/>
      <c r="I630" s="14"/>
      <c r="J630" s="14"/>
      <c r="K630" s="12"/>
    </row>
    <row r="631" ht="19.5" customHeight="1">
      <c r="A631" s="12"/>
      <c r="C631" s="12"/>
      <c r="D631" s="13"/>
      <c r="F631" s="14"/>
      <c r="G631" s="14"/>
      <c r="H631" s="14"/>
      <c r="I631" s="14"/>
      <c r="J631" s="14"/>
      <c r="K631" s="12"/>
    </row>
    <row r="632" ht="19.5" customHeight="1">
      <c r="A632" s="12"/>
      <c r="C632" s="12"/>
      <c r="D632" s="13"/>
      <c r="F632" s="14"/>
      <c r="G632" s="14"/>
      <c r="H632" s="14"/>
      <c r="I632" s="14"/>
      <c r="J632" s="14"/>
      <c r="K632" s="12"/>
    </row>
    <row r="633" ht="19.5" customHeight="1">
      <c r="A633" s="12"/>
      <c r="C633" s="12"/>
      <c r="D633" s="13"/>
      <c r="F633" s="14"/>
      <c r="G633" s="14"/>
      <c r="H633" s="14"/>
      <c r="I633" s="14"/>
      <c r="J633" s="14"/>
      <c r="K633" s="12"/>
    </row>
    <row r="634" ht="19.5" customHeight="1">
      <c r="A634" s="12"/>
      <c r="C634" s="12"/>
      <c r="D634" s="13"/>
      <c r="F634" s="14"/>
      <c r="G634" s="14"/>
      <c r="H634" s="14"/>
      <c r="I634" s="14"/>
      <c r="J634" s="14"/>
      <c r="K634" s="12"/>
    </row>
    <row r="635" ht="19.5" customHeight="1">
      <c r="A635" s="12"/>
      <c r="C635" s="12"/>
      <c r="D635" s="13"/>
      <c r="F635" s="14"/>
      <c r="G635" s="14"/>
      <c r="H635" s="14"/>
      <c r="I635" s="14"/>
      <c r="J635" s="14"/>
      <c r="K635" s="12"/>
    </row>
    <row r="636" ht="19.5" customHeight="1">
      <c r="A636" s="12"/>
      <c r="C636" s="12"/>
      <c r="D636" s="13"/>
      <c r="F636" s="14"/>
      <c r="G636" s="14"/>
      <c r="H636" s="14"/>
      <c r="I636" s="14"/>
      <c r="J636" s="14"/>
      <c r="K636" s="12"/>
    </row>
    <row r="637" ht="19.5" customHeight="1">
      <c r="A637" s="12"/>
      <c r="C637" s="12"/>
      <c r="D637" s="13"/>
      <c r="F637" s="14"/>
      <c r="G637" s="14"/>
      <c r="H637" s="14"/>
      <c r="I637" s="14"/>
      <c r="J637" s="14"/>
      <c r="K637" s="12"/>
    </row>
    <row r="638" ht="19.5" customHeight="1">
      <c r="A638" s="12"/>
      <c r="C638" s="12"/>
      <c r="D638" s="13"/>
      <c r="F638" s="14"/>
      <c r="G638" s="14"/>
      <c r="H638" s="14"/>
      <c r="I638" s="14"/>
      <c r="J638" s="14"/>
      <c r="K638" s="12"/>
    </row>
    <row r="639" ht="19.5" customHeight="1">
      <c r="A639" s="12"/>
      <c r="C639" s="12"/>
      <c r="D639" s="13"/>
      <c r="F639" s="14"/>
      <c r="G639" s="14"/>
      <c r="H639" s="14"/>
      <c r="I639" s="14"/>
      <c r="J639" s="14"/>
      <c r="K639" s="12"/>
    </row>
    <row r="640" ht="19.5" customHeight="1">
      <c r="A640" s="12"/>
      <c r="C640" s="12"/>
      <c r="D640" s="13"/>
      <c r="F640" s="14"/>
      <c r="G640" s="14"/>
      <c r="H640" s="14"/>
      <c r="I640" s="14"/>
      <c r="J640" s="14"/>
      <c r="K640" s="12"/>
    </row>
    <row r="641" ht="19.5" customHeight="1">
      <c r="A641" s="12"/>
      <c r="C641" s="12"/>
      <c r="D641" s="13"/>
      <c r="F641" s="14"/>
      <c r="G641" s="14"/>
      <c r="H641" s="14"/>
      <c r="I641" s="14"/>
      <c r="J641" s="14"/>
      <c r="K641" s="12"/>
    </row>
    <row r="642" ht="19.5" customHeight="1">
      <c r="A642" s="12"/>
      <c r="C642" s="12"/>
      <c r="D642" s="13"/>
      <c r="F642" s="14"/>
      <c r="G642" s="14"/>
      <c r="H642" s="14"/>
      <c r="I642" s="14"/>
      <c r="J642" s="14"/>
      <c r="K642" s="12"/>
    </row>
    <row r="643" ht="19.5" customHeight="1">
      <c r="A643" s="12"/>
      <c r="C643" s="12"/>
      <c r="D643" s="13"/>
      <c r="F643" s="14"/>
      <c r="G643" s="14"/>
      <c r="H643" s="14"/>
      <c r="I643" s="14"/>
      <c r="J643" s="14"/>
      <c r="K643" s="12"/>
    </row>
    <row r="644" ht="19.5" customHeight="1">
      <c r="A644" s="12"/>
      <c r="C644" s="12"/>
      <c r="D644" s="13"/>
      <c r="F644" s="14"/>
      <c r="G644" s="14"/>
      <c r="H644" s="14"/>
      <c r="I644" s="14"/>
      <c r="J644" s="14"/>
      <c r="K644" s="12"/>
    </row>
    <row r="645" ht="19.5" customHeight="1">
      <c r="A645" s="12"/>
      <c r="C645" s="12"/>
      <c r="D645" s="13"/>
      <c r="F645" s="14"/>
      <c r="G645" s="14"/>
      <c r="H645" s="14"/>
      <c r="I645" s="14"/>
      <c r="J645" s="14"/>
      <c r="K645" s="12"/>
    </row>
    <row r="646" ht="19.5" customHeight="1">
      <c r="A646" s="12"/>
      <c r="C646" s="12"/>
      <c r="D646" s="13"/>
      <c r="F646" s="14"/>
      <c r="G646" s="14"/>
      <c r="H646" s="14"/>
      <c r="I646" s="14"/>
      <c r="J646" s="14"/>
      <c r="K646" s="12"/>
    </row>
    <row r="647" ht="19.5" customHeight="1">
      <c r="A647" s="12"/>
      <c r="C647" s="12"/>
      <c r="D647" s="13"/>
      <c r="F647" s="14"/>
      <c r="G647" s="14"/>
      <c r="H647" s="14"/>
      <c r="I647" s="14"/>
      <c r="J647" s="14"/>
      <c r="K647" s="12"/>
    </row>
    <row r="648" ht="19.5" customHeight="1">
      <c r="A648" s="12"/>
      <c r="C648" s="12"/>
      <c r="D648" s="13"/>
      <c r="F648" s="14"/>
      <c r="G648" s="14"/>
      <c r="H648" s="14"/>
      <c r="I648" s="14"/>
      <c r="J648" s="14"/>
      <c r="K648" s="12"/>
    </row>
    <row r="649" ht="19.5" customHeight="1">
      <c r="A649" s="12"/>
      <c r="C649" s="12"/>
      <c r="D649" s="13"/>
      <c r="F649" s="14"/>
      <c r="G649" s="14"/>
      <c r="H649" s="14"/>
      <c r="I649" s="14"/>
      <c r="J649" s="14"/>
      <c r="K649" s="12"/>
    </row>
    <row r="650" ht="19.5" customHeight="1">
      <c r="A650" s="12"/>
      <c r="C650" s="12"/>
      <c r="D650" s="13"/>
      <c r="F650" s="14"/>
      <c r="G650" s="14"/>
      <c r="H650" s="14"/>
      <c r="I650" s="14"/>
      <c r="J650" s="14"/>
      <c r="K650" s="12"/>
    </row>
    <row r="651" ht="19.5" customHeight="1">
      <c r="A651" s="12"/>
      <c r="C651" s="12"/>
      <c r="D651" s="13"/>
      <c r="F651" s="14"/>
      <c r="G651" s="14"/>
      <c r="H651" s="14"/>
      <c r="I651" s="14"/>
      <c r="J651" s="14"/>
      <c r="K651" s="12"/>
    </row>
    <row r="652" ht="19.5" customHeight="1">
      <c r="A652" s="12"/>
      <c r="C652" s="12"/>
      <c r="D652" s="13"/>
      <c r="F652" s="14"/>
      <c r="G652" s="14"/>
      <c r="H652" s="14"/>
      <c r="I652" s="14"/>
      <c r="J652" s="14"/>
      <c r="K652" s="12"/>
    </row>
    <row r="653" ht="19.5" customHeight="1">
      <c r="A653" s="12"/>
      <c r="C653" s="12"/>
      <c r="D653" s="13"/>
      <c r="F653" s="14"/>
      <c r="G653" s="14"/>
      <c r="H653" s="14"/>
      <c r="I653" s="14"/>
      <c r="J653" s="14"/>
      <c r="K653" s="12"/>
    </row>
    <row r="654" ht="19.5" customHeight="1">
      <c r="A654" s="12"/>
      <c r="C654" s="12"/>
      <c r="D654" s="13"/>
      <c r="F654" s="14"/>
      <c r="G654" s="14"/>
      <c r="H654" s="14"/>
      <c r="I654" s="14"/>
      <c r="J654" s="14"/>
      <c r="K654" s="12"/>
    </row>
    <row r="655" ht="19.5" customHeight="1">
      <c r="A655" s="12"/>
      <c r="C655" s="12"/>
      <c r="D655" s="13"/>
      <c r="F655" s="14"/>
      <c r="G655" s="14"/>
      <c r="H655" s="14"/>
      <c r="I655" s="14"/>
      <c r="J655" s="14"/>
      <c r="K655" s="12"/>
    </row>
    <row r="656" ht="19.5" customHeight="1">
      <c r="A656" s="12"/>
      <c r="C656" s="12"/>
      <c r="D656" s="13"/>
      <c r="F656" s="14"/>
      <c r="G656" s="14"/>
      <c r="H656" s="14"/>
      <c r="I656" s="14"/>
      <c r="J656" s="14"/>
      <c r="K656" s="12"/>
    </row>
    <row r="657" ht="19.5" customHeight="1">
      <c r="A657" s="12"/>
      <c r="C657" s="12"/>
      <c r="D657" s="13"/>
      <c r="F657" s="14"/>
      <c r="G657" s="14"/>
      <c r="H657" s="14"/>
      <c r="I657" s="14"/>
      <c r="J657" s="14"/>
      <c r="K657" s="12"/>
    </row>
    <row r="658" ht="19.5" customHeight="1">
      <c r="A658" s="12"/>
      <c r="C658" s="12"/>
      <c r="D658" s="13"/>
      <c r="F658" s="14"/>
      <c r="G658" s="14"/>
      <c r="H658" s="14"/>
      <c r="I658" s="14"/>
      <c r="J658" s="14"/>
      <c r="K658" s="12"/>
    </row>
    <row r="659" ht="19.5" customHeight="1">
      <c r="A659" s="12"/>
      <c r="C659" s="12"/>
      <c r="D659" s="13"/>
      <c r="F659" s="14"/>
      <c r="G659" s="14"/>
      <c r="H659" s="14"/>
      <c r="I659" s="14"/>
      <c r="J659" s="14"/>
      <c r="K659" s="12"/>
    </row>
    <row r="660" ht="19.5" customHeight="1">
      <c r="A660" s="12"/>
      <c r="C660" s="12"/>
      <c r="D660" s="13"/>
      <c r="F660" s="14"/>
      <c r="G660" s="14"/>
      <c r="H660" s="14"/>
      <c r="I660" s="14"/>
      <c r="J660" s="14"/>
      <c r="K660" s="12"/>
    </row>
    <row r="661" ht="19.5" customHeight="1">
      <c r="A661" s="12"/>
      <c r="C661" s="12"/>
      <c r="D661" s="13"/>
      <c r="F661" s="14"/>
      <c r="G661" s="14"/>
      <c r="H661" s="14"/>
      <c r="I661" s="14"/>
      <c r="J661" s="14"/>
      <c r="K661" s="12"/>
    </row>
    <row r="662" ht="19.5" customHeight="1">
      <c r="A662" s="12"/>
      <c r="C662" s="12"/>
      <c r="D662" s="13"/>
      <c r="F662" s="14"/>
      <c r="G662" s="14"/>
      <c r="H662" s="14"/>
      <c r="I662" s="14"/>
      <c r="J662" s="14"/>
      <c r="K662" s="12"/>
    </row>
    <row r="663" ht="19.5" customHeight="1">
      <c r="A663" s="12"/>
      <c r="C663" s="12"/>
      <c r="D663" s="13"/>
      <c r="F663" s="14"/>
      <c r="G663" s="14"/>
      <c r="H663" s="14"/>
      <c r="I663" s="14"/>
      <c r="J663" s="14"/>
      <c r="K663" s="12"/>
    </row>
    <row r="664" ht="19.5" customHeight="1">
      <c r="A664" s="12"/>
      <c r="C664" s="12"/>
      <c r="D664" s="13"/>
      <c r="F664" s="14"/>
      <c r="G664" s="14"/>
      <c r="H664" s="14"/>
      <c r="I664" s="14"/>
      <c r="J664" s="14"/>
      <c r="K664" s="12"/>
    </row>
    <row r="665" ht="19.5" customHeight="1">
      <c r="A665" s="12"/>
      <c r="C665" s="12"/>
      <c r="D665" s="13"/>
      <c r="F665" s="14"/>
      <c r="G665" s="14"/>
      <c r="H665" s="14"/>
      <c r="I665" s="14"/>
      <c r="J665" s="14"/>
      <c r="K665" s="12"/>
    </row>
    <row r="666" ht="19.5" customHeight="1">
      <c r="A666" s="12"/>
      <c r="C666" s="12"/>
      <c r="D666" s="13"/>
      <c r="F666" s="14"/>
      <c r="G666" s="14"/>
      <c r="H666" s="14"/>
      <c r="I666" s="14"/>
      <c r="J666" s="14"/>
      <c r="K666" s="12"/>
    </row>
    <row r="667" ht="19.5" customHeight="1">
      <c r="A667" s="12"/>
      <c r="C667" s="12"/>
      <c r="D667" s="13"/>
      <c r="F667" s="14"/>
      <c r="G667" s="14"/>
      <c r="H667" s="14"/>
      <c r="I667" s="14"/>
      <c r="J667" s="14"/>
      <c r="K667" s="12"/>
    </row>
    <row r="668" ht="19.5" customHeight="1">
      <c r="A668" s="12"/>
      <c r="C668" s="12"/>
      <c r="D668" s="13"/>
      <c r="F668" s="14"/>
      <c r="G668" s="14"/>
      <c r="H668" s="14"/>
      <c r="I668" s="14"/>
      <c r="J668" s="14"/>
      <c r="K668" s="12"/>
    </row>
    <row r="669" ht="19.5" customHeight="1">
      <c r="A669" s="12"/>
      <c r="C669" s="12"/>
      <c r="D669" s="13"/>
      <c r="F669" s="14"/>
      <c r="G669" s="14"/>
      <c r="H669" s="14"/>
      <c r="I669" s="14"/>
      <c r="J669" s="14"/>
      <c r="K669" s="12"/>
    </row>
    <row r="670" ht="19.5" customHeight="1">
      <c r="A670" s="12"/>
      <c r="C670" s="12"/>
      <c r="D670" s="13"/>
      <c r="F670" s="14"/>
      <c r="G670" s="14"/>
      <c r="H670" s="14"/>
      <c r="I670" s="14"/>
      <c r="J670" s="14"/>
      <c r="K670" s="12"/>
    </row>
    <row r="671" ht="19.5" customHeight="1">
      <c r="A671" s="12"/>
      <c r="C671" s="12"/>
      <c r="D671" s="13"/>
      <c r="F671" s="14"/>
      <c r="G671" s="14"/>
      <c r="H671" s="14"/>
      <c r="I671" s="14"/>
      <c r="J671" s="14"/>
      <c r="K671" s="12"/>
    </row>
    <row r="672" ht="19.5" customHeight="1">
      <c r="A672" s="12"/>
      <c r="C672" s="12"/>
      <c r="D672" s="13"/>
      <c r="F672" s="14"/>
      <c r="G672" s="14"/>
      <c r="H672" s="14"/>
      <c r="I672" s="14"/>
      <c r="J672" s="14"/>
      <c r="K672" s="12"/>
    </row>
    <row r="673" ht="19.5" customHeight="1">
      <c r="A673" s="12"/>
      <c r="C673" s="12"/>
      <c r="D673" s="13"/>
      <c r="F673" s="14"/>
      <c r="G673" s="14"/>
      <c r="H673" s="14"/>
      <c r="I673" s="14"/>
      <c r="J673" s="14"/>
      <c r="K673" s="12"/>
    </row>
    <row r="674" ht="19.5" customHeight="1">
      <c r="A674" s="12"/>
      <c r="C674" s="12"/>
      <c r="D674" s="13"/>
      <c r="F674" s="14"/>
      <c r="G674" s="14"/>
      <c r="H674" s="14"/>
      <c r="I674" s="14"/>
      <c r="J674" s="14"/>
      <c r="K674" s="12"/>
    </row>
    <row r="675" ht="19.5" customHeight="1">
      <c r="A675" s="12"/>
      <c r="C675" s="12"/>
      <c r="D675" s="13"/>
      <c r="F675" s="14"/>
      <c r="G675" s="14"/>
      <c r="H675" s="14"/>
      <c r="I675" s="14"/>
      <c r="J675" s="14"/>
      <c r="K675" s="12"/>
    </row>
    <row r="676" ht="19.5" customHeight="1">
      <c r="A676" s="12"/>
      <c r="C676" s="12"/>
      <c r="D676" s="13"/>
      <c r="F676" s="14"/>
      <c r="G676" s="14"/>
      <c r="H676" s="14"/>
      <c r="I676" s="14"/>
      <c r="J676" s="14"/>
      <c r="K676" s="12"/>
    </row>
    <row r="677" ht="19.5" customHeight="1">
      <c r="A677" s="12"/>
      <c r="C677" s="12"/>
      <c r="D677" s="13"/>
      <c r="F677" s="14"/>
      <c r="G677" s="14"/>
      <c r="H677" s="14"/>
      <c r="I677" s="14"/>
      <c r="J677" s="14"/>
      <c r="K677" s="12"/>
    </row>
    <row r="678" ht="19.5" customHeight="1">
      <c r="A678" s="12"/>
      <c r="C678" s="12"/>
      <c r="D678" s="13"/>
      <c r="F678" s="14"/>
      <c r="G678" s="14"/>
      <c r="H678" s="14"/>
      <c r="I678" s="14"/>
      <c r="J678" s="14"/>
      <c r="K678" s="12"/>
    </row>
    <row r="679" ht="19.5" customHeight="1">
      <c r="A679" s="12"/>
      <c r="C679" s="12"/>
      <c r="D679" s="13"/>
      <c r="F679" s="14"/>
      <c r="G679" s="14"/>
      <c r="H679" s="14"/>
      <c r="I679" s="14"/>
      <c r="J679" s="14"/>
      <c r="K679" s="12"/>
    </row>
    <row r="680" ht="19.5" customHeight="1">
      <c r="A680" s="12"/>
      <c r="C680" s="12"/>
      <c r="D680" s="13"/>
      <c r="F680" s="14"/>
      <c r="G680" s="14"/>
      <c r="H680" s="14"/>
      <c r="I680" s="14"/>
      <c r="J680" s="14"/>
      <c r="K680" s="12"/>
    </row>
    <row r="681" ht="19.5" customHeight="1">
      <c r="A681" s="12"/>
      <c r="C681" s="12"/>
      <c r="D681" s="13"/>
      <c r="F681" s="14"/>
      <c r="G681" s="14"/>
      <c r="H681" s="14"/>
      <c r="I681" s="14"/>
      <c r="J681" s="14"/>
      <c r="K681" s="12"/>
    </row>
    <row r="682" ht="19.5" customHeight="1">
      <c r="A682" s="12"/>
      <c r="C682" s="12"/>
      <c r="D682" s="13"/>
      <c r="F682" s="14"/>
      <c r="G682" s="14"/>
      <c r="H682" s="14"/>
      <c r="I682" s="14"/>
      <c r="J682" s="14"/>
      <c r="K682" s="12"/>
    </row>
    <row r="683" ht="19.5" customHeight="1">
      <c r="A683" s="12"/>
      <c r="C683" s="12"/>
      <c r="D683" s="13"/>
      <c r="F683" s="14"/>
      <c r="G683" s="14"/>
      <c r="H683" s="14"/>
      <c r="I683" s="14"/>
      <c r="J683" s="14"/>
      <c r="K683" s="12"/>
    </row>
    <row r="684" ht="19.5" customHeight="1">
      <c r="A684" s="12"/>
      <c r="C684" s="12"/>
      <c r="D684" s="13"/>
      <c r="F684" s="14"/>
      <c r="G684" s="14"/>
      <c r="H684" s="14"/>
      <c r="I684" s="14"/>
      <c r="J684" s="14"/>
      <c r="K684" s="12"/>
    </row>
    <row r="685" ht="19.5" customHeight="1">
      <c r="A685" s="12"/>
      <c r="C685" s="12"/>
      <c r="D685" s="13"/>
      <c r="F685" s="14"/>
      <c r="G685" s="14"/>
      <c r="H685" s="14"/>
      <c r="I685" s="14"/>
      <c r="J685" s="14"/>
      <c r="K685" s="12"/>
    </row>
    <row r="686" ht="19.5" customHeight="1">
      <c r="A686" s="12"/>
      <c r="C686" s="12"/>
      <c r="D686" s="13"/>
      <c r="F686" s="14"/>
      <c r="G686" s="14"/>
      <c r="H686" s="14"/>
      <c r="I686" s="14"/>
      <c r="J686" s="14"/>
      <c r="K686" s="12"/>
    </row>
    <row r="687" ht="19.5" customHeight="1">
      <c r="A687" s="12"/>
      <c r="C687" s="12"/>
      <c r="D687" s="13"/>
      <c r="F687" s="14"/>
      <c r="G687" s="14"/>
      <c r="H687" s="14"/>
      <c r="I687" s="14"/>
      <c r="J687" s="14"/>
      <c r="K687" s="12"/>
    </row>
    <row r="688" ht="19.5" customHeight="1">
      <c r="A688" s="12"/>
      <c r="C688" s="12"/>
      <c r="D688" s="13"/>
      <c r="F688" s="14"/>
      <c r="G688" s="14"/>
      <c r="H688" s="14"/>
      <c r="I688" s="14"/>
      <c r="J688" s="14"/>
      <c r="K688" s="12"/>
    </row>
    <row r="689" ht="19.5" customHeight="1">
      <c r="A689" s="12"/>
      <c r="C689" s="12"/>
      <c r="D689" s="13"/>
      <c r="F689" s="14"/>
      <c r="G689" s="14"/>
      <c r="H689" s="14"/>
      <c r="I689" s="14"/>
      <c r="J689" s="14"/>
      <c r="K689" s="12"/>
    </row>
    <row r="690" ht="19.5" customHeight="1">
      <c r="A690" s="12"/>
      <c r="C690" s="12"/>
      <c r="D690" s="13"/>
      <c r="F690" s="14"/>
      <c r="G690" s="14"/>
      <c r="H690" s="14"/>
      <c r="I690" s="14"/>
      <c r="J690" s="14"/>
      <c r="K690" s="12"/>
    </row>
    <row r="691" ht="19.5" customHeight="1">
      <c r="A691" s="12"/>
      <c r="C691" s="12"/>
      <c r="D691" s="13"/>
      <c r="F691" s="14"/>
      <c r="G691" s="14"/>
      <c r="H691" s="14"/>
      <c r="I691" s="14"/>
      <c r="J691" s="14"/>
      <c r="K691" s="12"/>
    </row>
    <row r="692" ht="19.5" customHeight="1">
      <c r="A692" s="12"/>
      <c r="C692" s="12"/>
      <c r="D692" s="13"/>
      <c r="F692" s="14"/>
      <c r="G692" s="14"/>
      <c r="H692" s="14"/>
      <c r="I692" s="14"/>
      <c r="J692" s="14"/>
      <c r="K692" s="12"/>
    </row>
    <row r="693" ht="19.5" customHeight="1">
      <c r="A693" s="12"/>
      <c r="C693" s="12"/>
      <c r="D693" s="13"/>
      <c r="F693" s="14"/>
      <c r="G693" s="14"/>
      <c r="H693" s="14"/>
      <c r="I693" s="14"/>
      <c r="J693" s="14"/>
      <c r="K693" s="12"/>
    </row>
    <row r="694" ht="19.5" customHeight="1">
      <c r="A694" s="12"/>
      <c r="C694" s="12"/>
      <c r="D694" s="13"/>
      <c r="F694" s="14"/>
      <c r="G694" s="14"/>
      <c r="H694" s="14"/>
      <c r="I694" s="14"/>
      <c r="J694" s="14"/>
      <c r="K694" s="12"/>
    </row>
    <row r="695" ht="19.5" customHeight="1">
      <c r="A695" s="12"/>
      <c r="C695" s="12"/>
      <c r="D695" s="13"/>
      <c r="F695" s="14"/>
      <c r="G695" s="14"/>
      <c r="H695" s="14"/>
      <c r="I695" s="14"/>
      <c r="J695" s="14"/>
      <c r="K695" s="12"/>
    </row>
    <row r="696" ht="19.5" customHeight="1">
      <c r="A696" s="12"/>
      <c r="C696" s="12"/>
      <c r="D696" s="13"/>
      <c r="F696" s="14"/>
      <c r="G696" s="14"/>
      <c r="H696" s="14"/>
      <c r="I696" s="14"/>
      <c r="J696" s="14"/>
      <c r="K696" s="12"/>
    </row>
    <row r="697" ht="19.5" customHeight="1">
      <c r="A697" s="12"/>
      <c r="C697" s="12"/>
      <c r="D697" s="13"/>
      <c r="F697" s="14"/>
      <c r="G697" s="14"/>
      <c r="H697" s="14"/>
      <c r="I697" s="14"/>
      <c r="J697" s="14"/>
      <c r="K697" s="12"/>
    </row>
    <row r="698" ht="19.5" customHeight="1">
      <c r="A698" s="12"/>
      <c r="C698" s="12"/>
      <c r="D698" s="13"/>
      <c r="F698" s="14"/>
      <c r="G698" s="14"/>
      <c r="H698" s="14"/>
      <c r="I698" s="14"/>
      <c r="J698" s="14"/>
      <c r="K698" s="12"/>
    </row>
    <row r="699" ht="19.5" customHeight="1">
      <c r="A699" s="12"/>
      <c r="C699" s="12"/>
      <c r="D699" s="13"/>
      <c r="F699" s="14"/>
      <c r="G699" s="14"/>
      <c r="H699" s="14"/>
      <c r="I699" s="14"/>
      <c r="J699" s="14"/>
      <c r="K699" s="12"/>
    </row>
    <row r="700" ht="19.5" customHeight="1">
      <c r="A700" s="12"/>
      <c r="C700" s="12"/>
      <c r="D700" s="13"/>
      <c r="F700" s="14"/>
      <c r="G700" s="14"/>
      <c r="H700" s="14"/>
      <c r="I700" s="14"/>
      <c r="J700" s="14"/>
      <c r="K700" s="12"/>
    </row>
    <row r="701" ht="19.5" customHeight="1">
      <c r="A701" s="12"/>
      <c r="C701" s="12"/>
      <c r="D701" s="13"/>
      <c r="F701" s="14"/>
      <c r="G701" s="14"/>
      <c r="H701" s="14"/>
      <c r="I701" s="14"/>
      <c r="J701" s="14"/>
      <c r="K701" s="12"/>
    </row>
    <row r="702" ht="19.5" customHeight="1">
      <c r="A702" s="12"/>
      <c r="C702" s="12"/>
      <c r="D702" s="13"/>
      <c r="F702" s="14"/>
      <c r="G702" s="14"/>
      <c r="H702" s="14"/>
      <c r="I702" s="14"/>
      <c r="J702" s="14"/>
      <c r="K702" s="12"/>
    </row>
    <row r="703" ht="19.5" customHeight="1">
      <c r="A703" s="12"/>
      <c r="C703" s="12"/>
      <c r="D703" s="13"/>
      <c r="F703" s="14"/>
      <c r="G703" s="14"/>
      <c r="H703" s="14"/>
      <c r="I703" s="14"/>
      <c r="J703" s="14"/>
      <c r="K703" s="12"/>
    </row>
    <row r="704" ht="19.5" customHeight="1">
      <c r="A704" s="12"/>
      <c r="C704" s="12"/>
      <c r="D704" s="13"/>
      <c r="F704" s="14"/>
      <c r="G704" s="14"/>
      <c r="H704" s="14"/>
      <c r="I704" s="14"/>
      <c r="J704" s="14"/>
      <c r="K704" s="12"/>
    </row>
    <row r="705" ht="19.5" customHeight="1">
      <c r="A705" s="12"/>
      <c r="C705" s="12"/>
      <c r="D705" s="13"/>
      <c r="F705" s="14"/>
      <c r="G705" s="14"/>
      <c r="H705" s="14"/>
      <c r="I705" s="14"/>
      <c r="J705" s="14"/>
      <c r="K705" s="12"/>
    </row>
    <row r="706" ht="19.5" customHeight="1">
      <c r="A706" s="12"/>
      <c r="C706" s="12"/>
      <c r="D706" s="13"/>
      <c r="F706" s="14"/>
      <c r="G706" s="14"/>
      <c r="H706" s="14"/>
      <c r="I706" s="14"/>
      <c r="J706" s="14"/>
      <c r="K706" s="12"/>
    </row>
    <row r="707" ht="19.5" customHeight="1">
      <c r="A707" s="12"/>
      <c r="C707" s="12"/>
      <c r="D707" s="13"/>
      <c r="F707" s="14"/>
      <c r="G707" s="14"/>
      <c r="H707" s="14"/>
      <c r="I707" s="14"/>
      <c r="J707" s="14"/>
      <c r="K707" s="12"/>
    </row>
    <row r="708" ht="19.5" customHeight="1">
      <c r="A708" s="12"/>
      <c r="C708" s="12"/>
      <c r="D708" s="13"/>
      <c r="F708" s="14"/>
      <c r="G708" s="14"/>
      <c r="H708" s="14"/>
      <c r="I708" s="14"/>
      <c r="J708" s="14"/>
      <c r="K708" s="12"/>
    </row>
    <row r="709" ht="19.5" customHeight="1">
      <c r="A709" s="12"/>
      <c r="C709" s="12"/>
      <c r="D709" s="13"/>
      <c r="F709" s="14"/>
      <c r="G709" s="14"/>
      <c r="H709" s="14"/>
      <c r="I709" s="14"/>
      <c r="J709" s="14"/>
      <c r="K709" s="12"/>
    </row>
    <row r="710" ht="19.5" customHeight="1">
      <c r="A710" s="12"/>
      <c r="C710" s="12"/>
      <c r="D710" s="13"/>
      <c r="F710" s="14"/>
      <c r="G710" s="14"/>
      <c r="H710" s="14"/>
      <c r="I710" s="14"/>
      <c r="J710" s="14"/>
      <c r="K710" s="12"/>
    </row>
    <row r="711" ht="19.5" customHeight="1">
      <c r="A711" s="12"/>
      <c r="C711" s="12"/>
      <c r="D711" s="13"/>
      <c r="F711" s="14"/>
      <c r="G711" s="14"/>
      <c r="H711" s="14"/>
      <c r="I711" s="14"/>
      <c r="J711" s="14"/>
      <c r="K711" s="12"/>
    </row>
    <row r="712" ht="19.5" customHeight="1">
      <c r="A712" s="12"/>
      <c r="C712" s="12"/>
      <c r="D712" s="13"/>
      <c r="F712" s="14"/>
      <c r="G712" s="14"/>
      <c r="H712" s="14"/>
      <c r="I712" s="14"/>
      <c r="J712" s="14"/>
      <c r="K712" s="12"/>
    </row>
    <row r="713" ht="19.5" customHeight="1">
      <c r="A713" s="12"/>
      <c r="C713" s="12"/>
      <c r="D713" s="13"/>
      <c r="F713" s="14"/>
      <c r="G713" s="14"/>
      <c r="H713" s="14"/>
      <c r="I713" s="14"/>
      <c r="J713" s="14"/>
      <c r="K713" s="12"/>
    </row>
    <row r="714" ht="19.5" customHeight="1">
      <c r="A714" s="12"/>
      <c r="C714" s="12"/>
      <c r="D714" s="13"/>
      <c r="F714" s="14"/>
      <c r="G714" s="14"/>
      <c r="H714" s="14"/>
      <c r="I714" s="14"/>
      <c r="J714" s="14"/>
      <c r="K714" s="12"/>
    </row>
    <row r="715" ht="19.5" customHeight="1">
      <c r="A715" s="12"/>
      <c r="C715" s="12"/>
      <c r="D715" s="13"/>
      <c r="F715" s="14"/>
      <c r="G715" s="14"/>
      <c r="H715" s="14"/>
      <c r="I715" s="14"/>
      <c r="J715" s="14"/>
      <c r="K715" s="12"/>
    </row>
    <row r="716" ht="19.5" customHeight="1">
      <c r="A716" s="12"/>
      <c r="C716" s="12"/>
      <c r="D716" s="13"/>
      <c r="F716" s="14"/>
      <c r="G716" s="14"/>
      <c r="H716" s="14"/>
      <c r="I716" s="14"/>
      <c r="J716" s="14"/>
      <c r="K716" s="12"/>
    </row>
    <row r="717" ht="19.5" customHeight="1">
      <c r="A717" s="12"/>
      <c r="C717" s="12"/>
      <c r="D717" s="13"/>
      <c r="F717" s="14"/>
      <c r="G717" s="14"/>
      <c r="H717" s="14"/>
      <c r="I717" s="14"/>
      <c r="J717" s="14"/>
      <c r="K717" s="12"/>
    </row>
    <row r="718" ht="19.5" customHeight="1">
      <c r="A718" s="12"/>
      <c r="C718" s="12"/>
      <c r="D718" s="13"/>
      <c r="F718" s="14"/>
      <c r="G718" s="14"/>
      <c r="H718" s="14"/>
      <c r="I718" s="14"/>
      <c r="J718" s="14"/>
      <c r="K718" s="12"/>
    </row>
    <row r="719" ht="19.5" customHeight="1">
      <c r="A719" s="12"/>
      <c r="C719" s="12"/>
      <c r="D719" s="13"/>
      <c r="F719" s="14"/>
      <c r="G719" s="14"/>
      <c r="H719" s="14"/>
      <c r="I719" s="14"/>
      <c r="J719" s="14"/>
      <c r="K719" s="12"/>
    </row>
    <row r="720" ht="19.5" customHeight="1">
      <c r="A720" s="12"/>
      <c r="C720" s="12"/>
      <c r="D720" s="13"/>
      <c r="F720" s="14"/>
      <c r="G720" s="14"/>
      <c r="H720" s="14"/>
      <c r="I720" s="14"/>
      <c r="J720" s="14"/>
      <c r="K720" s="12"/>
    </row>
    <row r="721" ht="19.5" customHeight="1">
      <c r="A721" s="12"/>
      <c r="C721" s="12"/>
      <c r="D721" s="13"/>
      <c r="F721" s="14"/>
      <c r="G721" s="14"/>
      <c r="H721" s="14"/>
      <c r="I721" s="14"/>
      <c r="J721" s="14"/>
      <c r="K721" s="12"/>
    </row>
    <row r="722" ht="19.5" customHeight="1">
      <c r="A722" s="12"/>
      <c r="C722" s="12"/>
      <c r="D722" s="13"/>
      <c r="F722" s="14"/>
      <c r="G722" s="14"/>
      <c r="H722" s="14"/>
      <c r="I722" s="14"/>
      <c r="J722" s="14"/>
      <c r="K722" s="12"/>
    </row>
    <row r="723" ht="19.5" customHeight="1">
      <c r="A723" s="12"/>
      <c r="C723" s="12"/>
      <c r="D723" s="13"/>
      <c r="F723" s="14"/>
      <c r="G723" s="14"/>
      <c r="H723" s="14"/>
      <c r="I723" s="14"/>
      <c r="J723" s="14"/>
      <c r="K723" s="12"/>
    </row>
    <row r="724" ht="19.5" customHeight="1">
      <c r="A724" s="12"/>
      <c r="C724" s="12"/>
      <c r="D724" s="13"/>
      <c r="F724" s="14"/>
      <c r="G724" s="14"/>
      <c r="H724" s="14"/>
      <c r="I724" s="14"/>
      <c r="J724" s="14"/>
      <c r="K724" s="12"/>
    </row>
    <row r="725" ht="19.5" customHeight="1">
      <c r="A725" s="12"/>
      <c r="C725" s="12"/>
      <c r="D725" s="13"/>
      <c r="F725" s="14"/>
      <c r="G725" s="14"/>
      <c r="H725" s="14"/>
      <c r="I725" s="14"/>
      <c r="J725" s="14"/>
      <c r="K725" s="12"/>
    </row>
    <row r="726" ht="19.5" customHeight="1">
      <c r="A726" s="12"/>
      <c r="C726" s="12"/>
      <c r="D726" s="13"/>
      <c r="F726" s="14"/>
      <c r="G726" s="14"/>
      <c r="H726" s="14"/>
      <c r="I726" s="14"/>
      <c r="J726" s="14"/>
      <c r="K726" s="12"/>
    </row>
    <row r="727" ht="19.5" customHeight="1">
      <c r="A727" s="12"/>
      <c r="C727" s="12"/>
      <c r="D727" s="13"/>
      <c r="F727" s="14"/>
      <c r="G727" s="14"/>
      <c r="H727" s="14"/>
      <c r="I727" s="14"/>
      <c r="J727" s="14"/>
      <c r="K727" s="12"/>
    </row>
    <row r="728" ht="19.5" customHeight="1">
      <c r="A728" s="12"/>
      <c r="C728" s="12"/>
      <c r="D728" s="13"/>
      <c r="F728" s="14"/>
      <c r="G728" s="14"/>
      <c r="H728" s="14"/>
      <c r="I728" s="14"/>
      <c r="J728" s="14"/>
      <c r="K728" s="12"/>
    </row>
    <row r="729" ht="19.5" customHeight="1">
      <c r="A729" s="12"/>
      <c r="C729" s="12"/>
      <c r="D729" s="13"/>
      <c r="F729" s="14"/>
      <c r="G729" s="14"/>
      <c r="H729" s="14"/>
      <c r="I729" s="14"/>
      <c r="J729" s="14"/>
      <c r="K729" s="12"/>
    </row>
    <row r="730" ht="19.5" customHeight="1">
      <c r="A730" s="12"/>
      <c r="C730" s="12"/>
      <c r="D730" s="13"/>
      <c r="F730" s="14"/>
      <c r="G730" s="14"/>
      <c r="H730" s="14"/>
      <c r="I730" s="14"/>
      <c r="J730" s="14"/>
      <c r="K730" s="12"/>
    </row>
    <row r="731" ht="19.5" customHeight="1">
      <c r="A731" s="12"/>
      <c r="C731" s="12"/>
      <c r="D731" s="13"/>
      <c r="F731" s="14"/>
      <c r="G731" s="14"/>
      <c r="H731" s="14"/>
      <c r="I731" s="14"/>
      <c r="J731" s="14"/>
      <c r="K731" s="12"/>
    </row>
    <row r="732" ht="19.5" customHeight="1">
      <c r="A732" s="12"/>
      <c r="C732" s="12"/>
      <c r="D732" s="13"/>
      <c r="F732" s="14"/>
      <c r="G732" s="14"/>
      <c r="H732" s="14"/>
      <c r="I732" s="14"/>
      <c r="J732" s="14"/>
      <c r="K732" s="12"/>
    </row>
    <row r="733" ht="19.5" customHeight="1">
      <c r="A733" s="12"/>
      <c r="C733" s="12"/>
      <c r="D733" s="13"/>
      <c r="F733" s="14"/>
      <c r="G733" s="14"/>
      <c r="H733" s="14"/>
      <c r="I733" s="14"/>
      <c r="J733" s="14"/>
      <c r="K733" s="12"/>
    </row>
    <row r="734" ht="19.5" customHeight="1">
      <c r="A734" s="12"/>
      <c r="C734" s="12"/>
      <c r="D734" s="13"/>
      <c r="F734" s="14"/>
      <c r="G734" s="14"/>
      <c r="H734" s="14"/>
      <c r="I734" s="14"/>
      <c r="J734" s="14"/>
      <c r="K734" s="12"/>
    </row>
    <row r="735" ht="19.5" customHeight="1">
      <c r="A735" s="12"/>
      <c r="C735" s="12"/>
      <c r="D735" s="13"/>
      <c r="F735" s="14"/>
      <c r="G735" s="14"/>
      <c r="H735" s="14"/>
      <c r="I735" s="14"/>
      <c r="J735" s="14"/>
      <c r="K735" s="12"/>
    </row>
    <row r="736" ht="19.5" customHeight="1">
      <c r="A736" s="12"/>
      <c r="C736" s="12"/>
      <c r="D736" s="13"/>
      <c r="F736" s="14"/>
      <c r="G736" s="14"/>
      <c r="H736" s="14"/>
      <c r="I736" s="14"/>
      <c r="J736" s="14"/>
      <c r="K736" s="12"/>
    </row>
    <row r="737" ht="19.5" customHeight="1">
      <c r="A737" s="12"/>
      <c r="C737" s="12"/>
      <c r="D737" s="13"/>
      <c r="F737" s="14"/>
      <c r="G737" s="14"/>
      <c r="H737" s="14"/>
      <c r="I737" s="14"/>
      <c r="J737" s="14"/>
      <c r="K737" s="12"/>
    </row>
    <row r="738" ht="19.5" customHeight="1">
      <c r="A738" s="12"/>
      <c r="C738" s="12"/>
      <c r="D738" s="13"/>
      <c r="F738" s="14"/>
      <c r="G738" s="14"/>
      <c r="H738" s="14"/>
      <c r="I738" s="14"/>
      <c r="J738" s="14"/>
      <c r="K738" s="12"/>
    </row>
    <row r="739" ht="19.5" customHeight="1">
      <c r="A739" s="12"/>
      <c r="C739" s="12"/>
      <c r="D739" s="13"/>
      <c r="F739" s="14"/>
      <c r="G739" s="14"/>
      <c r="H739" s="14"/>
      <c r="I739" s="14"/>
      <c r="J739" s="14"/>
      <c r="K739" s="12"/>
    </row>
    <row r="740" ht="19.5" customHeight="1">
      <c r="A740" s="12"/>
      <c r="C740" s="12"/>
      <c r="D740" s="13"/>
      <c r="F740" s="14"/>
      <c r="G740" s="14"/>
      <c r="H740" s="14"/>
      <c r="I740" s="14"/>
      <c r="J740" s="14"/>
      <c r="K740" s="12"/>
    </row>
    <row r="741" ht="19.5" customHeight="1">
      <c r="A741" s="12"/>
      <c r="C741" s="12"/>
      <c r="D741" s="13"/>
      <c r="F741" s="14"/>
      <c r="G741" s="14"/>
      <c r="H741" s="14"/>
      <c r="I741" s="14"/>
      <c r="J741" s="14"/>
      <c r="K741" s="12"/>
    </row>
    <row r="742" ht="19.5" customHeight="1">
      <c r="A742" s="12"/>
      <c r="C742" s="12"/>
      <c r="D742" s="13"/>
      <c r="F742" s="14"/>
      <c r="G742" s="14"/>
      <c r="H742" s="14"/>
      <c r="I742" s="14"/>
      <c r="J742" s="14"/>
      <c r="K742" s="12"/>
    </row>
    <row r="743" ht="19.5" customHeight="1">
      <c r="A743" s="12"/>
      <c r="C743" s="12"/>
      <c r="D743" s="13"/>
      <c r="F743" s="14"/>
      <c r="G743" s="14"/>
      <c r="H743" s="14"/>
      <c r="I743" s="14"/>
      <c r="J743" s="14"/>
      <c r="K743" s="12"/>
    </row>
    <row r="744" ht="19.5" customHeight="1">
      <c r="A744" s="12"/>
      <c r="C744" s="12"/>
      <c r="D744" s="13"/>
      <c r="F744" s="14"/>
      <c r="G744" s="14"/>
      <c r="H744" s="14"/>
      <c r="I744" s="14"/>
      <c r="J744" s="14"/>
      <c r="K744" s="12"/>
    </row>
    <row r="745" ht="19.5" customHeight="1">
      <c r="A745" s="12"/>
      <c r="C745" s="12"/>
      <c r="D745" s="13"/>
      <c r="F745" s="14"/>
      <c r="G745" s="14"/>
      <c r="H745" s="14"/>
      <c r="I745" s="14"/>
      <c r="J745" s="14"/>
      <c r="K745" s="12"/>
    </row>
    <row r="746" ht="19.5" customHeight="1">
      <c r="A746" s="12"/>
      <c r="C746" s="12"/>
      <c r="D746" s="13"/>
      <c r="F746" s="14"/>
      <c r="G746" s="14"/>
      <c r="H746" s="14"/>
      <c r="I746" s="14"/>
      <c r="J746" s="14"/>
      <c r="K746" s="12"/>
    </row>
    <row r="747" ht="19.5" customHeight="1">
      <c r="A747" s="12"/>
      <c r="C747" s="12"/>
      <c r="D747" s="13"/>
      <c r="F747" s="14"/>
      <c r="G747" s="14"/>
      <c r="H747" s="14"/>
      <c r="I747" s="14"/>
      <c r="J747" s="14"/>
      <c r="K747" s="12"/>
    </row>
    <row r="748" ht="19.5" customHeight="1">
      <c r="A748" s="12"/>
      <c r="C748" s="12"/>
      <c r="D748" s="13"/>
      <c r="F748" s="14"/>
      <c r="G748" s="14"/>
      <c r="H748" s="14"/>
      <c r="I748" s="14"/>
      <c r="J748" s="14"/>
      <c r="K748" s="12"/>
    </row>
    <row r="749" ht="19.5" customHeight="1">
      <c r="A749" s="12"/>
      <c r="C749" s="12"/>
      <c r="D749" s="13"/>
      <c r="F749" s="14"/>
      <c r="G749" s="14"/>
      <c r="H749" s="14"/>
      <c r="I749" s="14"/>
      <c r="J749" s="14"/>
      <c r="K749" s="12"/>
    </row>
    <row r="750" ht="19.5" customHeight="1">
      <c r="A750" s="12"/>
      <c r="C750" s="12"/>
      <c r="D750" s="13"/>
      <c r="F750" s="14"/>
      <c r="G750" s="14"/>
      <c r="H750" s="14"/>
      <c r="I750" s="14"/>
      <c r="J750" s="14"/>
      <c r="K750" s="12"/>
    </row>
    <row r="751" ht="19.5" customHeight="1">
      <c r="A751" s="12"/>
      <c r="C751" s="12"/>
      <c r="D751" s="13"/>
      <c r="F751" s="14"/>
      <c r="G751" s="14"/>
      <c r="H751" s="14"/>
      <c r="I751" s="14"/>
      <c r="J751" s="14"/>
      <c r="K751" s="12"/>
    </row>
    <row r="752" ht="19.5" customHeight="1">
      <c r="A752" s="12"/>
      <c r="C752" s="12"/>
      <c r="D752" s="13"/>
      <c r="F752" s="14"/>
      <c r="G752" s="14"/>
      <c r="H752" s="14"/>
      <c r="I752" s="14"/>
      <c r="J752" s="14"/>
      <c r="K752" s="12"/>
    </row>
    <row r="753" ht="19.5" customHeight="1">
      <c r="A753" s="12"/>
      <c r="C753" s="12"/>
      <c r="D753" s="13"/>
      <c r="F753" s="14"/>
      <c r="G753" s="14"/>
      <c r="H753" s="14"/>
      <c r="I753" s="14"/>
      <c r="J753" s="14"/>
      <c r="K753" s="12"/>
    </row>
    <row r="754" ht="19.5" customHeight="1">
      <c r="A754" s="12"/>
      <c r="C754" s="12"/>
      <c r="D754" s="13"/>
      <c r="F754" s="14"/>
      <c r="G754" s="14"/>
      <c r="H754" s="14"/>
      <c r="I754" s="14"/>
      <c r="J754" s="14"/>
      <c r="K754" s="12"/>
    </row>
    <row r="755" ht="19.5" customHeight="1">
      <c r="A755" s="12"/>
      <c r="C755" s="12"/>
      <c r="D755" s="13"/>
      <c r="F755" s="14"/>
      <c r="G755" s="14"/>
      <c r="H755" s="14"/>
      <c r="I755" s="14"/>
      <c r="J755" s="14"/>
      <c r="K755" s="12"/>
    </row>
    <row r="756" ht="19.5" customHeight="1">
      <c r="A756" s="12"/>
      <c r="C756" s="12"/>
      <c r="D756" s="13"/>
      <c r="F756" s="14"/>
      <c r="G756" s="14"/>
      <c r="H756" s="14"/>
      <c r="I756" s="14"/>
      <c r="J756" s="14"/>
      <c r="K756" s="12"/>
    </row>
    <row r="757" ht="19.5" customHeight="1">
      <c r="A757" s="12"/>
      <c r="C757" s="12"/>
      <c r="D757" s="13"/>
      <c r="F757" s="14"/>
      <c r="G757" s="14"/>
      <c r="H757" s="14"/>
      <c r="I757" s="14"/>
      <c r="J757" s="14"/>
      <c r="K757" s="12"/>
    </row>
    <row r="758" ht="19.5" customHeight="1">
      <c r="A758" s="12"/>
      <c r="C758" s="12"/>
      <c r="D758" s="13"/>
      <c r="F758" s="14"/>
      <c r="G758" s="14"/>
      <c r="H758" s="14"/>
      <c r="I758" s="14"/>
      <c r="J758" s="14"/>
      <c r="K758" s="12"/>
    </row>
    <row r="759" ht="19.5" customHeight="1">
      <c r="A759" s="12"/>
      <c r="C759" s="12"/>
      <c r="D759" s="13"/>
      <c r="F759" s="14"/>
      <c r="G759" s="14"/>
      <c r="H759" s="14"/>
      <c r="I759" s="14"/>
      <c r="J759" s="14"/>
      <c r="K759" s="12"/>
    </row>
    <row r="760" ht="19.5" customHeight="1">
      <c r="A760" s="12"/>
      <c r="C760" s="12"/>
      <c r="D760" s="13"/>
      <c r="F760" s="14"/>
      <c r="G760" s="14"/>
      <c r="H760" s="14"/>
      <c r="I760" s="14"/>
      <c r="J760" s="14"/>
      <c r="K760" s="12"/>
    </row>
    <row r="761" ht="19.5" customHeight="1">
      <c r="A761" s="12"/>
      <c r="C761" s="12"/>
      <c r="D761" s="13"/>
      <c r="F761" s="14"/>
      <c r="G761" s="14"/>
      <c r="H761" s="14"/>
      <c r="I761" s="14"/>
      <c r="J761" s="14"/>
      <c r="K761" s="12"/>
    </row>
    <row r="762" ht="19.5" customHeight="1">
      <c r="A762" s="12"/>
      <c r="C762" s="12"/>
      <c r="D762" s="13"/>
      <c r="F762" s="14"/>
      <c r="G762" s="14"/>
      <c r="H762" s="14"/>
      <c r="I762" s="14"/>
      <c r="J762" s="14"/>
      <c r="K762" s="12"/>
    </row>
    <row r="763" ht="19.5" customHeight="1">
      <c r="A763" s="12"/>
      <c r="C763" s="12"/>
      <c r="D763" s="13"/>
      <c r="F763" s="14"/>
      <c r="G763" s="14"/>
      <c r="H763" s="14"/>
      <c r="I763" s="14"/>
      <c r="J763" s="14"/>
      <c r="K763" s="12"/>
    </row>
    <row r="764" ht="19.5" customHeight="1">
      <c r="A764" s="12"/>
      <c r="C764" s="12"/>
      <c r="D764" s="13"/>
      <c r="F764" s="14"/>
      <c r="G764" s="14"/>
      <c r="H764" s="14"/>
      <c r="I764" s="14"/>
      <c r="J764" s="14"/>
      <c r="K764" s="12"/>
    </row>
    <row r="765" ht="19.5" customHeight="1">
      <c r="A765" s="12"/>
      <c r="C765" s="12"/>
      <c r="D765" s="13"/>
      <c r="F765" s="14"/>
      <c r="G765" s="14"/>
      <c r="H765" s="14"/>
      <c r="I765" s="14"/>
      <c r="J765" s="14"/>
      <c r="K765" s="12"/>
    </row>
    <row r="766" ht="19.5" customHeight="1">
      <c r="A766" s="12"/>
      <c r="C766" s="12"/>
      <c r="D766" s="13"/>
      <c r="F766" s="14"/>
      <c r="G766" s="14"/>
      <c r="H766" s="14"/>
      <c r="I766" s="14"/>
      <c r="J766" s="14"/>
      <c r="K766" s="12"/>
    </row>
    <row r="767" ht="19.5" customHeight="1">
      <c r="A767" s="12"/>
      <c r="C767" s="12"/>
      <c r="D767" s="13"/>
      <c r="F767" s="14"/>
      <c r="G767" s="14"/>
      <c r="H767" s="14"/>
      <c r="I767" s="14"/>
      <c r="J767" s="14"/>
      <c r="K767" s="12"/>
    </row>
    <row r="768" ht="19.5" customHeight="1">
      <c r="A768" s="12"/>
      <c r="C768" s="12"/>
      <c r="D768" s="13"/>
      <c r="F768" s="14"/>
      <c r="G768" s="14"/>
      <c r="H768" s="14"/>
      <c r="I768" s="14"/>
      <c r="J768" s="14"/>
      <c r="K768" s="12"/>
    </row>
    <row r="769" ht="19.5" customHeight="1">
      <c r="A769" s="12"/>
      <c r="C769" s="12"/>
      <c r="D769" s="13"/>
      <c r="F769" s="14"/>
      <c r="G769" s="14"/>
      <c r="H769" s="14"/>
      <c r="I769" s="14"/>
      <c r="J769" s="14"/>
      <c r="K769" s="12"/>
    </row>
    <row r="770" ht="19.5" customHeight="1">
      <c r="A770" s="12"/>
      <c r="C770" s="12"/>
      <c r="D770" s="13"/>
      <c r="F770" s="14"/>
      <c r="G770" s="14"/>
      <c r="H770" s="14"/>
      <c r="I770" s="14"/>
      <c r="J770" s="14"/>
      <c r="K770" s="12"/>
    </row>
    <row r="771" ht="19.5" customHeight="1">
      <c r="A771" s="12"/>
      <c r="C771" s="12"/>
      <c r="D771" s="13"/>
      <c r="F771" s="14"/>
      <c r="G771" s="14"/>
      <c r="H771" s="14"/>
      <c r="I771" s="14"/>
      <c r="J771" s="14"/>
      <c r="K771" s="12"/>
    </row>
    <row r="772" ht="19.5" customHeight="1">
      <c r="A772" s="12"/>
      <c r="C772" s="12"/>
      <c r="D772" s="13"/>
      <c r="F772" s="14"/>
      <c r="G772" s="14"/>
      <c r="H772" s="14"/>
      <c r="I772" s="14"/>
      <c r="J772" s="14"/>
      <c r="K772" s="12"/>
    </row>
    <row r="773" ht="19.5" customHeight="1">
      <c r="A773" s="12"/>
      <c r="C773" s="12"/>
      <c r="D773" s="13"/>
      <c r="F773" s="14"/>
      <c r="G773" s="14"/>
      <c r="H773" s="14"/>
      <c r="I773" s="14"/>
      <c r="J773" s="14"/>
      <c r="K773" s="12"/>
    </row>
    <row r="774" ht="19.5" customHeight="1">
      <c r="A774" s="12"/>
      <c r="C774" s="12"/>
      <c r="D774" s="13"/>
      <c r="F774" s="14"/>
      <c r="G774" s="14"/>
      <c r="H774" s="14"/>
      <c r="I774" s="14"/>
      <c r="J774" s="14"/>
      <c r="K774" s="12"/>
    </row>
    <row r="775" ht="19.5" customHeight="1">
      <c r="A775" s="12"/>
      <c r="C775" s="12"/>
      <c r="D775" s="13"/>
      <c r="F775" s="14"/>
      <c r="G775" s="14"/>
      <c r="H775" s="14"/>
      <c r="I775" s="14"/>
      <c r="J775" s="14"/>
      <c r="K775" s="12"/>
    </row>
    <row r="776" ht="19.5" customHeight="1">
      <c r="A776" s="12"/>
      <c r="C776" s="12"/>
      <c r="D776" s="13"/>
      <c r="F776" s="14"/>
      <c r="G776" s="14"/>
      <c r="H776" s="14"/>
      <c r="I776" s="14"/>
      <c r="J776" s="14"/>
      <c r="K776" s="12"/>
    </row>
    <row r="777" ht="19.5" customHeight="1">
      <c r="A777" s="12"/>
      <c r="C777" s="12"/>
      <c r="D777" s="13"/>
      <c r="F777" s="14"/>
      <c r="G777" s="14"/>
      <c r="H777" s="14"/>
      <c r="I777" s="14"/>
      <c r="J777" s="14"/>
      <c r="K777" s="12"/>
    </row>
    <row r="778" ht="19.5" customHeight="1">
      <c r="A778" s="12"/>
      <c r="C778" s="12"/>
      <c r="D778" s="13"/>
      <c r="F778" s="14"/>
      <c r="G778" s="14"/>
      <c r="H778" s="14"/>
      <c r="I778" s="14"/>
      <c r="J778" s="14"/>
      <c r="K778" s="12"/>
    </row>
    <row r="779" ht="19.5" customHeight="1">
      <c r="A779" s="12"/>
      <c r="C779" s="12"/>
      <c r="D779" s="13"/>
      <c r="F779" s="14"/>
      <c r="G779" s="14"/>
      <c r="H779" s="14"/>
      <c r="I779" s="14"/>
      <c r="J779" s="14"/>
      <c r="K779" s="12"/>
    </row>
    <row r="780" ht="19.5" customHeight="1">
      <c r="A780" s="12"/>
      <c r="C780" s="12"/>
      <c r="D780" s="13"/>
      <c r="F780" s="14"/>
      <c r="G780" s="14"/>
      <c r="H780" s="14"/>
      <c r="I780" s="14"/>
      <c r="J780" s="14"/>
      <c r="K780" s="12"/>
    </row>
    <row r="781" ht="19.5" customHeight="1">
      <c r="A781" s="12"/>
      <c r="C781" s="12"/>
      <c r="D781" s="13"/>
      <c r="F781" s="14"/>
      <c r="G781" s="14"/>
      <c r="H781" s="14"/>
      <c r="I781" s="14"/>
      <c r="J781" s="14"/>
      <c r="K781" s="12"/>
    </row>
    <row r="782" ht="19.5" customHeight="1">
      <c r="A782" s="12"/>
      <c r="C782" s="12"/>
      <c r="D782" s="13"/>
      <c r="F782" s="14"/>
      <c r="G782" s="14"/>
      <c r="H782" s="14"/>
      <c r="I782" s="14"/>
      <c r="J782" s="14"/>
      <c r="K782" s="12"/>
    </row>
    <row r="783" ht="19.5" customHeight="1">
      <c r="A783" s="12"/>
      <c r="C783" s="12"/>
      <c r="D783" s="13"/>
      <c r="F783" s="14"/>
      <c r="G783" s="14"/>
      <c r="H783" s="14"/>
      <c r="I783" s="14"/>
      <c r="J783" s="14"/>
      <c r="K783" s="12"/>
    </row>
    <row r="784" ht="19.5" customHeight="1">
      <c r="A784" s="12"/>
      <c r="C784" s="12"/>
      <c r="D784" s="13"/>
      <c r="F784" s="14"/>
      <c r="G784" s="14"/>
      <c r="H784" s="14"/>
      <c r="I784" s="14"/>
      <c r="J784" s="14"/>
      <c r="K784" s="12"/>
    </row>
    <row r="785" ht="19.5" customHeight="1">
      <c r="A785" s="12"/>
      <c r="C785" s="12"/>
      <c r="D785" s="13"/>
      <c r="F785" s="14"/>
      <c r="G785" s="14"/>
      <c r="H785" s="14"/>
      <c r="I785" s="14"/>
      <c r="J785" s="14"/>
      <c r="K785" s="12"/>
    </row>
    <row r="786" ht="19.5" customHeight="1">
      <c r="A786" s="12"/>
      <c r="C786" s="12"/>
      <c r="D786" s="13"/>
      <c r="F786" s="14"/>
      <c r="G786" s="14"/>
      <c r="H786" s="14"/>
      <c r="I786" s="14"/>
      <c r="J786" s="14"/>
      <c r="K786" s="12"/>
    </row>
    <row r="787" ht="19.5" customHeight="1">
      <c r="A787" s="12"/>
      <c r="C787" s="12"/>
      <c r="D787" s="13"/>
      <c r="F787" s="14"/>
      <c r="G787" s="14"/>
      <c r="H787" s="14"/>
      <c r="I787" s="14"/>
      <c r="J787" s="14"/>
      <c r="K787" s="12"/>
    </row>
    <row r="788" ht="19.5" customHeight="1">
      <c r="A788" s="12"/>
      <c r="C788" s="12"/>
      <c r="D788" s="13"/>
      <c r="F788" s="14"/>
      <c r="G788" s="14"/>
      <c r="H788" s="14"/>
      <c r="I788" s="14"/>
      <c r="J788" s="14"/>
      <c r="K788" s="12"/>
    </row>
    <row r="789" ht="19.5" customHeight="1">
      <c r="A789" s="12"/>
      <c r="C789" s="12"/>
      <c r="D789" s="13"/>
      <c r="F789" s="14"/>
      <c r="G789" s="14"/>
      <c r="H789" s="14"/>
      <c r="I789" s="14"/>
      <c r="J789" s="14"/>
      <c r="K789" s="12"/>
    </row>
    <row r="790" ht="19.5" customHeight="1">
      <c r="A790" s="12"/>
      <c r="C790" s="12"/>
      <c r="D790" s="13"/>
      <c r="F790" s="14"/>
      <c r="G790" s="14"/>
      <c r="H790" s="14"/>
      <c r="I790" s="14"/>
      <c r="J790" s="14"/>
      <c r="K790" s="12"/>
    </row>
    <row r="791" ht="19.5" customHeight="1">
      <c r="A791" s="12"/>
      <c r="C791" s="12"/>
      <c r="D791" s="13"/>
      <c r="F791" s="14"/>
      <c r="G791" s="14"/>
      <c r="H791" s="14"/>
      <c r="I791" s="14"/>
      <c r="J791" s="14"/>
      <c r="K791" s="12"/>
    </row>
    <row r="792" ht="19.5" customHeight="1">
      <c r="A792" s="12"/>
      <c r="C792" s="12"/>
      <c r="D792" s="13"/>
      <c r="F792" s="14"/>
      <c r="G792" s="14"/>
      <c r="H792" s="14"/>
      <c r="I792" s="14"/>
      <c r="J792" s="14"/>
      <c r="K792" s="12"/>
    </row>
    <row r="793" ht="19.5" customHeight="1">
      <c r="A793" s="12"/>
      <c r="C793" s="12"/>
      <c r="D793" s="13"/>
      <c r="F793" s="14"/>
      <c r="G793" s="14"/>
      <c r="H793" s="14"/>
      <c r="I793" s="14"/>
      <c r="J793" s="14"/>
      <c r="K793" s="12"/>
    </row>
    <row r="794" ht="19.5" customHeight="1">
      <c r="A794" s="12"/>
      <c r="C794" s="12"/>
      <c r="D794" s="13"/>
      <c r="F794" s="14"/>
      <c r="G794" s="14"/>
      <c r="H794" s="14"/>
      <c r="I794" s="14"/>
      <c r="J794" s="14"/>
      <c r="K794" s="12"/>
    </row>
    <row r="795" ht="19.5" customHeight="1">
      <c r="A795" s="12"/>
      <c r="C795" s="12"/>
      <c r="D795" s="13"/>
      <c r="F795" s="14"/>
      <c r="G795" s="14"/>
      <c r="H795" s="14"/>
      <c r="I795" s="14"/>
      <c r="J795" s="14"/>
      <c r="K795" s="12"/>
    </row>
    <row r="796" ht="19.5" customHeight="1">
      <c r="A796" s="12"/>
      <c r="C796" s="12"/>
      <c r="D796" s="13"/>
      <c r="F796" s="14"/>
      <c r="G796" s="14"/>
      <c r="H796" s="14"/>
      <c r="I796" s="14"/>
      <c r="J796" s="14"/>
      <c r="K796" s="12"/>
    </row>
    <row r="797" ht="19.5" customHeight="1">
      <c r="A797" s="12"/>
      <c r="C797" s="12"/>
      <c r="D797" s="13"/>
      <c r="F797" s="14"/>
      <c r="G797" s="14"/>
      <c r="H797" s="14"/>
      <c r="I797" s="14"/>
      <c r="J797" s="14"/>
      <c r="K797" s="12"/>
    </row>
    <row r="798" ht="19.5" customHeight="1">
      <c r="A798" s="12"/>
      <c r="C798" s="12"/>
      <c r="D798" s="13"/>
      <c r="F798" s="14"/>
      <c r="G798" s="14"/>
      <c r="H798" s="14"/>
      <c r="I798" s="14"/>
      <c r="J798" s="14"/>
      <c r="K798" s="12"/>
    </row>
    <row r="799" ht="19.5" customHeight="1">
      <c r="A799" s="12"/>
      <c r="C799" s="12"/>
      <c r="D799" s="13"/>
      <c r="F799" s="14"/>
      <c r="G799" s="14"/>
      <c r="H799" s="14"/>
      <c r="I799" s="14"/>
      <c r="J799" s="14"/>
      <c r="K799" s="12"/>
    </row>
    <row r="800" ht="19.5" customHeight="1">
      <c r="A800" s="12"/>
      <c r="C800" s="12"/>
      <c r="D800" s="13"/>
      <c r="F800" s="14"/>
      <c r="G800" s="14"/>
      <c r="H800" s="14"/>
      <c r="I800" s="14"/>
      <c r="J800" s="14"/>
      <c r="K800" s="12"/>
    </row>
    <row r="801" ht="19.5" customHeight="1">
      <c r="A801" s="12"/>
      <c r="C801" s="12"/>
      <c r="D801" s="13"/>
      <c r="F801" s="14"/>
      <c r="G801" s="14"/>
      <c r="H801" s="14"/>
      <c r="I801" s="14"/>
      <c r="J801" s="14"/>
      <c r="K801" s="12"/>
    </row>
    <row r="802" ht="19.5" customHeight="1">
      <c r="A802" s="12"/>
      <c r="C802" s="12"/>
      <c r="D802" s="13"/>
      <c r="F802" s="14"/>
      <c r="G802" s="14"/>
      <c r="H802" s="14"/>
      <c r="I802" s="14"/>
      <c r="J802" s="14"/>
      <c r="K802" s="12"/>
    </row>
    <row r="803" ht="19.5" customHeight="1">
      <c r="A803" s="12"/>
      <c r="C803" s="12"/>
      <c r="D803" s="13"/>
      <c r="F803" s="14"/>
      <c r="G803" s="14"/>
      <c r="H803" s="14"/>
      <c r="I803" s="14"/>
      <c r="J803" s="14"/>
      <c r="K803" s="12"/>
    </row>
    <row r="804" ht="19.5" customHeight="1">
      <c r="A804" s="12"/>
      <c r="C804" s="12"/>
      <c r="D804" s="13"/>
      <c r="F804" s="14"/>
      <c r="G804" s="14"/>
      <c r="H804" s="14"/>
      <c r="I804" s="14"/>
      <c r="J804" s="14"/>
      <c r="K804" s="12"/>
    </row>
    <row r="805" ht="19.5" customHeight="1">
      <c r="A805" s="12"/>
      <c r="C805" s="12"/>
      <c r="D805" s="13"/>
      <c r="F805" s="14"/>
      <c r="G805" s="14"/>
      <c r="H805" s="14"/>
      <c r="I805" s="14"/>
      <c r="J805" s="14"/>
      <c r="K805" s="12"/>
    </row>
    <row r="806" ht="19.5" customHeight="1">
      <c r="A806" s="12"/>
      <c r="C806" s="12"/>
      <c r="D806" s="13"/>
      <c r="F806" s="14"/>
      <c r="G806" s="14"/>
      <c r="H806" s="14"/>
      <c r="I806" s="14"/>
      <c r="J806" s="14"/>
      <c r="K806" s="12"/>
    </row>
    <row r="807" ht="19.5" customHeight="1">
      <c r="A807" s="12"/>
      <c r="C807" s="12"/>
      <c r="D807" s="13"/>
      <c r="F807" s="14"/>
      <c r="G807" s="14"/>
      <c r="H807" s="14"/>
      <c r="I807" s="14"/>
      <c r="J807" s="14"/>
      <c r="K807" s="12"/>
    </row>
    <row r="808" ht="19.5" customHeight="1">
      <c r="A808" s="12"/>
      <c r="C808" s="12"/>
      <c r="D808" s="13"/>
      <c r="F808" s="14"/>
      <c r="G808" s="14"/>
      <c r="H808" s="14"/>
      <c r="I808" s="14"/>
      <c r="J808" s="14"/>
      <c r="K808" s="12"/>
    </row>
    <row r="809" ht="19.5" customHeight="1">
      <c r="A809" s="12"/>
      <c r="C809" s="12"/>
      <c r="D809" s="13"/>
      <c r="F809" s="14"/>
      <c r="G809" s="14"/>
      <c r="H809" s="14"/>
      <c r="I809" s="14"/>
      <c r="J809" s="14"/>
      <c r="K809" s="12"/>
    </row>
    <row r="810" ht="19.5" customHeight="1">
      <c r="A810" s="12"/>
      <c r="C810" s="12"/>
      <c r="D810" s="13"/>
      <c r="F810" s="14"/>
      <c r="G810" s="14"/>
      <c r="H810" s="14"/>
      <c r="I810" s="14"/>
      <c r="J810" s="14"/>
      <c r="K810" s="12"/>
    </row>
    <row r="811" ht="19.5" customHeight="1">
      <c r="A811" s="12"/>
      <c r="C811" s="12"/>
      <c r="D811" s="13"/>
      <c r="F811" s="14"/>
      <c r="G811" s="14"/>
      <c r="H811" s="14"/>
      <c r="I811" s="14"/>
      <c r="J811" s="14"/>
      <c r="K811" s="12"/>
    </row>
    <row r="812" ht="19.5" customHeight="1">
      <c r="A812" s="12"/>
      <c r="C812" s="12"/>
      <c r="D812" s="13"/>
      <c r="F812" s="14"/>
      <c r="G812" s="14"/>
      <c r="H812" s="14"/>
      <c r="I812" s="14"/>
      <c r="J812" s="14"/>
      <c r="K812" s="12"/>
    </row>
    <row r="813" ht="19.5" customHeight="1">
      <c r="A813" s="12"/>
      <c r="C813" s="12"/>
      <c r="D813" s="13"/>
      <c r="F813" s="14"/>
      <c r="G813" s="14"/>
      <c r="H813" s="14"/>
      <c r="I813" s="14"/>
      <c r="J813" s="14"/>
      <c r="K813" s="12"/>
    </row>
    <row r="814" ht="19.5" customHeight="1">
      <c r="A814" s="12"/>
      <c r="C814" s="12"/>
      <c r="D814" s="13"/>
      <c r="F814" s="14"/>
      <c r="G814" s="14"/>
      <c r="H814" s="14"/>
      <c r="I814" s="14"/>
      <c r="J814" s="14"/>
      <c r="K814" s="12"/>
    </row>
    <row r="815" ht="19.5" customHeight="1">
      <c r="A815" s="12"/>
      <c r="C815" s="12"/>
      <c r="D815" s="13"/>
      <c r="F815" s="14"/>
      <c r="G815" s="14"/>
      <c r="H815" s="14"/>
      <c r="I815" s="14"/>
      <c r="J815" s="14"/>
      <c r="K815" s="12"/>
    </row>
    <row r="816" ht="19.5" customHeight="1">
      <c r="A816" s="12"/>
      <c r="C816" s="12"/>
      <c r="D816" s="13"/>
      <c r="F816" s="14"/>
      <c r="G816" s="14"/>
      <c r="H816" s="14"/>
      <c r="I816" s="14"/>
      <c r="J816" s="14"/>
      <c r="K816" s="12"/>
    </row>
    <row r="817" ht="19.5" customHeight="1">
      <c r="A817" s="12"/>
      <c r="C817" s="12"/>
      <c r="D817" s="13"/>
      <c r="F817" s="14"/>
      <c r="G817" s="14"/>
      <c r="H817" s="14"/>
      <c r="I817" s="14"/>
      <c r="J817" s="14"/>
      <c r="K817" s="12"/>
    </row>
    <row r="818" ht="19.5" customHeight="1">
      <c r="A818" s="12"/>
      <c r="C818" s="12"/>
      <c r="D818" s="13"/>
      <c r="F818" s="14"/>
      <c r="G818" s="14"/>
      <c r="H818" s="14"/>
      <c r="I818" s="14"/>
      <c r="J818" s="14"/>
      <c r="K818" s="12"/>
    </row>
    <row r="819" ht="19.5" customHeight="1">
      <c r="A819" s="12"/>
      <c r="C819" s="12"/>
      <c r="D819" s="13"/>
      <c r="F819" s="14"/>
      <c r="G819" s="14"/>
      <c r="H819" s="14"/>
      <c r="I819" s="14"/>
      <c r="J819" s="14"/>
      <c r="K819" s="12"/>
    </row>
    <row r="820" ht="19.5" customHeight="1">
      <c r="A820" s="12"/>
      <c r="C820" s="12"/>
      <c r="D820" s="13"/>
      <c r="F820" s="14"/>
      <c r="G820" s="14"/>
      <c r="H820" s="14"/>
      <c r="I820" s="14"/>
      <c r="J820" s="14"/>
      <c r="K820" s="12"/>
    </row>
    <row r="821" ht="19.5" customHeight="1">
      <c r="A821" s="12"/>
      <c r="C821" s="12"/>
      <c r="D821" s="13"/>
      <c r="F821" s="14"/>
      <c r="G821" s="14"/>
      <c r="H821" s="14"/>
      <c r="I821" s="14"/>
      <c r="J821" s="14"/>
      <c r="K821" s="12"/>
    </row>
    <row r="822" ht="19.5" customHeight="1">
      <c r="A822" s="12"/>
      <c r="C822" s="12"/>
      <c r="D822" s="13"/>
      <c r="F822" s="14"/>
      <c r="G822" s="14"/>
      <c r="H822" s="14"/>
      <c r="I822" s="14"/>
      <c r="J822" s="14"/>
      <c r="K822" s="12"/>
    </row>
    <row r="823" ht="19.5" customHeight="1">
      <c r="A823" s="12"/>
      <c r="C823" s="12"/>
      <c r="D823" s="13"/>
      <c r="F823" s="14"/>
      <c r="G823" s="14"/>
      <c r="H823" s="14"/>
      <c r="I823" s="14"/>
      <c r="J823" s="14"/>
      <c r="K823" s="12"/>
    </row>
    <row r="824" ht="19.5" customHeight="1">
      <c r="A824" s="12"/>
      <c r="C824" s="12"/>
      <c r="D824" s="13"/>
      <c r="F824" s="14"/>
      <c r="G824" s="14"/>
      <c r="H824" s="14"/>
      <c r="I824" s="14"/>
      <c r="J824" s="14"/>
      <c r="K824" s="12"/>
    </row>
    <row r="825" ht="19.5" customHeight="1">
      <c r="A825" s="12"/>
      <c r="C825" s="12"/>
      <c r="D825" s="13"/>
      <c r="F825" s="14"/>
      <c r="G825" s="14"/>
      <c r="H825" s="14"/>
      <c r="I825" s="14"/>
      <c r="J825" s="14"/>
      <c r="K825" s="12"/>
    </row>
    <row r="826" ht="19.5" customHeight="1">
      <c r="A826" s="12"/>
      <c r="C826" s="12"/>
      <c r="D826" s="13"/>
      <c r="F826" s="14"/>
      <c r="G826" s="14"/>
      <c r="H826" s="14"/>
      <c r="I826" s="14"/>
      <c r="J826" s="14"/>
      <c r="K826" s="12"/>
    </row>
    <row r="827" ht="19.5" customHeight="1">
      <c r="A827" s="12"/>
      <c r="C827" s="12"/>
      <c r="D827" s="13"/>
      <c r="F827" s="14"/>
      <c r="G827" s="14"/>
      <c r="H827" s="14"/>
      <c r="I827" s="14"/>
      <c r="J827" s="14"/>
      <c r="K827" s="12"/>
    </row>
    <row r="828" ht="19.5" customHeight="1">
      <c r="A828" s="12"/>
      <c r="C828" s="12"/>
      <c r="D828" s="13"/>
      <c r="F828" s="14"/>
      <c r="G828" s="14"/>
      <c r="H828" s="14"/>
      <c r="I828" s="14"/>
      <c r="J828" s="14"/>
      <c r="K828" s="12"/>
    </row>
    <row r="829" ht="19.5" customHeight="1">
      <c r="A829" s="12"/>
      <c r="C829" s="12"/>
      <c r="D829" s="13"/>
      <c r="F829" s="14"/>
      <c r="G829" s="14"/>
      <c r="H829" s="14"/>
      <c r="I829" s="14"/>
      <c r="J829" s="14"/>
      <c r="K829" s="12"/>
    </row>
    <row r="830" ht="19.5" customHeight="1">
      <c r="A830" s="12"/>
      <c r="C830" s="12"/>
      <c r="D830" s="13"/>
      <c r="F830" s="14"/>
      <c r="G830" s="14"/>
      <c r="H830" s="14"/>
      <c r="I830" s="14"/>
      <c r="J830" s="14"/>
      <c r="K830" s="12"/>
    </row>
    <row r="831" ht="19.5" customHeight="1">
      <c r="A831" s="12"/>
      <c r="C831" s="12"/>
      <c r="D831" s="13"/>
      <c r="F831" s="14"/>
      <c r="G831" s="14"/>
      <c r="H831" s="14"/>
      <c r="I831" s="14"/>
      <c r="J831" s="14"/>
      <c r="K831" s="12"/>
    </row>
    <row r="832" ht="19.5" customHeight="1">
      <c r="A832" s="12"/>
      <c r="C832" s="12"/>
      <c r="D832" s="13"/>
      <c r="F832" s="14"/>
      <c r="G832" s="14"/>
      <c r="H832" s="14"/>
      <c r="I832" s="14"/>
      <c r="J832" s="14"/>
      <c r="K832" s="12"/>
    </row>
    <row r="833" ht="19.5" customHeight="1">
      <c r="A833" s="12"/>
      <c r="C833" s="12"/>
      <c r="D833" s="13"/>
      <c r="F833" s="14"/>
      <c r="G833" s="14"/>
      <c r="H833" s="14"/>
      <c r="I833" s="14"/>
      <c r="J833" s="14"/>
      <c r="K833" s="12"/>
    </row>
    <row r="834" ht="19.5" customHeight="1">
      <c r="A834" s="12"/>
      <c r="C834" s="12"/>
      <c r="D834" s="13"/>
      <c r="F834" s="14"/>
      <c r="G834" s="14"/>
      <c r="H834" s="14"/>
      <c r="I834" s="14"/>
      <c r="J834" s="14"/>
      <c r="K834" s="12"/>
    </row>
    <row r="835" ht="19.5" customHeight="1">
      <c r="A835" s="12"/>
      <c r="C835" s="12"/>
      <c r="D835" s="13"/>
      <c r="F835" s="14"/>
      <c r="G835" s="14"/>
      <c r="H835" s="14"/>
      <c r="I835" s="14"/>
      <c r="J835" s="14"/>
      <c r="K835" s="12"/>
    </row>
    <row r="836" ht="19.5" customHeight="1">
      <c r="A836" s="12"/>
      <c r="C836" s="12"/>
      <c r="D836" s="13"/>
      <c r="F836" s="14"/>
      <c r="G836" s="14"/>
      <c r="H836" s="14"/>
      <c r="I836" s="14"/>
      <c r="J836" s="14"/>
      <c r="K836" s="12"/>
    </row>
    <row r="837" ht="19.5" customHeight="1">
      <c r="A837" s="12"/>
      <c r="C837" s="12"/>
      <c r="D837" s="13"/>
      <c r="F837" s="14"/>
      <c r="G837" s="14"/>
      <c r="H837" s="14"/>
      <c r="I837" s="14"/>
      <c r="J837" s="14"/>
      <c r="K837" s="12"/>
    </row>
    <row r="838" ht="19.5" customHeight="1">
      <c r="A838" s="12"/>
      <c r="C838" s="12"/>
      <c r="D838" s="13"/>
      <c r="F838" s="14"/>
      <c r="G838" s="14"/>
      <c r="H838" s="14"/>
      <c r="I838" s="14"/>
      <c r="J838" s="14"/>
      <c r="K838" s="12"/>
    </row>
    <row r="839" ht="19.5" customHeight="1">
      <c r="A839" s="12"/>
      <c r="C839" s="12"/>
      <c r="D839" s="13"/>
      <c r="F839" s="14"/>
      <c r="G839" s="14"/>
      <c r="H839" s="14"/>
      <c r="I839" s="14"/>
      <c r="J839" s="14"/>
      <c r="K839" s="12"/>
    </row>
    <row r="840" ht="19.5" customHeight="1">
      <c r="A840" s="12"/>
      <c r="C840" s="12"/>
      <c r="D840" s="13"/>
      <c r="F840" s="14"/>
      <c r="G840" s="14"/>
      <c r="H840" s="14"/>
      <c r="I840" s="14"/>
      <c r="J840" s="14"/>
      <c r="K840" s="12"/>
    </row>
    <row r="841" ht="19.5" customHeight="1">
      <c r="A841" s="12"/>
      <c r="C841" s="12"/>
      <c r="D841" s="13"/>
      <c r="F841" s="14"/>
      <c r="G841" s="14"/>
      <c r="H841" s="14"/>
      <c r="I841" s="14"/>
      <c r="J841" s="14"/>
      <c r="K841" s="12"/>
    </row>
    <row r="842" ht="19.5" customHeight="1">
      <c r="A842" s="12"/>
      <c r="C842" s="12"/>
      <c r="D842" s="13"/>
      <c r="F842" s="14"/>
      <c r="G842" s="14"/>
      <c r="H842" s="14"/>
      <c r="I842" s="14"/>
      <c r="J842" s="14"/>
      <c r="K842" s="12"/>
    </row>
    <row r="843" ht="19.5" customHeight="1">
      <c r="A843" s="12"/>
      <c r="C843" s="12"/>
      <c r="D843" s="13"/>
      <c r="F843" s="14"/>
      <c r="G843" s="14"/>
      <c r="H843" s="14"/>
      <c r="I843" s="14"/>
      <c r="J843" s="14"/>
      <c r="K843" s="12"/>
    </row>
    <row r="844" ht="19.5" customHeight="1">
      <c r="A844" s="12"/>
      <c r="C844" s="12"/>
      <c r="D844" s="13"/>
      <c r="F844" s="14"/>
      <c r="G844" s="14"/>
      <c r="H844" s="14"/>
      <c r="I844" s="14"/>
      <c r="J844" s="14"/>
      <c r="K844" s="12"/>
    </row>
    <row r="845" ht="19.5" customHeight="1">
      <c r="A845" s="12"/>
      <c r="C845" s="12"/>
      <c r="D845" s="13"/>
      <c r="F845" s="14"/>
      <c r="G845" s="14"/>
      <c r="H845" s="14"/>
      <c r="I845" s="14"/>
      <c r="J845" s="14"/>
      <c r="K845" s="12"/>
    </row>
    <row r="846" ht="19.5" customHeight="1">
      <c r="A846" s="12"/>
      <c r="C846" s="12"/>
      <c r="D846" s="13"/>
      <c r="F846" s="14"/>
      <c r="G846" s="14"/>
      <c r="H846" s="14"/>
      <c r="I846" s="14"/>
      <c r="J846" s="14"/>
      <c r="K846" s="12"/>
    </row>
    <row r="847" ht="19.5" customHeight="1">
      <c r="A847" s="12"/>
      <c r="C847" s="12"/>
      <c r="D847" s="13"/>
      <c r="F847" s="14"/>
      <c r="G847" s="14"/>
      <c r="H847" s="14"/>
      <c r="I847" s="14"/>
      <c r="J847" s="14"/>
      <c r="K847" s="12"/>
    </row>
    <row r="848" ht="19.5" customHeight="1">
      <c r="A848" s="12"/>
      <c r="C848" s="12"/>
      <c r="D848" s="13"/>
      <c r="F848" s="14"/>
      <c r="G848" s="14"/>
      <c r="H848" s="14"/>
      <c r="I848" s="14"/>
      <c r="J848" s="14"/>
      <c r="K848" s="12"/>
    </row>
    <row r="849" ht="19.5" customHeight="1">
      <c r="A849" s="12"/>
      <c r="C849" s="12"/>
      <c r="D849" s="13"/>
      <c r="F849" s="14"/>
      <c r="G849" s="14"/>
      <c r="H849" s="14"/>
      <c r="I849" s="14"/>
      <c r="J849" s="14"/>
      <c r="K849" s="12"/>
    </row>
    <row r="850" ht="19.5" customHeight="1">
      <c r="A850" s="12"/>
      <c r="C850" s="12"/>
      <c r="D850" s="13"/>
      <c r="F850" s="14"/>
      <c r="G850" s="14"/>
      <c r="H850" s="14"/>
      <c r="I850" s="14"/>
      <c r="J850" s="14"/>
      <c r="K850" s="12"/>
    </row>
    <row r="851" ht="19.5" customHeight="1">
      <c r="A851" s="12"/>
      <c r="C851" s="12"/>
      <c r="D851" s="13"/>
      <c r="F851" s="14"/>
      <c r="G851" s="14"/>
      <c r="H851" s="14"/>
      <c r="I851" s="14"/>
      <c r="J851" s="14"/>
      <c r="K851" s="12"/>
    </row>
    <row r="852" ht="19.5" customHeight="1">
      <c r="A852" s="12"/>
      <c r="C852" s="12"/>
      <c r="D852" s="13"/>
      <c r="F852" s="14"/>
      <c r="G852" s="14"/>
      <c r="H852" s="14"/>
      <c r="I852" s="14"/>
      <c r="J852" s="14"/>
      <c r="K852" s="12"/>
    </row>
    <row r="853" ht="19.5" customHeight="1">
      <c r="A853" s="12"/>
      <c r="C853" s="12"/>
      <c r="D853" s="13"/>
      <c r="F853" s="14"/>
      <c r="G853" s="14"/>
      <c r="H853" s="14"/>
      <c r="I853" s="14"/>
      <c r="J853" s="14"/>
      <c r="K853" s="12"/>
    </row>
    <row r="854" ht="19.5" customHeight="1">
      <c r="A854" s="12"/>
      <c r="C854" s="12"/>
      <c r="D854" s="13"/>
      <c r="F854" s="14"/>
      <c r="G854" s="14"/>
      <c r="H854" s="14"/>
      <c r="I854" s="14"/>
      <c r="J854" s="14"/>
      <c r="K854" s="12"/>
    </row>
    <row r="855" ht="19.5" customHeight="1">
      <c r="A855" s="12"/>
      <c r="C855" s="12"/>
      <c r="D855" s="13"/>
      <c r="F855" s="14"/>
      <c r="G855" s="14"/>
      <c r="H855" s="14"/>
      <c r="I855" s="14"/>
      <c r="J855" s="14"/>
      <c r="K855" s="12"/>
    </row>
    <row r="856" ht="19.5" customHeight="1">
      <c r="A856" s="12"/>
      <c r="C856" s="12"/>
      <c r="D856" s="13"/>
      <c r="F856" s="14"/>
      <c r="G856" s="14"/>
      <c r="H856" s="14"/>
      <c r="I856" s="14"/>
      <c r="J856" s="14"/>
      <c r="K856" s="12"/>
    </row>
    <row r="857" ht="19.5" customHeight="1">
      <c r="A857" s="12"/>
      <c r="C857" s="12"/>
      <c r="D857" s="13"/>
      <c r="F857" s="14"/>
      <c r="G857" s="14"/>
      <c r="H857" s="14"/>
      <c r="I857" s="14"/>
      <c r="J857" s="14"/>
      <c r="K857" s="12"/>
    </row>
    <row r="858" ht="19.5" customHeight="1">
      <c r="A858" s="12"/>
      <c r="C858" s="12"/>
      <c r="D858" s="13"/>
      <c r="F858" s="14"/>
      <c r="G858" s="14"/>
      <c r="H858" s="14"/>
      <c r="I858" s="14"/>
      <c r="J858" s="14"/>
      <c r="K858" s="12"/>
    </row>
    <row r="859" ht="19.5" customHeight="1">
      <c r="A859" s="12"/>
      <c r="C859" s="12"/>
      <c r="D859" s="13"/>
      <c r="F859" s="14"/>
      <c r="G859" s="14"/>
      <c r="H859" s="14"/>
      <c r="I859" s="14"/>
      <c r="J859" s="14"/>
      <c r="K859" s="12"/>
    </row>
    <row r="860" ht="19.5" customHeight="1">
      <c r="A860" s="12"/>
      <c r="C860" s="12"/>
      <c r="D860" s="13"/>
      <c r="F860" s="14"/>
      <c r="G860" s="14"/>
      <c r="H860" s="14"/>
      <c r="I860" s="14"/>
      <c r="J860" s="14"/>
      <c r="K860" s="12"/>
    </row>
    <row r="861" ht="19.5" customHeight="1">
      <c r="A861" s="12"/>
      <c r="C861" s="12"/>
      <c r="D861" s="13"/>
      <c r="F861" s="14"/>
      <c r="G861" s="14"/>
      <c r="H861" s="14"/>
      <c r="I861" s="14"/>
      <c r="J861" s="14"/>
      <c r="K861" s="12"/>
    </row>
    <row r="862" ht="19.5" customHeight="1">
      <c r="A862" s="12"/>
      <c r="C862" s="12"/>
      <c r="D862" s="13"/>
      <c r="F862" s="14"/>
      <c r="G862" s="14"/>
      <c r="H862" s="14"/>
      <c r="I862" s="14"/>
      <c r="J862" s="14"/>
      <c r="K862" s="12"/>
    </row>
    <row r="863" ht="19.5" customHeight="1">
      <c r="A863" s="12"/>
      <c r="C863" s="12"/>
      <c r="D863" s="13"/>
      <c r="F863" s="14"/>
      <c r="G863" s="14"/>
      <c r="H863" s="14"/>
      <c r="I863" s="14"/>
      <c r="J863" s="14"/>
      <c r="K863" s="12"/>
    </row>
    <row r="864" ht="19.5" customHeight="1">
      <c r="A864" s="12"/>
      <c r="C864" s="12"/>
      <c r="D864" s="13"/>
      <c r="F864" s="14"/>
      <c r="G864" s="14"/>
      <c r="H864" s="14"/>
      <c r="I864" s="14"/>
      <c r="J864" s="14"/>
      <c r="K864" s="12"/>
    </row>
    <row r="865" ht="19.5" customHeight="1">
      <c r="A865" s="12"/>
      <c r="C865" s="12"/>
      <c r="D865" s="13"/>
      <c r="F865" s="14"/>
      <c r="G865" s="14"/>
      <c r="H865" s="14"/>
      <c r="I865" s="14"/>
      <c r="J865" s="14"/>
      <c r="K865" s="12"/>
    </row>
    <row r="866" ht="19.5" customHeight="1">
      <c r="A866" s="12"/>
      <c r="C866" s="12"/>
      <c r="D866" s="13"/>
      <c r="F866" s="14"/>
      <c r="G866" s="14"/>
      <c r="H866" s="14"/>
      <c r="I866" s="14"/>
      <c r="J866" s="14"/>
      <c r="K866" s="12"/>
    </row>
    <row r="867" ht="19.5" customHeight="1">
      <c r="A867" s="12"/>
      <c r="C867" s="12"/>
      <c r="D867" s="13"/>
      <c r="F867" s="14"/>
      <c r="G867" s="14"/>
      <c r="H867" s="14"/>
      <c r="I867" s="14"/>
      <c r="J867" s="14"/>
      <c r="K867" s="12"/>
    </row>
    <row r="868" ht="19.5" customHeight="1">
      <c r="A868" s="12"/>
      <c r="C868" s="12"/>
      <c r="D868" s="13"/>
      <c r="F868" s="14"/>
      <c r="G868" s="14"/>
      <c r="H868" s="14"/>
      <c r="I868" s="14"/>
      <c r="J868" s="14"/>
      <c r="K868" s="12"/>
    </row>
    <row r="869" ht="19.5" customHeight="1">
      <c r="A869" s="12"/>
      <c r="C869" s="12"/>
      <c r="D869" s="13"/>
      <c r="F869" s="14"/>
      <c r="G869" s="14"/>
      <c r="H869" s="14"/>
      <c r="I869" s="14"/>
      <c r="J869" s="14"/>
      <c r="K869" s="12"/>
    </row>
    <row r="870" ht="19.5" customHeight="1">
      <c r="A870" s="12"/>
      <c r="C870" s="12"/>
      <c r="D870" s="13"/>
      <c r="F870" s="14"/>
      <c r="G870" s="14"/>
      <c r="H870" s="14"/>
      <c r="I870" s="14"/>
      <c r="J870" s="14"/>
      <c r="K870" s="12"/>
    </row>
    <row r="871" ht="19.5" customHeight="1">
      <c r="A871" s="12"/>
      <c r="C871" s="12"/>
      <c r="D871" s="13"/>
      <c r="F871" s="14"/>
      <c r="G871" s="14"/>
      <c r="H871" s="14"/>
      <c r="I871" s="14"/>
      <c r="J871" s="14"/>
      <c r="K871" s="12"/>
    </row>
    <row r="872" ht="19.5" customHeight="1">
      <c r="A872" s="12"/>
      <c r="C872" s="12"/>
      <c r="D872" s="13"/>
      <c r="F872" s="14"/>
      <c r="G872" s="14"/>
      <c r="H872" s="14"/>
      <c r="I872" s="14"/>
      <c r="J872" s="14"/>
      <c r="K872" s="12"/>
    </row>
    <row r="873" ht="19.5" customHeight="1">
      <c r="A873" s="12"/>
      <c r="C873" s="12"/>
      <c r="D873" s="13"/>
      <c r="F873" s="14"/>
      <c r="G873" s="14"/>
      <c r="H873" s="14"/>
      <c r="I873" s="14"/>
      <c r="J873" s="14"/>
      <c r="K873" s="12"/>
    </row>
    <row r="874" ht="19.5" customHeight="1">
      <c r="A874" s="12"/>
      <c r="C874" s="12"/>
      <c r="D874" s="13"/>
      <c r="F874" s="14"/>
      <c r="G874" s="14"/>
      <c r="H874" s="14"/>
      <c r="I874" s="14"/>
      <c r="J874" s="14"/>
      <c r="K874" s="12"/>
    </row>
    <row r="875" ht="19.5" customHeight="1">
      <c r="A875" s="12"/>
      <c r="C875" s="12"/>
      <c r="D875" s="13"/>
      <c r="F875" s="14"/>
      <c r="G875" s="14"/>
      <c r="H875" s="14"/>
      <c r="I875" s="14"/>
      <c r="J875" s="14"/>
      <c r="K875" s="12"/>
    </row>
    <row r="876" ht="19.5" customHeight="1">
      <c r="A876" s="12"/>
      <c r="C876" s="12"/>
      <c r="D876" s="13"/>
      <c r="F876" s="14"/>
      <c r="G876" s="14"/>
      <c r="H876" s="14"/>
      <c r="I876" s="14"/>
      <c r="J876" s="14"/>
      <c r="K876" s="12"/>
    </row>
    <row r="877" ht="19.5" customHeight="1">
      <c r="A877" s="12"/>
      <c r="C877" s="12"/>
      <c r="D877" s="13"/>
      <c r="F877" s="14"/>
      <c r="G877" s="14"/>
      <c r="H877" s="14"/>
      <c r="I877" s="14"/>
      <c r="J877" s="14"/>
      <c r="K877" s="12"/>
    </row>
    <row r="878" ht="19.5" customHeight="1">
      <c r="A878" s="12"/>
      <c r="C878" s="12"/>
      <c r="D878" s="13"/>
      <c r="F878" s="14"/>
      <c r="G878" s="14"/>
      <c r="H878" s="14"/>
      <c r="I878" s="14"/>
      <c r="J878" s="14"/>
      <c r="K878" s="12"/>
    </row>
    <row r="879" ht="19.5" customHeight="1">
      <c r="A879" s="12"/>
      <c r="C879" s="12"/>
      <c r="D879" s="13"/>
      <c r="F879" s="14"/>
      <c r="G879" s="14"/>
      <c r="H879" s="14"/>
      <c r="I879" s="14"/>
      <c r="J879" s="14"/>
      <c r="K879" s="12"/>
    </row>
    <row r="880" ht="19.5" customHeight="1">
      <c r="A880" s="12"/>
      <c r="C880" s="12"/>
      <c r="D880" s="13"/>
      <c r="F880" s="14"/>
      <c r="G880" s="14"/>
      <c r="H880" s="14"/>
      <c r="I880" s="14"/>
      <c r="J880" s="14"/>
      <c r="K880" s="12"/>
    </row>
    <row r="881" ht="19.5" customHeight="1">
      <c r="A881" s="12"/>
      <c r="C881" s="12"/>
      <c r="D881" s="13"/>
      <c r="F881" s="14"/>
      <c r="G881" s="14"/>
      <c r="H881" s="14"/>
      <c r="I881" s="14"/>
      <c r="J881" s="14"/>
      <c r="K881" s="12"/>
    </row>
    <row r="882" ht="19.5" customHeight="1">
      <c r="A882" s="12"/>
      <c r="C882" s="12"/>
      <c r="D882" s="13"/>
      <c r="F882" s="14"/>
      <c r="G882" s="14"/>
      <c r="H882" s="14"/>
      <c r="I882" s="14"/>
      <c r="J882" s="14"/>
      <c r="K882" s="12"/>
    </row>
    <row r="883" ht="19.5" customHeight="1">
      <c r="A883" s="12"/>
      <c r="C883" s="12"/>
      <c r="D883" s="13"/>
      <c r="F883" s="14"/>
      <c r="G883" s="14"/>
      <c r="H883" s="14"/>
      <c r="I883" s="14"/>
      <c r="J883" s="14"/>
      <c r="K883" s="12"/>
    </row>
    <row r="884" ht="19.5" customHeight="1">
      <c r="A884" s="12"/>
      <c r="C884" s="12"/>
      <c r="D884" s="13"/>
      <c r="F884" s="14"/>
      <c r="G884" s="14"/>
      <c r="H884" s="14"/>
      <c r="I884" s="14"/>
      <c r="J884" s="14"/>
      <c r="K884" s="12"/>
    </row>
    <row r="885" ht="19.5" customHeight="1">
      <c r="A885" s="12"/>
      <c r="C885" s="12"/>
      <c r="D885" s="13"/>
      <c r="F885" s="14"/>
      <c r="G885" s="14"/>
      <c r="H885" s="14"/>
      <c r="I885" s="14"/>
      <c r="J885" s="14"/>
      <c r="K885" s="12"/>
    </row>
    <row r="886" ht="19.5" customHeight="1">
      <c r="A886" s="12"/>
      <c r="C886" s="12"/>
      <c r="D886" s="13"/>
      <c r="F886" s="14"/>
      <c r="G886" s="14"/>
      <c r="H886" s="14"/>
      <c r="I886" s="14"/>
      <c r="J886" s="14"/>
      <c r="K886" s="12"/>
    </row>
    <row r="887" ht="19.5" customHeight="1">
      <c r="A887" s="12"/>
      <c r="C887" s="12"/>
      <c r="D887" s="13"/>
      <c r="F887" s="14"/>
      <c r="G887" s="14"/>
      <c r="H887" s="14"/>
      <c r="I887" s="14"/>
      <c r="J887" s="14"/>
      <c r="K887" s="12"/>
    </row>
    <row r="888" ht="19.5" customHeight="1">
      <c r="A888" s="12"/>
      <c r="C888" s="12"/>
      <c r="D888" s="13"/>
      <c r="F888" s="14"/>
      <c r="G888" s="14"/>
      <c r="H888" s="14"/>
      <c r="I888" s="14"/>
      <c r="J888" s="14"/>
      <c r="K888" s="12"/>
    </row>
    <row r="889" ht="19.5" customHeight="1">
      <c r="A889" s="12"/>
      <c r="C889" s="12"/>
      <c r="D889" s="13"/>
      <c r="F889" s="14"/>
      <c r="G889" s="14"/>
      <c r="H889" s="14"/>
      <c r="I889" s="14"/>
      <c r="J889" s="14"/>
      <c r="K889" s="12"/>
    </row>
    <row r="890" ht="19.5" customHeight="1">
      <c r="A890" s="12"/>
      <c r="C890" s="12"/>
      <c r="D890" s="13"/>
      <c r="F890" s="14"/>
      <c r="G890" s="14"/>
      <c r="H890" s="14"/>
      <c r="I890" s="14"/>
      <c r="J890" s="14"/>
      <c r="K890" s="12"/>
    </row>
    <row r="891" ht="19.5" customHeight="1">
      <c r="A891" s="12"/>
      <c r="C891" s="12"/>
      <c r="D891" s="13"/>
      <c r="F891" s="14"/>
      <c r="G891" s="14"/>
      <c r="H891" s="14"/>
      <c r="I891" s="14"/>
      <c r="J891" s="14"/>
      <c r="K891" s="12"/>
    </row>
    <row r="892" ht="19.5" customHeight="1">
      <c r="A892" s="12"/>
      <c r="C892" s="12"/>
      <c r="D892" s="13"/>
      <c r="F892" s="14"/>
      <c r="G892" s="14"/>
      <c r="H892" s="14"/>
      <c r="I892" s="14"/>
      <c r="J892" s="14"/>
      <c r="K892" s="12"/>
    </row>
    <row r="893" ht="19.5" customHeight="1">
      <c r="A893" s="12"/>
      <c r="C893" s="12"/>
      <c r="D893" s="13"/>
      <c r="F893" s="14"/>
      <c r="G893" s="14"/>
      <c r="H893" s="14"/>
      <c r="I893" s="14"/>
      <c r="J893" s="14"/>
      <c r="K893" s="12"/>
    </row>
    <row r="894" ht="19.5" customHeight="1">
      <c r="A894" s="12"/>
      <c r="C894" s="12"/>
      <c r="D894" s="13"/>
      <c r="F894" s="14"/>
      <c r="G894" s="14"/>
      <c r="H894" s="14"/>
      <c r="I894" s="14"/>
      <c r="J894" s="14"/>
      <c r="K894" s="12"/>
    </row>
    <row r="895" ht="19.5" customHeight="1">
      <c r="A895" s="12"/>
      <c r="C895" s="12"/>
      <c r="D895" s="13"/>
      <c r="F895" s="14"/>
      <c r="G895" s="14"/>
      <c r="H895" s="14"/>
      <c r="I895" s="14"/>
      <c r="J895" s="14"/>
      <c r="K895" s="12"/>
    </row>
    <row r="896" ht="19.5" customHeight="1">
      <c r="A896" s="12"/>
      <c r="C896" s="12"/>
      <c r="D896" s="13"/>
      <c r="F896" s="14"/>
      <c r="G896" s="14"/>
      <c r="H896" s="14"/>
      <c r="I896" s="14"/>
      <c r="J896" s="14"/>
      <c r="K896" s="12"/>
    </row>
    <row r="897" ht="19.5" customHeight="1">
      <c r="A897" s="12"/>
      <c r="C897" s="12"/>
      <c r="D897" s="13"/>
      <c r="F897" s="14"/>
      <c r="G897" s="14"/>
      <c r="H897" s="14"/>
      <c r="I897" s="14"/>
      <c r="J897" s="14"/>
      <c r="K897" s="12"/>
    </row>
    <row r="898" ht="19.5" customHeight="1">
      <c r="A898" s="12"/>
      <c r="C898" s="12"/>
      <c r="D898" s="13"/>
      <c r="F898" s="14"/>
      <c r="G898" s="14"/>
      <c r="H898" s="14"/>
      <c r="I898" s="14"/>
      <c r="J898" s="14"/>
      <c r="K898" s="12"/>
    </row>
    <row r="899" ht="19.5" customHeight="1">
      <c r="A899" s="12"/>
      <c r="C899" s="12"/>
      <c r="D899" s="13"/>
      <c r="F899" s="14"/>
      <c r="G899" s="14"/>
      <c r="H899" s="14"/>
      <c r="I899" s="14"/>
      <c r="J899" s="14"/>
      <c r="K899" s="12"/>
    </row>
    <row r="900" ht="19.5" customHeight="1">
      <c r="A900" s="12"/>
      <c r="C900" s="12"/>
      <c r="D900" s="13"/>
      <c r="F900" s="14"/>
      <c r="G900" s="14"/>
      <c r="H900" s="14"/>
      <c r="I900" s="14"/>
      <c r="J900" s="14"/>
      <c r="K900" s="12"/>
    </row>
    <row r="901" ht="19.5" customHeight="1">
      <c r="A901" s="12"/>
      <c r="C901" s="12"/>
      <c r="D901" s="13"/>
      <c r="F901" s="14"/>
      <c r="G901" s="14"/>
      <c r="H901" s="14"/>
      <c r="I901" s="14"/>
      <c r="J901" s="14"/>
      <c r="K901" s="12"/>
    </row>
    <row r="902" ht="19.5" customHeight="1">
      <c r="A902" s="12"/>
      <c r="C902" s="12"/>
      <c r="D902" s="13"/>
      <c r="F902" s="14"/>
      <c r="G902" s="14"/>
      <c r="H902" s="14"/>
      <c r="I902" s="14"/>
      <c r="J902" s="14"/>
      <c r="K902" s="12"/>
    </row>
    <row r="903" ht="19.5" customHeight="1">
      <c r="A903" s="12"/>
      <c r="C903" s="12"/>
      <c r="D903" s="13"/>
      <c r="F903" s="14"/>
      <c r="G903" s="14"/>
      <c r="H903" s="14"/>
      <c r="I903" s="14"/>
      <c r="J903" s="14"/>
      <c r="K903" s="12"/>
    </row>
    <row r="904" ht="19.5" customHeight="1">
      <c r="A904" s="12"/>
      <c r="C904" s="12"/>
      <c r="D904" s="13"/>
      <c r="F904" s="14"/>
      <c r="G904" s="14"/>
      <c r="H904" s="14"/>
      <c r="I904" s="14"/>
      <c r="J904" s="14"/>
      <c r="K904" s="12"/>
    </row>
    <row r="905" ht="19.5" customHeight="1">
      <c r="A905" s="12"/>
      <c r="C905" s="12"/>
      <c r="D905" s="13"/>
      <c r="F905" s="14"/>
      <c r="G905" s="14"/>
      <c r="H905" s="14"/>
      <c r="I905" s="14"/>
      <c r="J905" s="14"/>
      <c r="K905" s="12"/>
    </row>
    <row r="906" ht="19.5" customHeight="1">
      <c r="A906" s="12"/>
      <c r="C906" s="12"/>
      <c r="D906" s="13"/>
      <c r="F906" s="14"/>
      <c r="G906" s="14"/>
      <c r="H906" s="14"/>
      <c r="I906" s="14"/>
      <c r="J906" s="14"/>
      <c r="K906" s="12"/>
    </row>
    <row r="907" ht="19.5" customHeight="1">
      <c r="A907" s="12"/>
      <c r="C907" s="12"/>
      <c r="D907" s="13"/>
      <c r="F907" s="14"/>
      <c r="G907" s="14"/>
      <c r="H907" s="14"/>
      <c r="I907" s="14"/>
      <c r="J907" s="14"/>
      <c r="K907" s="12"/>
    </row>
    <row r="908" ht="19.5" customHeight="1">
      <c r="A908" s="12"/>
      <c r="C908" s="12"/>
      <c r="D908" s="13"/>
      <c r="F908" s="14"/>
      <c r="G908" s="14"/>
      <c r="H908" s="14"/>
      <c r="I908" s="14"/>
      <c r="J908" s="14"/>
      <c r="K908" s="12"/>
    </row>
    <row r="909" ht="19.5" customHeight="1">
      <c r="A909" s="12"/>
      <c r="C909" s="12"/>
      <c r="D909" s="13"/>
      <c r="F909" s="14"/>
      <c r="G909" s="14"/>
      <c r="H909" s="14"/>
      <c r="I909" s="14"/>
      <c r="J909" s="14"/>
      <c r="K909" s="12"/>
    </row>
    <row r="910" ht="19.5" customHeight="1">
      <c r="A910" s="12"/>
      <c r="C910" s="12"/>
      <c r="D910" s="13"/>
      <c r="F910" s="14"/>
      <c r="G910" s="14"/>
      <c r="H910" s="14"/>
      <c r="I910" s="14"/>
      <c r="J910" s="14"/>
      <c r="K910" s="12"/>
    </row>
    <row r="911" ht="19.5" customHeight="1">
      <c r="A911" s="12"/>
      <c r="C911" s="12"/>
      <c r="D911" s="13"/>
      <c r="F911" s="14"/>
      <c r="G911" s="14"/>
      <c r="H911" s="14"/>
      <c r="I911" s="14"/>
      <c r="J911" s="14"/>
      <c r="K911" s="12"/>
    </row>
    <row r="912" ht="19.5" customHeight="1">
      <c r="A912" s="12"/>
      <c r="C912" s="12"/>
      <c r="D912" s="13"/>
      <c r="F912" s="14"/>
      <c r="G912" s="14"/>
      <c r="H912" s="14"/>
      <c r="I912" s="14"/>
      <c r="J912" s="14"/>
      <c r="K912" s="12"/>
    </row>
    <row r="913" ht="19.5" customHeight="1">
      <c r="A913" s="12"/>
      <c r="C913" s="12"/>
      <c r="D913" s="13"/>
      <c r="F913" s="14"/>
      <c r="G913" s="14"/>
      <c r="H913" s="14"/>
      <c r="I913" s="14"/>
      <c r="J913" s="14"/>
      <c r="K913" s="12"/>
    </row>
    <row r="914" ht="19.5" customHeight="1">
      <c r="A914" s="12"/>
      <c r="C914" s="12"/>
      <c r="D914" s="13"/>
      <c r="F914" s="14"/>
      <c r="G914" s="14"/>
      <c r="H914" s="14"/>
      <c r="I914" s="14"/>
      <c r="J914" s="14"/>
      <c r="K914" s="12"/>
    </row>
    <row r="915" ht="19.5" customHeight="1">
      <c r="A915" s="12"/>
      <c r="C915" s="12"/>
      <c r="D915" s="13"/>
      <c r="F915" s="14"/>
      <c r="G915" s="14"/>
      <c r="H915" s="14"/>
      <c r="I915" s="14"/>
      <c r="J915" s="14"/>
      <c r="K915" s="12"/>
    </row>
    <row r="916" ht="19.5" customHeight="1">
      <c r="A916" s="12"/>
      <c r="C916" s="12"/>
      <c r="D916" s="13"/>
      <c r="F916" s="14"/>
      <c r="G916" s="14"/>
      <c r="H916" s="14"/>
      <c r="I916" s="14"/>
      <c r="J916" s="14"/>
      <c r="K916" s="12"/>
    </row>
    <row r="917" ht="19.5" customHeight="1">
      <c r="A917" s="12"/>
      <c r="C917" s="12"/>
      <c r="D917" s="13"/>
      <c r="F917" s="14"/>
      <c r="G917" s="14"/>
      <c r="H917" s="14"/>
      <c r="I917" s="14"/>
      <c r="J917" s="14"/>
      <c r="K917" s="12"/>
    </row>
    <row r="918" ht="19.5" customHeight="1">
      <c r="A918" s="12"/>
      <c r="C918" s="12"/>
      <c r="D918" s="13"/>
      <c r="F918" s="14"/>
      <c r="G918" s="14"/>
      <c r="H918" s="14"/>
      <c r="I918" s="14"/>
      <c r="J918" s="14"/>
      <c r="K918" s="12"/>
    </row>
    <row r="919" ht="19.5" customHeight="1">
      <c r="A919" s="12"/>
      <c r="C919" s="12"/>
      <c r="D919" s="13"/>
      <c r="F919" s="14"/>
      <c r="G919" s="14"/>
      <c r="H919" s="14"/>
      <c r="I919" s="14"/>
      <c r="J919" s="14"/>
      <c r="K919" s="12"/>
    </row>
    <row r="920" ht="19.5" customHeight="1">
      <c r="A920" s="12"/>
      <c r="C920" s="12"/>
      <c r="D920" s="13"/>
      <c r="F920" s="14"/>
      <c r="G920" s="14"/>
      <c r="H920" s="14"/>
      <c r="I920" s="14"/>
      <c r="J920" s="14"/>
      <c r="K920" s="12"/>
    </row>
    <row r="921" ht="19.5" customHeight="1">
      <c r="A921" s="12"/>
      <c r="C921" s="12"/>
      <c r="D921" s="13"/>
      <c r="F921" s="14"/>
      <c r="G921" s="14"/>
      <c r="H921" s="14"/>
      <c r="I921" s="14"/>
      <c r="J921" s="14"/>
      <c r="K921" s="12"/>
    </row>
    <row r="922" ht="19.5" customHeight="1">
      <c r="A922" s="12"/>
      <c r="C922" s="12"/>
      <c r="D922" s="13"/>
      <c r="F922" s="14"/>
      <c r="G922" s="14"/>
      <c r="H922" s="14"/>
      <c r="I922" s="14"/>
      <c r="J922" s="14"/>
      <c r="K922" s="12"/>
    </row>
    <row r="923" ht="19.5" customHeight="1">
      <c r="A923" s="12"/>
      <c r="C923" s="12"/>
      <c r="D923" s="13"/>
      <c r="F923" s="14"/>
      <c r="G923" s="14"/>
      <c r="H923" s="14"/>
      <c r="I923" s="14"/>
      <c r="J923" s="14"/>
      <c r="K923" s="12"/>
    </row>
    <row r="924" ht="19.5" customHeight="1">
      <c r="A924" s="12"/>
      <c r="C924" s="12"/>
      <c r="D924" s="13"/>
      <c r="F924" s="14"/>
      <c r="G924" s="14"/>
      <c r="H924" s="14"/>
      <c r="I924" s="14"/>
      <c r="J924" s="14"/>
      <c r="K924" s="12"/>
    </row>
    <row r="925" ht="19.5" customHeight="1">
      <c r="A925" s="12"/>
      <c r="C925" s="12"/>
      <c r="D925" s="13"/>
      <c r="F925" s="14"/>
      <c r="G925" s="14"/>
      <c r="H925" s="14"/>
      <c r="I925" s="14"/>
      <c r="J925" s="14"/>
      <c r="K925" s="12"/>
    </row>
    <row r="926" ht="19.5" customHeight="1">
      <c r="A926" s="12"/>
      <c r="C926" s="12"/>
      <c r="D926" s="13"/>
      <c r="F926" s="14"/>
      <c r="G926" s="14"/>
      <c r="H926" s="14"/>
      <c r="I926" s="14"/>
      <c r="J926" s="14"/>
      <c r="K926" s="12"/>
    </row>
    <row r="927" ht="19.5" customHeight="1">
      <c r="A927" s="12"/>
      <c r="C927" s="12"/>
      <c r="D927" s="13"/>
      <c r="F927" s="14"/>
      <c r="G927" s="14"/>
      <c r="H927" s="14"/>
      <c r="I927" s="14"/>
      <c r="J927" s="14"/>
      <c r="K927" s="12"/>
    </row>
    <row r="928" ht="19.5" customHeight="1">
      <c r="A928" s="12"/>
      <c r="C928" s="12"/>
      <c r="D928" s="13"/>
      <c r="F928" s="14"/>
      <c r="G928" s="14"/>
      <c r="H928" s="14"/>
      <c r="I928" s="14"/>
      <c r="J928" s="14"/>
      <c r="K928" s="12"/>
    </row>
    <row r="929" ht="19.5" customHeight="1">
      <c r="A929" s="12"/>
      <c r="C929" s="12"/>
      <c r="D929" s="13"/>
      <c r="F929" s="14"/>
      <c r="G929" s="14"/>
      <c r="H929" s="14"/>
      <c r="I929" s="14"/>
      <c r="J929" s="14"/>
      <c r="K929" s="12"/>
    </row>
    <row r="930" ht="19.5" customHeight="1">
      <c r="A930" s="12"/>
      <c r="C930" s="12"/>
      <c r="D930" s="13"/>
      <c r="F930" s="14"/>
      <c r="G930" s="14"/>
      <c r="H930" s="14"/>
      <c r="I930" s="14"/>
      <c r="J930" s="14"/>
      <c r="K930" s="12"/>
    </row>
    <row r="931" ht="19.5" customHeight="1">
      <c r="A931" s="12"/>
      <c r="C931" s="12"/>
      <c r="D931" s="13"/>
      <c r="F931" s="14"/>
      <c r="G931" s="14"/>
      <c r="H931" s="14"/>
      <c r="I931" s="14"/>
      <c r="J931" s="14"/>
      <c r="K931" s="12"/>
    </row>
    <row r="932" ht="19.5" customHeight="1">
      <c r="A932" s="12"/>
      <c r="C932" s="12"/>
      <c r="D932" s="13"/>
      <c r="F932" s="14"/>
      <c r="G932" s="14"/>
      <c r="H932" s="14"/>
      <c r="I932" s="14"/>
      <c r="J932" s="14"/>
      <c r="K932" s="12"/>
    </row>
    <row r="933" ht="19.5" customHeight="1">
      <c r="A933" s="12"/>
      <c r="C933" s="12"/>
      <c r="D933" s="13"/>
      <c r="F933" s="14"/>
      <c r="G933" s="14"/>
      <c r="H933" s="14"/>
      <c r="I933" s="14"/>
      <c r="J933" s="14"/>
      <c r="K933" s="12"/>
    </row>
    <row r="934" ht="19.5" customHeight="1">
      <c r="A934" s="12"/>
      <c r="C934" s="12"/>
      <c r="D934" s="13"/>
      <c r="F934" s="14"/>
      <c r="G934" s="14"/>
      <c r="H934" s="14"/>
      <c r="I934" s="14"/>
      <c r="J934" s="14"/>
      <c r="K934" s="12"/>
    </row>
    <row r="935" ht="19.5" customHeight="1">
      <c r="A935" s="12"/>
      <c r="C935" s="12"/>
      <c r="D935" s="13"/>
      <c r="F935" s="14"/>
      <c r="G935" s="14"/>
      <c r="H935" s="14"/>
      <c r="I935" s="14"/>
      <c r="J935" s="14"/>
      <c r="K935" s="12"/>
    </row>
    <row r="936" ht="19.5" customHeight="1">
      <c r="A936" s="12"/>
      <c r="C936" s="12"/>
      <c r="D936" s="13"/>
      <c r="F936" s="14"/>
      <c r="G936" s="14"/>
      <c r="H936" s="14"/>
      <c r="I936" s="14"/>
      <c r="J936" s="14"/>
      <c r="K936" s="12"/>
    </row>
    <row r="937" ht="19.5" customHeight="1">
      <c r="A937" s="12"/>
      <c r="C937" s="12"/>
      <c r="D937" s="13"/>
      <c r="F937" s="14"/>
      <c r="G937" s="14"/>
      <c r="H937" s="14"/>
      <c r="I937" s="14"/>
      <c r="J937" s="14"/>
      <c r="K937" s="12"/>
    </row>
    <row r="938" ht="19.5" customHeight="1">
      <c r="A938" s="12"/>
      <c r="C938" s="12"/>
      <c r="D938" s="13"/>
      <c r="F938" s="14"/>
      <c r="G938" s="14"/>
      <c r="H938" s="14"/>
      <c r="I938" s="14"/>
      <c r="J938" s="14"/>
      <c r="K938" s="12"/>
    </row>
    <row r="939" ht="19.5" customHeight="1">
      <c r="A939" s="12"/>
      <c r="C939" s="12"/>
      <c r="D939" s="13"/>
      <c r="F939" s="14"/>
      <c r="G939" s="14"/>
      <c r="H939" s="14"/>
      <c r="I939" s="14"/>
      <c r="J939" s="14"/>
      <c r="K939" s="12"/>
    </row>
    <row r="940" ht="19.5" customHeight="1">
      <c r="A940" s="12"/>
      <c r="C940" s="12"/>
      <c r="D940" s="13"/>
      <c r="F940" s="14"/>
      <c r="G940" s="14"/>
      <c r="H940" s="14"/>
      <c r="I940" s="14"/>
      <c r="J940" s="14"/>
      <c r="K940" s="12"/>
    </row>
    <row r="941" ht="19.5" customHeight="1">
      <c r="A941" s="12"/>
      <c r="C941" s="12"/>
      <c r="D941" s="13"/>
      <c r="F941" s="14"/>
      <c r="G941" s="14"/>
      <c r="H941" s="14"/>
      <c r="I941" s="14"/>
      <c r="J941" s="14"/>
      <c r="K941" s="12"/>
    </row>
    <row r="942" ht="19.5" customHeight="1">
      <c r="A942" s="12"/>
      <c r="C942" s="12"/>
      <c r="D942" s="13"/>
      <c r="F942" s="14"/>
      <c r="G942" s="14"/>
      <c r="H942" s="14"/>
      <c r="I942" s="14"/>
      <c r="J942" s="14"/>
      <c r="K942" s="12"/>
    </row>
    <row r="943" ht="19.5" customHeight="1">
      <c r="A943" s="12"/>
      <c r="C943" s="12"/>
      <c r="D943" s="13"/>
      <c r="F943" s="14"/>
      <c r="G943" s="14"/>
      <c r="H943" s="14"/>
      <c r="I943" s="14"/>
      <c r="J943" s="14"/>
      <c r="K943" s="12"/>
    </row>
    <row r="944" ht="19.5" customHeight="1">
      <c r="A944" s="12"/>
      <c r="C944" s="12"/>
      <c r="D944" s="13"/>
      <c r="F944" s="14"/>
      <c r="G944" s="14"/>
      <c r="H944" s="14"/>
      <c r="I944" s="14"/>
      <c r="J944" s="14"/>
      <c r="K944" s="12"/>
    </row>
    <row r="945" ht="19.5" customHeight="1">
      <c r="A945" s="12"/>
      <c r="C945" s="12"/>
      <c r="D945" s="13"/>
      <c r="F945" s="14"/>
      <c r="G945" s="14"/>
      <c r="H945" s="14"/>
      <c r="I945" s="14"/>
      <c r="J945" s="14"/>
      <c r="K945" s="12"/>
    </row>
    <row r="946" ht="19.5" customHeight="1">
      <c r="A946" s="12"/>
      <c r="C946" s="12"/>
      <c r="D946" s="13"/>
      <c r="F946" s="14"/>
      <c r="G946" s="14"/>
      <c r="H946" s="14"/>
      <c r="I946" s="14"/>
      <c r="J946" s="14"/>
      <c r="K946" s="12"/>
    </row>
    <row r="947" ht="19.5" customHeight="1">
      <c r="A947" s="12"/>
      <c r="C947" s="12"/>
      <c r="D947" s="13"/>
      <c r="F947" s="14"/>
      <c r="G947" s="14"/>
      <c r="H947" s="14"/>
      <c r="I947" s="14"/>
      <c r="J947" s="14"/>
      <c r="K947" s="12"/>
    </row>
    <row r="948" ht="19.5" customHeight="1">
      <c r="A948" s="12"/>
      <c r="C948" s="12"/>
      <c r="D948" s="13"/>
      <c r="F948" s="14"/>
      <c r="G948" s="14"/>
      <c r="H948" s="14"/>
      <c r="I948" s="14"/>
      <c r="J948" s="14"/>
      <c r="K948" s="12"/>
    </row>
    <row r="949" ht="19.5" customHeight="1">
      <c r="A949" s="12"/>
      <c r="C949" s="12"/>
      <c r="D949" s="13"/>
      <c r="F949" s="14"/>
      <c r="G949" s="14"/>
      <c r="H949" s="14"/>
      <c r="I949" s="14"/>
      <c r="J949" s="14"/>
      <c r="K949" s="12"/>
    </row>
    <row r="950" ht="19.5" customHeight="1">
      <c r="A950" s="12"/>
      <c r="C950" s="12"/>
      <c r="D950" s="13"/>
      <c r="F950" s="14"/>
      <c r="G950" s="14"/>
      <c r="H950" s="14"/>
      <c r="I950" s="14"/>
      <c r="J950" s="14"/>
      <c r="K950" s="12"/>
    </row>
    <row r="951" ht="19.5" customHeight="1">
      <c r="A951" s="12"/>
      <c r="C951" s="12"/>
      <c r="D951" s="13"/>
      <c r="F951" s="14"/>
      <c r="G951" s="14"/>
      <c r="H951" s="14"/>
      <c r="I951" s="14"/>
      <c r="J951" s="14"/>
      <c r="K951" s="12"/>
    </row>
    <row r="952" ht="19.5" customHeight="1">
      <c r="A952" s="12"/>
      <c r="C952" s="12"/>
      <c r="D952" s="13"/>
      <c r="F952" s="14"/>
      <c r="G952" s="14"/>
      <c r="H952" s="14"/>
      <c r="I952" s="14"/>
      <c r="J952" s="14"/>
      <c r="K952" s="12"/>
    </row>
    <row r="953" ht="19.5" customHeight="1">
      <c r="A953" s="12"/>
      <c r="C953" s="12"/>
      <c r="D953" s="13"/>
      <c r="F953" s="14"/>
      <c r="G953" s="14"/>
      <c r="H953" s="14"/>
      <c r="I953" s="14"/>
      <c r="J953" s="14"/>
      <c r="K953" s="12"/>
    </row>
    <row r="954" ht="19.5" customHeight="1">
      <c r="A954" s="12"/>
      <c r="C954" s="12"/>
      <c r="D954" s="13"/>
      <c r="F954" s="14"/>
      <c r="G954" s="14"/>
      <c r="H954" s="14"/>
      <c r="I954" s="14"/>
      <c r="J954" s="14"/>
      <c r="K954" s="12"/>
    </row>
    <row r="955" ht="19.5" customHeight="1">
      <c r="A955" s="12"/>
      <c r="C955" s="12"/>
      <c r="D955" s="13"/>
      <c r="F955" s="14"/>
      <c r="G955" s="14"/>
      <c r="H955" s="14"/>
      <c r="I955" s="14"/>
      <c r="J955" s="14"/>
      <c r="K955" s="12"/>
    </row>
    <row r="956" ht="19.5" customHeight="1">
      <c r="A956" s="12"/>
      <c r="C956" s="12"/>
      <c r="D956" s="13"/>
      <c r="F956" s="14"/>
      <c r="G956" s="14"/>
      <c r="H956" s="14"/>
      <c r="I956" s="14"/>
      <c r="J956" s="14"/>
      <c r="K956" s="12"/>
    </row>
    <row r="957" ht="19.5" customHeight="1">
      <c r="A957" s="12"/>
      <c r="C957" s="12"/>
      <c r="D957" s="13"/>
      <c r="F957" s="14"/>
      <c r="G957" s="14"/>
      <c r="H957" s="14"/>
      <c r="I957" s="14"/>
      <c r="J957" s="14"/>
      <c r="K957" s="12"/>
    </row>
    <row r="958" ht="19.5" customHeight="1">
      <c r="A958" s="12"/>
      <c r="C958" s="12"/>
      <c r="D958" s="13"/>
      <c r="F958" s="14"/>
      <c r="G958" s="14"/>
      <c r="H958" s="14"/>
      <c r="I958" s="14"/>
      <c r="J958" s="14"/>
      <c r="K958" s="12"/>
    </row>
    <row r="959" ht="19.5" customHeight="1">
      <c r="A959" s="12"/>
      <c r="C959" s="12"/>
      <c r="D959" s="13"/>
      <c r="F959" s="14"/>
      <c r="G959" s="14"/>
      <c r="H959" s="14"/>
      <c r="I959" s="14"/>
      <c r="J959" s="14"/>
      <c r="K959" s="12"/>
    </row>
    <row r="960" ht="19.5" customHeight="1">
      <c r="A960" s="12"/>
      <c r="C960" s="12"/>
      <c r="D960" s="13"/>
      <c r="F960" s="14"/>
      <c r="G960" s="14"/>
      <c r="H960" s="14"/>
      <c r="I960" s="14"/>
      <c r="J960" s="14"/>
      <c r="K960" s="12"/>
    </row>
    <row r="961" ht="19.5" customHeight="1">
      <c r="A961" s="12"/>
      <c r="C961" s="12"/>
      <c r="D961" s="13"/>
      <c r="F961" s="14"/>
      <c r="G961" s="14"/>
      <c r="H961" s="14"/>
      <c r="I961" s="14"/>
      <c r="J961" s="14"/>
      <c r="K961" s="12"/>
    </row>
    <row r="962" ht="19.5" customHeight="1">
      <c r="A962" s="12"/>
      <c r="C962" s="12"/>
      <c r="D962" s="13"/>
      <c r="F962" s="14"/>
      <c r="G962" s="14"/>
      <c r="H962" s="14"/>
      <c r="I962" s="14"/>
      <c r="J962" s="14"/>
      <c r="K962" s="12"/>
    </row>
    <row r="963" ht="19.5" customHeight="1">
      <c r="A963" s="12"/>
      <c r="C963" s="12"/>
      <c r="D963" s="13"/>
      <c r="F963" s="14"/>
      <c r="G963" s="14"/>
      <c r="H963" s="14"/>
      <c r="I963" s="14"/>
      <c r="J963" s="14"/>
      <c r="K963" s="12"/>
    </row>
    <row r="964" ht="19.5" customHeight="1">
      <c r="A964" s="12"/>
      <c r="C964" s="12"/>
      <c r="D964" s="13"/>
      <c r="F964" s="14"/>
      <c r="G964" s="14"/>
      <c r="H964" s="14"/>
      <c r="I964" s="14"/>
      <c r="J964" s="14"/>
      <c r="K964" s="12"/>
    </row>
    <row r="965" ht="19.5" customHeight="1">
      <c r="A965" s="12"/>
      <c r="C965" s="12"/>
      <c r="D965" s="13"/>
      <c r="F965" s="14"/>
      <c r="G965" s="14"/>
      <c r="H965" s="14"/>
      <c r="I965" s="14"/>
      <c r="J965" s="14"/>
      <c r="K965" s="12"/>
    </row>
    <row r="966" ht="19.5" customHeight="1">
      <c r="A966" s="12"/>
      <c r="C966" s="12"/>
      <c r="D966" s="13"/>
      <c r="F966" s="14"/>
      <c r="G966" s="14"/>
      <c r="H966" s="14"/>
      <c r="I966" s="14"/>
      <c r="J966" s="14"/>
      <c r="K966" s="12"/>
    </row>
    <row r="967" ht="19.5" customHeight="1">
      <c r="A967" s="12"/>
      <c r="C967" s="12"/>
      <c r="D967" s="13"/>
      <c r="F967" s="14"/>
      <c r="G967" s="14"/>
      <c r="H967" s="14"/>
      <c r="I967" s="14"/>
      <c r="J967" s="14"/>
      <c r="K967" s="12"/>
    </row>
    <row r="968" ht="19.5" customHeight="1">
      <c r="A968" s="12"/>
      <c r="C968" s="12"/>
      <c r="D968" s="13"/>
      <c r="F968" s="14"/>
      <c r="G968" s="14"/>
      <c r="H968" s="14"/>
      <c r="I968" s="14"/>
      <c r="J968" s="14"/>
      <c r="K968" s="12"/>
    </row>
    <row r="969" ht="19.5" customHeight="1">
      <c r="A969" s="12"/>
      <c r="C969" s="12"/>
      <c r="D969" s="13"/>
      <c r="F969" s="14"/>
      <c r="G969" s="14"/>
      <c r="H969" s="14"/>
      <c r="I969" s="14"/>
      <c r="J969" s="14"/>
      <c r="K969" s="12"/>
    </row>
    <row r="970" ht="19.5" customHeight="1">
      <c r="A970" s="12"/>
      <c r="C970" s="12"/>
      <c r="D970" s="13"/>
      <c r="F970" s="14"/>
      <c r="G970" s="14"/>
      <c r="H970" s="14"/>
      <c r="I970" s="14"/>
      <c r="J970" s="14"/>
      <c r="K970" s="12"/>
    </row>
    <row r="971" ht="19.5" customHeight="1">
      <c r="A971" s="12"/>
      <c r="C971" s="12"/>
      <c r="D971" s="13"/>
      <c r="F971" s="14"/>
      <c r="G971" s="14"/>
      <c r="H971" s="14"/>
      <c r="I971" s="14"/>
      <c r="J971" s="14"/>
      <c r="K971" s="12"/>
    </row>
    <row r="972" ht="19.5" customHeight="1">
      <c r="A972" s="12"/>
      <c r="C972" s="12"/>
      <c r="D972" s="13"/>
      <c r="F972" s="14"/>
      <c r="G972" s="14"/>
      <c r="H972" s="14"/>
      <c r="I972" s="14"/>
      <c r="J972" s="14"/>
      <c r="K972" s="12"/>
    </row>
    <row r="973" ht="19.5" customHeight="1">
      <c r="A973" s="12"/>
      <c r="C973" s="12"/>
      <c r="D973" s="13"/>
      <c r="F973" s="14"/>
      <c r="G973" s="14"/>
      <c r="H973" s="14"/>
      <c r="I973" s="14"/>
      <c r="J973" s="14"/>
      <c r="K973" s="12"/>
    </row>
    <row r="974" ht="19.5" customHeight="1">
      <c r="A974" s="12"/>
      <c r="C974" s="12"/>
      <c r="D974" s="13"/>
      <c r="F974" s="14"/>
      <c r="G974" s="14"/>
      <c r="H974" s="14"/>
      <c r="I974" s="14"/>
      <c r="J974" s="14"/>
      <c r="K974" s="12"/>
    </row>
    <row r="975" ht="19.5" customHeight="1">
      <c r="A975" s="12"/>
      <c r="C975" s="12"/>
      <c r="D975" s="13"/>
      <c r="F975" s="14"/>
      <c r="G975" s="14"/>
      <c r="H975" s="14"/>
      <c r="I975" s="14"/>
      <c r="J975" s="14"/>
      <c r="K975" s="12"/>
    </row>
    <row r="976" ht="19.5" customHeight="1">
      <c r="A976" s="12"/>
      <c r="C976" s="12"/>
      <c r="D976" s="13"/>
      <c r="F976" s="14"/>
      <c r="G976" s="14"/>
      <c r="H976" s="14"/>
      <c r="I976" s="14"/>
      <c r="J976" s="14"/>
      <c r="K976" s="12"/>
    </row>
    <row r="977" ht="19.5" customHeight="1">
      <c r="A977" s="12"/>
      <c r="C977" s="12"/>
      <c r="D977" s="13"/>
      <c r="F977" s="14"/>
      <c r="G977" s="14"/>
      <c r="H977" s="14"/>
      <c r="I977" s="14"/>
      <c r="J977" s="14"/>
      <c r="K977" s="12"/>
    </row>
    <row r="978" ht="19.5" customHeight="1">
      <c r="A978" s="12"/>
      <c r="C978" s="12"/>
      <c r="D978" s="13"/>
      <c r="F978" s="14"/>
      <c r="G978" s="14"/>
      <c r="H978" s="14"/>
      <c r="I978" s="14"/>
      <c r="J978" s="14"/>
      <c r="K978" s="12"/>
    </row>
    <row r="979" ht="19.5" customHeight="1">
      <c r="A979" s="12"/>
      <c r="C979" s="12"/>
      <c r="D979" s="13"/>
      <c r="F979" s="14"/>
      <c r="G979" s="14"/>
      <c r="H979" s="14"/>
      <c r="I979" s="14"/>
      <c r="J979" s="14"/>
      <c r="K979" s="12"/>
    </row>
    <row r="980" ht="19.5" customHeight="1">
      <c r="A980" s="12"/>
      <c r="C980" s="12"/>
      <c r="D980" s="13"/>
      <c r="F980" s="14"/>
      <c r="G980" s="14"/>
      <c r="H980" s="14"/>
      <c r="I980" s="14"/>
      <c r="J980" s="14"/>
      <c r="K980" s="12"/>
    </row>
    <row r="981" ht="19.5" customHeight="1">
      <c r="A981" s="12"/>
      <c r="C981" s="12"/>
      <c r="D981" s="13"/>
      <c r="F981" s="14"/>
      <c r="G981" s="14"/>
      <c r="H981" s="14"/>
      <c r="I981" s="14"/>
      <c r="J981" s="14"/>
      <c r="K981" s="12"/>
    </row>
    <row r="982" ht="19.5" customHeight="1">
      <c r="A982" s="12"/>
      <c r="C982" s="12"/>
      <c r="D982" s="13"/>
      <c r="F982" s="14"/>
      <c r="G982" s="14"/>
      <c r="H982" s="14"/>
      <c r="I982" s="14"/>
      <c r="J982" s="14"/>
      <c r="K982" s="12"/>
    </row>
    <row r="983" ht="19.5" customHeight="1">
      <c r="A983" s="12"/>
      <c r="C983" s="12"/>
      <c r="D983" s="13"/>
      <c r="F983" s="14"/>
      <c r="G983" s="14"/>
      <c r="H983" s="14"/>
      <c r="I983" s="14"/>
      <c r="J983" s="14"/>
      <c r="K983" s="12"/>
    </row>
    <row r="984" ht="19.5" customHeight="1">
      <c r="A984" s="12"/>
      <c r="C984" s="12"/>
      <c r="D984" s="13"/>
      <c r="F984" s="14"/>
      <c r="G984" s="14"/>
      <c r="H984" s="14"/>
      <c r="I984" s="14"/>
      <c r="J984" s="14"/>
      <c r="K984" s="12"/>
    </row>
    <row r="985" ht="19.5" customHeight="1">
      <c r="A985" s="12"/>
      <c r="C985" s="12"/>
      <c r="D985" s="13"/>
      <c r="F985" s="14"/>
      <c r="G985" s="14"/>
      <c r="H985" s="14"/>
      <c r="I985" s="14"/>
      <c r="J985" s="14"/>
      <c r="K985" s="12"/>
    </row>
    <row r="986" ht="19.5" customHeight="1">
      <c r="A986" s="12"/>
      <c r="C986" s="12"/>
      <c r="D986" s="13"/>
      <c r="F986" s="14"/>
      <c r="G986" s="14"/>
      <c r="H986" s="14"/>
      <c r="I986" s="14"/>
      <c r="J986" s="14"/>
      <c r="K986" s="12"/>
    </row>
    <row r="987" ht="19.5" customHeight="1">
      <c r="A987" s="12"/>
      <c r="C987" s="12"/>
      <c r="D987" s="13"/>
      <c r="F987" s="14"/>
      <c r="G987" s="14"/>
      <c r="H987" s="14"/>
      <c r="I987" s="14"/>
      <c r="J987" s="14"/>
      <c r="K987" s="12"/>
    </row>
    <row r="988" ht="19.5" customHeight="1">
      <c r="A988" s="12"/>
      <c r="C988" s="12"/>
      <c r="D988" s="13"/>
      <c r="F988" s="14"/>
      <c r="G988" s="14"/>
      <c r="H988" s="14"/>
      <c r="I988" s="14"/>
      <c r="J988" s="14"/>
      <c r="K988" s="12"/>
    </row>
    <row r="989" ht="19.5" customHeight="1">
      <c r="A989" s="12"/>
      <c r="C989" s="12"/>
      <c r="D989" s="13"/>
      <c r="F989" s="14"/>
      <c r="G989" s="14"/>
      <c r="H989" s="14"/>
      <c r="I989" s="14"/>
      <c r="J989" s="14"/>
      <c r="K989" s="12"/>
    </row>
    <row r="990" ht="19.5" customHeight="1">
      <c r="A990" s="12"/>
      <c r="C990" s="12"/>
      <c r="D990" s="13"/>
      <c r="F990" s="14"/>
      <c r="G990" s="14"/>
      <c r="H990" s="14"/>
      <c r="I990" s="14"/>
      <c r="J990" s="14"/>
      <c r="K990" s="12"/>
    </row>
    <row r="991" ht="19.5" customHeight="1">
      <c r="A991" s="12"/>
      <c r="C991" s="12"/>
      <c r="D991" s="13"/>
      <c r="F991" s="14"/>
      <c r="G991" s="14"/>
      <c r="H991" s="14"/>
      <c r="I991" s="14"/>
      <c r="J991" s="14"/>
      <c r="K991" s="12"/>
    </row>
    <row r="992" ht="19.5" customHeight="1">
      <c r="A992" s="12"/>
      <c r="C992" s="12"/>
      <c r="D992" s="13"/>
      <c r="F992" s="14"/>
      <c r="G992" s="14"/>
      <c r="H992" s="14"/>
      <c r="I992" s="14"/>
      <c r="J992" s="14"/>
      <c r="K992" s="12"/>
    </row>
    <row r="993" ht="19.5" customHeight="1">
      <c r="A993" s="12"/>
      <c r="C993" s="12"/>
      <c r="D993" s="13"/>
      <c r="F993" s="14"/>
      <c r="G993" s="14"/>
      <c r="H993" s="14"/>
      <c r="I993" s="14"/>
      <c r="J993" s="14"/>
      <c r="K993" s="12"/>
    </row>
    <row r="994" ht="19.5" customHeight="1">
      <c r="A994" s="12"/>
      <c r="C994" s="12"/>
      <c r="D994" s="13"/>
      <c r="F994" s="14"/>
      <c r="G994" s="14"/>
      <c r="H994" s="14"/>
      <c r="I994" s="14"/>
      <c r="J994" s="14"/>
      <c r="K994" s="12"/>
    </row>
    <row r="995" ht="19.5" customHeight="1">
      <c r="A995" s="12"/>
      <c r="C995" s="12"/>
      <c r="D995" s="13"/>
      <c r="F995" s="14"/>
      <c r="G995" s="14"/>
      <c r="H995" s="14"/>
      <c r="I995" s="14"/>
      <c r="J995" s="14"/>
      <c r="K995" s="12"/>
    </row>
    <row r="996" ht="19.5" customHeight="1">
      <c r="A996" s="12"/>
      <c r="C996" s="12"/>
      <c r="D996" s="13"/>
      <c r="F996" s="14"/>
      <c r="G996" s="14"/>
      <c r="H996" s="14"/>
      <c r="I996" s="14"/>
      <c r="J996" s="14"/>
      <c r="K996" s="12"/>
    </row>
    <row r="997" ht="19.5" customHeight="1">
      <c r="A997" s="12"/>
      <c r="C997" s="12"/>
      <c r="D997" s="13"/>
      <c r="F997" s="14"/>
      <c r="G997" s="14"/>
      <c r="H997" s="14"/>
      <c r="I997" s="14"/>
      <c r="J997" s="14"/>
      <c r="K997" s="12"/>
    </row>
    <row r="998" ht="19.5" customHeight="1">
      <c r="A998" s="12"/>
      <c r="C998" s="12"/>
      <c r="D998" s="13"/>
      <c r="F998" s="14"/>
      <c r="G998" s="14"/>
      <c r="H998" s="14"/>
      <c r="I998" s="14"/>
      <c r="J998" s="14"/>
      <c r="K998" s="12"/>
    </row>
    <row r="999" ht="19.5" customHeight="1">
      <c r="A999" s="12"/>
      <c r="C999" s="12"/>
      <c r="D999" s="13"/>
      <c r="F999" s="14"/>
      <c r="G999" s="14"/>
      <c r="H999" s="14"/>
      <c r="I999" s="14"/>
      <c r="J999" s="14"/>
      <c r="K999" s="12"/>
    </row>
    <row r="1000" ht="19.5" customHeight="1">
      <c r="A1000" s="12"/>
      <c r="C1000" s="12"/>
      <c r="D1000" s="13"/>
      <c r="F1000" s="14"/>
      <c r="G1000" s="14"/>
      <c r="H1000" s="14"/>
      <c r="I1000" s="14"/>
      <c r="J1000" s="14"/>
      <c r="K1000" s="12"/>
    </row>
    <row r="1001" ht="19.5" customHeight="1">
      <c r="A1001" s="12"/>
      <c r="C1001" s="12"/>
      <c r="D1001" s="13"/>
      <c r="F1001" s="14"/>
      <c r="G1001" s="14"/>
      <c r="H1001" s="14"/>
      <c r="I1001" s="14"/>
      <c r="J1001" s="14"/>
      <c r="K1001" s="12"/>
    </row>
    <row r="1002" ht="19.5" customHeight="1">
      <c r="A1002" s="12"/>
      <c r="C1002" s="12"/>
      <c r="D1002" s="13"/>
      <c r="F1002" s="14"/>
      <c r="G1002" s="14"/>
      <c r="H1002" s="14"/>
      <c r="I1002" s="14"/>
      <c r="J1002" s="14"/>
      <c r="K1002" s="12"/>
    </row>
    <row r="1003" ht="19.5" customHeight="1">
      <c r="A1003" s="12"/>
      <c r="C1003" s="12"/>
      <c r="D1003" s="13"/>
      <c r="F1003" s="14"/>
      <c r="G1003" s="14"/>
      <c r="H1003" s="14"/>
      <c r="I1003" s="14"/>
      <c r="J1003" s="14"/>
      <c r="K1003" s="12"/>
    </row>
    <row r="1004" ht="19.5" customHeight="1">
      <c r="A1004" s="12"/>
      <c r="C1004" s="12"/>
      <c r="D1004" s="13"/>
      <c r="F1004" s="14"/>
      <c r="G1004" s="14"/>
      <c r="H1004" s="14"/>
      <c r="I1004" s="14"/>
      <c r="J1004" s="14"/>
      <c r="K1004" s="12"/>
    </row>
    <row r="1005" ht="19.5" customHeight="1">
      <c r="A1005" s="12"/>
      <c r="C1005" s="12"/>
      <c r="D1005" s="13"/>
      <c r="F1005" s="14"/>
      <c r="G1005" s="14"/>
      <c r="H1005" s="14"/>
      <c r="I1005" s="14"/>
      <c r="J1005" s="14"/>
      <c r="K1005" s="12"/>
    </row>
    <row r="1006" ht="19.5" customHeight="1">
      <c r="A1006" s="12"/>
      <c r="C1006" s="12"/>
      <c r="D1006" s="13"/>
      <c r="F1006" s="14"/>
      <c r="G1006" s="14"/>
      <c r="H1006" s="14"/>
      <c r="I1006" s="14"/>
      <c r="J1006" s="14"/>
      <c r="K1006" s="12"/>
    </row>
    <row r="1007" ht="19.5" customHeight="1">
      <c r="A1007" s="12"/>
      <c r="C1007" s="12"/>
      <c r="D1007" s="13"/>
      <c r="F1007" s="14"/>
      <c r="G1007" s="14"/>
      <c r="H1007" s="14"/>
      <c r="I1007" s="14"/>
      <c r="J1007" s="14"/>
      <c r="K1007" s="12"/>
    </row>
    <row r="1008" ht="19.5" customHeight="1">
      <c r="A1008" s="12"/>
      <c r="C1008" s="12"/>
      <c r="D1008" s="13"/>
      <c r="F1008" s="14"/>
      <c r="G1008" s="14"/>
      <c r="H1008" s="14"/>
      <c r="I1008" s="14"/>
      <c r="J1008" s="14"/>
      <c r="K1008" s="12"/>
    </row>
    <row r="1009" ht="19.5" customHeight="1">
      <c r="A1009" s="12"/>
      <c r="C1009" s="12"/>
      <c r="D1009" s="13"/>
      <c r="F1009" s="14"/>
      <c r="G1009" s="14"/>
      <c r="H1009" s="14"/>
      <c r="I1009" s="14"/>
      <c r="J1009" s="14"/>
      <c r="K1009" s="12"/>
    </row>
    <row r="1010" ht="19.5" customHeight="1">
      <c r="A1010" s="12"/>
      <c r="C1010" s="12"/>
      <c r="D1010" s="13"/>
      <c r="F1010" s="14"/>
      <c r="G1010" s="14"/>
      <c r="H1010" s="14"/>
      <c r="I1010" s="14"/>
      <c r="J1010" s="14"/>
      <c r="K1010" s="12"/>
    </row>
    <row r="1011" ht="19.5" customHeight="1">
      <c r="A1011" s="12"/>
      <c r="C1011" s="12"/>
      <c r="D1011" s="13"/>
      <c r="F1011" s="14"/>
      <c r="G1011" s="14"/>
      <c r="H1011" s="14"/>
      <c r="I1011" s="14"/>
      <c r="J1011" s="14"/>
      <c r="K1011" s="12"/>
    </row>
    <row r="1012" ht="19.5" customHeight="1">
      <c r="A1012" s="12"/>
      <c r="C1012" s="12"/>
      <c r="D1012" s="13"/>
      <c r="F1012" s="14"/>
      <c r="G1012" s="14"/>
      <c r="H1012" s="14"/>
      <c r="I1012" s="14"/>
      <c r="J1012" s="14"/>
      <c r="K1012" s="12"/>
    </row>
    <row r="1013" ht="19.5" customHeight="1">
      <c r="A1013" s="12"/>
      <c r="C1013" s="12"/>
      <c r="D1013" s="13"/>
      <c r="F1013" s="14"/>
      <c r="G1013" s="14"/>
      <c r="H1013" s="14"/>
      <c r="I1013" s="14"/>
      <c r="J1013" s="14"/>
      <c r="K1013" s="12"/>
    </row>
    <row r="1014" ht="19.5" customHeight="1">
      <c r="A1014" s="12"/>
      <c r="C1014" s="12"/>
      <c r="D1014" s="13"/>
      <c r="F1014" s="14"/>
      <c r="G1014" s="14"/>
      <c r="H1014" s="14"/>
      <c r="I1014" s="14"/>
      <c r="J1014" s="14"/>
      <c r="K1014" s="12"/>
    </row>
    <row r="1015" ht="19.5" customHeight="1">
      <c r="A1015" s="12"/>
      <c r="C1015" s="12"/>
      <c r="D1015" s="13"/>
      <c r="F1015" s="14"/>
      <c r="G1015" s="14"/>
      <c r="H1015" s="14"/>
      <c r="I1015" s="14"/>
      <c r="J1015" s="14"/>
      <c r="K1015" s="12"/>
    </row>
    <row r="1016" ht="19.5" customHeight="1">
      <c r="A1016" s="12"/>
      <c r="C1016" s="12"/>
      <c r="D1016" s="13"/>
      <c r="F1016" s="14"/>
      <c r="G1016" s="14"/>
      <c r="H1016" s="14"/>
      <c r="I1016" s="14"/>
      <c r="J1016" s="14"/>
      <c r="K1016" s="12"/>
    </row>
    <row r="1017" ht="19.5" customHeight="1">
      <c r="A1017" s="12"/>
      <c r="C1017" s="12"/>
      <c r="D1017" s="13"/>
      <c r="F1017" s="14"/>
      <c r="G1017" s="14"/>
      <c r="H1017" s="14"/>
      <c r="I1017" s="14"/>
      <c r="J1017" s="14"/>
      <c r="K1017" s="12"/>
    </row>
    <row r="1018" ht="19.5" customHeight="1">
      <c r="A1018" s="12"/>
      <c r="C1018" s="12"/>
      <c r="D1018" s="13"/>
      <c r="F1018" s="14"/>
      <c r="G1018" s="14"/>
      <c r="H1018" s="14"/>
      <c r="I1018" s="14"/>
      <c r="J1018" s="14"/>
      <c r="K1018" s="12"/>
    </row>
    <row r="1019" ht="19.5" customHeight="1">
      <c r="A1019" s="12"/>
      <c r="C1019" s="12"/>
      <c r="D1019" s="13"/>
      <c r="F1019" s="14"/>
      <c r="G1019" s="14"/>
      <c r="H1019" s="14"/>
      <c r="I1019" s="14"/>
      <c r="J1019" s="14"/>
      <c r="K1019" s="12"/>
    </row>
    <row r="1020" ht="19.5" customHeight="1">
      <c r="A1020" s="12"/>
      <c r="C1020" s="12"/>
      <c r="D1020" s="13"/>
      <c r="F1020" s="14"/>
      <c r="G1020" s="14"/>
      <c r="H1020" s="14"/>
      <c r="I1020" s="14"/>
      <c r="J1020" s="14"/>
      <c r="K1020" s="12"/>
    </row>
    <row r="1021" ht="19.5" customHeight="1">
      <c r="A1021" s="12"/>
      <c r="C1021" s="12"/>
      <c r="D1021" s="13"/>
      <c r="F1021" s="14"/>
      <c r="G1021" s="14"/>
      <c r="H1021" s="14"/>
      <c r="I1021" s="14"/>
      <c r="J1021" s="14"/>
      <c r="K1021" s="12"/>
    </row>
    <row r="1022" ht="19.5" customHeight="1">
      <c r="A1022" s="12"/>
      <c r="C1022" s="12"/>
      <c r="D1022" s="13"/>
      <c r="F1022" s="14"/>
      <c r="G1022" s="14"/>
      <c r="H1022" s="14"/>
      <c r="I1022" s="14"/>
      <c r="J1022" s="14"/>
      <c r="K1022" s="12"/>
    </row>
    <row r="1023" ht="19.5" customHeight="1">
      <c r="A1023" s="12"/>
      <c r="C1023" s="12"/>
      <c r="D1023" s="13"/>
      <c r="F1023" s="14"/>
      <c r="G1023" s="14"/>
      <c r="H1023" s="14"/>
      <c r="I1023" s="14"/>
      <c r="J1023" s="14"/>
      <c r="K1023" s="12"/>
    </row>
    <row r="1024" ht="19.5" customHeight="1">
      <c r="A1024" s="12"/>
      <c r="C1024" s="12"/>
      <c r="D1024" s="13"/>
      <c r="F1024" s="14"/>
      <c r="G1024" s="14"/>
      <c r="H1024" s="14"/>
      <c r="I1024" s="14"/>
      <c r="J1024" s="14"/>
      <c r="K1024" s="12"/>
    </row>
    <row r="1025" ht="19.5" customHeight="1">
      <c r="A1025" s="12"/>
      <c r="C1025" s="12"/>
      <c r="D1025" s="13"/>
      <c r="F1025" s="14"/>
      <c r="G1025" s="14"/>
      <c r="H1025" s="14"/>
      <c r="I1025" s="14"/>
      <c r="J1025" s="14"/>
      <c r="K1025" s="12"/>
    </row>
    <row r="1026" ht="19.5" customHeight="1">
      <c r="A1026" s="12"/>
      <c r="C1026" s="12"/>
      <c r="D1026" s="13"/>
      <c r="F1026" s="14"/>
      <c r="G1026" s="14"/>
      <c r="H1026" s="14"/>
      <c r="I1026" s="14"/>
      <c r="J1026" s="14"/>
      <c r="K1026" s="12"/>
    </row>
    <row r="1027" ht="19.5" customHeight="1">
      <c r="A1027" s="12"/>
      <c r="C1027" s="12"/>
      <c r="D1027" s="13"/>
      <c r="F1027" s="14"/>
      <c r="G1027" s="14"/>
      <c r="H1027" s="14"/>
      <c r="I1027" s="14"/>
      <c r="J1027" s="14"/>
      <c r="K1027" s="12"/>
    </row>
    <row r="1028" ht="19.5" customHeight="1">
      <c r="A1028" s="12"/>
      <c r="C1028" s="12"/>
      <c r="D1028" s="13"/>
      <c r="F1028" s="14"/>
      <c r="G1028" s="14"/>
      <c r="H1028" s="14"/>
      <c r="I1028" s="14"/>
      <c r="J1028" s="14"/>
      <c r="K1028" s="12"/>
    </row>
    <row r="1029" ht="19.5" customHeight="1">
      <c r="A1029" s="12"/>
      <c r="C1029" s="12"/>
      <c r="D1029" s="13"/>
      <c r="F1029" s="14"/>
      <c r="G1029" s="14"/>
      <c r="H1029" s="14"/>
      <c r="I1029" s="14"/>
      <c r="J1029" s="14"/>
      <c r="K1029" s="12"/>
    </row>
    <row r="1030" ht="19.5" customHeight="1">
      <c r="A1030" s="12"/>
      <c r="C1030" s="12"/>
      <c r="D1030" s="13"/>
      <c r="F1030" s="14"/>
      <c r="G1030" s="14"/>
      <c r="H1030" s="14"/>
      <c r="I1030" s="14"/>
      <c r="J1030" s="14"/>
      <c r="K1030" s="12"/>
    </row>
    <row r="1031" ht="19.5" customHeight="1">
      <c r="A1031" s="12"/>
      <c r="C1031" s="12"/>
      <c r="D1031" s="13"/>
      <c r="F1031" s="14"/>
      <c r="G1031" s="14"/>
      <c r="H1031" s="14"/>
      <c r="I1031" s="14"/>
      <c r="J1031" s="14"/>
      <c r="K1031" s="12"/>
    </row>
    <row r="1032" ht="19.5" customHeight="1">
      <c r="A1032" s="12"/>
      <c r="C1032" s="12"/>
      <c r="D1032" s="13"/>
      <c r="F1032" s="14"/>
      <c r="G1032" s="14"/>
      <c r="H1032" s="14"/>
      <c r="I1032" s="14"/>
      <c r="J1032" s="14"/>
      <c r="K1032" s="12"/>
    </row>
    <row r="1033" ht="19.5" customHeight="1">
      <c r="A1033" s="12"/>
      <c r="C1033" s="12"/>
      <c r="D1033" s="13"/>
      <c r="F1033" s="14"/>
      <c r="G1033" s="14"/>
      <c r="H1033" s="14"/>
      <c r="I1033" s="14"/>
      <c r="J1033" s="14"/>
      <c r="K1033" s="12"/>
    </row>
    <row r="1034" ht="19.5" customHeight="1">
      <c r="A1034" s="12"/>
      <c r="C1034" s="12"/>
      <c r="D1034" s="13"/>
      <c r="F1034" s="14"/>
      <c r="G1034" s="14"/>
      <c r="H1034" s="14"/>
      <c r="I1034" s="14"/>
      <c r="J1034" s="14"/>
      <c r="K1034" s="12"/>
    </row>
    <row r="1035" ht="19.5" customHeight="1">
      <c r="A1035" s="12"/>
      <c r="C1035" s="12"/>
      <c r="D1035" s="13"/>
      <c r="F1035" s="14"/>
      <c r="G1035" s="14"/>
      <c r="H1035" s="14"/>
      <c r="I1035" s="14"/>
      <c r="J1035" s="14"/>
      <c r="K1035" s="12"/>
    </row>
    <row r="1036" ht="19.5" customHeight="1">
      <c r="A1036" s="12"/>
      <c r="C1036" s="12"/>
      <c r="D1036" s="13"/>
      <c r="F1036" s="14"/>
      <c r="G1036" s="14"/>
      <c r="H1036" s="14"/>
      <c r="I1036" s="14"/>
      <c r="J1036" s="14"/>
      <c r="K1036" s="12"/>
    </row>
    <row r="1037" ht="19.5" customHeight="1">
      <c r="A1037" s="12"/>
      <c r="C1037" s="12"/>
      <c r="D1037" s="13"/>
      <c r="F1037" s="14"/>
      <c r="G1037" s="14"/>
      <c r="H1037" s="14"/>
      <c r="I1037" s="14"/>
      <c r="J1037" s="14"/>
      <c r="K1037" s="12"/>
    </row>
    <row r="1038" ht="19.5" customHeight="1">
      <c r="A1038" s="12"/>
      <c r="C1038" s="12"/>
      <c r="D1038" s="13"/>
      <c r="F1038" s="14"/>
      <c r="G1038" s="14"/>
      <c r="H1038" s="14"/>
      <c r="I1038" s="14"/>
      <c r="J1038" s="14"/>
      <c r="K1038" s="12"/>
    </row>
  </sheetData>
  <mergeCells count="12">
    <mergeCell ref="E9:G9"/>
    <mergeCell ref="J9:J10"/>
    <mergeCell ref="N11:O11"/>
    <mergeCell ref="K22:K27"/>
    <mergeCell ref="A6:K6"/>
    <mergeCell ref="A7:K7"/>
    <mergeCell ref="A8:K8"/>
    <mergeCell ref="A9:A10"/>
    <mergeCell ref="B9:B10"/>
    <mergeCell ref="C9:C10"/>
    <mergeCell ref="D9:D10"/>
    <mergeCell ref="K9:K10"/>
  </mergeCells>
  <printOptions/>
  <pageMargins bottom="0.787401575" footer="0.0" header="0.0" left="0.511811024" right="0.511811024" top="0.787401575"/>
  <pageSetup paperSize="9" scale="60" orientation="landscape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57.13"/>
    <col customWidth="1" min="3" max="3" width="9.13"/>
    <col customWidth="1" min="4" max="4" width="16.25"/>
    <col customWidth="1" min="5" max="5" width="25.0"/>
    <col customWidth="1" min="6" max="6" width="22.25"/>
    <col customWidth="1" min="7" max="8" width="23.88"/>
    <col customWidth="1" min="9" max="9" width="23.63"/>
    <col customWidth="1" min="10" max="10" width="20.63"/>
    <col customWidth="1" min="11" max="11" width="39.0"/>
    <col customWidth="1" min="12" max="26" width="8.63"/>
  </cols>
  <sheetData>
    <row r="1" ht="19.5" customHeight="1">
      <c r="A1" s="4"/>
      <c r="B1" s="5"/>
      <c r="C1" s="6"/>
      <c r="D1" s="7"/>
      <c r="E1" s="5"/>
      <c r="F1" s="8"/>
      <c r="G1" s="8"/>
      <c r="H1" s="8"/>
      <c r="I1" s="8"/>
      <c r="J1" s="8"/>
      <c r="K1" s="9"/>
    </row>
    <row r="2" ht="19.5" customHeight="1">
      <c r="A2" s="10" t="s">
        <v>83</v>
      </c>
      <c r="B2" s="11" t="s">
        <v>84</v>
      </c>
      <c r="C2" s="12"/>
      <c r="D2" s="13"/>
      <c r="F2" s="14"/>
      <c r="G2" s="14"/>
      <c r="H2" s="14"/>
      <c r="I2" s="14"/>
      <c r="J2" s="17" t="s">
        <v>144</v>
      </c>
      <c r="K2" s="18"/>
    </row>
    <row r="3" ht="19.5" customHeight="1">
      <c r="A3" s="10" t="s">
        <v>86</v>
      </c>
      <c r="B3" s="11" t="s">
        <v>87</v>
      </c>
      <c r="C3" s="12"/>
      <c r="D3" s="13"/>
      <c r="F3" s="14"/>
      <c r="G3" s="14"/>
      <c r="H3" s="14"/>
      <c r="I3" s="14"/>
      <c r="J3" s="14"/>
      <c r="K3" s="18"/>
    </row>
    <row r="4" ht="19.5" customHeight="1">
      <c r="A4" s="19"/>
      <c r="C4" s="12"/>
      <c r="D4" s="13"/>
      <c r="F4" s="14"/>
      <c r="G4" s="14"/>
      <c r="H4" s="14"/>
      <c r="I4" s="14"/>
      <c r="J4" s="14"/>
      <c r="K4" s="18"/>
    </row>
    <row r="5" ht="19.5" customHeight="1">
      <c r="A5" s="19"/>
      <c r="C5" s="12"/>
      <c r="D5" s="13"/>
      <c r="F5" s="14"/>
      <c r="G5" s="14"/>
      <c r="H5" s="14"/>
      <c r="I5" s="14"/>
      <c r="J5" s="14"/>
      <c r="K5" s="18"/>
    </row>
    <row r="6" ht="159.0" customHeight="1">
      <c r="A6" s="20" t="s">
        <v>1856</v>
      </c>
      <c r="K6" s="21"/>
    </row>
    <row r="7" ht="64.5" customHeight="1">
      <c r="A7" s="22" t="s">
        <v>1857</v>
      </c>
      <c r="K7" s="21"/>
    </row>
    <row r="8" ht="42.0" customHeight="1">
      <c r="A8" s="88" t="s">
        <v>90</v>
      </c>
      <c r="B8" s="24"/>
      <c r="C8" s="24"/>
      <c r="D8" s="24"/>
      <c r="E8" s="24"/>
      <c r="F8" s="24"/>
      <c r="G8" s="24"/>
      <c r="H8" s="24"/>
      <c r="I8" s="24"/>
      <c r="J8" s="24"/>
      <c r="K8" s="25"/>
    </row>
    <row r="9" ht="19.5" customHeight="1">
      <c r="A9" s="26" t="s">
        <v>1</v>
      </c>
      <c r="B9" s="26" t="s">
        <v>91</v>
      </c>
      <c r="C9" s="26" t="s">
        <v>92</v>
      </c>
      <c r="D9" s="26" t="s">
        <v>93</v>
      </c>
      <c r="E9" s="27" t="s">
        <v>94</v>
      </c>
      <c r="F9" s="28"/>
      <c r="G9" s="29"/>
      <c r="H9" s="30"/>
      <c r="I9" s="30"/>
      <c r="J9" s="31" t="s">
        <v>95</v>
      </c>
      <c r="K9" s="26" t="s">
        <v>96</v>
      </c>
    </row>
    <row r="10" ht="19.5" customHeight="1">
      <c r="A10" s="32"/>
      <c r="B10" s="32"/>
      <c r="C10" s="32"/>
      <c r="D10" s="32"/>
      <c r="E10" s="33" t="s">
        <v>97</v>
      </c>
      <c r="F10" s="34" t="s">
        <v>121</v>
      </c>
      <c r="G10" s="34" t="s">
        <v>99</v>
      </c>
      <c r="H10" s="35" t="s">
        <v>100</v>
      </c>
      <c r="I10" s="35" t="s">
        <v>101</v>
      </c>
      <c r="J10" s="32"/>
      <c r="K10" s="32"/>
    </row>
    <row r="11" ht="19.5" customHeight="1">
      <c r="A11" s="46">
        <v>1.0</v>
      </c>
      <c r="B11" s="37" t="s">
        <v>147</v>
      </c>
      <c r="C11" s="46" t="s">
        <v>148</v>
      </c>
      <c r="D11" s="78">
        <v>4.0</v>
      </c>
      <c r="E11" s="37">
        <v>2.0</v>
      </c>
      <c r="F11" s="40">
        <v>4.0</v>
      </c>
      <c r="G11" s="40">
        <v>4.0</v>
      </c>
      <c r="H11" s="40">
        <f>G11*F11*E11*D11</f>
        <v>128</v>
      </c>
      <c r="I11" s="42"/>
      <c r="J11" s="43">
        <f t="shared" ref="J11:J13" si="1">H11-I11</f>
        <v>128</v>
      </c>
      <c r="K11" s="46"/>
    </row>
    <row r="12" ht="19.5" customHeight="1">
      <c r="A12" s="46"/>
      <c r="B12" s="37"/>
      <c r="C12" s="46"/>
      <c r="D12" s="78"/>
      <c r="E12" s="37"/>
      <c r="F12" s="40"/>
      <c r="G12" s="40" t="s">
        <v>1858</v>
      </c>
      <c r="H12" s="40"/>
      <c r="I12" s="42"/>
      <c r="J12" s="43">
        <f t="shared" si="1"/>
        <v>0</v>
      </c>
      <c r="K12" s="79"/>
    </row>
    <row r="13" ht="19.5" customHeight="1">
      <c r="A13" s="46"/>
      <c r="B13" s="37"/>
      <c r="C13" s="46"/>
      <c r="D13" s="78"/>
      <c r="E13" s="37"/>
      <c r="F13" s="40"/>
      <c r="G13" s="40"/>
      <c r="H13" s="40"/>
      <c r="I13" s="42"/>
      <c r="J13" s="43">
        <f t="shared" si="1"/>
        <v>0</v>
      </c>
      <c r="K13" s="79"/>
    </row>
    <row r="14" ht="19.5" customHeight="1">
      <c r="A14" s="74" t="s">
        <v>1</v>
      </c>
      <c r="B14" s="74" t="s">
        <v>91</v>
      </c>
      <c r="C14" s="74" t="s">
        <v>92</v>
      </c>
      <c r="D14" s="74" t="s">
        <v>93</v>
      </c>
      <c r="E14" s="50" t="s">
        <v>97</v>
      </c>
      <c r="F14" s="53" t="s">
        <v>121</v>
      </c>
      <c r="G14" s="53" t="s">
        <v>99</v>
      </c>
      <c r="H14" s="75" t="s">
        <v>100</v>
      </c>
      <c r="I14" s="75" t="s">
        <v>101</v>
      </c>
      <c r="J14" s="76" t="s">
        <v>95</v>
      </c>
      <c r="K14" s="74" t="s">
        <v>96</v>
      </c>
    </row>
    <row r="15" ht="19.5" customHeight="1">
      <c r="A15" s="46">
        <v>1.0</v>
      </c>
      <c r="B15" s="37" t="s">
        <v>1320</v>
      </c>
      <c r="C15" s="46" t="s">
        <v>148</v>
      </c>
      <c r="D15" s="78">
        <v>4.0</v>
      </c>
      <c r="E15" s="37">
        <v>0.15</v>
      </c>
      <c r="F15" s="78">
        <v>4.0</v>
      </c>
      <c r="G15" s="40">
        <v>4.0</v>
      </c>
      <c r="H15" s="40">
        <f>G15*F15*E15*D15</f>
        <v>9.6</v>
      </c>
      <c r="I15" s="42"/>
      <c r="J15" s="264">
        <f>SUM(H15:H16)</f>
        <v>9.6</v>
      </c>
      <c r="K15" s="46"/>
    </row>
    <row r="16" ht="19.5" customHeight="1">
      <c r="A16" s="46"/>
      <c r="B16" s="37"/>
      <c r="C16" s="46"/>
      <c r="D16" s="78"/>
      <c r="E16" s="37"/>
      <c r="F16" s="78"/>
      <c r="G16" s="40"/>
      <c r="H16" s="40"/>
      <c r="I16" s="42"/>
      <c r="J16" s="32"/>
      <c r="K16" s="46"/>
    </row>
    <row r="17" ht="19.5" customHeight="1">
      <c r="A17" s="74" t="s">
        <v>1</v>
      </c>
      <c r="B17" s="74" t="s">
        <v>91</v>
      </c>
      <c r="C17" s="74" t="s">
        <v>92</v>
      </c>
      <c r="D17" s="74" t="s">
        <v>93</v>
      </c>
      <c r="E17" s="50" t="s">
        <v>97</v>
      </c>
      <c r="F17" s="53" t="s">
        <v>121</v>
      </c>
      <c r="G17" s="53" t="s">
        <v>99</v>
      </c>
      <c r="H17" s="75" t="s">
        <v>100</v>
      </c>
      <c r="I17" s="75" t="s">
        <v>101</v>
      </c>
      <c r="J17" s="76" t="s">
        <v>95</v>
      </c>
      <c r="K17" s="74" t="s">
        <v>96</v>
      </c>
    </row>
    <row r="18" ht="19.5" customHeight="1">
      <c r="A18" s="46">
        <v>1.0</v>
      </c>
      <c r="B18" s="37" t="s">
        <v>345</v>
      </c>
      <c r="C18" s="46" t="s">
        <v>148</v>
      </c>
      <c r="D18" s="78"/>
      <c r="E18" s="37"/>
      <c r="F18" s="78"/>
      <c r="G18" s="40"/>
      <c r="H18" s="40"/>
      <c r="I18" s="42"/>
      <c r="J18" s="40"/>
      <c r="K18" s="46"/>
    </row>
    <row r="19" ht="19.5" customHeight="1">
      <c r="A19" s="46"/>
      <c r="B19" s="37"/>
      <c r="C19" s="46"/>
      <c r="D19" s="78"/>
      <c r="E19" s="37"/>
      <c r="F19" s="78"/>
      <c r="G19" s="40"/>
      <c r="H19" s="40"/>
      <c r="I19" s="42"/>
      <c r="J19" s="43">
        <f>SUM(H18:H19)</f>
        <v>0</v>
      </c>
      <c r="K19" s="46"/>
    </row>
    <row r="20" ht="19.5" customHeight="1">
      <c r="A20" s="74" t="s">
        <v>1</v>
      </c>
      <c r="B20" s="74" t="s">
        <v>91</v>
      </c>
      <c r="C20" s="74" t="s">
        <v>92</v>
      </c>
      <c r="D20" s="74" t="s">
        <v>93</v>
      </c>
      <c r="E20" s="50" t="s">
        <v>347</v>
      </c>
      <c r="F20" s="53" t="s">
        <v>121</v>
      </c>
      <c r="G20" s="53" t="s">
        <v>99</v>
      </c>
      <c r="H20" s="75" t="s">
        <v>100</v>
      </c>
      <c r="I20" s="75" t="s">
        <v>101</v>
      </c>
      <c r="J20" s="76" t="s">
        <v>95</v>
      </c>
      <c r="K20" s="74" t="s">
        <v>96</v>
      </c>
    </row>
    <row r="21" ht="19.5" customHeight="1">
      <c r="A21" s="46">
        <v>1.0</v>
      </c>
      <c r="B21" s="37" t="s">
        <v>912</v>
      </c>
      <c r="C21" s="46" t="s">
        <v>103</v>
      </c>
      <c r="D21" s="78"/>
      <c r="E21" s="37"/>
      <c r="F21" s="40"/>
      <c r="G21" s="40"/>
      <c r="H21" s="40"/>
      <c r="I21" s="42"/>
      <c r="J21" s="107"/>
      <c r="K21" s="46" t="s">
        <v>1322</v>
      </c>
    </row>
    <row r="22" ht="19.5" customHeight="1">
      <c r="A22" s="74" t="s">
        <v>1</v>
      </c>
      <c r="B22" s="74" t="s">
        <v>91</v>
      </c>
      <c r="C22" s="74" t="s">
        <v>92</v>
      </c>
      <c r="D22" s="74" t="s">
        <v>93</v>
      </c>
      <c r="E22" s="50" t="s">
        <v>187</v>
      </c>
      <c r="F22" s="53"/>
      <c r="G22" s="53"/>
      <c r="H22" s="75" t="s">
        <v>100</v>
      </c>
      <c r="I22" s="75" t="s">
        <v>101</v>
      </c>
      <c r="J22" s="76" t="s">
        <v>95</v>
      </c>
      <c r="K22" s="74" t="s">
        <v>96</v>
      </c>
    </row>
    <row r="23" ht="19.5" customHeight="1">
      <c r="A23" s="46">
        <v>1.0</v>
      </c>
      <c r="B23" s="37" t="s">
        <v>1323</v>
      </c>
      <c r="C23" s="46" t="s">
        <v>158</v>
      </c>
      <c r="D23" s="78" t="str">
        <f>D21</f>
        <v/>
      </c>
      <c r="E23" s="37">
        <v>100.0</v>
      </c>
      <c r="F23" s="40"/>
      <c r="G23" s="40"/>
      <c r="H23" s="40">
        <f>E23*D23</f>
        <v>0</v>
      </c>
      <c r="I23" s="42"/>
      <c r="J23" s="43">
        <f>H23-I23</f>
        <v>0</v>
      </c>
      <c r="K23" s="46" t="s">
        <v>355</v>
      </c>
    </row>
    <row r="24" ht="19.5" customHeight="1">
      <c r="A24" s="50" t="s">
        <v>1</v>
      </c>
      <c r="B24" s="50" t="s">
        <v>91</v>
      </c>
      <c r="C24" s="50" t="s">
        <v>92</v>
      </c>
      <c r="D24" s="50" t="s">
        <v>93</v>
      </c>
      <c r="E24" s="50" t="s">
        <v>97</v>
      </c>
      <c r="F24" s="53" t="s">
        <v>121</v>
      </c>
      <c r="G24" s="53" t="s">
        <v>99</v>
      </c>
      <c r="H24" s="53" t="s">
        <v>100</v>
      </c>
      <c r="I24" s="53" t="s">
        <v>101</v>
      </c>
      <c r="J24" s="53" t="s">
        <v>95</v>
      </c>
      <c r="K24" s="50" t="s">
        <v>96</v>
      </c>
    </row>
    <row r="25" ht="19.5" customHeight="1">
      <c r="A25" s="46">
        <v>1.0</v>
      </c>
      <c r="B25" s="416" t="s">
        <v>1337</v>
      </c>
      <c r="C25" s="46" t="s">
        <v>108</v>
      </c>
      <c r="D25" s="78">
        <v>1.0</v>
      </c>
      <c r="E25" s="37"/>
      <c r="F25" s="78"/>
      <c r="G25" s="40"/>
      <c r="H25" s="40"/>
      <c r="I25" s="42"/>
      <c r="J25" s="43">
        <f t="shared" ref="J25:J29" si="2">D25</f>
        <v>1</v>
      </c>
      <c r="K25" s="46"/>
    </row>
    <row r="26" ht="19.5" customHeight="1">
      <c r="A26" s="46">
        <v>2.0</v>
      </c>
      <c r="B26" s="416" t="s">
        <v>1338</v>
      </c>
      <c r="C26" s="46" t="s">
        <v>108</v>
      </c>
      <c r="D26" s="78">
        <v>1.0</v>
      </c>
      <c r="E26" s="37"/>
      <c r="F26" s="78"/>
      <c r="G26" s="40"/>
      <c r="H26" s="40"/>
      <c r="I26" s="42"/>
      <c r="J26" s="43">
        <f t="shared" si="2"/>
        <v>1</v>
      </c>
      <c r="K26" s="46"/>
    </row>
    <row r="27" ht="19.5" customHeight="1">
      <c r="A27" s="46">
        <v>3.0</v>
      </c>
      <c r="B27" s="416" t="s">
        <v>1339</v>
      </c>
      <c r="C27" s="46" t="s">
        <v>106</v>
      </c>
      <c r="D27" s="78">
        <v>1.0</v>
      </c>
      <c r="E27" s="37"/>
      <c r="F27" s="78"/>
      <c r="G27" s="40"/>
      <c r="H27" s="40"/>
      <c r="I27" s="42"/>
      <c r="J27" s="43">
        <f t="shared" si="2"/>
        <v>1</v>
      </c>
      <c r="K27" s="40"/>
    </row>
    <row r="28" ht="19.5" customHeight="1">
      <c r="A28" s="46">
        <v>3.0</v>
      </c>
      <c r="B28" s="416" t="s">
        <v>1340</v>
      </c>
      <c r="C28" s="46" t="s">
        <v>106</v>
      </c>
      <c r="D28" s="78">
        <v>6.0</v>
      </c>
      <c r="E28" s="37"/>
      <c r="F28" s="78"/>
      <c r="G28" s="40"/>
      <c r="H28" s="40"/>
      <c r="I28" s="42"/>
      <c r="J28" s="43">
        <f t="shared" si="2"/>
        <v>6</v>
      </c>
      <c r="K28" s="40"/>
    </row>
    <row r="29" ht="19.5" customHeight="1">
      <c r="A29" s="46">
        <v>3.0</v>
      </c>
      <c r="B29" s="416" t="s">
        <v>1341</v>
      </c>
      <c r="C29" s="46" t="s">
        <v>1342</v>
      </c>
      <c r="D29" s="78">
        <v>1.0</v>
      </c>
      <c r="E29" s="37"/>
      <c r="F29" s="78"/>
      <c r="G29" s="40"/>
      <c r="H29" s="40"/>
      <c r="I29" s="42"/>
      <c r="J29" s="43">
        <f t="shared" si="2"/>
        <v>1</v>
      </c>
      <c r="K29" s="40"/>
    </row>
    <row r="30" ht="19.5" customHeight="1">
      <c r="A30" s="12"/>
      <c r="C30" s="12"/>
      <c r="D30" s="13"/>
      <c r="F30" s="14"/>
      <c r="G30" s="14"/>
      <c r="H30" s="14"/>
      <c r="I30" s="14"/>
      <c r="J30" s="14"/>
      <c r="K30" s="12"/>
    </row>
    <row r="31" ht="19.5" customHeight="1">
      <c r="A31" s="74" t="s">
        <v>1</v>
      </c>
      <c r="B31" s="74" t="s">
        <v>91</v>
      </c>
      <c r="C31" s="74" t="s">
        <v>92</v>
      </c>
      <c r="D31" s="74" t="s">
        <v>93</v>
      </c>
      <c r="E31" s="50" t="s">
        <v>97</v>
      </c>
      <c r="F31" s="53" t="s">
        <v>121</v>
      </c>
      <c r="G31" s="53" t="s">
        <v>99</v>
      </c>
      <c r="H31" s="53" t="s">
        <v>100</v>
      </c>
      <c r="I31" s="53" t="s">
        <v>101</v>
      </c>
      <c r="J31" s="53" t="s">
        <v>95</v>
      </c>
      <c r="K31" s="50" t="s">
        <v>96</v>
      </c>
    </row>
    <row r="32" ht="19.5" customHeight="1">
      <c r="A32" s="46">
        <v>1.0</v>
      </c>
      <c r="B32" s="37" t="s">
        <v>1343</v>
      </c>
      <c r="C32" s="46" t="s">
        <v>103</v>
      </c>
      <c r="D32" s="78">
        <v>1.0</v>
      </c>
      <c r="E32" s="37">
        <v>1.0</v>
      </c>
      <c r="F32" s="78">
        <v>1.0</v>
      </c>
      <c r="G32" s="40">
        <v>1.0</v>
      </c>
      <c r="H32" s="40">
        <v>1.0</v>
      </c>
      <c r="I32" s="42"/>
      <c r="J32" s="40"/>
      <c r="K32" s="46"/>
    </row>
    <row r="33" ht="19.5" customHeight="1">
      <c r="A33" s="46"/>
      <c r="B33" s="37"/>
      <c r="C33" s="46"/>
      <c r="D33" s="78"/>
      <c r="E33" s="37"/>
      <c r="F33" s="78"/>
      <c r="G33" s="40"/>
      <c r="H33" s="40"/>
      <c r="I33" s="42"/>
      <c r="J33" s="43">
        <f>SUM(H32:H33)</f>
        <v>1</v>
      </c>
      <c r="K33" s="46"/>
    </row>
    <row r="34" ht="19.5" customHeight="1">
      <c r="A34" s="12"/>
      <c r="C34" s="12"/>
      <c r="D34" s="13"/>
      <c r="F34" s="14"/>
      <c r="G34" s="14"/>
      <c r="H34" s="14"/>
      <c r="I34" s="14"/>
      <c r="J34" s="14"/>
      <c r="K34" s="12"/>
    </row>
    <row r="35" ht="19.5" customHeight="1">
      <c r="A35" s="74" t="s">
        <v>1</v>
      </c>
      <c r="B35" s="74" t="s">
        <v>91</v>
      </c>
      <c r="C35" s="74" t="s">
        <v>92</v>
      </c>
      <c r="D35" s="74" t="s">
        <v>93</v>
      </c>
      <c r="E35" s="50" t="s">
        <v>97</v>
      </c>
      <c r="F35" s="53" t="s">
        <v>121</v>
      </c>
      <c r="G35" s="53" t="s">
        <v>99</v>
      </c>
      <c r="H35" s="53" t="s">
        <v>100</v>
      </c>
      <c r="I35" s="53" t="s">
        <v>101</v>
      </c>
      <c r="J35" s="53" t="s">
        <v>95</v>
      </c>
      <c r="K35" s="50" t="s">
        <v>96</v>
      </c>
    </row>
    <row r="36" ht="19.5" customHeight="1">
      <c r="A36" s="46">
        <v>1.0</v>
      </c>
      <c r="B36" s="37" t="s">
        <v>1778</v>
      </c>
      <c r="C36" s="46" t="s">
        <v>103</v>
      </c>
      <c r="D36" s="78">
        <v>4.0</v>
      </c>
      <c r="E36" s="37">
        <v>1.0</v>
      </c>
      <c r="F36" s="78">
        <v>10.0</v>
      </c>
      <c r="G36" s="40">
        <v>10.0</v>
      </c>
      <c r="H36" s="40">
        <f>F36*E36*D36</f>
        <v>40</v>
      </c>
      <c r="I36" s="42"/>
      <c r="J36" s="327">
        <f>SUM(H36:H37)</f>
        <v>40</v>
      </c>
      <c r="K36" s="46"/>
    </row>
    <row r="37" ht="19.5" customHeight="1">
      <c r="A37" s="46"/>
      <c r="B37" s="37"/>
      <c r="C37" s="46"/>
      <c r="D37" s="78"/>
      <c r="E37" s="37"/>
      <c r="F37" s="78"/>
      <c r="G37" s="40"/>
      <c r="H37" s="40"/>
      <c r="I37" s="42"/>
      <c r="J37" s="32"/>
      <c r="K37" s="46"/>
    </row>
    <row r="38" ht="19.5" customHeight="1">
      <c r="A38" s="12"/>
      <c r="C38" s="12"/>
      <c r="D38" s="13"/>
      <c r="F38" s="14"/>
      <c r="G38" s="14"/>
      <c r="H38" s="14"/>
      <c r="I38" s="14"/>
      <c r="J38" s="14"/>
      <c r="K38" s="12"/>
    </row>
    <row r="39" ht="19.5" customHeight="1">
      <c r="A39" s="12"/>
      <c r="C39" s="12"/>
      <c r="D39" s="13"/>
      <c r="F39" s="14"/>
      <c r="G39" s="14"/>
      <c r="H39" s="14"/>
      <c r="I39" s="14"/>
      <c r="J39" s="14"/>
      <c r="K39" s="12"/>
    </row>
    <row r="40" ht="19.5" customHeight="1">
      <c r="A40" s="12"/>
      <c r="C40" s="12"/>
      <c r="D40" s="13"/>
      <c r="F40" s="14"/>
      <c r="G40" s="14"/>
      <c r="H40" s="14"/>
      <c r="I40" s="14"/>
      <c r="J40" s="14"/>
      <c r="K40" s="12"/>
    </row>
    <row r="41" ht="19.5" customHeight="1">
      <c r="A41" s="12"/>
      <c r="C41" s="12"/>
      <c r="D41" s="13"/>
      <c r="F41" s="14"/>
      <c r="G41" s="14"/>
      <c r="H41" s="14"/>
      <c r="I41" s="14"/>
      <c r="J41" s="14"/>
      <c r="K41" s="12"/>
    </row>
    <row r="42" ht="19.5" customHeight="1">
      <c r="A42" s="12"/>
      <c r="C42" s="12"/>
      <c r="D42" s="13"/>
      <c r="F42" s="14"/>
      <c r="G42" s="14"/>
      <c r="H42" s="14"/>
      <c r="I42" s="14"/>
      <c r="J42" s="14"/>
      <c r="K42" s="12"/>
    </row>
    <row r="43" ht="19.5" customHeight="1">
      <c r="A43" s="12"/>
      <c r="C43" s="12"/>
      <c r="D43" s="13"/>
      <c r="F43" s="14"/>
      <c r="G43" s="14"/>
      <c r="H43" s="14"/>
      <c r="I43" s="14"/>
      <c r="J43" s="14"/>
      <c r="K43" s="12"/>
    </row>
    <row r="44" ht="19.5" customHeight="1">
      <c r="A44" s="12"/>
      <c r="C44" s="12"/>
      <c r="D44" s="13"/>
      <c r="F44" s="14"/>
      <c r="G44" s="14"/>
      <c r="H44" s="14"/>
      <c r="I44" s="14"/>
      <c r="J44" s="14"/>
      <c r="K44" s="12"/>
    </row>
    <row r="45" ht="19.5" customHeight="1">
      <c r="A45" s="12"/>
      <c r="C45" s="12"/>
      <c r="D45" s="13"/>
      <c r="F45" s="14"/>
      <c r="G45" s="14"/>
      <c r="H45" s="14"/>
      <c r="I45" s="14"/>
      <c r="J45" s="14"/>
      <c r="K45" s="12"/>
    </row>
    <row r="46" ht="19.5" customHeight="1">
      <c r="A46" s="12"/>
      <c r="C46" s="12"/>
      <c r="D46" s="13"/>
      <c r="F46" s="14"/>
      <c r="G46" s="14"/>
      <c r="H46" s="14"/>
      <c r="I46" s="14"/>
      <c r="J46" s="14"/>
      <c r="K46" s="12"/>
    </row>
    <row r="47" ht="19.5" customHeight="1">
      <c r="A47" s="12"/>
      <c r="C47" s="12"/>
      <c r="D47" s="13"/>
      <c r="F47" s="14"/>
      <c r="G47" s="14"/>
      <c r="H47" s="14"/>
      <c r="I47" s="14"/>
      <c r="J47" s="14"/>
      <c r="K47" s="12"/>
    </row>
    <row r="48" ht="19.5" customHeight="1">
      <c r="A48" s="12"/>
      <c r="C48" s="12"/>
      <c r="D48" s="13"/>
      <c r="F48" s="14"/>
      <c r="G48" s="14"/>
      <c r="H48" s="14"/>
      <c r="I48" s="14"/>
      <c r="J48" s="14"/>
      <c r="K48" s="12"/>
    </row>
    <row r="49" ht="19.5" customHeight="1">
      <c r="A49" s="12"/>
      <c r="C49" s="12"/>
      <c r="D49" s="13"/>
      <c r="F49" s="14"/>
      <c r="G49" s="14"/>
      <c r="H49" s="14"/>
      <c r="I49" s="14"/>
      <c r="J49" s="14"/>
      <c r="K49" s="12"/>
    </row>
    <row r="50" ht="19.5" customHeight="1">
      <c r="A50" s="12"/>
      <c r="C50" s="12"/>
      <c r="D50" s="13"/>
      <c r="F50" s="14"/>
      <c r="G50" s="14"/>
      <c r="H50" s="14"/>
      <c r="I50" s="14"/>
      <c r="J50" s="14"/>
      <c r="K50" s="12"/>
    </row>
    <row r="51" ht="19.5" customHeight="1">
      <c r="A51" s="12"/>
      <c r="C51" s="12"/>
      <c r="D51" s="13"/>
      <c r="F51" s="14"/>
      <c r="G51" s="14"/>
      <c r="H51" s="14"/>
      <c r="I51" s="14"/>
      <c r="J51" s="14"/>
      <c r="K51" s="12"/>
    </row>
    <row r="52" ht="19.5" customHeight="1">
      <c r="A52" s="12"/>
      <c r="C52" s="12"/>
      <c r="D52" s="13"/>
      <c r="F52" s="14"/>
      <c r="G52" s="14"/>
      <c r="H52" s="14"/>
      <c r="I52" s="14"/>
      <c r="J52" s="14"/>
      <c r="K52" s="12"/>
    </row>
    <row r="53" ht="19.5" customHeight="1">
      <c r="A53" s="12"/>
      <c r="C53" s="12"/>
      <c r="D53" s="13"/>
      <c r="F53" s="14"/>
      <c r="G53" s="14"/>
      <c r="H53" s="14"/>
      <c r="I53" s="14"/>
      <c r="J53" s="14"/>
      <c r="K53" s="12"/>
    </row>
    <row r="54" ht="19.5" customHeight="1">
      <c r="A54" s="12"/>
      <c r="C54" s="12"/>
      <c r="D54" s="13"/>
      <c r="F54" s="14"/>
      <c r="G54" s="14"/>
      <c r="H54" s="14"/>
      <c r="I54" s="14"/>
      <c r="J54" s="14"/>
      <c r="K54" s="12"/>
    </row>
    <row r="55" ht="19.5" customHeight="1">
      <c r="A55" s="12"/>
      <c r="C55" s="12"/>
      <c r="D55" s="13"/>
      <c r="F55" s="14"/>
      <c r="G55" s="14"/>
      <c r="H55" s="14"/>
      <c r="I55" s="14"/>
      <c r="J55" s="14"/>
      <c r="K55" s="12"/>
    </row>
    <row r="56" ht="19.5" customHeight="1">
      <c r="A56" s="12"/>
      <c r="C56" s="12"/>
      <c r="D56" s="13"/>
      <c r="F56" s="14"/>
      <c r="G56" s="14"/>
      <c r="H56" s="14"/>
      <c r="I56" s="14"/>
      <c r="J56" s="14"/>
      <c r="K56" s="12"/>
    </row>
    <row r="57" ht="19.5" customHeight="1">
      <c r="A57" s="12"/>
      <c r="C57" s="12"/>
      <c r="D57" s="13"/>
      <c r="F57" s="14"/>
      <c r="G57" s="14"/>
      <c r="H57" s="14"/>
      <c r="I57" s="14"/>
      <c r="J57" s="14"/>
      <c r="K57" s="12"/>
    </row>
    <row r="58" ht="19.5" customHeight="1">
      <c r="A58" s="12"/>
      <c r="C58" s="12"/>
      <c r="D58" s="13"/>
      <c r="F58" s="14"/>
      <c r="G58" s="14"/>
      <c r="H58" s="14"/>
      <c r="I58" s="14"/>
      <c r="J58" s="14"/>
      <c r="K58" s="12"/>
    </row>
    <row r="59" ht="19.5" customHeight="1">
      <c r="A59" s="12"/>
      <c r="C59" s="12"/>
      <c r="D59" s="13"/>
      <c r="F59" s="14"/>
      <c r="G59" s="14"/>
      <c r="H59" s="14"/>
      <c r="I59" s="14"/>
      <c r="J59" s="14"/>
      <c r="K59" s="12"/>
    </row>
    <row r="60" ht="19.5" customHeight="1">
      <c r="A60" s="12"/>
      <c r="C60" s="12"/>
      <c r="D60" s="13"/>
      <c r="F60" s="14"/>
      <c r="G60" s="14"/>
      <c r="H60" s="14"/>
      <c r="I60" s="14"/>
      <c r="J60" s="14"/>
      <c r="K60" s="12"/>
    </row>
    <row r="61" ht="19.5" customHeight="1">
      <c r="A61" s="12"/>
      <c r="C61" s="12"/>
      <c r="D61" s="13"/>
      <c r="F61" s="14"/>
      <c r="G61" s="14"/>
      <c r="H61" s="14"/>
      <c r="I61" s="14"/>
      <c r="J61" s="14"/>
      <c r="K61" s="12"/>
    </row>
    <row r="62" ht="19.5" customHeight="1">
      <c r="A62" s="12"/>
      <c r="C62" s="12"/>
      <c r="D62" s="13"/>
      <c r="F62" s="14"/>
      <c r="G62" s="14"/>
      <c r="H62" s="14"/>
      <c r="I62" s="14"/>
      <c r="J62" s="14"/>
      <c r="K62" s="12"/>
    </row>
    <row r="63" ht="19.5" customHeight="1">
      <c r="A63" s="12"/>
      <c r="C63" s="12"/>
      <c r="D63" s="13"/>
      <c r="F63" s="14"/>
      <c r="G63" s="14"/>
      <c r="H63" s="14"/>
      <c r="I63" s="14"/>
      <c r="J63" s="14"/>
      <c r="K63" s="12"/>
    </row>
    <row r="64" ht="19.5" customHeight="1">
      <c r="A64" s="12"/>
      <c r="C64" s="12"/>
      <c r="D64" s="13"/>
      <c r="F64" s="14"/>
      <c r="G64" s="14"/>
      <c r="H64" s="14"/>
      <c r="I64" s="14"/>
      <c r="J64" s="14"/>
      <c r="K64" s="12"/>
    </row>
    <row r="65" ht="19.5" customHeight="1">
      <c r="A65" s="12"/>
      <c r="C65" s="12"/>
      <c r="D65" s="13"/>
      <c r="F65" s="14"/>
      <c r="G65" s="14"/>
      <c r="H65" s="14"/>
      <c r="I65" s="14"/>
      <c r="J65" s="14"/>
      <c r="K65" s="12"/>
    </row>
    <row r="66" ht="19.5" customHeight="1">
      <c r="A66" s="12"/>
      <c r="C66" s="12"/>
      <c r="D66" s="13"/>
      <c r="F66" s="14"/>
      <c r="G66" s="14"/>
      <c r="H66" s="14"/>
      <c r="I66" s="14"/>
      <c r="J66" s="14"/>
      <c r="K66" s="12"/>
    </row>
    <row r="67" ht="19.5" customHeight="1">
      <c r="A67" s="12"/>
      <c r="C67" s="12"/>
      <c r="D67" s="13"/>
      <c r="F67" s="14"/>
      <c r="G67" s="14"/>
      <c r="H67" s="14"/>
      <c r="I67" s="14"/>
      <c r="J67" s="14"/>
      <c r="K67" s="12"/>
    </row>
    <row r="68" ht="19.5" customHeight="1">
      <c r="A68" s="12"/>
      <c r="C68" s="12"/>
      <c r="D68" s="13"/>
      <c r="F68" s="14"/>
      <c r="G68" s="14"/>
      <c r="H68" s="14"/>
      <c r="I68" s="14"/>
      <c r="J68" s="14"/>
      <c r="K68" s="12"/>
    </row>
    <row r="69" ht="19.5" customHeight="1">
      <c r="A69" s="12"/>
      <c r="C69" s="12"/>
      <c r="D69" s="13"/>
      <c r="F69" s="14"/>
      <c r="G69" s="14"/>
      <c r="H69" s="14"/>
      <c r="I69" s="14"/>
      <c r="J69" s="14"/>
      <c r="K69" s="12"/>
    </row>
    <row r="70" ht="19.5" customHeight="1">
      <c r="A70" s="12"/>
      <c r="C70" s="12"/>
      <c r="D70" s="13"/>
      <c r="F70" s="14"/>
      <c r="G70" s="14"/>
      <c r="H70" s="14"/>
      <c r="I70" s="14"/>
      <c r="J70" s="14"/>
      <c r="K70" s="12"/>
    </row>
    <row r="71" ht="19.5" customHeight="1">
      <c r="A71" s="12"/>
      <c r="C71" s="12"/>
      <c r="D71" s="13"/>
      <c r="F71" s="14"/>
      <c r="G71" s="14"/>
      <c r="H71" s="14"/>
      <c r="I71" s="14"/>
      <c r="J71" s="14"/>
      <c r="K71" s="12"/>
    </row>
    <row r="72" ht="19.5" customHeight="1">
      <c r="A72" s="12"/>
      <c r="C72" s="12"/>
      <c r="D72" s="13"/>
      <c r="F72" s="14"/>
      <c r="G72" s="14"/>
      <c r="H72" s="14"/>
      <c r="I72" s="14"/>
      <c r="J72" s="14"/>
      <c r="K72" s="12"/>
    </row>
    <row r="73" ht="19.5" customHeight="1">
      <c r="A73" s="12"/>
      <c r="C73" s="12"/>
      <c r="D73" s="13"/>
      <c r="F73" s="14"/>
      <c r="G73" s="14"/>
      <c r="H73" s="14"/>
      <c r="I73" s="14"/>
      <c r="J73" s="14"/>
      <c r="K73" s="12"/>
    </row>
    <row r="74" ht="19.5" customHeight="1">
      <c r="A74" s="12"/>
      <c r="C74" s="12"/>
      <c r="D74" s="13"/>
      <c r="F74" s="14"/>
      <c r="G74" s="14"/>
      <c r="H74" s="14"/>
      <c r="I74" s="14"/>
      <c r="J74" s="14"/>
      <c r="K74" s="12"/>
    </row>
    <row r="75" ht="19.5" customHeight="1">
      <c r="A75" s="12"/>
      <c r="C75" s="12"/>
      <c r="D75" s="13"/>
      <c r="F75" s="14"/>
      <c r="G75" s="14"/>
      <c r="H75" s="14"/>
      <c r="I75" s="14"/>
      <c r="J75" s="14"/>
      <c r="K75" s="12"/>
    </row>
    <row r="76" ht="19.5" customHeight="1">
      <c r="A76" s="12"/>
      <c r="C76" s="12"/>
      <c r="D76" s="13"/>
      <c r="F76" s="14"/>
      <c r="G76" s="14"/>
      <c r="H76" s="14"/>
      <c r="I76" s="14"/>
      <c r="J76" s="14"/>
      <c r="K76" s="12"/>
    </row>
    <row r="77" ht="19.5" customHeight="1">
      <c r="A77" s="12"/>
      <c r="C77" s="12"/>
      <c r="D77" s="13"/>
      <c r="F77" s="14"/>
      <c r="G77" s="14"/>
      <c r="H77" s="14"/>
      <c r="I77" s="14"/>
      <c r="J77" s="14"/>
      <c r="K77" s="12"/>
    </row>
    <row r="78" ht="19.5" customHeight="1">
      <c r="A78" s="12"/>
      <c r="C78" s="12"/>
      <c r="D78" s="13"/>
      <c r="F78" s="14"/>
      <c r="G78" s="14"/>
      <c r="H78" s="14"/>
      <c r="I78" s="14"/>
      <c r="J78" s="14"/>
      <c r="K78" s="12"/>
    </row>
    <row r="79" ht="19.5" customHeight="1">
      <c r="A79" s="12"/>
      <c r="C79" s="12"/>
      <c r="D79" s="13"/>
      <c r="F79" s="14"/>
      <c r="G79" s="14"/>
      <c r="H79" s="14"/>
      <c r="I79" s="14"/>
      <c r="J79" s="14"/>
      <c r="K79" s="12"/>
    </row>
    <row r="80" ht="19.5" customHeight="1">
      <c r="A80" s="12"/>
      <c r="C80" s="12"/>
      <c r="D80" s="13"/>
      <c r="F80" s="14"/>
      <c r="G80" s="14"/>
      <c r="H80" s="14"/>
      <c r="I80" s="14"/>
      <c r="J80" s="14"/>
      <c r="K80" s="12"/>
    </row>
    <row r="81" ht="19.5" customHeight="1">
      <c r="A81" s="12"/>
      <c r="C81" s="12"/>
      <c r="D81" s="13"/>
      <c r="F81" s="14"/>
      <c r="G81" s="14"/>
      <c r="H81" s="14"/>
      <c r="I81" s="14"/>
      <c r="J81" s="14"/>
      <c r="K81" s="12"/>
    </row>
    <row r="82" ht="19.5" customHeight="1">
      <c r="A82" s="12"/>
      <c r="C82" s="12"/>
      <c r="D82" s="13"/>
      <c r="F82" s="14"/>
      <c r="G82" s="14"/>
      <c r="H82" s="14"/>
      <c r="I82" s="14"/>
      <c r="J82" s="14"/>
      <c r="K82" s="12"/>
    </row>
    <row r="83" ht="19.5" customHeight="1">
      <c r="A83" s="12"/>
      <c r="C83" s="12"/>
      <c r="D83" s="13"/>
      <c r="F83" s="14"/>
      <c r="G83" s="14"/>
      <c r="H83" s="14"/>
      <c r="I83" s="14"/>
      <c r="J83" s="14"/>
      <c r="K83" s="12"/>
    </row>
    <row r="84" ht="19.5" customHeight="1">
      <c r="A84" s="12"/>
      <c r="C84" s="12"/>
      <c r="D84" s="13"/>
      <c r="F84" s="14"/>
      <c r="G84" s="14"/>
      <c r="H84" s="14"/>
      <c r="I84" s="14"/>
      <c r="J84" s="14"/>
      <c r="K84" s="12"/>
    </row>
    <row r="85" ht="19.5" customHeight="1">
      <c r="A85" s="12"/>
      <c r="C85" s="12"/>
      <c r="D85" s="13"/>
      <c r="F85" s="14"/>
      <c r="G85" s="14"/>
      <c r="H85" s="14"/>
      <c r="I85" s="14"/>
      <c r="J85" s="14"/>
      <c r="K85" s="12"/>
    </row>
    <row r="86" ht="19.5" customHeight="1">
      <c r="A86" s="12"/>
      <c r="C86" s="12"/>
      <c r="D86" s="13"/>
      <c r="F86" s="14"/>
      <c r="G86" s="14"/>
      <c r="H86" s="14"/>
      <c r="I86" s="14"/>
      <c r="J86" s="14"/>
      <c r="K86" s="12"/>
    </row>
    <row r="87" ht="19.5" customHeight="1">
      <c r="A87" s="12"/>
      <c r="C87" s="12"/>
      <c r="D87" s="13"/>
      <c r="F87" s="14"/>
      <c r="G87" s="14"/>
      <c r="H87" s="14"/>
      <c r="I87" s="14"/>
      <c r="J87" s="14"/>
      <c r="K87" s="12"/>
    </row>
    <row r="88" ht="19.5" customHeight="1">
      <c r="A88" s="12"/>
      <c r="C88" s="12"/>
      <c r="D88" s="13"/>
      <c r="F88" s="14"/>
      <c r="G88" s="14"/>
      <c r="H88" s="14"/>
      <c r="I88" s="14"/>
      <c r="J88" s="14"/>
      <c r="K88" s="12"/>
    </row>
    <row r="89" ht="19.5" customHeight="1">
      <c r="A89" s="12"/>
      <c r="C89" s="12"/>
      <c r="D89" s="13"/>
      <c r="F89" s="14"/>
      <c r="G89" s="14"/>
      <c r="H89" s="14"/>
      <c r="I89" s="14"/>
      <c r="J89" s="14"/>
      <c r="K89" s="12"/>
    </row>
    <row r="90" ht="19.5" customHeight="1">
      <c r="A90" s="12"/>
      <c r="C90" s="12"/>
      <c r="D90" s="13"/>
      <c r="F90" s="14"/>
      <c r="G90" s="14"/>
      <c r="H90" s="14"/>
      <c r="I90" s="14"/>
      <c r="J90" s="14"/>
      <c r="K90" s="12"/>
    </row>
    <row r="91" ht="19.5" customHeight="1">
      <c r="A91" s="12"/>
      <c r="C91" s="12"/>
      <c r="D91" s="13"/>
      <c r="F91" s="14"/>
      <c r="G91" s="14"/>
      <c r="H91" s="14"/>
      <c r="I91" s="14"/>
      <c r="J91" s="14"/>
      <c r="K91" s="12"/>
    </row>
    <row r="92" ht="19.5" customHeight="1">
      <c r="A92" s="12"/>
      <c r="C92" s="12"/>
      <c r="D92" s="13"/>
      <c r="F92" s="14"/>
      <c r="G92" s="14"/>
      <c r="H92" s="14"/>
      <c r="I92" s="14"/>
      <c r="J92" s="14"/>
      <c r="K92" s="12"/>
    </row>
    <row r="93" ht="19.5" customHeight="1">
      <c r="A93" s="12"/>
      <c r="C93" s="12"/>
      <c r="D93" s="13"/>
      <c r="F93" s="14"/>
      <c r="G93" s="14"/>
      <c r="H93" s="14"/>
      <c r="I93" s="14"/>
      <c r="J93" s="14"/>
      <c r="K93" s="12"/>
    </row>
    <row r="94" ht="19.5" customHeight="1">
      <c r="A94" s="12"/>
      <c r="C94" s="12"/>
      <c r="D94" s="13"/>
      <c r="F94" s="14"/>
      <c r="G94" s="14"/>
      <c r="H94" s="14"/>
      <c r="I94" s="14"/>
      <c r="J94" s="14"/>
      <c r="K94" s="12"/>
    </row>
    <row r="95" ht="19.5" customHeight="1">
      <c r="A95" s="12"/>
      <c r="C95" s="12"/>
      <c r="D95" s="13"/>
      <c r="F95" s="14"/>
      <c r="G95" s="14"/>
      <c r="H95" s="14"/>
      <c r="I95" s="14"/>
      <c r="J95" s="14"/>
      <c r="K95" s="12"/>
    </row>
    <row r="96" ht="19.5" customHeight="1">
      <c r="A96" s="12"/>
      <c r="C96" s="12"/>
      <c r="D96" s="13"/>
      <c r="F96" s="14"/>
      <c r="G96" s="14"/>
      <c r="H96" s="14"/>
      <c r="I96" s="14"/>
      <c r="J96" s="14"/>
      <c r="K96" s="12"/>
    </row>
    <row r="97" ht="19.5" customHeight="1">
      <c r="A97" s="12"/>
      <c r="C97" s="12"/>
      <c r="D97" s="13"/>
      <c r="F97" s="14"/>
      <c r="G97" s="14"/>
      <c r="H97" s="14"/>
      <c r="I97" s="14"/>
      <c r="J97" s="14"/>
      <c r="K97" s="12"/>
    </row>
    <row r="98" ht="19.5" customHeight="1">
      <c r="A98" s="12"/>
      <c r="C98" s="12"/>
      <c r="D98" s="13"/>
      <c r="F98" s="14"/>
      <c r="G98" s="14"/>
      <c r="H98" s="14"/>
      <c r="I98" s="14"/>
      <c r="J98" s="14"/>
      <c r="K98" s="12"/>
    </row>
    <row r="99" ht="19.5" customHeight="1">
      <c r="A99" s="12"/>
      <c r="C99" s="12"/>
      <c r="D99" s="13"/>
      <c r="F99" s="14"/>
      <c r="G99" s="14"/>
      <c r="H99" s="14"/>
      <c r="I99" s="14"/>
      <c r="J99" s="14"/>
      <c r="K99" s="12"/>
    </row>
    <row r="100" ht="19.5" customHeight="1">
      <c r="A100" s="12"/>
      <c r="C100" s="12"/>
      <c r="D100" s="13"/>
      <c r="F100" s="14"/>
      <c r="G100" s="14"/>
      <c r="H100" s="14"/>
      <c r="I100" s="14"/>
      <c r="J100" s="14"/>
      <c r="K100" s="12"/>
    </row>
    <row r="101" ht="19.5" customHeight="1">
      <c r="A101" s="12"/>
      <c r="C101" s="12"/>
      <c r="D101" s="13"/>
      <c r="F101" s="14"/>
      <c r="G101" s="14"/>
      <c r="H101" s="14"/>
      <c r="I101" s="14"/>
      <c r="J101" s="14"/>
      <c r="K101" s="12"/>
    </row>
    <row r="102" ht="19.5" customHeight="1">
      <c r="A102" s="12"/>
      <c r="C102" s="12"/>
      <c r="D102" s="13"/>
      <c r="F102" s="14"/>
      <c r="G102" s="14"/>
      <c r="H102" s="14"/>
      <c r="I102" s="14"/>
      <c r="J102" s="14"/>
      <c r="K102" s="12"/>
    </row>
    <row r="103" ht="19.5" customHeight="1">
      <c r="A103" s="12"/>
      <c r="C103" s="12"/>
      <c r="D103" s="13"/>
      <c r="F103" s="14"/>
      <c r="G103" s="14"/>
      <c r="H103" s="14"/>
      <c r="I103" s="14"/>
      <c r="J103" s="14"/>
      <c r="K103" s="12"/>
    </row>
    <row r="104" ht="19.5" customHeight="1">
      <c r="A104" s="12"/>
      <c r="C104" s="12"/>
      <c r="D104" s="13"/>
      <c r="F104" s="14"/>
      <c r="G104" s="14"/>
      <c r="H104" s="14"/>
      <c r="I104" s="14"/>
      <c r="J104" s="14"/>
      <c r="K104" s="12"/>
    </row>
    <row r="105" ht="19.5" customHeight="1">
      <c r="A105" s="12"/>
      <c r="C105" s="12"/>
      <c r="D105" s="13"/>
      <c r="F105" s="14"/>
      <c r="G105" s="14"/>
      <c r="H105" s="14"/>
      <c r="I105" s="14"/>
      <c r="J105" s="14"/>
      <c r="K105" s="12"/>
    </row>
    <row r="106" ht="19.5" customHeight="1">
      <c r="A106" s="12"/>
      <c r="C106" s="12"/>
      <c r="D106" s="13"/>
      <c r="F106" s="14"/>
      <c r="G106" s="14"/>
      <c r="H106" s="14"/>
      <c r="I106" s="14"/>
      <c r="J106" s="14"/>
      <c r="K106" s="12"/>
    </row>
    <row r="107" ht="19.5" customHeight="1">
      <c r="A107" s="12"/>
      <c r="C107" s="12"/>
      <c r="D107" s="13"/>
      <c r="F107" s="14"/>
      <c r="G107" s="14"/>
      <c r="H107" s="14"/>
      <c r="I107" s="14"/>
      <c r="J107" s="14"/>
      <c r="K107" s="12"/>
    </row>
    <row r="108" ht="19.5" customHeight="1">
      <c r="A108" s="12"/>
      <c r="C108" s="12"/>
      <c r="D108" s="13"/>
      <c r="F108" s="14"/>
      <c r="G108" s="14"/>
      <c r="H108" s="14"/>
      <c r="I108" s="14"/>
      <c r="J108" s="14"/>
      <c r="K108" s="12"/>
    </row>
    <row r="109" ht="19.5" customHeight="1">
      <c r="A109" s="12"/>
      <c r="C109" s="12"/>
      <c r="D109" s="13"/>
      <c r="F109" s="14"/>
      <c r="G109" s="14"/>
      <c r="H109" s="14"/>
      <c r="I109" s="14"/>
      <c r="J109" s="14"/>
      <c r="K109" s="12"/>
    </row>
    <row r="110" ht="19.5" customHeight="1">
      <c r="A110" s="12"/>
      <c r="C110" s="12"/>
      <c r="D110" s="13"/>
      <c r="F110" s="14"/>
      <c r="G110" s="14"/>
      <c r="H110" s="14"/>
      <c r="I110" s="14"/>
      <c r="J110" s="14"/>
      <c r="K110" s="12"/>
    </row>
    <row r="111" ht="19.5" customHeight="1">
      <c r="A111" s="12"/>
      <c r="C111" s="12"/>
      <c r="D111" s="13"/>
      <c r="F111" s="14"/>
      <c r="G111" s="14"/>
      <c r="H111" s="14"/>
      <c r="I111" s="14"/>
      <c r="J111" s="14"/>
      <c r="K111" s="12"/>
    </row>
    <row r="112" ht="19.5" customHeight="1">
      <c r="A112" s="12"/>
      <c r="C112" s="12"/>
      <c r="D112" s="13"/>
      <c r="F112" s="14"/>
      <c r="G112" s="14"/>
      <c r="H112" s="14"/>
      <c r="I112" s="14"/>
      <c r="J112" s="14"/>
      <c r="K112" s="12"/>
    </row>
    <row r="113" ht="19.5" customHeight="1">
      <c r="A113" s="12"/>
      <c r="C113" s="12"/>
      <c r="D113" s="13"/>
      <c r="F113" s="14"/>
      <c r="G113" s="14"/>
      <c r="H113" s="14"/>
      <c r="I113" s="14"/>
      <c r="J113" s="14"/>
      <c r="K113" s="12"/>
    </row>
    <row r="114" ht="19.5" customHeight="1">
      <c r="A114" s="12"/>
      <c r="C114" s="12"/>
      <c r="D114" s="13"/>
      <c r="F114" s="14"/>
      <c r="G114" s="14"/>
      <c r="H114" s="14"/>
      <c r="I114" s="14"/>
      <c r="J114" s="14"/>
      <c r="K114" s="12"/>
    </row>
    <row r="115" ht="19.5" customHeight="1">
      <c r="A115" s="12"/>
      <c r="C115" s="12"/>
      <c r="D115" s="13"/>
      <c r="F115" s="14"/>
      <c r="G115" s="14"/>
      <c r="H115" s="14"/>
      <c r="I115" s="14"/>
      <c r="J115" s="14"/>
      <c r="K115" s="12"/>
    </row>
    <row r="116" ht="19.5" customHeight="1">
      <c r="A116" s="12"/>
      <c r="C116" s="12"/>
      <c r="D116" s="13"/>
      <c r="F116" s="14"/>
      <c r="G116" s="14"/>
      <c r="H116" s="14"/>
      <c r="I116" s="14"/>
      <c r="J116" s="14"/>
      <c r="K116" s="12"/>
    </row>
    <row r="117" ht="19.5" customHeight="1">
      <c r="A117" s="12"/>
      <c r="C117" s="12"/>
      <c r="D117" s="13"/>
      <c r="F117" s="14"/>
      <c r="G117" s="14"/>
      <c r="H117" s="14"/>
      <c r="I117" s="14"/>
      <c r="J117" s="14"/>
      <c r="K117" s="12"/>
    </row>
    <row r="118" ht="19.5" customHeight="1">
      <c r="A118" s="12"/>
      <c r="C118" s="12"/>
      <c r="D118" s="13"/>
      <c r="F118" s="14"/>
      <c r="G118" s="14"/>
      <c r="H118" s="14"/>
      <c r="I118" s="14"/>
      <c r="J118" s="14"/>
      <c r="K118" s="12"/>
    </row>
    <row r="119" ht="19.5" customHeight="1">
      <c r="A119" s="12"/>
      <c r="C119" s="12"/>
      <c r="D119" s="13"/>
      <c r="F119" s="14"/>
      <c r="G119" s="14"/>
      <c r="H119" s="14"/>
      <c r="I119" s="14"/>
      <c r="J119" s="14"/>
      <c r="K119" s="12"/>
    </row>
    <row r="120" ht="19.5" customHeight="1">
      <c r="A120" s="12"/>
      <c r="C120" s="12"/>
      <c r="D120" s="13"/>
      <c r="F120" s="14"/>
      <c r="G120" s="14"/>
      <c r="H120" s="14"/>
      <c r="I120" s="14"/>
      <c r="J120" s="14"/>
      <c r="K120" s="12"/>
    </row>
    <row r="121" ht="19.5" customHeight="1">
      <c r="A121" s="12"/>
      <c r="C121" s="12"/>
      <c r="D121" s="13"/>
      <c r="F121" s="14"/>
      <c r="G121" s="14"/>
      <c r="H121" s="14"/>
      <c r="I121" s="14"/>
      <c r="J121" s="14"/>
      <c r="K121" s="12"/>
    </row>
    <row r="122" ht="19.5" customHeight="1">
      <c r="A122" s="12"/>
      <c r="C122" s="12"/>
      <c r="D122" s="13"/>
      <c r="F122" s="14"/>
      <c r="G122" s="14"/>
      <c r="H122" s="14"/>
      <c r="I122" s="14"/>
      <c r="J122" s="14"/>
      <c r="K122" s="12"/>
    </row>
    <row r="123" ht="19.5" customHeight="1">
      <c r="A123" s="12"/>
      <c r="C123" s="12"/>
      <c r="D123" s="13"/>
      <c r="F123" s="14"/>
      <c r="G123" s="14"/>
      <c r="H123" s="14"/>
      <c r="I123" s="14"/>
      <c r="J123" s="14"/>
      <c r="K123" s="12"/>
    </row>
    <row r="124" ht="19.5" customHeight="1">
      <c r="A124" s="12"/>
      <c r="C124" s="12"/>
      <c r="D124" s="13"/>
      <c r="F124" s="14"/>
      <c r="G124" s="14"/>
      <c r="H124" s="14"/>
      <c r="I124" s="14"/>
      <c r="J124" s="14"/>
      <c r="K124" s="12"/>
    </row>
    <row r="125" ht="19.5" customHeight="1">
      <c r="A125" s="12"/>
      <c r="C125" s="12"/>
      <c r="D125" s="13"/>
      <c r="F125" s="14"/>
      <c r="G125" s="14"/>
      <c r="H125" s="14"/>
      <c r="I125" s="14"/>
      <c r="J125" s="14"/>
      <c r="K125" s="12"/>
    </row>
    <row r="126" ht="19.5" customHeight="1">
      <c r="A126" s="12"/>
      <c r="C126" s="12"/>
      <c r="D126" s="13"/>
      <c r="F126" s="14"/>
      <c r="G126" s="14"/>
      <c r="H126" s="14"/>
      <c r="I126" s="14"/>
      <c r="J126" s="14"/>
      <c r="K126" s="12"/>
    </row>
    <row r="127" ht="19.5" customHeight="1">
      <c r="A127" s="12"/>
      <c r="C127" s="12"/>
      <c r="D127" s="13"/>
      <c r="F127" s="14"/>
      <c r="G127" s="14"/>
      <c r="H127" s="14"/>
      <c r="I127" s="14"/>
      <c r="J127" s="14"/>
      <c r="K127" s="12"/>
    </row>
    <row r="128" ht="19.5" customHeight="1">
      <c r="A128" s="12"/>
      <c r="C128" s="12"/>
      <c r="D128" s="13"/>
      <c r="F128" s="14"/>
      <c r="G128" s="14"/>
      <c r="H128" s="14"/>
      <c r="I128" s="14"/>
      <c r="J128" s="14"/>
      <c r="K128" s="12"/>
    </row>
    <row r="129" ht="19.5" customHeight="1">
      <c r="A129" s="12"/>
      <c r="C129" s="12"/>
      <c r="D129" s="13"/>
      <c r="F129" s="14"/>
      <c r="G129" s="14"/>
      <c r="H129" s="14"/>
      <c r="I129" s="14"/>
      <c r="J129" s="14"/>
      <c r="K129" s="12"/>
    </row>
    <row r="130" ht="19.5" customHeight="1">
      <c r="A130" s="12"/>
      <c r="C130" s="12"/>
      <c r="D130" s="13"/>
      <c r="F130" s="14"/>
      <c r="G130" s="14"/>
      <c r="H130" s="14"/>
      <c r="I130" s="14"/>
      <c r="J130" s="14"/>
      <c r="K130" s="12"/>
    </row>
    <row r="131" ht="19.5" customHeight="1">
      <c r="A131" s="12"/>
      <c r="C131" s="12"/>
      <c r="D131" s="13"/>
      <c r="F131" s="14"/>
      <c r="G131" s="14"/>
      <c r="H131" s="14"/>
      <c r="I131" s="14"/>
      <c r="J131" s="14"/>
      <c r="K131" s="12"/>
    </row>
    <row r="132" ht="19.5" customHeight="1">
      <c r="A132" s="12"/>
      <c r="C132" s="12"/>
      <c r="D132" s="13"/>
      <c r="F132" s="14"/>
      <c r="G132" s="14"/>
      <c r="H132" s="14"/>
      <c r="I132" s="14"/>
      <c r="J132" s="14"/>
      <c r="K132" s="12"/>
    </row>
    <row r="133" ht="19.5" customHeight="1">
      <c r="A133" s="12"/>
      <c r="C133" s="12"/>
      <c r="D133" s="13"/>
      <c r="F133" s="14"/>
      <c r="G133" s="14"/>
      <c r="H133" s="14"/>
      <c r="I133" s="14"/>
      <c r="J133" s="14"/>
      <c r="K133" s="12"/>
    </row>
    <row r="134" ht="19.5" customHeight="1">
      <c r="A134" s="12"/>
      <c r="C134" s="12"/>
      <c r="D134" s="13"/>
      <c r="F134" s="14"/>
      <c r="G134" s="14"/>
      <c r="H134" s="14"/>
      <c r="I134" s="14"/>
      <c r="J134" s="14"/>
      <c r="K134" s="12"/>
    </row>
    <row r="135" ht="19.5" customHeight="1">
      <c r="A135" s="12"/>
      <c r="C135" s="12"/>
      <c r="D135" s="13"/>
      <c r="F135" s="14"/>
      <c r="G135" s="14"/>
      <c r="H135" s="14"/>
      <c r="I135" s="14"/>
      <c r="J135" s="14"/>
      <c r="K135" s="12"/>
    </row>
    <row r="136" ht="19.5" customHeight="1">
      <c r="A136" s="12"/>
      <c r="C136" s="12"/>
      <c r="D136" s="13"/>
      <c r="F136" s="14"/>
      <c r="G136" s="14"/>
      <c r="H136" s="14"/>
      <c r="I136" s="14"/>
      <c r="J136" s="14"/>
      <c r="K136" s="12"/>
    </row>
    <row r="137" ht="19.5" customHeight="1">
      <c r="A137" s="12"/>
      <c r="C137" s="12"/>
      <c r="D137" s="13"/>
      <c r="F137" s="14"/>
      <c r="G137" s="14"/>
      <c r="H137" s="14"/>
      <c r="I137" s="14"/>
      <c r="J137" s="14"/>
      <c r="K137" s="12"/>
    </row>
    <row r="138" ht="19.5" customHeight="1">
      <c r="A138" s="12"/>
      <c r="C138" s="12"/>
      <c r="D138" s="13"/>
      <c r="F138" s="14"/>
      <c r="G138" s="14"/>
      <c r="H138" s="14"/>
      <c r="I138" s="14"/>
      <c r="J138" s="14"/>
      <c r="K138" s="12"/>
    </row>
    <row r="139" ht="19.5" customHeight="1">
      <c r="A139" s="12"/>
      <c r="C139" s="12"/>
      <c r="D139" s="13"/>
      <c r="F139" s="14"/>
      <c r="G139" s="14"/>
      <c r="H139" s="14"/>
      <c r="I139" s="14"/>
      <c r="J139" s="14"/>
      <c r="K139" s="12"/>
    </row>
    <row r="140" ht="19.5" customHeight="1">
      <c r="A140" s="12"/>
      <c r="C140" s="12"/>
      <c r="D140" s="13"/>
      <c r="F140" s="14"/>
      <c r="G140" s="14"/>
      <c r="H140" s="14"/>
      <c r="I140" s="14"/>
      <c r="J140" s="14"/>
      <c r="K140" s="12"/>
    </row>
    <row r="141" ht="19.5" customHeight="1">
      <c r="A141" s="12"/>
      <c r="C141" s="12"/>
      <c r="D141" s="13"/>
      <c r="F141" s="14"/>
      <c r="G141" s="14"/>
      <c r="H141" s="14"/>
      <c r="I141" s="14"/>
      <c r="J141" s="14"/>
      <c r="K141" s="12"/>
    </row>
    <row r="142" ht="19.5" customHeight="1">
      <c r="A142" s="12"/>
      <c r="C142" s="12"/>
      <c r="D142" s="13"/>
      <c r="F142" s="14"/>
      <c r="G142" s="14"/>
      <c r="H142" s="14"/>
      <c r="I142" s="14"/>
      <c r="J142" s="14"/>
      <c r="K142" s="12"/>
    </row>
    <row r="143" ht="19.5" customHeight="1">
      <c r="A143" s="12"/>
      <c r="C143" s="12"/>
      <c r="D143" s="13"/>
      <c r="F143" s="14"/>
      <c r="G143" s="14"/>
      <c r="H143" s="14"/>
      <c r="I143" s="14"/>
      <c r="J143" s="14"/>
      <c r="K143" s="12"/>
    </row>
    <row r="144" ht="19.5" customHeight="1">
      <c r="A144" s="12"/>
      <c r="C144" s="12"/>
      <c r="D144" s="13"/>
      <c r="F144" s="14"/>
      <c r="G144" s="14"/>
      <c r="H144" s="14"/>
      <c r="I144" s="14"/>
      <c r="J144" s="14"/>
      <c r="K144" s="12"/>
    </row>
    <row r="145" ht="19.5" customHeight="1">
      <c r="A145" s="12"/>
      <c r="C145" s="12"/>
      <c r="D145" s="13"/>
      <c r="F145" s="14"/>
      <c r="G145" s="14"/>
      <c r="H145" s="14"/>
      <c r="I145" s="14"/>
      <c r="J145" s="14"/>
      <c r="K145" s="12"/>
    </row>
    <row r="146" ht="19.5" customHeight="1">
      <c r="A146" s="12"/>
      <c r="C146" s="12"/>
      <c r="D146" s="13"/>
      <c r="F146" s="14"/>
      <c r="G146" s="14"/>
      <c r="H146" s="14"/>
      <c r="I146" s="14"/>
      <c r="J146" s="14"/>
      <c r="K146" s="12"/>
    </row>
    <row r="147" ht="19.5" customHeight="1">
      <c r="A147" s="12"/>
      <c r="C147" s="12"/>
      <c r="D147" s="13"/>
      <c r="F147" s="14"/>
      <c r="G147" s="14"/>
      <c r="H147" s="14"/>
      <c r="I147" s="14"/>
      <c r="J147" s="14"/>
      <c r="K147" s="12"/>
    </row>
    <row r="148" ht="19.5" customHeight="1">
      <c r="A148" s="12"/>
      <c r="C148" s="12"/>
      <c r="D148" s="13"/>
      <c r="F148" s="14"/>
      <c r="G148" s="14"/>
      <c r="H148" s="14"/>
      <c r="I148" s="14"/>
      <c r="J148" s="14"/>
      <c r="K148" s="12"/>
    </row>
    <row r="149" ht="19.5" customHeight="1">
      <c r="A149" s="12"/>
      <c r="C149" s="12"/>
      <c r="D149" s="13"/>
      <c r="F149" s="14"/>
      <c r="G149" s="14"/>
      <c r="H149" s="14"/>
      <c r="I149" s="14"/>
      <c r="J149" s="14"/>
      <c r="K149" s="12"/>
    </row>
    <row r="150" ht="19.5" customHeight="1">
      <c r="A150" s="12"/>
      <c r="C150" s="12"/>
      <c r="D150" s="13"/>
      <c r="F150" s="14"/>
      <c r="G150" s="14"/>
      <c r="H150" s="14"/>
      <c r="I150" s="14"/>
      <c r="J150" s="14"/>
      <c r="K150" s="12"/>
    </row>
    <row r="151" ht="19.5" customHeight="1">
      <c r="A151" s="12"/>
      <c r="C151" s="12"/>
      <c r="D151" s="13"/>
      <c r="F151" s="14"/>
      <c r="G151" s="14"/>
      <c r="H151" s="14"/>
      <c r="I151" s="14"/>
      <c r="J151" s="14"/>
      <c r="K151" s="12"/>
    </row>
    <row r="152" ht="19.5" customHeight="1">
      <c r="A152" s="12"/>
      <c r="C152" s="12"/>
      <c r="D152" s="13"/>
      <c r="F152" s="14"/>
      <c r="G152" s="14"/>
      <c r="H152" s="14"/>
      <c r="I152" s="14"/>
      <c r="J152" s="14"/>
      <c r="K152" s="12"/>
    </row>
    <row r="153" ht="19.5" customHeight="1">
      <c r="A153" s="12"/>
      <c r="C153" s="12"/>
      <c r="D153" s="13"/>
      <c r="F153" s="14"/>
      <c r="G153" s="14"/>
      <c r="H153" s="14"/>
      <c r="I153" s="14"/>
      <c r="J153" s="14"/>
      <c r="K153" s="12"/>
    </row>
    <row r="154" ht="19.5" customHeight="1">
      <c r="A154" s="12"/>
      <c r="C154" s="12"/>
      <c r="D154" s="13"/>
      <c r="F154" s="14"/>
      <c r="G154" s="14"/>
      <c r="H154" s="14"/>
      <c r="I154" s="14"/>
      <c r="J154" s="14"/>
      <c r="K154" s="12"/>
    </row>
    <row r="155" ht="19.5" customHeight="1">
      <c r="A155" s="12"/>
      <c r="C155" s="12"/>
      <c r="D155" s="13"/>
      <c r="F155" s="14"/>
      <c r="G155" s="14"/>
      <c r="H155" s="14"/>
      <c r="I155" s="14"/>
      <c r="J155" s="14"/>
      <c r="K155" s="12"/>
    </row>
    <row r="156" ht="19.5" customHeight="1">
      <c r="A156" s="12"/>
      <c r="C156" s="12"/>
      <c r="D156" s="13"/>
      <c r="F156" s="14"/>
      <c r="G156" s="14"/>
      <c r="H156" s="14"/>
      <c r="I156" s="14"/>
      <c r="J156" s="14"/>
      <c r="K156" s="12"/>
    </row>
    <row r="157" ht="19.5" customHeight="1">
      <c r="A157" s="12"/>
      <c r="C157" s="12"/>
      <c r="D157" s="13"/>
      <c r="F157" s="14"/>
      <c r="G157" s="14"/>
      <c r="H157" s="14"/>
      <c r="I157" s="14"/>
      <c r="J157" s="14"/>
      <c r="K157" s="12"/>
    </row>
    <row r="158" ht="19.5" customHeight="1">
      <c r="A158" s="12"/>
      <c r="C158" s="12"/>
      <c r="D158" s="13"/>
      <c r="F158" s="14"/>
      <c r="G158" s="14"/>
      <c r="H158" s="14"/>
      <c r="I158" s="14"/>
      <c r="J158" s="14"/>
      <c r="K158" s="12"/>
    </row>
    <row r="159" ht="19.5" customHeight="1">
      <c r="A159" s="12"/>
      <c r="C159" s="12"/>
      <c r="D159" s="13"/>
      <c r="F159" s="14"/>
      <c r="G159" s="14"/>
      <c r="H159" s="14"/>
      <c r="I159" s="14"/>
      <c r="J159" s="14"/>
      <c r="K159" s="12"/>
    </row>
    <row r="160" ht="19.5" customHeight="1">
      <c r="A160" s="12"/>
      <c r="C160" s="12"/>
      <c r="D160" s="13"/>
      <c r="F160" s="14"/>
      <c r="G160" s="14"/>
      <c r="H160" s="14"/>
      <c r="I160" s="14"/>
      <c r="J160" s="14"/>
      <c r="K160" s="12"/>
    </row>
    <row r="161" ht="19.5" customHeight="1">
      <c r="A161" s="12"/>
      <c r="C161" s="12"/>
      <c r="D161" s="13"/>
      <c r="F161" s="14"/>
      <c r="G161" s="14"/>
      <c r="H161" s="14"/>
      <c r="I161" s="14"/>
      <c r="J161" s="14"/>
      <c r="K161" s="12"/>
    </row>
    <row r="162" ht="19.5" customHeight="1">
      <c r="A162" s="12"/>
      <c r="C162" s="12"/>
      <c r="D162" s="13"/>
      <c r="F162" s="14"/>
      <c r="G162" s="14"/>
      <c r="H162" s="14"/>
      <c r="I162" s="14"/>
      <c r="J162" s="14"/>
      <c r="K162" s="12"/>
    </row>
    <row r="163" ht="19.5" customHeight="1">
      <c r="A163" s="12"/>
      <c r="C163" s="12"/>
      <c r="D163" s="13"/>
      <c r="F163" s="14"/>
      <c r="G163" s="14"/>
      <c r="H163" s="14"/>
      <c r="I163" s="14"/>
      <c r="J163" s="14"/>
      <c r="K163" s="12"/>
    </row>
    <row r="164" ht="19.5" customHeight="1">
      <c r="A164" s="12"/>
      <c r="C164" s="12"/>
      <c r="D164" s="13"/>
      <c r="F164" s="14"/>
      <c r="G164" s="14"/>
      <c r="H164" s="14"/>
      <c r="I164" s="14"/>
      <c r="J164" s="14"/>
      <c r="K164" s="12"/>
    </row>
    <row r="165" ht="19.5" customHeight="1">
      <c r="A165" s="12"/>
      <c r="C165" s="12"/>
      <c r="D165" s="13"/>
      <c r="F165" s="14"/>
      <c r="G165" s="14"/>
      <c r="H165" s="14"/>
      <c r="I165" s="14"/>
      <c r="J165" s="14"/>
      <c r="K165" s="12"/>
    </row>
    <row r="166" ht="19.5" customHeight="1">
      <c r="A166" s="12"/>
      <c r="C166" s="12"/>
      <c r="D166" s="13"/>
      <c r="F166" s="14"/>
      <c r="G166" s="14"/>
      <c r="H166" s="14"/>
      <c r="I166" s="14"/>
      <c r="J166" s="14"/>
      <c r="K166" s="12"/>
    </row>
    <row r="167" ht="19.5" customHeight="1">
      <c r="A167" s="12"/>
      <c r="C167" s="12"/>
      <c r="D167" s="13"/>
      <c r="F167" s="14"/>
      <c r="G167" s="14"/>
      <c r="H167" s="14"/>
      <c r="I167" s="14"/>
      <c r="J167" s="14"/>
      <c r="K167" s="12"/>
    </row>
    <row r="168" ht="19.5" customHeight="1">
      <c r="A168" s="12"/>
      <c r="C168" s="12"/>
      <c r="D168" s="13"/>
      <c r="F168" s="14"/>
      <c r="G168" s="14"/>
      <c r="H168" s="14"/>
      <c r="I168" s="14"/>
      <c r="J168" s="14"/>
      <c r="K168" s="12"/>
    </row>
    <row r="169" ht="19.5" customHeight="1">
      <c r="A169" s="12"/>
      <c r="C169" s="12"/>
      <c r="D169" s="13"/>
      <c r="F169" s="14"/>
      <c r="G169" s="14"/>
      <c r="H169" s="14"/>
      <c r="I169" s="14"/>
      <c r="J169" s="14"/>
      <c r="K169" s="12"/>
    </row>
    <row r="170" ht="19.5" customHeight="1">
      <c r="A170" s="12"/>
      <c r="C170" s="12"/>
      <c r="D170" s="13"/>
      <c r="F170" s="14"/>
      <c r="G170" s="14"/>
      <c r="H170" s="14"/>
      <c r="I170" s="14"/>
      <c r="J170" s="14"/>
      <c r="K170" s="12"/>
    </row>
    <row r="171" ht="19.5" customHeight="1">
      <c r="A171" s="12"/>
      <c r="C171" s="12"/>
      <c r="D171" s="13"/>
      <c r="F171" s="14"/>
      <c r="G171" s="14"/>
      <c r="H171" s="14"/>
      <c r="I171" s="14"/>
      <c r="J171" s="14"/>
      <c r="K171" s="12"/>
    </row>
    <row r="172" ht="19.5" customHeight="1">
      <c r="A172" s="12"/>
      <c r="C172" s="12"/>
      <c r="D172" s="13"/>
      <c r="F172" s="14"/>
      <c r="G172" s="14"/>
      <c r="H172" s="14"/>
      <c r="I172" s="14"/>
      <c r="J172" s="14"/>
      <c r="K172" s="12"/>
    </row>
    <row r="173" ht="19.5" customHeight="1">
      <c r="A173" s="12"/>
      <c r="C173" s="12"/>
      <c r="D173" s="13"/>
      <c r="F173" s="14"/>
      <c r="G173" s="14"/>
      <c r="H173" s="14"/>
      <c r="I173" s="14"/>
      <c r="J173" s="14"/>
      <c r="K173" s="12"/>
    </row>
    <row r="174" ht="19.5" customHeight="1">
      <c r="A174" s="12"/>
      <c r="C174" s="12"/>
      <c r="D174" s="13"/>
      <c r="F174" s="14"/>
      <c r="G174" s="14"/>
      <c r="H174" s="14"/>
      <c r="I174" s="14"/>
      <c r="J174" s="14"/>
      <c r="K174" s="12"/>
    </row>
    <row r="175" ht="19.5" customHeight="1">
      <c r="A175" s="12"/>
      <c r="C175" s="12"/>
      <c r="D175" s="13"/>
      <c r="F175" s="14"/>
      <c r="G175" s="14"/>
      <c r="H175" s="14"/>
      <c r="I175" s="14"/>
      <c r="J175" s="14"/>
      <c r="K175" s="12"/>
    </row>
    <row r="176" ht="19.5" customHeight="1">
      <c r="A176" s="12"/>
      <c r="C176" s="12"/>
      <c r="D176" s="13"/>
      <c r="F176" s="14"/>
      <c r="G176" s="14"/>
      <c r="H176" s="14"/>
      <c r="I176" s="14"/>
      <c r="J176" s="14"/>
      <c r="K176" s="12"/>
    </row>
    <row r="177" ht="19.5" customHeight="1">
      <c r="A177" s="12"/>
      <c r="C177" s="12"/>
      <c r="D177" s="13"/>
      <c r="F177" s="14"/>
      <c r="G177" s="14"/>
      <c r="H177" s="14"/>
      <c r="I177" s="14"/>
      <c r="J177" s="14"/>
      <c r="K177" s="12"/>
    </row>
    <row r="178" ht="19.5" customHeight="1">
      <c r="A178" s="12"/>
      <c r="C178" s="12"/>
      <c r="D178" s="13"/>
      <c r="F178" s="14"/>
      <c r="G178" s="14"/>
      <c r="H178" s="14"/>
      <c r="I178" s="14"/>
      <c r="J178" s="14"/>
      <c r="K178" s="12"/>
    </row>
    <row r="179" ht="19.5" customHeight="1">
      <c r="A179" s="12"/>
      <c r="C179" s="12"/>
      <c r="D179" s="13"/>
      <c r="F179" s="14"/>
      <c r="G179" s="14"/>
      <c r="H179" s="14"/>
      <c r="I179" s="14"/>
      <c r="J179" s="14"/>
      <c r="K179" s="12"/>
    </row>
    <row r="180" ht="19.5" customHeight="1">
      <c r="A180" s="12"/>
      <c r="C180" s="12"/>
      <c r="D180" s="13"/>
      <c r="F180" s="14"/>
      <c r="G180" s="14"/>
      <c r="H180" s="14"/>
      <c r="I180" s="14"/>
      <c r="J180" s="14"/>
      <c r="K180" s="12"/>
    </row>
    <row r="181" ht="19.5" customHeight="1">
      <c r="A181" s="12"/>
      <c r="C181" s="12"/>
      <c r="D181" s="13"/>
      <c r="F181" s="14"/>
      <c r="G181" s="14"/>
      <c r="H181" s="14"/>
      <c r="I181" s="14"/>
      <c r="J181" s="14"/>
      <c r="K181" s="12"/>
    </row>
    <row r="182" ht="19.5" customHeight="1">
      <c r="A182" s="12"/>
      <c r="C182" s="12"/>
      <c r="D182" s="13"/>
      <c r="F182" s="14"/>
      <c r="G182" s="14"/>
      <c r="H182" s="14"/>
      <c r="I182" s="14"/>
      <c r="J182" s="14"/>
      <c r="K182" s="12"/>
    </row>
    <row r="183" ht="19.5" customHeight="1">
      <c r="A183" s="12"/>
      <c r="C183" s="12"/>
      <c r="D183" s="13"/>
      <c r="F183" s="14"/>
      <c r="G183" s="14"/>
      <c r="H183" s="14"/>
      <c r="I183" s="14"/>
      <c r="J183" s="14"/>
      <c r="K183" s="12"/>
    </row>
    <row r="184" ht="19.5" customHeight="1">
      <c r="A184" s="12"/>
      <c r="C184" s="12"/>
      <c r="D184" s="13"/>
      <c r="F184" s="14"/>
      <c r="G184" s="14"/>
      <c r="H184" s="14"/>
      <c r="I184" s="14"/>
      <c r="J184" s="14"/>
      <c r="K184" s="12"/>
    </row>
    <row r="185" ht="19.5" customHeight="1">
      <c r="A185" s="12"/>
      <c r="C185" s="12"/>
      <c r="D185" s="13"/>
      <c r="F185" s="14"/>
      <c r="G185" s="14"/>
      <c r="H185" s="14"/>
      <c r="I185" s="14"/>
      <c r="J185" s="14"/>
      <c r="K185" s="12"/>
    </row>
    <row r="186" ht="19.5" customHeight="1">
      <c r="A186" s="12"/>
      <c r="C186" s="12"/>
      <c r="D186" s="13"/>
      <c r="F186" s="14"/>
      <c r="G186" s="14"/>
      <c r="H186" s="14"/>
      <c r="I186" s="14"/>
      <c r="J186" s="14"/>
      <c r="K186" s="12"/>
    </row>
    <row r="187" ht="19.5" customHeight="1">
      <c r="A187" s="12"/>
      <c r="C187" s="12"/>
      <c r="D187" s="13"/>
      <c r="F187" s="14"/>
      <c r="G187" s="14"/>
      <c r="H187" s="14"/>
      <c r="I187" s="14"/>
      <c r="J187" s="14"/>
      <c r="K187" s="12"/>
    </row>
    <row r="188" ht="19.5" customHeight="1">
      <c r="A188" s="12"/>
      <c r="C188" s="12"/>
      <c r="D188" s="13"/>
      <c r="F188" s="14"/>
      <c r="G188" s="14"/>
      <c r="H188" s="14"/>
      <c r="I188" s="14"/>
      <c r="J188" s="14"/>
      <c r="K188" s="12"/>
    </row>
    <row r="189" ht="19.5" customHeight="1">
      <c r="A189" s="12"/>
      <c r="C189" s="12"/>
      <c r="D189" s="13"/>
      <c r="F189" s="14"/>
      <c r="G189" s="14"/>
      <c r="H189" s="14"/>
      <c r="I189" s="14"/>
      <c r="J189" s="14"/>
      <c r="K189" s="12"/>
    </row>
    <row r="190" ht="19.5" customHeight="1">
      <c r="A190" s="12"/>
      <c r="C190" s="12"/>
      <c r="D190" s="13"/>
      <c r="F190" s="14"/>
      <c r="G190" s="14"/>
      <c r="H190" s="14"/>
      <c r="I190" s="14"/>
      <c r="J190" s="14"/>
      <c r="K190" s="12"/>
    </row>
    <row r="191" ht="19.5" customHeight="1">
      <c r="A191" s="12"/>
      <c r="C191" s="12"/>
      <c r="D191" s="13"/>
      <c r="F191" s="14"/>
      <c r="G191" s="14"/>
      <c r="H191" s="14"/>
      <c r="I191" s="14"/>
      <c r="J191" s="14"/>
      <c r="K191" s="12"/>
    </row>
    <row r="192" ht="19.5" customHeight="1">
      <c r="A192" s="12"/>
      <c r="C192" s="12"/>
      <c r="D192" s="13"/>
      <c r="F192" s="14"/>
      <c r="G192" s="14"/>
      <c r="H192" s="14"/>
      <c r="I192" s="14"/>
      <c r="J192" s="14"/>
      <c r="K192" s="12"/>
    </row>
    <row r="193" ht="19.5" customHeight="1">
      <c r="A193" s="12"/>
      <c r="C193" s="12"/>
      <c r="D193" s="13"/>
      <c r="F193" s="14"/>
      <c r="G193" s="14"/>
      <c r="H193" s="14"/>
      <c r="I193" s="14"/>
      <c r="J193" s="14"/>
      <c r="K193" s="12"/>
    </row>
    <row r="194" ht="19.5" customHeight="1">
      <c r="A194" s="12"/>
      <c r="C194" s="12"/>
      <c r="D194" s="13"/>
      <c r="F194" s="14"/>
      <c r="G194" s="14"/>
      <c r="H194" s="14"/>
      <c r="I194" s="14"/>
      <c r="J194" s="14"/>
      <c r="K194" s="12"/>
    </row>
    <row r="195" ht="19.5" customHeight="1">
      <c r="A195" s="12"/>
      <c r="C195" s="12"/>
      <c r="D195" s="13"/>
      <c r="F195" s="14"/>
      <c r="G195" s="14"/>
      <c r="H195" s="14"/>
      <c r="I195" s="14"/>
      <c r="J195" s="14"/>
      <c r="K195" s="12"/>
    </row>
    <row r="196" ht="19.5" customHeight="1">
      <c r="A196" s="12"/>
      <c r="C196" s="12"/>
      <c r="D196" s="13"/>
      <c r="F196" s="14"/>
      <c r="G196" s="14"/>
      <c r="H196" s="14"/>
      <c r="I196" s="14"/>
      <c r="J196" s="14"/>
      <c r="K196" s="12"/>
    </row>
    <row r="197" ht="19.5" customHeight="1">
      <c r="A197" s="12"/>
      <c r="C197" s="12"/>
      <c r="D197" s="13"/>
      <c r="F197" s="14"/>
      <c r="G197" s="14"/>
      <c r="H197" s="14"/>
      <c r="I197" s="14"/>
      <c r="J197" s="14"/>
      <c r="K197" s="12"/>
    </row>
    <row r="198" ht="19.5" customHeight="1">
      <c r="A198" s="12"/>
      <c r="C198" s="12"/>
      <c r="D198" s="13"/>
      <c r="F198" s="14"/>
      <c r="G198" s="14"/>
      <c r="H198" s="14"/>
      <c r="I198" s="14"/>
      <c r="J198" s="14"/>
      <c r="K198" s="12"/>
    </row>
    <row r="199" ht="19.5" customHeight="1">
      <c r="A199" s="12"/>
      <c r="C199" s="12"/>
      <c r="D199" s="13"/>
      <c r="F199" s="14"/>
      <c r="G199" s="14"/>
      <c r="H199" s="14"/>
      <c r="I199" s="14"/>
      <c r="J199" s="14"/>
      <c r="K199" s="12"/>
    </row>
    <row r="200" ht="19.5" customHeight="1">
      <c r="A200" s="12"/>
      <c r="C200" s="12"/>
      <c r="D200" s="13"/>
      <c r="F200" s="14"/>
      <c r="G200" s="14"/>
      <c r="H200" s="14"/>
      <c r="I200" s="14"/>
      <c r="J200" s="14"/>
      <c r="K200" s="12"/>
    </row>
    <row r="201" ht="19.5" customHeight="1">
      <c r="A201" s="12"/>
      <c r="C201" s="12"/>
      <c r="D201" s="13"/>
      <c r="F201" s="14"/>
      <c r="G201" s="14"/>
      <c r="H201" s="14"/>
      <c r="I201" s="14"/>
      <c r="J201" s="14"/>
      <c r="K201" s="12"/>
    </row>
    <row r="202" ht="19.5" customHeight="1">
      <c r="A202" s="12"/>
      <c r="C202" s="12"/>
      <c r="D202" s="13"/>
      <c r="F202" s="14"/>
      <c r="G202" s="14"/>
      <c r="H202" s="14"/>
      <c r="I202" s="14"/>
      <c r="J202" s="14"/>
      <c r="K202" s="12"/>
    </row>
    <row r="203" ht="19.5" customHeight="1">
      <c r="A203" s="12"/>
      <c r="C203" s="12"/>
      <c r="D203" s="13"/>
      <c r="F203" s="14"/>
      <c r="G203" s="14"/>
      <c r="H203" s="14"/>
      <c r="I203" s="14"/>
      <c r="J203" s="14"/>
      <c r="K203" s="12"/>
    </row>
    <row r="204" ht="19.5" customHeight="1">
      <c r="A204" s="12"/>
      <c r="C204" s="12"/>
      <c r="D204" s="13"/>
      <c r="F204" s="14"/>
      <c r="G204" s="14"/>
      <c r="H204" s="14"/>
      <c r="I204" s="14"/>
      <c r="J204" s="14"/>
      <c r="K204" s="12"/>
    </row>
    <row r="205" ht="19.5" customHeight="1">
      <c r="A205" s="12"/>
      <c r="C205" s="12"/>
      <c r="D205" s="13"/>
      <c r="F205" s="14"/>
      <c r="G205" s="14"/>
      <c r="H205" s="14"/>
      <c r="I205" s="14"/>
      <c r="J205" s="14"/>
      <c r="K205" s="12"/>
    </row>
    <row r="206" ht="19.5" customHeight="1">
      <c r="A206" s="12"/>
      <c r="C206" s="12"/>
      <c r="D206" s="13"/>
      <c r="F206" s="14"/>
      <c r="G206" s="14"/>
      <c r="H206" s="14"/>
      <c r="I206" s="14"/>
      <c r="J206" s="14"/>
      <c r="K206" s="12"/>
    </row>
    <row r="207" ht="19.5" customHeight="1">
      <c r="A207" s="12"/>
      <c r="C207" s="12"/>
      <c r="D207" s="13"/>
      <c r="F207" s="14"/>
      <c r="G207" s="14"/>
      <c r="H207" s="14"/>
      <c r="I207" s="14"/>
      <c r="J207" s="14"/>
      <c r="K207" s="12"/>
    </row>
    <row r="208" ht="19.5" customHeight="1">
      <c r="A208" s="12"/>
      <c r="C208" s="12"/>
      <c r="D208" s="13"/>
      <c r="F208" s="14"/>
      <c r="G208" s="14"/>
      <c r="H208" s="14"/>
      <c r="I208" s="14"/>
      <c r="J208" s="14"/>
      <c r="K208" s="12"/>
    </row>
    <row r="209" ht="19.5" customHeight="1">
      <c r="A209" s="12"/>
      <c r="C209" s="12"/>
      <c r="D209" s="13"/>
      <c r="F209" s="14"/>
      <c r="G209" s="14"/>
      <c r="H209" s="14"/>
      <c r="I209" s="14"/>
      <c r="J209" s="14"/>
      <c r="K209" s="12"/>
    </row>
    <row r="210" ht="19.5" customHeight="1">
      <c r="A210" s="12"/>
      <c r="C210" s="12"/>
      <c r="D210" s="13"/>
      <c r="F210" s="14"/>
      <c r="G210" s="14"/>
      <c r="H210" s="14"/>
      <c r="I210" s="14"/>
      <c r="J210" s="14"/>
      <c r="K210" s="12"/>
    </row>
    <row r="211" ht="19.5" customHeight="1">
      <c r="A211" s="12"/>
      <c r="C211" s="12"/>
      <c r="D211" s="13"/>
      <c r="F211" s="14"/>
      <c r="G211" s="14"/>
      <c r="H211" s="14"/>
      <c r="I211" s="14"/>
      <c r="J211" s="14"/>
      <c r="K211" s="12"/>
    </row>
    <row r="212" ht="19.5" customHeight="1">
      <c r="A212" s="12"/>
      <c r="C212" s="12"/>
      <c r="D212" s="13"/>
      <c r="F212" s="14"/>
      <c r="G212" s="14"/>
      <c r="H212" s="14"/>
      <c r="I212" s="14"/>
      <c r="J212" s="14"/>
      <c r="K212" s="12"/>
    </row>
    <row r="213" ht="19.5" customHeight="1">
      <c r="A213" s="12"/>
      <c r="C213" s="12"/>
      <c r="D213" s="13"/>
      <c r="F213" s="14"/>
      <c r="G213" s="14"/>
      <c r="H213" s="14"/>
      <c r="I213" s="14"/>
      <c r="J213" s="14"/>
      <c r="K213" s="12"/>
    </row>
    <row r="214" ht="19.5" customHeight="1">
      <c r="A214" s="12"/>
      <c r="C214" s="12"/>
      <c r="D214" s="13"/>
      <c r="F214" s="14"/>
      <c r="G214" s="14"/>
      <c r="H214" s="14"/>
      <c r="I214" s="14"/>
      <c r="J214" s="14"/>
      <c r="K214" s="12"/>
    </row>
    <row r="215" ht="19.5" customHeight="1">
      <c r="A215" s="12"/>
      <c r="C215" s="12"/>
      <c r="D215" s="13"/>
      <c r="F215" s="14"/>
      <c r="G215" s="14"/>
      <c r="H215" s="14"/>
      <c r="I215" s="14"/>
      <c r="J215" s="14"/>
      <c r="K215" s="12"/>
    </row>
    <row r="216" ht="19.5" customHeight="1">
      <c r="A216" s="12"/>
      <c r="C216" s="12"/>
      <c r="D216" s="13"/>
      <c r="F216" s="14"/>
      <c r="G216" s="14"/>
      <c r="H216" s="14"/>
      <c r="I216" s="14"/>
      <c r="J216" s="14"/>
      <c r="K216" s="12"/>
    </row>
    <row r="217" ht="19.5" customHeight="1">
      <c r="A217" s="12"/>
      <c r="C217" s="12"/>
      <c r="D217" s="13"/>
      <c r="F217" s="14"/>
      <c r="G217" s="14"/>
      <c r="H217" s="14"/>
      <c r="I217" s="14"/>
      <c r="J217" s="14"/>
      <c r="K217" s="12"/>
    </row>
    <row r="218" ht="19.5" customHeight="1">
      <c r="A218" s="12"/>
      <c r="C218" s="12"/>
      <c r="D218" s="13"/>
      <c r="F218" s="14"/>
      <c r="G218" s="14"/>
      <c r="H218" s="14"/>
      <c r="I218" s="14"/>
      <c r="J218" s="14"/>
      <c r="K218" s="12"/>
    </row>
    <row r="219" ht="19.5" customHeight="1">
      <c r="A219" s="12"/>
      <c r="C219" s="12"/>
      <c r="D219" s="13"/>
      <c r="F219" s="14"/>
      <c r="G219" s="14"/>
      <c r="H219" s="14"/>
      <c r="I219" s="14"/>
      <c r="J219" s="14"/>
      <c r="K219" s="12"/>
    </row>
    <row r="220" ht="19.5" customHeight="1">
      <c r="A220" s="12"/>
      <c r="C220" s="12"/>
      <c r="D220" s="13"/>
      <c r="F220" s="14"/>
      <c r="G220" s="14"/>
      <c r="H220" s="14"/>
      <c r="I220" s="14"/>
      <c r="J220" s="14"/>
      <c r="K220" s="12"/>
    </row>
    <row r="221" ht="19.5" customHeight="1">
      <c r="A221" s="12"/>
      <c r="C221" s="12"/>
      <c r="D221" s="13"/>
      <c r="F221" s="14"/>
      <c r="G221" s="14"/>
      <c r="H221" s="14"/>
      <c r="I221" s="14"/>
      <c r="J221" s="14"/>
      <c r="K221" s="12"/>
    </row>
    <row r="222" ht="19.5" customHeight="1">
      <c r="A222" s="12"/>
      <c r="C222" s="12"/>
      <c r="D222" s="13"/>
      <c r="F222" s="14"/>
      <c r="G222" s="14"/>
      <c r="H222" s="14"/>
      <c r="I222" s="14"/>
      <c r="J222" s="14"/>
      <c r="K222" s="12"/>
    </row>
    <row r="223" ht="19.5" customHeight="1">
      <c r="A223" s="12"/>
      <c r="C223" s="12"/>
      <c r="D223" s="13"/>
      <c r="F223" s="14"/>
      <c r="G223" s="14"/>
      <c r="H223" s="14"/>
      <c r="I223" s="14"/>
      <c r="J223" s="14"/>
      <c r="K223" s="12"/>
    </row>
    <row r="224" ht="19.5" customHeight="1">
      <c r="A224" s="12"/>
      <c r="C224" s="12"/>
      <c r="D224" s="13"/>
      <c r="F224" s="14"/>
      <c r="G224" s="14"/>
      <c r="H224" s="14"/>
      <c r="I224" s="14"/>
      <c r="J224" s="14"/>
      <c r="K224" s="12"/>
    </row>
    <row r="225" ht="19.5" customHeight="1">
      <c r="A225" s="12"/>
      <c r="C225" s="12"/>
      <c r="D225" s="13"/>
      <c r="F225" s="14"/>
      <c r="G225" s="14"/>
      <c r="H225" s="14"/>
      <c r="I225" s="14"/>
      <c r="J225" s="14"/>
      <c r="K225" s="12"/>
    </row>
    <row r="226" ht="19.5" customHeight="1">
      <c r="A226" s="12"/>
      <c r="C226" s="12"/>
      <c r="D226" s="13"/>
      <c r="F226" s="14"/>
      <c r="G226" s="14"/>
      <c r="H226" s="14"/>
      <c r="I226" s="14"/>
      <c r="J226" s="14"/>
      <c r="K226" s="12"/>
    </row>
    <row r="227" ht="19.5" customHeight="1">
      <c r="A227" s="12"/>
      <c r="C227" s="12"/>
      <c r="D227" s="13"/>
      <c r="F227" s="14"/>
      <c r="G227" s="14"/>
      <c r="H227" s="14"/>
      <c r="I227" s="14"/>
      <c r="J227" s="14"/>
      <c r="K227" s="12"/>
    </row>
    <row r="228" ht="19.5" customHeight="1">
      <c r="A228" s="12"/>
      <c r="C228" s="12"/>
      <c r="D228" s="13"/>
      <c r="F228" s="14"/>
      <c r="G228" s="14"/>
      <c r="H228" s="14"/>
      <c r="I228" s="14"/>
      <c r="J228" s="14"/>
      <c r="K228" s="12"/>
    </row>
    <row r="229" ht="19.5" customHeight="1">
      <c r="A229" s="12"/>
      <c r="C229" s="12"/>
      <c r="D229" s="13"/>
      <c r="F229" s="14"/>
      <c r="G229" s="14"/>
      <c r="H229" s="14"/>
      <c r="I229" s="14"/>
      <c r="J229" s="14"/>
      <c r="K229" s="12"/>
    </row>
    <row r="230" ht="19.5" customHeight="1">
      <c r="A230" s="12"/>
      <c r="C230" s="12"/>
      <c r="D230" s="13"/>
      <c r="F230" s="14"/>
      <c r="G230" s="14"/>
      <c r="H230" s="14"/>
      <c r="I230" s="14"/>
      <c r="J230" s="14"/>
      <c r="K230" s="12"/>
    </row>
    <row r="231" ht="19.5" customHeight="1">
      <c r="A231" s="12"/>
      <c r="C231" s="12"/>
      <c r="D231" s="13"/>
      <c r="F231" s="14"/>
      <c r="G231" s="14"/>
      <c r="H231" s="14"/>
      <c r="I231" s="14"/>
      <c r="J231" s="14"/>
      <c r="K231" s="12"/>
    </row>
    <row r="232" ht="19.5" customHeight="1">
      <c r="A232" s="12"/>
      <c r="C232" s="12"/>
      <c r="D232" s="13"/>
      <c r="F232" s="14"/>
      <c r="G232" s="14"/>
      <c r="H232" s="14"/>
      <c r="I232" s="14"/>
      <c r="J232" s="14"/>
      <c r="K232" s="12"/>
    </row>
    <row r="233" ht="19.5" customHeight="1">
      <c r="A233" s="12"/>
      <c r="C233" s="12"/>
      <c r="D233" s="13"/>
      <c r="F233" s="14"/>
      <c r="G233" s="14"/>
      <c r="H233" s="14"/>
      <c r="I233" s="14"/>
      <c r="J233" s="14"/>
      <c r="K233" s="12"/>
    </row>
    <row r="234" ht="19.5" customHeight="1">
      <c r="A234" s="12"/>
      <c r="C234" s="12"/>
      <c r="D234" s="13"/>
      <c r="F234" s="14"/>
      <c r="G234" s="14"/>
      <c r="H234" s="14"/>
      <c r="I234" s="14"/>
      <c r="J234" s="14"/>
      <c r="K234" s="12"/>
    </row>
    <row r="235" ht="19.5" customHeight="1">
      <c r="A235" s="12"/>
      <c r="C235" s="12"/>
      <c r="D235" s="13"/>
      <c r="F235" s="14"/>
      <c r="G235" s="14"/>
      <c r="H235" s="14"/>
      <c r="I235" s="14"/>
      <c r="J235" s="14"/>
      <c r="K235" s="12"/>
    </row>
    <row r="236" ht="19.5" customHeight="1">
      <c r="A236" s="12"/>
      <c r="C236" s="12"/>
      <c r="D236" s="13"/>
      <c r="F236" s="14"/>
      <c r="G236" s="14"/>
      <c r="H236" s="14"/>
      <c r="I236" s="14"/>
      <c r="J236" s="14"/>
      <c r="K236" s="12"/>
    </row>
    <row r="237" ht="19.5" customHeight="1">
      <c r="A237" s="12"/>
      <c r="C237" s="12"/>
      <c r="D237" s="13"/>
      <c r="F237" s="14"/>
      <c r="G237" s="14"/>
      <c r="H237" s="14"/>
      <c r="I237" s="14"/>
      <c r="J237" s="14"/>
      <c r="K237" s="12"/>
    </row>
    <row r="238" ht="19.5" customHeight="1">
      <c r="A238" s="12"/>
      <c r="C238" s="12"/>
      <c r="D238" s="13"/>
      <c r="F238" s="14"/>
      <c r="G238" s="14"/>
      <c r="H238" s="14"/>
      <c r="I238" s="14"/>
      <c r="J238" s="14"/>
      <c r="K238" s="12"/>
    </row>
    <row r="239" ht="19.5" customHeight="1">
      <c r="A239" s="12"/>
      <c r="C239" s="12"/>
      <c r="D239" s="13"/>
      <c r="F239" s="14"/>
      <c r="G239" s="14"/>
      <c r="H239" s="14"/>
      <c r="I239" s="14"/>
      <c r="J239" s="14"/>
      <c r="K239" s="12"/>
    </row>
    <row r="240" ht="19.5" customHeight="1">
      <c r="A240" s="12"/>
      <c r="C240" s="12"/>
      <c r="D240" s="13"/>
      <c r="F240" s="14"/>
      <c r="G240" s="14"/>
      <c r="H240" s="14"/>
      <c r="I240" s="14"/>
      <c r="J240" s="14"/>
      <c r="K240" s="12"/>
    </row>
    <row r="241" ht="19.5" customHeight="1">
      <c r="A241" s="12"/>
      <c r="C241" s="12"/>
      <c r="D241" s="13"/>
      <c r="F241" s="14"/>
      <c r="G241" s="14"/>
      <c r="H241" s="14"/>
      <c r="I241" s="14"/>
      <c r="J241" s="14"/>
      <c r="K241" s="12"/>
    </row>
    <row r="242" ht="19.5" customHeight="1">
      <c r="A242" s="12"/>
      <c r="C242" s="12"/>
      <c r="D242" s="13"/>
      <c r="F242" s="14"/>
      <c r="G242" s="14"/>
      <c r="H242" s="14"/>
      <c r="I242" s="14"/>
      <c r="J242" s="14"/>
      <c r="K242" s="12"/>
    </row>
    <row r="243" ht="19.5" customHeight="1">
      <c r="A243" s="12"/>
      <c r="C243" s="12"/>
      <c r="D243" s="13"/>
      <c r="F243" s="14"/>
      <c r="G243" s="14"/>
      <c r="H243" s="14"/>
      <c r="I243" s="14"/>
      <c r="J243" s="14"/>
      <c r="K243" s="12"/>
    </row>
    <row r="244" ht="19.5" customHeight="1">
      <c r="A244" s="12"/>
      <c r="C244" s="12"/>
      <c r="D244" s="13"/>
      <c r="F244" s="14"/>
      <c r="G244" s="14"/>
      <c r="H244" s="14"/>
      <c r="I244" s="14"/>
      <c r="J244" s="14"/>
      <c r="K244" s="12"/>
    </row>
    <row r="245" ht="19.5" customHeight="1">
      <c r="A245" s="12"/>
      <c r="C245" s="12"/>
      <c r="D245" s="13"/>
      <c r="F245" s="14"/>
      <c r="G245" s="14"/>
      <c r="H245" s="14"/>
      <c r="I245" s="14"/>
      <c r="J245" s="14"/>
      <c r="K245" s="12"/>
    </row>
    <row r="246" ht="19.5" customHeight="1">
      <c r="A246" s="12"/>
      <c r="C246" s="12"/>
      <c r="D246" s="13"/>
      <c r="F246" s="14"/>
      <c r="G246" s="14"/>
      <c r="H246" s="14"/>
      <c r="I246" s="14"/>
      <c r="J246" s="14"/>
      <c r="K246" s="12"/>
    </row>
    <row r="247" ht="19.5" customHeight="1">
      <c r="A247" s="12"/>
      <c r="C247" s="12"/>
      <c r="D247" s="13"/>
      <c r="F247" s="14"/>
      <c r="G247" s="14"/>
      <c r="H247" s="14"/>
      <c r="I247" s="14"/>
      <c r="J247" s="14"/>
      <c r="K247" s="12"/>
    </row>
    <row r="248" ht="19.5" customHeight="1">
      <c r="A248" s="12"/>
      <c r="C248" s="12"/>
      <c r="D248" s="13"/>
      <c r="F248" s="14"/>
      <c r="G248" s="14"/>
      <c r="H248" s="14"/>
      <c r="I248" s="14"/>
      <c r="J248" s="14"/>
      <c r="K248" s="12"/>
    </row>
    <row r="249" ht="19.5" customHeight="1">
      <c r="A249" s="12"/>
      <c r="C249" s="12"/>
      <c r="D249" s="13"/>
      <c r="F249" s="14"/>
      <c r="G249" s="14"/>
      <c r="H249" s="14"/>
      <c r="I249" s="14"/>
      <c r="J249" s="14"/>
      <c r="K249" s="12"/>
    </row>
    <row r="250" ht="19.5" customHeight="1">
      <c r="A250" s="12"/>
      <c r="C250" s="12"/>
      <c r="D250" s="13"/>
      <c r="F250" s="14"/>
      <c r="G250" s="14"/>
      <c r="H250" s="14"/>
      <c r="I250" s="14"/>
      <c r="J250" s="14"/>
      <c r="K250" s="12"/>
    </row>
    <row r="251" ht="19.5" customHeight="1">
      <c r="A251" s="12"/>
      <c r="C251" s="12"/>
      <c r="D251" s="13"/>
      <c r="F251" s="14"/>
      <c r="G251" s="14"/>
      <c r="H251" s="14"/>
      <c r="I251" s="14"/>
      <c r="J251" s="14"/>
      <c r="K251" s="12"/>
    </row>
    <row r="252" ht="19.5" customHeight="1">
      <c r="A252" s="12"/>
      <c r="C252" s="12"/>
      <c r="D252" s="13"/>
      <c r="F252" s="14"/>
      <c r="G252" s="14"/>
      <c r="H252" s="14"/>
      <c r="I252" s="14"/>
      <c r="J252" s="14"/>
      <c r="K252" s="12"/>
    </row>
    <row r="253" ht="19.5" customHeight="1">
      <c r="A253" s="12"/>
      <c r="C253" s="12"/>
      <c r="D253" s="13"/>
      <c r="F253" s="14"/>
      <c r="G253" s="14"/>
      <c r="H253" s="14"/>
      <c r="I253" s="14"/>
      <c r="J253" s="14"/>
      <c r="K253" s="12"/>
    </row>
    <row r="254" ht="19.5" customHeight="1">
      <c r="A254" s="12"/>
      <c r="C254" s="12"/>
      <c r="D254" s="13"/>
      <c r="F254" s="14"/>
      <c r="G254" s="14"/>
      <c r="H254" s="14"/>
      <c r="I254" s="14"/>
      <c r="J254" s="14"/>
      <c r="K254" s="12"/>
    </row>
    <row r="255" ht="19.5" customHeight="1">
      <c r="A255" s="12"/>
      <c r="C255" s="12"/>
      <c r="D255" s="13"/>
      <c r="F255" s="14"/>
      <c r="G255" s="14"/>
      <c r="H255" s="14"/>
      <c r="I255" s="14"/>
      <c r="J255" s="14"/>
      <c r="K255" s="12"/>
    </row>
    <row r="256" ht="19.5" customHeight="1">
      <c r="A256" s="12"/>
      <c r="C256" s="12"/>
      <c r="D256" s="13"/>
      <c r="F256" s="14"/>
      <c r="G256" s="14"/>
      <c r="H256" s="14"/>
      <c r="I256" s="14"/>
      <c r="J256" s="14"/>
      <c r="K256" s="12"/>
    </row>
    <row r="257" ht="19.5" customHeight="1">
      <c r="A257" s="12"/>
      <c r="C257" s="12"/>
      <c r="D257" s="13"/>
      <c r="F257" s="14"/>
      <c r="G257" s="14"/>
      <c r="H257" s="14"/>
      <c r="I257" s="14"/>
      <c r="J257" s="14"/>
      <c r="K257" s="12"/>
    </row>
    <row r="258" ht="19.5" customHeight="1">
      <c r="A258" s="12"/>
      <c r="C258" s="12"/>
      <c r="D258" s="13"/>
      <c r="F258" s="14"/>
      <c r="G258" s="14"/>
      <c r="H258" s="14"/>
      <c r="I258" s="14"/>
      <c r="J258" s="14"/>
      <c r="K258" s="12"/>
    </row>
    <row r="259" ht="19.5" customHeight="1">
      <c r="A259" s="12"/>
      <c r="C259" s="12"/>
      <c r="D259" s="13"/>
      <c r="F259" s="14"/>
      <c r="G259" s="14"/>
      <c r="H259" s="14"/>
      <c r="I259" s="14"/>
      <c r="J259" s="14"/>
      <c r="K259" s="12"/>
    </row>
    <row r="260" ht="19.5" customHeight="1">
      <c r="A260" s="12"/>
      <c r="C260" s="12"/>
      <c r="D260" s="13"/>
      <c r="F260" s="14"/>
      <c r="G260" s="14"/>
      <c r="H260" s="14"/>
      <c r="I260" s="14"/>
      <c r="J260" s="14"/>
      <c r="K260" s="12"/>
    </row>
    <row r="261" ht="19.5" customHeight="1">
      <c r="A261" s="12"/>
      <c r="C261" s="12"/>
      <c r="D261" s="13"/>
      <c r="F261" s="14"/>
      <c r="G261" s="14"/>
      <c r="H261" s="14"/>
      <c r="I261" s="14"/>
      <c r="J261" s="14"/>
      <c r="K261" s="12"/>
    </row>
    <row r="262" ht="19.5" customHeight="1">
      <c r="A262" s="12"/>
      <c r="C262" s="12"/>
      <c r="D262" s="13"/>
      <c r="F262" s="14"/>
      <c r="G262" s="14"/>
      <c r="H262" s="14"/>
      <c r="I262" s="14"/>
      <c r="J262" s="14"/>
      <c r="K262" s="12"/>
    </row>
    <row r="263" ht="19.5" customHeight="1">
      <c r="A263" s="12"/>
      <c r="C263" s="12"/>
      <c r="D263" s="13"/>
      <c r="F263" s="14"/>
      <c r="G263" s="14"/>
      <c r="H263" s="14"/>
      <c r="I263" s="14"/>
      <c r="J263" s="14"/>
      <c r="K263" s="12"/>
    </row>
    <row r="264" ht="19.5" customHeight="1">
      <c r="A264" s="12"/>
      <c r="C264" s="12"/>
      <c r="D264" s="13"/>
      <c r="F264" s="14"/>
      <c r="G264" s="14"/>
      <c r="H264" s="14"/>
      <c r="I264" s="14"/>
      <c r="J264" s="14"/>
      <c r="K264" s="12"/>
    </row>
    <row r="265" ht="19.5" customHeight="1">
      <c r="A265" s="12"/>
      <c r="C265" s="12"/>
      <c r="D265" s="13"/>
      <c r="F265" s="14"/>
      <c r="G265" s="14"/>
      <c r="H265" s="14"/>
      <c r="I265" s="14"/>
      <c r="J265" s="14"/>
      <c r="K265" s="12"/>
    </row>
    <row r="266" ht="19.5" customHeight="1">
      <c r="A266" s="12"/>
      <c r="C266" s="12"/>
      <c r="D266" s="13"/>
      <c r="F266" s="14"/>
      <c r="G266" s="14"/>
      <c r="H266" s="14"/>
      <c r="I266" s="14"/>
      <c r="J266" s="14"/>
      <c r="K266" s="12"/>
    </row>
    <row r="267" ht="19.5" customHeight="1">
      <c r="A267" s="12"/>
      <c r="C267" s="12"/>
      <c r="D267" s="13"/>
      <c r="F267" s="14"/>
      <c r="G267" s="14"/>
      <c r="H267" s="14"/>
      <c r="I267" s="14"/>
      <c r="J267" s="14"/>
      <c r="K267" s="12"/>
    </row>
    <row r="268" ht="19.5" customHeight="1">
      <c r="A268" s="12"/>
      <c r="C268" s="12"/>
      <c r="D268" s="13"/>
      <c r="F268" s="14"/>
      <c r="G268" s="14"/>
      <c r="H268" s="14"/>
      <c r="I268" s="14"/>
      <c r="J268" s="14"/>
      <c r="K268" s="12"/>
    </row>
    <row r="269" ht="19.5" customHeight="1">
      <c r="A269" s="12"/>
      <c r="C269" s="12"/>
      <c r="D269" s="13"/>
      <c r="F269" s="14"/>
      <c r="G269" s="14"/>
      <c r="H269" s="14"/>
      <c r="I269" s="14"/>
      <c r="J269" s="14"/>
      <c r="K269" s="12"/>
    </row>
    <row r="270" ht="19.5" customHeight="1">
      <c r="A270" s="12"/>
      <c r="C270" s="12"/>
      <c r="D270" s="13"/>
      <c r="F270" s="14"/>
      <c r="G270" s="14"/>
      <c r="H270" s="14"/>
      <c r="I270" s="14"/>
      <c r="J270" s="14"/>
      <c r="K270" s="12"/>
    </row>
    <row r="271" ht="19.5" customHeight="1">
      <c r="A271" s="12"/>
      <c r="C271" s="12"/>
      <c r="D271" s="13"/>
      <c r="F271" s="14"/>
      <c r="G271" s="14"/>
      <c r="H271" s="14"/>
      <c r="I271" s="14"/>
      <c r="J271" s="14"/>
      <c r="K271" s="12"/>
    </row>
    <row r="272" ht="19.5" customHeight="1">
      <c r="A272" s="12"/>
      <c r="C272" s="12"/>
      <c r="D272" s="13"/>
      <c r="F272" s="14"/>
      <c r="G272" s="14"/>
      <c r="H272" s="14"/>
      <c r="I272" s="14"/>
      <c r="J272" s="14"/>
      <c r="K272" s="12"/>
    </row>
    <row r="273" ht="19.5" customHeight="1">
      <c r="A273" s="12"/>
      <c r="C273" s="12"/>
      <c r="D273" s="13"/>
      <c r="F273" s="14"/>
      <c r="G273" s="14"/>
      <c r="H273" s="14"/>
      <c r="I273" s="14"/>
      <c r="J273" s="14"/>
      <c r="K273" s="12"/>
    </row>
    <row r="274" ht="19.5" customHeight="1">
      <c r="A274" s="12"/>
      <c r="C274" s="12"/>
      <c r="D274" s="13"/>
      <c r="F274" s="14"/>
      <c r="G274" s="14"/>
      <c r="H274" s="14"/>
      <c r="I274" s="14"/>
      <c r="J274" s="14"/>
      <c r="K274" s="12"/>
    </row>
    <row r="275" ht="19.5" customHeight="1">
      <c r="A275" s="12"/>
      <c r="C275" s="12"/>
      <c r="D275" s="13"/>
      <c r="F275" s="14"/>
      <c r="G275" s="14"/>
      <c r="H275" s="14"/>
      <c r="I275" s="14"/>
      <c r="J275" s="14"/>
      <c r="K275" s="12"/>
    </row>
    <row r="276" ht="19.5" customHeight="1">
      <c r="A276" s="12"/>
      <c r="C276" s="12"/>
      <c r="D276" s="13"/>
      <c r="F276" s="14"/>
      <c r="G276" s="14"/>
      <c r="H276" s="14"/>
      <c r="I276" s="14"/>
      <c r="J276" s="14"/>
      <c r="K276" s="12"/>
    </row>
    <row r="277" ht="19.5" customHeight="1">
      <c r="A277" s="12"/>
      <c r="C277" s="12"/>
      <c r="D277" s="13"/>
      <c r="F277" s="14"/>
      <c r="G277" s="14"/>
      <c r="H277" s="14"/>
      <c r="I277" s="14"/>
      <c r="J277" s="14"/>
      <c r="K277" s="12"/>
    </row>
    <row r="278" ht="19.5" customHeight="1">
      <c r="A278" s="12"/>
      <c r="C278" s="12"/>
      <c r="D278" s="13"/>
      <c r="F278" s="14"/>
      <c r="G278" s="14"/>
      <c r="H278" s="14"/>
      <c r="I278" s="14"/>
      <c r="J278" s="14"/>
      <c r="K278" s="12"/>
    </row>
    <row r="279" ht="19.5" customHeight="1">
      <c r="A279" s="12"/>
      <c r="C279" s="12"/>
      <c r="D279" s="13"/>
      <c r="F279" s="14"/>
      <c r="G279" s="14"/>
      <c r="H279" s="14"/>
      <c r="I279" s="14"/>
      <c r="J279" s="14"/>
      <c r="K279" s="12"/>
    </row>
    <row r="280" ht="19.5" customHeight="1">
      <c r="A280" s="12"/>
      <c r="C280" s="12"/>
      <c r="D280" s="13"/>
      <c r="F280" s="14"/>
      <c r="G280" s="14"/>
      <c r="H280" s="14"/>
      <c r="I280" s="14"/>
      <c r="J280" s="14"/>
      <c r="K280" s="12"/>
    </row>
    <row r="281" ht="19.5" customHeight="1">
      <c r="A281" s="12"/>
      <c r="C281" s="12"/>
      <c r="D281" s="13"/>
      <c r="F281" s="14"/>
      <c r="G281" s="14"/>
      <c r="H281" s="14"/>
      <c r="I281" s="14"/>
      <c r="J281" s="14"/>
      <c r="K281" s="12"/>
    </row>
    <row r="282" ht="19.5" customHeight="1">
      <c r="A282" s="12"/>
      <c r="C282" s="12"/>
      <c r="D282" s="13"/>
      <c r="F282" s="14"/>
      <c r="G282" s="14"/>
      <c r="H282" s="14"/>
      <c r="I282" s="14"/>
      <c r="J282" s="14"/>
      <c r="K282" s="12"/>
    </row>
    <row r="283" ht="19.5" customHeight="1">
      <c r="A283" s="12"/>
      <c r="C283" s="12"/>
      <c r="D283" s="13"/>
      <c r="F283" s="14"/>
      <c r="G283" s="14"/>
      <c r="H283" s="14"/>
      <c r="I283" s="14"/>
      <c r="J283" s="14"/>
      <c r="K283" s="12"/>
    </row>
    <row r="284" ht="19.5" customHeight="1">
      <c r="A284" s="12"/>
      <c r="C284" s="12"/>
      <c r="D284" s="13"/>
      <c r="F284" s="14"/>
      <c r="G284" s="14"/>
      <c r="H284" s="14"/>
      <c r="I284" s="14"/>
      <c r="J284" s="14"/>
      <c r="K284" s="12"/>
    </row>
    <row r="285" ht="19.5" customHeight="1">
      <c r="A285" s="12"/>
      <c r="C285" s="12"/>
      <c r="D285" s="13"/>
      <c r="F285" s="14"/>
      <c r="G285" s="14"/>
      <c r="H285" s="14"/>
      <c r="I285" s="14"/>
      <c r="J285" s="14"/>
      <c r="K285" s="12"/>
    </row>
    <row r="286" ht="19.5" customHeight="1">
      <c r="A286" s="12"/>
      <c r="C286" s="12"/>
      <c r="D286" s="13"/>
      <c r="F286" s="14"/>
      <c r="G286" s="14"/>
      <c r="H286" s="14"/>
      <c r="I286" s="14"/>
      <c r="J286" s="14"/>
      <c r="K286" s="12"/>
    </row>
    <row r="287" ht="19.5" customHeight="1">
      <c r="A287" s="12"/>
      <c r="C287" s="12"/>
      <c r="D287" s="13"/>
      <c r="F287" s="14"/>
      <c r="G287" s="14"/>
      <c r="H287" s="14"/>
      <c r="I287" s="14"/>
      <c r="J287" s="14"/>
      <c r="K287" s="12"/>
    </row>
    <row r="288" ht="19.5" customHeight="1">
      <c r="A288" s="12"/>
      <c r="C288" s="12"/>
      <c r="D288" s="13"/>
      <c r="F288" s="14"/>
      <c r="G288" s="14"/>
      <c r="H288" s="14"/>
      <c r="I288" s="14"/>
      <c r="J288" s="14"/>
      <c r="K288" s="12"/>
    </row>
    <row r="289" ht="19.5" customHeight="1">
      <c r="A289" s="12"/>
      <c r="C289" s="12"/>
      <c r="D289" s="13"/>
      <c r="F289" s="14"/>
      <c r="G289" s="14"/>
      <c r="H289" s="14"/>
      <c r="I289" s="14"/>
      <c r="J289" s="14"/>
      <c r="K289" s="12"/>
    </row>
    <row r="290" ht="19.5" customHeight="1">
      <c r="A290" s="12"/>
      <c r="C290" s="12"/>
      <c r="D290" s="13"/>
      <c r="F290" s="14"/>
      <c r="G290" s="14"/>
      <c r="H290" s="14"/>
      <c r="I290" s="14"/>
      <c r="J290" s="14"/>
      <c r="K290" s="12"/>
    </row>
    <row r="291" ht="19.5" customHeight="1">
      <c r="A291" s="12"/>
      <c r="C291" s="12"/>
      <c r="D291" s="13"/>
      <c r="F291" s="14"/>
      <c r="G291" s="14"/>
      <c r="H291" s="14"/>
      <c r="I291" s="14"/>
      <c r="J291" s="14"/>
      <c r="K291" s="12"/>
    </row>
    <row r="292" ht="19.5" customHeight="1">
      <c r="A292" s="12"/>
      <c r="C292" s="12"/>
      <c r="D292" s="13"/>
      <c r="F292" s="14"/>
      <c r="G292" s="14"/>
      <c r="H292" s="14"/>
      <c r="I292" s="14"/>
      <c r="J292" s="14"/>
      <c r="K292" s="12"/>
    </row>
    <row r="293" ht="19.5" customHeight="1">
      <c r="A293" s="12"/>
      <c r="C293" s="12"/>
      <c r="D293" s="13"/>
      <c r="F293" s="14"/>
      <c r="G293" s="14"/>
      <c r="H293" s="14"/>
      <c r="I293" s="14"/>
      <c r="J293" s="14"/>
      <c r="K293" s="12"/>
    </row>
    <row r="294" ht="19.5" customHeight="1">
      <c r="A294" s="12"/>
      <c r="C294" s="12"/>
      <c r="D294" s="13"/>
      <c r="F294" s="14"/>
      <c r="G294" s="14"/>
      <c r="H294" s="14"/>
      <c r="I294" s="14"/>
      <c r="J294" s="14"/>
      <c r="K294" s="12"/>
    </row>
    <row r="295" ht="19.5" customHeight="1">
      <c r="A295" s="12"/>
      <c r="C295" s="12"/>
      <c r="D295" s="13"/>
      <c r="F295" s="14"/>
      <c r="G295" s="14"/>
      <c r="H295" s="14"/>
      <c r="I295" s="14"/>
      <c r="J295" s="14"/>
      <c r="K295" s="12"/>
    </row>
    <row r="296" ht="19.5" customHeight="1">
      <c r="A296" s="12"/>
      <c r="C296" s="12"/>
      <c r="D296" s="13"/>
      <c r="F296" s="14"/>
      <c r="G296" s="14"/>
      <c r="H296" s="14"/>
      <c r="I296" s="14"/>
      <c r="J296" s="14"/>
      <c r="K296" s="12"/>
    </row>
    <row r="297" ht="19.5" customHeight="1">
      <c r="A297" s="12"/>
      <c r="C297" s="12"/>
      <c r="D297" s="13"/>
      <c r="F297" s="14"/>
      <c r="G297" s="14"/>
      <c r="H297" s="14"/>
      <c r="I297" s="14"/>
      <c r="J297" s="14"/>
      <c r="K297" s="12"/>
    </row>
    <row r="298" ht="19.5" customHeight="1">
      <c r="A298" s="12"/>
      <c r="C298" s="12"/>
      <c r="D298" s="13"/>
      <c r="F298" s="14"/>
      <c r="G298" s="14"/>
      <c r="H298" s="14"/>
      <c r="I298" s="14"/>
      <c r="J298" s="14"/>
      <c r="K298" s="12"/>
    </row>
    <row r="299" ht="19.5" customHeight="1">
      <c r="A299" s="12"/>
      <c r="C299" s="12"/>
      <c r="D299" s="13"/>
      <c r="F299" s="14"/>
      <c r="G299" s="14"/>
      <c r="H299" s="14"/>
      <c r="I299" s="14"/>
      <c r="J299" s="14"/>
      <c r="K299" s="12"/>
    </row>
    <row r="300" ht="19.5" customHeight="1">
      <c r="A300" s="12"/>
      <c r="C300" s="12"/>
      <c r="D300" s="13"/>
      <c r="F300" s="14"/>
      <c r="G300" s="14"/>
      <c r="H300" s="14"/>
      <c r="I300" s="14"/>
      <c r="J300" s="14"/>
      <c r="K300" s="12"/>
    </row>
    <row r="301" ht="19.5" customHeight="1">
      <c r="A301" s="12"/>
      <c r="C301" s="12"/>
      <c r="D301" s="13"/>
      <c r="F301" s="14"/>
      <c r="G301" s="14"/>
      <c r="H301" s="14"/>
      <c r="I301" s="14"/>
      <c r="J301" s="14"/>
      <c r="K301" s="12"/>
    </row>
    <row r="302" ht="19.5" customHeight="1">
      <c r="A302" s="12"/>
      <c r="C302" s="12"/>
      <c r="D302" s="13"/>
      <c r="F302" s="14"/>
      <c r="G302" s="14"/>
      <c r="H302" s="14"/>
      <c r="I302" s="14"/>
      <c r="J302" s="14"/>
      <c r="K302" s="12"/>
    </row>
    <row r="303" ht="19.5" customHeight="1">
      <c r="A303" s="12"/>
      <c r="C303" s="12"/>
      <c r="D303" s="13"/>
      <c r="F303" s="14"/>
      <c r="G303" s="14"/>
      <c r="H303" s="14"/>
      <c r="I303" s="14"/>
      <c r="J303" s="14"/>
      <c r="K303" s="12"/>
    </row>
    <row r="304" ht="19.5" customHeight="1">
      <c r="A304" s="12"/>
      <c r="C304" s="12"/>
      <c r="D304" s="13"/>
      <c r="F304" s="14"/>
      <c r="G304" s="14"/>
      <c r="H304" s="14"/>
      <c r="I304" s="14"/>
      <c r="J304" s="14"/>
      <c r="K304" s="12"/>
    </row>
    <row r="305" ht="19.5" customHeight="1">
      <c r="A305" s="12"/>
      <c r="C305" s="12"/>
      <c r="D305" s="13"/>
      <c r="F305" s="14"/>
      <c r="G305" s="14"/>
      <c r="H305" s="14"/>
      <c r="I305" s="14"/>
      <c r="J305" s="14"/>
      <c r="K305" s="12"/>
    </row>
    <row r="306" ht="19.5" customHeight="1">
      <c r="A306" s="12"/>
      <c r="C306" s="12"/>
      <c r="D306" s="13"/>
      <c r="F306" s="14"/>
      <c r="G306" s="14"/>
      <c r="H306" s="14"/>
      <c r="I306" s="14"/>
      <c r="J306" s="14"/>
      <c r="K306" s="12"/>
    </row>
    <row r="307" ht="19.5" customHeight="1">
      <c r="A307" s="12"/>
      <c r="C307" s="12"/>
      <c r="D307" s="13"/>
      <c r="F307" s="14"/>
      <c r="G307" s="14"/>
      <c r="H307" s="14"/>
      <c r="I307" s="14"/>
      <c r="J307" s="14"/>
      <c r="K307" s="12"/>
    </row>
    <row r="308" ht="19.5" customHeight="1">
      <c r="A308" s="12"/>
      <c r="C308" s="12"/>
      <c r="D308" s="13"/>
      <c r="F308" s="14"/>
      <c r="G308" s="14"/>
      <c r="H308" s="14"/>
      <c r="I308" s="14"/>
      <c r="J308" s="14"/>
      <c r="K308" s="12"/>
    </row>
    <row r="309" ht="19.5" customHeight="1">
      <c r="A309" s="12"/>
      <c r="C309" s="12"/>
      <c r="D309" s="13"/>
      <c r="F309" s="14"/>
      <c r="G309" s="14"/>
      <c r="H309" s="14"/>
      <c r="I309" s="14"/>
      <c r="J309" s="14"/>
      <c r="K309" s="12"/>
    </row>
    <row r="310" ht="19.5" customHeight="1">
      <c r="A310" s="12"/>
      <c r="C310" s="12"/>
      <c r="D310" s="13"/>
      <c r="F310" s="14"/>
      <c r="G310" s="14"/>
      <c r="H310" s="14"/>
      <c r="I310" s="14"/>
      <c r="J310" s="14"/>
      <c r="K310" s="12"/>
    </row>
    <row r="311" ht="19.5" customHeight="1">
      <c r="A311" s="12"/>
      <c r="C311" s="12"/>
      <c r="D311" s="13"/>
      <c r="F311" s="14"/>
      <c r="G311" s="14"/>
      <c r="H311" s="14"/>
      <c r="I311" s="14"/>
      <c r="J311" s="14"/>
      <c r="K311" s="12"/>
    </row>
    <row r="312" ht="19.5" customHeight="1">
      <c r="A312" s="12"/>
      <c r="C312" s="12"/>
      <c r="D312" s="13"/>
      <c r="F312" s="14"/>
      <c r="G312" s="14"/>
      <c r="H312" s="14"/>
      <c r="I312" s="14"/>
      <c r="J312" s="14"/>
      <c r="K312" s="12"/>
    </row>
    <row r="313" ht="19.5" customHeight="1">
      <c r="A313" s="12"/>
      <c r="C313" s="12"/>
      <c r="D313" s="13"/>
      <c r="F313" s="14"/>
      <c r="G313" s="14"/>
      <c r="H313" s="14"/>
      <c r="I313" s="14"/>
      <c r="J313" s="14"/>
      <c r="K313" s="12"/>
    </row>
    <row r="314" ht="19.5" customHeight="1">
      <c r="A314" s="12"/>
      <c r="C314" s="12"/>
      <c r="D314" s="13"/>
      <c r="F314" s="14"/>
      <c r="G314" s="14"/>
      <c r="H314" s="14"/>
      <c r="I314" s="14"/>
      <c r="J314" s="14"/>
      <c r="K314" s="12"/>
    </row>
    <row r="315" ht="19.5" customHeight="1">
      <c r="A315" s="12"/>
      <c r="C315" s="12"/>
      <c r="D315" s="13"/>
      <c r="F315" s="14"/>
      <c r="G315" s="14"/>
      <c r="H315" s="14"/>
      <c r="I315" s="14"/>
      <c r="J315" s="14"/>
      <c r="K315" s="12"/>
    </row>
    <row r="316" ht="19.5" customHeight="1">
      <c r="A316" s="12"/>
      <c r="C316" s="12"/>
      <c r="D316" s="13"/>
      <c r="F316" s="14"/>
      <c r="G316" s="14"/>
      <c r="H316" s="14"/>
      <c r="I316" s="14"/>
      <c r="J316" s="14"/>
      <c r="K316" s="12"/>
    </row>
    <row r="317" ht="19.5" customHeight="1">
      <c r="A317" s="12"/>
      <c r="C317" s="12"/>
      <c r="D317" s="13"/>
      <c r="F317" s="14"/>
      <c r="G317" s="14"/>
      <c r="H317" s="14"/>
      <c r="I317" s="14"/>
      <c r="J317" s="14"/>
      <c r="K317" s="12"/>
    </row>
    <row r="318" ht="19.5" customHeight="1">
      <c r="A318" s="12"/>
      <c r="C318" s="12"/>
      <c r="D318" s="13"/>
      <c r="F318" s="14"/>
      <c r="G318" s="14"/>
      <c r="H318" s="14"/>
      <c r="I318" s="14"/>
      <c r="J318" s="14"/>
      <c r="K318" s="12"/>
    </row>
    <row r="319" ht="19.5" customHeight="1">
      <c r="A319" s="12"/>
      <c r="C319" s="12"/>
      <c r="D319" s="13"/>
      <c r="F319" s="14"/>
      <c r="G319" s="14"/>
      <c r="H319" s="14"/>
      <c r="I319" s="14"/>
      <c r="J319" s="14"/>
      <c r="K319" s="12"/>
    </row>
    <row r="320" ht="19.5" customHeight="1">
      <c r="A320" s="12"/>
      <c r="C320" s="12"/>
      <c r="D320" s="13"/>
      <c r="F320" s="14"/>
      <c r="G320" s="14"/>
      <c r="H320" s="14"/>
      <c r="I320" s="14"/>
      <c r="J320" s="14"/>
      <c r="K320" s="12"/>
    </row>
    <row r="321" ht="19.5" customHeight="1">
      <c r="A321" s="12"/>
      <c r="C321" s="12"/>
      <c r="D321" s="13"/>
      <c r="F321" s="14"/>
      <c r="G321" s="14"/>
      <c r="H321" s="14"/>
      <c r="I321" s="14"/>
      <c r="J321" s="14"/>
      <c r="K321" s="12"/>
    </row>
    <row r="322" ht="19.5" customHeight="1">
      <c r="A322" s="12"/>
      <c r="C322" s="12"/>
      <c r="D322" s="13"/>
      <c r="F322" s="14"/>
      <c r="G322" s="14"/>
      <c r="H322" s="14"/>
      <c r="I322" s="14"/>
      <c r="J322" s="14"/>
      <c r="K322" s="12"/>
    </row>
    <row r="323" ht="19.5" customHeight="1">
      <c r="A323" s="12"/>
      <c r="C323" s="12"/>
      <c r="D323" s="13"/>
      <c r="F323" s="14"/>
      <c r="G323" s="14"/>
      <c r="H323" s="14"/>
      <c r="I323" s="14"/>
      <c r="J323" s="14"/>
      <c r="K323" s="12"/>
    </row>
    <row r="324" ht="19.5" customHeight="1">
      <c r="A324" s="12"/>
      <c r="C324" s="12"/>
      <c r="D324" s="13"/>
      <c r="F324" s="14"/>
      <c r="G324" s="14"/>
      <c r="H324" s="14"/>
      <c r="I324" s="14"/>
      <c r="J324" s="14"/>
      <c r="K324" s="12"/>
    </row>
    <row r="325" ht="19.5" customHeight="1">
      <c r="A325" s="12"/>
      <c r="C325" s="12"/>
      <c r="D325" s="13"/>
      <c r="F325" s="14"/>
      <c r="G325" s="14"/>
      <c r="H325" s="14"/>
      <c r="I325" s="14"/>
      <c r="J325" s="14"/>
      <c r="K325" s="12"/>
    </row>
    <row r="326" ht="19.5" customHeight="1">
      <c r="A326" s="12"/>
      <c r="C326" s="12"/>
      <c r="D326" s="13"/>
      <c r="F326" s="14"/>
      <c r="G326" s="14"/>
      <c r="H326" s="14"/>
      <c r="I326" s="14"/>
      <c r="J326" s="14"/>
      <c r="K326" s="12"/>
    </row>
    <row r="327" ht="19.5" customHeight="1">
      <c r="A327" s="12"/>
      <c r="C327" s="12"/>
      <c r="D327" s="13"/>
      <c r="F327" s="14"/>
      <c r="G327" s="14"/>
      <c r="H327" s="14"/>
      <c r="I327" s="14"/>
      <c r="J327" s="14"/>
      <c r="K327" s="12"/>
    </row>
    <row r="328" ht="19.5" customHeight="1">
      <c r="A328" s="12"/>
      <c r="C328" s="12"/>
      <c r="D328" s="13"/>
      <c r="F328" s="14"/>
      <c r="G328" s="14"/>
      <c r="H328" s="14"/>
      <c r="I328" s="14"/>
      <c r="J328" s="14"/>
      <c r="K328" s="12"/>
    </row>
    <row r="329" ht="19.5" customHeight="1">
      <c r="A329" s="12"/>
      <c r="C329" s="12"/>
      <c r="D329" s="13"/>
      <c r="F329" s="14"/>
      <c r="G329" s="14"/>
      <c r="H329" s="14"/>
      <c r="I329" s="14"/>
      <c r="J329" s="14"/>
      <c r="K329" s="12"/>
    </row>
    <row r="330" ht="19.5" customHeight="1">
      <c r="A330" s="12"/>
      <c r="C330" s="12"/>
      <c r="D330" s="13"/>
      <c r="F330" s="14"/>
      <c r="G330" s="14"/>
      <c r="H330" s="14"/>
      <c r="I330" s="14"/>
      <c r="J330" s="14"/>
      <c r="K330" s="12"/>
    </row>
    <row r="331" ht="19.5" customHeight="1">
      <c r="A331" s="12"/>
      <c r="C331" s="12"/>
      <c r="D331" s="13"/>
      <c r="F331" s="14"/>
      <c r="G331" s="14"/>
      <c r="H331" s="14"/>
      <c r="I331" s="14"/>
      <c r="J331" s="14"/>
      <c r="K331" s="12"/>
    </row>
    <row r="332" ht="19.5" customHeight="1">
      <c r="A332" s="12"/>
      <c r="C332" s="12"/>
      <c r="D332" s="13"/>
      <c r="F332" s="14"/>
      <c r="G332" s="14"/>
      <c r="H332" s="14"/>
      <c r="I332" s="14"/>
      <c r="J332" s="14"/>
      <c r="K332" s="12"/>
    </row>
    <row r="333" ht="19.5" customHeight="1">
      <c r="A333" s="12"/>
      <c r="C333" s="12"/>
      <c r="D333" s="13"/>
      <c r="F333" s="14"/>
      <c r="G333" s="14"/>
      <c r="H333" s="14"/>
      <c r="I333" s="14"/>
      <c r="J333" s="14"/>
      <c r="K333" s="12"/>
    </row>
    <row r="334" ht="19.5" customHeight="1">
      <c r="A334" s="12"/>
      <c r="C334" s="12"/>
      <c r="D334" s="13"/>
      <c r="F334" s="14"/>
      <c r="G334" s="14"/>
      <c r="H334" s="14"/>
      <c r="I334" s="14"/>
      <c r="J334" s="14"/>
      <c r="K334" s="12"/>
    </row>
    <row r="335" ht="19.5" customHeight="1">
      <c r="A335" s="12"/>
      <c r="C335" s="12"/>
      <c r="D335" s="13"/>
      <c r="F335" s="14"/>
      <c r="G335" s="14"/>
      <c r="H335" s="14"/>
      <c r="I335" s="14"/>
      <c r="J335" s="14"/>
      <c r="K335" s="12"/>
    </row>
    <row r="336" ht="19.5" customHeight="1">
      <c r="A336" s="12"/>
      <c r="C336" s="12"/>
      <c r="D336" s="13"/>
      <c r="F336" s="14"/>
      <c r="G336" s="14"/>
      <c r="H336" s="14"/>
      <c r="I336" s="14"/>
      <c r="J336" s="14"/>
      <c r="K336" s="12"/>
    </row>
    <row r="337" ht="19.5" customHeight="1">
      <c r="A337" s="12"/>
      <c r="C337" s="12"/>
      <c r="D337" s="13"/>
      <c r="F337" s="14"/>
      <c r="G337" s="14"/>
      <c r="H337" s="14"/>
      <c r="I337" s="14"/>
      <c r="J337" s="14"/>
      <c r="K337" s="12"/>
    </row>
    <row r="338" ht="19.5" customHeight="1">
      <c r="A338" s="12"/>
      <c r="C338" s="12"/>
      <c r="D338" s="13"/>
      <c r="F338" s="14"/>
      <c r="G338" s="14"/>
      <c r="H338" s="14"/>
      <c r="I338" s="14"/>
      <c r="J338" s="14"/>
      <c r="K338" s="12"/>
    </row>
    <row r="339" ht="19.5" customHeight="1">
      <c r="A339" s="12"/>
      <c r="C339" s="12"/>
      <c r="D339" s="13"/>
      <c r="F339" s="14"/>
      <c r="G339" s="14"/>
      <c r="H339" s="14"/>
      <c r="I339" s="14"/>
      <c r="J339" s="14"/>
      <c r="K339" s="12"/>
    </row>
    <row r="340" ht="19.5" customHeight="1">
      <c r="A340" s="12"/>
      <c r="C340" s="12"/>
      <c r="D340" s="13"/>
      <c r="F340" s="14"/>
      <c r="G340" s="14"/>
      <c r="H340" s="14"/>
      <c r="I340" s="14"/>
      <c r="J340" s="14"/>
      <c r="K340" s="12"/>
    </row>
    <row r="341" ht="19.5" customHeight="1">
      <c r="A341" s="12"/>
      <c r="C341" s="12"/>
      <c r="D341" s="13"/>
      <c r="F341" s="14"/>
      <c r="G341" s="14"/>
      <c r="H341" s="14"/>
      <c r="I341" s="14"/>
      <c r="J341" s="14"/>
      <c r="K341" s="12"/>
    </row>
    <row r="342" ht="19.5" customHeight="1">
      <c r="A342" s="12"/>
      <c r="C342" s="12"/>
      <c r="D342" s="13"/>
      <c r="F342" s="14"/>
      <c r="G342" s="14"/>
      <c r="H342" s="14"/>
      <c r="I342" s="14"/>
      <c r="J342" s="14"/>
      <c r="K342" s="12"/>
    </row>
    <row r="343" ht="19.5" customHeight="1">
      <c r="A343" s="12"/>
      <c r="C343" s="12"/>
      <c r="D343" s="13"/>
      <c r="F343" s="14"/>
      <c r="G343" s="14"/>
      <c r="H343" s="14"/>
      <c r="I343" s="14"/>
      <c r="J343" s="14"/>
      <c r="K343" s="12"/>
    </row>
    <row r="344" ht="19.5" customHeight="1">
      <c r="A344" s="12"/>
      <c r="C344" s="12"/>
      <c r="D344" s="13"/>
      <c r="F344" s="14"/>
      <c r="G344" s="14"/>
      <c r="H344" s="14"/>
      <c r="I344" s="14"/>
      <c r="J344" s="14"/>
      <c r="K344" s="12"/>
    </row>
    <row r="345" ht="19.5" customHeight="1">
      <c r="A345" s="12"/>
      <c r="C345" s="12"/>
      <c r="D345" s="13"/>
      <c r="F345" s="14"/>
      <c r="G345" s="14"/>
      <c r="H345" s="14"/>
      <c r="I345" s="14"/>
      <c r="J345" s="14"/>
      <c r="K345" s="12"/>
    </row>
    <row r="346" ht="19.5" customHeight="1">
      <c r="A346" s="12"/>
      <c r="C346" s="12"/>
      <c r="D346" s="13"/>
      <c r="F346" s="14"/>
      <c r="G346" s="14"/>
      <c r="H346" s="14"/>
      <c r="I346" s="14"/>
      <c r="J346" s="14"/>
      <c r="K346" s="12"/>
    </row>
    <row r="347" ht="19.5" customHeight="1">
      <c r="A347" s="12"/>
      <c r="C347" s="12"/>
      <c r="D347" s="13"/>
      <c r="F347" s="14"/>
      <c r="G347" s="14"/>
      <c r="H347" s="14"/>
      <c r="I347" s="14"/>
      <c r="J347" s="14"/>
      <c r="K347" s="12"/>
    </row>
    <row r="348" ht="19.5" customHeight="1">
      <c r="A348" s="12"/>
      <c r="C348" s="12"/>
      <c r="D348" s="13"/>
      <c r="F348" s="14"/>
      <c r="G348" s="14"/>
      <c r="H348" s="14"/>
      <c r="I348" s="14"/>
      <c r="J348" s="14"/>
      <c r="K348" s="12"/>
    </row>
    <row r="349" ht="19.5" customHeight="1">
      <c r="A349" s="12"/>
      <c r="C349" s="12"/>
      <c r="D349" s="13"/>
      <c r="F349" s="14"/>
      <c r="G349" s="14"/>
      <c r="H349" s="14"/>
      <c r="I349" s="14"/>
      <c r="J349" s="14"/>
      <c r="K349" s="12"/>
    </row>
    <row r="350" ht="19.5" customHeight="1">
      <c r="A350" s="12"/>
      <c r="C350" s="12"/>
      <c r="D350" s="13"/>
      <c r="F350" s="14"/>
      <c r="G350" s="14"/>
      <c r="H350" s="14"/>
      <c r="I350" s="14"/>
      <c r="J350" s="14"/>
      <c r="K350" s="12"/>
    </row>
    <row r="351" ht="19.5" customHeight="1">
      <c r="A351" s="12"/>
      <c r="C351" s="12"/>
      <c r="D351" s="13"/>
      <c r="F351" s="14"/>
      <c r="G351" s="14"/>
      <c r="H351" s="14"/>
      <c r="I351" s="14"/>
      <c r="J351" s="14"/>
      <c r="K351" s="12"/>
    </row>
    <row r="352" ht="19.5" customHeight="1">
      <c r="A352" s="12"/>
      <c r="C352" s="12"/>
      <c r="D352" s="13"/>
      <c r="F352" s="14"/>
      <c r="G352" s="14"/>
      <c r="H352" s="14"/>
      <c r="I352" s="14"/>
      <c r="J352" s="14"/>
      <c r="K352" s="12"/>
    </row>
    <row r="353" ht="19.5" customHeight="1">
      <c r="A353" s="12"/>
      <c r="C353" s="12"/>
      <c r="D353" s="13"/>
      <c r="F353" s="14"/>
      <c r="G353" s="14"/>
      <c r="H353" s="14"/>
      <c r="I353" s="14"/>
      <c r="J353" s="14"/>
      <c r="K353" s="12"/>
    </row>
    <row r="354" ht="19.5" customHeight="1">
      <c r="A354" s="12"/>
      <c r="C354" s="12"/>
      <c r="D354" s="13"/>
      <c r="F354" s="14"/>
      <c r="G354" s="14"/>
      <c r="H354" s="14"/>
      <c r="I354" s="14"/>
      <c r="J354" s="14"/>
      <c r="K354" s="12"/>
    </row>
    <row r="355" ht="19.5" customHeight="1">
      <c r="A355" s="12"/>
      <c r="C355" s="12"/>
      <c r="D355" s="13"/>
      <c r="F355" s="14"/>
      <c r="G355" s="14"/>
      <c r="H355" s="14"/>
      <c r="I355" s="14"/>
      <c r="J355" s="14"/>
      <c r="K355" s="12"/>
    </row>
    <row r="356" ht="19.5" customHeight="1">
      <c r="A356" s="12"/>
      <c r="C356" s="12"/>
      <c r="D356" s="13"/>
      <c r="F356" s="14"/>
      <c r="G356" s="14"/>
      <c r="H356" s="14"/>
      <c r="I356" s="14"/>
      <c r="J356" s="14"/>
      <c r="K356" s="12"/>
    </row>
    <row r="357" ht="19.5" customHeight="1">
      <c r="A357" s="12"/>
      <c r="C357" s="12"/>
      <c r="D357" s="13"/>
      <c r="F357" s="14"/>
      <c r="G357" s="14"/>
      <c r="H357" s="14"/>
      <c r="I357" s="14"/>
      <c r="J357" s="14"/>
      <c r="K357" s="12"/>
    </row>
    <row r="358" ht="19.5" customHeight="1">
      <c r="A358" s="12"/>
      <c r="C358" s="12"/>
      <c r="D358" s="13"/>
      <c r="F358" s="14"/>
      <c r="G358" s="14"/>
      <c r="H358" s="14"/>
      <c r="I358" s="14"/>
      <c r="J358" s="14"/>
      <c r="K358" s="12"/>
    </row>
    <row r="359" ht="19.5" customHeight="1">
      <c r="A359" s="12"/>
      <c r="C359" s="12"/>
      <c r="D359" s="13"/>
      <c r="F359" s="14"/>
      <c r="G359" s="14"/>
      <c r="H359" s="14"/>
      <c r="I359" s="14"/>
      <c r="J359" s="14"/>
      <c r="K359" s="12"/>
    </row>
    <row r="360" ht="19.5" customHeight="1">
      <c r="A360" s="12"/>
      <c r="C360" s="12"/>
      <c r="D360" s="13"/>
      <c r="F360" s="14"/>
      <c r="G360" s="14"/>
      <c r="H360" s="14"/>
      <c r="I360" s="14"/>
      <c r="J360" s="14"/>
      <c r="K360" s="12"/>
    </row>
    <row r="361" ht="19.5" customHeight="1">
      <c r="A361" s="12"/>
      <c r="C361" s="12"/>
      <c r="D361" s="13"/>
      <c r="F361" s="14"/>
      <c r="G361" s="14"/>
      <c r="H361" s="14"/>
      <c r="I361" s="14"/>
      <c r="J361" s="14"/>
      <c r="K361" s="12"/>
    </row>
    <row r="362" ht="19.5" customHeight="1">
      <c r="A362" s="12"/>
      <c r="C362" s="12"/>
      <c r="D362" s="13"/>
      <c r="F362" s="14"/>
      <c r="G362" s="14"/>
      <c r="H362" s="14"/>
      <c r="I362" s="14"/>
      <c r="J362" s="14"/>
      <c r="K362" s="12"/>
    </row>
    <row r="363" ht="19.5" customHeight="1">
      <c r="A363" s="12"/>
      <c r="C363" s="12"/>
      <c r="D363" s="13"/>
      <c r="F363" s="14"/>
      <c r="G363" s="14"/>
      <c r="H363" s="14"/>
      <c r="I363" s="14"/>
      <c r="J363" s="14"/>
      <c r="K363" s="12"/>
    </row>
    <row r="364" ht="19.5" customHeight="1">
      <c r="A364" s="12"/>
      <c r="C364" s="12"/>
      <c r="D364" s="13"/>
      <c r="F364" s="14"/>
      <c r="G364" s="14"/>
      <c r="H364" s="14"/>
      <c r="I364" s="14"/>
      <c r="J364" s="14"/>
      <c r="K364" s="12"/>
    </row>
    <row r="365" ht="19.5" customHeight="1">
      <c r="A365" s="12"/>
      <c r="C365" s="12"/>
      <c r="D365" s="13"/>
      <c r="F365" s="14"/>
      <c r="G365" s="14"/>
      <c r="H365" s="14"/>
      <c r="I365" s="14"/>
      <c r="J365" s="14"/>
      <c r="K365" s="12"/>
    </row>
    <row r="366" ht="19.5" customHeight="1">
      <c r="A366" s="12"/>
      <c r="C366" s="12"/>
      <c r="D366" s="13"/>
      <c r="F366" s="14"/>
      <c r="G366" s="14"/>
      <c r="H366" s="14"/>
      <c r="I366" s="14"/>
      <c r="J366" s="14"/>
      <c r="K366" s="12"/>
    </row>
    <row r="367" ht="19.5" customHeight="1">
      <c r="A367" s="12"/>
      <c r="C367" s="12"/>
      <c r="D367" s="13"/>
      <c r="F367" s="14"/>
      <c r="G367" s="14"/>
      <c r="H367" s="14"/>
      <c r="I367" s="14"/>
      <c r="J367" s="14"/>
      <c r="K367" s="12"/>
    </row>
    <row r="368" ht="19.5" customHeight="1">
      <c r="A368" s="12"/>
      <c r="C368" s="12"/>
      <c r="D368" s="13"/>
      <c r="F368" s="14"/>
      <c r="G368" s="14"/>
      <c r="H368" s="14"/>
      <c r="I368" s="14"/>
      <c r="J368" s="14"/>
      <c r="K368" s="12"/>
    </row>
    <row r="369" ht="19.5" customHeight="1">
      <c r="A369" s="12"/>
      <c r="C369" s="12"/>
      <c r="D369" s="13"/>
      <c r="F369" s="14"/>
      <c r="G369" s="14"/>
      <c r="H369" s="14"/>
      <c r="I369" s="14"/>
      <c r="J369" s="14"/>
      <c r="K369" s="12"/>
    </row>
    <row r="370" ht="19.5" customHeight="1">
      <c r="A370" s="12"/>
      <c r="C370" s="12"/>
      <c r="D370" s="13"/>
      <c r="F370" s="14"/>
      <c r="G370" s="14"/>
      <c r="H370" s="14"/>
      <c r="I370" s="14"/>
      <c r="J370" s="14"/>
      <c r="K370" s="12"/>
    </row>
    <row r="371" ht="19.5" customHeight="1">
      <c r="A371" s="12"/>
      <c r="C371" s="12"/>
      <c r="D371" s="13"/>
      <c r="F371" s="14"/>
      <c r="G371" s="14"/>
      <c r="H371" s="14"/>
      <c r="I371" s="14"/>
      <c r="J371" s="14"/>
      <c r="K371" s="12"/>
    </row>
    <row r="372" ht="19.5" customHeight="1">
      <c r="A372" s="12"/>
      <c r="C372" s="12"/>
      <c r="D372" s="13"/>
      <c r="F372" s="14"/>
      <c r="G372" s="14"/>
      <c r="H372" s="14"/>
      <c r="I372" s="14"/>
      <c r="J372" s="14"/>
      <c r="K372" s="12"/>
    </row>
    <row r="373" ht="19.5" customHeight="1">
      <c r="A373" s="12"/>
      <c r="C373" s="12"/>
      <c r="D373" s="13"/>
      <c r="F373" s="14"/>
      <c r="G373" s="14"/>
      <c r="H373" s="14"/>
      <c r="I373" s="14"/>
      <c r="J373" s="14"/>
      <c r="K373" s="12"/>
    </row>
    <row r="374" ht="19.5" customHeight="1">
      <c r="A374" s="12"/>
      <c r="C374" s="12"/>
      <c r="D374" s="13"/>
      <c r="F374" s="14"/>
      <c r="G374" s="14"/>
      <c r="H374" s="14"/>
      <c r="I374" s="14"/>
      <c r="J374" s="14"/>
      <c r="K374" s="12"/>
    </row>
    <row r="375" ht="19.5" customHeight="1">
      <c r="A375" s="12"/>
      <c r="C375" s="12"/>
      <c r="D375" s="13"/>
      <c r="F375" s="14"/>
      <c r="G375" s="14"/>
      <c r="H375" s="14"/>
      <c r="I375" s="14"/>
      <c r="J375" s="14"/>
      <c r="K375" s="12"/>
    </row>
    <row r="376" ht="19.5" customHeight="1">
      <c r="A376" s="12"/>
      <c r="C376" s="12"/>
      <c r="D376" s="13"/>
      <c r="F376" s="14"/>
      <c r="G376" s="14"/>
      <c r="H376" s="14"/>
      <c r="I376" s="14"/>
      <c r="J376" s="14"/>
      <c r="K376" s="12"/>
    </row>
    <row r="377" ht="19.5" customHeight="1">
      <c r="A377" s="12"/>
      <c r="C377" s="12"/>
      <c r="D377" s="13"/>
      <c r="F377" s="14"/>
      <c r="G377" s="14"/>
      <c r="H377" s="14"/>
      <c r="I377" s="14"/>
      <c r="J377" s="14"/>
      <c r="K377" s="12"/>
    </row>
    <row r="378" ht="19.5" customHeight="1">
      <c r="A378" s="12"/>
      <c r="C378" s="12"/>
      <c r="D378" s="13"/>
      <c r="F378" s="14"/>
      <c r="G378" s="14"/>
      <c r="H378" s="14"/>
      <c r="I378" s="14"/>
      <c r="J378" s="14"/>
      <c r="K378" s="12"/>
    </row>
    <row r="379" ht="19.5" customHeight="1">
      <c r="A379" s="12"/>
      <c r="C379" s="12"/>
      <c r="D379" s="13"/>
      <c r="F379" s="14"/>
      <c r="G379" s="14"/>
      <c r="H379" s="14"/>
      <c r="I379" s="14"/>
      <c r="J379" s="14"/>
      <c r="K379" s="12"/>
    </row>
    <row r="380" ht="19.5" customHeight="1">
      <c r="A380" s="12"/>
      <c r="C380" s="12"/>
      <c r="D380" s="13"/>
      <c r="F380" s="14"/>
      <c r="G380" s="14"/>
      <c r="H380" s="14"/>
      <c r="I380" s="14"/>
      <c r="J380" s="14"/>
      <c r="K380" s="12"/>
    </row>
    <row r="381" ht="19.5" customHeight="1">
      <c r="A381" s="12"/>
      <c r="C381" s="12"/>
      <c r="D381" s="13"/>
      <c r="F381" s="14"/>
      <c r="G381" s="14"/>
      <c r="H381" s="14"/>
      <c r="I381" s="14"/>
      <c r="J381" s="14"/>
      <c r="K381" s="12"/>
    </row>
    <row r="382" ht="19.5" customHeight="1">
      <c r="A382" s="12"/>
      <c r="C382" s="12"/>
      <c r="D382" s="13"/>
      <c r="F382" s="14"/>
      <c r="G382" s="14"/>
      <c r="H382" s="14"/>
      <c r="I382" s="14"/>
      <c r="J382" s="14"/>
      <c r="K382" s="12"/>
    </row>
    <row r="383" ht="19.5" customHeight="1">
      <c r="A383" s="12"/>
      <c r="C383" s="12"/>
      <c r="D383" s="13"/>
      <c r="F383" s="14"/>
      <c r="G383" s="14"/>
      <c r="H383" s="14"/>
      <c r="I383" s="14"/>
      <c r="J383" s="14"/>
      <c r="K383" s="12"/>
    </row>
    <row r="384" ht="19.5" customHeight="1">
      <c r="A384" s="12"/>
      <c r="C384" s="12"/>
      <c r="D384" s="13"/>
      <c r="F384" s="14"/>
      <c r="G384" s="14"/>
      <c r="H384" s="14"/>
      <c r="I384" s="14"/>
      <c r="J384" s="14"/>
      <c r="K384" s="12"/>
    </row>
    <row r="385" ht="19.5" customHeight="1">
      <c r="A385" s="12"/>
      <c r="C385" s="12"/>
      <c r="D385" s="13"/>
      <c r="F385" s="14"/>
      <c r="G385" s="14"/>
      <c r="H385" s="14"/>
      <c r="I385" s="14"/>
      <c r="J385" s="14"/>
      <c r="K385" s="12"/>
    </row>
    <row r="386" ht="19.5" customHeight="1">
      <c r="A386" s="12"/>
      <c r="C386" s="12"/>
      <c r="D386" s="13"/>
      <c r="F386" s="14"/>
      <c r="G386" s="14"/>
      <c r="H386" s="14"/>
      <c r="I386" s="14"/>
      <c r="J386" s="14"/>
      <c r="K386" s="12"/>
    </row>
    <row r="387" ht="19.5" customHeight="1">
      <c r="A387" s="12"/>
      <c r="C387" s="12"/>
      <c r="D387" s="13"/>
      <c r="F387" s="14"/>
      <c r="G387" s="14"/>
      <c r="H387" s="14"/>
      <c r="I387" s="14"/>
      <c r="J387" s="14"/>
      <c r="K387" s="12"/>
    </row>
    <row r="388" ht="19.5" customHeight="1">
      <c r="A388" s="12"/>
      <c r="C388" s="12"/>
      <c r="D388" s="13"/>
      <c r="F388" s="14"/>
      <c r="G388" s="14"/>
      <c r="H388" s="14"/>
      <c r="I388" s="14"/>
      <c r="J388" s="14"/>
      <c r="K388" s="12"/>
    </row>
    <row r="389" ht="19.5" customHeight="1">
      <c r="A389" s="12"/>
      <c r="C389" s="12"/>
      <c r="D389" s="13"/>
      <c r="F389" s="14"/>
      <c r="G389" s="14"/>
      <c r="H389" s="14"/>
      <c r="I389" s="14"/>
      <c r="J389" s="14"/>
      <c r="K389" s="12"/>
    </row>
    <row r="390" ht="19.5" customHeight="1">
      <c r="A390" s="12"/>
      <c r="C390" s="12"/>
      <c r="D390" s="13"/>
      <c r="F390" s="14"/>
      <c r="G390" s="14"/>
      <c r="H390" s="14"/>
      <c r="I390" s="14"/>
      <c r="J390" s="14"/>
      <c r="K390" s="12"/>
    </row>
    <row r="391" ht="19.5" customHeight="1">
      <c r="A391" s="12"/>
      <c r="C391" s="12"/>
      <c r="D391" s="13"/>
      <c r="F391" s="14"/>
      <c r="G391" s="14"/>
      <c r="H391" s="14"/>
      <c r="I391" s="14"/>
      <c r="J391" s="14"/>
      <c r="K391" s="12"/>
    </row>
    <row r="392" ht="19.5" customHeight="1">
      <c r="A392" s="12"/>
      <c r="C392" s="12"/>
      <c r="D392" s="13"/>
      <c r="F392" s="14"/>
      <c r="G392" s="14"/>
      <c r="H392" s="14"/>
      <c r="I392" s="14"/>
      <c r="J392" s="14"/>
      <c r="K392" s="12"/>
    </row>
    <row r="393" ht="19.5" customHeight="1">
      <c r="A393" s="12"/>
      <c r="C393" s="12"/>
      <c r="D393" s="13"/>
      <c r="F393" s="14"/>
      <c r="G393" s="14"/>
      <c r="H393" s="14"/>
      <c r="I393" s="14"/>
      <c r="J393" s="14"/>
      <c r="K393" s="12"/>
    </row>
    <row r="394" ht="19.5" customHeight="1">
      <c r="A394" s="12"/>
      <c r="C394" s="12"/>
      <c r="D394" s="13"/>
      <c r="F394" s="14"/>
      <c r="G394" s="14"/>
      <c r="H394" s="14"/>
      <c r="I394" s="14"/>
      <c r="J394" s="14"/>
      <c r="K394" s="12"/>
    </row>
    <row r="395" ht="19.5" customHeight="1">
      <c r="A395" s="12"/>
      <c r="C395" s="12"/>
      <c r="D395" s="13"/>
      <c r="F395" s="14"/>
      <c r="G395" s="14"/>
      <c r="H395" s="14"/>
      <c r="I395" s="14"/>
      <c r="J395" s="14"/>
      <c r="K395" s="12"/>
    </row>
    <row r="396" ht="19.5" customHeight="1">
      <c r="A396" s="12"/>
      <c r="C396" s="12"/>
      <c r="D396" s="13"/>
      <c r="F396" s="14"/>
      <c r="G396" s="14"/>
      <c r="H396" s="14"/>
      <c r="I396" s="14"/>
      <c r="J396" s="14"/>
      <c r="K396" s="12"/>
    </row>
    <row r="397" ht="19.5" customHeight="1">
      <c r="A397" s="12"/>
      <c r="C397" s="12"/>
      <c r="D397" s="13"/>
      <c r="F397" s="14"/>
      <c r="G397" s="14"/>
      <c r="H397" s="14"/>
      <c r="I397" s="14"/>
      <c r="J397" s="14"/>
      <c r="K397" s="12"/>
    </row>
    <row r="398" ht="19.5" customHeight="1">
      <c r="A398" s="12"/>
      <c r="C398" s="12"/>
      <c r="D398" s="13"/>
      <c r="F398" s="14"/>
      <c r="G398" s="14"/>
      <c r="H398" s="14"/>
      <c r="I398" s="14"/>
      <c r="J398" s="14"/>
      <c r="K398" s="12"/>
    </row>
    <row r="399" ht="19.5" customHeight="1">
      <c r="A399" s="12"/>
      <c r="C399" s="12"/>
      <c r="D399" s="13"/>
      <c r="F399" s="14"/>
      <c r="G399" s="14"/>
      <c r="H399" s="14"/>
      <c r="I399" s="14"/>
      <c r="J399" s="14"/>
      <c r="K399" s="12"/>
    </row>
    <row r="400" ht="19.5" customHeight="1">
      <c r="A400" s="12"/>
      <c r="C400" s="12"/>
      <c r="D400" s="13"/>
      <c r="F400" s="14"/>
      <c r="G400" s="14"/>
      <c r="H400" s="14"/>
      <c r="I400" s="14"/>
      <c r="J400" s="14"/>
      <c r="K400" s="12"/>
    </row>
    <row r="401" ht="19.5" customHeight="1">
      <c r="A401" s="12"/>
      <c r="C401" s="12"/>
      <c r="D401" s="13"/>
      <c r="F401" s="14"/>
      <c r="G401" s="14"/>
      <c r="H401" s="14"/>
      <c r="I401" s="14"/>
      <c r="J401" s="14"/>
      <c r="K401" s="12"/>
    </row>
    <row r="402" ht="19.5" customHeight="1">
      <c r="A402" s="12"/>
      <c r="C402" s="12"/>
      <c r="D402" s="13"/>
      <c r="F402" s="14"/>
      <c r="G402" s="14"/>
      <c r="H402" s="14"/>
      <c r="I402" s="14"/>
      <c r="J402" s="14"/>
      <c r="K402" s="12"/>
    </row>
    <row r="403" ht="19.5" customHeight="1">
      <c r="A403" s="12"/>
      <c r="C403" s="12"/>
      <c r="D403" s="13"/>
      <c r="F403" s="14"/>
      <c r="G403" s="14"/>
      <c r="H403" s="14"/>
      <c r="I403" s="14"/>
      <c r="J403" s="14"/>
      <c r="K403" s="12"/>
    </row>
    <row r="404" ht="19.5" customHeight="1">
      <c r="A404" s="12"/>
      <c r="C404" s="12"/>
      <c r="D404" s="13"/>
      <c r="F404" s="14"/>
      <c r="G404" s="14"/>
      <c r="H404" s="14"/>
      <c r="I404" s="14"/>
      <c r="J404" s="14"/>
      <c r="K404" s="12"/>
    </row>
    <row r="405" ht="19.5" customHeight="1">
      <c r="A405" s="12"/>
      <c r="C405" s="12"/>
      <c r="D405" s="13"/>
      <c r="F405" s="14"/>
      <c r="G405" s="14"/>
      <c r="H405" s="14"/>
      <c r="I405" s="14"/>
      <c r="J405" s="14"/>
      <c r="K405" s="12"/>
    </row>
    <row r="406" ht="19.5" customHeight="1">
      <c r="A406" s="12"/>
      <c r="C406" s="12"/>
      <c r="D406" s="13"/>
      <c r="F406" s="14"/>
      <c r="G406" s="14"/>
      <c r="H406" s="14"/>
      <c r="I406" s="14"/>
      <c r="J406" s="14"/>
      <c r="K406" s="12"/>
    </row>
    <row r="407" ht="19.5" customHeight="1">
      <c r="A407" s="12"/>
      <c r="C407" s="12"/>
      <c r="D407" s="13"/>
      <c r="F407" s="14"/>
      <c r="G407" s="14"/>
      <c r="H407" s="14"/>
      <c r="I407" s="14"/>
      <c r="J407" s="14"/>
      <c r="K407" s="12"/>
    </row>
    <row r="408" ht="19.5" customHeight="1">
      <c r="A408" s="12"/>
      <c r="C408" s="12"/>
      <c r="D408" s="13"/>
      <c r="F408" s="14"/>
      <c r="G408" s="14"/>
      <c r="H408" s="14"/>
      <c r="I408" s="14"/>
      <c r="J408" s="14"/>
      <c r="K408" s="12"/>
    </row>
    <row r="409" ht="19.5" customHeight="1">
      <c r="A409" s="12"/>
      <c r="C409" s="12"/>
      <c r="D409" s="13"/>
      <c r="F409" s="14"/>
      <c r="G409" s="14"/>
      <c r="H409" s="14"/>
      <c r="I409" s="14"/>
      <c r="J409" s="14"/>
      <c r="K409" s="12"/>
    </row>
    <row r="410" ht="19.5" customHeight="1">
      <c r="A410" s="12"/>
      <c r="C410" s="12"/>
      <c r="D410" s="13"/>
      <c r="F410" s="14"/>
      <c r="G410" s="14"/>
      <c r="H410" s="14"/>
      <c r="I410" s="14"/>
      <c r="J410" s="14"/>
      <c r="K410" s="12"/>
    </row>
    <row r="411" ht="19.5" customHeight="1">
      <c r="A411" s="12"/>
      <c r="C411" s="12"/>
      <c r="D411" s="13"/>
      <c r="F411" s="14"/>
      <c r="G411" s="14"/>
      <c r="H411" s="14"/>
      <c r="I411" s="14"/>
      <c r="J411" s="14"/>
      <c r="K411" s="12"/>
    </row>
    <row r="412" ht="19.5" customHeight="1">
      <c r="A412" s="12"/>
      <c r="C412" s="12"/>
      <c r="D412" s="13"/>
      <c r="F412" s="14"/>
      <c r="G412" s="14"/>
      <c r="H412" s="14"/>
      <c r="I412" s="14"/>
      <c r="J412" s="14"/>
      <c r="K412" s="12"/>
    </row>
    <row r="413" ht="19.5" customHeight="1">
      <c r="A413" s="12"/>
      <c r="C413" s="12"/>
      <c r="D413" s="13"/>
      <c r="F413" s="14"/>
      <c r="G413" s="14"/>
      <c r="H413" s="14"/>
      <c r="I413" s="14"/>
      <c r="J413" s="14"/>
      <c r="K413" s="12"/>
    </row>
    <row r="414" ht="19.5" customHeight="1">
      <c r="A414" s="12"/>
      <c r="C414" s="12"/>
      <c r="D414" s="13"/>
      <c r="F414" s="14"/>
      <c r="G414" s="14"/>
      <c r="H414" s="14"/>
      <c r="I414" s="14"/>
      <c r="J414" s="14"/>
      <c r="K414" s="12"/>
    </row>
    <row r="415" ht="19.5" customHeight="1">
      <c r="A415" s="12"/>
      <c r="C415" s="12"/>
      <c r="D415" s="13"/>
      <c r="F415" s="14"/>
      <c r="G415" s="14"/>
      <c r="H415" s="14"/>
      <c r="I415" s="14"/>
      <c r="J415" s="14"/>
      <c r="K415" s="12"/>
    </row>
    <row r="416" ht="19.5" customHeight="1">
      <c r="A416" s="12"/>
      <c r="C416" s="12"/>
      <c r="D416" s="13"/>
      <c r="F416" s="14"/>
      <c r="G416" s="14"/>
      <c r="H416" s="14"/>
      <c r="I416" s="14"/>
      <c r="J416" s="14"/>
      <c r="K416" s="12"/>
    </row>
    <row r="417" ht="19.5" customHeight="1">
      <c r="A417" s="12"/>
      <c r="C417" s="12"/>
      <c r="D417" s="13"/>
      <c r="F417" s="14"/>
      <c r="G417" s="14"/>
      <c r="H417" s="14"/>
      <c r="I417" s="14"/>
      <c r="J417" s="14"/>
      <c r="K417" s="12"/>
    </row>
    <row r="418" ht="19.5" customHeight="1">
      <c r="A418" s="12"/>
      <c r="C418" s="12"/>
      <c r="D418" s="13"/>
      <c r="F418" s="14"/>
      <c r="G418" s="14"/>
      <c r="H418" s="14"/>
      <c r="I418" s="14"/>
      <c r="J418" s="14"/>
      <c r="K418" s="12"/>
    </row>
    <row r="419" ht="19.5" customHeight="1">
      <c r="A419" s="12"/>
      <c r="C419" s="12"/>
      <c r="D419" s="13"/>
      <c r="F419" s="14"/>
      <c r="G419" s="14"/>
      <c r="H419" s="14"/>
      <c r="I419" s="14"/>
      <c r="J419" s="14"/>
      <c r="K419" s="12"/>
    </row>
    <row r="420" ht="19.5" customHeight="1">
      <c r="A420" s="12"/>
      <c r="C420" s="12"/>
      <c r="D420" s="13"/>
      <c r="F420" s="14"/>
      <c r="G420" s="14"/>
      <c r="H420" s="14"/>
      <c r="I420" s="14"/>
      <c r="J420" s="14"/>
      <c r="K420" s="12"/>
    </row>
    <row r="421" ht="19.5" customHeight="1">
      <c r="A421" s="12"/>
      <c r="C421" s="12"/>
      <c r="D421" s="13"/>
      <c r="F421" s="14"/>
      <c r="G421" s="14"/>
      <c r="H421" s="14"/>
      <c r="I421" s="14"/>
      <c r="J421" s="14"/>
      <c r="K421" s="12"/>
    </row>
    <row r="422" ht="19.5" customHeight="1">
      <c r="A422" s="12"/>
      <c r="C422" s="12"/>
      <c r="D422" s="13"/>
      <c r="F422" s="14"/>
      <c r="G422" s="14"/>
      <c r="H422" s="14"/>
      <c r="I422" s="14"/>
      <c r="J422" s="14"/>
      <c r="K422" s="12"/>
    </row>
    <row r="423" ht="19.5" customHeight="1">
      <c r="A423" s="12"/>
      <c r="C423" s="12"/>
      <c r="D423" s="13"/>
      <c r="F423" s="14"/>
      <c r="G423" s="14"/>
      <c r="H423" s="14"/>
      <c r="I423" s="14"/>
      <c r="J423" s="14"/>
      <c r="K423" s="12"/>
    </row>
    <row r="424" ht="19.5" customHeight="1">
      <c r="A424" s="12"/>
      <c r="C424" s="12"/>
      <c r="D424" s="13"/>
      <c r="F424" s="14"/>
      <c r="G424" s="14"/>
      <c r="H424" s="14"/>
      <c r="I424" s="14"/>
      <c r="J424" s="14"/>
      <c r="K424" s="12"/>
    </row>
    <row r="425" ht="19.5" customHeight="1">
      <c r="A425" s="12"/>
      <c r="C425" s="12"/>
      <c r="D425" s="13"/>
      <c r="F425" s="14"/>
      <c r="G425" s="14"/>
      <c r="H425" s="14"/>
      <c r="I425" s="14"/>
      <c r="J425" s="14"/>
      <c r="K425" s="12"/>
    </row>
    <row r="426" ht="19.5" customHeight="1">
      <c r="A426" s="12"/>
      <c r="C426" s="12"/>
      <c r="D426" s="13"/>
      <c r="F426" s="14"/>
      <c r="G426" s="14"/>
      <c r="H426" s="14"/>
      <c r="I426" s="14"/>
      <c r="J426" s="14"/>
      <c r="K426" s="12"/>
    </row>
    <row r="427" ht="19.5" customHeight="1">
      <c r="A427" s="12"/>
      <c r="C427" s="12"/>
      <c r="D427" s="13"/>
      <c r="F427" s="14"/>
      <c r="G427" s="14"/>
      <c r="H427" s="14"/>
      <c r="I427" s="14"/>
      <c r="J427" s="14"/>
      <c r="K427" s="12"/>
    </row>
    <row r="428" ht="19.5" customHeight="1">
      <c r="A428" s="12"/>
      <c r="C428" s="12"/>
      <c r="D428" s="13"/>
      <c r="F428" s="14"/>
      <c r="G428" s="14"/>
      <c r="H428" s="14"/>
      <c r="I428" s="14"/>
      <c r="J428" s="14"/>
      <c r="K428" s="12"/>
    </row>
    <row r="429" ht="19.5" customHeight="1">
      <c r="A429" s="12"/>
      <c r="C429" s="12"/>
      <c r="D429" s="13"/>
      <c r="F429" s="14"/>
      <c r="G429" s="14"/>
      <c r="H429" s="14"/>
      <c r="I429" s="14"/>
      <c r="J429" s="14"/>
      <c r="K429" s="12"/>
    </row>
    <row r="430" ht="19.5" customHeight="1">
      <c r="A430" s="12"/>
      <c r="C430" s="12"/>
      <c r="D430" s="13"/>
      <c r="F430" s="14"/>
      <c r="G430" s="14"/>
      <c r="H430" s="14"/>
      <c r="I430" s="14"/>
      <c r="J430" s="14"/>
      <c r="K430" s="12"/>
    </row>
    <row r="431" ht="19.5" customHeight="1">
      <c r="A431" s="12"/>
      <c r="C431" s="12"/>
      <c r="D431" s="13"/>
      <c r="F431" s="14"/>
      <c r="G431" s="14"/>
      <c r="H431" s="14"/>
      <c r="I431" s="14"/>
      <c r="J431" s="14"/>
      <c r="K431" s="12"/>
    </row>
    <row r="432" ht="19.5" customHeight="1">
      <c r="A432" s="12"/>
      <c r="C432" s="12"/>
      <c r="D432" s="13"/>
      <c r="F432" s="14"/>
      <c r="G432" s="14"/>
      <c r="H432" s="14"/>
      <c r="I432" s="14"/>
      <c r="J432" s="14"/>
      <c r="K432" s="12"/>
    </row>
    <row r="433" ht="19.5" customHeight="1">
      <c r="A433" s="12"/>
      <c r="C433" s="12"/>
      <c r="D433" s="13"/>
      <c r="F433" s="14"/>
      <c r="G433" s="14"/>
      <c r="H433" s="14"/>
      <c r="I433" s="14"/>
      <c r="J433" s="14"/>
      <c r="K433" s="12"/>
    </row>
    <row r="434" ht="19.5" customHeight="1">
      <c r="A434" s="12"/>
      <c r="C434" s="12"/>
      <c r="D434" s="13"/>
      <c r="F434" s="14"/>
      <c r="G434" s="14"/>
      <c r="H434" s="14"/>
      <c r="I434" s="14"/>
      <c r="J434" s="14"/>
      <c r="K434" s="12"/>
    </row>
    <row r="435" ht="19.5" customHeight="1">
      <c r="A435" s="12"/>
      <c r="C435" s="12"/>
      <c r="D435" s="13"/>
      <c r="F435" s="14"/>
      <c r="G435" s="14"/>
      <c r="H435" s="14"/>
      <c r="I435" s="14"/>
      <c r="J435" s="14"/>
      <c r="K435" s="12"/>
    </row>
    <row r="436" ht="19.5" customHeight="1">
      <c r="A436" s="12"/>
      <c r="C436" s="12"/>
      <c r="D436" s="13"/>
      <c r="F436" s="14"/>
      <c r="G436" s="14"/>
      <c r="H436" s="14"/>
      <c r="I436" s="14"/>
      <c r="J436" s="14"/>
      <c r="K436" s="12"/>
    </row>
    <row r="437" ht="19.5" customHeight="1">
      <c r="A437" s="12"/>
      <c r="C437" s="12"/>
      <c r="D437" s="13"/>
      <c r="F437" s="14"/>
      <c r="G437" s="14"/>
      <c r="H437" s="14"/>
      <c r="I437" s="14"/>
      <c r="J437" s="14"/>
      <c r="K437" s="12"/>
    </row>
    <row r="438" ht="19.5" customHeight="1">
      <c r="A438" s="12"/>
      <c r="C438" s="12"/>
      <c r="D438" s="13"/>
      <c r="F438" s="14"/>
      <c r="G438" s="14"/>
      <c r="H438" s="14"/>
      <c r="I438" s="14"/>
      <c r="J438" s="14"/>
      <c r="K438" s="12"/>
    </row>
    <row r="439" ht="19.5" customHeight="1">
      <c r="A439" s="12"/>
      <c r="C439" s="12"/>
      <c r="D439" s="13"/>
      <c r="F439" s="14"/>
      <c r="G439" s="14"/>
      <c r="H439" s="14"/>
      <c r="I439" s="14"/>
      <c r="J439" s="14"/>
      <c r="K439" s="12"/>
    </row>
    <row r="440" ht="19.5" customHeight="1">
      <c r="A440" s="12"/>
      <c r="C440" s="12"/>
      <c r="D440" s="13"/>
      <c r="F440" s="14"/>
      <c r="G440" s="14"/>
      <c r="H440" s="14"/>
      <c r="I440" s="14"/>
      <c r="J440" s="14"/>
      <c r="K440" s="12"/>
    </row>
    <row r="441" ht="19.5" customHeight="1">
      <c r="A441" s="12"/>
      <c r="C441" s="12"/>
      <c r="D441" s="13"/>
      <c r="F441" s="14"/>
      <c r="G441" s="14"/>
      <c r="H441" s="14"/>
      <c r="I441" s="14"/>
      <c r="J441" s="14"/>
      <c r="K441" s="12"/>
    </row>
    <row r="442" ht="19.5" customHeight="1">
      <c r="A442" s="12"/>
      <c r="C442" s="12"/>
      <c r="D442" s="13"/>
      <c r="F442" s="14"/>
      <c r="G442" s="14"/>
      <c r="H442" s="14"/>
      <c r="I442" s="14"/>
      <c r="J442" s="14"/>
      <c r="K442" s="12"/>
    </row>
    <row r="443" ht="19.5" customHeight="1">
      <c r="A443" s="12"/>
      <c r="C443" s="12"/>
      <c r="D443" s="13"/>
      <c r="F443" s="14"/>
      <c r="G443" s="14"/>
      <c r="H443" s="14"/>
      <c r="I443" s="14"/>
      <c r="J443" s="14"/>
      <c r="K443" s="12"/>
    </row>
    <row r="444" ht="19.5" customHeight="1">
      <c r="A444" s="12"/>
      <c r="C444" s="12"/>
      <c r="D444" s="13"/>
      <c r="F444" s="14"/>
      <c r="G444" s="14"/>
      <c r="H444" s="14"/>
      <c r="I444" s="14"/>
      <c r="J444" s="14"/>
      <c r="K444" s="12"/>
    </row>
    <row r="445" ht="19.5" customHeight="1">
      <c r="A445" s="12"/>
      <c r="C445" s="12"/>
      <c r="D445" s="13"/>
      <c r="F445" s="14"/>
      <c r="G445" s="14"/>
      <c r="H445" s="14"/>
      <c r="I445" s="14"/>
      <c r="J445" s="14"/>
      <c r="K445" s="12"/>
    </row>
    <row r="446" ht="19.5" customHeight="1">
      <c r="A446" s="12"/>
      <c r="C446" s="12"/>
      <c r="D446" s="13"/>
      <c r="F446" s="14"/>
      <c r="G446" s="14"/>
      <c r="H446" s="14"/>
      <c r="I446" s="14"/>
      <c r="J446" s="14"/>
      <c r="K446" s="12"/>
    </row>
    <row r="447" ht="19.5" customHeight="1">
      <c r="A447" s="12"/>
      <c r="C447" s="12"/>
      <c r="D447" s="13"/>
      <c r="F447" s="14"/>
      <c r="G447" s="14"/>
      <c r="H447" s="14"/>
      <c r="I447" s="14"/>
      <c r="J447" s="14"/>
      <c r="K447" s="12"/>
    </row>
    <row r="448" ht="19.5" customHeight="1">
      <c r="A448" s="12"/>
      <c r="C448" s="12"/>
      <c r="D448" s="13"/>
      <c r="F448" s="14"/>
      <c r="G448" s="14"/>
      <c r="H448" s="14"/>
      <c r="I448" s="14"/>
      <c r="J448" s="14"/>
      <c r="K448" s="12"/>
    </row>
    <row r="449" ht="19.5" customHeight="1">
      <c r="A449" s="12"/>
      <c r="C449" s="12"/>
      <c r="D449" s="13"/>
      <c r="F449" s="14"/>
      <c r="G449" s="14"/>
      <c r="H449" s="14"/>
      <c r="I449" s="14"/>
      <c r="J449" s="14"/>
      <c r="K449" s="12"/>
    </row>
    <row r="450" ht="19.5" customHeight="1">
      <c r="A450" s="12"/>
      <c r="C450" s="12"/>
      <c r="D450" s="13"/>
      <c r="F450" s="14"/>
      <c r="G450" s="14"/>
      <c r="H450" s="14"/>
      <c r="I450" s="14"/>
      <c r="J450" s="14"/>
      <c r="K450" s="12"/>
    </row>
    <row r="451" ht="19.5" customHeight="1">
      <c r="A451" s="12"/>
      <c r="C451" s="12"/>
      <c r="D451" s="13"/>
      <c r="F451" s="14"/>
      <c r="G451" s="14"/>
      <c r="H451" s="14"/>
      <c r="I451" s="14"/>
      <c r="J451" s="14"/>
      <c r="K451" s="12"/>
    </row>
    <row r="452" ht="19.5" customHeight="1">
      <c r="A452" s="12"/>
      <c r="C452" s="12"/>
      <c r="D452" s="13"/>
      <c r="F452" s="14"/>
      <c r="G452" s="14"/>
      <c r="H452" s="14"/>
      <c r="I452" s="14"/>
      <c r="J452" s="14"/>
      <c r="K452" s="12"/>
    </row>
    <row r="453" ht="19.5" customHeight="1">
      <c r="A453" s="12"/>
      <c r="C453" s="12"/>
      <c r="D453" s="13"/>
      <c r="F453" s="14"/>
      <c r="G453" s="14"/>
      <c r="H453" s="14"/>
      <c r="I453" s="14"/>
      <c r="J453" s="14"/>
      <c r="K453" s="12"/>
    </row>
    <row r="454" ht="19.5" customHeight="1">
      <c r="A454" s="12"/>
      <c r="C454" s="12"/>
      <c r="D454" s="13"/>
      <c r="F454" s="14"/>
      <c r="G454" s="14"/>
      <c r="H454" s="14"/>
      <c r="I454" s="14"/>
      <c r="J454" s="14"/>
      <c r="K454" s="12"/>
    </row>
    <row r="455" ht="19.5" customHeight="1">
      <c r="A455" s="12"/>
      <c r="C455" s="12"/>
      <c r="D455" s="13"/>
      <c r="F455" s="14"/>
      <c r="G455" s="14"/>
      <c r="H455" s="14"/>
      <c r="I455" s="14"/>
      <c r="J455" s="14"/>
      <c r="K455" s="12"/>
    </row>
    <row r="456" ht="19.5" customHeight="1">
      <c r="A456" s="12"/>
      <c r="C456" s="12"/>
      <c r="D456" s="13"/>
      <c r="F456" s="14"/>
      <c r="G456" s="14"/>
      <c r="H456" s="14"/>
      <c r="I456" s="14"/>
      <c r="J456" s="14"/>
      <c r="K456" s="12"/>
    </row>
    <row r="457" ht="19.5" customHeight="1">
      <c r="A457" s="12"/>
      <c r="C457" s="12"/>
      <c r="D457" s="13"/>
      <c r="F457" s="14"/>
      <c r="G457" s="14"/>
      <c r="H457" s="14"/>
      <c r="I457" s="14"/>
      <c r="J457" s="14"/>
      <c r="K457" s="12"/>
    </row>
    <row r="458" ht="19.5" customHeight="1">
      <c r="A458" s="12"/>
      <c r="C458" s="12"/>
      <c r="D458" s="13"/>
      <c r="F458" s="14"/>
      <c r="G458" s="14"/>
      <c r="H458" s="14"/>
      <c r="I458" s="14"/>
      <c r="J458" s="14"/>
      <c r="K458" s="12"/>
    </row>
    <row r="459" ht="19.5" customHeight="1">
      <c r="A459" s="12"/>
      <c r="C459" s="12"/>
      <c r="D459" s="13"/>
      <c r="F459" s="14"/>
      <c r="G459" s="14"/>
      <c r="H459" s="14"/>
      <c r="I459" s="14"/>
      <c r="J459" s="14"/>
      <c r="K459" s="12"/>
    </row>
    <row r="460" ht="19.5" customHeight="1">
      <c r="A460" s="12"/>
      <c r="C460" s="12"/>
      <c r="D460" s="13"/>
      <c r="F460" s="14"/>
      <c r="G460" s="14"/>
      <c r="H460" s="14"/>
      <c r="I460" s="14"/>
      <c r="J460" s="14"/>
      <c r="K460" s="12"/>
    </row>
    <row r="461" ht="19.5" customHeight="1">
      <c r="A461" s="12"/>
      <c r="C461" s="12"/>
      <c r="D461" s="13"/>
      <c r="F461" s="14"/>
      <c r="G461" s="14"/>
      <c r="H461" s="14"/>
      <c r="I461" s="14"/>
      <c r="J461" s="14"/>
      <c r="K461" s="12"/>
    </row>
    <row r="462" ht="19.5" customHeight="1">
      <c r="A462" s="12"/>
      <c r="C462" s="12"/>
      <c r="D462" s="13"/>
      <c r="F462" s="14"/>
      <c r="G462" s="14"/>
      <c r="H462" s="14"/>
      <c r="I462" s="14"/>
      <c r="J462" s="14"/>
      <c r="K462" s="12"/>
    </row>
    <row r="463" ht="19.5" customHeight="1">
      <c r="A463" s="12"/>
      <c r="C463" s="12"/>
      <c r="D463" s="13"/>
      <c r="F463" s="14"/>
      <c r="G463" s="14"/>
      <c r="H463" s="14"/>
      <c r="I463" s="14"/>
      <c r="J463" s="14"/>
      <c r="K463" s="12"/>
    </row>
    <row r="464" ht="19.5" customHeight="1">
      <c r="A464" s="12"/>
      <c r="C464" s="12"/>
      <c r="D464" s="13"/>
      <c r="F464" s="14"/>
      <c r="G464" s="14"/>
      <c r="H464" s="14"/>
      <c r="I464" s="14"/>
      <c r="J464" s="14"/>
      <c r="K464" s="12"/>
    </row>
    <row r="465" ht="19.5" customHeight="1">
      <c r="A465" s="12"/>
      <c r="C465" s="12"/>
      <c r="D465" s="13"/>
      <c r="F465" s="14"/>
      <c r="G465" s="14"/>
      <c r="H465" s="14"/>
      <c r="I465" s="14"/>
      <c r="J465" s="14"/>
      <c r="K465" s="12"/>
    </row>
    <row r="466" ht="19.5" customHeight="1">
      <c r="A466" s="12"/>
      <c r="C466" s="12"/>
      <c r="D466" s="13"/>
      <c r="F466" s="14"/>
      <c r="G466" s="14"/>
      <c r="H466" s="14"/>
      <c r="I466" s="14"/>
      <c r="J466" s="14"/>
      <c r="K466" s="12"/>
    </row>
    <row r="467" ht="19.5" customHeight="1">
      <c r="A467" s="12"/>
      <c r="C467" s="12"/>
      <c r="D467" s="13"/>
      <c r="F467" s="14"/>
      <c r="G467" s="14"/>
      <c r="H467" s="14"/>
      <c r="I467" s="14"/>
      <c r="J467" s="14"/>
      <c r="K467" s="12"/>
    </row>
    <row r="468" ht="19.5" customHeight="1">
      <c r="A468" s="12"/>
      <c r="C468" s="12"/>
      <c r="D468" s="13"/>
      <c r="F468" s="14"/>
      <c r="G468" s="14"/>
      <c r="H468" s="14"/>
      <c r="I468" s="14"/>
      <c r="J468" s="14"/>
      <c r="K468" s="12"/>
    </row>
    <row r="469" ht="19.5" customHeight="1">
      <c r="A469" s="12"/>
      <c r="C469" s="12"/>
      <c r="D469" s="13"/>
      <c r="F469" s="14"/>
      <c r="G469" s="14"/>
      <c r="H469" s="14"/>
      <c r="I469" s="14"/>
      <c r="J469" s="14"/>
      <c r="K469" s="12"/>
    </row>
    <row r="470" ht="19.5" customHeight="1">
      <c r="A470" s="12"/>
      <c r="C470" s="12"/>
      <c r="D470" s="13"/>
      <c r="F470" s="14"/>
      <c r="G470" s="14"/>
      <c r="H470" s="14"/>
      <c r="I470" s="14"/>
      <c r="J470" s="14"/>
      <c r="K470" s="12"/>
    </row>
    <row r="471" ht="19.5" customHeight="1">
      <c r="A471" s="12"/>
      <c r="C471" s="12"/>
      <c r="D471" s="13"/>
      <c r="F471" s="14"/>
      <c r="G471" s="14"/>
      <c r="H471" s="14"/>
      <c r="I471" s="14"/>
      <c r="J471" s="14"/>
      <c r="K471" s="12"/>
    </row>
    <row r="472" ht="19.5" customHeight="1">
      <c r="A472" s="12"/>
      <c r="C472" s="12"/>
      <c r="D472" s="13"/>
      <c r="F472" s="14"/>
      <c r="G472" s="14"/>
      <c r="H472" s="14"/>
      <c r="I472" s="14"/>
      <c r="J472" s="14"/>
      <c r="K472" s="12"/>
    </row>
    <row r="473" ht="19.5" customHeight="1">
      <c r="A473" s="12"/>
      <c r="C473" s="12"/>
      <c r="D473" s="13"/>
      <c r="F473" s="14"/>
      <c r="G473" s="14"/>
      <c r="H473" s="14"/>
      <c r="I473" s="14"/>
      <c r="J473" s="14"/>
      <c r="K473" s="12"/>
    </row>
    <row r="474" ht="19.5" customHeight="1">
      <c r="A474" s="12"/>
      <c r="C474" s="12"/>
      <c r="D474" s="13"/>
      <c r="F474" s="14"/>
      <c r="G474" s="14"/>
      <c r="H474" s="14"/>
      <c r="I474" s="14"/>
      <c r="J474" s="14"/>
      <c r="K474" s="12"/>
    </row>
    <row r="475" ht="19.5" customHeight="1">
      <c r="A475" s="12"/>
      <c r="C475" s="12"/>
      <c r="D475" s="13"/>
      <c r="F475" s="14"/>
      <c r="G475" s="14"/>
      <c r="H475" s="14"/>
      <c r="I475" s="14"/>
      <c r="J475" s="14"/>
      <c r="K475" s="12"/>
    </row>
    <row r="476" ht="19.5" customHeight="1">
      <c r="A476" s="12"/>
      <c r="C476" s="12"/>
      <c r="D476" s="13"/>
      <c r="F476" s="14"/>
      <c r="G476" s="14"/>
      <c r="H476" s="14"/>
      <c r="I476" s="14"/>
      <c r="J476" s="14"/>
      <c r="K476" s="12"/>
    </row>
    <row r="477" ht="19.5" customHeight="1">
      <c r="A477" s="12"/>
      <c r="C477" s="12"/>
      <c r="D477" s="13"/>
      <c r="F477" s="14"/>
      <c r="G477" s="14"/>
      <c r="H477" s="14"/>
      <c r="I477" s="14"/>
      <c r="J477" s="14"/>
      <c r="K477" s="12"/>
    </row>
    <row r="478" ht="19.5" customHeight="1">
      <c r="A478" s="12"/>
      <c r="C478" s="12"/>
      <c r="D478" s="13"/>
      <c r="F478" s="14"/>
      <c r="G478" s="14"/>
      <c r="H478" s="14"/>
      <c r="I478" s="14"/>
      <c r="J478" s="14"/>
      <c r="K478" s="12"/>
    </row>
    <row r="479" ht="19.5" customHeight="1">
      <c r="A479" s="12"/>
      <c r="C479" s="12"/>
      <c r="D479" s="13"/>
      <c r="F479" s="14"/>
      <c r="G479" s="14"/>
      <c r="H479" s="14"/>
      <c r="I479" s="14"/>
      <c r="J479" s="14"/>
      <c r="K479" s="12"/>
    </row>
    <row r="480" ht="19.5" customHeight="1">
      <c r="A480" s="12"/>
      <c r="C480" s="12"/>
      <c r="D480" s="13"/>
      <c r="F480" s="14"/>
      <c r="G480" s="14"/>
      <c r="H480" s="14"/>
      <c r="I480" s="14"/>
      <c r="J480" s="14"/>
      <c r="K480" s="12"/>
    </row>
    <row r="481" ht="19.5" customHeight="1">
      <c r="A481" s="12"/>
      <c r="C481" s="12"/>
      <c r="D481" s="13"/>
      <c r="F481" s="14"/>
      <c r="G481" s="14"/>
      <c r="H481" s="14"/>
      <c r="I481" s="14"/>
      <c r="J481" s="14"/>
      <c r="K481" s="12"/>
    </row>
    <row r="482" ht="19.5" customHeight="1">
      <c r="A482" s="12"/>
      <c r="C482" s="12"/>
      <c r="D482" s="13"/>
      <c r="F482" s="14"/>
      <c r="G482" s="14"/>
      <c r="H482" s="14"/>
      <c r="I482" s="14"/>
      <c r="J482" s="14"/>
      <c r="K482" s="12"/>
    </row>
    <row r="483" ht="19.5" customHeight="1">
      <c r="A483" s="12"/>
      <c r="C483" s="12"/>
      <c r="D483" s="13"/>
      <c r="F483" s="14"/>
      <c r="G483" s="14"/>
      <c r="H483" s="14"/>
      <c r="I483" s="14"/>
      <c r="J483" s="14"/>
      <c r="K483" s="12"/>
    </row>
    <row r="484" ht="19.5" customHeight="1">
      <c r="A484" s="12"/>
      <c r="C484" s="12"/>
      <c r="D484" s="13"/>
      <c r="F484" s="14"/>
      <c r="G484" s="14"/>
      <c r="H484" s="14"/>
      <c r="I484" s="14"/>
      <c r="J484" s="14"/>
      <c r="K484" s="12"/>
    </row>
    <row r="485" ht="19.5" customHeight="1">
      <c r="A485" s="12"/>
      <c r="C485" s="12"/>
      <c r="D485" s="13"/>
      <c r="F485" s="14"/>
      <c r="G485" s="14"/>
      <c r="H485" s="14"/>
      <c r="I485" s="14"/>
      <c r="J485" s="14"/>
      <c r="K485" s="12"/>
    </row>
    <row r="486" ht="19.5" customHeight="1">
      <c r="A486" s="12"/>
      <c r="C486" s="12"/>
      <c r="D486" s="13"/>
      <c r="F486" s="14"/>
      <c r="G486" s="14"/>
      <c r="H486" s="14"/>
      <c r="I486" s="14"/>
      <c r="J486" s="14"/>
      <c r="K486" s="12"/>
    </row>
    <row r="487" ht="19.5" customHeight="1">
      <c r="A487" s="12"/>
      <c r="C487" s="12"/>
      <c r="D487" s="13"/>
      <c r="F487" s="14"/>
      <c r="G487" s="14"/>
      <c r="H487" s="14"/>
      <c r="I487" s="14"/>
      <c r="J487" s="14"/>
      <c r="K487" s="12"/>
    </row>
    <row r="488" ht="19.5" customHeight="1">
      <c r="A488" s="12"/>
      <c r="C488" s="12"/>
      <c r="D488" s="13"/>
      <c r="F488" s="14"/>
      <c r="G488" s="14"/>
      <c r="H488" s="14"/>
      <c r="I488" s="14"/>
      <c r="J488" s="14"/>
      <c r="K488" s="12"/>
    </row>
    <row r="489" ht="19.5" customHeight="1">
      <c r="A489" s="12"/>
      <c r="C489" s="12"/>
      <c r="D489" s="13"/>
      <c r="F489" s="14"/>
      <c r="G489" s="14"/>
      <c r="H489" s="14"/>
      <c r="I489" s="14"/>
      <c r="J489" s="14"/>
      <c r="K489" s="12"/>
    </row>
    <row r="490" ht="19.5" customHeight="1">
      <c r="A490" s="12"/>
      <c r="C490" s="12"/>
      <c r="D490" s="13"/>
      <c r="F490" s="14"/>
      <c r="G490" s="14"/>
      <c r="H490" s="14"/>
      <c r="I490" s="14"/>
      <c r="J490" s="14"/>
      <c r="K490" s="12"/>
    </row>
    <row r="491" ht="19.5" customHeight="1">
      <c r="A491" s="12"/>
      <c r="C491" s="12"/>
      <c r="D491" s="13"/>
      <c r="F491" s="14"/>
      <c r="G491" s="14"/>
      <c r="H491" s="14"/>
      <c r="I491" s="14"/>
      <c r="J491" s="14"/>
      <c r="K491" s="12"/>
    </row>
    <row r="492" ht="19.5" customHeight="1">
      <c r="A492" s="12"/>
      <c r="C492" s="12"/>
      <c r="D492" s="13"/>
      <c r="F492" s="14"/>
      <c r="G492" s="14"/>
      <c r="H492" s="14"/>
      <c r="I492" s="14"/>
      <c r="J492" s="14"/>
      <c r="K492" s="12"/>
    </row>
    <row r="493" ht="19.5" customHeight="1">
      <c r="A493" s="12"/>
      <c r="C493" s="12"/>
      <c r="D493" s="13"/>
      <c r="F493" s="14"/>
      <c r="G493" s="14"/>
      <c r="H493" s="14"/>
      <c r="I493" s="14"/>
      <c r="J493" s="14"/>
      <c r="K493" s="12"/>
    </row>
    <row r="494" ht="19.5" customHeight="1">
      <c r="A494" s="12"/>
      <c r="C494" s="12"/>
      <c r="D494" s="13"/>
      <c r="F494" s="14"/>
      <c r="G494" s="14"/>
      <c r="H494" s="14"/>
      <c r="I494" s="14"/>
      <c r="J494" s="14"/>
      <c r="K494" s="12"/>
    </row>
    <row r="495" ht="19.5" customHeight="1">
      <c r="A495" s="12"/>
      <c r="C495" s="12"/>
      <c r="D495" s="13"/>
      <c r="F495" s="14"/>
      <c r="G495" s="14"/>
      <c r="H495" s="14"/>
      <c r="I495" s="14"/>
      <c r="J495" s="14"/>
      <c r="K495" s="12"/>
    </row>
    <row r="496" ht="19.5" customHeight="1">
      <c r="A496" s="12"/>
      <c r="C496" s="12"/>
      <c r="D496" s="13"/>
      <c r="F496" s="14"/>
      <c r="G496" s="14"/>
      <c r="H496" s="14"/>
      <c r="I496" s="14"/>
      <c r="J496" s="14"/>
      <c r="K496" s="12"/>
    </row>
    <row r="497" ht="19.5" customHeight="1">
      <c r="A497" s="12"/>
      <c r="C497" s="12"/>
      <c r="D497" s="13"/>
      <c r="F497" s="14"/>
      <c r="G497" s="14"/>
      <c r="H497" s="14"/>
      <c r="I497" s="14"/>
      <c r="J497" s="14"/>
      <c r="K497" s="12"/>
    </row>
    <row r="498" ht="19.5" customHeight="1">
      <c r="A498" s="12"/>
      <c r="C498" s="12"/>
      <c r="D498" s="13"/>
      <c r="F498" s="14"/>
      <c r="G498" s="14"/>
      <c r="H498" s="14"/>
      <c r="I498" s="14"/>
      <c r="J498" s="14"/>
      <c r="K498" s="12"/>
    </row>
    <row r="499" ht="19.5" customHeight="1">
      <c r="A499" s="12"/>
      <c r="C499" s="12"/>
      <c r="D499" s="13"/>
      <c r="F499" s="14"/>
      <c r="G499" s="14"/>
      <c r="H499" s="14"/>
      <c r="I499" s="14"/>
      <c r="J499" s="14"/>
      <c r="K499" s="12"/>
    </row>
    <row r="500" ht="19.5" customHeight="1">
      <c r="A500" s="12"/>
      <c r="C500" s="12"/>
      <c r="D500" s="13"/>
      <c r="F500" s="14"/>
      <c r="G500" s="14"/>
      <c r="H500" s="14"/>
      <c r="I500" s="14"/>
      <c r="J500" s="14"/>
      <c r="K500" s="12"/>
    </row>
    <row r="501" ht="19.5" customHeight="1">
      <c r="A501" s="12"/>
      <c r="C501" s="12"/>
      <c r="D501" s="13"/>
      <c r="F501" s="14"/>
      <c r="G501" s="14"/>
      <c r="H501" s="14"/>
      <c r="I501" s="14"/>
      <c r="J501" s="14"/>
      <c r="K501" s="12"/>
    </row>
    <row r="502" ht="19.5" customHeight="1">
      <c r="A502" s="12"/>
      <c r="C502" s="12"/>
      <c r="D502" s="13"/>
      <c r="F502" s="14"/>
      <c r="G502" s="14"/>
      <c r="H502" s="14"/>
      <c r="I502" s="14"/>
      <c r="J502" s="14"/>
      <c r="K502" s="12"/>
    </row>
    <row r="503" ht="19.5" customHeight="1">
      <c r="A503" s="12"/>
      <c r="C503" s="12"/>
      <c r="D503" s="13"/>
      <c r="F503" s="14"/>
      <c r="G503" s="14"/>
      <c r="H503" s="14"/>
      <c r="I503" s="14"/>
      <c r="J503" s="14"/>
      <c r="K503" s="12"/>
    </row>
    <row r="504" ht="19.5" customHeight="1">
      <c r="A504" s="12"/>
      <c r="C504" s="12"/>
      <c r="D504" s="13"/>
      <c r="F504" s="14"/>
      <c r="G504" s="14"/>
      <c r="H504" s="14"/>
      <c r="I504" s="14"/>
      <c r="J504" s="14"/>
      <c r="K504" s="12"/>
    </row>
    <row r="505" ht="19.5" customHeight="1">
      <c r="A505" s="12"/>
      <c r="C505" s="12"/>
      <c r="D505" s="13"/>
      <c r="F505" s="14"/>
      <c r="G505" s="14"/>
      <c r="H505" s="14"/>
      <c r="I505" s="14"/>
      <c r="J505" s="14"/>
      <c r="K505" s="12"/>
    </row>
    <row r="506" ht="19.5" customHeight="1">
      <c r="A506" s="12"/>
      <c r="C506" s="12"/>
      <c r="D506" s="13"/>
      <c r="F506" s="14"/>
      <c r="G506" s="14"/>
      <c r="H506" s="14"/>
      <c r="I506" s="14"/>
      <c r="J506" s="14"/>
      <c r="K506" s="12"/>
    </row>
    <row r="507" ht="19.5" customHeight="1">
      <c r="A507" s="12"/>
      <c r="C507" s="12"/>
      <c r="D507" s="13"/>
      <c r="F507" s="14"/>
      <c r="G507" s="14"/>
      <c r="H507" s="14"/>
      <c r="I507" s="14"/>
      <c r="J507" s="14"/>
      <c r="K507" s="12"/>
    </row>
    <row r="508" ht="19.5" customHeight="1">
      <c r="A508" s="12"/>
      <c r="C508" s="12"/>
      <c r="D508" s="13"/>
      <c r="F508" s="14"/>
      <c r="G508" s="14"/>
      <c r="H508" s="14"/>
      <c r="I508" s="14"/>
      <c r="J508" s="14"/>
      <c r="K508" s="12"/>
    </row>
    <row r="509" ht="19.5" customHeight="1">
      <c r="A509" s="12"/>
      <c r="C509" s="12"/>
      <c r="D509" s="13"/>
      <c r="F509" s="14"/>
      <c r="G509" s="14"/>
      <c r="H509" s="14"/>
      <c r="I509" s="14"/>
      <c r="J509" s="14"/>
      <c r="K509" s="12"/>
    </row>
    <row r="510" ht="19.5" customHeight="1">
      <c r="A510" s="12"/>
      <c r="C510" s="12"/>
      <c r="D510" s="13"/>
      <c r="F510" s="14"/>
      <c r="G510" s="14"/>
      <c r="H510" s="14"/>
      <c r="I510" s="14"/>
      <c r="J510" s="14"/>
      <c r="K510" s="12"/>
    </row>
    <row r="511" ht="19.5" customHeight="1">
      <c r="A511" s="12"/>
      <c r="C511" s="12"/>
      <c r="D511" s="13"/>
      <c r="F511" s="14"/>
      <c r="G511" s="14"/>
      <c r="H511" s="14"/>
      <c r="I511" s="14"/>
      <c r="J511" s="14"/>
      <c r="K511" s="12"/>
    </row>
    <row r="512" ht="19.5" customHeight="1">
      <c r="A512" s="12"/>
      <c r="C512" s="12"/>
      <c r="D512" s="13"/>
      <c r="F512" s="14"/>
      <c r="G512" s="14"/>
      <c r="H512" s="14"/>
      <c r="I512" s="14"/>
      <c r="J512" s="14"/>
      <c r="K512" s="12"/>
    </row>
    <row r="513" ht="19.5" customHeight="1">
      <c r="A513" s="12"/>
      <c r="C513" s="12"/>
      <c r="D513" s="13"/>
      <c r="F513" s="14"/>
      <c r="G513" s="14"/>
      <c r="H513" s="14"/>
      <c r="I513" s="14"/>
      <c r="J513" s="14"/>
      <c r="K513" s="12"/>
    </row>
    <row r="514" ht="19.5" customHeight="1">
      <c r="A514" s="12"/>
      <c r="C514" s="12"/>
      <c r="D514" s="13"/>
      <c r="F514" s="14"/>
      <c r="G514" s="14"/>
      <c r="H514" s="14"/>
      <c r="I514" s="14"/>
      <c r="J514" s="14"/>
      <c r="K514" s="12"/>
    </row>
    <row r="515" ht="19.5" customHeight="1">
      <c r="A515" s="12"/>
      <c r="C515" s="12"/>
      <c r="D515" s="13"/>
      <c r="F515" s="14"/>
      <c r="G515" s="14"/>
      <c r="H515" s="14"/>
      <c r="I515" s="14"/>
      <c r="J515" s="14"/>
      <c r="K515" s="12"/>
    </row>
    <row r="516" ht="19.5" customHeight="1">
      <c r="A516" s="12"/>
      <c r="C516" s="12"/>
      <c r="D516" s="13"/>
      <c r="F516" s="14"/>
      <c r="G516" s="14"/>
      <c r="H516" s="14"/>
      <c r="I516" s="14"/>
      <c r="J516" s="14"/>
      <c r="K516" s="12"/>
    </row>
    <row r="517" ht="19.5" customHeight="1">
      <c r="A517" s="12"/>
      <c r="C517" s="12"/>
      <c r="D517" s="13"/>
      <c r="F517" s="14"/>
      <c r="G517" s="14"/>
      <c r="H517" s="14"/>
      <c r="I517" s="14"/>
      <c r="J517" s="14"/>
      <c r="K517" s="12"/>
    </row>
    <row r="518" ht="19.5" customHeight="1">
      <c r="A518" s="12"/>
      <c r="C518" s="12"/>
      <c r="D518" s="13"/>
      <c r="F518" s="14"/>
      <c r="G518" s="14"/>
      <c r="H518" s="14"/>
      <c r="I518" s="14"/>
      <c r="J518" s="14"/>
      <c r="K518" s="12"/>
    </row>
    <row r="519" ht="19.5" customHeight="1">
      <c r="A519" s="12"/>
      <c r="C519" s="12"/>
      <c r="D519" s="13"/>
      <c r="F519" s="14"/>
      <c r="G519" s="14"/>
      <c r="H519" s="14"/>
      <c r="I519" s="14"/>
      <c r="J519" s="14"/>
      <c r="K519" s="12"/>
    </row>
    <row r="520" ht="19.5" customHeight="1">
      <c r="A520" s="12"/>
      <c r="C520" s="12"/>
      <c r="D520" s="13"/>
      <c r="F520" s="14"/>
      <c r="G520" s="14"/>
      <c r="H520" s="14"/>
      <c r="I520" s="14"/>
      <c r="J520" s="14"/>
      <c r="K520" s="12"/>
    </row>
    <row r="521" ht="19.5" customHeight="1">
      <c r="A521" s="12"/>
      <c r="C521" s="12"/>
      <c r="D521" s="13"/>
      <c r="F521" s="14"/>
      <c r="G521" s="14"/>
      <c r="H521" s="14"/>
      <c r="I521" s="14"/>
      <c r="J521" s="14"/>
      <c r="K521" s="12"/>
    </row>
    <row r="522" ht="19.5" customHeight="1">
      <c r="A522" s="12"/>
      <c r="C522" s="12"/>
      <c r="D522" s="13"/>
      <c r="F522" s="14"/>
      <c r="G522" s="14"/>
      <c r="H522" s="14"/>
      <c r="I522" s="14"/>
      <c r="J522" s="14"/>
      <c r="K522" s="12"/>
    </row>
    <row r="523" ht="19.5" customHeight="1">
      <c r="A523" s="12"/>
      <c r="C523" s="12"/>
      <c r="D523" s="13"/>
      <c r="F523" s="14"/>
      <c r="G523" s="14"/>
      <c r="H523" s="14"/>
      <c r="I523" s="14"/>
      <c r="J523" s="14"/>
      <c r="K523" s="12"/>
    </row>
    <row r="524" ht="19.5" customHeight="1">
      <c r="A524" s="12"/>
      <c r="C524" s="12"/>
      <c r="D524" s="13"/>
      <c r="F524" s="14"/>
      <c r="G524" s="14"/>
      <c r="H524" s="14"/>
      <c r="I524" s="14"/>
      <c r="J524" s="14"/>
      <c r="K524" s="12"/>
    </row>
    <row r="525" ht="19.5" customHeight="1">
      <c r="A525" s="12"/>
      <c r="C525" s="12"/>
      <c r="D525" s="13"/>
      <c r="F525" s="14"/>
      <c r="G525" s="14"/>
      <c r="H525" s="14"/>
      <c r="I525" s="14"/>
      <c r="J525" s="14"/>
      <c r="K525" s="12"/>
    </row>
    <row r="526" ht="19.5" customHeight="1">
      <c r="A526" s="12"/>
      <c r="C526" s="12"/>
      <c r="D526" s="13"/>
      <c r="F526" s="14"/>
      <c r="G526" s="14"/>
      <c r="H526" s="14"/>
      <c r="I526" s="14"/>
      <c r="J526" s="14"/>
      <c r="K526" s="12"/>
    </row>
    <row r="527" ht="19.5" customHeight="1">
      <c r="A527" s="12"/>
      <c r="C527" s="12"/>
      <c r="D527" s="13"/>
      <c r="F527" s="14"/>
      <c r="G527" s="14"/>
      <c r="H527" s="14"/>
      <c r="I527" s="14"/>
      <c r="J527" s="14"/>
      <c r="K527" s="12"/>
    </row>
    <row r="528" ht="19.5" customHeight="1">
      <c r="A528" s="12"/>
      <c r="C528" s="12"/>
      <c r="D528" s="13"/>
      <c r="F528" s="14"/>
      <c r="G528" s="14"/>
      <c r="H528" s="14"/>
      <c r="I528" s="14"/>
      <c r="J528" s="14"/>
      <c r="K528" s="12"/>
    </row>
    <row r="529" ht="19.5" customHeight="1">
      <c r="A529" s="12"/>
      <c r="C529" s="12"/>
      <c r="D529" s="13"/>
      <c r="F529" s="14"/>
      <c r="G529" s="14"/>
      <c r="H529" s="14"/>
      <c r="I529" s="14"/>
      <c r="J529" s="14"/>
      <c r="K529" s="12"/>
    </row>
    <row r="530" ht="19.5" customHeight="1">
      <c r="A530" s="12"/>
      <c r="C530" s="12"/>
      <c r="D530" s="13"/>
      <c r="F530" s="14"/>
      <c r="G530" s="14"/>
      <c r="H530" s="14"/>
      <c r="I530" s="14"/>
      <c r="J530" s="14"/>
      <c r="K530" s="12"/>
    </row>
    <row r="531" ht="19.5" customHeight="1">
      <c r="A531" s="12"/>
      <c r="C531" s="12"/>
      <c r="D531" s="13"/>
      <c r="F531" s="14"/>
      <c r="G531" s="14"/>
      <c r="H531" s="14"/>
      <c r="I531" s="14"/>
      <c r="J531" s="14"/>
      <c r="K531" s="12"/>
    </row>
    <row r="532" ht="19.5" customHeight="1">
      <c r="A532" s="12"/>
      <c r="C532" s="12"/>
      <c r="D532" s="13"/>
      <c r="F532" s="14"/>
      <c r="G532" s="14"/>
      <c r="H532" s="14"/>
      <c r="I532" s="14"/>
      <c r="J532" s="14"/>
      <c r="K532" s="12"/>
    </row>
    <row r="533" ht="19.5" customHeight="1">
      <c r="A533" s="12"/>
      <c r="C533" s="12"/>
      <c r="D533" s="13"/>
      <c r="F533" s="14"/>
      <c r="G533" s="14"/>
      <c r="H533" s="14"/>
      <c r="I533" s="14"/>
      <c r="J533" s="14"/>
      <c r="K533" s="12"/>
    </row>
    <row r="534" ht="19.5" customHeight="1">
      <c r="A534" s="12"/>
      <c r="C534" s="12"/>
      <c r="D534" s="13"/>
      <c r="F534" s="14"/>
      <c r="G534" s="14"/>
      <c r="H534" s="14"/>
      <c r="I534" s="14"/>
      <c r="J534" s="14"/>
      <c r="K534" s="12"/>
    </row>
    <row r="535" ht="19.5" customHeight="1">
      <c r="A535" s="12"/>
      <c r="C535" s="12"/>
      <c r="D535" s="13"/>
      <c r="F535" s="14"/>
      <c r="G535" s="14"/>
      <c r="H535" s="14"/>
      <c r="I535" s="14"/>
      <c r="J535" s="14"/>
      <c r="K535" s="12"/>
    </row>
    <row r="536" ht="19.5" customHeight="1">
      <c r="A536" s="12"/>
      <c r="C536" s="12"/>
      <c r="D536" s="13"/>
      <c r="F536" s="14"/>
      <c r="G536" s="14"/>
      <c r="H536" s="14"/>
      <c r="I536" s="14"/>
      <c r="J536" s="14"/>
      <c r="K536" s="12"/>
    </row>
    <row r="537" ht="19.5" customHeight="1">
      <c r="A537" s="12"/>
      <c r="C537" s="12"/>
      <c r="D537" s="13"/>
      <c r="F537" s="14"/>
      <c r="G537" s="14"/>
      <c r="H537" s="14"/>
      <c r="I537" s="14"/>
      <c r="J537" s="14"/>
      <c r="K537" s="12"/>
    </row>
    <row r="538" ht="19.5" customHeight="1">
      <c r="A538" s="12"/>
      <c r="C538" s="12"/>
      <c r="D538" s="13"/>
      <c r="F538" s="14"/>
      <c r="G538" s="14"/>
      <c r="H538" s="14"/>
      <c r="I538" s="14"/>
      <c r="J538" s="14"/>
      <c r="K538" s="12"/>
    </row>
    <row r="539" ht="19.5" customHeight="1">
      <c r="A539" s="12"/>
      <c r="C539" s="12"/>
      <c r="D539" s="13"/>
      <c r="F539" s="14"/>
      <c r="G539" s="14"/>
      <c r="H539" s="14"/>
      <c r="I539" s="14"/>
      <c r="J539" s="14"/>
      <c r="K539" s="12"/>
    </row>
    <row r="540" ht="19.5" customHeight="1">
      <c r="A540" s="12"/>
      <c r="C540" s="12"/>
      <c r="D540" s="13"/>
      <c r="F540" s="14"/>
      <c r="G540" s="14"/>
      <c r="H540" s="14"/>
      <c r="I540" s="14"/>
      <c r="J540" s="14"/>
      <c r="K540" s="12"/>
    </row>
    <row r="541" ht="19.5" customHeight="1">
      <c r="A541" s="12"/>
      <c r="C541" s="12"/>
      <c r="D541" s="13"/>
      <c r="F541" s="14"/>
      <c r="G541" s="14"/>
      <c r="H541" s="14"/>
      <c r="I541" s="14"/>
      <c r="J541" s="14"/>
      <c r="K541" s="12"/>
    </row>
    <row r="542" ht="19.5" customHeight="1">
      <c r="A542" s="12"/>
      <c r="C542" s="12"/>
      <c r="D542" s="13"/>
      <c r="F542" s="14"/>
      <c r="G542" s="14"/>
      <c r="H542" s="14"/>
      <c r="I542" s="14"/>
      <c r="J542" s="14"/>
      <c r="K542" s="12"/>
    </row>
    <row r="543" ht="19.5" customHeight="1">
      <c r="A543" s="12"/>
      <c r="C543" s="12"/>
      <c r="D543" s="13"/>
      <c r="F543" s="14"/>
      <c r="G543" s="14"/>
      <c r="H543" s="14"/>
      <c r="I543" s="14"/>
      <c r="J543" s="14"/>
      <c r="K543" s="12"/>
    </row>
    <row r="544" ht="19.5" customHeight="1">
      <c r="A544" s="12"/>
      <c r="C544" s="12"/>
      <c r="D544" s="13"/>
      <c r="F544" s="14"/>
      <c r="G544" s="14"/>
      <c r="H544" s="14"/>
      <c r="I544" s="14"/>
      <c r="J544" s="14"/>
      <c r="K544" s="12"/>
    </row>
    <row r="545" ht="19.5" customHeight="1">
      <c r="A545" s="12"/>
      <c r="C545" s="12"/>
      <c r="D545" s="13"/>
      <c r="F545" s="14"/>
      <c r="G545" s="14"/>
      <c r="H545" s="14"/>
      <c r="I545" s="14"/>
      <c r="J545" s="14"/>
      <c r="K545" s="12"/>
    </row>
    <row r="546" ht="19.5" customHeight="1">
      <c r="A546" s="12"/>
      <c r="C546" s="12"/>
      <c r="D546" s="13"/>
      <c r="F546" s="14"/>
      <c r="G546" s="14"/>
      <c r="H546" s="14"/>
      <c r="I546" s="14"/>
      <c r="J546" s="14"/>
      <c r="K546" s="12"/>
    </row>
    <row r="547" ht="19.5" customHeight="1">
      <c r="A547" s="12"/>
      <c r="C547" s="12"/>
      <c r="D547" s="13"/>
      <c r="F547" s="14"/>
      <c r="G547" s="14"/>
      <c r="H547" s="14"/>
      <c r="I547" s="14"/>
      <c r="J547" s="14"/>
      <c r="K547" s="12"/>
    </row>
    <row r="548" ht="19.5" customHeight="1">
      <c r="A548" s="12"/>
      <c r="C548" s="12"/>
      <c r="D548" s="13"/>
      <c r="F548" s="14"/>
      <c r="G548" s="14"/>
      <c r="H548" s="14"/>
      <c r="I548" s="14"/>
      <c r="J548" s="14"/>
      <c r="K548" s="12"/>
    </row>
    <row r="549" ht="19.5" customHeight="1">
      <c r="A549" s="12"/>
      <c r="C549" s="12"/>
      <c r="D549" s="13"/>
      <c r="F549" s="14"/>
      <c r="G549" s="14"/>
      <c r="H549" s="14"/>
      <c r="I549" s="14"/>
      <c r="J549" s="14"/>
      <c r="K549" s="12"/>
    </row>
    <row r="550" ht="19.5" customHeight="1">
      <c r="A550" s="12"/>
      <c r="C550" s="12"/>
      <c r="D550" s="13"/>
      <c r="F550" s="14"/>
      <c r="G550" s="14"/>
      <c r="H550" s="14"/>
      <c r="I550" s="14"/>
      <c r="J550" s="14"/>
      <c r="K550" s="12"/>
    </row>
    <row r="551" ht="19.5" customHeight="1">
      <c r="A551" s="12"/>
      <c r="C551" s="12"/>
      <c r="D551" s="13"/>
      <c r="F551" s="14"/>
      <c r="G551" s="14"/>
      <c r="H551" s="14"/>
      <c r="I551" s="14"/>
      <c r="J551" s="14"/>
      <c r="K551" s="12"/>
    </row>
    <row r="552" ht="19.5" customHeight="1">
      <c r="A552" s="12"/>
      <c r="C552" s="12"/>
      <c r="D552" s="13"/>
      <c r="F552" s="14"/>
      <c r="G552" s="14"/>
      <c r="H552" s="14"/>
      <c r="I552" s="14"/>
      <c r="J552" s="14"/>
      <c r="K552" s="12"/>
    </row>
    <row r="553" ht="19.5" customHeight="1">
      <c r="A553" s="12"/>
      <c r="C553" s="12"/>
      <c r="D553" s="13"/>
      <c r="F553" s="14"/>
      <c r="G553" s="14"/>
      <c r="H553" s="14"/>
      <c r="I553" s="14"/>
      <c r="J553" s="14"/>
      <c r="K553" s="12"/>
    </row>
    <row r="554" ht="19.5" customHeight="1">
      <c r="A554" s="12"/>
      <c r="C554" s="12"/>
      <c r="D554" s="13"/>
      <c r="F554" s="14"/>
      <c r="G554" s="14"/>
      <c r="H554" s="14"/>
      <c r="I554" s="14"/>
      <c r="J554" s="14"/>
      <c r="K554" s="12"/>
    </row>
    <row r="555" ht="19.5" customHeight="1">
      <c r="A555" s="12"/>
      <c r="C555" s="12"/>
      <c r="D555" s="13"/>
      <c r="F555" s="14"/>
      <c r="G555" s="14"/>
      <c r="H555" s="14"/>
      <c r="I555" s="14"/>
      <c r="J555" s="14"/>
      <c r="K555" s="12"/>
    </row>
    <row r="556" ht="19.5" customHeight="1">
      <c r="A556" s="12"/>
      <c r="C556" s="12"/>
      <c r="D556" s="13"/>
      <c r="F556" s="14"/>
      <c r="G556" s="14"/>
      <c r="H556" s="14"/>
      <c r="I556" s="14"/>
      <c r="J556" s="14"/>
      <c r="K556" s="12"/>
    </row>
    <row r="557" ht="19.5" customHeight="1">
      <c r="A557" s="12"/>
      <c r="C557" s="12"/>
      <c r="D557" s="13"/>
      <c r="F557" s="14"/>
      <c r="G557" s="14"/>
      <c r="H557" s="14"/>
      <c r="I557" s="14"/>
      <c r="J557" s="14"/>
      <c r="K557" s="12"/>
    </row>
    <row r="558" ht="19.5" customHeight="1">
      <c r="A558" s="12"/>
      <c r="C558" s="12"/>
      <c r="D558" s="13"/>
      <c r="F558" s="14"/>
      <c r="G558" s="14"/>
      <c r="H558" s="14"/>
      <c r="I558" s="14"/>
      <c r="J558" s="14"/>
      <c r="K558" s="12"/>
    </row>
    <row r="559" ht="19.5" customHeight="1">
      <c r="A559" s="12"/>
      <c r="C559" s="12"/>
      <c r="D559" s="13"/>
      <c r="F559" s="14"/>
      <c r="G559" s="14"/>
      <c r="H559" s="14"/>
      <c r="I559" s="14"/>
      <c r="J559" s="14"/>
      <c r="K559" s="12"/>
    </row>
    <row r="560" ht="19.5" customHeight="1">
      <c r="A560" s="12"/>
      <c r="C560" s="12"/>
      <c r="D560" s="13"/>
      <c r="F560" s="14"/>
      <c r="G560" s="14"/>
      <c r="H560" s="14"/>
      <c r="I560" s="14"/>
      <c r="J560" s="14"/>
      <c r="K560" s="12"/>
    </row>
    <row r="561" ht="19.5" customHeight="1">
      <c r="A561" s="12"/>
      <c r="C561" s="12"/>
      <c r="D561" s="13"/>
      <c r="F561" s="14"/>
      <c r="G561" s="14"/>
      <c r="H561" s="14"/>
      <c r="I561" s="14"/>
      <c r="J561" s="14"/>
      <c r="K561" s="12"/>
    </row>
    <row r="562" ht="19.5" customHeight="1">
      <c r="A562" s="12"/>
      <c r="C562" s="12"/>
      <c r="D562" s="13"/>
      <c r="F562" s="14"/>
      <c r="G562" s="14"/>
      <c r="H562" s="14"/>
      <c r="I562" s="14"/>
      <c r="J562" s="14"/>
      <c r="K562" s="12"/>
    </row>
    <row r="563" ht="19.5" customHeight="1">
      <c r="A563" s="12"/>
      <c r="C563" s="12"/>
      <c r="D563" s="13"/>
      <c r="F563" s="14"/>
      <c r="G563" s="14"/>
      <c r="H563" s="14"/>
      <c r="I563" s="14"/>
      <c r="J563" s="14"/>
      <c r="K563" s="12"/>
    </row>
    <row r="564" ht="19.5" customHeight="1">
      <c r="A564" s="12"/>
      <c r="C564" s="12"/>
      <c r="D564" s="13"/>
      <c r="F564" s="14"/>
      <c r="G564" s="14"/>
      <c r="H564" s="14"/>
      <c r="I564" s="14"/>
      <c r="J564" s="14"/>
      <c r="K564" s="12"/>
    </row>
    <row r="565" ht="19.5" customHeight="1">
      <c r="A565" s="12"/>
      <c r="C565" s="12"/>
      <c r="D565" s="13"/>
      <c r="F565" s="14"/>
      <c r="G565" s="14"/>
      <c r="H565" s="14"/>
      <c r="I565" s="14"/>
      <c r="J565" s="14"/>
      <c r="K565" s="12"/>
    </row>
    <row r="566" ht="19.5" customHeight="1">
      <c r="A566" s="12"/>
      <c r="C566" s="12"/>
      <c r="D566" s="13"/>
      <c r="F566" s="14"/>
      <c r="G566" s="14"/>
      <c r="H566" s="14"/>
      <c r="I566" s="14"/>
      <c r="J566" s="14"/>
      <c r="K566" s="12"/>
    </row>
    <row r="567" ht="19.5" customHeight="1">
      <c r="A567" s="12"/>
      <c r="C567" s="12"/>
      <c r="D567" s="13"/>
      <c r="F567" s="14"/>
      <c r="G567" s="14"/>
      <c r="H567" s="14"/>
      <c r="I567" s="14"/>
      <c r="J567" s="14"/>
      <c r="K567" s="12"/>
    </row>
    <row r="568" ht="19.5" customHeight="1">
      <c r="A568" s="12"/>
      <c r="C568" s="12"/>
      <c r="D568" s="13"/>
      <c r="F568" s="14"/>
      <c r="G568" s="14"/>
      <c r="H568" s="14"/>
      <c r="I568" s="14"/>
      <c r="J568" s="14"/>
      <c r="K568" s="12"/>
    </row>
    <row r="569" ht="19.5" customHeight="1">
      <c r="A569" s="12"/>
      <c r="C569" s="12"/>
      <c r="D569" s="13"/>
      <c r="F569" s="14"/>
      <c r="G569" s="14"/>
      <c r="H569" s="14"/>
      <c r="I569" s="14"/>
      <c r="J569" s="14"/>
      <c r="K569" s="12"/>
    </row>
    <row r="570" ht="19.5" customHeight="1">
      <c r="A570" s="12"/>
      <c r="C570" s="12"/>
      <c r="D570" s="13"/>
      <c r="F570" s="14"/>
      <c r="G570" s="14"/>
      <c r="H570" s="14"/>
      <c r="I570" s="14"/>
      <c r="J570" s="14"/>
      <c r="K570" s="12"/>
    </row>
    <row r="571" ht="19.5" customHeight="1">
      <c r="A571" s="12"/>
      <c r="C571" s="12"/>
      <c r="D571" s="13"/>
      <c r="F571" s="14"/>
      <c r="G571" s="14"/>
      <c r="H571" s="14"/>
      <c r="I571" s="14"/>
      <c r="J571" s="14"/>
      <c r="K571" s="12"/>
    </row>
    <row r="572" ht="19.5" customHeight="1">
      <c r="A572" s="12"/>
      <c r="C572" s="12"/>
      <c r="D572" s="13"/>
      <c r="F572" s="14"/>
      <c r="G572" s="14"/>
      <c r="H572" s="14"/>
      <c r="I572" s="14"/>
      <c r="J572" s="14"/>
      <c r="K572" s="12"/>
    </row>
    <row r="573" ht="19.5" customHeight="1">
      <c r="A573" s="12"/>
      <c r="C573" s="12"/>
      <c r="D573" s="13"/>
      <c r="F573" s="14"/>
      <c r="G573" s="14"/>
      <c r="H573" s="14"/>
      <c r="I573" s="14"/>
      <c r="J573" s="14"/>
      <c r="K573" s="12"/>
    </row>
    <row r="574" ht="19.5" customHeight="1">
      <c r="A574" s="12"/>
      <c r="C574" s="12"/>
      <c r="D574" s="13"/>
      <c r="F574" s="14"/>
      <c r="G574" s="14"/>
      <c r="H574" s="14"/>
      <c r="I574" s="14"/>
      <c r="J574" s="14"/>
      <c r="K574" s="12"/>
    </row>
    <row r="575" ht="19.5" customHeight="1">
      <c r="A575" s="12"/>
      <c r="C575" s="12"/>
      <c r="D575" s="13"/>
      <c r="F575" s="14"/>
      <c r="G575" s="14"/>
      <c r="H575" s="14"/>
      <c r="I575" s="14"/>
      <c r="J575" s="14"/>
      <c r="K575" s="12"/>
    </row>
    <row r="576" ht="19.5" customHeight="1">
      <c r="A576" s="12"/>
      <c r="C576" s="12"/>
      <c r="D576" s="13"/>
      <c r="F576" s="14"/>
      <c r="G576" s="14"/>
      <c r="H576" s="14"/>
      <c r="I576" s="14"/>
      <c r="J576" s="14"/>
      <c r="K576" s="12"/>
    </row>
    <row r="577" ht="19.5" customHeight="1">
      <c r="A577" s="12"/>
      <c r="C577" s="12"/>
      <c r="D577" s="13"/>
      <c r="F577" s="14"/>
      <c r="G577" s="14"/>
      <c r="H577" s="14"/>
      <c r="I577" s="14"/>
      <c r="J577" s="14"/>
      <c r="K577" s="12"/>
    </row>
    <row r="578" ht="19.5" customHeight="1">
      <c r="A578" s="12"/>
      <c r="C578" s="12"/>
      <c r="D578" s="13"/>
      <c r="F578" s="14"/>
      <c r="G578" s="14"/>
      <c r="H578" s="14"/>
      <c r="I578" s="14"/>
      <c r="J578" s="14"/>
      <c r="K578" s="12"/>
    </row>
    <row r="579" ht="19.5" customHeight="1">
      <c r="A579" s="12"/>
      <c r="C579" s="12"/>
      <c r="D579" s="13"/>
      <c r="F579" s="14"/>
      <c r="G579" s="14"/>
      <c r="H579" s="14"/>
      <c r="I579" s="14"/>
      <c r="J579" s="14"/>
      <c r="K579" s="12"/>
    </row>
    <row r="580" ht="19.5" customHeight="1">
      <c r="A580" s="12"/>
      <c r="C580" s="12"/>
      <c r="D580" s="13"/>
      <c r="F580" s="14"/>
      <c r="G580" s="14"/>
      <c r="H580" s="14"/>
      <c r="I580" s="14"/>
      <c r="J580" s="14"/>
      <c r="K580" s="12"/>
    </row>
    <row r="581" ht="19.5" customHeight="1">
      <c r="A581" s="12"/>
      <c r="C581" s="12"/>
      <c r="D581" s="13"/>
      <c r="F581" s="14"/>
      <c r="G581" s="14"/>
      <c r="H581" s="14"/>
      <c r="I581" s="14"/>
      <c r="J581" s="14"/>
      <c r="K581" s="12"/>
    </row>
    <row r="582" ht="19.5" customHeight="1">
      <c r="A582" s="12"/>
      <c r="C582" s="12"/>
      <c r="D582" s="13"/>
      <c r="F582" s="14"/>
      <c r="G582" s="14"/>
      <c r="H582" s="14"/>
      <c r="I582" s="14"/>
      <c r="J582" s="14"/>
      <c r="K582" s="12"/>
    </row>
    <row r="583" ht="19.5" customHeight="1">
      <c r="A583" s="12"/>
      <c r="C583" s="12"/>
      <c r="D583" s="13"/>
      <c r="F583" s="14"/>
      <c r="G583" s="14"/>
      <c r="H583" s="14"/>
      <c r="I583" s="14"/>
      <c r="J583" s="14"/>
      <c r="K583" s="12"/>
    </row>
    <row r="584" ht="19.5" customHeight="1">
      <c r="A584" s="12"/>
      <c r="C584" s="12"/>
      <c r="D584" s="13"/>
      <c r="F584" s="14"/>
      <c r="G584" s="14"/>
      <c r="H584" s="14"/>
      <c r="I584" s="14"/>
      <c r="J584" s="14"/>
      <c r="K584" s="12"/>
    </row>
    <row r="585" ht="19.5" customHeight="1">
      <c r="A585" s="12"/>
      <c r="C585" s="12"/>
      <c r="D585" s="13"/>
      <c r="F585" s="14"/>
      <c r="G585" s="14"/>
      <c r="H585" s="14"/>
      <c r="I585" s="14"/>
      <c r="J585" s="14"/>
      <c r="K585" s="12"/>
    </row>
    <row r="586" ht="19.5" customHeight="1">
      <c r="A586" s="12"/>
      <c r="C586" s="12"/>
      <c r="D586" s="13"/>
      <c r="F586" s="14"/>
      <c r="G586" s="14"/>
      <c r="H586" s="14"/>
      <c r="I586" s="14"/>
      <c r="J586" s="14"/>
      <c r="K586" s="12"/>
    </row>
    <row r="587" ht="19.5" customHeight="1">
      <c r="A587" s="12"/>
      <c r="C587" s="12"/>
      <c r="D587" s="13"/>
      <c r="F587" s="14"/>
      <c r="G587" s="14"/>
      <c r="H587" s="14"/>
      <c r="I587" s="14"/>
      <c r="J587" s="14"/>
      <c r="K587" s="12"/>
    </row>
    <row r="588" ht="19.5" customHeight="1">
      <c r="A588" s="12"/>
      <c r="C588" s="12"/>
      <c r="D588" s="13"/>
      <c r="F588" s="14"/>
      <c r="G588" s="14"/>
      <c r="H588" s="14"/>
      <c r="I588" s="14"/>
      <c r="J588" s="14"/>
      <c r="K588" s="12"/>
    </row>
    <row r="589" ht="19.5" customHeight="1">
      <c r="A589" s="12"/>
      <c r="C589" s="12"/>
      <c r="D589" s="13"/>
      <c r="F589" s="14"/>
      <c r="G589" s="14"/>
      <c r="H589" s="14"/>
      <c r="I589" s="14"/>
      <c r="J589" s="14"/>
      <c r="K589" s="12"/>
    </row>
    <row r="590" ht="19.5" customHeight="1">
      <c r="A590" s="12"/>
      <c r="C590" s="12"/>
      <c r="D590" s="13"/>
      <c r="F590" s="14"/>
      <c r="G590" s="14"/>
      <c r="H590" s="14"/>
      <c r="I590" s="14"/>
      <c r="J590" s="14"/>
      <c r="K590" s="12"/>
    </row>
    <row r="591" ht="19.5" customHeight="1">
      <c r="A591" s="12"/>
      <c r="C591" s="12"/>
      <c r="D591" s="13"/>
      <c r="F591" s="14"/>
      <c r="G591" s="14"/>
      <c r="H591" s="14"/>
      <c r="I591" s="14"/>
      <c r="J591" s="14"/>
      <c r="K591" s="12"/>
    </row>
    <row r="592" ht="19.5" customHeight="1">
      <c r="A592" s="12"/>
      <c r="C592" s="12"/>
      <c r="D592" s="13"/>
      <c r="F592" s="14"/>
      <c r="G592" s="14"/>
      <c r="H592" s="14"/>
      <c r="I592" s="14"/>
      <c r="J592" s="14"/>
      <c r="K592" s="12"/>
    </row>
    <row r="593" ht="19.5" customHeight="1">
      <c r="A593" s="12"/>
      <c r="C593" s="12"/>
      <c r="D593" s="13"/>
      <c r="F593" s="14"/>
      <c r="G593" s="14"/>
      <c r="H593" s="14"/>
      <c r="I593" s="14"/>
      <c r="J593" s="14"/>
      <c r="K593" s="12"/>
    </row>
    <row r="594" ht="19.5" customHeight="1">
      <c r="A594" s="12"/>
      <c r="C594" s="12"/>
      <c r="D594" s="13"/>
      <c r="F594" s="14"/>
      <c r="G594" s="14"/>
      <c r="H594" s="14"/>
      <c r="I594" s="14"/>
      <c r="J594" s="14"/>
      <c r="K594" s="12"/>
    </row>
    <row r="595" ht="19.5" customHeight="1">
      <c r="A595" s="12"/>
      <c r="C595" s="12"/>
      <c r="D595" s="13"/>
      <c r="F595" s="14"/>
      <c r="G595" s="14"/>
      <c r="H595" s="14"/>
      <c r="I595" s="14"/>
      <c r="J595" s="14"/>
      <c r="K595" s="12"/>
    </row>
    <row r="596" ht="19.5" customHeight="1">
      <c r="A596" s="12"/>
      <c r="C596" s="12"/>
      <c r="D596" s="13"/>
      <c r="F596" s="14"/>
      <c r="G596" s="14"/>
      <c r="H596" s="14"/>
      <c r="I596" s="14"/>
      <c r="J596" s="14"/>
      <c r="K596" s="12"/>
    </row>
    <row r="597" ht="19.5" customHeight="1">
      <c r="A597" s="12"/>
      <c r="C597" s="12"/>
      <c r="D597" s="13"/>
      <c r="F597" s="14"/>
      <c r="G597" s="14"/>
      <c r="H597" s="14"/>
      <c r="I597" s="14"/>
      <c r="J597" s="14"/>
      <c r="K597" s="12"/>
    </row>
    <row r="598" ht="19.5" customHeight="1">
      <c r="A598" s="12"/>
      <c r="C598" s="12"/>
      <c r="D598" s="13"/>
      <c r="F598" s="14"/>
      <c r="G598" s="14"/>
      <c r="H598" s="14"/>
      <c r="I598" s="14"/>
      <c r="J598" s="14"/>
      <c r="K598" s="12"/>
    </row>
    <row r="599" ht="19.5" customHeight="1">
      <c r="A599" s="12"/>
      <c r="C599" s="12"/>
      <c r="D599" s="13"/>
      <c r="F599" s="14"/>
      <c r="G599" s="14"/>
      <c r="H599" s="14"/>
      <c r="I599" s="14"/>
      <c r="J599" s="14"/>
      <c r="K599" s="12"/>
    </row>
    <row r="600" ht="19.5" customHeight="1">
      <c r="A600" s="12"/>
      <c r="C600" s="12"/>
      <c r="D600" s="13"/>
      <c r="F600" s="14"/>
      <c r="G600" s="14"/>
      <c r="H600" s="14"/>
      <c r="I600" s="14"/>
      <c r="J600" s="14"/>
      <c r="K600" s="12"/>
    </row>
    <row r="601" ht="19.5" customHeight="1">
      <c r="A601" s="12"/>
      <c r="C601" s="12"/>
      <c r="D601" s="13"/>
      <c r="F601" s="14"/>
      <c r="G601" s="14"/>
      <c r="H601" s="14"/>
      <c r="I601" s="14"/>
      <c r="J601" s="14"/>
      <c r="K601" s="12"/>
    </row>
    <row r="602" ht="19.5" customHeight="1">
      <c r="A602" s="12"/>
      <c r="C602" s="12"/>
      <c r="D602" s="13"/>
      <c r="F602" s="14"/>
      <c r="G602" s="14"/>
      <c r="H602" s="14"/>
      <c r="I602" s="14"/>
      <c r="J602" s="14"/>
      <c r="K602" s="12"/>
    </row>
    <row r="603" ht="19.5" customHeight="1">
      <c r="A603" s="12"/>
      <c r="C603" s="12"/>
      <c r="D603" s="13"/>
      <c r="F603" s="14"/>
      <c r="G603" s="14"/>
      <c r="H603" s="14"/>
      <c r="I603" s="14"/>
      <c r="J603" s="14"/>
      <c r="K603" s="12"/>
    </row>
    <row r="604" ht="19.5" customHeight="1">
      <c r="A604" s="12"/>
      <c r="C604" s="12"/>
      <c r="D604" s="13"/>
      <c r="F604" s="14"/>
      <c r="G604" s="14"/>
      <c r="H604" s="14"/>
      <c r="I604" s="14"/>
      <c r="J604" s="14"/>
      <c r="K604" s="12"/>
    </row>
    <row r="605" ht="19.5" customHeight="1">
      <c r="A605" s="12"/>
      <c r="C605" s="12"/>
      <c r="D605" s="13"/>
      <c r="F605" s="14"/>
      <c r="G605" s="14"/>
      <c r="H605" s="14"/>
      <c r="I605" s="14"/>
      <c r="J605" s="14"/>
      <c r="K605" s="12"/>
    </row>
    <row r="606" ht="19.5" customHeight="1">
      <c r="A606" s="12"/>
      <c r="C606" s="12"/>
      <c r="D606" s="13"/>
      <c r="F606" s="14"/>
      <c r="G606" s="14"/>
      <c r="H606" s="14"/>
      <c r="I606" s="14"/>
      <c r="J606" s="14"/>
      <c r="K606" s="12"/>
    </row>
    <row r="607" ht="19.5" customHeight="1">
      <c r="A607" s="12"/>
      <c r="C607" s="12"/>
      <c r="D607" s="13"/>
      <c r="F607" s="14"/>
      <c r="G607" s="14"/>
      <c r="H607" s="14"/>
      <c r="I607" s="14"/>
      <c r="J607" s="14"/>
      <c r="K607" s="12"/>
    </row>
    <row r="608" ht="19.5" customHeight="1">
      <c r="A608" s="12"/>
      <c r="C608" s="12"/>
      <c r="D608" s="13"/>
      <c r="F608" s="14"/>
      <c r="G608" s="14"/>
      <c r="H608" s="14"/>
      <c r="I608" s="14"/>
      <c r="J608" s="14"/>
      <c r="K608" s="12"/>
    </row>
    <row r="609" ht="19.5" customHeight="1">
      <c r="A609" s="12"/>
      <c r="C609" s="12"/>
      <c r="D609" s="13"/>
      <c r="F609" s="14"/>
      <c r="G609" s="14"/>
      <c r="H609" s="14"/>
      <c r="I609" s="14"/>
      <c r="J609" s="14"/>
      <c r="K609" s="12"/>
    </row>
    <row r="610" ht="19.5" customHeight="1">
      <c r="A610" s="12"/>
      <c r="C610" s="12"/>
      <c r="D610" s="13"/>
      <c r="F610" s="14"/>
      <c r="G610" s="14"/>
      <c r="H610" s="14"/>
      <c r="I610" s="14"/>
      <c r="J610" s="14"/>
      <c r="K610" s="12"/>
    </row>
    <row r="611" ht="19.5" customHeight="1">
      <c r="A611" s="12"/>
      <c r="C611" s="12"/>
      <c r="D611" s="13"/>
      <c r="F611" s="14"/>
      <c r="G611" s="14"/>
      <c r="H611" s="14"/>
      <c r="I611" s="14"/>
      <c r="J611" s="14"/>
      <c r="K611" s="12"/>
    </row>
    <row r="612" ht="19.5" customHeight="1">
      <c r="A612" s="12"/>
      <c r="C612" s="12"/>
      <c r="D612" s="13"/>
      <c r="F612" s="14"/>
      <c r="G612" s="14"/>
      <c r="H612" s="14"/>
      <c r="I612" s="14"/>
      <c r="J612" s="14"/>
      <c r="K612" s="12"/>
    </row>
    <row r="613" ht="19.5" customHeight="1">
      <c r="A613" s="12"/>
      <c r="C613" s="12"/>
      <c r="D613" s="13"/>
      <c r="F613" s="14"/>
      <c r="G613" s="14"/>
      <c r="H613" s="14"/>
      <c r="I613" s="14"/>
      <c r="J613" s="14"/>
      <c r="K613" s="12"/>
    </row>
    <row r="614" ht="19.5" customHeight="1">
      <c r="A614" s="12"/>
      <c r="C614" s="12"/>
      <c r="D614" s="13"/>
      <c r="F614" s="14"/>
      <c r="G614" s="14"/>
      <c r="H614" s="14"/>
      <c r="I614" s="14"/>
      <c r="J614" s="14"/>
      <c r="K614" s="12"/>
    </row>
    <row r="615" ht="19.5" customHeight="1">
      <c r="A615" s="12"/>
      <c r="C615" s="12"/>
      <c r="D615" s="13"/>
      <c r="F615" s="14"/>
      <c r="G615" s="14"/>
      <c r="H615" s="14"/>
      <c r="I615" s="14"/>
      <c r="J615" s="14"/>
      <c r="K615" s="12"/>
    </row>
    <row r="616" ht="19.5" customHeight="1">
      <c r="A616" s="12"/>
      <c r="C616" s="12"/>
      <c r="D616" s="13"/>
      <c r="F616" s="14"/>
      <c r="G616" s="14"/>
      <c r="H616" s="14"/>
      <c r="I616" s="14"/>
      <c r="J616" s="14"/>
      <c r="K616" s="12"/>
    </row>
    <row r="617" ht="19.5" customHeight="1">
      <c r="A617" s="12"/>
      <c r="C617" s="12"/>
      <c r="D617" s="13"/>
      <c r="F617" s="14"/>
      <c r="G617" s="14"/>
      <c r="H617" s="14"/>
      <c r="I617" s="14"/>
      <c r="J617" s="14"/>
      <c r="K617" s="12"/>
    </row>
    <row r="618" ht="19.5" customHeight="1">
      <c r="A618" s="12"/>
      <c r="C618" s="12"/>
      <c r="D618" s="13"/>
      <c r="F618" s="14"/>
      <c r="G618" s="14"/>
      <c r="H618" s="14"/>
      <c r="I618" s="14"/>
      <c r="J618" s="14"/>
      <c r="K618" s="12"/>
    </row>
    <row r="619" ht="19.5" customHeight="1">
      <c r="A619" s="12"/>
      <c r="C619" s="12"/>
      <c r="D619" s="13"/>
      <c r="F619" s="14"/>
      <c r="G619" s="14"/>
      <c r="H619" s="14"/>
      <c r="I619" s="14"/>
      <c r="J619" s="14"/>
      <c r="K619" s="12"/>
    </row>
    <row r="620" ht="19.5" customHeight="1">
      <c r="A620" s="12"/>
      <c r="C620" s="12"/>
      <c r="D620" s="13"/>
      <c r="F620" s="14"/>
      <c r="G620" s="14"/>
      <c r="H620" s="14"/>
      <c r="I620" s="14"/>
      <c r="J620" s="14"/>
      <c r="K620" s="12"/>
    </row>
    <row r="621" ht="19.5" customHeight="1">
      <c r="A621" s="12"/>
      <c r="C621" s="12"/>
      <c r="D621" s="13"/>
      <c r="F621" s="14"/>
      <c r="G621" s="14"/>
      <c r="H621" s="14"/>
      <c r="I621" s="14"/>
      <c r="J621" s="14"/>
      <c r="K621" s="12"/>
    </row>
    <row r="622" ht="19.5" customHeight="1">
      <c r="A622" s="12"/>
      <c r="C622" s="12"/>
      <c r="D622" s="13"/>
      <c r="F622" s="14"/>
      <c r="G622" s="14"/>
      <c r="H622" s="14"/>
      <c r="I622" s="14"/>
      <c r="J622" s="14"/>
      <c r="K622" s="12"/>
    </row>
    <row r="623" ht="19.5" customHeight="1">
      <c r="A623" s="12"/>
      <c r="C623" s="12"/>
      <c r="D623" s="13"/>
      <c r="F623" s="14"/>
      <c r="G623" s="14"/>
      <c r="H623" s="14"/>
      <c r="I623" s="14"/>
      <c r="J623" s="14"/>
      <c r="K623" s="12"/>
    </row>
    <row r="624" ht="19.5" customHeight="1">
      <c r="A624" s="12"/>
      <c r="C624" s="12"/>
      <c r="D624" s="13"/>
      <c r="F624" s="14"/>
      <c r="G624" s="14"/>
      <c r="H624" s="14"/>
      <c r="I624" s="14"/>
      <c r="J624" s="14"/>
      <c r="K624" s="12"/>
    </row>
    <row r="625" ht="19.5" customHeight="1">
      <c r="A625" s="12"/>
      <c r="C625" s="12"/>
      <c r="D625" s="13"/>
      <c r="F625" s="14"/>
      <c r="G625" s="14"/>
      <c r="H625" s="14"/>
      <c r="I625" s="14"/>
      <c r="J625" s="14"/>
      <c r="K625" s="12"/>
    </row>
    <row r="626" ht="19.5" customHeight="1">
      <c r="A626" s="12"/>
      <c r="C626" s="12"/>
      <c r="D626" s="13"/>
      <c r="F626" s="14"/>
      <c r="G626" s="14"/>
      <c r="H626" s="14"/>
      <c r="I626" s="14"/>
      <c r="J626" s="14"/>
      <c r="K626" s="12"/>
    </row>
    <row r="627" ht="19.5" customHeight="1">
      <c r="A627" s="12"/>
      <c r="C627" s="12"/>
      <c r="D627" s="13"/>
      <c r="F627" s="14"/>
      <c r="G627" s="14"/>
      <c r="H627" s="14"/>
      <c r="I627" s="14"/>
      <c r="J627" s="14"/>
      <c r="K627" s="12"/>
    </row>
    <row r="628" ht="19.5" customHeight="1">
      <c r="A628" s="12"/>
      <c r="C628" s="12"/>
      <c r="D628" s="13"/>
      <c r="F628" s="14"/>
      <c r="G628" s="14"/>
      <c r="H628" s="14"/>
      <c r="I628" s="14"/>
      <c r="J628" s="14"/>
      <c r="K628" s="12"/>
    </row>
    <row r="629" ht="19.5" customHeight="1">
      <c r="A629" s="12"/>
      <c r="C629" s="12"/>
      <c r="D629" s="13"/>
      <c r="F629" s="14"/>
      <c r="G629" s="14"/>
      <c r="H629" s="14"/>
      <c r="I629" s="14"/>
      <c r="J629" s="14"/>
      <c r="K629" s="12"/>
    </row>
    <row r="630" ht="19.5" customHeight="1">
      <c r="A630" s="12"/>
      <c r="C630" s="12"/>
      <c r="D630" s="13"/>
      <c r="F630" s="14"/>
      <c r="G630" s="14"/>
      <c r="H630" s="14"/>
      <c r="I630" s="14"/>
      <c r="J630" s="14"/>
      <c r="K630" s="12"/>
    </row>
    <row r="631" ht="19.5" customHeight="1">
      <c r="A631" s="12"/>
      <c r="C631" s="12"/>
      <c r="D631" s="13"/>
      <c r="F631" s="14"/>
      <c r="G631" s="14"/>
      <c r="H631" s="14"/>
      <c r="I631" s="14"/>
      <c r="J631" s="14"/>
      <c r="K631" s="12"/>
    </row>
    <row r="632" ht="19.5" customHeight="1">
      <c r="A632" s="12"/>
      <c r="C632" s="12"/>
      <c r="D632" s="13"/>
      <c r="F632" s="14"/>
      <c r="G632" s="14"/>
      <c r="H632" s="14"/>
      <c r="I632" s="14"/>
      <c r="J632" s="14"/>
      <c r="K632" s="12"/>
    </row>
    <row r="633" ht="19.5" customHeight="1">
      <c r="A633" s="12"/>
      <c r="C633" s="12"/>
      <c r="D633" s="13"/>
      <c r="F633" s="14"/>
      <c r="G633" s="14"/>
      <c r="H633" s="14"/>
      <c r="I633" s="14"/>
      <c r="J633" s="14"/>
      <c r="K633" s="12"/>
    </row>
    <row r="634" ht="19.5" customHeight="1">
      <c r="A634" s="12"/>
      <c r="C634" s="12"/>
      <c r="D634" s="13"/>
      <c r="F634" s="14"/>
      <c r="G634" s="14"/>
      <c r="H634" s="14"/>
      <c r="I634" s="14"/>
      <c r="J634" s="14"/>
      <c r="K634" s="12"/>
    </row>
    <row r="635" ht="19.5" customHeight="1">
      <c r="A635" s="12"/>
      <c r="C635" s="12"/>
      <c r="D635" s="13"/>
      <c r="F635" s="14"/>
      <c r="G635" s="14"/>
      <c r="H635" s="14"/>
      <c r="I635" s="14"/>
      <c r="J635" s="14"/>
      <c r="K635" s="12"/>
    </row>
    <row r="636" ht="19.5" customHeight="1">
      <c r="A636" s="12"/>
      <c r="C636" s="12"/>
      <c r="D636" s="13"/>
      <c r="F636" s="14"/>
      <c r="G636" s="14"/>
      <c r="H636" s="14"/>
      <c r="I636" s="14"/>
      <c r="J636" s="14"/>
      <c r="K636" s="12"/>
    </row>
    <row r="637" ht="19.5" customHeight="1">
      <c r="A637" s="12"/>
      <c r="C637" s="12"/>
      <c r="D637" s="13"/>
      <c r="F637" s="14"/>
      <c r="G637" s="14"/>
      <c r="H637" s="14"/>
      <c r="I637" s="14"/>
      <c r="J637" s="14"/>
      <c r="K637" s="12"/>
    </row>
    <row r="638" ht="19.5" customHeight="1">
      <c r="A638" s="12"/>
      <c r="C638" s="12"/>
      <c r="D638" s="13"/>
      <c r="F638" s="14"/>
      <c r="G638" s="14"/>
      <c r="H638" s="14"/>
      <c r="I638" s="14"/>
      <c r="J638" s="14"/>
      <c r="K638" s="12"/>
    </row>
    <row r="639" ht="19.5" customHeight="1">
      <c r="A639" s="12"/>
      <c r="C639" s="12"/>
      <c r="D639" s="13"/>
      <c r="F639" s="14"/>
      <c r="G639" s="14"/>
      <c r="H639" s="14"/>
      <c r="I639" s="14"/>
      <c r="J639" s="14"/>
      <c r="K639" s="12"/>
    </row>
    <row r="640" ht="19.5" customHeight="1">
      <c r="A640" s="12"/>
      <c r="C640" s="12"/>
      <c r="D640" s="13"/>
      <c r="F640" s="14"/>
      <c r="G640" s="14"/>
      <c r="H640" s="14"/>
      <c r="I640" s="14"/>
      <c r="J640" s="14"/>
      <c r="K640" s="12"/>
    </row>
    <row r="641" ht="19.5" customHeight="1">
      <c r="A641" s="12"/>
      <c r="C641" s="12"/>
      <c r="D641" s="13"/>
      <c r="F641" s="14"/>
      <c r="G641" s="14"/>
      <c r="H641" s="14"/>
      <c r="I641" s="14"/>
      <c r="J641" s="14"/>
      <c r="K641" s="12"/>
    </row>
    <row r="642" ht="19.5" customHeight="1">
      <c r="A642" s="12"/>
      <c r="C642" s="12"/>
      <c r="D642" s="13"/>
      <c r="F642" s="14"/>
      <c r="G642" s="14"/>
      <c r="H642" s="14"/>
      <c r="I642" s="14"/>
      <c r="J642" s="14"/>
      <c r="K642" s="12"/>
    </row>
    <row r="643" ht="19.5" customHeight="1">
      <c r="A643" s="12"/>
      <c r="C643" s="12"/>
      <c r="D643" s="13"/>
      <c r="F643" s="14"/>
      <c r="G643" s="14"/>
      <c r="H643" s="14"/>
      <c r="I643" s="14"/>
      <c r="J643" s="14"/>
      <c r="K643" s="12"/>
    </row>
    <row r="644" ht="19.5" customHeight="1">
      <c r="A644" s="12"/>
      <c r="C644" s="12"/>
      <c r="D644" s="13"/>
      <c r="F644" s="14"/>
      <c r="G644" s="14"/>
      <c r="H644" s="14"/>
      <c r="I644" s="14"/>
      <c r="J644" s="14"/>
      <c r="K644" s="12"/>
    </row>
    <row r="645" ht="19.5" customHeight="1">
      <c r="A645" s="12"/>
      <c r="C645" s="12"/>
      <c r="D645" s="13"/>
      <c r="F645" s="14"/>
      <c r="G645" s="14"/>
      <c r="H645" s="14"/>
      <c r="I645" s="14"/>
      <c r="J645" s="14"/>
      <c r="K645" s="12"/>
    </row>
    <row r="646" ht="19.5" customHeight="1">
      <c r="A646" s="12"/>
      <c r="C646" s="12"/>
      <c r="D646" s="13"/>
      <c r="F646" s="14"/>
      <c r="G646" s="14"/>
      <c r="H646" s="14"/>
      <c r="I646" s="14"/>
      <c r="J646" s="14"/>
      <c r="K646" s="12"/>
    </row>
    <row r="647" ht="19.5" customHeight="1">
      <c r="A647" s="12"/>
      <c r="C647" s="12"/>
      <c r="D647" s="13"/>
      <c r="F647" s="14"/>
      <c r="G647" s="14"/>
      <c r="H647" s="14"/>
      <c r="I647" s="14"/>
      <c r="J647" s="14"/>
      <c r="K647" s="12"/>
    </row>
    <row r="648" ht="19.5" customHeight="1">
      <c r="A648" s="12"/>
      <c r="C648" s="12"/>
      <c r="D648" s="13"/>
      <c r="F648" s="14"/>
      <c r="G648" s="14"/>
      <c r="H648" s="14"/>
      <c r="I648" s="14"/>
      <c r="J648" s="14"/>
      <c r="K648" s="12"/>
    </row>
    <row r="649" ht="19.5" customHeight="1">
      <c r="A649" s="12"/>
      <c r="C649" s="12"/>
      <c r="D649" s="13"/>
      <c r="F649" s="14"/>
      <c r="G649" s="14"/>
      <c r="H649" s="14"/>
      <c r="I649" s="14"/>
      <c r="J649" s="14"/>
      <c r="K649" s="12"/>
    </row>
    <row r="650" ht="19.5" customHeight="1">
      <c r="A650" s="12"/>
      <c r="C650" s="12"/>
      <c r="D650" s="13"/>
      <c r="F650" s="14"/>
      <c r="G650" s="14"/>
      <c r="H650" s="14"/>
      <c r="I650" s="14"/>
      <c r="J650" s="14"/>
      <c r="K650" s="12"/>
    </row>
    <row r="651" ht="19.5" customHeight="1">
      <c r="A651" s="12"/>
      <c r="C651" s="12"/>
      <c r="D651" s="13"/>
      <c r="F651" s="14"/>
      <c r="G651" s="14"/>
      <c r="H651" s="14"/>
      <c r="I651" s="14"/>
      <c r="J651" s="14"/>
      <c r="K651" s="12"/>
    </row>
    <row r="652" ht="19.5" customHeight="1">
      <c r="A652" s="12"/>
      <c r="C652" s="12"/>
      <c r="D652" s="13"/>
      <c r="F652" s="14"/>
      <c r="G652" s="14"/>
      <c r="H652" s="14"/>
      <c r="I652" s="14"/>
      <c r="J652" s="14"/>
      <c r="K652" s="12"/>
    </row>
    <row r="653" ht="19.5" customHeight="1">
      <c r="A653" s="12"/>
      <c r="C653" s="12"/>
      <c r="D653" s="13"/>
      <c r="F653" s="14"/>
      <c r="G653" s="14"/>
      <c r="H653" s="14"/>
      <c r="I653" s="14"/>
      <c r="J653" s="14"/>
      <c r="K653" s="12"/>
    </row>
    <row r="654" ht="19.5" customHeight="1">
      <c r="A654" s="12"/>
      <c r="C654" s="12"/>
      <c r="D654" s="13"/>
      <c r="F654" s="14"/>
      <c r="G654" s="14"/>
      <c r="H654" s="14"/>
      <c r="I654" s="14"/>
      <c r="J654" s="14"/>
      <c r="K654" s="12"/>
    </row>
    <row r="655" ht="19.5" customHeight="1">
      <c r="A655" s="12"/>
      <c r="C655" s="12"/>
      <c r="D655" s="13"/>
      <c r="F655" s="14"/>
      <c r="G655" s="14"/>
      <c r="H655" s="14"/>
      <c r="I655" s="14"/>
      <c r="J655" s="14"/>
      <c r="K655" s="12"/>
    </row>
    <row r="656" ht="19.5" customHeight="1">
      <c r="A656" s="12"/>
      <c r="C656" s="12"/>
      <c r="D656" s="13"/>
      <c r="F656" s="14"/>
      <c r="G656" s="14"/>
      <c r="H656" s="14"/>
      <c r="I656" s="14"/>
      <c r="J656" s="14"/>
      <c r="K656" s="12"/>
    </row>
    <row r="657" ht="19.5" customHeight="1">
      <c r="A657" s="12"/>
      <c r="C657" s="12"/>
      <c r="D657" s="13"/>
      <c r="F657" s="14"/>
      <c r="G657" s="14"/>
      <c r="H657" s="14"/>
      <c r="I657" s="14"/>
      <c r="J657" s="14"/>
      <c r="K657" s="12"/>
    </row>
    <row r="658" ht="19.5" customHeight="1">
      <c r="A658" s="12"/>
      <c r="C658" s="12"/>
      <c r="D658" s="13"/>
      <c r="F658" s="14"/>
      <c r="G658" s="14"/>
      <c r="H658" s="14"/>
      <c r="I658" s="14"/>
      <c r="J658" s="14"/>
      <c r="K658" s="12"/>
    </row>
    <row r="659" ht="19.5" customHeight="1">
      <c r="A659" s="12"/>
      <c r="C659" s="12"/>
      <c r="D659" s="13"/>
      <c r="F659" s="14"/>
      <c r="G659" s="14"/>
      <c r="H659" s="14"/>
      <c r="I659" s="14"/>
      <c r="J659" s="14"/>
      <c r="K659" s="12"/>
    </row>
    <row r="660" ht="19.5" customHeight="1">
      <c r="A660" s="12"/>
      <c r="C660" s="12"/>
      <c r="D660" s="13"/>
      <c r="F660" s="14"/>
      <c r="G660" s="14"/>
      <c r="H660" s="14"/>
      <c r="I660" s="14"/>
      <c r="J660" s="14"/>
      <c r="K660" s="12"/>
    </row>
    <row r="661" ht="19.5" customHeight="1">
      <c r="A661" s="12"/>
      <c r="C661" s="12"/>
      <c r="D661" s="13"/>
      <c r="F661" s="14"/>
      <c r="G661" s="14"/>
      <c r="H661" s="14"/>
      <c r="I661" s="14"/>
      <c r="J661" s="14"/>
      <c r="K661" s="12"/>
    </row>
    <row r="662" ht="19.5" customHeight="1">
      <c r="A662" s="12"/>
      <c r="C662" s="12"/>
      <c r="D662" s="13"/>
      <c r="F662" s="14"/>
      <c r="G662" s="14"/>
      <c r="H662" s="14"/>
      <c r="I662" s="14"/>
      <c r="J662" s="14"/>
      <c r="K662" s="12"/>
    </row>
    <row r="663" ht="19.5" customHeight="1">
      <c r="A663" s="12"/>
      <c r="C663" s="12"/>
      <c r="D663" s="13"/>
      <c r="F663" s="14"/>
      <c r="G663" s="14"/>
      <c r="H663" s="14"/>
      <c r="I663" s="14"/>
      <c r="J663" s="14"/>
      <c r="K663" s="12"/>
    </row>
    <row r="664" ht="19.5" customHeight="1">
      <c r="A664" s="12"/>
      <c r="C664" s="12"/>
      <c r="D664" s="13"/>
      <c r="F664" s="14"/>
      <c r="G664" s="14"/>
      <c r="H664" s="14"/>
      <c r="I664" s="14"/>
      <c r="J664" s="14"/>
      <c r="K664" s="12"/>
    </row>
    <row r="665" ht="19.5" customHeight="1">
      <c r="A665" s="12"/>
      <c r="C665" s="12"/>
      <c r="D665" s="13"/>
      <c r="F665" s="14"/>
      <c r="G665" s="14"/>
      <c r="H665" s="14"/>
      <c r="I665" s="14"/>
      <c r="J665" s="14"/>
      <c r="K665" s="12"/>
    </row>
    <row r="666" ht="19.5" customHeight="1">
      <c r="A666" s="12"/>
      <c r="C666" s="12"/>
      <c r="D666" s="13"/>
      <c r="F666" s="14"/>
      <c r="G666" s="14"/>
      <c r="H666" s="14"/>
      <c r="I666" s="14"/>
      <c r="J666" s="14"/>
      <c r="K666" s="12"/>
    </row>
    <row r="667" ht="19.5" customHeight="1">
      <c r="A667" s="12"/>
      <c r="C667" s="12"/>
      <c r="D667" s="13"/>
      <c r="F667" s="14"/>
      <c r="G667" s="14"/>
      <c r="H667" s="14"/>
      <c r="I667" s="14"/>
      <c r="J667" s="14"/>
      <c r="K667" s="12"/>
    </row>
    <row r="668" ht="19.5" customHeight="1">
      <c r="A668" s="12"/>
      <c r="C668" s="12"/>
      <c r="D668" s="13"/>
      <c r="F668" s="14"/>
      <c r="G668" s="14"/>
      <c r="H668" s="14"/>
      <c r="I668" s="14"/>
      <c r="J668" s="14"/>
      <c r="K668" s="12"/>
    </row>
    <row r="669" ht="19.5" customHeight="1">
      <c r="A669" s="12"/>
      <c r="C669" s="12"/>
      <c r="D669" s="13"/>
      <c r="F669" s="14"/>
      <c r="G669" s="14"/>
      <c r="H669" s="14"/>
      <c r="I669" s="14"/>
      <c r="J669" s="14"/>
      <c r="K669" s="12"/>
    </row>
    <row r="670" ht="19.5" customHeight="1">
      <c r="A670" s="12"/>
      <c r="C670" s="12"/>
      <c r="D670" s="13"/>
      <c r="F670" s="14"/>
      <c r="G670" s="14"/>
      <c r="H670" s="14"/>
      <c r="I670" s="14"/>
      <c r="J670" s="14"/>
      <c r="K670" s="12"/>
    </row>
    <row r="671" ht="19.5" customHeight="1">
      <c r="A671" s="12"/>
      <c r="C671" s="12"/>
      <c r="D671" s="13"/>
      <c r="F671" s="14"/>
      <c r="G671" s="14"/>
      <c r="H671" s="14"/>
      <c r="I671" s="14"/>
      <c r="J671" s="14"/>
      <c r="K671" s="12"/>
    </row>
    <row r="672" ht="19.5" customHeight="1">
      <c r="A672" s="12"/>
      <c r="C672" s="12"/>
      <c r="D672" s="13"/>
      <c r="F672" s="14"/>
      <c r="G672" s="14"/>
      <c r="H672" s="14"/>
      <c r="I672" s="14"/>
      <c r="J672" s="14"/>
      <c r="K672" s="12"/>
    </row>
    <row r="673" ht="19.5" customHeight="1">
      <c r="A673" s="12"/>
      <c r="C673" s="12"/>
      <c r="D673" s="13"/>
      <c r="F673" s="14"/>
      <c r="G673" s="14"/>
      <c r="H673" s="14"/>
      <c r="I673" s="14"/>
      <c r="J673" s="14"/>
      <c r="K673" s="12"/>
    </row>
    <row r="674" ht="19.5" customHeight="1">
      <c r="A674" s="12"/>
      <c r="C674" s="12"/>
      <c r="D674" s="13"/>
      <c r="F674" s="14"/>
      <c r="G674" s="14"/>
      <c r="H674" s="14"/>
      <c r="I674" s="14"/>
      <c r="J674" s="14"/>
      <c r="K674" s="12"/>
    </row>
    <row r="675" ht="19.5" customHeight="1">
      <c r="A675" s="12"/>
      <c r="C675" s="12"/>
      <c r="D675" s="13"/>
      <c r="F675" s="14"/>
      <c r="G675" s="14"/>
      <c r="H675" s="14"/>
      <c r="I675" s="14"/>
      <c r="J675" s="14"/>
      <c r="K675" s="12"/>
    </row>
    <row r="676" ht="19.5" customHeight="1">
      <c r="A676" s="12"/>
      <c r="C676" s="12"/>
      <c r="D676" s="13"/>
      <c r="F676" s="14"/>
      <c r="G676" s="14"/>
      <c r="H676" s="14"/>
      <c r="I676" s="14"/>
      <c r="J676" s="14"/>
      <c r="K676" s="12"/>
    </row>
    <row r="677" ht="19.5" customHeight="1">
      <c r="A677" s="12"/>
      <c r="C677" s="12"/>
      <c r="D677" s="13"/>
      <c r="F677" s="14"/>
      <c r="G677" s="14"/>
      <c r="H677" s="14"/>
      <c r="I677" s="14"/>
      <c r="J677" s="14"/>
      <c r="K677" s="12"/>
    </row>
    <row r="678" ht="19.5" customHeight="1">
      <c r="A678" s="12"/>
      <c r="C678" s="12"/>
      <c r="D678" s="13"/>
      <c r="F678" s="14"/>
      <c r="G678" s="14"/>
      <c r="H678" s="14"/>
      <c r="I678" s="14"/>
      <c r="J678" s="14"/>
      <c r="K678" s="12"/>
    </row>
    <row r="679" ht="19.5" customHeight="1">
      <c r="A679" s="12"/>
      <c r="C679" s="12"/>
      <c r="D679" s="13"/>
      <c r="F679" s="14"/>
      <c r="G679" s="14"/>
      <c r="H679" s="14"/>
      <c r="I679" s="14"/>
      <c r="J679" s="14"/>
      <c r="K679" s="12"/>
    </row>
    <row r="680" ht="19.5" customHeight="1">
      <c r="A680" s="12"/>
      <c r="C680" s="12"/>
      <c r="D680" s="13"/>
      <c r="F680" s="14"/>
      <c r="G680" s="14"/>
      <c r="H680" s="14"/>
      <c r="I680" s="14"/>
      <c r="J680" s="14"/>
      <c r="K680" s="12"/>
    </row>
    <row r="681" ht="19.5" customHeight="1">
      <c r="A681" s="12"/>
      <c r="C681" s="12"/>
      <c r="D681" s="13"/>
      <c r="F681" s="14"/>
      <c r="G681" s="14"/>
      <c r="H681" s="14"/>
      <c r="I681" s="14"/>
      <c r="J681" s="14"/>
      <c r="K681" s="12"/>
    </row>
    <row r="682" ht="19.5" customHeight="1">
      <c r="A682" s="12"/>
      <c r="C682" s="12"/>
      <c r="D682" s="13"/>
      <c r="F682" s="14"/>
      <c r="G682" s="14"/>
      <c r="H682" s="14"/>
      <c r="I682" s="14"/>
      <c r="J682" s="14"/>
      <c r="K682" s="12"/>
    </row>
    <row r="683" ht="19.5" customHeight="1">
      <c r="A683" s="12"/>
      <c r="C683" s="12"/>
      <c r="D683" s="13"/>
      <c r="F683" s="14"/>
      <c r="G683" s="14"/>
      <c r="H683" s="14"/>
      <c r="I683" s="14"/>
      <c r="J683" s="14"/>
      <c r="K683" s="12"/>
    </row>
    <row r="684" ht="19.5" customHeight="1">
      <c r="A684" s="12"/>
      <c r="C684" s="12"/>
      <c r="D684" s="13"/>
      <c r="F684" s="14"/>
      <c r="G684" s="14"/>
      <c r="H684" s="14"/>
      <c r="I684" s="14"/>
      <c r="J684" s="14"/>
      <c r="K684" s="12"/>
    </row>
    <row r="685" ht="19.5" customHeight="1">
      <c r="A685" s="12"/>
      <c r="C685" s="12"/>
      <c r="D685" s="13"/>
      <c r="F685" s="14"/>
      <c r="G685" s="14"/>
      <c r="H685" s="14"/>
      <c r="I685" s="14"/>
      <c r="J685" s="14"/>
      <c r="K685" s="12"/>
    </row>
    <row r="686" ht="19.5" customHeight="1">
      <c r="A686" s="12"/>
      <c r="C686" s="12"/>
      <c r="D686" s="13"/>
      <c r="F686" s="14"/>
      <c r="G686" s="14"/>
      <c r="H686" s="14"/>
      <c r="I686" s="14"/>
      <c r="J686" s="14"/>
      <c r="K686" s="12"/>
    </row>
    <row r="687" ht="19.5" customHeight="1">
      <c r="A687" s="12"/>
      <c r="C687" s="12"/>
      <c r="D687" s="13"/>
      <c r="F687" s="14"/>
      <c r="G687" s="14"/>
      <c r="H687" s="14"/>
      <c r="I687" s="14"/>
      <c r="J687" s="14"/>
      <c r="K687" s="12"/>
    </row>
    <row r="688" ht="19.5" customHeight="1">
      <c r="A688" s="12"/>
      <c r="C688" s="12"/>
      <c r="D688" s="13"/>
      <c r="F688" s="14"/>
      <c r="G688" s="14"/>
      <c r="H688" s="14"/>
      <c r="I688" s="14"/>
      <c r="J688" s="14"/>
      <c r="K688" s="12"/>
    </row>
    <row r="689" ht="19.5" customHeight="1">
      <c r="A689" s="12"/>
      <c r="C689" s="12"/>
      <c r="D689" s="13"/>
      <c r="F689" s="14"/>
      <c r="G689" s="14"/>
      <c r="H689" s="14"/>
      <c r="I689" s="14"/>
      <c r="J689" s="14"/>
      <c r="K689" s="12"/>
    </row>
    <row r="690" ht="19.5" customHeight="1">
      <c r="A690" s="12"/>
      <c r="C690" s="12"/>
      <c r="D690" s="13"/>
      <c r="F690" s="14"/>
      <c r="G690" s="14"/>
      <c r="H690" s="14"/>
      <c r="I690" s="14"/>
      <c r="J690" s="14"/>
      <c r="K690" s="12"/>
    </row>
    <row r="691" ht="19.5" customHeight="1">
      <c r="A691" s="12"/>
      <c r="C691" s="12"/>
      <c r="D691" s="13"/>
      <c r="F691" s="14"/>
      <c r="G691" s="14"/>
      <c r="H691" s="14"/>
      <c r="I691" s="14"/>
      <c r="J691" s="14"/>
      <c r="K691" s="12"/>
    </row>
    <row r="692" ht="19.5" customHeight="1">
      <c r="A692" s="12"/>
      <c r="C692" s="12"/>
      <c r="D692" s="13"/>
      <c r="F692" s="14"/>
      <c r="G692" s="14"/>
      <c r="H692" s="14"/>
      <c r="I692" s="14"/>
      <c r="J692" s="14"/>
      <c r="K692" s="12"/>
    </row>
    <row r="693" ht="19.5" customHeight="1">
      <c r="A693" s="12"/>
      <c r="C693" s="12"/>
      <c r="D693" s="13"/>
      <c r="F693" s="14"/>
      <c r="G693" s="14"/>
      <c r="H693" s="14"/>
      <c r="I693" s="14"/>
      <c r="J693" s="14"/>
      <c r="K693" s="12"/>
    </row>
    <row r="694" ht="19.5" customHeight="1">
      <c r="A694" s="12"/>
      <c r="C694" s="12"/>
      <c r="D694" s="13"/>
      <c r="F694" s="14"/>
      <c r="G694" s="14"/>
      <c r="H694" s="14"/>
      <c r="I694" s="14"/>
      <c r="J694" s="14"/>
      <c r="K694" s="12"/>
    </row>
    <row r="695" ht="19.5" customHeight="1">
      <c r="A695" s="12"/>
      <c r="C695" s="12"/>
      <c r="D695" s="13"/>
      <c r="F695" s="14"/>
      <c r="G695" s="14"/>
      <c r="H695" s="14"/>
      <c r="I695" s="14"/>
      <c r="J695" s="14"/>
      <c r="K695" s="12"/>
    </row>
    <row r="696" ht="19.5" customHeight="1">
      <c r="A696" s="12"/>
      <c r="C696" s="12"/>
      <c r="D696" s="13"/>
      <c r="F696" s="14"/>
      <c r="G696" s="14"/>
      <c r="H696" s="14"/>
      <c r="I696" s="14"/>
      <c r="J696" s="14"/>
      <c r="K696" s="12"/>
    </row>
    <row r="697" ht="19.5" customHeight="1">
      <c r="A697" s="12"/>
      <c r="C697" s="12"/>
      <c r="D697" s="13"/>
      <c r="F697" s="14"/>
      <c r="G697" s="14"/>
      <c r="H697" s="14"/>
      <c r="I697" s="14"/>
      <c r="J697" s="14"/>
      <c r="K697" s="12"/>
    </row>
    <row r="698" ht="19.5" customHeight="1">
      <c r="A698" s="12"/>
      <c r="C698" s="12"/>
      <c r="D698" s="13"/>
      <c r="F698" s="14"/>
      <c r="G698" s="14"/>
      <c r="H698" s="14"/>
      <c r="I698" s="14"/>
      <c r="J698" s="14"/>
      <c r="K698" s="12"/>
    </row>
    <row r="699" ht="19.5" customHeight="1">
      <c r="A699" s="12"/>
      <c r="C699" s="12"/>
      <c r="D699" s="13"/>
      <c r="F699" s="14"/>
      <c r="G699" s="14"/>
      <c r="H699" s="14"/>
      <c r="I699" s="14"/>
      <c r="J699" s="14"/>
      <c r="K699" s="12"/>
    </row>
    <row r="700" ht="19.5" customHeight="1">
      <c r="A700" s="12"/>
      <c r="C700" s="12"/>
      <c r="D700" s="13"/>
      <c r="F700" s="14"/>
      <c r="G700" s="14"/>
      <c r="H700" s="14"/>
      <c r="I700" s="14"/>
      <c r="J700" s="14"/>
      <c r="K700" s="12"/>
    </row>
    <row r="701" ht="19.5" customHeight="1">
      <c r="A701" s="12"/>
      <c r="C701" s="12"/>
      <c r="D701" s="13"/>
      <c r="F701" s="14"/>
      <c r="G701" s="14"/>
      <c r="H701" s="14"/>
      <c r="I701" s="14"/>
      <c r="J701" s="14"/>
      <c r="K701" s="12"/>
    </row>
    <row r="702" ht="19.5" customHeight="1">
      <c r="A702" s="12"/>
      <c r="C702" s="12"/>
      <c r="D702" s="13"/>
      <c r="F702" s="14"/>
      <c r="G702" s="14"/>
      <c r="H702" s="14"/>
      <c r="I702" s="14"/>
      <c r="J702" s="14"/>
      <c r="K702" s="12"/>
    </row>
    <row r="703" ht="19.5" customHeight="1">
      <c r="A703" s="12"/>
      <c r="C703" s="12"/>
      <c r="D703" s="13"/>
      <c r="F703" s="14"/>
      <c r="G703" s="14"/>
      <c r="H703" s="14"/>
      <c r="I703" s="14"/>
      <c r="J703" s="14"/>
      <c r="K703" s="12"/>
    </row>
    <row r="704" ht="19.5" customHeight="1">
      <c r="A704" s="12"/>
      <c r="C704" s="12"/>
      <c r="D704" s="13"/>
      <c r="F704" s="14"/>
      <c r="G704" s="14"/>
      <c r="H704" s="14"/>
      <c r="I704" s="14"/>
      <c r="J704" s="14"/>
      <c r="K704" s="12"/>
    </row>
    <row r="705" ht="19.5" customHeight="1">
      <c r="A705" s="12"/>
      <c r="C705" s="12"/>
      <c r="D705" s="13"/>
      <c r="F705" s="14"/>
      <c r="G705" s="14"/>
      <c r="H705" s="14"/>
      <c r="I705" s="14"/>
      <c r="J705" s="14"/>
      <c r="K705" s="12"/>
    </row>
    <row r="706" ht="19.5" customHeight="1">
      <c r="A706" s="12"/>
      <c r="C706" s="12"/>
      <c r="D706" s="13"/>
      <c r="F706" s="14"/>
      <c r="G706" s="14"/>
      <c r="H706" s="14"/>
      <c r="I706" s="14"/>
      <c r="J706" s="14"/>
      <c r="K706" s="12"/>
    </row>
    <row r="707" ht="19.5" customHeight="1">
      <c r="A707" s="12"/>
      <c r="C707" s="12"/>
      <c r="D707" s="13"/>
      <c r="F707" s="14"/>
      <c r="G707" s="14"/>
      <c r="H707" s="14"/>
      <c r="I707" s="14"/>
      <c r="J707" s="14"/>
      <c r="K707" s="12"/>
    </row>
    <row r="708" ht="19.5" customHeight="1">
      <c r="A708" s="12"/>
      <c r="C708" s="12"/>
      <c r="D708" s="13"/>
      <c r="F708" s="14"/>
      <c r="G708" s="14"/>
      <c r="H708" s="14"/>
      <c r="I708" s="14"/>
      <c r="J708" s="14"/>
      <c r="K708" s="12"/>
    </row>
    <row r="709" ht="19.5" customHeight="1">
      <c r="A709" s="12"/>
      <c r="C709" s="12"/>
      <c r="D709" s="13"/>
      <c r="F709" s="14"/>
      <c r="G709" s="14"/>
      <c r="H709" s="14"/>
      <c r="I709" s="14"/>
      <c r="J709" s="14"/>
      <c r="K709" s="12"/>
    </row>
    <row r="710" ht="19.5" customHeight="1">
      <c r="A710" s="12"/>
      <c r="C710" s="12"/>
      <c r="D710" s="13"/>
      <c r="F710" s="14"/>
      <c r="G710" s="14"/>
      <c r="H710" s="14"/>
      <c r="I710" s="14"/>
      <c r="J710" s="14"/>
      <c r="K710" s="12"/>
    </row>
    <row r="711" ht="19.5" customHeight="1">
      <c r="A711" s="12"/>
      <c r="C711" s="12"/>
      <c r="D711" s="13"/>
      <c r="F711" s="14"/>
      <c r="G711" s="14"/>
      <c r="H711" s="14"/>
      <c r="I711" s="14"/>
      <c r="J711" s="14"/>
      <c r="K711" s="12"/>
    </row>
    <row r="712" ht="19.5" customHeight="1">
      <c r="A712" s="12"/>
      <c r="C712" s="12"/>
      <c r="D712" s="13"/>
      <c r="F712" s="14"/>
      <c r="G712" s="14"/>
      <c r="H712" s="14"/>
      <c r="I712" s="14"/>
      <c r="J712" s="14"/>
      <c r="K712" s="12"/>
    </row>
    <row r="713" ht="19.5" customHeight="1">
      <c r="A713" s="12"/>
      <c r="C713" s="12"/>
      <c r="D713" s="13"/>
      <c r="F713" s="14"/>
      <c r="G713" s="14"/>
      <c r="H713" s="14"/>
      <c r="I713" s="14"/>
      <c r="J713" s="14"/>
      <c r="K713" s="12"/>
    </row>
    <row r="714" ht="19.5" customHeight="1">
      <c r="A714" s="12"/>
      <c r="C714" s="12"/>
      <c r="D714" s="13"/>
      <c r="F714" s="14"/>
      <c r="G714" s="14"/>
      <c r="H714" s="14"/>
      <c r="I714" s="14"/>
      <c r="J714" s="14"/>
      <c r="K714" s="12"/>
    </row>
    <row r="715" ht="19.5" customHeight="1">
      <c r="A715" s="12"/>
      <c r="C715" s="12"/>
      <c r="D715" s="13"/>
      <c r="F715" s="14"/>
      <c r="G715" s="14"/>
      <c r="H715" s="14"/>
      <c r="I715" s="14"/>
      <c r="J715" s="14"/>
      <c r="K715" s="12"/>
    </row>
    <row r="716" ht="19.5" customHeight="1">
      <c r="A716" s="12"/>
      <c r="C716" s="12"/>
      <c r="D716" s="13"/>
      <c r="F716" s="14"/>
      <c r="G716" s="14"/>
      <c r="H716" s="14"/>
      <c r="I716" s="14"/>
      <c r="J716" s="14"/>
      <c r="K716" s="12"/>
    </row>
    <row r="717" ht="19.5" customHeight="1">
      <c r="A717" s="12"/>
      <c r="C717" s="12"/>
      <c r="D717" s="13"/>
      <c r="F717" s="14"/>
      <c r="G717" s="14"/>
      <c r="H717" s="14"/>
      <c r="I717" s="14"/>
      <c r="J717" s="14"/>
      <c r="K717" s="12"/>
    </row>
    <row r="718" ht="19.5" customHeight="1">
      <c r="A718" s="12"/>
      <c r="C718" s="12"/>
      <c r="D718" s="13"/>
      <c r="F718" s="14"/>
      <c r="G718" s="14"/>
      <c r="H718" s="14"/>
      <c r="I718" s="14"/>
      <c r="J718" s="14"/>
      <c r="K718" s="12"/>
    </row>
    <row r="719" ht="19.5" customHeight="1">
      <c r="A719" s="12"/>
      <c r="C719" s="12"/>
      <c r="D719" s="13"/>
      <c r="F719" s="14"/>
      <c r="G719" s="14"/>
      <c r="H719" s="14"/>
      <c r="I719" s="14"/>
      <c r="J719" s="14"/>
      <c r="K719" s="12"/>
    </row>
    <row r="720" ht="19.5" customHeight="1">
      <c r="A720" s="12"/>
      <c r="C720" s="12"/>
      <c r="D720" s="13"/>
      <c r="F720" s="14"/>
      <c r="G720" s="14"/>
      <c r="H720" s="14"/>
      <c r="I720" s="14"/>
      <c r="J720" s="14"/>
      <c r="K720" s="12"/>
    </row>
    <row r="721" ht="19.5" customHeight="1">
      <c r="A721" s="12"/>
      <c r="C721" s="12"/>
      <c r="D721" s="13"/>
      <c r="F721" s="14"/>
      <c r="G721" s="14"/>
      <c r="H721" s="14"/>
      <c r="I721" s="14"/>
      <c r="J721" s="14"/>
      <c r="K721" s="12"/>
    </row>
    <row r="722" ht="19.5" customHeight="1">
      <c r="A722" s="12"/>
      <c r="C722" s="12"/>
      <c r="D722" s="13"/>
      <c r="F722" s="14"/>
      <c r="G722" s="14"/>
      <c r="H722" s="14"/>
      <c r="I722" s="14"/>
      <c r="J722" s="14"/>
      <c r="K722" s="12"/>
    </row>
    <row r="723" ht="19.5" customHeight="1">
      <c r="A723" s="12"/>
      <c r="C723" s="12"/>
      <c r="D723" s="13"/>
      <c r="F723" s="14"/>
      <c r="G723" s="14"/>
      <c r="H723" s="14"/>
      <c r="I723" s="14"/>
      <c r="J723" s="14"/>
      <c r="K723" s="12"/>
    </row>
    <row r="724" ht="19.5" customHeight="1">
      <c r="A724" s="12"/>
      <c r="C724" s="12"/>
      <c r="D724" s="13"/>
      <c r="F724" s="14"/>
      <c r="G724" s="14"/>
      <c r="H724" s="14"/>
      <c r="I724" s="14"/>
      <c r="J724" s="14"/>
      <c r="K724" s="12"/>
    </row>
    <row r="725" ht="19.5" customHeight="1">
      <c r="A725" s="12"/>
      <c r="C725" s="12"/>
      <c r="D725" s="13"/>
      <c r="F725" s="14"/>
      <c r="G725" s="14"/>
      <c r="H725" s="14"/>
      <c r="I725" s="14"/>
      <c r="J725" s="14"/>
      <c r="K725" s="12"/>
    </row>
    <row r="726" ht="19.5" customHeight="1">
      <c r="A726" s="12"/>
      <c r="C726" s="12"/>
      <c r="D726" s="13"/>
      <c r="F726" s="14"/>
      <c r="G726" s="14"/>
      <c r="H726" s="14"/>
      <c r="I726" s="14"/>
      <c r="J726" s="14"/>
      <c r="K726" s="12"/>
    </row>
    <row r="727" ht="19.5" customHeight="1">
      <c r="A727" s="12"/>
      <c r="C727" s="12"/>
      <c r="D727" s="13"/>
      <c r="F727" s="14"/>
      <c r="G727" s="14"/>
      <c r="H727" s="14"/>
      <c r="I727" s="14"/>
      <c r="J727" s="14"/>
      <c r="K727" s="12"/>
    </row>
    <row r="728" ht="19.5" customHeight="1">
      <c r="A728" s="12"/>
      <c r="C728" s="12"/>
      <c r="D728" s="13"/>
      <c r="F728" s="14"/>
      <c r="G728" s="14"/>
      <c r="H728" s="14"/>
      <c r="I728" s="14"/>
      <c r="J728" s="14"/>
      <c r="K728" s="12"/>
    </row>
    <row r="729" ht="19.5" customHeight="1">
      <c r="A729" s="12"/>
      <c r="C729" s="12"/>
      <c r="D729" s="13"/>
      <c r="F729" s="14"/>
      <c r="G729" s="14"/>
      <c r="H729" s="14"/>
      <c r="I729" s="14"/>
      <c r="J729" s="14"/>
      <c r="K729" s="12"/>
    </row>
    <row r="730" ht="19.5" customHeight="1">
      <c r="A730" s="12"/>
      <c r="C730" s="12"/>
      <c r="D730" s="13"/>
      <c r="F730" s="14"/>
      <c r="G730" s="14"/>
      <c r="H730" s="14"/>
      <c r="I730" s="14"/>
      <c r="J730" s="14"/>
      <c r="K730" s="12"/>
    </row>
    <row r="731" ht="19.5" customHeight="1">
      <c r="A731" s="12"/>
      <c r="C731" s="12"/>
      <c r="D731" s="13"/>
      <c r="F731" s="14"/>
      <c r="G731" s="14"/>
      <c r="H731" s="14"/>
      <c r="I731" s="14"/>
      <c r="J731" s="14"/>
      <c r="K731" s="12"/>
    </row>
    <row r="732" ht="19.5" customHeight="1">
      <c r="A732" s="12"/>
      <c r="C732" s="12"/>
      <c r="D732" s="13"/>
      <c r="F732" s="14"/>
      <c r="G732" s="14"/>
      <c r="H732" s="14"/>
      <c r="I732" s="14"/>
      <c r="J732" s="14"/>
      <c r="K732" s="12"/>
    </row>
    <row r="733" ht="19.5" customHeight="1">
      <c r="A733" s="12"/>
      <c r="C733" s="12"/>
      <c r="D733" s="13"/>
      <c r="F733" s="14"/>
      <c r="G733" s="14"/>
      <c r="H733" s="14"/>
      <c r="I733" s="14"/>
      <c r="J733" s="14"/>
      <c r="K733" s="12"/>
    </row>
    <row r="734" ht="19.5" customHeight="1">
      <c r="A734" s="12"/>
      <c r="C734" s="12"/>
      <c r="D734" s="13"/>
      <c r="F734" s="14"/>
      <c r="G734" s="14"/>
      <c r="H734" s="14"/>
      <c r="I734" s="14"/>
      <c r="J734" s="14"/>
      <c r="K734" s="12"/>
    </row>
    <row r="735" ht="19.5" customHeight="1">
      <c r="A735" s="12"/>
      <c r="C735" s="12"/>
      <c r="D735" s="13"/>
      <c r="F735" s="14"/>
      <c r="G735" s="14"/>
      <c r="H735" s="14"/>
      <c r="I735" s="14"/>
      <c r="J735" s="14"/>
      <c r="K735" s="12"/>
    </row>
    <row r="736" ht="19.5" customHeight="1">
      <c r="A736" s="12"/>
      <c r="C736" s="12"/>
      <c r="D736" s="13"/>
      <c r="F736" s="14"/>
      <c r="G736" s="14"/>
      <c r="H736" s="14"/>
      <c r="I736" s="14"/>
      <c r="J736" s="14"/>
      <c r="K736" s="12"/>
    </row>
    <row r="737" ht="19.5" customHeight="1">
      <c r="A737" s="12"/>
      <c r="C737" s="12"/>
      <c r="D737" s="13"/>
      <c r="F737" s="14"/>
      <c r="G737" s="14"/>
      <c r="H737" s="14"/>
      <c r="I737" s="14"/>
      <c r="J737" s="14"/>
      <c r="K737" s="12"/>
    </row>
    <row r="738" ht="19.5" customHeight="1">
      <c r="A738" s="12"/>
      <c r="C738" s="12"/>
      <c r="D738" s="13"/>
      <c r="F738" s="14"/>
      <c r="G738" s="14"/>
      <c r="H738" s="14"/>
      <c r="I738" s="14"/>
      <c r="J738" s="14"/>
      <c r="K738" s="12"/>
    </row>
    <row r="739" ht="19.5" customHeight="1">
      <c r="A739" s="12"/>
      <c r="C739" s="12"/>
      <c r="D739" s="13"/>
      <c r="F739" s="14"/>
      <c r="G739" s="14"/>
      <c r="H739" s="14"/>
      <c r="I739" s="14"/>
      <c r="J739" s="14"/>
      <c r="K739" s="12"/>
    </row>
    <row r="740" ht="19.5" customHeight="1">
      <c r="A740" s="12"/>
      <c r="C740" s="12"/>
      <c r="D740" s="13"/>
      <c r="F740" s="14"/>
      <c r="G740" s="14"/>
      <c r="H740" s="14"/>
      <c r="I740" s="14"/>
      <c r="J740" s="14"/>
      <c r="K740" s="12"/>
    </row>
    <row r="741" ht="19.5" customHeight="1">
      <c r="A741" s="12"/>
      <c r="C741" s="12"/>
      <c r="D741" s="13"/>
      <c r="F741" s="14"/>
      <c r="G741" s="14"/>
      <c r="H741" s="14"/>
      <c r="I741" s="14"/>
      <c r="J741" s="14"/>
      <c r="K741" s="12"/>
    </row>
    <row r="742" ht="19.5" customHeight="1">
      <c r="A742" s="12"/>
      <c r="C742" s="12"/>
      <c r="D742" s="13"/>
      <c r="F742" s="14"/>
      <c r="G742" s="14"/>
      <c r="H742" s="14"/>
      <c r="I742" s="14"/>
      <c r="J742" s="14"/>
      <c r="K742" s="12"/>
    </row>
    <row r="743" ht="19.5" customHeight="1">
      <c r="A743" s="12"/>
      <c r="C743" s="12"/>
      <c r="D743" s="13"/>
      <c r="F743" s="14"/>
      <c r="G743" s="14"/>
      <c r="H743" s="14"/>
      <c r="I743" s="14"/>
      <c r="J743" s="14"/>
      <c r="K743" s="12"/>
    </row>
    <row r="744" ht="19.5" customHeight="1">
      <c r="A744" s="12"/>
      <c r="C744" s="12"/>
      <c r="D744" s="13"/>
      <c r="F744" s="14"/>
      <c r="G744" s="14"/>
      <c r="H744" s="14"/>
      <c r="I744" s="14"/>
      <c r="J744" s="14"/>
      <c r="K744" s="12"/>
    </row>
    <row r="745" ht="19.5" customHeight="1">
      <c r="A745" s="12"/>
      <c r="C745" s="12"/>
      <c r="D745" s="13"/>
      <c r="F745" s="14"/>
      <c r="G745" s="14"/>
      <c r="H745" s="14"/>
      <c r="I745" s="14"/>
      <c r="J745" s="14"/>
      <c r="K745" s="12"/>
    </row>
    <row r="746" ht="19.5" customHeight="1">
      <c r="A746" s="12"/>
      <c r="C746" s="12"/>
      <c r="D746" s="13"/>
      <c r="F746" s="14"/>
      <c r="G746" s="14"/>
      <c r="H746" s="14"/>
      <c r="I746" s="14"/>
      <c r="J746" s="14"/>
      <c r="K746" s="12"/>
    </row>
    <row r="747" ht="19.5" customHeight="1">
      <c r="A747" s="12"/>
      <c r="C747" s="12"/>
      <c r="D747" s="13"/>
      <c r="F747" s="14"/>
      <c r="G747" s="14"/>
      <c r="H747" s="14"/>
      <c r="I747" s="14"/>
      <c r="J747" s="14"/>
      <c r="K747" s="12"/>
    </row>
    <row r="748" ht="19.5" customHeight="1">
      <c r="A748" s="12"/>
      <c r="C748" s="12"/>
      <c r="D748" s="13"/>
      <c r="F748" s="14"/>
      <c r="G748" s="14"/>
      <c r="H748" s="14"/>
      <c r="I748" s="14"/>
      <c r="J748" s="14"/>
      <c r="K748" s="12"/>
    </row>
    <row r="749" ht="19.5" customHeight="1">
      <c r="A749" s="12"/>
      <c r="C749" s="12"/>
      <c r="D749" s="13"/>
      <c r="F749" s="14"/>
      <c r="G749" s="14"/>
      <c r="H749" s="14"/>
      <c r="I749" s="14"/>
      <c r="J749" s="14"/>
      <c r="K749" s="12"/>
    </row>
    <row r="750" ht="19.5" customHeight="1">
      <c r="A750" s="12"/>
      <c r="C750" s="12"/>
      <c r="D750" s="13"/>
      <c r="F750" s="14"/>
      <c r="G750" s="14"/>
      <c r="H750" s="14"/>
      <c r="I750" s="14"/>
      <c r="J750" s="14"/>
      <c r="K750" s="12"/>
    </row>
    <row r="751" ht="19.5" customHeight="1">
      <c r="A751" s="12"/>
      <c r="C751" s="12"/>
      <c r="D751" s="13"/>
      <c r="F751" s="14"/>
      <c r="G751" s="14"/>
      <c r="H751" s="14"/>
      <c r="I751" s="14"/>
      <c r="J751" s="14"/>
      <c r="K751" s="12"/>
    </row>
    <row r="752" ht="19.5" customHeight="1">
      <c r="A752" s="12"/>
      <c r="C752" s="12"/>
      <c r="D752" s="13"/>
      <c r="F752" s="14"/>
      <c r="G752" s="14"/>
      <c r="H752" s="14"/>
      <c r="I752" s="14"/>
      <c r="J752" s="14"/>
      <c r="K752" s="12"/>
    </row>
    <row r="753" ht="19.5" customHeight="1">
      <c r="A753" s="12"/>
      <c r="C753" s="12"/>
      <c r="D753" s="13"/>
      <c r="F753" s="14"/>
      <c r="G753" s="14"/>
      <c r="H753" s="14"/>
      <c r="I753" s="14"/>
      <c r="J753" s="14"/>
      <c r="K753" s="12"/>
    </row>
    <row r="754" ht="19.5" customHeight="1">
      <c r="A754" s="12"/>
      <c r="C754" s="12"/>
      <c r="D754" s="13"/>
      <c r="F754" s="14"/>
      <c r="G754" s="14"/>
      <c r="H754" s="14"/>
      <c r="I754" s="14"/>
      <c r="J754" s="14"/>
      <c r="K754" s="12"/>
    </row>
    <row r="755" ht="19.5" customHeight="1">
      <c r="A755" s="12"/>
      <c r="C755" s="12"/>
      <c r="D755" s="13"/>
      <c r="F755" s="14"/>
      <c r="G755" s="14"/>
      <c r="H755" s="14"/>
      <c r="I755" s="14"/>
      <c r="J755" s="14"/>
      <c r="K755" s="12"/>
    </row>
    <row r="756" ht="19.5" customHeight="1">
      <c r="A756" s="12"/>
      <c r="C756" s="12"/>
      <c r="D756" s="13"/>
      <c r="F756" s="14"/>
      <c r="G756" s="14"/>
      <c r="H756" s="14"/>
      <c r="I756" s="14"/>
      <c r="J756" s="14"/>
      <c r="K756" s="12"/>
    </row>
    <row r="757" ht="19.5" customHeight="1">
      <c r="A757" s="12"/>
      <c r="C757" s="12"/>
      <c r="D757" s="13"/>
      <c r="F757" s="14"/>
      <c r="G757" s="14"/>
      <c r="H757" s="14"/>
      <c r="I757" s="14"/>
      <c r="J757" s="14"/>
      <c r="K757" s="12"/>
    </row>
    <row r="758" ht="19.5" customHeight="1">
      <c r="A758" s="12"/>
      <c r="C758" s="12"/>
      <c r="D758" s="13"/>
      <c r="F758" s="14"/>
      <c r="G758" s="14"/>
      <c r="H758" s="14"/>
      <c r="I758" s="14"/>
      <c r="J758" s="14"/>
      <c r="K758" s="12"/>
    </row>
    <row r="759" ht="19.5" customHeight="1">
      <c r="A759" s="12"/>
      <c r="C759" s="12"/>
      <c r="D759" s="13"/>
      <c r="F759" s="14"/>
      <c r="G759" s="14"/>
      <c r="H759" s="14"/>
      <c r="I759" s="14"/>
      <c r="J759" s="14"/>
      <c r="K759" s="12"/>
    </row>
    <row r="760" ht="19.5" customHeight="1">
      <c r="A760" s="12"/>
      <c r="C760" s="12"/>
      <c r="D760" s="13"/>
      <c r="F760" s="14"/>
      <c r="G760" s="14"/>
      <c r="H760" s="14"/>
      <c r="I760" s="14"/>
      <c r="J760" s="14"/>
      <c r="K760" s="12"/>
    </row>
    <row r="761" ht="19.5" customHeight="1">
      <c r="A761" s="12"/>
      <c r="C761" s="12"/>
      <c r="D761" s="13"/>
      <c r="F761" s="14"/>
      <c r="G761" s="14"/>
      <c r="H761" s="14"/>
      <c r="I761" s="14"/>
      <c r="J761" s="14"/>
      <c r="K761" s="12"/>
    </row>
    <row r="762" ht="19.5" customHeight="1">
      <c r="A762" s="12"/>
      <c r="C762" s="12"/>
      <c r="D762" s="13"/>
      <c r="F762" s="14"/>
      <c r="G762" s="14"/>
      <c r="H762" s="14"/>
      <c r="I762" s="14"/>
      <c r="J762" s="14"/>
      <c r="K762" s="12"/>
    </row>
    <row r="763" ht="19.5" customHeight="1">
      <c r="A763" s="12"/>
      <c r="C763" s="12"/>
      <c r="D763" s="13"/>
      <c r="F763" s="14"/>
      <c r="G763" s="14"/>
      <c r="H763" s="14"/>
      <c r="I763" s="14"/>
      <c r="J763" s="14"/>
      <c r="K763" s="12"/>
    </row>
    <row r="764" ht="19.5" customHeight="1">
      <c r="A764" s="12"/>
      <c r="C764" s="12"/>
      <c r="D764" s="13"/>
      <c r="F764" s="14"/>
      <c r="G764" s="14"/>
      <c r="H764" s="14"/>
      <c r="I764" s="14"/>
      <c r="J764" s="14"/>
      <c r="K764" s="12"/>
    </row>
    <row r="765" ht="19.5" customHeight="1">
      <c r="A765" s="12"/>
      <c r="C765" s="12"/>
      <c r="D765" s="13"/>
      <c r="F765" s="14"/>
      <c r="G765" s="14"/>
      <c r="H765" s="14"/>
      <c r="I765" s="14"/>
      <c r="J765" s="14"/>
      <c r="K765" s="12"/>
    </row>
    <row r="766" ht="19.5" customHeight="1">
      <c r="A766" s="12"/>
      <c r="C766" s="12"/>
      <c r="D766" s="13"/>
      <c r="F766" s="14"/>
      <c r="G766" s="14"/>
      <c r="H766" s="14"/>
      <c r="I766" s="14"/>
      <c r="J766" s="14"/>
      <c r="K766" s="12"/>
    </row>
    <row r="767" ht="19.5" customHeight="1">
      <c r="A767" s="12"/>
      <c r="C767" s="12"/>
      <c r="D767" s="13"/>
      <c r="F767" s="14"/>
      <c r="G767" s="14"/>
      <c r="H767" s="14"/>
      <c r="I767" s="14"/>
      <c r="J767" s="14"/>
      <c r="K767" s="12"/>
    </row>
    <row r="768" ht="19.5" customHeight="1">
      <c r="A768" s="12"/>
      <c r="C768" s="12"/>
      <c r="D768" s="13"/>
      <c r="F768" s="14"/>
      <c r="G768" s="14"/>
      <c r="H768" s="14"/>
      <c r="I768" s="14"/>
      <c r="J768" s="14"/>
      <c r="K768" s="12"/>
    </row>
    <row r="769" ht="19.5" customHeight="1">
      <c r="A769" s="12"/>
      <c r="C769" s="12"/>
      <c r="D769" s="13"/>
      <c r="F769" s="14"/>
      <c r="G769" s="14"/>
      <c r="H769" s="14"/>
      <c r="I769" s="14"/>
      <c r="J769" s="14"/>
      <c r="K769" s="12"/>
    </row>
    <row r="770" ht="19.5" customHeight="1">
      <c r="A770" s="12"/>
      <c r="C770" s="12"/>
      <c r="D770" s="13"/>
      <c r="F770" s="14"/>
      <c r="G770" s="14"/>
      <c r="H770" s="14"/>
      <c r="I770" s="14"/>
      <c r="J770" s="14"/>
      <c r="K770" s="12"/>
    </row>
    <row r="771" ht="19.5" customHeight="1">
      <c r="A771" s="12"/>
      <c r="C771" s="12"/>
      <c r="D771" s="13"/>
      <c r="F771" s="14"/>
      <c r="G771" s="14"/>
      <c r="H771" s="14"/>
      <c r="I771" s="14"/>
      <c r="J771" s="14"/>
      <c r="K771" s="12"/>
    </row>
    <row r="772" ht="19.5" customHeight="1">
      <c r="A772" s="12"/>
      <c r="C772" s="12"/>
      <c r="D772" s="13"/>
      <c r="F772" s="14"/>
      <c r="G772" s="14"/>
      <c r="H772" s="14"/>
      <c r="I772" s="14"/>
      <c r="J772" s="14"/>
      <c r="K772" s="12"/>
    </row>
    <row r="773" ht="19.5" customHeight="1">
      <c r="A773" s="12"/>
      <c r="C773" s="12"/>
      <c r="D773" s="13"/>
      <c r="F773" s="14"/>
      <c r="G773" s="14"/>
      <c r="H773" s="14"/>
      <c r="I773" s="14"/>
      <c r="J773" s="14"/>
      <c r="K773" s="12"/>
    </row>
    <row r="774" ht="19.5" customHeight="1">
      <c r="A774" s="12"/>
      <c r="C774" s="12"/>
      <c r="D774" s="13"/>
      <c r="F774" s="14"/>
      <c r="G774" s="14"/>
      <c r="H774" s="14"/>
      <c r="I774" s="14"/>
      <c r="J774" s="14"/>
      <c r="K774" s="12"/>
    </row>
    <row r="775" ht="19.5" customHeight="1">
      <c r="A775" s="12"/>
      <c r="C775" s="12"/>
      <c r="D775" s="13"/>
      <c r="F775" s="14"/>
      <c r="G775" s="14"/>
      <c r="H775" s="14"/>
      <c r="I775" s="14"/>
      <c r="J775" s="14"/>
      <c r="K775" s="12"/>
    </row>
    <row r="776" ht="19.5" customHeight="1">
      <c r="A776" s="12"/>
      <c r="C776" s="12"/>
      <c r="D776" s="13"/>
      <c r="F776" s="14"/>
      <c r="G776" s="14"/>
      <c r="H776" s="14"/>
      <c r="I776" s="14"/>
      <c r="J776" s="14"/>
      <c r="K776" s="12"/>
    </row>
    <row r="777" ht="19.5" customHeight="1">
      <c r="A777" s="12"/>
      <c r="C777" s="12"/>
      <c r="D777" s="13"/>
      <c r="F777" s="14"/>
      <c r="G777" s="14"/>
      <c r="H777" s="14"/>
      <c r="I777" s="14"/>
      <c r="J777" s="14"/>
      <c r="K777" s="12"/>
    </row>
    <row r="778" ht="19.5" customHeight="1">
      <c r="A778" s="12"/>
      <c r="C778" s="12"/>
      <c r="D778" s="13"/>
      <c r="F778" s="14"/>
      <c r="G778" s="14"/>
      <c r="H778" s="14"/>
      <c r="I778" s="14"/>
      <c r="J778" s="14"/>
      <c r="K778" s="12"/>
    </row>
    <row r="779" ht="19.5" customHeight="1">
      <c r="A779" s="12"/>
      <c r="C779" s="12"/>
      <c r="D779" s="13"/>
      <c r="F779" s="14"/>
      <c r="G779" s="14"/>
      <c r="H779" s="14"/>
      <c r="I779" s="14"/>
      <c r="J779" s="14"/>
      <c r="K779" s="12"/>
    </row>
    <row r="780" ht="19.5" customHeight="1">
      <c r="A780" s="12"/>
      <c r="C780" s="12"/>
      <c r="D780" s="13"/>
      <c r="F780" s="14"/>
      <c r="G780" s="14"/>
      <c r="H780" s="14"/>
      <c r="I780" s="14"/>
      <c r="J780" s="14"/>
      <c r="K780" s="12"/>
    </row>
    <row r="781" ht="19.5" customHeight="1">
      <c r="A781" s="12"/>
      <c r="C781" s="12"/>
      <c r="D781" s="13"/>
      <c r="F781" s="14"/>
      <c r="G781" s="14"/>
      <c r="H781" s="14"/>
      <c r="I781" s="14"/>
      <c r="J781" s="14"/>
      <c r="K781" s="12"/>
    </row>
    <row r="782" ht="19.5" customHeight="1">
      <c r="A782" s="12"/>
      <c r="C782" s="12"/>
      <c r="D782" s="13"/>
      <c r="F782" s="14"/>
      <c r="G782" s="14"/>
      <c r="H782" s="14"/>
      <c r="I782" s="14"/>
      <c r="J782" s="14"/>
      <c r="K782" s="12"/>
    </row>
    <row r="783" ht="19.5" customHeight="1">
      <c r="A783" s="12"/>
      <c r="C783" s="12"/>
      <c r="D783" s="13"/>
      <c r="F783" s="14"/>
      <c r="G783" s="14"/>
      <c r="H783" s="14"/>
      <c r="I783" s="14"/>
      <c r="J783" s="14"/>
      <c r="K783" s="12"/>
    </row>
    <row r="784" ht="19.5" customHeight="1">
      <c r="A784" s="12"/>
      <c r="C784" s="12"/>
      <c r="D784" s="13"/>
      <c r="F784" s="14"/>
      <c r="G784" s="14"/>
      <c r="H784" s="14"/>
      <c r="I784" s="14"/>
      <c r="J784" s="14"/>
      <c r="K784" s="12"/>
    </row>
    <row r="785" ht="19.5" customHeight="1">
      <c r="A785" s="12"/>
      <c r="C785" s="12"/>
      <c r="D785" s="13"/>
      <c r="F785" s="14"/>
      <c r="G785" s="14"/>
      <c r="H785" s="14"/>
      <c r="I785" s="14"/>
      <c r="J785" s="14"/>
      <c r="K785" s="12"/>
    </row>
    <row r="786" ht="19.5" customHeight="1">
      <c r="A786" s="12"/>
      <c r="C786" s="12"/>
      <c r="D786" s="13"/>
      <c r="F786" s="14"/>
      <c r="G786" s="14"/>
      <c r="H786" s="14"/>
      <c r="I786" s="14"/>
      <c r="J786" s="14"/>
      <c r="K786" s="12"/>
    </row>
    <row r="787" ht="19.5" customHeight="1">
      <c r="A787" s="12"/>
      <c r="C787" s="12"/>
      <c r="D787" s="13"/>
      <c r="F787" s="14"/>
      <c r="G787" s="14"/>
      <c r="H787" s="14"/>
      <c r="I787" s="14"/>
      <c r="J787" s="14"/>
      <c r="K787" s="12"/>
    </row>
    <row r="788" ht="19.5" customHeight="1">
      <c r="A788" s="12"/>
      <c r="C788" s="12"/>
      <c r="D788" s="13"/>
      <c r="F788" s="14"/>
      <c r="G788" s="14"/>
      <c r="H788" s="14"/>
      <c r="I788" s="14"/>
      <c r="J788" s="14"/>
      <c r="K788" s="12"/>
    </row>
    <row r="789" ht="19.5" customHeight="1">
      <c r="A789" s="12"/>
      <c r="C789" s="12"/>
      <c r="D789" s="13"/>
      <c r="F789" s="14"/>
      <c r="G789" s="14"/>
      <c r="H789" s="14"/>
      <c r="I789" s="14"/>
      <c r="J789" s="14"/>
      <c r="K789" s="12"/>
    </row>
    <row r="790" ht="19.5" customHeight="1">
      <c r="A790" s="12"/>
      <c r="C790" s="12"/>
      <c r="D790" s="13"/>
      <c r="F790" s="14"/>
      <c r="G790" s="14"/>
      <c r="H790" s="14"/>
      <c r="I790" s="14"/>
      <c r="J790" s="14"/>
      <c r="K790" s="12"/>
    </row>
    <row r="791" ht="19.5" customHeight="1">
      <c r="A791" s="12"/>
      <c r="C791" s="12"/>
      <c r="D791" s="13"/>
      <c r="F791" s="14"/>
      <c r="G791" s="14"/>
      <c r="H791" s="14"/>
      <c r="I791" s="14"/>
      <c r="J791" s="14"/>
      <c r="K791" s="12"/>
    </row>
    <row r="792" ht="19.5" customHeight="1">
      <c r="A792" s="12"/>
      <c r="C792" s="12"/>
      <c r="D792" s="13"/>
      <c r="F792" s="14"/>
      <c r="G792" s="14"/>
      <c r="H792" s="14"/>
      <c r="I792" s="14"/>
      <c r="J792" s="14"/>
      <c r="K792" s="12"/>
    </row>
    <row r="793" ht="19.5" customHeight="1">
      <c r="A793" s="12"/>
      <c r="C793" s="12"/>
      <c r="D793" s="13"/>
      <c r="F793" s="14"/>
      <c r="G793" s="14"/>
      <c r="H793" s="14"/>
      <c r="I793" s="14"/>
      <c r="J793" s="14"/>
      <c r="K793" s="12"/>
    </row>
    <row r="794" ht="19.5" customHeight="1">
      <c r="A794" s="12"/>
      <c r="C794" s="12"/>
      <c r="D794" s="13"/>
      <c r="F794" s="14"/>
      <c r="G794" s="14"/>
      <c r="H794" s="14"/>
      <c r="I794" s="14"/>
      <c r="J794" s="14"/>
      <c r="K794" s="12"/>
    </row>
    <row r="795" ht="19.5" customHeight="1">
      <c r="A795" s="12"/>
      <c r="C795" s="12"/>
      <c r="D795" s="13"/>
      <c r="F795" s="14"/>
      <c r="G795" s="14"/>
      <c r="H795" s="14"/>
      <c r="I795" s="14"/>
      <c r="J795" s="14"/>
      <c r="K795" s="12"/>
    </row>
    <row r="796" ht="19.5" customHeight="1">
      <c r="A796" s="12"/>
      <c r="C796" s="12"/>
      <c r="D796" s="13"/>
      <c r="F796" s="14"/>
      <c r="G796" s="14"/>
      <c r="H796" s="14"/>
      <c r="I796" s="14"/>
      <c r="J796" s="14"/>
      <c r="K796" s="12"/>
    </row>
    <row r="797" ht="19.5" customHeight="1">
      <c r="A797" s="12"/>
      <c r="C797" s="12"/>
      <c r="D797" s="13"/>
      <c r="F797" s="14"/>
      <c r="G797" s="14"/>
      <c r="H797" s="14"/>
      <c r="I797" s="14"/>
      <c r="J797" s="14"/>
      <c r="K797" s="12"/>
    </row>
    <row r="798" ht="19.5" customHeight="1">
      <c r="A798" s="12"/>
      <c r="C798" s="12"/>
      <c r="D798" s="13"/>
      <c r="F798" s="14"/>
      <c r="G798" s="14"/>
      <c r="H798" s="14"/>
      <c r="I798" s="14"/>
      <c r="J798" s="14"/>
      <c r="K798" s="12"/>
    </row>
    <row r="799" ht="19.5" customHeight="1">
      <c r="A799" s="12"/>
      <c r="C799" s="12"/>
      <c r="D799" s="13"/>
      <c r="F799" s="14"/>
      <c r="G799" s="14"/>
      <c r="H799" s="14"/>
      <c r="I799" s="14"/>
      <c r="J799" s="14"/>
      <c r="K799" s="12"/>
    </row>
    <row r="800" ht="19.5" customHeight="1">
      <c r="A800" s="12"/>
      <c r="C800" s="12"/>
      <c r="D800" s="13"/>
      <c r="F800" s="14"/>
      <c r="G800" s="14"/>
      <c r="H800" s="14"/>
      <c r="I800" s="14"/>
      <c r="J800" s="14"/>
      <c r="K800" s="12"/>
    </row>
    <row r="801" ht="19.5" customHeight="1">
      <c r="A801" s="12"/>
      <c r="C801" s="12"/>
      <c r="D801" s="13"/>
      <c r="F801" s="14"/>
      <c r="G801" s="14"/>
      <c r="H801" s="14"/>
      <c r="I801" s="14"/>
      <c r="J801" s="14"/>
      <c r="K801" s="12"/>
    </row>
    <row r="802" ht="19.5" customHeight="1">
      <c r="A802" s="12"/>
      <c r="C802" s="12"/>
      <c r="D802" s="13"/>
      <c r="F802" s="14"/>
      <c r="G802" s="14"/>
      <c r="H802" s="14"/>
      <c r="I802" s="14"/>
      <c r="J802" s="14"/>
      <c r="K802" s="12"/>
    </row>
    <row r="803" ht="19.5" customHeight="1">
      <c r="A803" s="12"/>
      <c r="C803" s="12"/>
      <c r="D803" s="13"/>
      <c r="F803" s="14"/>
      <c r="G803" s="14"/>
      <c r="H803" s="14"/>
      <c r="I803" s="14"/>
      <c r="J803" s="14"/>
      <c r="K803" s="12"/>
    </row>
    <row r="804" ht="19.5" customHeight="1">
      <c r="A804" s="12"/>
      <c r="C804" s="12"/>
      <c r="D804" s="13"/>
      <c r="F804" s="14"/>
      <c r="G804" s="14"/>
      <c r="H804" s="14"/>
      <c r="I804" s="14"/>
      <c r="J804" s="14"/>
      <c r="K804" s="12"/>
    </row>
    <row r="805" ht="19.5" customHeight="1">
      <c r="A805" s="12"/>
      <c r="C805" s="12"/>
      <c r="D805" s="13"/>
      <c r="F805" s="14"/>
      <c r="G805" s="14"/>
      <c r="H805" s="14"/>
      <c r="I805" s="14"/>
      <c r="J805" s="14"/>
      <c r="K805" s="12"/>
    </row>
    <row r="806" ht="19.5" customHeight="1">
      <c r="A806" s="12"/>
      <c r="C806" s="12"/>
      <c r="D806" s="13"/>
      <c r="F806" s="14"/>
      <c r="G806" s="14"/>
      <c r="H806" s="14"/>
      <c r="I806" s="14"/>
      <c r="J806" s="14"/>
      <c r="K806" s="12"/>
    </row>
    <row r="807" ht="19.5" customHeight="1">
      <c r="A807" s="12"/>
      <c r="C807" s="12"/>
      <c r="D807" s="13"/>
      <c r="F807" s="14"/>
      <c r="G807" s="14"/>
      <c r="H807" s="14"/>
      <c r="I807" s="14"/>
      <c r="J807" s="14"/>
      <c r="K807" s="12"/>
    </row>
    <row r="808" ht="19.5" customHeight="1">
      <c r="A808" s="12"/>
      <c r="C808" s="12"/>
      <c r="D808" s="13"/>
      <c r="F808" s="14"/>
      <c r="G808" s="14"/>
      <c r="H808" s="14"/>
      <c r="I808" s="14"/>
      <c r="J808" s="14"/>
      <c r="K808" s="12"/>
    </row>
    <row r="809" ht="19.5" customHeight="1">
      <c r="A809" s="12"/>
      <c r="C809" s="12"/>
      <c r="D809" s="13"/>
      <c r="F809" s="14"/>
      <c r="G809" s="14"/>
      <c r="H809" s="14"/>
      <c r="I809" s="14"/>
      <c r="J809" s="14"/>
      <c r="K809" s="12"/>
    </row>
    <row r="810" ht="19.5" customHeight="1">
      <c r="A810" s="12"/>
      <c r="C810" s="12"/>
      <c r="D810" s="13"/>
      <c r="F810" s="14"/>
      <c r="G810" s="14"/>
      <c r="H810" s="14"/>
      <c r="I810" s="14"/>
      <c r="J810" s="14"/>
      <c r="K810" s="12"/>
    </row>
    <row r="811" ht="19.5" customHeight="1">
      <c r="A811" s="12"/>
      <c r="C811" s="12"/>
      <c r="D811" s="13"/>
      <c r="F811" s="14"/>
      <c r="G811" s="14"/>
      <c r="H811" s="14"/>
      <c r="I811" s="14"/>
      <c r="J811" s="14"/>
      <c r="K811" s="12"/>
    </row>
    <row r="812" ht="19.5" customHeight="1">
      <c r="A812" s="12"/>
      <c r="C812" s="12"/>
      <c r="D812" s="13"/>
      <c r="F812" s="14"/>
      <c r="G812" s="14"/>
      <c r="H812" s="14"/>
      <c r="I812" s="14"/>
      <c r="J812" s="14"/>
      <c r="K812" s="12"/>
    </row>
    <row r="813" ht="19.5" customHeight="1">
      <c r="A813" s="12"/>
      <c r="C813" s="12"/>
      <c r="D813" s="13"/>
      <c r="F813" s="14"/>
      <c r="G813" s="14"/>
      <c r="H813" s="14"/>
      <c r="I813" s="14"/>
      <c r="J813" s="14"/>
      <c r="K813" s="12"/>
    </row>
    <row r="814" ht="19.5" customHeight="1">
      <c r="A814" s="12"/>
      <c r="C814" s="12"/>
      <c r="D814" s="13"/>
      <c r="F814" s="14"/>
      <c r="G814" s="14"/>
      <c r="H814" s="14"/>
      <c r="I814" s="14"/>
      <c r="J814" s="14"/>
      <c r="K814" s="12"/>
    </row>
    <row r="815" ht="19.5" customHeight="1">
      <c r="A815" s="12"/>
      <c r="C815" s="12"/>
      <c r="D815" s="13"/>
      <c r="F815" s="14"/>
      <c r="G815" s="14"/>
      <c r="H815" s="14"/>
      <c r="I815" s="14"/>
      <c r="J815" s="14"/>
      <c r="K815" s="12"/>
    </row>
    <row r="816" ht="19.5" customHeight="1">
      <c r="A816" s="12"/>
      <c r="C816" s="12"/>
      <c r="D816" s="13"/>
      <c r="F816" s="14"/>
      <c r="G816" s="14"/>
      <c r="H816" s="14"/>
      <c r="I816" s="14"/>
      <c r="J816" s="14"/>
      <c r="K816" s="12"/>
    </row>
    <row r="817" ht="19.5" customHeight="1">
      <c r="A817" s="12"/>
      <c r="C817" s="12"/>
      <c r="D817" s="13"/>
      <c r="F817" s="14"/>
      <c r="G817" s="14"/>
      <c r="H817" s="14"/>
      <c r="I817" s="14"/>
      <c r="J817" s="14"/>
      <c r="K817" s="12"/>
    </row>
    <row r="818" ht="19.5" customHeight="1">
      <c r="A818" s="12"/>
      <c r="C818" s="12"/>
      <c r="D818" s="13"/>
      <c r="F818" s="14"/>
      <c r="G818" s="14"/>
      <c r="H818" s="14"/>
      <c r="I818" s="14"/>
      <c r="J818" s="14"/>
      <c r="K818" s="12"/>
    </row>
    <row r="819" ht="19.5" customHeight="1">
      <c r="A819" s="12"/>
      <c r="C819" s="12"/>
      <c r="D819" s="13"/>
      <c r="F819" s="14"/>
      <c r="G819" s="14"/>
      <c r="H819" s="14"/>
      <c r="I819" s="14"/>
      <c r="J819" s="14"/>
      <c r="K819" s="12"/>
    </row>
    <row r="820" ht="19.5" customHeight="1">
      <c r="A820" s="12"/>
      <c r="C820" s="12"/>
      <c r="D820" s="13"/>
      <c r="F820" s="14"/>
      <c r="G820" s="14"/>
      <c r="H820" s="14"/>
      <c r="I820" s="14"/>
      <c r="J820" s="14"/>
      <c r="K820" s="12"/>
    </row>
    <row r="821" ht="19.5" customHeight="1">
      <c r="A821" s="12"/>
      <c r="C821" s="12"/>
      <c r="D821" s="13"/>
      <c r="F821" s="14"/>
      <c r="G821" s="14"/>
      <c r="H821" s="14"/>
      <c r="I821" s="14"/>
      <c r="J821" s="14"/>
      <c r="K821" s="12"/>
    </row>
    <row r="822" ht="19.5" customHeight="1">
      <c r="A822" s="12"/>
      <c r="C822" s="12"/>
      <c r="D822" s="13"/>
      <c r="F822" s="14"/>
      <c r="G822" s="14"/>
      <c r="H822" s="14"/>
      <c r="I822" s="14"/>
      <c r="J822" s="14"/>
      <c r="K822" s="12"/>
    </row>
    <row r="823" ht="19.5" customHeight="1">
      <c r="A823" s="12"/>
      <c r="C823" s="12"/>
      <c r="D823" s="13"/>
      <c r="F823" s="14"/>
      <c r="G823" s="14"/>
      <c r="H823" s="14"/>
      <c r="I823" s="14"/>
      <c r="J823" s="14"/>
      <c r="K823" s="12"/>
    </row>
    <row r="824" ht="19.5" customHeight="1">
      <c r="A824" s="12"/>
      <c r="C824" s="12"/>
      <c r="D824" s="13"/>
      <c r="F824" s="14"/>
      <c r="G824" s="14"/>
      <c r="H824" s="14"/>
      <c r="I824" s="14"/>
      <c r="J824" s="14"/>
      <c r="K824" s="12"/>
    </row>
    <row r="825" ht="19.5" customHeight="1">
      <c r="A825" s="12"/>
      <c r="C825" s="12"/>
      <c r="D825" s="13"/>
      <c r="F825" s="14"/>
      <c r="G825" s="14"/>
      <c r="H825" s="14"/>
      <c r="I825" s="14"/>
      <c r="J825" s="14"/>
      <c r="K825" s="12"/>
    </row>
    <row r="826" ht="19.5" customHeight="1">
      <c r="A826" s="12"/>
      <c r="C826" s="12"/>
      <c r="D826" s="13"/>
      <c r="F826" s="14"/>
      <c r="G826" s="14"/>
      <c r="H826" s="14"/>
      <c r="I826" s="14"/>
      <c r="J826" s="14"/>
      <c r="K826" s="12"/>
    </row>
    <row r="827" ht="19.5" customHeight="1">
      <c r="A827" s="12"/>
      <c r="C827" s="12"/>
      <c r="D827" s="13"/>
      <c r="F827" s="14"/>
      <c r="G827" s="14"/>
      <c r="H827" s="14"/>
      <c r="I827" s="14"/>
      <c r="J827" s="14"/>
      <c r="K827" s="12"/>
    </row>
    <row r="828" ht="19.5" customHeight="1">
      <c r="A828" s="12"/>
      <c r="C828" s="12"/>
      <c r="D828" s="13"/>
      <c r="F828" s="14"/>
      <c r="G828" s="14"/>
      <c r="H828" s="14"/>
      <c r="I828" s="14"/>
      <c r="J828" s="14"/>
      <c r="K828" s="12"/>
    </row>
    <row r="829" ht="19.5" customHeight="1">
      <c r="A829" s="12"/>
      <c r="C829" s="12"/>
      <c r="D829" s="13"/>
      <c r="F829" s="14"/>
      <c r="G829" s="14"/>
      <c r="H829" s="14"/>
      <c r="I829" s="14"/>
      <c r="J829" s="14"/>
      <c r="K829" s="12"/>
    </row>
    <row r="830" ht="19.5" customHeight="1">
      <c r="A830" s="12"/>
      <c r="C830" s="12"/>
      <c r="D830" s="13"/>
      <c r="F830" s="14"/>
      <c r="G830" s="14"/>
      <c r="H830" s="14"/>
      <c r="I830" s="14"/>
      <c r="J830" s="14"/>
      <c r="K830" s="12"/>
    </row>
    <row r="831" ht="19.5" customHeight="1">
      <c r="A831" s="12"/>
      <c r="C831" s="12"/>
      <c r="D831" s="13"/>
      <c r="F831" s="14"/>
      <c r="G831" s="14"/>
      <c r="H831" s="14"/>
      <c r="I831" s="14"/>
      <c r="J831" s="14"/>
      <c r="K831" s="12"/>
    </row>
    <row r="832" ht="19.5" customHeight="1">
      <c r="A832" s="12"/>
      <c r="C832" s="12"/>
      <c r="D832" s="13"/>
      <c r="F832" s="14"/>
      <c r="G832" s="14"/>
      <c r="H832" s="14"/>
      <c r="I832" s="14"/>
      <c r="J832" s="14"/>
      <c r="K832" s="12"/>
    </row>
    <row r="833" ht="19.5" customHeight="1">
      <c r="A833" s="12"/>
      <c r="C833" s="12"/>
      <c r="D833" s="13"/>
      <c r="F833" s="14"/>
      <c r="G833" s="14"/>
      <c r="H833" s="14"/>
      <c r="I833" s="14"/>
      <c r="J833" s="14"/>
      <c r="K833" s="12"/>
    </row>
    <row r="834" ht="19.5" customHeight="1">
      <c r="A834" s="12"/>
      <c r="C834" s="12"/>
      <c r="D834" s="13"/>
      <c r="F834" s="14"/>
      <c r="G834" s="14"/>
      <c r="H834" s="14"/>
      <c r="I834" s="14"/>
      <c r="J834" s="14"/>
      <c r="K834" s="12"/>
    </row>
    <row r="835" ht="19.5" customHeight="1">
      <c r="A835" s="12"/>
      <c r="C835" s="12"/>
      <c r="D835" s="13"/>
      <c r="F835" s="14"/>
      <c r="G835" s="14"/>
      <c r="H835" s="14"/>
      <c r="I835" s="14"/>
      <c r="J835" s="14"/>
      <c r="K835" s="12"/>
    </row>
    <row r="836" ht="19.5" customHeight="1">
      <c r="A836" s="12"/>
      <c r="C836" s="12"/>
      <c r="D836" s="13"/>
      <c r="F836" s="14"/>
      <c r="G836" s="14"/>
      <c r="H836" s="14"/>
      <c r="I836" s="14"/>
      <c r="J836" s="14"/>
      <c r="K836" s="12"/>
    </row>
    <row r="837" ht="19.5" customHeight="1">
      <c r="A837" s="12"/>
      <c r="C837" s="12"/>
      <c r="D837" s="13"/>
      <c r="F837" s="14"/>
      <c r="G837" s="14"/>
      <c r="H837" s="14"/>
      <c r="I837" s="14"/>
      <c r="J837" s="14"/>
      <c r="K837" s="12"/>
    </row>
    <row r="838" ht="19.5" customHeight="1">
      <c r="A838" s="12"/>
      <c r="C838" s="12"/>
      <c r="D838" s="13"/>
      <c r="F838" s="14"/>
      <c r="G838" s="14"/>
      <c r="H838" s="14"/>
      <c r="I838" s="14"/>
      <c r="J838" s="14"/>
      <c r="K838" s="12"/>
    </row>
    <row r="839" ht="19.5" customHeight="1">
      <c r="A839" s="12"/>
      <c r="C839" s="12"/>
      <c r="D839" s="13"/>
      <c r="F839" s="14"/>
      <c r="G839" s="14"/>
      <c r="H839" s="14"/>
      <c r="I839" s="14"/>
      <c r="J839" s="14"/>
      <c r="K839" s="12"/>
    </row>
    <row r="840" ht="19.5" customHeight="1">
      <c r="A840" s="12"/>
      <c r="C840" s="12"/>
      <c r="D840" s="13"/>
      <c r="F840" s="14"/>
      <c r="G840" s="14"/>
      <c r="H840" s="14"/>
      <c r="I840" s="14"/>
      <c r="J840" s="14"/>
      <c r="K840" s="12"/>
    </row>
    <row r="841" ht="19.5" customHeight="1">
      <c r="A841" s="12"/>
      <c r="C841" s="12"/>
      <c r="D841" s="13"/>
      <c r="F841" s="14"/>
      <c r="G841" s="14"/>
      <c r="H841" s="14"/>
      <c r="I841" s="14"/>
      <c r="J841" s="14"/>
      <c r="K841" s="12"/>
    </row>
    <row r="842" ht="19.5" customHeight="1">
      <c r="A842" s="12"/>
      <c r="C842" s="12"/>
      <c r="D842" s="13"/>
      <c r="F842" s="14"/>
      <c r="G842" s="14"/>
      <c r="H842" s="14"/>
      <c r="I842" s="14"/>
      <c r="J842" s="14"/>
      <c r="K842" s="12"/>
    </row>
    <row r="843" ht="19.5" customHeight="1">
      <c r="A843" s="12"/>
      <c r="C843" s="12"/>
      <c r="D843" s="13"/>
      <c r="F843" s="14"/>
      <c r="G843" s="14"/>
      <c r="H843" s="14"/>
      <c r="I843" s="14"/>
      <c r="J843" s="14"/>
      <c r="K843" s="12"/>
    </row>
    <row r="844" ht="19.5" customHeight="1">
      <c r="A844" s="12"/>
      <c r="C844" s="12"/>
      <c r="D844" s="13"/>
      <c r="F844" s="14"/>
      <c r="G844" s="14"/>
      <c r="H844" s="14"/>
      <c r="I844" s="14"/>
      <c r="J844" s="14"/>
      <c r="K844" s="12"/>
    </row>
    <row r="845" ht="19.5" customHeight="1">
      <c r="A845" s="12"/>
      <c r="C845" s="12"/>
      <c r="D845" s="13"/>
      <c r="F845" s="14"/>
      <c r="G845" s="14"/>
      <c r="H845" s="14"/>
      <c r="I845" s="14"/>
      <c r="J845" s="14"/>
      <c r="K845" s="12"/>
    </row>
    <row r="846" ht="19.5" customHeight="1">
      <c r="A846" s="12"/>
      <c r="C846" s="12"/>
      <c r="D846" s="13"/>
      <c r="F846" s="14"/>
      <c r="G846" s="14"/>
      <c r="H846" s="14"/>
      <c r="I846" s="14"/>
      <c r="J846" s="14"/>
      <c r="K846" s="12"/>
    </row>
    <row r="847" ht="19.5" customHeight="1">
      <c r="A847" s="12"/>
      <c r="C847" s="12"/>
      <c r="D847" s="13"/>
      <c r="F847" s="14"/>
      <c r="G847" s="14"/>
      <c r="H847" s="14"/>
      <c r="I847" s="14"/>
      <c r="J847" s="14"/>
      <c r="K847" s="12"/>
    </row>
    <row r="848" ht="19.5" customHeight="1">
      <c r="A848" s="12"/>
      <c r="C848" s="12"/>
      <c r="D848" s="13"/>
      <c r="F848" s="14"/>
      <c r="G848" s="14"/>
      <c r="H848" s="14"/>
      <c r="I848" s="14"/>
      <c r="J848" s="14"/>
      <c r="K848" s="12"/>
    </row>
    <row r="849" ht="19.5" customHeight="1">
      <c r="A849" s="12"/>
      <c r="C849" s="12"/>
      <c r="D849" s="13"/>
      <c r="F849" s="14"/>
      <c r="G849" s="14"/>
      <c r="H849" s="14"/>
      <c r="I849" s="14"/>
      <c r="J849" s="14"/>
      <c r="K849" s="12"/>
    </row>
    <row r="850" ht="19.5" customHeight="1">
      <c r="A850" s="12"/>
      <c r="C850" s="12"/>
      <c r="D850" s="13"/>
      <c r="F850" s="14"/>
      <c r="G850" s="14"/>
      <c r="H850" s="14"/>
      <c r="I850" s="14"/>
      <c r="J850" s="14"/>
      <c r="K850" s="12"/>
    </row>
    <row r="851" ht="19.5" customHeight="1">
      <c r="A851" s="12"/>
      <c r="C851" s="12"/>
      <c r="D851" s="13"/>
      <c r="F851" s="14"/>
      <c r="G851" s="14"/>
      <c r="H851" s="14"/>
      <c r="I851" s="14"/>
      <c r="J851" s="14"/>
      <c r="K851" s="12"/>
    </row>
    <row r="852" ht="19.5" customHeight="1">
      <c r="A852" s="12"/>
      <c r="C852" s="12"/>
      <c r="D852" s="13"/>
      <c r="F852" s="14"/>
      <c r="G852" s="14"/>
      <c r="H852" s="14"/>
      <c r="I852" s="14"/>
      <c r="J852" s="14"/>
      <c r="K852" s="12"/>
    </row>
    <row r="853" ht="19.5" customHeight="1">
      <c r="A853" s="12"/>
      <c r="C853" s="12"/>
      <c r="D853" s="13"/>
      <c r="F853" s="14"/>
      <c r="G853" s="14"/>
      <c r="H853" s="14"/>
      <c r="I853" s="14"/>
      <c r="J853" s="14"/>
      <c r="K853" s="12"/>
    </row>
    <row r="854" ht="19.5" customHeight="1">
      <c r="A854" s="12"/>
      <c r="C854" s="12"/>
      <c r="D854" s="13"/>
      <c r="F854" s="14"/>
      <c r="G854" s="14"/>
      <c r="H854" s="14"/>
      <c r="I854" s="14"/>
      <c r="J854" s="14"/>
      <c r="K854" s="12"/>
    </row>
    <row r="855" ht="19.5" customHeight="1">
      <c r="A855" s="12"/>
      <c r="C855" s="12"/>
      <c r="D855" s="13"/>
      <c r="F855" s="14"/>
      <c r="G855" s="14"/>
      <c r="H855" s="14"/>
      <c r="I855" s="14"/>
      <c r="J855" s="14"/>
      <c r="K855" s="12"/>
    </row>
    <row r="856" ht="19.5" customHeight="1">
      <c r="A856" s="12"/>
      <c r="C856" s="12"/>
      <c r="D856" s="13"/>
      <c r="F856" s="14"/>
      <c r="G856" s="14"/>
      <c r="H856" s="14"/>
      <c r="I856" s="14"/>
      <c r="J856" s="14"/>
      <c r="K856" s="12"/>
    </row>
    <row r="857" ht="19.5" customHeight="1">
      <c r="A857" s="12"/>
      <c r="C857" s="12"/>
      <c r="D857" s="13"/>
      <c r="F857" s="14"/>
      <c r="G857" s="14"/>
      <c r="H857" s="14"/>
      <c r="I857" s="14"/>
      <c r="J857" s="14"/>
      <c r="K857" s="12"/>
    </row>
    <row r="858" ht="19.5" customHeight="1">
      <c r="A858" s="12"/>
      <c r="C858" s="12"/>
      <c r="D858" s="13"/>
      <c r="F858" s="14"/>
      <c r="G858" s="14"/>
      <c r="H858" s="14"/>
      <c r="I858" s="14"/>
      <c r="J858" s="14"/>
      <c r="K858" s="12"/>
    </row>
    <row r="859" ht="19.5" customHeight="1">
      <c r="A859" s="12"/>
      <c r="C859" s="12"/>
      <c r="D859" s="13"/>
      <c r="F859" s="14"/>
      <c r="G859" s="14"/>
      <c r="H859" s="14"/>
      <c r="I859" s="14"/>
      <c r="J859" s="14"/>
      <c r="K859" s="12"/>
    </row>
    <row r="860" ht="19.5" customHeight="1">
      <c r="A860" s="12"/>
      <c r="C860" s="12"/>
      <c r="D860" s="13"/>
      <c r="F860" s="14"/>
      <c r="G860" s="14"/>
      <c r="H860" s="14"/>
      <c r="I860" s="14"/>
      <c r="J860" s="14"/>
      <c r="K860" s="12"/>
    </row>
    <row r="861" ht="19.5" customHeight="1">
      <c r="A861" s="12"/>
      <c r="C861" s="12"/>
      <c r="D861" s="13"/>
      <c r="F861" s="14"/>
      <c r="G861" s="14"/>
      <c r="H861" s="14"/>
      <c r="I861" s="14"/>
      <c r="J861" s="14"/>
      <c r="K861" s="12"/>
    </row>
    <row r="862" ht="19.5" customHeight="1">
      <c r="A862" s="12"/>
      <c r="C862" s="12"/>
      <c r="D862" s="13"/>
      <c r="F862" s="14"/>
      <c r="G862" s="14"/>
      <c r="H862" s="14"/>
      <c r="I862" s="14"/>
      <c r="J862" s="14"/>
      <c r="K862" s="12"/>
    </row>
    <row r="863" ht="19.5" customHeight="1">
      <c r="A863" s="12"/>
      <c r="C863" s="12"/>
      <c r="D863" s="13"/>
      <c r="F863" s="14"/>
      <c r="G863" s="14"/>
      <c r="H863" s="14"/>
      <c r="I863" s="14"/>
      <c r="J863" s="14"/>
      <c r="K863" s="12"/>
    </row>
    <row r="864" ht="19.5" customHeight="1">
      <c r="A864" s="12"/>
      <c r="C864" s="12"/>
      <c r="D864" s="13"/>
      <c r="F864" s="14"/>
      <c r="G864" s="14"/>
      <c r="H864" s="14"/>
      <c r="I864" s="14"/>
      <c r="J864" s="14"/>
      <c r="K864" s="12"/>
    </row>
    <row r="865" ht="19.5" customHeight="1">
      <c r="A865" s="12"/>
      <c r="C865" s="12"/>
      <c r="D865" s="13"/>
      <c r="F865" s="14"/>
      <c r="G865" s="14"/>
      <c r="H865" s="14"/>
      <c r="I865" s="14"/>
      <c r="J865" s="14"/>
      <c r="K865" s="12"/>
    </row>
    <row r="866" ht="19.5" customHeight="1">
      <c r="A866" s="12"/>
      <c r="C866" s="12"/>
      <c r="D866" s="13"/>
      <c r="F866" s="14"/>
      <c r="G866" s="14"/>
      <c r="H866" s="14"/>
      <c r="I866" s="14"/>
      <c r="J866" s="14"/>
      <c r="K866" s="12"/>
    </row>
    <row r="867" ht="19.5" customHeight="1">
      <c r="A867" s="12"/>
      <c r="C867" s="12"/>
      <c r="D867" s="13"/>
      <c r="F867" s="14"/>
      <c r="G867" s="14"/>
      <c r="H867" s="14"/>
      <c r="I867" s="14"/>
      <c r="J867" s="14"/>
      <c r="K867" s="12"/>
    </row>
    <row r="868" ht="19.5" customHeight="1">
      <c r="A868" s="12"/>
      <c r="C868" s="12"/>
      <c r="D868" s="13"/>
      <c r="F868" s="14"/>
      <c r="G868" s="14"/>
      <c r="H868" s="14"/>
      <c r="I868" s="14"/>
      <c r="J868" s="14"/>
      <c r="K868" s="12"/>
    </row>
    <row r="869" ht="19.5" customHeight="1">
      <c r="A869" s="12"/>
      <c r="C869" s="12"/>
      <c r="D869" s="13"/>
      <c r="F869" s="14"/>
      <c r="G869" s="14"/>
      <c r="H869" s="14"/>
      <c r="I869" s="14"/>
      <c r="J869" s="14"/>
      <c r="K869" s="12"/>
    </row>
    <row r="870" ht="19.5" customHeight="1">
      <c r="A870" s="12"/>
      <c r="C870" s="12"/>
      <c r="D870" s="13"/>
      <c r="F870" s="14"/>
      <c r="G870" s="14"/>
      <c r="H870" s="14"/>
      <c r="I870" s="14"/>
      <c r="J870" s="14"/>
      <c r="K870" s="12"/>
    </row>
    <row r="871" ht="19.5" customHeight="1">
      <c r="A871" s="12"/>
      <c r="C871" s="12"/>
      <c r="D871" s="13"/>
      <c r="F871" s="14"/>
      <c r="G871" s="14"/>
      <c r="H871" s="14"/>
      <c r="I871" s="14"/>
      <c r="J871" s="14"/>
      <c r="K871" s="12"/>
    </row>
    <row r="872" ht="19.5" customHeight="1">
      <c r="A872" s="12"/>
      <c r="C872" s="12"/>
      <c r="D872" s="13"/>
      <c r="F872" s="14"/>
      <c r="G872" s="14"/>
      <c r="H872" s="14"/>
      <c r="I872" s="14"/>
      <c r="J872" s="14"/>
      <c r="K872" s="12"/>
    </row>
    <row r="873" ht="19.5" customHeight="1">
      <c r="A873" s="12"/>
      <c r="C873" s="12"/>
      <c r="D873" s="13"/>
      <c r="F873" s="14"/>
      <c r="G873" s="14"/>
      <c r="H873" s="14"/>
      <c r="I873" s="14"/>
      <c r="J873" s="14"/>
      <c r="K873" s="12"/>
    </row>
    <row r="874" ht="19.5" customHeight="1">
      <c r="A874" s="12"/>
      <c r="C874" s="12"/>
      <c r="D874" s="13"/>
      <c r="F874" s="14"/>
      <c r="G874" s="14"/>
      <c r="H874" s="14"/>
      <c r="I874" s="14"/>
      <c r="J874" s="14"/>
      <c r="K874" s="12"/>
    </row>
    <row r="875" ht="19.5" customHeight="1">
      <c r="A875" s="12"/>
      <c r="C875" s="12"/>
      <c r="D875" s="13"/>
      <c r="F875" s="14"/>
      <c r="G875" s="14"/>
      <c r="H875" s="14"/>
      <c r="I875" s="14"/>
      <c r="J875" s="14"/>
      <c r="K875" s="12"/>
    </row>
    <row r="876" ht="19.5" customHeight="1">
      <c r="A876" s="12"/>
      <c r="C876" s="12"/>
      <c r="D876" s="13"/>
      <c r="F876" s="14"/>
      <c r="G876" s="14"/>
      <c r="H876" s="14"/>
      <c r="I876" s="14"/>
      <c r="J876" s="14"/>
      <c r="K876" s="12"/>
    </row>
    <row r="877" ht="19.5" customHeight="1">
      <c r="A877" s="12"/>
      <c r="C877" s="12"/>
      <c r="D877" s="13"/>
      <c r="F877" s="14"/>
      <c r="G877" s="14"/>
      <c r="H877" s="14"/>
      <c r="I877" s="14"/>
      <c r="J877" s="14"/>
      <c r="K877" s="12"/>
    </row>
    <row r="878" ht="19.5" customHeight="1">
      <c r="A878" s="12"/>
      <c r="C878" s="12"/>
      <c r="D878" s="13"/>
      <c r="F878" s="14"/>
      <c r="G878" s="14"/>
      <c r="H878" s="14"/>
      <c r="I878" s="14"/>
      <c r="J878" s="14"/>
      <c r="K878" s="12"/>
    </row>
    <row r="879" ht="19.5" customHeight="1">
      <c r="A879" s="12"/>
      <c r="C879" s="12"/>
      <c r="D879" s="13"/>
      <c r="F879" s="14"/>
      <c r="G879" s="14"/>
      <c r="H879" s="14"/>
      <c r="I879" s="14"/>
      <c r="J879" s="14"/>
      <c r="K879" s="12"/>
    </row>
    <row r="880" ht="19.5" customHeight="1">
      <c r="A880" s="12"/>
      <c r="C880" s="12"/>
      <c r="D880" s="13"/>
      <c r="F880" s="14"/>
      <c r="G880" s="14"/>
      <c r="H880" s="14"/>
      <c r="I880" s="14"/>
      <c r="J880" s="14"/>
      <c r="K880" s="12"/>
    </row>
    <row r="881" ht="19.5" customHeight="1">
      <c r="A881" s="12"/>
      <c r="C881" s="12"/>
      <c r="D881" s="13"/>
      <c r="F881" s="14"/>
      <c r="G881" s="14"/>
      <c r="H881" s="14"/>
      <c r="I881" s="14"/>
      <c r="J881" s="14"/>
      <c r="K881" s="12"/>
    </row>
    <row r="882" ht="19.5" customHeight="1">
      <c r="A882" s="12"/>
      <c r="C882" s="12"/>
      <c r="D882" s="13"/>
      <c r="F882" s="14"/>
      <c r="G882" s="14"/>
      <c r="H882" s="14"/>
      <c r="I882" s="14"/>
      <c r="J882" s="14"/>
      <c r="K882" s="12"/>
    </row>
    <row r="883" ht="19.5" customHeight="1">
      <c r="A883" s="12"/>
      <c r="C883" s="12"/>
      <c r="D883" s="13"/>
      <c r="F883" s="14"/>
      <c r="G883" s="14"/>
      <c r="H883" s="14"/>
      <c r="I883" s="14"/>
      <c r="J883" s="14"/>
      <c r="K883" s="12"/>
    </row>
    <row r="884" ht="19.5" customHeight="1">
      <c r="A884" s="12"/>
      <c r="C884" s="12"/>
      <c r="D884" s="13"/>
      <c r="F884" s="14"/>
      <c r="G884" s="14"/>
      <c r="H884" s="14"/>
      <c r="I884" s="14"/>
      <c r="J884" s="14"/>
      <c r="K884" s="12"/>
    </row>
    <row r="885" ht="19.5" customHeight="1">
      <c r="A885" s="12"/>
      <c r="C885" s="12"/>
      <c r="D885" s="13"/>
      <c r="F885" s="14"/>
      <c r="G885" s="14"/>
      <c r="H885" s="14"/>
      <c r="I885" s="14"/>
      <c r="J885" s="14"/>
      <c r="K885" s="12"/>
    </row>
    <row r="886" ht="19.5" customHeight="1">
      <c r="A886" s="12"/>
      <c r="C886" s="12"/>
      <c r="D886" s="13"/>
      <c r="F886" s="14"/>
      <c r="G886" s="14"/>
      <c r="H886" s="14"/>
      <c r="I886" s="14"/>
      <c r="J886" s="14"/>
      <c r="K886" s="12"/>
    </row>
    <row r="887" ht="19.5" customHeight="1">
      <c r="A887" s="12"/>
      <c r="C887" s="12"/>
      <c r="D887" s="13"/>
      <c r="F887" s="14"/>
      <c r="G887" s="14"/>
      <c r="H887" s="14"/>
      <c r="I887" s="14"/>
      <c r="J887" s="14"/>
      <c r="K887" s="12"/>
    </row>
    <row r="888" ht="19.5" customHeight="1">
      <c r="A888" s="12"/>
      <c r="C888" s="12"/>
      <c r="D888" s="13"/>
      <c r="F888" s="14"/>
      <c r="G888" s="14"/>
      <c r="H888" s="14"/>
      <c r="I888" s="14"/>
      <c r="J888" s="14"/>
      <c r="K888" s="12"/>
    </row>
    <row r="889" ht="19.5" customHeight="1">
      <c r="A889" s="12"/>
      <c r="C889" s="12"/>
      <c r="D889" s="13"/>
      <c r="F889" s="14"/>
      <c r="G889" s="14"/>
      <c r="H889" s="14"/>
      <c r="I889" s="14"/>
      <c r="J889" s="14"/>
      <c r="K889" s="12"/>
    </row>
    <row r="890" ht="19.5" customHeight="1">
      <c r="A890" s="12"/>
      <c r="C890" s="12"/>
      <c r="D890" s="13"/>
      <c r="F890" s="14"/>
      <c r="G890" s="14"/>
      <c r="H890" s="14"/>
      <c r="I890" s="14"/>
      <c r="J890" s="14"/>
      <c r="K890" s="12"/>
    </row>
    <row r="891" ht="19.5" customHeight="1">
      <c r="A891" s="12"/>
      <c r="C891" s="12"/>
      <c r="D891" s="13"/>
      <c r="F891" s="14"/>
      <c r="G891" s="14"/>
      <c r="H891" s="14"/>
      <c r="I891" s="14"/>
      <c r="J891" s="14"/>
      <c r="K891" s="12"/>
    </row>
    <row r="892" ht="19.5" customHeight="1">
      <c r="A892" s="12"/>
      <c r="C892" s="12"/>
      <c r="D892" s="13"/>
      <c r="F892" s="14"/>
      <c r="G892" s="14"/>
      <c r="H892" s="14"/>
      <c r="I892" s="14"/>
      <c r="J892" s="14"/>
      <c r="K892" s="12"/>
    </row>
    <row r="893" ht="19.5" customHeight="1">
      <c r="A893" s="12"/>
      <c r="C893" s="12"/>
      <c r="D893" s="13"/>
      <c r="F893" s="14"/>
      <c r="G893" s="14"/>
      <c r="H893" s="14"/>
      <c r="I893" s="14"/>
      <c r="J893" s="14"/>
      <c r="K893" s="12"/>
    </row>
    <row r="894" ht="19.5" customHeight="1">
      <c r="A894" s="12"/>
      <c r="C894" s="12"/>
      <c r="D894" s="13"/>
      <c r="F894" s="14"/>
      <c r="G894" s="14"/>
      <c r="H894" s="14"/>
      <c r="I894" s="14"/>
      <c r="J894" s="14"/>
      <c r="K894" s="12"/>
    </row>
    <row r="895" ht="19.5" customHeight="1">
      <c r="A895" s="12"/>
      <c r="C895" s="12"/>
      <c r="D895" s="13"/>
      <c r="F895" s="14"/>
      <c r="G895" s="14"/>
      <c r="H895" s="14"/>
      <c r="I895" s="14"/>
      <c r="J895" s="14"/>
      <c r="K895" s="12"/>
    </row>
    <row r="896" ht="19.5" customHeight="1">
      <c r="A896" s="12"/>
      <c r="C896" s="12"/>
      <c r="D896" s="13"/>
      <c r="F896" s="14"/>
      <c r="G896" s="14"/>
      <c r="H896" s="14"/>
      <c r="I896" s="14"/>
      <c r="J896" s="14"/>
      <c r="K896" s="12"/>
    </row>
    <row r="897" ht="19.5" customHeight="1">
      <c r="A897" s="12"/>
      <c r="C897" s="12"/>
      <c r="D897" s="13"/>
      <c r="F897" s="14"/>
      <c r="G897" s="14"/>
      <c r="H897" s="14"/>
      <c r="I897" s="14"/>
      <c r="J897" s="14"/>
      <c r="K897" s="12"/>
    </row>
    <row r="898" ht="19.5" customHeight="1">
      <c r="A898" s="12"/>
      <c r="C898" s="12"/>
      <c r="D898" s="13"/>
      <c r="F898" s="14"/>
      <c r="G898" s="14"/>
      <c r="H898" s="14"/>
      <c r="I898" s="14"/>
      <c r="J898" s="14"/>
      <c r="K898" s="12"/>
    </row>
    <row r="899" ht="19.5" customHeight="1">
      <c r="A899" s="12"/>
      <c r="C899" s="12"/>
      <c r="D899" s="13"/>
      <c r="F899" s="14"/>
      <c r="G899" s="14"/>
      <c r="H899" s="14"/>
      <c r="I899" s="14"/>
      <c r="J899" s="14"/>
      <c r="K899" s="12"/>
    </row>
    <row r="900" ht="19.5" customHeight="1">
      <c r="A900" s="12"/>
      <c r="C900" s="12"/>
      <c r="D900" s="13"/>
      <c r="F900" s="14"/>
      <c r="G900" s="14"/>
      <c r="H900" s="14"/>
      <c r="I900" s="14"/>
      <c r="J900" s="14"/>
      <c r="K900" s="12"/>
    </row>
    <row r="901" ht="19.5" customHeight="1">
      <c r="A901" s="12"/>
      <c r="C901" s="12"/>
      <c r="D901" s="13"/>
      <c r="F901" s="14"/>
      <c r="G901" s="14"/>
      <c r="H901" s="14"/>
      <c r="I901" s="14"/>
      <c r="J901" s="14"/>
      <c r="K901" s="12"/>
    </row>
    <row r="902" ht="19.5" customHeight="1">
      <c r="A902" s="12"/>
      <c r="C902" s="12"/>
      <c r="D902" s="13"/>
      <c r="F902" s="14"/>
      <c r="G902" s="14"/>
      <c r="H902" s="14"/>
      <c r="I902" s="14"/>
      <c r="J902" s="14"/>
      <c r="K902" s="12"/>
    </row>
    <row r="903" ht="19.5" customHeight="1">
      <c r="A903" s="12"/>
      <c r="C903" s="12"/>
      <c r="D903" s="13"/>
      <c r="F903" s="14"/>
      <c r="G903" s="14"/>
      <c r="H903" s="14"/>
      <c r="I903" s="14"/>
      <c r="J903" s="14"/>
      <c r="K903" s="12"/>
    </row>
    <row r="904" ht="19.5" customHeight="1">
      <c r="A904" s="12"/>
      <c r="C904" s="12"/>
      <c r="D904" s="13"/>
      <c r="F904" s="14"/>
      <c r="G904" s="14"/>
      <c r="H904" s="14"/>
      <c r="I904" s="14"/>
      <c r="J904" s="14"/>
      <c r="K904" s="12"/>
    </row>
    <row r="905" ht="19.5" customHeight="1">
      <c r="A905" s="12"/>
      <c r="C905" s="12"/>
      <c r="D905" s="13"/>
      <c r="F905" s="14"/>
      <c r="G905" s="14"/>
      <c r="H905" s="14"/>
      <c r="I905" s="14"/>
      <c r="J905" s="14"/>
      <c r="K905" s="12"/>
    </row>
    <row r="906" ht="19.5" customHeight="1">
      <c r="A906" s="12"/>
      <c r="C906" s="12"/>
      <c r="D906" s="13"/>
      <c r="F906" s="14"/>
      <c r="G906" s="14"/>
      <c r="H906" s="14"/>
      <c r="I906" s="14"/>
      <c r="J906" s="14"/>
      <c r="K906" s="12"/>
    </row>
    <row r="907" ht="19.5" customHeight="1">
      <c r="A907" s="12"/>
      <c r="C907" s="12"/>
      <c r="D907" s="13"/>
      <c r="F907" s="14"/>
      <c r="G907" s="14"/>
      <c r="H907" s="14"/>
      <c r="I907" s="14"/>
      <c r="J907" s="14"/>
      <c r="K907" s="12"/>
    </row>
    <row r="908" ht="19.5" customHeight="1">
      <c r="A908" s="12"/>
      <c r="C908" s="12"/>
      <c r="D908" s="13"/>
      <c r="F908" s="14"/>
      <c r="G908" s="14"/>
      <c r="H908" s="14"/>
      <c r="I908" s="14"/>
      <c r="J908" s="14"/>
      <c r="K908" s="12"/>
    </row>
    <row r="909" ht="19.5" customHeight="1">
      <c r="A909" s="12"/>
      <c r="C909" s="12"/>
      <c r="D909" s="13"/>
      <c r="F909" s="14"/>
      <c r="G909" s="14"/>
      <c r="H909" s="14"/>
      <c r="I909" s="14"/>
      <c r="J909" s="14"/>
      <c r="K909" s="12"/>
    </row>
    <row r="910" ht="19.5" customHeight="1">
      <c r="A910" s="12"/>
      <c r="C910" s="12"/>
      <c r="D910" s="13"/>
      <c r="F910" s="14"/>
      <c r="G910" s="14"/>
      <c r="H910" s="14"/>
      <c r="I910" s="14"/>
      <c r="J910" s="14"/>
      <c r="K910" s="12"/>
    </row>
    <row r="911" ht="19.5" customHeight="1">
      <c r="A911" s="12"/>
      <c r="C911" s="12"/>
      <c r="D911" s="13"/>
      <c r="F911" s="14"/>
      <c r="G911" s="14"/>
      <c r="H911" s="14"/>
      <c r="I911" s="14"/>
      <c r="J911" s="14"/>
      <c r="K911" s="12"/>
    </row>
    <row r="912" ht="19.5" customHeight="1">
      <c r="A912" s="12"/>
      <c r="C912" s="12"/>
      <c r="D912" s="13"/>
      <c r="F912" s="14"/>
      <c r="G912" s="14"/>
      <c r="H912" s="14"/>
      <c r="I912" s="14"/>
      <c r="J912" s="14"/>
      <c r="K912" s="12"/>
    </row>
    <row r="913" ht="19.5" customHeight="1">
      <c r="A913" s="12"/>
      <c r="C913" s="12"/>
      <c r="D913" s="13"/>
      <c r="F913" s="14"/>
      <c r="G913" s="14"/>
      <c r="H913" s="14"/>
      <c r="I913" s="14"/>
      <c r="J913" s="14"/>
      <c r="K913" s="12"/>
    </row>
    <row r="914" ht="19.5" customHeight="1">
      <c r="A914" s="12"/>
      <c r="C914" s="12"/>
      <c r="D914" s="13"/>
      <c r="F914" s="14"/>
      <c r="G914" s="14"/>
      <c r="H914" s="14"/>
      <c r="I914" s="14"/>
      <c r="J914" s="14"/>
      <c r="K914" s="12"/>
    </row>
    <row r="915" ht="19.5" customHeight="1">
      <c r="A915" s="12"/>
      <c r="C915" s="12"/>
      <c r="D915" s="13"/>
      <c r="F915" s="14"/>
      <c r="G915" s="14"/>
      <c r="H915" s="14"/>
      <c r="I915" s="14"/>
      <c r="J915" s="14"/>
      <c r="K915" s="12"/>
    </row>
    <row r="916" ht="19.5" customHeight="1">
      <c r="A916" s="12"/>
      <c r="C916" s="12"/>
      <c r="D916" s="13"/>
      <c r="F916" s="14"/>
      <c r="G916" s="14"/>
      <c r="H916" s="14"/>
      <c r="I916" s="14"/>
      <c r="J916" s="14"/>
      <c r="K916" s="12"/>
    </row>
    <row r="917" ht="19.5" customHeight="1">
      <c r="A917" s="12"/>
      <c r="C917" s="12"/>
      <c r="D917" s="13"/>
      <c r="F917" s="14"/>
      <c r="G917" s="14"/>
      <c r="H917" s="14"/>
      <c r="I917" s="14"/>
      <c r="J917" s="14"/>
      <c r="K917" s="12"/>
    </row>
    <row r="918" ht="19.5" customHeight="1">
      <c r="A918" s="12"/>
      <c r="C918" s="12"/>
      <c r="D918" s="13"/>
      <c r="F918" s="14"/>
      <c r="G918" s="14"/>
      <c r="H918" s="14"/>
      <c r="I918" s="14"/>
      <c r="J918" s="14"/>
      <c r="K918" s="12"/>
    </row>
    <row r="919" ht="19.5" customHeight="1">
      <c r="A919" s="12"/>
      <c r="C919" s="12"/>
      <c r="D919" s="13"/>
      <c r="F919" s="14"/>
      <c r="G919" s="14"/>
      <c r="H919" s="14"/>
      <c r="I919" s="14"/>
      <c r="J919" s="14"/>
      <c r="K919" s="12"/>
    </row>
    <row r="920" ht="19.5" customHeight="1">
      <c r="A920" s="12"/>
      <c r="C920" s="12"/>
      <c r="D920" s="13"/>
      <c r="F920" s="14"/>
      <c r="G920" s="14"/>
      <c r="H920" s="14"/>
      <c r="I920" s="14"/>
      <c r="J920" s="14"/>
      <c r="K920" s="12"/>
    </row>
    <row r="921" ht="19.5" customHeight="1">
      <c r="A921" s="12"/>
      <c r="C921" s="12"/>
      <c r="D921" s="13"/>
      <c r="F921" s="14"/>
      <c r="G921" s="14"/>
      <c r="H921" s="14"/>
      <c r="I921" s="14"/>
      <c r="J921" s="14"/>
      <c r="K921" s="12"/>
    </row>
    <row r="922" ht="19.5" customHeight="1">
      <c r="A922" s="12"/>
      <c r="C922" s="12"/>
      <c r="D922" s="13"/>
      <c r="F922" s="14"/>
      <c r="G922" s="14"/>
      <c r="H922" s="14"/>
      <c r="I922" s="14"/>
      <c r="J922" s="14"/>
      <c r="K922" s="12"/>
    </row>
    <row r="923" ht="19.5" customHeight="1">
      <c r="A923" s="12"/>
      <c r="C923" s="12"/>
      <c r="D923" s="13"/>
      <c r="F923" s="14"/>
      <c r="G923" s="14"/>
      <c r="H923" s="14"/>
      <c r="I923" s="14"/>
      <c r="J923" s="14"/>
      <c r="K923" s="12"/>
    </row>
    <row r="924" ht="19.5" customHeight="1">
      <c r="A924" s="12"/>
      <c r="C924" s="12"/>
      <c r="D924" s="13"/>
      <c r="F924" s="14"/>
      <c r="G924" s="14"/>
      <c r="H924" s="14"/>
      <c r="I924" s="14"/>
      <c r="J924" s="14"/>
      <c r="K924" s="12"/>
    </row>
    <row r="925" ht="19.5" customHeight="1">
      <c r="A925" s="12"/>
      <c r="C925" s="12"/>
      <c r="D925" s="13"/>
      <c r="F925" s="14"/>
      <c r="G925" s="14"/>
      <c r="H925" s="14"/>
      <c r="I925" s="14"/>
      <c r="J925" s="14"/>
      <c r="K925" s="12"/>
    </row>
    <row r="926" ht="19.5" customHeight="1">
      <c r="A926" s="12"/>
      <c r="C926" s="12"/>
      <c r="D926" s="13"/>
      <c r="F926" s="14"/>
      <c r="G926" s="14"/>
      <c r="H926" s="14"/>
      <c r="I926" s="14"/>
      <c r="J926" s="14"/>
      <c r="K926" s="12"/>
    </row>
    <row r="927" ht="19.5" customHeight="1">
      <c r="A927" s="12"/>
      <c r="C927" s="12"/>
      <c r="D927" s="13"/>
      <c r="F927" s="14"/>
      <c r="G927" s="14"/>
      <c r="H927" s="14"/>
      <c r="I927" s="14"/>
      <c r="J927" s="14"/>
      <c r="K927" s="12"/>
    </row>
    <row r="928" ht="19.5" customHeight="1">
      <c r="A928" s="12"/>
      <c r="C928" s="12"/>
      <c r="D928" s="13"/>
      <c r="F928" s="14"/>
      <c r="G928" s="14"/>
      <c r="H928" s="14"/>
      <c r="I928" s="14"/>
      <c r="J928" s="14"/>
      <c r="K928" s="12"/>
    </row>
    <row r="929" ht="19.5" customHeight="1">
      <c r="A929" s="12"/>
      <c r="C929" s="12"/>
      <c r="D929" s="13"/>
      <c r="F929" s="14"/>
      <c r="G929" s="14"/>
      <c r="H929" s="14"/>
      <c r="I929" s="14"/>
      <c r="J929" s="14"/>
      <c r="K929" s="12"/>
    </row>
    <row r="930" ht="19.5" customHeight="1">
      <c r="A930" s="12"/>
      <c r="C930" s="12"/>
      <c r="D930" s="13"/>
      <c r="F930" s="14"/>
      <c r="G930" s="14"/>
      <c r="H930" s="14"/>
      <c r="I930" s="14"/>
      <c r="J930" s="14"/>
      <c r="K930" s="12"/>
    </row>
    <row r="931" ht="19.5" customHeight="1">
      <c r="A931" s="12"/>
      <c r="C931" s="12"/>
      <c r="D931" s="13"/>
      <c r="F931" s="14"/>
      <c r="G931" s="14"/>
      <c r="H931" s="14"/>
      <c r="I931" s="14"/>
      <c r="J931" s="14"/>
      <c r="K931" s="12"/>
    </row>
    <row r="932" ht="19.5" customHeight="1">
      <c r="A932" s="12"/>
      <c r="C932" s="12"/>
      <c r="D932" s="13"/>
      <c r="F932" s="14"/>
      <c r="G932" s="14"/>
      <c r="H932" s="14"/>
      <c r="I932" s="14"/>
      <c r="J932" s="14"/>
      <c r="K932" s="12"/>
    </row>
    <row r="933" ht="19.5" customHeight="1">
      <c r="A933" s="12"/>
      <c r="C933" s="12"/>
      <c r="D933" s="13"/>
      <c r="F933" s="14"/>
      <c r="G933" s="14"/>
      <c r="H933" s="14"/>
      <c r="I933" s="14"/>
      <c r="J933" s="14"/>
      <c r="K933" s="12"/>
    </row>
    <row r="934" ht="19.5" customHeight="1">
      <c r="A934" s="12"/>
      <c r="C934" s="12"/>
      <c r="D934" s="13"/>
      <c r="F934" s="14"/>
      <c r="G934" s="14"/>
      <c r="H934" s="14"/>
      <c r="I934" s="14"/>
      <c r="J934" s="14"/>
      <c r="K934" s="12"/>
    </row>
    <row r="935" ht="19.5" customHeight="1">
      <c r="A935" s="12"/>
      <c r="C935" s="12"/>
      <c r="D935" s="13"/>
      <c r="F935" s="14"/>
      <c r="G935" s="14"/>
      <c r="H935" s="14"/>
      <c r="I935" s="14"/>
      <c r="J935" s="14"/>
      <c r="K935" s="12"/>
    </row>
    <row r="936" ht="19.5" customHeight="1">
      <c r="A936" s="12"/>
      <c r="C936" s="12"/>
      <c r="D936" s="13"/>
      <c r="F936" s="14"/>
      <c r="G936" s="14"/>
      <c r="H936" s="14"/>
      <c r="I936" s="14"/>
      <c r="J936" s="14"/>
      <c r="K936" s="12"/>
    </row>
    <row r="937" ht="19.5" customHeight="1">
      <c r="A937" s="12"/>
      <c r="C937" s="12"/>
      <c r="D937" s="13"/>
      <c r="F937" s="14"/>
      <c r="G937" s="14"/>
      <c r="H937" s="14"/>
      <c r="I937" s="14"/>
      <c r="J937" s="14"/>
      <c r="K937" s="12"/>
    </row>
    <row r="938" ht="19.5" customHeight="1">
      <c r="A938" s="12"/>
      <c r="C938" s="12"/>
      <c r="D938" s="13"/>
      <c r="F938" s="14"/>
      <c r="G938" s="14"/>
      <c r="H938" s="14"/>
      <c r="I938" s="14"/>
      <c r="J938" s="14"/>
      <c r="K938" s="12"/>
    </row>
    <row r="939" ht="19.5" customHeight="1">
      <c r="A939" s="12"/>
      <c r="C939" s="12"/>
      <c r="D939" s="13"/>
      <c r="F939" s="14"/>
      <c r="G939" s="14"/>
      <c r="H939" s="14"/>
      <c r="I939" s="14"/>
      <c r="J939" s="14"/>
      <c r="K939" s="12"/>
    </row>
    <row r="940" ht="19.5" customHeight="1">
      <c r="A940" s="12"/>
      <c r="C940" s="12"/>
      <c r="D940" s="13"/>
      <c r="F940" s="14"/>
      <c r="G940" s="14"/>
      <c r="H940" s="14"/>
      <c r="I940" s="14"/>
      <c r="J940" s="14"/>
      <c r="K940" s="12"/>
    </row>
    <row r="941" ht="19.5" customHeight="1">
      <c r="A941" s="12"/>
      <c r="C941" s="12"/>
      <c r="D941" s="13"/>
      <c r="F941" s="14"/>
      <c r="G941" s="14"/>
      <c r="H941" s="14"/>
      <c r="I941" s="14"/>
      <c r="J941" s="14"/>
      <c r="K941" s="12"/>
    </row>
    <row r="942" ht="19.5" customHeight="1">
      <c r="A942" s="12"/>
      <c r="C942" s="12"/>
      <c r="D942" s="13"/>
      <c r="F942" s="14"/>
      <c r="G942" s="14"/>
      <c r="H942" s="14"/>
      <c r="I942" s="14"/>
      <c r="J942" s="14"/>
      <c r="K942" s="12"/>
    </row>
    <row r="943" ht="19.5" customHeight="1">
      <c r="A943" s="12"/>
      <c r="C943" s="12"/>
      <c r="D943" s="13"/>
      <c r="F943" s="14"/>
      <c r="G943" s="14"/>
      <c r="H943" s="14"/>
      <c r="I943" s="14"/>
      <c r="J943" s="14"/>
      <c r="K943" s="12"/>
    </row>
    <row r="944" ht="19.5" customHeight="1">
      <c r="A944" s="12"/>
      <c r="C944" s="12"/>
      <c r="D944" s="13"/>
      <c r="F944" s="14"/>
      <c r="G944" s="14"/>
      <c r="H944" s="14"/>
      <c r="I944" s="14"/>
      <c r="J944" s="14"/>
      <c r="K944" s="12"/>
    </row>
    <row r="945" ht="19.5" customHeight="1">
      <c r="A945" s="12"/>
      <c r="C945" s="12"/>
      <c r="D945" s="13"/>
      <c r="F945" s="14"/>
      <c r="G945" s="14"/>
      <c r="H945" s="14"/>
      <c r="I945" s="14"/>
      <c r="J945" s="14"/>
      <c r="K945" s="12"/>
    </row>
    <row r="946" ht="19.5" customHeight="1">
      <c r="A946" s="12"/>
      <c r="C946" s="12"/>
      <c r="D946" s="13"/>
      <c r="F946" s="14"/>
      <c r="G946" s="14"/>
      <c r="H946" s="14"/>
      <c r="I946" s="14"/>
      <c r="J946" s="14"/>
      <c r="K946" s="12"/>
    </row>
    <row r="947" ht="19.5" customHeight="1">
      <c r="A947" s="12"/>
      <c r="C947" s="12"/>
      <c r="D947" s="13"/>
      <c r="F947" s="14"/>
      <c r="G947" s="14"/>
      <c r="H947" s="14"/>
      <c r="I947" s="14"/>
      <c r="J947" s="14"/>
      <c r="K947" s="12"/>
    </row>
    <row r="948" ht="19.5" customHeight="1">
      <c r="A948" s="12"/>
      <c r="C948" s="12"/>
      <c r="D948" s="13"/>
      <c r="F948" s="14"/>
      <c r="G948" s="14"/>
      <c r="H948" s="14"/>
      <c r="I948" s="14"/>
      <c r="J948" s="14"/>
      <c r="K948" s="12"/>
    </row>
    <row r="949" ht="19.5" customHeight="1">
      <c r="A949" s="12"/>
      <c r="C949" s="12"/>
      <c r="D949" s="13"/>
      <c r="F949" s="14"/>
      <c r="G949" s="14"/>
      <c r="H949" s="14"/>
      <c r="I949" s="14"/>
      <c r="J949" s="14"/>
      <c r="K949" s="12"/>
    </row>
    <row r="950" ht="19.5" customHeight="1">
      <c r="A950" s="12"/>
      <c r="C950" s="12"/>
      <c r="D950" s="13"/>
      <c r="F950" s="14"/>
      <c r="G950" s="14"/>
      <c r="H950" s="14"/>
      <c r="I950" s="14"/>
      <c r="J950" s="14"/>
      <c r="K950" s="12"/>
    </row>
    <row r="951" ht="19.5" customHeight="1">
      <c r="A951" s="12"/>
      <c r="C951" s="12"/>
      <c r="D951" s="13"/>
      <c r="F951" s="14"/>
      <c r="G951" s="14"/>
      <c r="H951" s="14"/>
      <c r="I951" s="14"/>
      <c r="J951" s="14"/>
      <c r="K951" s="12"/>
    </row>
    <row r="952" ht="19.5" customHeight="1">
      <c r="A952" s="12"/>
      <c r="C952" s="12"/>
      <c r="D952" s="13"/>
      <c r="F952" s="14"/>
      <c r="G952" s="14"/>
      <c r="H952" s="14"/>
      <c r="I952" s="14"/>
      <c r="J952" s="14"/>
      <c r="K952" s="12"/>
    </row>
    <row r="953" ht="19.5" customHeight="1">
      <c r="A953" s="12"/>
      <c r="C953" s="12"/>
      <c r="D953" s="13"/>
      <c r="F953" s="14"/>
      <c r="G953" s="14"/>
      <c r="H953" s="14"/>
      <c r="I953" s="14"/>
      <c r="J953" s="14"/>
      <c r="K953" s="12"/>
    </row>
    <row r="954" ht="19.5" customHeight="1">
      <c r="A954" s="12"/>
      <c r="C954" s="12"/>
      <c r="D954" s="13"/>
      <c r="F954" s="14"/>
      <c r="G954" s="14"/>
      <c r="H954" s="14"/>
      <c r="I954" s="14"/>
      <c r="J954" s="14"/>
      <c r="K954" s="12"/>
    </row>
    <row r="955" ht="19.5" customHeight="1">
      <c r="A955" s="12"/>
      <c r="C955" s="12"/>
      <c r="D955" s="13"/>
      <c r="F955" s="14"/>
      <c r="G955" s="14"/>
      <c r="H955" s="14"/>
      <c r="I955" s="14"/>
      <c r="J955" s="14"/>
      <c r="K955" s="12"/>
    </row>
    <row r="956" ht="19.5" customHeight="1">
      <c r="A956" s="12"/>
      <c r="C956" s="12"/>
      <c r="D956" s="13"/>
      <c r="F956" s="14"/>
      <c r="G956" s="14"/>
      <c r="H956" s="14"/>
      <c r="I956" s="14"/>
      <c r="J956" s="14"/>
      <c r="K956" s="12"/>
    </row>
    <row r="957" ht="19.5" customHeight="1">
      <c r="A957" s="12"/>
      <c r="C957" s="12"/>
      <c r="D957" s="13"/>
      <c r="F957" s="14"/>
      <c r="G957" s="14"/>
      <c r="H957" s="14"/>
      <c r="I957" s="14"/>
      <c r="J957" s="14"/>
      <c r="K957" s="12"/>
    </row>
    <row r="958" ht="19.5" customHeight="1">
      <c r="A958" s="12"/>
      <c r="C958" s="12"/>
      <c r="D958" s="13"/>
      <c r="F958" s="14"/>
      <c r="G958" s="14"/>
      <c r="H958" s="14"/>
      <c r="I958" s="14"/>
      <c r="J958" s="14"/>
      <c r="K958" s="12"/>
    </row>
    <row r="959" ht="19.5" customHeight="1">
      <c r="A959" s="12"/>
      <c r="C959" s="12"/>
      <c r="D959" s="13"/>
      <c r="F959" s="14"/>
      <c r="G959" s="14"/>
      <c r="H959" s="14"/>
      <c r="I959" s="14"/>
      <c r="J959" s="14"/>
      <c r="K959" s="12"/>
    </row>
    <row r="960" ht="19.5" customHeight="1">
      <c r="A960" s="12"/>
      <c r="C960" s="12"/>
      <c r="D960" s="13"/>
      <c r="F960" s="14"/>
      <c r="G960" s="14"/>
      <c r="H960" s="14"/>
      <c r="I960" s="14"/>
      <c r="J960" s="14"/>
      <c r="K960" s="12"/>
    </row>
    <row r="961" ht="19.5" customHeight="1">
      <c r="A961" s="12"/>
      <c r="C961" s="12"/>
      <c r="D961" s="13"/>
      <c r="F961" s="14"/>
      <c r="G961" s="14"/>
      <c r="H961" s="14"/>
      <c r="I961" s="14"/>
      <c r="J961" s="14"/>
      <c r="K961" s="12"/>
    </row>
    <row r="962" ht="19.5" customHeight="1">
      <c r="A962" s="12"/>
      <c r="C962" s="12"/>
      <c r="D962" s="13"/>
      <c r="F962" s="14"/>
      <c r="G962" s="14"/>
      <c r="H962" s="14"/>
      <c r="I962" s="14"/>
      <c r="J962" s="14"/>
      <c r="K962" s="12"/>
    </row>
    <row r="963" ht="19.5" customHeight="1">
      <c r="A963" s="12"/>
      <c r="C963" s="12"/>
      <c r="D963" s="13"/>
      <c r="F963" s="14"/>
      <c r="G963" s="14"/>
      <c r="H963" s="14"/>
      <c r="I963" s="14"/>
      <c r="J963" s="14"/>
      <c r="K963" s="12"/>
    </row>
    <row r="964" ht="19.5" customHeight="1">
      <c r="A964" s="12"/>
      <c r="C964" s="12"/>
      <c r="D964" s="13"/>
      <c r="F964" s="14"/>
      <c r="G964" s="14"/>
      <c r="H964" s="14"/>
      <c r="I964" s="14"/>
      <c r="J964" s="14"/>
      <c r="K964" s="12"/>
    </row>
    <row r="965" ht="19.5" customHeight="1">
      <c r="A965" s="12"/>
      <c r="C965" s="12"/>
      <c r="D965" s="13"/>
      <c r="F965" s="14"/>
      <c r="G965" s="14"/>
      <c r="H965" s="14"/>
      <c r="I965" s="14"/>
      <c r="J965" s="14"/>
      <c r="K965" s="12"/>
    </row>
    <row r="966" ht="19.5" customHeight="1">
      <c r="A966" s="12"/>
      <c r="C966" s="12"/>
      <c r="D966" s="13"/>
      <c r="F966" s="14"/>
      <c r="G966" s="14"/>
      <c r="H966" s="14"/>
      <c r="I966" s="14"/>
      <c r="J966" s="14"/>
      <c r="K966" s="12"/>
    </row>
    <row r="967" ht="19.5" customHeight="1">
      <c r="A967" s="12"/>
      <c r="C967" s="12"/>
      <c r="D967" s="13"/>
      <c r="F967" s="14"/>
      <c r="G967" s="14"/>
      <c r="H967" s="14"/>
      <c r="I967" s="14"/>
      <c r="J967" s="14"/>
      <c r="K967" s="12"/>
    </row>
    <row r="968" ht="19.5" customHeight="1">
      <c r="A968" s="12"/>
      <c r="C968" s="12"/>
      <c r="D968" s="13"/>
      <c r="F968" s="14"/>
      <c r="G968" s="14"/>
      <c r="H968" s="14"/>
      <c r="I968" s="14"/>
      <c r="J968" s="14"/>
      <c r="K968" s="12"/>
    </row>
    <row r="969" ht="19.5" customHeight="1">
      <c r="A969" s="12"/>
      <c r="C969" s="12"/>
      <c r="D969" s="13"/>
      <c r="F969" s="14"/>
      <c r="G969" s="14"/>
      <c r="H969" s="14"/>
      <c r="I969" s="14"/>
      <c r="J969" s="14"/>
      <c r="K969" s="12"/>
    </row>
    <row r="970" ht="19.5" customHeight="1">
      <c r="A970" s="12"/>
      <c r="C970" s="12"/>
      <c r="D970" s="13"/>
      <c r="F970" s="14"/>
      <c r="G970" s="14"/>
      <c r="H970" s="14"/>
      <c r="I970" s="14"/>
      <c r="J970" s="14"/>
      <c r="K970" s="12"/>
    </row>
    <row r="971" ht="19.5" customHeight="1">
      <c r="A971" s="12"/>
      <c r="C971" s="12"/>
      <c r="D971" s="13"/>
      <c r="F971" s="14"/>
      <c r="G971" s="14"/>
      <c r="H971" s="14"/>
      <c r="I971" s="14"/>
      <c r="J971" s="14"/>
      <c r="K971" s="12"/>
    </row>
    <row r="972" ht="19.5" customHeight="1">
      <c r="A972" s="12"/>
      <c r="C972" s="12"/>
      <c r="D972" s="13"/>
      <c r="F972" s="14"/>
      <c r="G972" s="14"/>
      <c r="H972" s="14"/>
      <c r="I972" s="14"/>
      <c r="J972" s="14"/>
      <c r="K972" s="12"/>
    </row>
    <row r="973" ht="19.5" customHeight="1">
      <c r="A973" s="12"/>
      <c r="C973" s="12"/>
      <c r="D973" s="13"/>
      <c r="F973" s="14"/>
      <c r="G973" s="14"/>
      <c r="H973" s="14"/>
      <c r="I973" s="14"/>
      <c r="J973" s="14"/>
      <c r="K973" s="12"/>
    </row>
    <row r="974" ht="19.5" customHeight="1">
      <c r="A974" s="12"/>
      <c r="C974" s="12"/>
      <c r="D974" s="13"/>
      <c r="F974" s="14"/>
      <c r="G974" s="14"/>
      <c r="H974" s="14"/>
      <c r="I974" s="14"/>
      <c r="J974" s="14"/>
      <c r="K974" s="12"/>
    </row>
    <row r="975" ht="19.5" customHeight="1">
      <c r="A975" s="12"/>
      <c r="C975" s="12"/>
      <c r="D975" s="13"/>
      <c r="F975" s="14"/>
      <c r="G975" s="14"/>
      <c r="H975" s="14"/>
      <c r="I975" s="14"/>
      <c r="J975" s="14"/>
      <c r="K975" s="12"/>
    </row>
    <row r="976" ht="19.5" customHeight="1">
      <c r="A976" s="12"/>
      <c r="C976" s="12"/>
      <c r="D976" s="13"/>
      <c r="F976" s="14"/>
      <c r="G976" s="14"/>
      <c r="H976" s="14"/>
      <c r="I976" s="14"/>
      <c r="J976" s="14"/>
      <c r="K976" s="12"/>
    </row>
    <row r="977" ht="19.5" customHeight="1">
      <c r="A977" s="12"/>
      <c r="C977" s="12"/>
      <c r="D977" s="13"/>
      <c r="F977" s="14"/>
      <c r="G977" s="14"/>
      <c r="H977" s="14"/>
      <c r="I977" s="14"/>
      <c r="J977" s="14"/>
      <c r="K977" s="12"/>
    </row>
    <row r="978" ht="19.5" customHeight="1">
      <c r="A978" s="12"/>
      <c r="C978" s="12"/>
      <c r="D978" s="13"/>
      <c r="F978" s="14"/>
      <c r="G978" s="14"/>
      <c r="H978" s="14"/>
      <c r="I978" s="14"/>
      <c r="J978" s="14"/>
      <c r="K978" s="12"/>
    </row>
    <row r="979" ht="19.5" customHeight="1">
      <c r="A979" s="12"/>
      <c r="C979" s="12"/>
      <c r="D979" s="13"/>
      <c r="F979" s="14"/>
      <c r="G979" s="14"/>
      <c r="H979" s="14"/>
      <c r="I979" s="14"/>
      <c r="J979" s="14"/>
      <c r="K979" s="12"/>
    </row>
    <row r="980" ht="19.5" customHeight="1">
      <c r="A980" s="12"/>
      <c r="C980" s="12"/>
      <c r="D980" s="13"/>
      <c r="F980" s="14"/>
      <c r="G980" s="14"/>
      <c r="H980" s="14"/>
      <c r="I980" s="14"/>
      <c r="J980" s="14"/>
      <c r="K980" s="12"/>
    </row>
    <row r="981" ht="19.5" customHeight="1">
      <c r="A981" s="12"/>
      <c r="C981" s="12"/>
      <c r="D981" s="13"/>
      <c r="F981" s="14"/>
      <c r="G981" s="14"/>
      <c r="H981" s="14"/>
      <c r="I981" s="14"/>
      <c r="J981" s="14"/>
      <c r="K981" s="12"/>
    </row>
    <row r="982" ht="19.5" customHeight="1">
      <c r="A982" s="12"/>
      <c r="C982" s="12"/>
      <c r="D982" s="13"/>
      <c r="F982" s="14"/>
      <c r="G982" s="14"/>
      <c r="H982" s="14"/>
      <c r="I982" s="14"/>
      <c r="J982" s="14"/>
      <c r="K982" s="12"/>
    </row>
    <row r="983" ht="19.5" customHeight="1">
      <c r="A983" s="12"/>
      <c r="C983" s="12"/>
      <c r="D983" s="13"/>
      <c r="F983" s="14"/>
      <c r="G983" s="14"/>
      <c r="H983" s="14"/>
      <c r="I983" s="14"/>
      <c r="J983" s="14"/>
      <c r="K983" s="12"/>
    </row>
    <row r="984" ht="19.5" customHeight="1">
      <c r="A984" s="12"/>
      <c r="C984" s="12"/>
      <c r="D984" s="13"/>
      <c r="F984" s="14"/>
      <c r="G984" s="14"/>
      <c r="H984" s="14"/>
      <c r="I984" s="14"/>
      <c r="J984" s="14"/>
      <c r="K984" s="12"/>
    </row>
    <row r="985" ht="19.5" customHeight="1">
      <c r="A985" s="12"/>
      <c r="C985" s="12"/>
      <c r="D985" s="13"/>
      <c r="F985" s="14"/>
      <c r="G985" s="14"/>
      <c r="H985" s="14"/>
      <c r="I985" s="14"/>
      <c r="J985" s="14"/>
      <c r="K985" s="12"/>
    </row>
    <row r="986" ht="19.5" customHeight="1">
      <c r="A986" s="12"/>
      <c r="C986" s="12"/>
      <c r="D986" s="13"/>
      <c r="F986" s="14"/>
      <c r="G986" s="14"/>
      <c r="H986" s="14"/>
      <c r="I986" s="14"/>
      <c r="J986" s="14"/>
      <c r="K986" s="12"/>
    </row>
    <row r="987" ht="19.5" customHeight="1">
      <c r="A987" s="12"/>
      <c r="C987" s="12"/>
      <c r="D987" s="13"/>
      <c r="F987" s="14"/>
      <c r="G987" s="14"/>
      <c r="H987" s="14"/>
      <c r="I987" s="14"/>
      <c r="J987" s="14"/>
      <c r="K987" s="12"/>
    </row>
    <row r="988" ht="19.5" customHeight="1">
      <c r="A988" s="12"/>
      <c r="C988" s="12"/>
      <c r="D988" s="13"/>
      <c r="F988" s="14"/>
      <c r="G988" s="14"/>
      <c r="H988" s="14"/>
      <c r="I988" s="14"/>
      <c r="J988" s="14"/>
      <c r="K988" s="12"/>
    </row>
    <row r="989" ht="19.5" customHeight="1">
      <c r="A989" s="12"/>
      <c r="C989" s="12"/>
      <c r="D989" s="13"/>
      <c r="F989" s="14"/>
      <c r="G989" s="14"/>
      <c r="H989" s="14"/>
      <c r="I989" s="14"/>
      <c r="J989" s="14"/>
      <c r="K989" s="12"/>
    </row>
    <row r="990" ht="19.5" customHeight="1">
      <c r="A990" s="12"/>
      <c r="C990" s="12"/>
      <c r="D990" s="13"/>
      <c r="F990" s="14"/>
      <c r="G990" s="14"/>
      <c r="H990" s="14"/>
      <c r="I990" s="14"/>
      <c r="J990" s="14"/>
      <c r="K990" s="12"/>
    </row>
    <row r="991" ht="19.5" customHeight="1">
      <c r="A991" s="12"/>
      <c r="C991" s="12"/>
      <c r="D991" s="13"/>
      <c r="F991" s="14"/>
      <c r="G991" s="14"/>
      <c r="H991" s="14"/>
      <c r="I991" s="14"/>
      <c r="J991" s="14"/>
      <c r="K991" s="12"/>
    </row>
    <row r="992" ht="19.5" customHeight="1">
      <c r="A992" s="12"/>
      <c r="C992" s="12"/>
      <c r="D992" s="13"/>
      <c r="F992" s="14"/>
      <c r="G992" s="14"/>
      <c r="H992" s="14"/>
      <c r="I992" s="14"/>
      <c r="J992" s="14"/>
      <c r="K992" s="12"/>
    </row>
    <row r="993" ht="19.5" customHeight="1">
      <c r="A993" s="12"/>
      <c r="C993" s="12"/>
      <c r="D993" s="13"/>
      <c r="F993" s="14"/>
      <c r="G993" s="14"/>
      <c r="H993" s="14"/>
      <c r="I993" s="14"/>
      <c r="J993" s="14"/>
      <c r="K993" s="12"/>
    </row>
    <row r="994" ht="19.5" customHeight="1">
      <c r="A994" s="12"/>
      <c r="C994" s="12"/>
      <c r="D994" s="13"/>
      <c r="F994" s="14"/>
      <c r="G994" s="14"/>
      <c r="H994" s="14"/>
      <c r="I994" s="14"/>
      <c r="J994" s="14"/>
      <c r="K994" s="12"/>
    </row>
    <row r="995" ht="19.5" customHeight="1">
      <c r="A995" s="12"/>
      <c r="C995" s="12"/>
      <c r="D995" s="13"/>
      <c r="F995" s="14"/>
      <c r="G995" s="14"/>
      <c r="H995" s="14"/>
      <c r="I995" s="14"/>
      <c r="J995" s="14"/>
      <c r="K995" s="12"/>
    </row>
    <row r="996" ht="19.5" customHeight="1">
      <c r="A996" s="12"/>
      <c r="C996" s="12"/>
      <c r="D996" s="13"/>
      <c r="F996" s="14"/>
      <c r="G996" s="14"/>
      <c r="H996" s="14"/>
      <c r="I996" s="14"/>
      <c r="J996" s="14"/>
      <c r="K996" s="12"/>
    </row>
    <row r="997" ht="19.5" customHeight="1">
      <c r="A997" s="12"/>
      <c r="C997" s="12"/>
      <c r="D997" s="13"/>
      <c r="F997" s="14"/>
      <c r="G997" s="14"/>
      <c r="H997" s="14"/>
      <c r="I997" s="14"/>
      <c r="J997" s="14"/>
      <c r="K997" s="12"/>
    </row>
    <row r="998" ht="19.5" customHeight="1">
      <c r="A998" s="12"/>
      <c r="C998" s="12"/>
      <c r="D998" s="13"/>
      <c r="F998" s="14"/>
      <c r="G998" s="14"/>
      <c r="H998" s="14"/>
      <c r="I998" s="14"/>
      <c r="J998" s="14"/>
      <c r="K998" s="12"/>
    </row>
    <row r="999" ht="19.5" customHeight="1">
      <c r="A999" s="12"/>
      <c r="C999" s="12"/>
      <c r="D999" s="13"/>
      <c r="F999" s="14"/>
      <c r="G999" s="14"/>
      <c r="H999" s="14"/>
      <c r="I999" s="14"/>
      <c r="J999" s="14"/>
      <c r="K999" s="12"/>
    </row>
    <row r="1000" ht="19.5" customHeight="1">
      <c r="A1000" s="12"/>
      <c r="C1000" s="12"/>
      <c r="D1000" s="13"/>
      <c r="F1000" s="14"/>
      <c r="G1000" s="14"/>
      <c r="H1000" s="14"/>
      <c r="I1000" s="14"/>
      <c r="J1000" s="14"/>
      <c r="K1000" s="12"/>
    </row>
  </sheetData>
  <mergeCells count="12">
    <mergeCell ref="E9:G9"/>
    <mergeCell ref="J9:J10"/>
    <mergeCell ref="J15:J16"/>
    <mergeCell ref="J36:J37"/>
    <mergeCell ref="A6:K6"/>
    <mergeCell ref="A7:K7"/>
    <mergeCell ref="A8:K8"/>
    <mergeCell ref="A9:A10"/>
    <mergeCell ref="B9:B10"/>
    <mergeCell ref="C9:C10"/>
    <mergeCell ref="D9:D10"/>
    <mergeCell ref="K9:K10"/>
  </mergeCells>
  <printOptions/>
  <pageMargins bottom="0.787401575" footer="0.0" header="0.0" left="0.511811024" right="0.511811024" top="0.787401575"/>
  <pageSetup orientation="landscape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62.25"/>
    <col customWidth="1" min="3" max="3" width="9.13"/>
    <col customWidth="1" min="4" max="4" width="16.25"/>
    <col customWidth="1" min="5" max="5" width="25.0"/>
    <col customWidth="1" min="6" max="6" width="22.25"/>
    <col customWidth="1" min="7" max="8" width="23.88"/>
    <col customWidth="1" min="9" max="9" width="23.63"/>
    <col customWidth="1" min="10" max="10" width="20.63"/>
    <col customWidth="1" min="11" max="11" width="39.0"/>
    <col customWidth="1" min="12" max="26" width="8.63"/>
  </cols>
  <sheetData>
    <row r="1" ht="19.5" customHeight="1">
      <c r="A1" s="4"/>
      <c r="B1" s="581"/>
      <c r="C1" s="6"/>
      <c r="D1" s="7"/>
      <c r="E1" s="5"/>
      <c r="F1" s="8"/>
      <c r="G1" s="8"/>
      <c r="H1" s="8"/>
      <c r="I1" s="8"/>
      <c r="J1" s="8"/>
      <c r="K1" s="9"/>
    </row>
    <row r="2" ht="19.5" customHeight="1">
      <c r="A2" s="10" t="s">
        <v>83</v>
      </c>
      <c r="B2" s="582" t="s">
        <v>84</v>
      </c>
      <c r="C2" s="12"/>
      <c r="D2" s="13"/>
      <c r="F2" s="14"/>
      <c r="G2" s="14"/>
      <c r="H2" s="14"/>
      <c r="I2" s="14"/>
      <c r="J2" s="17"/>
      <c r="K2" s="18"/>
    </row>
    <row r="3" ht="19.5" customHeight="1">
      <c r="A3" s="10" t="s">
        <v>86</v>
      </c>
      <c r="B3" s="582" t="s">
        <v>87</v>
      </c>
      <c r="C3" s="12"/>
      <c r="D3" s="13"/>
      <c r="F3" s="14"/>
      <c r="G3" s="14"/>
      <c r="H3" s="14"/>
      <c r="I3" s="14"/>
      <c r="J3" s="14"/>
      <c r="K3" s="18"/>
    </row>
    <row r="4" ht="19.5" customHeight="1">
      <c r="A4" s="19"/>
      <c r="B4" s="583"/>
      <c r="C4" s="12"/>
      <c r="D4" s="13"/>
      <c r="F4" s="14"/>
      <c r="G4" s="14"/>
      <c r="H4" s="14"/>
      <c r="I4" s="14"/>
      <c r="J4" s="14"/>
      <c r="K4" s="18"/>
    </row>
    <row r="5" ht="19.5" customHeight="1">
      <c r="A5" s="19"/>
      <c r="B5" s="583"/>
      <c r="C5" s="12"/>
      <c r="D5" s="13"/>
      <c r="F5" s="14"/>
      <c r="G5" s="14"/>
      <c r="H5" s="14"/>
      <c r="I5" s="14"/>
      <c r="J5" s="14"/>
      <c r="K5" s="18"/>
    </row>
    <row r="6" ht="159.0" customHeight="1">
      <c r="A6" s="20" t="s">
        <v>1856</v>
      </c>
      <c r="K6" s="21"/>
    </row>
    <row r="7" ht="64.5" customHeight="1">
      <c r="A7" s="22" t="s">
        <v>1859</v>
      </c>
      <c r="K7" s="21"/>
    </row>
    <row r="8" ht="42.0" customHeight="1">
      <c r="A8" s="88" t="s">
        <v>90</v>
      </c>
      <c r="B8" s="24"/>
      <c r="C8" s="24"/>
      <c r="D8" s="24"/>
      <c r="E8" s="24"/>
      <c r="F8" s="24"/>
      <c r="G8" s="24"/>
      <c r="H8" s="24"/>
      <c r="I8" s="24"/>
      <c r="J8" s="24"/>
      <c r="K8" s="25"/>
    </row>
    <row r="9" ht="19.5" customHeight="1">
      <c r="A9" s="26" t="s">
        <v>1</v>
      </c>
      <c r="B9" s="584" t="s">
        <v>91</v>
      </c>
      <c r="C9" s="26" t="s">
        <v>92</v>
      </c>
      <c r="D9" s="26" t="s">
        <v>93</v>
      </c>
      <c r="E9" s="27" t="s">
        <v>94</v>
      </c>
      <c r="F9" s="28"/>
      <c r="G9" s="29"/>
      <c r="H9" s="30"/>
      <c r="I9" s="30"/>
      <c r="J9" s="31" t="s">
        <v>95</v>
      </c>
      <c r="K9" s="26" t="s">
        <v>96</v>
      </c>
    </row>
    <row r="10" ht="19.5" customHeight="1">
      <c r="A10" s="32"/>
      <c r="B10" s="32"/>
      <c r="C10" s="32"/>
      <c r="D10" s="32"/>
      <c r="E10" s="33" t="s">
        <v>97</v>
      </c>
      <c r="F10" s="34" t="s">
        <v>121</v>
      </c>
      <c r="G10" s="34" t="s">
        <v>99</v>
      </c>
      <c r="H10" s="35" t="s">
        <v>100</v>
      </c>
      <c r="I10" s="35" t="s">
        <v>101</v>
      </c>
      <c r="J10" s="32"/>
      <c r="K10" s="32"/>
    </row>
    <row r="11" ht="19.5" customHeight="1">
      <c r="A11" s="74" t="s">
        <v>1</v>
      </c>
      <c r="B11" s="585" t="s">
        <v>91</v>
      </c>
      <c r="C11" s="74" t="s">
        <v>92</v>
      </c>
      <c r="D11" s="74" t="s">
        <v>93</v>
      </c>
      <c r="E11" s="50" t="s">
        <v>97</v>
      </c>
      <c r="F11" s="53" t="s">
        <v>121</v>
      </c>
      <c r="G11" s="53" t="s">
        <v>99</v>
      </c>
      <c r="H11" s="75" t="s">
        <v>100</v>
      </c>
      <c r="I11" s="75" t="s">
        <v>101</v>
      </c>
      <c r="J11" s="285" t="s">
        <v>95</v>
      </c>
      <c r="K11" s="74" t="s">
        <v>96</v>
      </c>
    </row>
    <row r="12" ht="30.75" customHeight="1">
      <c r="A12" s="46">
        <v>1.0</v>
      </c>
      <c r="B12" s="586"/>
      <c r="C12" s="587" t="s">
        <v>1860</v>
      </c>
      <c r="D12" s="78">
        <f>SUM(D13:D17)</f>
        <v>15</v>
      </c>
      <c r="E12" s="37"/>
      <c r="F12" s="78"/>
      <c r="G12" s="40"/>
      <c r="H12" s="40"/>
      <c r="I12" s="42"/>
      <c r="J12" s="588">
        <f>SUM(D13:D17)</f>
        <v>15</v>
      </c>
      <c r="K12" s="46"/>
    </row>
    <row r="13" ht="19.5" customHeight="1">
      <c r="A13" s="46"/>
      <c r="B13" s="589" t="s">
        <v>1861</v>
      </c>
      <c r="C13" s="46"/>
      <c r="D13" s="39">
        <v>4.0</v>
      </c>
      <c r="E13" s="37"/>
      <c r="F13" s="78"/>
      <c r="G13" s="40"/>
      <c r="H13" s="40"/>
      <c r="I13" s="42"/>
      <c r="J13" s="147"/>
      <c r="K13" s="46"/>
    </row>
    <row r="14" ht="19.5" customHeight="1">
      <c r="A14" s="46"/>
      <c r="B14" s="589" t="s">
        <v>1862</v>
      </c>
      <c r="C14" s="46"/>
      <c r="D14" s="39">
        <v>4.0</v>
      </c>
      <c r="E14" s="37"/>
      <c r="F14" s="78"/>
      <c r="G14" s="40"/>
      <c r="H14" s="40"/>
      <c r="I14" s="42"/>
      <c r="J14" s="147"/>
      <c r="K14" s="46"/>
    </row>
    <row r="15" ht="19.5" customHeight="1">
      <c r="A15" s="46"/>
      <c r="B15" s="589" t="s">
        <v>1863</v>
      </c>
      <c r="C15" s="46"/>
      <c r="D15" s="39">
        <v>1.0</v>
      </c>
      <c r="E15" s="37"/>
      <c r="F15" s="78"/>
      <c r="G15" s="40"/>
      <c r="H15" s="40"/>
      <c r="I15" s="42"/>
      <c r="J15" s="147"/>
      <c r="K15" s="46"/>
    </row>
    <row r="16" ht="19.5" customHeight="1">
      <c r="A16" s="46"/>
      <c r="B16" s="589" t="s">
        <v>1864</v>
      </c>
      <c r="C16" s="46"/>
      <c r="D16" s="39">
        <v>2.0</v>
      </c>
      <c r="E16" s="37"/>
      <c r="F16" s="78"/>
      <c r="G16" s="40"/>
      <c r="H16" s="40"/>
      <c r="I16" s="42"/>
      <c r="J16" s="147"/>
      <c r="K16" s="46"/>
    </row>
    <row r="17" ht="19.5" customHeight="1">
      <c r="A17" s="46"/>
      <c r="B17" s="589" t="s">
        <v>1865</v>
      </c>
      <c r="C17" s="46"/>
      <c r="D17" s="39">
        <v>4.0</v>
      </c>
      <c r="E17" s="37"/>
      <c r="F17" s="78"/>
      <c r="G17" s="40"/>
      <c r="H17" s="40"/>
      <c r="I17" s="42"/>
      <c r="J17" s="32"/>
      <c r="K17" s="46"/>
    </row>
    <row r="18" ht="19.5" customHeight="1">
      <c r="A18" s="74" t="s">
        <v>1</v>
      </c>
      <c r="B18" s="585" t="s">
        <v>91</v>
      </c>
      <c r="C18" s="74" t="s">
        <v>92</v>
      </c>
      <c r="D18" s="74" t="s">
        <v>93</v>
      </c>
      <c r="E18" s="50" t="s">
        <v>347</v>
      </c>
      <c r="F18" s="53" t="s">
        <v>121</v>
      </c>
      <c r="G18" s="53" t="s">
        <v>99</v>
      </c>
      <c r="H18" s="75" t="s">
        <v>100</v>
      </c>
      <c r="I18" s="75" t="s">
        <v>101</v>
      </c>
      <c r="J18" s="76" t="s">
        <v>95</v>
      </c>
      <c r="K18" s="74" t="s">
        <v>96</v>
      </c>
    </row>
    <row r="19" ht="19.5" customHeight="1">
      <c r="A19" s="79"/>
      <c r="B19" s="586" t="s">
        <v>1866</v>
      </c>
      <c r="C19" s="79"/>
      <c r="D19" s="122">
        <f>SUM(D20:D23)</f>
        <v>36</v>
      </c>
      <c r="E19" s="37"/>
      <c r="F19" s="40"/>
      <c r="G19" s="40"/>
      <c r="H19" s="59"/>
      <c r="I19" s="82"/>
      <c r="J19" s="588">
        <f>SUM(D20:D23)</f>
        <v>36</v>
      </c>
      <c r="K19" s="79"/>
    </row>
    <row r="20" ht="19.5" customHeight="1">
      <c r="A20" s="79"/>
      <c r="B20" s="589" t="s">
        <v>1861</v>
      </c>
      <c r="C20" s="46"/>
      <c r="D20" s="39">
        <v>13.0</v>
      </c>
      <c r="E20" s="37"/>
      <c r="F20" s="40"/>
      <c r="G20" s="40"/>
      <c r="H20" s="59"/>
      <c r="I20" s="82"/>
      <c r="J20" s="147"/>
      <c r="K20" s="79"/>
    </row>
    <row r="21" ht="19.5" customHeight="1">
      <c r="A21" s="79"/>
      <c r="B21" s="589" t="s">
        <v>1862</v>
      </c>
      <c r="C21" s="46"/>
      <c r="D21" s="39">
        <v>12.0</v>
      </c>
      <c r="E21" s="37"/>
      <c r="F21" s="40"/>
      <c r="G21" s="40"/>
      <c r="H21" s="59"/>
      <c r="I21" s="82"/>
      <c r="J21" s="147"/>
      <c r="K21" s="79"/>
    </row>
    <row r="22" ht="19.5" customHeight="1">
      <c r="A22" s="79"/>
      <c r="B22" s="589" t="s">
        <v>1863</v>
      </c>
      <c r="C22" s="46"/>
      <c r="D22" s="39">
        <f>1+2</f>
        <v>3</v>
      </c>
      <c r="E22" s="37"/>
      <c r="F22" s="40"/>
      <c r="G22" s="40"/>
      <c r="H22" s="59"/>
      <c r="I22" s="82"/>
      <c r="J22" s="147"/>
      <c r="K22" s="79"/>
    </row>
    <row r="23" ht="19.5" customHeight="1">
      <c r="A23" s="79"/>
      <c r="B23" s="589" t="s">
        <v>1865</v>
      </c>
      <c r="C23" s="46"/>
      <c r="D23" s="39">
        <v>8.0</v>
      </c>
      <c r="E23" s="37"/>
      <c r="F23" s="40"/>
      <c r="G23" s="40"/>
      <c r="H23" s="59"/>
      <c r="I23" s="82"/>
      <c r="J23" s="32"/>
      <c r="K23" s="79"/>
    </row>
    <row r="24" ht="19.5" customHeight="1">
      <c r="A24" s="74" t="s">
        <v>1</v>
      </c>
      <c r="B24" s="585" t="s">
        <v>91</v>
      </c>
      <c r="C24" s="74" t="s">
        <v>92</v>
      </c>
      <c r="D24" s="74" t="s">
        <v>93</v>
      </c>
      <c r="E24" s="50" t="s">
        <v>347</v>
      </c>
      <c r="F24" s="53" t="s">
        <v>121</v>
      </c>
      <c r="G24" s="53" t="s">
        <v>99</v>
      </c>
      <c r="H24" s="75" t="s">
        <v>100</v>
      </c>
      <c r="I24" s="75" t="s">
        <v>101</v>
      </c>
      <c r="J24" s="76" t="s">
        <v>95</v>
      </c>
      <c r="K24" s="74" t="s">
        <v>96</v>
      </c>
    </row>
    <row r="25" ht="19.5" customHeight="1">
      <c r="A25" s="79"/>
      <c r="B25" s="586" t="s">
        <v>1867</v>
      </c>
      <c r="C25" s="79"/>
      <c r="D25" s="122">
        <f>SUM(D26:D29)</f>
        <v>20</v>
      </c>
      <c r="E25" s="37"/>
      <c r="F25" s="40"/>
      <c r="G25" s="40"/>
      <c r="H25" s="59"/>
      <c r="I25" s="82"/>
      <c r="J25" s="588">
        <f>SUM(D26:D29)</f>
        <v>20</v>
      </c>
      <c r="K25" s="79"/>
    </row>
    <row r="26" ht="19.5" customHeight="1">
      <c r="A26" s="79"/>
      <c r="B26" s="589" t="s">
        <v>1861</v>
      </c>
      <c r="C26" s="46"/>
      <c r="D26" s="39">
        <v>6.0</v>
      </c>
      <c r="E26" s="37"/>
      <c r="F26" s="40"/>
      <c r="G26" s="40"/>
      <c r="H26" s="59"/>
      <c r="I26" s="82"/>
      <c r="J26" s="147"/>
      <c r="K26" s="79"/>
    </row>
    <row r="27" ht="19.5" customHeight="1">
      <c r="A27" s="79"/>
      <c r="B27" s="589" t="s">
        <v>1862</v>
      </c>
      <c r="C27" s="46"/>
      <c r="D27" s="39">
        <v>4.0</v>
      </c>
      <c r="E27" s="37"/>
      <c r="F27" s="40"/>
      <c r="G27" s="40"/>
      <c r="H27" s="59"/>
      <c r="I27" s="82"/>
      <c r="J27" s="147"/>
      <c r="K27" s="79"/>
    </row>
    <row r="28" ht="19.5" customHeight="1">
      <c r="A28" s="79"/>
      <c r="B28" s="589" t="s">
        <v>1863</v>
      </c>
      <c r="C28" s="46"/>
      <c r="D28" s="39">
        <v>2.0</v>
      </c>
      <c r="E28" s="37"/>
      <c r="F28" s="40"/>
      <c r="G28" s="40"/>
      <c r="H28" s="59"/>
      <c r="I28" s="82"/>
      <c r="J28" s="147"/>
      <c r="K28" s="79"/>
    </row>
    <row r="29" ht="19.5" customHeight="1">
      <c r="A29" s="79"/>
      <c r="B29" s="589" t="s">
        <v>1865</v>
      </c>
      <c r="C29" s="46"/>
      <c r="D29" s="78">
        <f>2*2*(1+1)</f>
        <v>8</v>
      </c>
      <c r="E29" s="37"/>
      <c r="F29" s="40"/>
      <c r="G29" s="40"/>
      <c r="H29" s="59"/>
      <c r="I29" s="82"/>
      <c r="J29" s="32"/>
      <c r="K29" s="79"/>
    </row>
    <row r="30" ht="19.5" customHeight="1">
      <c r="A30" s="111" t="s">
        <v>1</v>
      </c>
      <c r="B30" s="590" t="s">
        <v>91</v>
      </c>
      <c r="C30" s="111" t="s">
        <v>92</v>
      </c>
      <c r="D30" s="111" t="s">
        <v>93</v>
      </c>
      <c r="E30" s="50" t="s">
        <v>347</v>
      </c>
      <c r="F30" s="53" t="s">
        <v>121</v>
      </c>
      <c r="G30" s="53" t="s">
        <v>99</v>
      </c>
      <c r="H30" s="75" t="s">
        <v>100</v>
      </c>
      <c r="I30" s="75" t="s">
        <v>101</v>
      </c>
      <c r="J30" s="285" t="s">
        <v>95</v>
      </c>
      <c r="K30" s="111" t="s">
        <v>96</v>
      </c>
    </row>
    <row r="31" ht="30.0" customHeight="1">
      <c r="A31" s="46"/>
      <c r="B31" s="589" t="s">
        <v>1868</v>
      </c>
      <c r="C31" s="46"/>
      <c r="D31" s="78">
        <f>SUM(D32:D35)</f>
        <v>13</v>
      </c>
      <c r="E31" s="37"/>
      <c r="F31" s="40"/>
      <c r="G31" s="40"/>
      <c r="H31" s="40"/>
      <c r="I31" s="42"/>
      <c r="J31" s="588">
        <f>SUM(D32:D35)</f>
        <v>13</v>
      </c>
      <c r="K31" s="46"/>
    </row>
    <row r="32" ht="19.5" customHeight="1">
      <c r="A32" s="46"/>
      <c r="B32" s="589" t="s">
        <v>1861</v>
      </c>
      <c r="C32" s="46"/>
      <c r="D32" s="39">
        <v>4.0</v>
      </c>
      <c r="E32" s="37"/>
      <c r="F32" s="40"/>
      <c r="G32" s="40"/>
      <c r="H32" s="40"/>
      <c r="I32" s="42"/>
      <c r="J32" s="147"/>
      <c r="K32" s="46"/>
    </row>
    <row r="33" ht="19.5" customHeight="1">
      <c r="A33" s="46"/>
      <c r="B33" s="589" t="s">
        <v>1862</v>
      </c>
      <c r="C33" s="46"/>
      <c r="D33" s="39">
        <v>4.0</v>
      </c>
      <c r="E33" s="37"/>
      <c r="F33" s="40"/>
      <c r="G33" s="40"/>
      <c r="H33" s="40"/>
      <c r="I33" s="42"/>
      <c r="J33" s="147"/>
      <c r="K33" s="46"/>
    </row>
    <row r="34" ht="19.5" customHeight="1">
      <c r="A34" s="46"/>
      <c r="B34" s="589" t="s">
        <v>1863</v>
      </c>
      <c r="C34" s="46"/>
      <c r="D34" s="39">
        <v>1.0</v>
      </c>
      <c r="E34" s="37"/>
      <c r="F34" s="40"/>
      <c r="G34" s="40"/>
      <c r="H34" s="40"/>
      <c r="I34" s="42"/>
      <c r="J34" s="147"/>
      <c r="K34" s="46"/>
    </row>
    <row r="35" ht="19.5" customHeight="1">
      <c r="A35" s="46"/>
      <c r="B35" s="589" t="s">
        <v>1865</v>
      </c>
      <c r="C35" s="46"/>
      <c r="D35" s="39">
        <v>4.0</v>
      </c>
      <c r="E35" s="37"/>
      <c r="F35" s="40"/>
      <c r="G35" s="40"/>
      <c r="H35" s="40"/>
      <c r="I35" s="42"/>
      <c r="J35" s="32"/>
      <c r="K35" s="46"/>
    </row>
    <row r="36" ht="19.5" customHeight="1">
      <c r="A36" s="111" t="s">
        <v>1</v>
      </c>
      <c r="B36" s="590" t="s">
        <v>91</v>
      </c>
      <c r="C36" s="111" t="s">
        <v>92</v>
      </c>
      <c r="D36" s="111" t="s">
        <v>93</v>
      </c>
      <c r="E36" s="50" t="s">
        <v>347</v>
      </c>
      <c r="F36" s="53" t="s">
        <v>121</v>
      </c>
      <c r="G36" s="53" t="s">
        <v>99</v>
      </c>
      <c r="H36" s="75" t="s">
        <v>100</v>
      </c>
      <c r="I36" s="75" t="s">
        <v>101</v>
      </c>
      <c r="J36" s="285" t="s">
        <v>95</v>
      </c>
      <c r="K36" s="111" t="s">
        <v>96</v>
      </c>
    </row>
    <row r="37">
      <c r="A37" s="46">
        <v>1.0</v>
      </c>
      <c r="B37" s="589" t="s">
        <v>1869</v>
      </c>
      <c r="C37" s="46"/>
      <c r="D37" s="78">
        <f>SUM(D38:D41)</f>
        <v>10</v>
      </c>
      <c r="E37" s="37"/>
      <c r="F37" s="78"/>
      <c r="G37" s="40"/>
      <c r="H37" s="40"/>
      <c r="I37" s="42"/>
      <c r="J37" s="588">
        <f>SUM(D38:D41)</f>
        <v>10</v>
      </c>
      <c r="K37" s="46"/>
    </row>
    <row r="38" ht="19.5" customHeight="1">
      <c r="A38" s="46"/>
      <c r="B38" s="589" t="s">
        <v>1861</v>
      </c>
      <c r="C38" s="46"/>
      <c r="D38" s="39">
        <v>3.0</v>
      </c>
      <c r="E38" s="37"/>
      <c r="F38" s="78"/>
      <c r="G38" s="40"/>
      <c r="H38" s="40"/>
      <c r="I38" s="42"/>
      <c r="J38" s="147"/>
      <c r="K38" s="46"/>
    </row>
    <row r="39" ht="19.5" customHeight="1">
      <c r="A39" s="46"/>
      <c r="B39" s="589" t="s">
        <v>1862</v>
      </c>
      <c r="C39" s="46"/>
      <c r="D39" s="39">
        <v>2.0</v>
      </c>
      <c r="E39" s="37"/>
      <c r="F39" s="78"/>
      <c r="G39" s="40"/>
      <c r="H39" s="40"/>
      <c r="I39" s="42"/>
      <c r="J39" s="147"/>
      <c r="K39" s="46"/>
    </row>
    <row r="40" ht="19.5" customHeight="1">
      <c r="A40" s="46"/>
      <c r="B40" s="589" t="s">
        <v>1863</v>
      </c>
      <c r="C40" s="46"/>
      <c r="D40" s="39">
        <v>1.0</v>
      </c>
      <c r="E40" s="37"/>
      <c r="F40" s="78"/>
      <c r="G40" s="40"/>
      <c r="H40" s="40"/>
      <c r="I40" s="42"/>
      <c r="J40" s="147"/>
      <c r="K40" s="46"/>
    </row>
    <row r="41" ht="19.5" customHeight="1">
      <c r="A41" s="46"/>
      <c r="B41" s="589" t="s">
        <v>1865</v>
      </c>
      <c r="C41" s="46"/>
      <c r="D41" s="39">
        <v>4.0</v>
      </c>
      <c r="E41" s="37"/>
      <c r="F41" s="78"/>
      <c r="G41" s="40"/>
      <c r="H41" s="40"/>
      <c r="I41" s="42"/>
      <c r="J41" s="32"/>
      <c r="K41" s="46"/>
    </row>
    <row r="42" ht="19.5" customHeight="1">
      <c r="A42" s="12"/>
      <c r="B42" s="583"/>
      <c r="C42" s="12"/>
      <c r="D42" s="13"/>
      <c r="F42" s="14"/>
      <c r="G42" s="14"/>
      <c r="H42" s="14"/>
      <c r="I42" s="14"/>
      <c r="J42" s="14"/>
      <c r="K42" s="12"/>
    </row>
    <row r="43" ht="19.5" customHeight="1">
      <c r="A43" s="12"/>
      <c r="B43" s="583"/>
      <c r="C43" s="12"/>
      <c r="D43" s="13"/>
      <c r="F43" s="14"/>
      <c r="G43" s="14"/>
      <c r="H43" s="14"/>
      <c r="I43" s="14"/>
      <c r="J43" s="14"/>
      <c r="K43" s="12"/>
    </row>
    <row r="44" ht="19.5" customHeight="1">
      <c r="A44" s="12"/>
      <c r="B44" s="583"/>
      <c r="C44" s="12"/>
      <c r="D44" s="13"/>
      <c r="F44" s="14"/>
      <c r="G44" s="14"/>
      <c r="H44" s="14"/>
      <c r="I44" s="14"/>
      <c r="J44" s="14"/>
      <c r="K44" s="12"/>
    </row>
    <row r="45" ht="19.5" customHeight="1">
      <c r="A45" s="12"/>
      <c r="B45" s="583"/>
      <c r="C45" s="12"/>
      <c r="D45" s="13"/>
      <c r="F45" s="14"/>
      <c r="G45" s="14"/>
      <c r="H45" s="14"/>
      <c r="I45" s="14"/>
      <c r="J45" s="14"/>
      <c r="K45" s="12"/>
    </row>
    <row r="46" ht="19.5" customHeight="1">
      <c r="A46" s="12"/>
      <c r="B46" s="583"/>
      <c r="C46" s="12"/>
      <c r="D46" s="13"/>
      <c r="F46" s="14"/>
      <c r="G46" s="14"/>
      <c r="H46" s="14"/>
      <c r="I46" s="14"/>
      <c r="J46" s="14"/>
      <c r="K46" s="12"/>
    </row>
    <row r="47" ht="19.5" customHeight="1">
      <c r="A47" s="12"/>
      <c r="B47" s="583"/>
      <c r="C47" s="12"/>
      <c r="D47" s="13"/>
      <c r="F47" s="14"/>
      <c r="G47" s="14"/>
      <c r="H47" s="14"/>
      <c r="I47" s="14"/>
      <c r="J47" s="14"/>
      <c r="K47" s="12"/>
    </row>
    <row r="48" ht="19.5" customHeight="1">
      <c r="A48" s="12"/>
      <c r="B48" s="583"/>
      <c r="C48" s="12"/>
      <c r="D48" s="13"/>
      <c r="F48" s="14"/>
      <c r="G48" s="14"/>
      <c r="H48" s="14"/>
      <c r="I48" s="14"/>
      <c r="J48" s="14"/>
      <c r="K48" s="12"/>
    </row>
    <row r="49" ht="19.5" customHeight="1">
      <c r="A49" s="12"/>
      <c r="B49" s="583"/>
      <c r="C49" s="12"/>
      <c r="D49" s="13"/>
      <c r="F49" s="14"/>
      <c r="G49" s="14"/>
      <c r="H49" s="14"/>
      <c r="I49" s="14"/>
      <c r="J49" s="14"/>
      <c r="K49" s="12"/>
    </row>
    <row r="50" ht="19.5" customHeight="1">
      <c r="A50" s="12"/>
      <c r="B50" s="583"/>
      <c r="C50" s="12"/>
      <c r="D50" s="13"/>
      <c r="F50" s="14"/>
      <c r="G50" s="14"/>
      <c r="H50" s="14"/>
      <c r="I50" s="14"/>
      <c r="J50" s="14"/>
      <c r="K50" s="12"/>
    </row>
    <row r="51" ht="19.5" customHeight="1">
      <c r="A51" s="12"/>
      <c r="B51" s="583"/>
      <c r="C51" s="12"/>
      <c r="D51" s="13"/>
      <c r="F51" s="14"/>
      <c r="G51" s="14"/>
      <c r="H51" s="14"/>
      <c r="I51" s="14"/>
      <c r="J51" s="14"/>
      <c r="K51" s="12"/>
    </row>
    <row r="52" ht="19.5" customHeight="1">
      <c r="A52" s="12"/>
      <c r="B52" s="583"/>
      <c r="C52" s="12"/>
      <c r="D52" s="13"/>
      <c r="F52" s="14"/>
      <c r="G52" s="14"/>
      <c r="H52" s="14"/>
      <c r="I52" s="14"/>
      <c r="J52" s="14"/>
      <c r="K52" s="12"/>
    </row>
    <row r="53" ht="19.5" customHeight="1">
      <c r="A53" s="12"/>
      <c r="B53" s="583"/>
      <c r="C53" s="12"/>
      <c r="D53" s="13"/>
      <c r="F53" s="14"/>
      <c r="G53" s="14"/>
      <c r="H53" s="14"/>
      <c r="I53" s="14"/>
      <c r="J53" s="14"/>
      <c r="K53" s="12"/>
    </row>
    <row r="54" ht="19.5" customHeight="1">
      <c r="A54" s="12"/>
      <c r="B54" s="583"/>
      <c r="C54" s="12"/>
      <c r="D54" s="13"/>
      <c r="F54" s="14"/>
      <c r="G54" s="14"/>
      <c r="H54" s="14"/>
      <c r="I54" s="14"/>
      <c r="J54" s="14"/>
      <c r="K54" s="12"/>
    </row>
    <row r="55" ht="19.5" customHeight="1">
      <c r="A55" s="12"/>
      <c r="B55" s="583"/>
      <c r="C55" s="12"/>
      <c r="D55" s="13"/>
      <c r="F55" s="14"/>
      <c r="G55" s="14"/>
      <c r="H55" s="14"/>
      <c r="I55" s="14"/>
      <c r="J55" s="14"/>
      <c r="K55" s="12"/>
    </row>
    <row r="56" ht="19.5" customHeight="1">
      <c r="A56" s="12"/>
      <c r="B56" s="583"/>
      <c r="C56" s="12"/>
      <c r="D56" s="13"/>
      <c r="F56" s="14"/>
      <c r="G56" s="14"/>
      <c r="H56" s="14"/>
      <c r="I56" s="14"/>
      <c r="J56" s="14"/>
      <c r="K56" s="12"/>
    </row>
    <row r="57" ht="19.5" customHeight="1">
      <c r="A57" s="12"/>
      <c r="B57" s="583"/>
      <c r="C57" s="12"/>
      <c r="D57" s="13"/>
      <c r="F57" s="14"/>
      <c r="G57" s="14"/>
      <c r="H57" s="14"/>
      <c r="I57" s="14"/>
      <c r="J57" s="14"/>
      <c r="K57" s="12"/>
    </row>
    <row r="58" ht="19.5" customHeight="1">
      <c r="A58" s="12"/>
      <c r="B58" s="583"/>
      <c r="C58" s="12"/>
      <c r="D58" s="13"/>
      <c r="F58" s="14"/>
      <c r="G58" s="14"/>
      <c r="H58" s="14"/>
      <c r="I58" s="14"/>
      <c r="J58" s="14"/>
      <c r="K58" s="12"/>
    </row>
    <row r="59" ht="19.5" customHeight="1">
      <c r="A59" s="12"/>
      <c r="B59" s="583"/>
      <c r="C59" s="12"/>
      <c r="D59" s="13"/>
      <c r="F59" s="14"/>
      <c r="G59" s="14"/>
      <c r="H59" s="14"/>
      <c r="I59" s="14"/>
      <c r="J59" s="14"/>
      <c r="K59" s="12"/>
    </row>
    <row r="60" ht="19.5" customHeight="1">
      <c r="A60" s="12"/>
      <c r="B60" s="583"/>
      <c r="C60" s="12"/>
      <c r="D60" s="13"/>
      <c r="F60" s="14"/>
      <c r="G60" s="14"/>
      <c r="H60" s="14"/>
      <c r="I60" s="14"/>
      <c r="J60" s="14"/>
      <c r="K60" s="12"/>
    </row>
    <row r="61" ht="19.5" customHeight="1">
      <c r="A61" s="12"/>
      <c r="B61" s="583"/>
      <c r="C61" s="12"/>
      <c r="D61" s="13"/>
      <c r="F61" s="14"/>
      <c r="G61" s="14"/>
      <c r="H61" s="14"/>
      <c r="I61" s="14"/>
      <c r="J61" s="14"/>
      <c r="K61" s="12"/>
    </row>
    <row r="62" ht="19.5" customHeight="1">
      <c r="A62" s="12"/>
      <c r="B62" s="583"/>
      <c r="C62" s="12"/>
      <c r="D62" s="13"/>
      <c r="F62" s="14"/>
      <c r="G62" s="14"/>
      <c r="H62" s="14"/>
      <c r="I62" s="14"/>
      <c r="J62" s="14"/>
      <c r="K62" s="12"/>
    </row>
    <row r="63" ht="19.5" customHeight="1">
      <c r="A63" s="12"/>
      <c r="B63" s="583"/>
      <c r="C63" s="12"/>
      <c r="D63" s="13"/>
      <c r="F63" s="14"/>
      <c r="G63" s="14"/>
      <c r="H63" s="14"/>
      <c r="I63" s="14"/>
      <c r="J63" s="14"/>
      <c r="K63" s="12"/>
    </row>
    <row r="64" ht="19.5" customHeight="1">
      <c r="A64" s="12"/>
      <c r="B64" s="583"/>
      <c r="C64" s="12"/>
      <c r="D64" s="13"/>
      <c r="F64" s="14"/>
      <c r="G64" s="14"/>
      <c r="H64" s="14"/>
      <c r="I64" s="14"/>
      <c r="J64" s="14"/>
      <c r="K64" s="12"/>
    </row>
    <row r="65" ht="19.5" customHeight="1">
      <c r="A65" s="12"/>
      <c r="B65" s="583"/>
      <c r="C65" s="12"/>
      <c r="D65" s="13"/>
      <c r="F65" s="14"/>
      <c r="G65" s="14"/>
      <c r="H65" s="14"/>
      <c r="I65" s="14"/>
      <c r="J65" s="14"/>
      <c r="K65" s="12"/>
    </row>
    <row r="66" ht="19.5" customHeight="1">
      <c r="A66" s="12"/>
      <c r="B66" s="583"/>
      <c r="C66" s="12"/>
      <c r="D66" s="13"/>
      <c r="F66" s="14"/>
      <c r="G66" s="14"/>
      <c r="H66" s="14"/>
      <c r="I66" s="14"/>
      <c r="J66" s="14"/>
      <c r="K66" s="12"/>
    </row>
    <row r="67" ht="19.5" customHeight="1">
      <c r="A67" s="12"/>
      <c r="B67" s="583"/>
      <c r="C67" s="12"/>
      <c r="D67" s="13"/>
      <c r="F67" s="14"/>
      <c r="G67" s="14"/>
      <c r="H67" s="14"/>
      <c r="I67" s="14"/>
      <c r="J67" s="14"/>
      <c r="K67" s="12"/>
    </row>
    <row r="68" ht="19.5" customHeight="1">
      <c r="A68" s="12"/>
      <c r="B68" s="583"/>
      <c r="C68" s="12"/>
      <c r="D68" s="13"/>
      <c r="F68" s="14"/>
      <c r="G68" s="14"/>
      <c r="H68" s="14"/>
      <c r="I68" s="14"/>
      <c r="J68" s="14"/>
      <c r="K68" s="12"/>
    </row>
    <row r="69" ht="19.5" customHeight="1">
      <c r="A69" s="12"/>
      <c r="B69" s="583"/>
      <c r="C69" s="12"/>
      <c r="D69" s="13"/>
      <c r="F69" s="14"/>
      <c r="G69" s="14"/>
      <c r="H69" s="14"/>
      <c r="I69" s="14"/>
      <c r="J69" s="14"/>
      <c r="K69" s="12"/>
    </row>
    <row r="70" ht="19.5" customHeight="1">
      <c r="A70" s="12"/>
      <c r="B70" s="583"/>
      <c r="C70" s="12"/>
      <c r="D70" s="13"/>
      <c r="F70" s="14"/>
      <c r="G70" s="14"/>
      <c r="H70" s="14"/>
      <c r="I70" s="14"/>
      <c r="J70" s="14"/>
      <c r="K70" s="12"/>
    </row>
    <row r="71" ht="19.5" customHeight="1">
      <c r="A71" s="12"/>
      <c r="B71" s="583"/>
      <c r="C71" s="12"/>
      <c r="D71" s="13"/>
      <c r="F71" s="14"/>
      <c r="G71" s="14"/>
      <c r="H71" s="14"/>
      <c r="I71" s="14"/>
      <c r="J71" s="14"/>
      <c r="K71" s="12"/>
    </row>
    <row r="72" ht="19.5" customHeight="1">
      <c r="A72" s="12"/>
      <c r="B72" s="583"/>
      <c r="C72" s="12"/>
      <c r="D72" s="13"/>
      <c r="F72" s="14"/>
      <c r="G72" s="14"/>
      <c r="H72" s="14"/>
      <c r="I72" s="14"/>
      <c r="J72" s="14"/>
      <c r="K72" s="12"/>
    </row>
    <row r="73" ht="19.5" customHeight="1">
      <c r="A73" s="12"/>
      <c r="B73" s="583"/>
      <c r="C73" s="12"/>
      <c r="D73" s="13"/>
      <c r="F73" s="14"/>
      <c r="G73" s="14"/>
      <c r="H73" s="14"/>
      <c r="I73" s="14"/>
      <c r="J73" s="14"/>
      <c r="K73" s="12"/>
    </row>
    <row r="74" ht="19.5" customHeight="1">
      <c r="A74" s="12"/>
      <c r="B74" s="583"/>
      <c r="C74" s="12"/>
      <c r="D74" s="13"/>
      <c r="F74" s="14"/>
      <c r="G74" s="14"/>
      <c r="H74" s="14"/>
      <c r="I74" s="14"/>
      <c r="J74" s="14"/>
      <c r="K74" s="12"/>
    </row>
    <row r="75" ht="19.5" customHeight="1">
      <c r="A75" s="12"/>
      <c r="B75" s="583"/>
      <c r="C75" s="12"/>
      <c r="D75" s="13"/>
      <c r="F75" s="14"/>
      <c r="G75" s="14"/>
      <c r="H75" s="14"/>
      <c r="I75" s="14"/>
      <c r="J75" s="14"/>
      <c r="K75" s="12"/>
    </row>
    <row r="76" ht="19.5" customHeight="1">
      <c r="A76" s="12"/>
      <c r="B76" s="583"/>
      <c r="C76" s="12"/>
      <c r="D76" s="13"/>
      <c r="F76" s="14"/>
      <c r="G76" s="14"/>
      <c r="H76" s="14"/>
      <c r="I76" s="14"/>
      <c r="J76" s="14"/>
      <c r="K76" s="12"/>
    </row>
    <row r="77" ht="19.5" customHeight="1">
      <c r="A77" s="12"/>
      <c r="B77" s="583"/>
      <c r="C77" s="12"/>
      <c r="D77" s="13"/>
      <c r="F77" s="14"/>
      <c r="G77" s="14"/>
      <c r="H77" s="14"/>
      <c r="I77" s="14"/>
      <c r="J77" s="14"/>
      <c r="K77" s="12"/>
    </row>
    <row r="78" ht="19.5" customHeight="1">
      <c r="A78" s="12"/>
      <c r="B78" s="583"/>
      <c r="C78" s="12"/>
      <c r="D78" s="13"/>
      <c r="F78" s="14"/>
      <c r="G78" s="14"/>
      <c r="H78" s="14"/>
      <c r="I78" s="14"/>
      <c r="J78" s="14"/>
      <c r="K78" s="12"/>
    </row>
    <row r="79" ht="19.5" customHeight="1">
      <c r="A79" s="12"/>
      <c r="B79" s="583"/>
      <c r="C79" s="12"/>
      <c r="D79" s="13"/>
      <c r="F79" s="14"/>
      <c r="G79" s="14"/>
      <c r="H79" s="14"/>
      <c r="I79" s="14"/>
      <c r="J79" s="14"/>
      <c r="K79" s="12"/>
    </row>
    <row r="80" ht="19.5" customHeight="1">
      <c r="A80" s="12"/>
      <c r="B80" s="583"/>
      <c r="C80" s="12"/>
      <c r="D80" s="13"/>
      <c r="F80" s="14"/>
      <c r="G80" s="14"/>
      <c r="H80" s="14"/>
      <c r="I80" s="14"/>
      <c r="J80" s="14"/>
      <c r="K80" s="12"/>
    </row>
    <row r="81" ht="19.5" customHeight="1">
      <c r="A81" s="12"/>
      <c r="B81" s="583"/>
      <c r="C81" s="12"/>
      <c r="D81" s="13"/>
      <c r="F81" s="14"/>
      <c r="G81" s="14"/>
      <c r="H81" s="14"/>
      <c r="I81" s="14"/>
      <c r="J81" s="14"/>
      <c r="K81" s="12"/>
    </row>
    <row r="82" ht="19.5" customHeight="1">
      <c r="A82" s="12"/>
      <c r="B82" s="583"/>
      <c r="C82" s="12"/>
      <c r="D82" s="13"/>
      <c r="F82" s="14"/>
      <c r="G82" s="14"/>
      <c r="H82" s="14"/>
      <c r="I82" s="14"/>
      <c r="J82" s="14"/>
      <c r="K82" s="12"/>
    </row>
    <row r="83" ht="19.5" customHeight="1">
      <c r="A83" s="12"/>
      <c r="B83" s="583"/>
      <c r="C83" s="12"/>
      <c r="D83" s="13"/>
      <c r="F83" s="14"/>
      <c r="G83" s="14"/>
      <c r="H83" s="14"/>
      <c r="I83" s="14"/>
      <c r="J83" s="14"/>
      <c r="K83" s="12"/>
    </row>
    <row r="84" ht="19.5" customHeight="1">
      <c r="A84" s="12"/>
      <c r="B84" s="583"/>
      <c r="C84" s="12"/>
      <c r="D84" s="13"/>
      <c r="F84" s="14"/>
      <c r="G84" s="14"/>
      <c r="H84" s="14"/>
      <c r="I84" s="14"/>
      <c r="J84" s="14"/>
      <c r="K84" s="12"/>
    </row>
    <row r="85" ht="19.5" customHeight="1">
      <c r="A85" s="12"/>
      <c r="B85" s="583"/>
      <c r="C85" s="12"/>
      <c r="D85" s="13"/>
      <c r="F85" s="14"/>
      <c r="G85" s="14"/>
      <c r="H85" s="14"/>
      <c r="I85" s="14"/>
      <c r="J85" s="14"/>
      <c r="K85" s="12"/>
    </row>
    <row r="86" ht="19.5" customHeight="1">
      <c r="A86" s="12"/>
      <c r="B86" s="583"/>
      <c r="C86" s="12"/>
      <c r="D86" s="13"/>
      <c r="F86" s="14"/>
      <c r="G86" s="14"/>
      <c r="H86" s="14"/>
      <c r="I86" s="14"/>
      <c r="J86" s="14"/>
      <c r="K86" s="12"/>
    </row>
    <row r="87" ht="19.5" customHeight="1">
      <c r="A87" s="12"/>
      <c r="B87" s="583"/>
      <c r="C87" s="12"/>
      <c r="D87" s="13"/>
      <c r="F87" s="14"/>
      <c r="G87" s="14"/>
      <c r="H87" s="14"/>
      <c r="I87" s="14"/>
      <c r="J87" s="14"/>
      <c r="K87" s="12"/>
    </row>
    <row r="88" ht="19.5" customHeight="1">
      <c r="A88" s="12"/>
      <c r="B88" s="583"/>
      <c r="C88" s="12"/>
      <c r="D88" s="13"/>
      <c r="F88" s="14"/>
      <c r="G88" s="14"/>
      <c r="H88" s="14"/>
      <c r="I88" s="14"/>
      <c r="J88" s="14"/>
      <c r="K88" s="12"/>
    </row>
    <row r="89" ht="19.5" customHeight="1">
      <c r="A89" s="12"/>
      <c r="B89" s="583"/>
      <c r="C89" s="12"/>
      <c r="D89" s="13"/>
      <c r="F89" s="14"/>
      <c r="G89" s="14"/>
      <c r="H89" s="14"/>
      <c r="I89" s="14"/>
      <c r="J89" s="14"/>
      <c r="K89" s="12"/>
    </row>
    <row r="90" ht="19.5" customHeight="1">
      <c r="A90" s="12"/>
      <c r="B90" s="583"/>
      <c r="C90" s="12"/>
      <c r="D90" s="13"/>
      <c r="F90" s="14"/>
      <c r="G90" s="14"/>
      <c r="H90" s="14"/>
      <c r="I90" s="14"/>
      <c r="J90" s="14"/>
      <c r="K90" s="12"/>
    </row>
    <row r="91" ht="19.5" customHeight="1">
      <c r="A91" s="12"/>
      <c r="B91" s="583"/>
      <c r="C91" s="12"/>
      <c r="D91" s="13"/>
      <c r="F91" s="14"/>
      <c r="G91" s="14"/>
      <c r="H91" s="14"/>
      <c r="I91" s="14"/>
      <c r="J91" s="14"/>
      <c r="K91" s="12"/>
    </row>
    <row r="92" ht="19.5" customHeight="1">
      <c r="A92" s="12"/>
      <c r="B92" s="583"/>
      <c r="C92" s="12"/>
      <c r="D92" s="13"/>
      <c r="F92" s="14"/>
      <c r="G92" s="14"/>
      <c r="H92" s="14"/>
      <c r="I92" s="14"/>
      <c r="J92" s="14"/>
      <c r="K92" s="12"/>
    </row>
    <row r="93" ht="19.5" customHeight="1">
      <c r="A93" s="12"/>
      <c r="B93" s="583"/>
      <c r="C93" s="12"/>
      <c r="D93" s="13"/>
      <c r="F93" s="14"/>
      <c r="G93" s="14"/>
      <c r="H93" s="14"/>
      <c r="I93" s="14"/>
      <c r="J93" s="14"/>
      <c r="K93" s="12"/>
    </row>
    <row r="94" ht="19.5" customHeight="1">
      <c r="A94" s="12"/>
      <c r="B94" s="583"/>
      <c r="C94" s="12"/>
      <c r="D94" s="13"/>
      <c r="F94" s="14"/>
      <c r="G94" s="14"/>
      <c r="H94" s="14"/>
      <c r="I94" s="14"/>
      <c r="J94" s="14"/>
      <c r="K94" s="12"/>
    </row>
    <row r="95" ht="19.5" customHeight="1">
      <c r="A95" s="12"/>
      <c r="B95" s="583"/>
      <c r="C95" s="12"/>
      <c r="D95" s="13"/>
      <c r="F95" s="14"/>
      <c r="G95" s="14"/>
      <c r="H95" s="14"/>
      <c r="I95" s="14"/>
      <c r="J95" s="14"/>
      <c r="K95" s="12"/>
    </row>
    <row r="96" ht="19.5" customHeight="1">
      <c r="A96" s="12"/>
      <c r="B96" s="583"/>
      <c r="C96" s="12"/>
      <c r="D96" s="13"/>
      <c r="F96" s="14"/>
      <c r="G96" s="14"/>
      <c r="H96" s="14"/>
      <c r="I96" s="14"/>
      <c r="J96" s="14"/>
      <c r="K96" s="12"/>
    </row>
    <row r="97" ht="19.5" customHeight="1">
      <c r="A97" s="12"/>
      <c r="B97" s="583"/>
      <c r="C97" s="12"/>
      <c r="D97" s="13"/>
      <c r="F97" s="14"/>
      <c r="G97" s="14"/>
      <c r="H97" s="14"/>
      <c r="I97" s="14"/>
      <c r="J97" s="14"/>
      <c r="K97" s="12"/>
    </row>
    <row r="98" ht="19.5" customHeight="1">
      <c r="A98" s="12"/>
      <c r="B98" s="583"/>
      <c r="C98" s="12"/>
      <c r="D98" s="13"/>
      <c r="F98" s="14"/>
      <c r="G98" s="14"/>
      <c r="H98" s="14"/>
      <c r="I98" s="14"/>
      <c r="J98" s="14"/>
      <c r="K98" s="12"/>
    </row>
    <row r="99" ht="19.5" customHeight="1">
      <c r="A99" s="12"/>
      <c r="B99" s="583"/>
      <c r="C99" s="12"/>
      <c r="D99" s="13"/>
      <c r="F99" s="14"/>
      <c r="G99" s="14"/>
      <c r="H99" s="14"/>
      <c r="I99" s="14"/>
      <c r="J99" s="14"/>
      <c r="K99" s="12"/>
    </row>
    <row r="100" ht="19.5" customHeight="1">
      <c r="A100" s="12"/>
      <c r="B100" s="583"/>
      <c r="C100" s="12"/>
      <c r="D100" s="13"/>
      <c r="F100" s="14"/>
      <c r="G100" s="14"/>
      <c r="H100" s="14"/>
      <c r="I100" s="14"/>
      <c r="J100" s="14"/>
      <c r="K100" s="12"/>
    </row>
    <row r="101" ht="19.5" customHeight="1">
      <c r="A101" s="12"/>
      <c r="B101" s="583"/>
      <c r="C101" s="12"/>
      <c r="D101" s="13"/>
      <c r="F101" s="14"/>
      <c r="G101" s="14"/>
      <c r="H101" s="14"/>
      <c r="I101" s="14"/>
      <c r="J101" s="14"/>
      <c r="K101" s="12"/>
    </row>
    <row r="102" ht="19.5" customHeight="1">
      <c r="A102" s="12"/>
      <c r="B102" s="583"/>
      <c r="C102" s="12"/>
      <c r="D102" s="13"/>
      <c r="F102" s="14"/>
      <c r="G102" s="14"/>
      <c r="H102" s="14"/>
      <c r="I102" s="14"/>
      <c r="J102" s="14"/>
      <c r="K102" s="12"/>
    </row>
    <row r="103" ht="19.5" customHeight="1">
      <c r="A103" s="12"/>
      <c r="B103" s="583"/>
      <c r="C103" s="12"/>
      <c r="D103" s="13"/>
      <c r="F103" s="14"/>
      <c r="G103" s="14"/>
      <c r="H103" s="14"/>
      <c r="I103" s="14"/>
      <c r="J103" s="14"/>
      <c r="K103" s="12"/>
    </row>
    <row r="104" ht="19.5" customHeight="1">
      <c r="A104" s="12"/>
      <c r="B104" s="583"/>
      <c r="C104" s="12"/>
      <c r="D104" s="13"/>
      <c r="F104" s="14"/>
      <c r="G104" s="14"/>
      <c r="H104" s="14"/>
      <c r="I104" s="14"/>
      <c r="J104" s="14"/>
      <c r="K104" s="12"/>
    </row>
    <row r="105" ht="19.5" customHeight="1">
      <c r="A105" s="12"/>
      <c r="B105" s="583"/>
      <c r="C105" s="12"/>
      <c r="D105" s="13"/>
      <c r="F105" s="14"/>
      <c r="G105" s="14"/>
      <c r="H105" s="14"/>
      <c r="I105" s="14"/>
      <c r="J105" s="14"/>
      <c r="K105" s="12"/>
    </row>
    <row r="106" ht="19.5" customHeight="1">
      <c r="A106" s="12"/>
      <c r="B106" s="583"/>
      <c r="C106" s="12"/>
      <c r="D106" s="13"/>
      <c r="F106" s="14"/>
      <c r="G106" s="14"/>
      <c r="H106" s="14"/>
      <c r="I106" s="14"/>
      <c r="J106" s="14"/>
      <c r="K106" s="12"/>
    </row>
    <row r="107" ht="19.5" customHeight="1">
      <c r="A107" s="12"/>
      <c r="B107" s="583"/>
      <c r="C107" s="12"/>
      <c r="D107" s="13"/>
      <c r="F107" s="14"/>
      <c r="G107" s="14"/>
      <c r="H107" s="14"/>
      <c r="I107" s="14"/>
      <c r="J107" s="14"/>
      <c r="K107" s="12"/>
    </row>
    <row r="108" ht="19.5" customHeight="1">
      <c r="A108" s="12"/>
      <c r="B108" s="583"/>
      <c r="C108" s="12"/>
      <c r="D108" s="13"/>
      <c r="F108" s="14"/>
      <c r="G108" s="14"/>
      <c r="H108" s="14"/>
      <c r="I108" s="14"/>
      <c r="J108" s="14"/>
      <c r="K108" s="12"/>
    </row>
    <row r="109" ht="19.5" customHeight="1">
      <c r="A109" s="12"/>
      <c r="B109" s="583"/>
      <c r="C109" s="12"/>
      <c r="D109" s="13"/>
      <c r="F109" s="14"/>
      <c r="G109" s="14"/>
      <c r="H109" s="14"/>
      <c r="I109" s="14"/>
      <c r="J109" s="14"/>
      <c r="K109" s="12"/>
    </row>
    <row r="110" ht="19.5" customHeight="1">
      <c r="A110" s="12"/>
      <c r="B110" s="583"/>
      <c r="C110" s="12"/>
      <c r="D110" s="13"/>
      <c r="F110" s="14"/>
      <c r="G110" s="14"/>
      <c r="H110" s="14"/>
      <c r="I110" s="14"/>
      <c r="J110" s="14"/>
      <c r="K110" s="12"/>
    </row>
    <row r="111" ht="19.5" customHeight="1">
      <c r="A111" s="12"/>
      <c r="B111" s="583"/>
      <c r="C111" s="12"/>
      <c r="D111" s="13"/>
      <c r="F111" s="14"/>
      <c r="G111" s="14"/>
      <c r="H111" s="14"/>
      <c r="I111" s="14"/>
      <c r="J111" s="14"/>
      <c r="K111" s="12"/>
    </row>
    <row r="112" ht="19.5" customHeight="1">
      <c r="A112" s="12"/>
      <c r="B112" s="583"/>
      <c r="C112" s="12"/>
      <c r="D112" s="13"/>
      <c r="F112" s="14"/>
      <c r="G112" s="14"/>
      <c r="H112" s="14"/>
      <c r="I112" s="14"/>
      <c r="J112" s="14"/>
      <c r="K112" s="12"/>
    </row>
    <row r="113" ht="19.5" customHeight="1">
      <c r="A113" s="12"/>
      <c r="B113" s="583"/>
      <c r="C113" s="12"/>
      <c r="D113" s="13"/>
      <c r="F113" s="14"/>
      <c r="G113" s="14"/>
      <c r="H113" s="14"/>
      <c r="I113" s="14"/>
      <c r="J113" s="14"/>
      <c r="K113" s="12"/>
    </row>
    <row r="114" ht="19.5" customHeight="1">
      <c r="A114" s="12"/>
      <c r="B114" s="583"/>
      <c r="C114" s="12"/>
      <c r="D114" s="13"/>
      <c r="F114" s="14"/>
      <c r="G114" s="14"/>
      <c r="H114" s="14"/>
      <c r="I114" s="14"/>
      <c r="J114" s="14"/>
      <c r="K114" s="12"/>
    </row>
    <row r="115" ht="19.5" customHeight="1">
      <c r="A115" s="12"/>
      <c r="B115" s="583"/>
      <c r="C115" s="12"/>
      <c r="D115" s="13"/>
      <c r="F115" s="14"/>
      <c r="G115" s="14"/>
      <c r="H115" s="14"/>
      <c r="I115" s="14"/>
      <c r="J115" s="14"/>
      <c r="K115" s="12"/>
    </row>
    <row r="116" ht="19.5" customHeight="1">
      <c r="A116" s="12"/>
      <c r="B116" s="583"/>
      <c r="C116" s="12"/>
      <c r="D116" s="13"/>
      <c r="F116" s="14"/>
      <c r="G116" s="14"/>
      <c r="H116" s="14"/>
      <c r="I116" s="14"/>
      <c r="J116" s="14"/>
      <c r="K116" s="12"/>
    </row>
    <row r="117" ht="19.5" customHeight="1">
      <c r="A117" s="12"/>
      <c r="B117" s="583"/>
      <c r="C117" s="12"/>
      <c r="D117" s="13"/>
      <c r="F117" s="14"/>
      <c r="G117" s="14"/>
      <c r="H117" s="14"/>
      <c r="I117" s="14"/>
      <c r="J117" s="14"/>
      <c r="K117" s="12"/>
    </row>
    <row r="118" ht="19.5" customHeight="1">
      <c r="A118" s="12"/>
      <c r="B118" s="583"/>
      <c r="C118" s="12"/>
      <c r="D118" s="13"/>
      <c r="F118" s="14"/>
      <c r="G118" s="14"/>
      <c r="H118" s="14"/>
      <c r="I118" s="14"/>
      <c r="J118" s="14"/>
      <c r="K118" s="12"/>
    </row>
    <row r="119" ht="19.5" customHeight="1">
      <c r="A119" s="12"/>
      <c r="B119" s="583"/>
      <c r="C119" s="12"/>
      <c r="D119" s="13"/>
      <c r="F119" s="14"/>
      <c r="G119" s="14"/>
      <c r="H119" s="14"/>
      <c r="I119" s="14"/>
      <c r="J119" s="14"/>
      <c r="K119" s="12"/>
    </row>
    <row r="120" ht="19.5" customHeight="1">
      <c r="A120" s="12"/>
      <c r="B120" s="583"/>
      <c r="C120" s="12"/>
      <c r="D120" s="13"/>
      <c r="F120" s="14"/>
      <c r="G120" s="14"/>
      <c r="H120" s="14"/>
      <c r="I120" s="14"/>
      <c r="J120" s="14"/>
      <c r="K120" s="12"/>
    </row>
    <row r="121" ht="19.5" customHeight="1">
      <c r="A121" s="12"/>
      <c r="B121" s="583"/>
      <c r="C121" s="12"/>
      <c r="D121" s="13"/>
      <c r="F121" s="14"/>
      <c r="G121" s="14"/>
      <c r="H121" s="14"/>
      <c r="I121" s="14"/>
      <c r="J121" s="14"/>
      <c r="K121" s="12"/>
    </row>
    <row r="122" ht="19.5" customHeight="1">
      <c r="A122" s="12"/>
      <c r="B122" s="583"/>
      <c r="C122" s="12"/>
      <c r="D122" s="13"/>
      <c r="F122" s="14"/>
      <c r="G122" s="14"/>
      <c r="H122" s="14"/>
      <c r="I122" s="14"/>
      <c r="J122" s="14"/>
      <c r="K122" s="12"/>
    </row>
    <row r="123" ht="19.5" customHeight="1">
      <c r="A123" s="12"/>
      <c r="B123" s="583"/>
      <c r="C123" s="12"/>
      <c r="D123" s="13"/>
      <c r="F123" s="14"/>
      <c r="G123" s="14"/>
      <c r="H123" s="14"/>
      <c r="I123" s="14"/>
      <c r="J123" s="14"/>
      <c r="K123" s="12"/>
    </row>
    <row r="124" ht="19.5" customHeight="1">
      <c r="A124" s="12"/>
      <c r="B124" s="583"/>
      <c r="C124" s="12"/>
      <c r="D124" s="13"/>
      <c r="F124" s="14"/>
      <c r="G124" s="14"/>
      <c r="H124" s="14"/>
      <c r="I124" s="14"/>
      <c r="J124" s="14"/>
      <c r="K124" s="12"/>
    </row>
    <row r="125" ht="19.5" customHeight="1">
      <c r="A125" s="12"/>
      <c r="B125" s="583"/>
      <c r="C125" s="12"/>
      <c r="D125" s="13"/>
      <c r="F125" s="14"/>
      <c r="G125" s="14"/>
      <c r="H125" s="14"/>
      <c r="I125" s="14"/>
      <c r="J125" s="14"/>
      <c r="K125" s="12"/>
    </row>
    <row r="126" ht="19.5" customHeight="1">
      <c r="A126" s="12"/>
      <c r="B126" s="583"/>
      <c r="C126" s="12"/>
      <c r="D126" s="13"/>
      <c r="F126" s="14"/>
      <c r="G126" s="14"/>
      <c r="H126" s="14"/>
      <c r="I126" s="14"/>
      <c r="J126" s="14"/>
      <c r="K126" s="12"/>
    </row>
    <row r="127" ht="19.5" customHeight="1">
      <c r="A127" s="12"/>
      <c r="B127" s="583"/>
      <c r="C127" s="12"/>
      <c r="D127" s="13"/>
      <c r="F127" s="14"/>
      <c r="G127" s="14"/>
      <c r="H127" s="14"/>
      <c r="I127" s="14"/>
      <c r="J127" s="14"/>
      <c r="K127" s="12"/>
    </row>
    <row r="128" ht="19.5" customHeight="1">
      <c r="A128" s="12"/>
      <c r="B128" s="583"/>
      <c r="C128" s="12"/>
      <c r="D128" s="13"/>
      <c r="F128" s="14"/>
      <c r="G128" s="14"/>
      <c r="H128" s="14"/>
      <c r="I128" s="14"/>
      <c r="J128" s="14"/>
      <c r="K128" s="12"/>
    </row>
    <row r="129" ht="19.5" customHeight="1">
      <c r="A129" s="12"/>
      <c r="B129" s="583"/>
      <c r="C129" s="12"/>
      <c r="D129" s="13"/>
      <c r="F129" s="14"/>
      <c r="G129" s="14"/>
      <c r="H129" s="14"/>
      <c r="I129" s="14"/>
      <c r="J129" s="14"/>
      <c r="K129" s="12"/>
    </row>
    <row r="130" ht="19.5" customHeight="1">
      <c r="A130" s="12"/>
      <c r="B130" s="583"/>
      <c r="C130" s="12"/>
      <c r="D130" s="13"/>
      <c r="F130" s="14"/>
      <c r="G130" s="14"/>
      <c r="H130" s="14"/>
      <c r="I130" s="14"/>
      <c r="J130" s="14"/>
      <c r="K130" s="12"/>
    </row>
    <row r="131" ht="19.5" customHeight="1">
      <c r="A131" s="12"/>
      <c r="B131" s="583"/>
      <c r="C131" s="12"/>
      <c r="D131" s="13"/>
      <c r="F131" s="14"/>
      <c r="G131" s="14"/>
      <c r="H131" s="14"/>
      <c r="I131" s="14"/>
      <c r="J131" s="14"/>
      <c r="K131" s="12"/>
    </row>
    <row r="132" ht="19.5" customHeight="1">
      <c r="A132" s="12"/>
      <c r="B132" s="583"/>
      <c r="C132" s="12"/>
      <c r="D132" s="13"/>
      <c r="F132" s="14"/>
      <c r="G132" s="14"/>
      <c r="H132" s="14"/>
      <c r="I132" s="14"/>
      <c r="J132" s="14"/>
      <c r="K132" s="12"/>
    </row>
    <row r="133" ht="19.5" customHeight="1">
      <c r="A133" s="12"/>
      <c r="B133" s="583"/>
      <c r="C133" s="12"/>
      <c r="D133" s="13"/>
      <c r="F133" s="14"/>
      <c r="G133" s="14"/>
      <c r="H133" s="14"/>
      <c r="I133" s="14"/>
      <c r="J133" s="14"/>
      <c r="K133" s="12"/>
    </row>
    <row r="134" ht="19.5" customHeight="1">
      <c r="A134" s="12"/>
      <c r="B134" s="583"/>
      <c r="C134" s="12"/>
      <c r="D134" s="13"/>
      <c r="F134" s="14"/>
      <c r="G134" s="14"/>
      <c r="H134" s="14"/>
      <c r="I134" s="14"/>
      <c r="J134" s="14"/>
      <c r="K134" s="12"/>
    </row>
    <row r="135" ht="19.5" customHeight="1">
      <c r="A135" s="12"/>
      <c r="B135" s="583"/>
      <c r="C135" s="12"/>
      <c r="D135" s="13"/>
      <c r="F135" s="14"/>
      <c r="G135" s="14"/>
      <c r="H135" s="14"/>
      <c r="I135" s="14"/>
      <c r="J135" s="14"/>
      <c r="K135" s="12"/>
    </row>
    <row r="136" ht="19.5" customHeight="1">
      <c r="A136" s="12"/>
      <c r="B136" s="583"/>
      <c r="C136" s="12"/>
      <c r="D136" s="13"/>
      <c r="F136" s="14"/>
      <c r="G136" s="14"/>
      <c r="H136" s="14"/>
      <c r="I136" s="14"/>
      <c r="J136" s="14"/>
      <c r="K136" s="12"/>
    </row>
    <row r="137" ht="19.5" customHeight="1">
      <c r="A137" s="12"/>
      <c r="B137" s="583"/>
      <c r="C137" s="12"/>
      <c r="D137" s="13"/>
      <c r="F137" s="14"/>
      <c r="G137" s="14"/>
      <c r="H137" s="14"/>
      <c r="I137" s="14"/>
      <c r="J137" s="14"/>
      <c r="K137" s="12"/>
    </row>
    <row r="138" ht="19.5" customHeight="1">
      <c r="A138" s="12"/>
      <c r="B138" s="583"/>
      <c r="C138" s="12"/>
      <c r="D138" s="13"/>
      <c r="F138" s="14"/>
      <c r="G138" s="14"/>
      <c r="H138" s="14"/>
      <c r="I138" s="14"/>
      <c r="J138" s="14"/>
      <c r="K138" s="12"/>
    </row>
    <row r="139" ht="19.5" customHeight="1">
      <c r="A139" s="12"/>
      <c r="B139" s="583"/>
      <c r="C139" s="12"/>
      <c r="D139" s="13"/>
      <c r="F139" s="14"/>
      <c r="G139" s="14"/>
      <c r="H139" s="14"/>
      <c r="I139" s="14"/>
      <c r="J139" s="14"/>
      <c r="K139" s="12"/>
    </row>
    <row r="140" ht="19.5" customHeight="1">
      <c r="A140" s="12"/>
      <c r="B140" s="583"/>
      <c r="C140" s="12"/>
      <c r="D140" s="13"/>
      <c r="F140" s="14"/>
      <c r="G140" s="14"/>
      <c r="H140" s="14"/>
      <c r="I140" s="14"/>
      <c r="J140" s="14"/>
      <c r="K140" s="12"/>
    </row>
    <row r="141" ht="19.5" customHeight="1">
      <c r="A141" s="12"/>
      <c r="B141" s="583"/>
      <c r="C141" s="12"/>
      <c r="D141" s="13"/>
      <c r="F141" s="14"/>
      <c r="G141" s="14"/>
      <c r="H141" s="14"/>
      <c r="I141" s="14"/>
      <c r="J141" s="14"/>
      <c r="K141" s="12"/>
    </row>
    <row r="142" ht="19.5" customHeight="1">
      <c r="A142" s="12"/>
      <c r="B142" s="583"/>
      <c r="C142" s="12"/>
      <c r="D142" s="13"/>
      <c r="F142" s="14"/>
      <c r="G142" s="14"/>
      <c r="H142" s="14"/>
      <c r="I142" s="14"/>
      <c r="J142" s="14"/>
      <c r="K142" s="12"/>
    </row>
    <row r="143" ht="19.5" customHeight="1">
      <c r="A143" s="12"/>
      <c r="B143" s="583"/>
      <c r="C143" s="12"/>
      <c r="D143" s="13"/>
      <c r="F143" s="14"/>
      <c r="G143" s="14"/>
      <c r="H143" s="14"/>
      <c r="I143" s="14"/>
      <c r="J143" s="14"/>
      <c r="K143" s="12"/>
    </row>
    <row r="144" ht="19.5" customHeight="1">
      <c r="A144" s="12"/>
      <c r="B144" s="583"/>
      <c r="C144" s="12"/>
      <c r="D144" s="13"/>
      <c r="F144" s="14"/>
      <c r="G144" s="14"/>
      <c r="H144" s="14"/>
      <c r="I144" s="14"/>
      <c r="J144" s="14"/>
      <c r="K144" s="12"/>
    </row>
    <row r="145" ht="19.5" customHeight="1">
      <c r="A145" s="12"/>
      <c r="B145" s="583"/>
      <c r="C145" s="12"/>
      <c r="D145" s="13"/>
      <c r="F145" s="14"/>
      <c r="G145" s="14"/>
      <c r="H145" s="14"/>
      <c r="I145" s="14"/>
      <c r="J145" s="14"/>
      <c r="K145" s="12"/>
    </row>
    <row r="146" ht="19.5" customHeight="1">
      <c r="A146" s="12"/>
      <c r="B146" s="583"/>
      <c r="C146" s="12"/>
      <c r="D146" s="13"/>
      <c r="F146" s="14"/>
      <c r="G146" s="14"/>
      <c r="H146" s="14"/>
      <c r="I146" s="14"/>
      <c r="J146" s="14"/>
      <c r="K146" s="12"/>
    </row>
    <row r="147" ht="19.5" customHeight="1">
      <c r="A147" s="12"/>
      <c r="B147" s="583"/>
      <c r="C147" s="12"/>
      <c r="D147" s="13"/>
      <c r="F147" s="14"/>
      <c r="G147" s="14"/>
      <c r="H147" s="14"/>
      <c r="I147" s="14"/>
      <c r="J147" s="14"/>
      <c r="K147" s="12"/>
    </row>
    <row r="148" ht="19.5" customHeight="1">
      <c r="A148" s="12"/>
      <c r="B148" s="583"/>
      <c r="C148" s="12"/>
      <c r="D148" s="13"/>
      <c r="F148" s="14"/>
      <c r="G148" s="14"/>
      <c r="H148" s="14"/>
      <c r="I148" s="14"/>
      <c r="J148" s="14"/>
      <c r="K148" s="12"/>
    </row>
    <row r="149" ht="19.5" customHeight="1">
      <c r="A149" s="12"/>
      <c r="B149" s="583"/>
      <c r="C149" s="12"/>
      <c r="D149" s="13"/>
      <c r="F149" s="14"/>
      <c r="G149" s="14"/>
      <c r="H149" s="14"/>
      <c r="I149" s="14"/>
      <c r="J149" s="14"/>
      <c r="K149" s="12"/>
    </row>
    <row r="150" ht="19.5" customHeight="1">
      <c r="A150" s="12"/>
      <c r="B150" s="583"/>
      <c r="C150" s="12"/>
      <c r="D150" s="13"/>
      <c r="F150" s="14"/>
      <c r="G150" s="14"/>
      <c r="H150" s="14"/>
      <c r="I150" s="14"/>
      <c r="J150" s="14"/>
      <c r="K150" s="12"/>
    </row>
    <row r="151" ht="19.5" customHeight="1">
      <c r="A151" s="12"/>
      <c r="B151" s="583"/>
      <c r="C151" s="12"/>
      <c r="D151" s="13"/>
      <c r="F151" s="14"/>
      <c r="G151" s="14"/>
      <c r="H151" s="14"/>
      <c r="I151" s="14"/>
      <c r="J151" s="14"/>
      <c r="K151" s="12"/>
    </row>
    <row r="152" ht="19.5" customHeight="1">
      <c r="A152" s="12"/>
      <c r="B152" s="583"/>
      <c r="C152" s="12"/>
      <c r="D152" s="13"/>
      <c r="F152" s="14"/>
      <c r="G152" s="14"/>
      <c r="H152" s="14"/>
      <c r="I152" s="14"/>
      <c r="J152" s="14"/>
      <c r="K152" s="12"/>
    </row>
    <row r="153" ht="19.5" customHeight="1">
      <c r="A153" s="12"/>
      <c r="B153" s="583"/>
      <c r="C153" s="12"/>
      <c r="D153" s="13"/>
      <c r="F153" s="14"/>
      <c r="G153" s="14"/>
      <c r="H153" s="14"/>
      <c r="I153" s="14"/>
      <c r="J153" s="14"/>
      <c r="K153" s="12"/>
    </row>
    <row r="154" ht="19.5" customHeight="1">
      <c r="A154" s="12"/>
      <c r="B154" s="583"/>
      <c r="C154" s="12"/>
      <c r="D154" s="13"/>
      <c r="F154" s="14"/>
      <c r="G154" s="14"/>
      <c r="H154" s="14"/>
      <c r="I154" s="14"/>
      <c r="J154" s="14"/>
      <c r="K154" s="12"/>
    </row>
    <row r="155" ht="19.5" customHeight="1">
      <c r="A155" s="12"/>
      <c r="B155" s="583"/>
      <c r="C155" s="12"/>
      <c r="D155" s="13"/>
      <c r="F155" s="14"/>
      <c r="G155" s="14"/>
      <c r="H155" s="14"/>
      <c r="I155" s="14"/>
      <c r="J155" s="14"/>
      <c r="K155" s="12"/>
    </row>
    <row r="156" ht="19.5" customHeight="1">
      <c r="A156" s="12"/>
      <c r="B156" s="583"/>
      <c r="C156" s="12"/>
      <c r="D156" s="13"/>
      <c r="F156" s="14"/>
      <c r="G156" s="14"/>
      <c r="H156" s="14"/>
      <c r="I156" s="14"/>
      <c r="J156" s="14"/>
      <c r="K156" s="12"/>
    </row>
    <row r="157" ht="19.5" customHeight="1">
      <c r="A157" s="12"/>
      <c r="B157" s="583"/>
      <c r="C157" s="12"/>
      <c r="D157" s="13"/>
      <c r="F157" s="14"/>
      <c r="G157" s="14"/>
      <c r="H157" s="14"/>
      <c r="I157" s="14"/>
      <c r="J157" s="14"/>
      <c r="K157" s="12"/>
    </row>
    <row r="158" ht="19.5" customHeight="1">
      <c r="A158" s="12"/>
      <c r="B158" s="583"/>
      <c r="C158" s="12"/>
      <c r="D158" s="13"/>
      <c r="F158" s="14"/>
      <c r="G158" s="14"/>
      <c r="H158" s="14"/>
      <c r="I158" s="14"/>
      <c r="J158" s="14"/>
      <c r="K158" s="12"/>
    </row>
    <row r="159" ht="19.5" customHeight="1">
      <c r="A159" s="12"/>
      <c r="B159" s="583"/>
      <c r="C159" s="12"/>
      <c r="D159" s="13"/>
      <c r="F159" s="14"/>
      <c r="G159" s="14"/>
      <c r="H159" s="14"/>
      <c r="I159" s="14"/>
      <c r="J159" s="14"/>
      <c r="K159" s="12"/>
    </row>
    <row r="160" ht="19.5" customHeight="1">
      <c r="A160" s="12"/>
      <c r="B160" s="583"/>
      <c r="C160" s="12"/>
      <c r="D160" s="13"/>
      <c r="F160" s="14"/>
      <c r="G160" s="14"/>
      <c r="H160" s="14"/>
      <c r="I160" s="14"/>
      <c r="J160" s="14"/>
      <c r="K160" s="12"/>
    </row>
    <row r="161" ht="19.5" customHeight="1">
      <c r="A161" s="12"/>
      <c r="B161" s="583"/>
      <c r="C161" s="12"/>
      <c r="D161" s="13"/>
      <c r="F161" s="14"/>
      <c r="G161" s="14"/>
      <c r="H161" s="14"/>
      <c r="I161" s="14"/>
      <c r="J161" s="14"/>
      <c r="K161" s="12"/>
    </row>
    <row r="162" ht="19.5" customHeight="1">
      <c r="A162" s="12"/>
      <c r="B162" s="583"/>
      <c r="C162" s="12"/>
      <c r="D162" s="13"/>
      <c r="F162" s="14"/>
      <c r="G162" s="14"/>
      <c r="H162" s="14"/>
      <c r="I162" s="14"/>
      <c r="J162" s="14"/>
      <c r="K162" s="12"/>
    </row>
    <row r="163" ht="19.5" customHeight="1">
      <c r="A163" s="12"/>
      <c r="B163" s="583"/>
      <c r="C163" s="12"/>
      <c r="D163" s="13"/>
      <c r="F163" s="14"/>
      <c r="G163" s="14"/>
      <c r="H163" s="14"/>
      <c r="I163" s="14"/>
      <c r="J163" s="14"/>
      <c r="K163" s="12"/>
    </row>
    <row r="164" ht="19.5" customHeight="1">
      <c r="A164" s="12"/>
      <c r="B164" s="583"/>
      <c r="C164" s="12"/>
      <c r="D164" s="13"/>
      <c r="F164" s="14"/>
      <c r="G164" s="14"/>
      <c r="H164" s="14"/>
      <c r="I164" s="14"/>
      <c r="J164" s="14"/>
      <c r="K164" s="12"/>
    </row>
    <row r="165" ht="19.5" customHeight="1">
      <c r="A165" s="12"/>
      <c r="B165" s="583"/>
      <c r="C165" s="12"/>
      <c r="D165" s="13"/>
      <c r="F165" s="14"/>
      <c r="G165" s="14"/>
      <c r="H165" s="14"/>
      <c r="I165" s="14"/>
      <c r="J165" s="14"/>
      <c r="K165" s="12"/>
    </row>
    <row r="166" ht="19.5" customHeight="1">
      <c r="A166" s="12"/>
      <c r="B166" s="583"/>
      <c r="C166" s="12"/>
      <c r="D166" s="13"/>
      <c r="F166" s="14"/>
      <c r="G166" s="14"/>
      <c r="H166" s="14"/>
      <c r="I166" s="14"/>
      <c r="J166" s="14"/>
      <c r="K166" s="12"/>
    </row>
    <row r="167" ht="19.5" customHeight="1">
      <c r="A167" s="12"/>
      <c r="B167" s="583"/>
      <c r="C167" s="12"/>
      <c r="D167" s="13"/>
      <c r="F167" s="14"/>
      <c r="G167" s="14"/>
      <c r="H167" s="14"/>
      <c r="I167" s="14"/>
      <c r="J167" s="14"/>
      <c r="K167" s="12"/>
    </row>
    <row r="168" ht="19.5" customHeight="1">
      <c r="A168" s="12"/>
      <c r="B168" s="583"/>
      <c r="C168" s="12"/>
      <c r="D168" s="13"/>
      <c r="F168" s="14"/>
      <c r="G168" s="14"/>
      <c r="H168" s="14"/>
      <c r="I168" s="14"/>
      <c r="J168" s="14"/>
      <c r="K168" s="12"/>
    </row>
    <row r="169" ht="19.5" customHeight="1">
      <c r="A169" s="12"/>
      <c r="B169" s="583"/>
      <c r="C169" s="12"/>
      <c r="D169" s="13"/>
      <c r="F169" s="14"/>
      <c r="G169" s="14"/>
      <c r="H169" s="14"/>
      <c r="I169" s="14"/>
      <c r="J169" s="14"/>
      <c r="K169" s="12"/>
    </row>
    <row r="170" ht="19.5" customHeight="1">
      <c r="A170" s="12"/>
      <c r="B170" s="583"/>
      <c r="C170" s="12"/>
      <c r="D170" s="13"/>
      <c r="F170" s="14"/>
      <c r="G170" s="14"/>
      <c r="H170" s="14"/>
      <c r="I170" s="14"/>
      <c r="J170" s="14"/>
      <c r="K170" s="12"/>
    </row>
    <row r="171" ht="19.5" customHeight="1">
      <c r="A171" s="12"/>
      <c r="B171" s="583"/>
      <c r="C171" s="12"/>
      <c r="D171" s="13"/>
      <c r="F171" s="14"/>
      <c r="G171" s="14"/>
      <c r="H171" s="14"/>
      <c r="I171" s="14"/>
      <c r="J171" s="14"/>
      <c r="K171" s="12"/>
    </row>
    <row r="172" ht="19.5" customHeight="1">
      <c r="A172" s="12"/>
      <c r="B172" s="583"/>
      <c r="C172" s="12"/>
      <c r="D172" s="13"/>
      <c r="F172" s="14"/>
      <c r="G172" s="14"/>
      <c r="H172" s="14"/>
      <c r="I172" s="14"/>
      <c r="J172" s="14"/>
      <c r="K172" s="12"/>
    </row>
    <row r="173" ht="19.5" customHeight="1">
      <c r="A173" s="12"/>
      <c r="B173" s="583"/>
      <c r="C173" s="12"/>
      <c r="D173" s="13"/>
      <c r="F173" s="14"/>
      <c r="G173" s="14"/>
      <c r="H173" s="14"/>
      <c r="I173" s="14"/>
      <c r="J173" s="14"/>
      <c r="K173" s="12"/>
    </row>
    <row r="174" ht="19.5" customHeight="1">
      <c r="A174" s="12"/>
      <c r="B174" s="583"/>
      <c r="C174" s="12"/>
      <c r="D174" s="13"/>
      <c r="F174" s="14"/>
      <c r="G174" s="14"/>
      <c r="H174" s="14"/>
      <c r="I174" s="14"/>
      <c r="J174" s="14"/>
      <c r="K174" s="12"/>
    </row>
    <row r="175" ht="19.5" customHeight="1">
      <c r="A175" s="12"/>
      <c r="B175" s="583"/>
      <c r="C175" s="12"/>
      <c r="D175" s="13"/>
      <c r="F175" s="14"/>
      <c r="G175" s="14"/>
      <c r="H175" s="14"/>
      <c r="I175" s="14"/>
      <c r="J175" s="14"/>
      <c r="K175" s="12"/>
    </row>
    <row r="176" ht="19.5" customHeight="1">
      <c r="A176" s="12"/>
      <c r="B176" s="583"/>
      <c r="C176" s="12"/>
      <c r="D176" s="13"/>
      <c r="F176" s="14"/>
      <c r="G176" s="14"/>
      <c r="H176" s="14"/>
      <c r="I176" s="14"/>
      <c r="J176" s="14"/>
      <c r="K176" s="12"/>
    </row>
    <row r="177" ht="19.5" customHeight="1">
      <c r="A177" s="12"/>
      <c r="B177" s="583"/>
      <c r="C177" s="12"/>
      <c r="D177" s="13"/>
      <c r="F177" s="14"/>
      <c r="G177" s="14"/>
      <c r="H177" s="14"/>
      <c r="I177" s="14"/>
      <c r="J177" s="14"/>
      <c r="K177" s="12"/>
    </row>
    <row r="178" ht="19.5" customHeight="1">
      <c r="A178" s="12"/>
      <c r="B178" s="583"/>
      <c r="C178" s="12"/>
      <c r="D178" s="13"/>
      <c r="F178" s="14"/>
      <c r="G178" s="14"/>
      <c r="H178" s="14"/>
      <c r="I178" s="14"/>
      <c r="J178" s="14"/>
      <c r="K178" s="12"/>
    </row>
    <row r="179" ht="19.5" customHeight="1">
      <c r="A179" s="12"/>
      <c r="B179" s="583"/>
      <c r="C179" s="12"/>
      <c r="D179" s="13"/>
      <c r="F179" s="14"/>
      <c r="G179" s="14"/>
      <c r="H179" s="14"/>
      <c r="I179" s="14"/>
      <c r="J179" s="14"/>
      <c r="K179" s="12"/>
    </row>
    <row r="180" ht="19.5" customHeight="1">
      <c r="A180" s="12"/>
      <c r="B180" s="583"/>
      <c r="C180" s="12"/>
      <c r="D180" s="13"/>
      <c r="F180" s="14"/>
      <c r="G180" s="14"/>
      <c r="H180" s="14"/>
      <c r="I180" s="14"/>
      <c r="J180" s="14"/>
      <c r="K180" s="12"/>
    </row>
    <row r="181" ht="19.5" customHeight="1">
      <c r="A181" s="12"/>
      <c r="B181" s="583"/>
      <c r="C181" s="12"/>
      <c r="D181" s="13"/>
      <c r="F181" s="14"/>
      <c r="G181" s="14"/>
      <c r="H181" s="14"/>
      <c r="I181" s="14"/>
      <c r="J181" s="14"/>
      <c r="K181" s="12"/>
    </row>
    <row r="182" ht="19.5" customHeight="1">
      <c r="A182" s="12"/>
      <c r="B182" s="583"/>
      <c r="C182" s="12"/>
      <c r="D182" s="13"/>
      <c r="F182" s="14"/>
      <c r="G182" s="14"/>
      <c r="H182" s="14"/>
      <c r="I182" s="14"/>
      <c r="J182" s="14"/>
      <c r="K182" s="12"/>
    </row>
    <row r="183" ht="19.5" customHeight="1">
      <c r="A183" s="12"/>
      <c r="B183" s="583"/>
      <c r="C183" s="12"/>
      <c r="D183" s="13"/>
      <c r="F183" s="14"/>
      <c r="G183" s="14"/>
      <c r="H183" s="14"/>
      <c r="I183" s="14"/>
      <c r="J183" s="14"/>
      <c r="K183" s="12"/>
    </row>
    <row r="184" ht="19.5" customHeight="1">
      <c r="A184" s="12"/>
      <c r="B184" s="583"/>
      <c r="C184" s="12"/>
      <c r="D184" s="13"/>
      <c r="F184" s="14"/>
      <c r="G184" s="14"/>
      <c r="H184" s="14"/>
      <c r="I184" s="14"/>
      <c r="J184" s="14"/>
      <c r="K184" s="12"/>
    </row>
    <row r="185" ht="19.5" customHeight="1">
      <c r="A185" s="12"/>
      <c r="B185" s="583"/>
      <c r="C185" s="12"/>
      <c r="D185" s="13"/>
      <c r="F185" s="14"/>
      <c r="G185" s="14"/>
      <c r="H185" s="14"/>
      <c r="I185" s="14"/>
      <c r="J185" s="14"/>
      <c r="K185" s="12"/>
    </row>
    <row r="186" ht="19.5" customHeight="1">
      <c r="A186" s="12"/>
      <c r="B186" s="583"/>
      <c r="C186" s="12"/>
      <c r="D186" s="13"/>
      <c r="F186" s="14"/>
      <c r="G186" s="14"/>
      <c r="H186" s="14"/>
      <c r="I186" s="14"/>
      <c r="J186" s="14"/>
      <c r="K186" s="12"/>
    </row>
    <row r="187" ht="19.5" customHeight="1">
      <c r="A187" s="12"/>
      <c r="B187" s="583"/>
      <c r="C187" s="12"/>
      <c r="D187" s="13"/>
      <c r="F187" s="14"/>
      <c r="G187" s="14"/>
      <c r="H187" s="14"/>
      <c r="I187" s="14"/>
      <c r="J187" s="14"/>
      <c r="K187" s="12"/>
    </row>
    <row r="188" ht="19.5" customHeight="1">
      <c r="A188" s="12"/>
      <c r="B188" s="583"/>
      <c r="C188" s="12"/>
      <c r="D188" s="13"/>
      <c r="F188" s="14"/>
      <c r="G188" s="14"/>
      <c r="H188" s="14"/>
      <c r="I188" s="14"/>
      <c r="J188" s="14"/>
      <c r="K188" s="12"/>
    </row>
    <row r="189" ht="19.5" customHeight="1">
      <c r="A189" s="12"/>
      <c r="B189" s="583"/>
      <c r="C189" s="12"/>
      <c r="D189" s="13"/>
      <c r="F189" s="14"/>
      <c r="G189" s="14"/>
      <c r="H189" s="14"/>
      <c r="I189" s="14"/>
      <c r="J189" s="14"/>
      <c r="K189" s="12"/>
    </row>
    <row r="190" ht="19.5" customHeight="1">
      <c r="A190" s="12"/>
      <c r="B190" s="583"/>
      <c r="C190" s="12"/>
      <c r="D190" s="13"/>
      <c r="F190" s="14"/>
      <c r="G190" s="14"/>
      <c r="H190" s="14"/>
      <c r="I190" s="14"/>
      <c r="J190" s="14"/>
      <c r="K190" s="12"/>
    </row>
    <row r="191" ht="19.5" customHeight="1">
      <c r="A191" s="12"/>
      <c r="B191" s="583"/>
      <c r="C191" s="12"/>
      <c r="D191" s="13"/>
      <c r="F191" s="14"/>
      <c r="G191" s="14"/>
      <c r="H191" s="14"/>
      <c r="I191" s="14"/>
      <c r="J191" s="14"/>
      <c r="K191" s="12"/>
    </row>
    <row r="192" ht="19.5" customHeight="1">
      <c r="A192" s="12"/>
      <c r="B192" s="583"/>
      <c r="C192" s="12"/>
      <c r="D192" s="13"/>
      <c r="F192" s="14"/>
      <c r="G192" s="14"/>
      <c r="H192" s="14"/>
      <c r="I192" s="14"/>
      <c r="J192" s="14"/>
      <c r="K192" s="12"/>
    </row>
    <row r="193" ht="19.5" customHeight="1">
      <c r="A193" s="12"/>
      <c r="B193" s="583"/>
      <c r="C193" s="12"/>
      <c r="D193" s="13"/>
      <c r="F193" s="14"/>
      <c r="G193" s="14"/>
      <c r="H193" s="14"/>
      <c r="I193" s="14"/>
      <c r="J193" s="14"/>
      <c r="K193" s="12"/>
    </row>
    <row r="194" ht="19.5" customHeight="1">
      <c r="A194" s="12"/>
      <c r="B194" s="583"/>
      <c r="C194" s="12"/>
      <c r="D194" s="13"/>
      <c r="F194" s="14"/>
      <c r="G194" s="14"/>
      <c r="H194" s="14"/>
      <c r="I194" s="14"/>
      <c r="J194" s="14"/>
      <c r="K194" s="12"/>
    </row>
    <row r="195" ht="19.5" customHeight="1">
      <c r="A195" s="12"/>
      <c r="B195" s="583"/>
      <c r="C195" s="12"/>
      <c r="D195" s="13"/>
      <c r="F195" s="14"/>
      <c r="G195" s="14"/>
      <c r="H195" s="14"/>
      <c r="I195" s="14"/>
      <c r="J195" s="14"/>
      <c r="K195" s="12"/>
    </row>
    <row r="196" ht="19.5" customHeight="1">
      <c r="A196" s="12"/>
      <c r="B196" s="583"/>
      <c r="C196" s="12"/>
      <c r="D196" s="13"/>
      <c r="F196" s="14"/>
      <c r="G196" s="14"/>
      <c r="H196" s="14"/>
      <c r="I196" s="14"/>
      <c r="J196" s="14"/>
      <c r="K196" s="12"/>
    </row>
    <row r="197" ht="19.5" customHeight="1">
      <c r="A197" s="12"/>
      <c r="B197" s="583"/>
      <c r="C197" s="12"/>
      <c r="D197" s="13"/>
      <c r="F197" s="14"/>
      <c r="G197" s="14"/>
      <c r="H197" s="14"/>
      <c r="I197" s="14"/>
      <c r="J197" s="14"/>
      <c r="K197" s="12"/>
    </row>
    <row r="198" ht="19.5" customHeight="1">
      <c r="A198" s="12"/>
      <c r="B198" s="583"/>
      <c r="C198" s="12"/>
      <c r="D198" s="13"/>
      <c r="F198" s="14"/>
      <c r="G198" s="14"/>
      <c r="H198" s="14"/>
      <c r="I198" s="14"/>
      <c r="J198" s="14"/>
      <c r="K198" s="12"/>
    </row>
    <row r="199" ht="19.5" customHeight="1">
      <c r="A199" s="12"/>
      <c r="B199" s="583"/>
      <c r="C199" s="12"/>
      <c r="D199" s="13"/>
      <c r="F199" s="14"/>
      <c r="G199" s="14"/>
      <c r="H199" s="14"/>
      <c r="I199" s="14"/>
      <c r="J199" s="14"/>
      <c r="K199" s="12"/>
    </row>
    <row r="200" ht="19.5" customHeight="1">
      <c r="A200" s="12"/>
      <c r="B200" s="583"/>
      <c r="C200" s="12"/>
      <c r="D200" s="13"/>
      <c r="F200" s="14"/>
      <c r="G200" s="14"/>
      <c r="H200" s="14"/>
      <c r="I200" s="14"/>
      <c r="J200" s="14"/>
      <c r="K200" s="12"/>
    </row>
    <row r="201" ht="19.5" customHeight="1">
      <c r="A201" s="12"/>
      <c r="B201" s="583"/>
      <c r="C201" s="12"/>
      <c r="D201" s="13"/>
      <c r="F201" s="14"/>
      <c r="G201" s="14"/>
      <c r="H201" s="14"/>
      <c r="I201" s="14"/>
      <c r="J201" s="14"/>
      <c r="K201" s="12"/>
    </row>
    <row r="202" ht="19.5" customHeight="1">
      <c r="A202" s="12"/>
      <c r="B202" s="583"/>
      <c r="C202" s="12"/>
      <c r="D202" s="13"/>
      <c r="F202" s="14"/>
      <c r="G202" s="14"/>
      <c r="H202" s="14"/>
      <c r="I202" s="14"/>
      <c r="J202" s="14"/>
      <c r="K202" s="12"/>
    </row>
    <row r="203" ht="19.5" customHeight="1">
      <c r="A203" s="12"/>
      <c r="B203" s="583"/>
      <c r="C203" s="12"/>
      <c r="D203" s="13"/>
      <c r="F203" s="14"/>
      <c r="G203" s="14"/>
      <c r="H203" s="14"/>
      <c r="I203" s="14"/>
      <c r="J203" s="14"/>
      <c r="K203" s="12"/>
    </row>
    <row r="204" ht="19.5" customHeight="1">
      <c r="A204" s="12"/>
      <c r="B204" s="583"/>
      <c r="C204" s="12"/>
      <c r="D204" s="13"/>
      <c r="F204" s="14"/>
      <c r="G204" s="14"/>
      <c r="H204" s="14"/>
      <c r="I204" s="14"/>
      <c r="J204" s="14"/>
      <c r="K204" s="12"/>
    </row>
    <row r="205" ht="19.5" customHeight="1">
      <c r="A205" s="12"/>
      <c r="B205" s="583"/>
      <c r="C205" s="12"/>
      <c r="D205" s="13"/>
      <c r="F205" s="14"/>
      <c r="G205" s="14"/>
      <c r="H205" s="14"/>
      <c r="I205" s="14"/>
      <c r="J205" s="14"/>
      <c r="K205" s="12"/>
    </row>
    <row r="206" ht="19.5" customHeight="1">
      <c r="A206" s="12"/>
      <c r="B206" s="583"/>
      <c r="C206" s="12"/>
      <c r="D206" s="13"/>
      <c r="F206" s="14"/>
      <c r="G206" s="14"/>
      <c r="H206" s="14"/>
      <c r="I206" s="14"/>
      <c r="J206" s="14"/>
      <c r="K206" s="12"/>
    </row>
    <row r="207" ht="19.5" customHeight="1">
      <c r="A207" s="12"/>
      <c r="B207" s="583"/>
      <c r="C207" s="12"/>
      <c r="D207" s="13"/>
      <c r="F207" s="14"/>
      <c r="G207" s="14"/>
      <c r="H207" s="14"/>
      <c r="I207" s="14"/>
      <c r="J207" s="14"/>
      <c r="K207" s="12"/>
    </row>
    <row r="208" ht="19.5" customHeight="1">
      <c r="A208" s="12"/>
      <c r="B208" s="583"/>
      <c r="C208" s="12"/>
      <c r="D208" s="13"/>
      <c r="F208" s="14"/>
      <c r="G208" s="14"/>
      <c r="H208" s="14"/>
      <c r="I208" s="14"/>
      <c r="J208" s="14"/>
      <c r="K208" s="12"/>
    </row>
    <row r="209" ht="19.5" customHeight="1">
      <c r="A209" s="12"/>
      <c r="B209" s="583"/>
      <c r="C209" s="12"/>
      <c r="D209" s="13"/>
      <c r="F209" s="14"/>
      <c r="G209" s="14"/>
      <c r="H209" s="14"/>
      <c r="I209" s="14"/>
      <c r="J209" s="14"/>
      <c r="K209" s="12"/>
    </row>
    <row r="210" ht="19.5" customHeight="1">
      <c r="A210" s="12"/>
      <c r="B210" s="583"/>
      <c r="C210" s="12"/>
      <c r="D210" s="13"/>
      <c r="F210" s="14"/>
      <c r="G210" s="14"/>
      <c r="H210" s="14"/>
      <c r="I210" s="14"/>
      <c r="J210" s="14"/>
      <c r="K210" s="12"/>
    </row>
    <row r="211" ht="19.5" customHeight="1">
      <c r="A211" s="12"/>
      <c r="B211" s="583"/>
      <c r="C211" s="12"/>
      <c r="D211" s="13"/>
      <c r="F211" s="14"/>
      <c r="G211" s="14"/>
      <c r="H211" s="14"/>
      <c r="I211" s="14"/>
      <c r="J211" s="14"/>
      <c r="K211" s="12"/>
    </row>
    <row r="212" ht="19.5" customHeight="1">
      <c r="A212" s="12"/>
      <c r="B212" s="583"/>
      <c r="C212" s="12"/>
      <c r="D212" s="13"/>
      <c r="F212" s="14"/>
      <c r="G212" s="14"/>
      <c r="H212" s="14"/>
      <c r="I212" s="14"/>
      <c r="J212" s="14"/>
      <c r="K212" s="12"/>
    </row>
    <row r="213" ht="19.5" customHeight="1">
      <c r="A213" s="12"/>
      <c r="B213" s="583"/>
      <c r="C213" s="12"/>
      <c r="D213" s="13"/>
      <c r="F213" s="14"/>
      <c r="G213" s="14"/>
      <c r="H213" s="14"/>
      <c r="I213" s="14"/>
      <c r="J213" s="14"/>
      <c r="K213" s="12"/>
    </row>
    <row r="214" ht="19.5" customHeight="1">
      <c r="A214" s="12"/>
      <c r="B214" s="583"/>
      <c r="C214" s="12"/>
      <c r="D214" s="13"/>
      <c r="F214" s="14"/>
      <c r="G214" s="14"/>
      <c r="H214" s="14"/>
      <c r="I214" s="14"/>
      <c r="J214" s="14"/>
      <c r="K214" s="12"/>
    </row>
    <row r="215" ht="19.5" customHeight="1">
      <c r="A215" s="12"/>
      <c r="B215" s="583"/>
      <c r="C215" s="12"/>
      <c r="D215" s="13"/>
      <c r="F215" s="14"/>
      <c r="G215" s="14"/>
      <c r="H215" s="14"/>
      <c r="I215" s="14"/>
      <c r="J215" s="14"/>
      <c r="K215" s="12"/>
    </row>
    <row r="216" ht="19.5" customHeight="1">
      <c r="A216" s="12"/>
      <c r="B216" s="583"/>
      <c r="C216" s="12"/>
      <c r="D216" s="13"/>
      <c r="F216" s="14"/>
      <c r="G216" s="14"/>
      <c r="H216" s="14"/>
      <c r="I216" s="14"/>
      <c r="J216" s="14"/>
      <c r="K216" s="12"/>
    </row>
    <row r="217" ht="19.5" customHeight="1">
      <c r="A217" s="12"/>
      <c r="B217" s="583"/>
      <c r="C217" s="12"/>
      <c r="D217" s="13"/>
      <c r="F217" s="14"/>
      <c r="G217" s="14"/>
      <c r="H217" s="14"/>
      <c r="I217" s="14"/>
      <c r="J217" s="14"/>
      <c r="K217" s="12"/>
    </row>
    <row r="218" ht="19.5" customHeight="1">
      <c r="A218" s="12"/>
      <c r="B218" s="583"/>
      <c r="C218" s="12"/>
      <c r="D218" s="13"/>
      <c r="F218" s="14"/>
      <c r="G218" s="14"/>
      <c r="H218" s="14"/>
      <c r="I218" s="14"/>
      <c r="J218" s="14"/>
      <c r="K218" s="12"/>
    </row>
    <row r="219" ht="19.5" customHeight="1">
      <c r="A219" s="12"/>
      <c r="B219" s="583"/>
      <c r="C219" s="12"/>
      <c r="D219" s="13"/>
      <c r="F219" s="14"/>
      <c r="G219" s="14"/>
      <c r="H219" s="14"/>
      <c r="I219" s="14"/>
      <c r="J219" s="14"/>
      <c r="K219" s="12"/>
    </row>
    <row r="220" ht="19.5" customHeight="1">
      <c r="A220" s="12"/>
      <c r="B220" s="583"/>
      <c r="C220" s="12"/>
      <c r="D220" s="13"/>
      <c r="F220" s="14"/>
      <c r="G220" s="14"/>
      <c r="H220" s="14"/>
      <c r="I220" s="14"/>
      <c r="J220" s="14"/>
      <c r="K220" s="12"/>
    </row>
    <row r="221" ht="19.5" customHeight="1">
      <c r="A221" s="12"/>
      <c r="B221" s="583"/>
      <c r="C221" s="12"/>
      <c r="D221" s="13"/>
      <c r="F221" s="14"/>
      <c r="G221" s="14"/>
      <c r="H221" s="14"/>
      <c r="I221" s="14"/>
      <c r="J221" s="14"/>
      <c r="K221" s="12"/>
    </row>
    <row r="222" ht="19.5" customHeight="1">
      <c r="A222" s="12"/>
      <c r="B222" s="583"/>
      <c r="C222" s="12"/>
      <c r="D222" s="13"/>
      <c r="F222" s="14"/>
      <c r="G222" s="14"/>
      <c r="H222" s="14"/>
      <c r="I222" s="14"/>
      <c r="J222" s="14"/>
      <c r="K222" s="12"/>
    </row>
    <row r="223" ht="19.5" customHeight="1">
      <c r="A223" s="12"/>
      <c r="B223" s="583"/>
      <c r="C223" s="12"/>
      <c r="D223" s="13"/>
      <c r="F223" s="14"/>
      <c r="G223" s="14"/>
      <c r="H223" s="14"/>
      <c r="I223" s="14"/>
      <c r="J223" s="14"/>
      <c r="K223" s="12"/>
    </row>
    <row r="224" ht="19.5" customHeight="1">
      <c r="A224" s="12"/>
      <c r="B224" s="583"/>
      <c r="C224" s="12"/>
      <c r="D224" s="13"/>
      <c r="F224" s="14"/>
      <c r="G224" s="14"/>
      <c r="H224" s="14"/>
      <c r="I224" s="14"/>
      <c r="J224" s="14"/>
      <c r="K224" s="12"/>
    </row>
    <row r="225" ht="19.5" customHeight="1">
      <c r="A225" s="12"/>
      <c r="B225" s="583"/>
      <c r="C225" s="12"/>
      <c r="D225" s="13"/>
      <c r="F225" s="14"/>
      <c r="G225" s="14"/>
      <c r="H225" s="14"/>
      <c r="I225" s="14"/>
      <c r="J225" s="14"/>
      <c r="K225" s="12"/>
    </row>
    <row r="226" ht="19.5" customHeight="1">
      <c r="A226" s="12"/>
      <c r="B226" s="583"/>
      <c r="C226" s="12"/>
      <c r="D226" s="13"/>
      <c r="F226" s="14"/>
      <c r="G226" s="14"/>
      <c r="H226" s="14"/>
      <c r="I226" s="14"/>
      <c r="J226" s="14"/>
      <c r="K226" s="12"/>
    </row>
    <row r="227" ht="19.5" customHeight="1">
      <c r="A227" s="12"/>
      <c r="B227" s="583"/>
      <c r="C227" s="12"/>
      <c r="D227" s="13"/>
      <c r="F227" s="14"/>
      <c r="G227" s="14"/>
      <c r="H227" s="14"/>
      <c r="I227" s="14"/>
      <c r="J227" s="14"/>
      <c r="K227" s="12"/>
    </row>
    <row r="228" ht="19.5" customHeight="1">
      <c r="A228" s="12"/>
      <c r="B228" s="583"/>
      <c r="C228" s="12"/>
      <c r="D228" s="13"/>
      <c r="F228" s="14"/>
      <c r="G228" s="14"/>
      <c r="H228" s="14"/>
      <c r="I228" s="14"/>
      <c r="J228" s="14"/>
      <c r="K228" s="12"/>
    </row>
    <row r="229" ht="19.5" customHeight="1">
      <c r="A229" s="12"/>
      <c r="B229" s="583"/>
      <c r="C229" s="12"/>
      <c r="D229" s="13"/>
      <c r="F229" s="14"/>
      <c r="G229" s="14"/>
      <c r="H229" s="14"/>
      <c r="I229" s="14"/>
      <c r="J229" s="14"/>
      <c r="K229" s="12"/>
    </row>
    <row r="230" ht="19.5" customHeight="1">
      <c r="A230" s="12"/>
      <c r="B230" s="583"/>
      <c r="C230" s="12"/>
      <c r="D230" s="13"/>
      <c r="F230" s="14"/>
      <c r="G230" s="14"/>
      <c r="H230" s="14"/>
      <c r="I230" s="14"/>
      <c r="J230" s="14"/>
      <c r="K230" s="12"/>
    </row>
    <row r="231" ht="19.5" customHeight="1">
      <c r="A231" s="12"/>
      <c r="B231" s="583"/>
      <c r="C231" s="12"/>
      <c r="D231" s="13"/>
      <c r="F231" s="14"/>
      <c r="G231" s="14"/>
      <c r="H231" s="14"/>
      <c r="I231" s="14"/>
      <c r="J231" s="14"/>
      <c r="K231" s="12"/>
    </row>
    <row r="232" ht="19.5" customHeight="1">
      <c r="A232" s="12"/>
      <c r="B232" s="583"/>
      <c r="C232" s="12"/>
      <c r="D232" s="13"/>
      <c r="F232" s="14"/>
      <c r="G232" s="14"/>
      <c r="H232" s="14"/>
      <c r="I232" s="14"/>
      <c r="J232" s="14"/>
      <c r="K232" s="12"/>
    </row>
    <row r="233" ht="19.5" customHeight="1">
      <c r="A233" s="12"/>
      <c r="B233" s="583"/>
      <c r="C233" s="12"/>
      <c r="D233" s="13"/>
      <c r="F233" s="14"/>
      <c r="G233" s="14"/>
      <c r="H233" s="14"/>
      <c r="I233" s="14"/>
      <c r="J233" s="14"/>
      <c r="K233" s="12"/>
    </row>
    <row r="234" ht="19.5" customHeight="1">
      <c r="A234" s="12"/>
      <c r="B234" s="583"/>
      <c r="C234" s="12"/>
      <c r="D234" s="13"/>
      <c r="F234" s="14"/>
      <c r="G234" s="14"/>
      <c r="H234" s="14"/>
      <c r="I234" s="14"/>
      <c r="J234" s="14"/>
      <c r="K234" s="12"/>
    </row>
    <row r="235" ht="19.5" customHeight="1">
      <c r="A235" s="12"/>
      <c r="B235" s="583"/>
      <c r="C235" s="12"/>
      <c r="D235" s="13"/>
      <c r="F235" s="14"/>
      <c r="G235" s="14"/>
      <c r="H235" s="14"/>
      <c r="I235" s="14"/>
      <c r="J235" s="14"/>
      <c r="K235" s="12"/>
    </row>
    <row r="236" ht="19.5" customHeight="1">
      <c r="A236" s="12"/>
      <c r="B236" s="583"/>
      <c r="C236" s="12"/>
      <c r="D236" s="13"/>
      <c r="F236" s="14"/>
      <c r="G236" s="14"/>
      <c r="H236" s="14"/>
      <c r="I236" s="14"/>
      <c r="J236" s="14"/>
      <c r="K236" s="12"/>
    </row>
    <row r="237" ht="19.5" customHeight="1">
      <c r="A237" s="12"/>
      <c r="B237" s="583"/>
      <c r="C237" s="12"/>
      <c r="D237" s="13"/>
      <c r="F237" s="14"/>
      <c r="G237" s="14"/>
      <c r="H237" s="14"/>
      <c r="I237" s="14"/>
      <c r="J237" s="14"/>
      <c r="K237" s="12"/>
    </row>
    <row r="238" ht="19.5" customHeight="1">
      <c r="A238" s="12"/>
      <c r="B238" s="583"/>
      <c r="C238" s="12"/>
      <c r="D238" s="13"/>
      <c r="F238" s="14"/>
      <c r="G238" s="14"/>
      <c r="H238" s="14"/>
      <c r="I238" s="14"/>
      <c r="J238" s="14"/>
      <c r="K238" s="12"/>
    </row>
    <row r="239" ht="19.5" customHeight="1">
      <c r="A239" s="12"/>
      <c r="B239" s="583"/>
      <c r="C239" s="12"/>
      <c r="D239" s="13"/>
      <c r="F239" s="14"/>
      <c r="G239" s="14"/>
      <c r="H239" s="14"/>
      <c r="I239" s="14"/>
      <c r="J239" s="14"/>
      <c r="K239" s="12"/>
    </row>
    <row r="240" ht="19.5" customHeight="1">
      <c r="A240" s="12"/>
      <c r="B240" s="583"/>
      <c r="C240" s="12"/>
      <c r="D240" s="13"/>
      <c r="F240" s="14"/>
      <c r="G240" s="14"/>
      <c r="H240" s="14"/>
      <c r="I240" s="14"/>
      <c r="J240" s="14"/>
      <c r="K240" s="12"/>
    </row>
    <row r="241" ht="19.5" customHeight="1">
      <c r="A241" s="12"/>
      <c r="B241" s="583"/>
      <c r="C241" s="12"/>
      <c r="D241" s="13"/>
      <c r="F241" s="14"/>
      <c r="G241" s="14"/>
      <c r="H241" s="14"/>
      <c r="I241" s="14"/>
      <c r="J241" s="14"/>
      <c r="K241" s="12"/>
    </row>
    <row r="242" ht="19.5" customHeight="1">
      <c r="A242" s="12"/>
      <c r="B242" s="583"/>
      <c r="C242" s="12"/>
      <c r="D242" s="13"/>
      <c r="F242" s="14"/>
      <c r="G242" s="14"/>
      <c r="H242" s="14"/>
      <c r="I242" s="14"/>
      <c r="J242" s="14"/>
      <c r="K242" s="12"/>
    </row>
    <row r="243" ht="19.5" customHeight="1">
      <c r="A243" s="12"/>
      <c r="B243" s="583"/>
      <c r="C243" s="12"/>
      <c r="D243" s="13"/>
      <c r="F243" s="14"/>
      <c r="G243" s="14"/>
      <c r="H243" s="14"/>
      <c r="I243" s="14"/>
      <c r="J243" s="14"/>
      <c r="K243" s="12"/>
    </row>
    <row r="244" ht="19.5" customHeight="1">
      <c r="A244" s="12"/>
      <c r="B244" s="583"/>
      <c r="C244" s="12"/>
      <c r="D244" s="13"/>
      <c r="F244" s="14"/>
      <c r="G244" s="14"/>
      <c r="H244" s="14"/>
      <c r="I244" s="14"/>
      <c r="J244" s="14"/>
      <c r="K244" s="12"/>
    </row>
    <row r="245" ht="19.5" customHeight="1">
      <c r="A245" s="12"/>
      <c r="B245" s="583"/>
      <c r="C245" s="12"/>
      <c r="D245" s="13"/>
      <c r="F245" s="14"/>
      <c r="G245" s="14"/>
      <c r="H245" s="14"/>
      <c r="I245" s="14"/>
      <c r="J245" s="14"/>
      <c r="K245" s="12"/>
    </row>
    <row r="246" ht="19.5" customHeight="1">
      <c r="A246" s="12"/>
      <c r="B246" s="583"/>
      <c r="C246" s="12"/>
      <c r="D246" s="13"/>
      <c r="F246" s="14"/>
      <c r="G246" s="14"/>
      <c r="H246" s="14"/>
      <c r="I246" s="14"/>
      <c r="J246" s="14"/>
      <c r="K246" s="12"/>
    </row>
    <row r="247" ht="19.5" customHeight="1">
      <c r="A247" s="12"/>
      <c r="B247" s="583"/>
      <c r="C247" s="12"/>
      <c r="D247" s="13"/>
      <c r="F247" s="14"/>
      <c r="G247" s="14"/>
      <c r="H247" s="14"/>
      <c r="I247" s="14"/>
      <c r="J247" s="14"/>
      <c r="K247" s="12"/>
    </row>
    <row r="248" ht="19.5" customHeight="1">
      <c r="A248" s="12"/>
      <c r="B248" s="583"/>
      <c r="C248" s="12"/>
      <c r="D248" s="13"/>
      <c r="F248" s="14"/>
      <c r="G248" s="14"/>
      <c r="H248" s="14"/>
      <c r="I248" s="14"/>
      <c r="J248" s="14"/>
      <c r="K248" s="12"/>
    </row>
    <row r="249" ht="19.5" customHeight="1">
      <c r="A249" s="12"/>
      <c r="B249" s="583"/>
      <c r="C249" s="12"/>
      <c r="D249" s="13"/>
      <c r="F249" s="14"/>
      <c r="G249" s="14"/>
      <c r="H249" s="14"/>
      <c r="I249" s="14"/>
      <c r="J249" s="14"/>
      <c r="K249" s="12"/>
    </row>
    <row r="250" ht="19.5" customHeight="1">
      <c r="A250" s="12"/>
      <c r="B250" s="583"/>
      <c r="C250" s="12"/>
      <c r="D250" s="13"/>
      <c r="F250" s="14"/>
      <c r="G250" s="14"/>
      <c r="H250" s="14"/>
      <c r="I250" s="14"/>
      <c r="J250" s="14"/>
      <c r="K250" s="12"/>
    </row>
    <row r="251" ht="19.5" customHeight="1">
      <c r="A251" s="12"/>
      <c r="B251" s="583"/>
      <c r="C251" s="12"/>
      <c r="D251" s="13"/>
      <c r="F251" s="14"/>
      <c r="G251" s="14"/>
      <c r="H251" s="14"/>
      <c r="I251" s="14"/>
      <c r="J251" s="14"/>
      <c r="K251" s="12"/>
    </row>
    <row r="252" ht="19.5" customHeight="1">
      <c r="A252" s="12"/>
      <c r="B252" s="583"/>
      <c r="C252" s="12"/>
      <c r="D252" s="13"/>
      <c r="F252" s="14"/>
      <c r="G252" s="14"/>
      <c r="H252" s="14"/>
      <c r="I252" s="14"/>
      <c r="J252" s="14"/>
      <c r="K252" s="12"/>
    </row>
    <row r="253" ht="19.5" customHeight="1">
      <c r="A253" s="12"/>
      <c r="B253" s="583"/>
      <c r="C253" s="12"/>
      <c r="D253" s="13"/>
      <c r="F253" s="14"/>
      <c r="G253" s="14"/>
      <c r="H253" s="14"/>
      <c r="I253" s="14"/>
      <c r="J253" s="14"/>
      <c r="K253" s="12"/>
    </row>
    <row r="254" ht="19.5" customHeight="1">
      <c r="A254" s="12"/>
      <c r="B254" s="583"/>
      <c r="C254" s="12"/>
      <c r="D254" s="13"/>
      <c r="F254" s="14"/>
      <c r="G254" s="14"/>
      <c r="H254" s="14"/>
      <c r="I254" s="14"/>
      <c r="J254" s="14"/>
      <c r="K254" s="12"/>
    </row>
    <row r="255" ht="19.5" customHeight="1">
      <c r="A255" s="12"/>
      <c r="B255" s="583"/>
      <c r="C255" s="12"/>
      <c r="D255" s="13"/>
      <c r="F255" s="14"/>
      <c r="G255" s="14"/>
      <c r="H255" s="14"/>
      <c r="I255" s="14"/>
      <c r="J255" s="14"/>
      <c r="K255" s="12"/>
    </row>
    <row r="256" ht="19.5" customHeight="1">
      <c r="A256" s="12"/>
      <c r="B256" s="583"/>
      <c r="C256" s="12"/>
      <c r="D256" s="13"/>
      <c r="F256" s="14"/>
      <c r="G256" s="14"/>
      <c r="H256" s="14"/>
      <c r="I256" s="14"/>
      <c r="J256" s="14"/>
      <c r="K256" s="12"/>
    </row>
    <row r="257" ht="19.5" customHeight="1">
      <c r="A257" s="12"/>
      <c r="B257" s="583"/>
      <c r="C257" s="12"/>
      <c r="D257" s="13"/>
      <c r="F257" s="14"/>
      <c r="G257" s="14"/>
      <c r="H257" s="14"/>
      <c r="I257" s="14"/>
      <c r="J257" s="14"/>
      <c r="K257" s="12"/>
    </row>
    <row r="258" ht="19.5" customHeight="1">
      <c r="A258" s="12"/>
      <c r="B258" s="583"/>
      <c r="C258" s="12"/>
      <c r="D258" s="13"/>
      <c r="F258" s="14"/>
      <c r="G258" s="14"/>
      <c r="H258" s="14"/>
      <c r="I258" s="14"/>
      <c r="J258" s="14"/>
      <c r="K258" s="12"/>
    </row>
    <row r="259" ht="19.5" customHeight="1">
      <c r="A259" s="12"/>
      <c r="B259" s="583"/>
      <c r="C259" s="12"/>
      <c r="D259" s="13"/>
      <c r="F259" s="14"/>
      <c r="G259" s="14"/>
      <c r="H259" s="14"/>
      <c r="I259" s="14"/>
      <c r="J259" s="14"/>
      <c r="K259" s="12"/>
    </row>
    <row r="260" ht="19.5" customHeight="1">
      <c r="A260" s="12"/>
      <c r="B260" s="583"/>
      <c r="C260" s="12"/>
      <c r="D260" s="13"/>
      <c r="F260" s="14"/>
      <c r="G260" s="14"/>
      <c r="H260" s="14"/>
      <c r="I260" s="14"/>
      <c r="J260" s="14"/>
      <c r="K260" s="12"/>
    </row>
    <row r="261" ht="19.5" customHeight="1">
      <c r="A261" s="12"/>
      <c r="B261" s="583"/>
      <c r="C261" s="12"/>
      <c r="D261" s="13"/>
      <c r="F261" s="14"/>
      <c r="G261" s="14"/>
      <c r="H261" s="14"/>
      <c r="I261" s="14"/>
      <c r="J261" s="14"/>
      <c r="K261" s="12"/>
    </row>
    <row r="262" ht="19.5" customHeight="1">
      <c r="A262" s="12"/>
      <c r="B262" s="583"/>
      <c r="C262" s="12"/>
      <c r="D262" s="13"/>
      <c r="F262" s="14"/>
      <c r="G262" s="14"/>
      <c r="H262" s="14"/>
      <c r="I262" s="14"/>
      <c r="J262" s="14"/>
      <c r="K262" s="12"/>
    </row>
    <row r="263" ht="19.5" customHeight="1">
      <c r="A263" s="12"/>
      <c r="B263" s="583"/>
      <c r="C263" s="12"/>
      <c r="D263" s="13"/>
      <c r="F263" s="14"/>
      <c r="G263" s="14"/>
      <c r="H263" s="14"/>
      <c r="I263" s="14"/>
      <c r="J263" s="14"/>
      <c r="K263" s="12"/>
    </row>
    <row r="264" ht="19.5" customHeight="1">
      <c r="A264" s="12"/>
      <c r="B264" s="583"/>
      <c r="C264" s="12"/>
      <c r="D264" s="13"/>
      <c r="F264" s="14"/>
      <c r="G264" s="14"/>
      <c r="H264" s="14"/>
      <c r="I264" s="14"/>
      <c r="J264" s="14"/>
      <c r="K264" s="12"/>
    </row>
    <row r="265" ht="19.5" customHeight="1">
      <c r="A265" s="12"/>
      <c r="B265" s="583"/>
      <c r="C265" s="12"/>
      <c r="D265" s="13"/>
      <c r="F265" s="14"/>
      <c r="G265" s="14"/>
      <c r="H265" s="14"/>
      <c r="I265" s="14"/>
      <c r="J265" s="14"/>
      <c r="K265" s="12"/>
    </row>
    <row r="266" ht="19.5" customHeight="1">
      <c r="A266" s="12"/>
      <c r="B266" s="583"/>
      <c r="C266" s="12"/>
      <c r="D266" s="13"/>
      <c r="F266" s="14"/>
      <c r="G266" s="14"/>
      <c r="H266" s="14"/>
      <c r="I266" s="14"/>
      <c r="J266" s="14"/>
      <c r="K266" s="12"/>
    </row>
    <row r="267" ht="19.5" customHeight="1">
      <c r="A267" s="12"/>
      <c r="B267" s="583"/>
      <c r="C267" s="12"/>
      <c r="D267" s="13"/>
      <c r="F267" s="14"/>
      <c r="G267" s="14"/>
      <c r="H267" s="14"/>
      <c r="I267" s="14"/>
      <c r="J267" s="14"/>
      <c r="K267" s="12"/>
    </row>
    <row r="268" ht="19.5" customHeight="1">
      <c r="A268" s="12"/>
      <c r="B268" s="583"/>
      <c r="C268" s="12"/>
      <c r="D268" s="13"/>
      <c r="F268" s="14"/>
      <c r="G268" s="14"/>
      <c r="H268" s="14"/>
      <c r="I268" s="14"/>
      <c r="J268" s="14"/>
      <c r="K268" s="12"/>
    </row>
    <row r="269" ht="19.5" customHeight="1">
      <c r="A269" s="12"/>
      <c r="B269" s="583"/>
      <c r="C269" s="12"/>
      <c r="D269" s="13"/>
      <c r="F269" s="14"/>
      <c r="G269" s="14"/>
      <c r="H269" s="14"/>
      <c r="I269" s="14"/>
      <c r="J269" s="14"/>
      <c r="K269" s="12"/>
    </row>
    <row r="270" ht="19.5" customHeight="1">
      <c r="A270" s="12"/>
      <c r="B270" s="583"/>
      <c r="C270" s="12"/>
      <c r="D270" s="13"/>
      <c r="F270" s="14"/>
      <c r="G270" s="14"/>
      <c r="H270" s="14"/>
      <c r="I270" s="14"/>
      <c r="J270" s="14"/>
      <c r="K270" s="12"/>
    </row>
    <row r="271" ht="19.5" customHeight="1">
      <c r="A271" s="12"/>
      <c r="B271" s="583"/>
      <c r="C271" s="12"/>
      <c r="D271" s="13"/>
      <c r="F271" s="14"/>
      <c r="G271" s="14"/>
      <c r="H271" s="14"/>
      <c r="I271" s="14"/>
      <c r="J271" s="14"/>
      <c r="K271" s="12"/>
    </row>
    <row r="272" ht="19.5" customHeight="1">
      <c r="A272" s="12"/>
      <c r="B272" s="583"/>
      <c r="C272" s="12"/>
      <c r="D272" s="13"/>
      <c r="F272" s="14"/>
      <c r="G272" s="14"/>
      <c r="H272" s="14"/>
      <c r="I272" s="14"/>
      <c r="J272" s="14"/>
      <c r="K272" s="12"/>
    </row>
    <row r="273" ht="19.5" customHeight="1">
      <c r="A273" s="12"/>
      <c r="B273" s="583"/>
      <c r="C273" s="12"/>
      <c r="D273" s="13"/>
      <c r="F273" s="14"/>
      <c r="G273" s="14"/>
      <c r="H273" s="14"/>
      <c r="I273" s="14"/>
      <c r="J273" s="14"/>
      <c r="K273" s="12"/>
    </row>
    <row r="274" ht="19.5" customHeight="1">
      <c r="A274" s="12"/>
      <c r="B274" s="583"/>
      <c r="C274" s="12"/>
      <c r="D274" s="13"/>
      <c r="F274" s="14"/>
      <c r="G274" s="14"/>
      <c r="H274" s="14"/>
      <c r="I274" s="14"/>
      <c r="J274" s="14"/>
      <c r="K274" s="12"/>
    </row>
    <row r="275" ht="19.5" customHeight="1">
      <c r="A275" s="12"/>
      <c r="B275" s="583"/>
      <c r="C275" s="12"/>
      <c r="D275" s="13"/>
      <c r="F275" s="14"/>
      <c r="G275" s="14"/>
      <c r="H275" s="14"/>
      <c r="I275" s="14"/>
      <c r="J275" s="14"/>
      <c r="K275" s="12"/>
    </row>
    <row r="276" ht="19.5" customHeight="1">
      <c r="A276" s="12"/>
      <c r="B276" s="583"/>
      <c r="C276" s="12"/>
      <c r="D276" s="13"/>
      <c r="F276" s="14"/>
      <c r="G276" s="14"/>
      <c r="H276" s="14"/>
      <c r="I276" s="14"/>
      <c r="J276" s="14"/>
      <c r="K276" s="12"/>
    </row>
    <row r="277" ht="19.5" customHeight="1">
      <c r="A277" s="12"/>
      <c r="B277" s="583"/>
      <c r="C277" s="12"/>
      <c r="D277" s="13"/>
      <c r="F277" s="14"/>
      <c r="G277" s="14"/>
      <c r="H277" s="14"/>
      <c r="I277" s="14"/>
      <c r="J277" s="14"/>
      <c r="K277" s="12"/>
    </row>
    <row r="278" ht="19.5" customHeight="1">
      <c r="A278" s="12"/>
      <c r="B278" s="583"/>
      <c r="C278" s="12"/>
      <c r="D278" s="13"/>
      <c r="F278" s="14"/>
      <c r="G278" s="14"/>
      <c r="H278" s="14"/>
      <c r="I278" s="14"/>
      <c r="J278" s="14"/>
      <c r="K278" s="12"/>
    </row>
    <row r="279" ht="19.5" customHeight="1">
      <c r="A279" s="12"/>
      <c r="B279" s="583"/>
      <c r="C279" s="12"/>
      <c r="D279" s="13"/>
      <c r="F279" s="14"/>
      <c r="G279" s="14"/>
      <c r="H279" s="14"/>
      <c r="I279" s="14"/>
      <c r="J279" s="14"/>
      <c r="K279" s="12"/>
    </row>
    <row r="280" ht="19.5" customHeight="1">
      <c r="A280" s="12"/>
      <c r="B280" s="583"/>
      <c r="C280" s="12"/>
      <c r="D280" s="13"/>
      <c r="F280" s="14"/>
      <c r="G280" s="14"/>
      <c r="H280" s="14"/>
      <c r="I280" s="14"/>
      <c r="J280" s="14"/>
      <c r="K280" s="12"/>
    </row>
    <row r="281" ht="19.5" customHeight="1">
      <c r="A281" s="12"/>
      <c r="B281" s="583"/>
      <c r="C281" s="12"/>
      <c r="D281" s="13"/>
      <c r="F281" s="14"/>
      <c r="G281" s="14"/>
      <c r="H281" s="14"/>
      <c r="I281" s="14"/>
      <c r="J281" s="14"/>
      <c r="K281" s="12"/>
    </row>
    <row r="282" ht="19.5" customHeight="1">
      <c r="A282" s="12"/>
      <c r="B282" s="583"/>
      <c r="C282" s="12"/>
      <c r="D282" s="13"/>
      <c r="F282" s="14"/>
      <c r="G282" s="14"/>
      <c r="H282" s="14"/>
      <c r="I282" s="14"/>
      <c r="J282" s="14"/>
      <c r="K282" s="12"/>
    </row>
    <row r="283" ht="19.5" customHeight="1">
      <c r="A283" s="12"/>
      <c r="B283" s="583"/>
      <c r="C283" s="12"/>
      <c r="D283" s="13"/>
      <c r="F283" s="14"/>
      <c r="G283" s="14"/>
      <c r="H283" s="14"/>
      <c r="I283" s="14"/>
      <c r="J283" s="14"/>
      <c r="K283" s="12"/>
    </row>
    <row r="284" ht="19.5" customHeight="1">
      <c r="A284" s="12"/>
      <c r="B284" s="583"/>
      <c r="C284" s="12"/>
      <c r="D284" s="13"/>
      <c r="F284" s="14"/>
      <c r="G284" s="14"/>
      <c r="H284" s="14"/>
      <c r="I284" s="14"/>
      <c r="J284" s="14"/>
      <c r="K284" s="12"/>
    </row>
    <row r="285" ht="19.5" customHeight="1">
      <c r="A285" s="12"/>
      <c r="B285" s="583"/>
      <c r="C285" s="12"/>
      <c r="D285" s="13"/>
      <c r="F285" s="14"/>
      <c r="G285" s="14"/>
      <c r="H285" s="14"/>
      <c r="I285" s="14"/>
      <c r="J285" s="14"/>
      <c r="K285" s="12"/>
    </row>
    <row r="286" ht="19.5" customHeight="1">
      <c r="A286" s="12"/>
      <c r="B286" s="583"/>
      <c r="C286" s="12"/>
      <c r="D286" s="13"/>
      <c r="F286" s="14"/>
      <c r="G286" s="14"/>
      <c r="H286" s="14"/>
      <c r="I286" s="14"/>
      <c r="J286" s="14"/>
      <c r="K286" s="12"/>
    </row>
    <row r="287" ht="19.5" customHeight="1">
      <c r="A287" s="12"/>
      <c r="B287" s="583"/>
      <c r="C287" s="12"/>
      <c r="D287" s="13"/>
      <c r="F287" s="14"/>
      <c r="G287" s="14"/>
      <c r="H287" s="14"/>
      <c r="I287" s="14"/>
      <c r="J287" s="14"/>
      <c r="K287" s="12"/>
    </row>
    <row r="288" ht="19.5" customHeight="1">
      <c r="A288" s="12"/>
      <c r="B288" s="583"/>
      <c r="C288" s="12"/>
      <c r="D288" s="13"/>
      <c r="F288" s="14"/>
      <c r="G288" s="14"/>
      <c r="H288" s="14"/>
      <c r="I288" s="14"/>
      <c r="J288" s="14"/>
      <c r="K288" s="12"/>
    </row>
    <row r="289" ht="19.5" customHeight="1">
      <c r="A289" s="12"/>
      <c r="B289" s="583"/>
      <c r="C289" s="12"/>
      <c r="D289" s="13"/>
      <c r="F289" s="14"/>
      <c r="G289" s="14"/>
      <c r="H289" s="14"/>
      <c r="I289" s="14"/>
      <c r="J289" s="14"/>
      <c r="K289" s="12"/>
    </row>
    <row r="290" ht="19.5" customHeight="1">
      <c r="A290" s="12"/>
      <c r="B290" s="583"/>
      <c r="C290" s="12"/>
      <c r="D290" s="13"/>
      <c r="F290" s="14"/>
      <c r="G290" s="14"/>
      <c r="H290" s="14"/>
      <c r="I290" s="14"/>
      <c r="J290" s="14"/>
      <c r="K290" s="12"/>
    </row>
    <row r="291" ht="19.5" customHeight="1">
      <c r="A291" s="12"/>
      <c r="B291" s="583"/>
      <c r="C291" s="12"/>
      <c r="D291" s="13"/>
      <c r="F291" s="14"/>
      <c r="G291" s="14"/>
      <c r="H291" s="14"/>
      <c r="I291" s="14"/>
      <c r="J291" s="14"/>
      <c r="K291" s="12"/>
    </row>
    <row r="292" ht="19.5" customHeight="1">
      <c r="A292" s="12"/>
      <c r="B292" s="583"/>
      <c r="C292" s="12"/>
      <c r="D292" s="13"/>
      <c r="F292" s="14"/>
      <c r="G292" s="14"/>
      <c r="H292" s="14"/>
      <c r="I292" s="14"/>
      <c r="J292" s="14"/>
      <c r="K292" s="12"/>
    </row>
    <row r="293" ht="19.5" customHeight="1">
      <c r="A293" s="12"/>
      <c r="B293" s="583"/>
      <c r="C293" s="12"/>
      <c r="D293" s="13"/>
      <c r="F293" s="14"/>
      <c r="G293" s="14"/>
      <c r="H293" s="14"/>
      <c r="I293" s="14"/>
      <c r="J293" s="14"/>
      <c r="K293" s="12"/>
    </row>
    <row r="294" ht="19.5" customHeight="1">
      <c r="A294" s="12"/>
      <c r="B294" s="583"/>
      <c r="C294" s="12"/>
      <c r="D294" s="13"/>
      <c r="F294" s="14"/>
      <c r="G294" s="14"/>
      <c r="H294" s="14"/>
      <c r="I294" s="14"/>
      <c r="J294" s="14"/>
      <c r="K294" s="12"/>
    </row>
    <row r="295" ht="19.5" customHeight="1">
      <c r="A295" s="12"/>
      <c r="B295" s="583"/>
      <c r="C295" s="12"/>
      <c r="D295" s="13"/>
      <c r="F295" s="14"/>
      <c r="G295" s="14"/>
      <c r="H295" s="14"/>
      <c r="I295" s="14"/>
      <c r="J295" s="14"/>
      <c r="K295" s="12"/>
    </row>
    <row r="296" ht="19.5" customHeight="1">
      <c r="A296" s="12"/>
      <c r="B296" s="583"/>
      <c r="C296" s="12"/>
      <c r="D296" s="13"/>
      <c r="F296" s="14"/>
      <c r="G296" s="14"/>
      <c r="H296" s="14"/>
      <c r="I296" s="14"/>
      <c r="J296" s="14"/>
      <c r="K296" s="12"/>
    </row>
    <row r="297" ht="19.5" customHeight="1">
      <c r="A297" s="12"/>
      <c r="B297" s="583"/>
      <c r="C297" s="12"/>
      <c r="D297" s="13"/>
      <c r="F297" s="14"/>
      <c r="G297" s="14"/>
      <c r="H297" s="14"/>
      <c r="I297" s="14"/>
      <c r="J297" s="14"/>
      <c r="K297" s="12"/>
    </row>
    <row r="298" ht="19.5" customHeight="1">
      <c r="A298" s="12"/>
      <c r="B298" s="583"/>
      <c r="C298" s="12"/>
      <c r="D298" s="13"/>
      <c r="F298" s="14"/>
      <c r="G298" s="14"/>
      <c r="H298" s="14"/>
      <c r="I298" s="14"/>
      <c r="J298" s="14"/>
      <c r="K298" s="12"/>
    </row>
    <row r="299" ht="19.5" customHeight="1">
      <c r="A299" s="12"/>
      <c r="B299" s="583"/>
      <c r="C299" s="12"/>
      <c r="D299" s="13"/>
      <c r="F299" s="14"/>
      <c r="G299" s="14"/>
      <c r="H299" s="14"/>
      <c r="I299" s="14"/>
      <c r="J299" s="14"/>
      <c r="K299" s="12"/>
    </row>
    <row r="300" ht="19.5" customHeight="1">
      <c r="A300" s="12"/>
      <c r="B300" s="583"/>
      <c r="C300" s="12"/>
      <c r="D300" s="13"/>
      <c r="F300" s="14"/>
      <c r="G300" s="14"/>
      <c r="H300" s="14"/>
      <c r="I300" s="14"/>
      <c r="J300" s="14"/>
      <c r="K300" s="12"/>
    </row>
    <row r="301" ht="19.5" customHeight="1">
      <c r="A301" s="12"/>
      <c r="B301" s="583"/>
      <c r="C301" s="12"/>
      <c r="D301" s="13"/>
      <c r="F301" s="14"/>
      <c r="G301" s="14"/>
      <c r="H301" s="14"/>
      <c r="I301" s="14"/>
      <c r="J301" s="14"/>
      <c r="K301" s="12"/>
    </row>
    <row r="302" ht="19.5" customHeight="1">
      <c r="A302" s="12"/>
      <c r="B302" s="583"/>
      <c r="C302" s="12"/>
      <c r="D302" s="13"/>
      <c r="F302" s="14"/>
      <c r="G302" s="14"/>
      <c r="H302" s="14"/>
      <c r="I302" s="14"/>
      <c r="J302" s="14"/>
      <c r="K302" s="12"/>
    </row>
    <row r="303" ht="19.5" customHeight="1">
      <c r="A303" s="12"/>
      <c r="B303" s="583"/>
      <c r="C303" s="12"/>
      <c r="D303" s="13"/>
      <c r="F303" s="14"/>
      <c r="G303" s="14"/>
      <c r="H303" s="14"/>
      <c r="I303" s="14"/>
      <c r="J303" s="14"/>
      <c r="K303" s="12"/>
    </row>
    <row r="304" ht="19.5" customHeight="1">
      <c r="A304" s="12"/>
      <c r="B304" s="583"/>
      <c r="C304" s="12"/>
      <c r="D304" s="13"/>
      <c r="F304" s="14"/>
      <c r="G304" s="14"/>
      <c r="H304" s="14"/>
      <c r="I304" s="14"/>
      <c r="J304" s="14"/>
      <c r="K304" s="12"/>
    </row>
    <row r="305" ht="19.5" customHeight="1">
      <c r="A305" s="12"/>
      <c r="B305" s="583"/>
      <c r="C305" s="12"/>
      <c r="D305" s="13"/>
      <c r="F305" s="14"/>
      <c r="G305" s="14"/>
      <c r="H305" s="14"/>
      <c r="I305" s="14"/>
      <c r="J305" s="14"/>
      <c r="K305" s="12"/>
    </row>
    <row r="306" ht="19.5" customHeight="1">
      <c r="A306" s="12"/>
      <c r="B306" s="583"/>
      <c r="C306" s="12"/>
      <c r="D306" s="13"/>
      <c r="F306" s="14"/>
      <c r="G306" s="14"/>
      <c r="H306" s="14"/>
      <c r="I306" s="14"/>
      <c r="J306" s="14"/>
      <c r="K306" s="12"/>
    </row>
    <row r="307" ht="19.5" customHeight="1">
      <c r="A307" s="12"/>
      <c r="B307" s="583"/>
      <c r="C307" s="12"/>
      <c r="D307" s="13"/>
      <c r="F307" s="14"/>
      <c r="G307" s="14"/>
      <c r="H307" s="14"/>
      <c r="I307" s="14"/>
      <c r="J307" s="14"/>
      <c r="K307" s="12"/>
    </row>
    <row r="308" ht="19.5" customHeight="1">
      <c r="A308" s="12"/>
      <c r="B308" s="583"/>
      <c r="C308" s="12"/>
      <c r="D308" s="13"/>
      <c r="F308" s="14"/>
      <c r="G308" s="14"/>
      <c r="H308" s="14"/>
      <c r="I308" s="14"/>
      <c r="J308" s="14"/>
      <c r="K308" s="12"/>
    </row>
    <row r="309" ht="19.5" customHeight="1">
      <c r="A309" s="12"/>
      <c r="B309" s="583"/>
      <c r="C309" s="12"/>
      <c r="D309" s="13"/>
      <c r="F309" s="14"/>
      <c r="G309" s="14"/>
      <c r="H309" s="14"/>
      <c r="I309" s="14"/>
      <c r="J309" s="14"/>
      <c r="K309" s="12"/>
    </row>
    <row r="310" ht="19.5" customHeight="1">
      <c r="A310" s="12"/>
      <c r="B310" s="583"/>
      <c r="C310" s="12"/>
      <c r="D310" s="13"/>
      <c r="F310" s="14"/>
      <c r="G310" s="14"/>
      <c r="H310" s="14"/>
      <c r="I310" s="14"/>
      <c r="J310" s="14"/>
      <c r="K310" s="12"/>
    </row>
    <row r="311" ht="19.5" customHeight="1">
      <c r="A311" s="12"/>
      <c r="B311" s="583"/>
      <c r="C311" s="12"/>
      <c r="D311" s="13"/>
      <c r="F311" s="14"/>
      <c r="G311" s="14"/>
      <c r="H311" s="14"/>
      <c r="I311" s="14"/>
      <c r="J311" s="14"/>
      <c r="K311" s="12"/>
    </row>
    <row r="312" ht="19.5" customHeight="1">
      <c r="A312" s="12"/>
      <c r="B312" s="583"/>
      <c r="C312" s="12"/>
      <c r="D312" s="13"/>
      <c r="F312" s="14"/>
      <c r="G312" s="14"/>
      <c r="H312" s="14"/>
      <c r="I312" s="14"/>
      <c r="J312" s="14"/>
      <c r="K312" s="12"/>
    </row>
    <row r="313" ht="19.5" customHeight="1">
      <c r="A313" s="12"/>
      <c r="B313" s="583"/>
      <c r="C313" s="12"/>
      <c r="D313" s="13"/>
      <c r="F313" s="14"/>
      <c r="G313" s="14"/>
      <c r="H313" s="14"/>
      <c r="I313" s="14"/>
      <c r="J313" s="14"/>
      <c r="K313" s="12"/>
    </row>
    <row r="314" ht="19.5" customHeight="1">
      <c r="A314" s="12"/>
      <c r="B314" s="583"/>
      <c r="C314" s="12"/>
      <c r="D314" s="13"/>
      <c r="F314" s="14"/>
      <c r="G314" s="14"/>
      <c r="H314" s="14"/>
      <c r="I314" s="14"/>
      <c r="J314" s="14"/>
      <c r="K314" s="12"/>
    </row>
    <row r="315" ht="19.5" customHeight="1">
      <c r="A315" s="12"/>
      <c r="B315" s="583"/>
      <c r="C315" s="12"/>
      <c r="D315" s="13"/>
      <c r="F315" s="14"/>
      <c r="G315" s="14"/>
      <c r="H315" s="14"/>
      <c r="I315" s="14"/>
      <c r="J315" s="14"/>
      <c r="K315" s="12"/>
    </row>
    <row r="316" ht="19.5" customHeight="1">
      <c r="A316" s="12"/>
      <c r="B316" s="583"/>
      <c r="C316" s="12"/>
      <c r="D316" s="13"/>
      <c r="F316" s="14"/>
      <c r="G316" s="14"/>
      <c r="H316" s="14"/>
      <c r="I316" s="14"/>
      <c r="J316" s="14"/>
      <c r="K316" s="12"/>
    </row>
    <row r="317" ht="19.5" customHeight="1">
      <c r="A317" s="12"/>
      <c r="B317" s="583"/>
      <c r="C317" s="12"/>
      <c r="D317" s="13"/>
      <c r="F317" s="14"/>
      <c r="G317" s="14"/>
      <c r="H317" s="14"/>
      <c r="I317" s="14"/>
      <c r="J317" s="14"/>
      <c r="K317" s="12"/>
    </row>
    <row r="318" ht="19.5" customHeight="1">
      <c r="A318" s="12"/>
      <c r="B318" s="583"/>
      <c r="C318" s="12"/>
      <c r="D318" s="13"/>
      <c r="F318" s="14"/>
      <c r="G318" s="14"/>
      <c r="H318" s="14"/>
      <c r="I318" s="14"/>
      <c r="J318" s="14"/>
      <c r="K318" s="12"/>
    </row>
    <row r="319" ht="19.5" customHeight="1">
      <c r="A319" s="12"/>
      <c r="B319" s="583"/>
      <c r="C319" s="12"/>
      <c r="D319" s="13"/>
      <c r="F319" s="14"/>
      <c r="G319" s="14"/>
      <c r="H319" s="14"/>
      <c r="I319" s="14"/>
      <c r="J319" s="14"/>
      <c r="K319" s="12"/>
    </row>
    <row r="320" ht="19.5" customHeight="1">
      <c r="A320" s="12"/>
      <c r="B320" s="583"/>
      <c r="C320" s="12"/>
      <c r="D320" s="13"/>
      <c r="F320" s="14"/>
      <c r="G320" s="14"/>
      <c r="H320" s="14"/>
      <c r="I320" s="14"/>
      <c r="J320" s="14"/>
      <c r="K320" s="12"/>
    </row>
    <row r="321" ht="19.5" customHeight="1">
      <c r="A321" s="12"/>
      <c r="B321" s="583"/>
      <c r="C321" s="12"/>
      <c r="D321" s="13"/>
      <c r="F321" s="14"/>
      <c r="G321" s="14"/>
      <c r="H321" s="14"/>
      <c r="I321" s="14"/>
      <c r="J321" s="14"/>
      <c r="K321" s="12"/>
    </row>
    <row r="322" ht="19.5" customHeight="1">
      <c r="A322" s="12"/>
      <c r="B322" s="583"/>
      <c r="C322" s="12"/>
      <c r="D322" s="13"/>
      <c r="F322" s="14"/>
      <c r="G322" s="14"/>
      <c r="H322" s="14"/>
      <c r="I322" s="14"/>
      <c r="J322" s="14"/>
      <c r="K322" s="12"/>
    </row>
    <row r="323" ht="19.5" customHeight="1">
      <c r="A323" s="12"/>
      <c r="B323" s="583"/>
      <c r="C323" s="12"/>
      <c r="D323" s="13"/>
      <c r="F323" s="14"/>
      <c r="G323" s="14"/>
      <c r="H323" s="14"/>
      <c r="I323" s="14"/>
      <c r="J323" s="14"/>
      <c r="K323" s="12"/>
    </row>
    <row r="324" ht="19.5" customHeight="1">
      <c r="A324" s="12"/>
      <c r="B324" s="583"/>
      <c r="C324" s="12"/>
      <c r="D324" s="13"/>
      <c r="F324" s="14"/>
      <c r="G324" s="14"/>
      <c r="H324" s="14"/>
      <c r="I324" s="14"/>
      <c r="J324" s="14"/>
      <c r="K324" s="12"/>
    </row>
    <row r="325" ht="19.5" customHeight="1">
      <c r="A325" s="12"/>
      <c r="B325" s="583"/>
      <c r="C325" s="12"/>
      <c r="D325" s="13"/>
      <c r="F325" s="14"/>
      <c r="G325" s="14"/>
      <c r="H325" s="14"/>
      <c r="I325" s="14"/>
      <c r="J325" s="14"/>
      <c r="K325" s="12"/>
    </row>
    <row r="326" ht="19.5" customHeight="1">
      <c r="A326" s="12"/>
      <c r="B326" s="583"/>
      <c r="C326" s="12"/>
      <c r="D326" s="13"/>
      <c r="F326" s="14"/>
      <c r="G326" s="14"/>
      <c r="H326" s="14"/>
      <c r="I326" s="14"/>
      <c r="J326" s="14"/>
      <c r="K326" s="12"/>
    </row>
    <row r="327" ht="19.5" customHeight="1">
      <c r="A327" s="12"/>
      <c r="B327" s="583"/>
      <c r="C327" s="12"/>
      <c r="D327" s="13"/>
      <c r="F327" s="14"/>
      <c r="G327" s="14"/>
      <c r="H327" s="14"/>
      <c r="I327" s="14"/>
      <c r="J327" s="14"/>
      <c r="K327" s="12"/>
    </row>
    <row r="328" ht="19.5" customHeight="1">
      <c r="A328" s="12"/>
      <c r="B328" s="583"/>
      <c r="C328" s="12"/>
      <c r="D328" s="13"/>
      <c r="F328" s="14"/>
      <c r="G328" s="14"/>
      <c r="H328" s="14"/>
      <c r="I328" s="14"/>
      <c r="J328" s="14"/>
      <c r="K328" s="12"/>
    </row>
    <row r="329" ht="19.5" customHeight="1">
      <c r="A329" s="12"/>
      <c r="B329" s="583"/>
      <c r="C329" s="12"/>
      <c r="D329" s="13"/>
      <c r="F329" s="14"/>
      <c r="G329" s="14"/>
      <c r="H329" s="14"/>
      <c r="I329" s="14"/>
      <c r="J329" s="14"/>
      <c r="K329" s="12"/>
    </row>
    <row r="330" ht="19.5" customHeight="1">
      <c r="A330" s="12"/>
      <c r="B330" s="583"/>
      <c r="C330" s="12"/>
      <c r="D330" s="13"/>
      <c r="F330" s="14"/>
      <c r="G330" s="14"/>
      <c r="H330" s="14"/>
      <c r="I330" s="14"/>
      <c r="J330" s="14"/>
      <c r="K330" s="12"/>
    </row>
    <row r="331" ht="19.5" customHeight="1">
      <c r="A331" s="12"/>
      <c r="B331" s="583"/>
      <c r="C331" s="12"/>
      <c r="D331" s="13"/>
      <c r="F331" s="14"/>
      <c r="G331" s="14"/>
      <c r="H331" s="14"/>
      <c r="I331" s="14"/>
      <c r="J331" s="14"/>
      <c r="K331" s="12"/>
    </row>
    <row r="332" ht="19.5" customHeight="1">
      <c r="A332" s="12"/>
      <c r="B332" s="583"/>
      <c r="C332" s="12"/>
      <c r="D332" s="13"/>
      <c r="F332" s="14"/>
      <c r="G332" s="14"/>
      <c r="H332" s="14"/>
      <c r="I332" s="14"/>
      <c r="J332" s="14"/>
      <c r="K332" s="12"/>
    </row>
    <row r="333" ht="19.5" customHeight="1">
      <c r="A333" s="12"/>
      <c r="B333" s="583"/>
      <c r="C333" s="12"/>
      <c r="D333" s="13"/>
      <c r="F333" s="14"/>
      <c r="G333" s="14"/>
      <c r="H333" s="14"/>
      <c r="I333" s="14"/>
      <c r="J333" s="14"/>
      <c r="K333" s="12"/>
    </row>
    <row r="334" ht="19.5" customHeight="1">
      <c r="A334" s="12"/>
      <c r="B334" s="583"/>
      <c r="C334" s="12"/>
      <c r="D334" s="13"/>
      <c r="F334" s="14"/>
      <c r="G334" s="14"/>
      <c r="H334" s="14"/>
      <c r="I334" s="14"/>
      <c r="J334" s="14"/>
      <c r="K334" s="12"/>
    </row>
    <row r="335" ht="19.5" customHeight="1">
      <c r="A335" s="12"/>
      <c r="B335" s="583"/>
      <c r="C335" s="12"/>
      <c r="D335" s="13"/>
      <c r="F335" s="14"/>
      <c r="G335" s="14"/>
      <c r="H335" s="14"/>
      <c r="I335" s="14"/>
      <c r="J335" s="14"/>
      <c r="K335" s="12"/>
    </row>
    <row r="336" ht="19.5" customHeight="1">
      <c r="A336" s="12"/>
      <c r="B336" s="583"/>
      <c r="C336" s="12"/>
      <c r="D336" s="13"/>
      <c r="F336" s="14"/>
      <c r="G336" s="14"/>
      <c r="H336" s="14"/>
      <c r="I336" s="14"/>
      <c r="J336" s="14"/>
      <c r="K336" s="12"/>
    </row>
    <row r="337" ht="19.5" customHeight="1">
      <c r="A337" s="12"/>
      <c r="B337" s="583"/>
      <c r="C337" s="12"/>
      <c r="D337" s="13"/>
      <c r="F337" s="14"/>
      <c r="G337" s="14"/>
      <c r="H337" s="14"/>
      <c r="I337" s="14"/>
      <c r="J337" s="14"/>
      <c r="K337" s="12"/>
    </row>
    <row r="338" ht="19.5" customHeight="1">
      <c r="A338" s="12"/>
      <c r="B338" s="583"/>
      <c r="C338" s="12"/>
      <c r="D338" s="13"/>
      <c r="F338" s="14"/>
      <c r="G338" s="14"/>
      <c r="H338" s="14"/>
      <c r="I338" s="14"/>
      <c r="J338" s="14"/>
      <c r="K338" s="12"/>
    </row>
    <row r="339" ht="19.5" customHeight="1">
      <c r="A339" s="12"/>
      <c r="B339" s="583"/>
      <c r="C339" s="12"/>
      <c r="D339" s="13"/>
      <c r="F339" s="14"/>
      <c r="G339" s="14"/>
      <c r="H339" s="14"/>
      <c r="I339" s="14"/>
      <c r="J339" s="14"/>
      <c r="K339" s="12"/>
    </row>
    <row r="340" ht="19.5" customHeight="1">
      <c r="A340" s="12"/>
      <c r="B340" s="583"/>
      <c r="C340" s="12"/>
      <c r="D340" s="13"/>
      <c r="F340" s="14"/>
      <c r="G340" s="14"/>
      <c r="H340" s="14"/>
      <c r="I340" s="14"/>
      <c r="J340" s="14"/>
      <c r="K340" s="12"/>
    </row>
    <row r="341" ht="19.5" customHeight="1">
      <c r="A341" s="12"/>
      <c r="B341" s="583"/>
      <c r="C341" s="12"/>
      <c r="D341" s="13"/>
      <c r="F341" s="14"/>
      <c r="G341" s="14"/>
      <c r="H341" s="14"/>
      <c r="I341" s="14"/>
      <c r="J341" s="14"/>
      <c r="K341" s="12"/>
    </row>
    <row r="342" ht="19.5" customHeight="1">
      <c r="A342" s="12"/>
      <c r="B342" s="583"/>
      <c r="C342" s="12"/>
      <c r="D342" s="13"/>
      <c r="F342" s="14"/>
      <c r="G342" s="14"/>
      <c r="H342" s="14"/>
      <c r="I342" s="14"/>
      <c r="J342" s="14"/>
      <c r="K342" s="12"/>
    </row>
    <row r="343" ht="19.5" customHeight="1">
      <c r="A343" s="12"/>
      <c r="B343" s="583"/>
      <c r="C343" s="12"/>
      <c r="D343" s="13"/>
      <c r="F343" s="14"/>
      <c r="G343" s="14"/>
      <c r="H343" s="14"/>
      <c r="I343" s="14"/>
      <c r="J343" s="14"/>
      <c r="K343" s="12"/>
    </row>
    <row r="344" ht="19.5" customHeight="1">
      <c r="A344" s="12"/>
      <c r="B344" s="583"/>
      <c r="C344" s="12"/>
      <c r="D344" s="13"/>
      <c r="F344" s="14"/>
      <c r="G344" s="14"/>
      <c r="H344" s="14"/>
      <c r="I344" s="14"/>
      <c r="J344" s="14"/>
      <c r="K344" s="12"/>
    </row>
    <row r="345" ht="19.5" customHeight="1">
      <c r="A345" s="12"/>
      <c r="B345" s="583"/>
      <c r="C345" s="12"/>
      <c r="D345" s="13"/>
      <c r="F345" s="14"/>
      <c r="G345" s="14"/>
      <c r="H345" s="14"/>
      <c r="I345" s="14"/>
      <c r="J345" s="14"/>
      <c r="K345" s="12"/>
    </row>
    <row r="346" ht="19.5" customHeight="1">
      <c r="A346" s="12"/>
      <c r="B346" s="583"/>
      <c r="C346" s="12"/>
      <c r="D346" s="13"/>
      <c r="F346" s="14"/>
      <c r="G346" s="14"/>
      <c r="H346" s="14"/>
      <c r="I346" s="14"/>
      <c r="J346" s="14"/>
      <c r="K346" s="12"/>
    </row>
    <row r="347" ht="19.5" customHeight="1">
      <c r="A347" s="12"/>
      <c r="B347" s="583"/>
      <c r="C347" s="12"/>
      <c r="D347" s="13"/>
      <c r="F347" s="14"/>
      <c r="G347" s="14"/>
      <c r="H347" s="14"/>
      <c r="I347" s="14"/>
      <c r="J347" s="14"/>
      <c r="K347" s="12"/>
    </row>
    <row r="348" ht="19.5" customHeight="1">
      <c r="A348" s="12"/>
      <c r="B348" s="583"/>
      <c r="C348" s="12"/>
      <c r="D348" s="13"/>
      <c r="F348" s="14"/>
      <c r="G348" s="14"/>
      <c r="H348" s="14"/>
      <c r="I348" s="14"/>
      <c r="J348" s="14"/>
      <c r="K348" s="12"/>
    </row>
    <row r="349" ht="19.5" customHeight="1">
      <c r="A349" s="12"/>
      <c r="B349" s="583"/>
      <c r="C349" s="12"/>
      <c r="D349" s="13"/>
      <c r="F349" s="14"/>
      <c r="G349" s="14"/>
      <c r="H349" s="14"/>
      <c r="I349" s="14"/>
      <c r="J349" s="14"/>
      <c r="K349" s="12"/>
    </row>
    <row r="350" ht="19.5" customHeight="1">
      <c r="A350" s="12"/>
      <c r="B350" s="583"/>
      <c r="C350" s="12"/>
      <c r="D350" s="13"/>
      <c r="F350" s="14"/>
      <c r="G350" s="14"/>
      <c r="H350" s="14"/>
      <c r="I350" s="14"/>
      <c r="J350" s="14"/>
      <c r="K350" s="12"/>
    </row>
    <row r="351" ht="19.5" customHeight="1">
      <c r="A351" s="12"/>
      <c r="B351" s="583"/>
      <c r="C351" s="12"/>
      <c r="D351" s="13"/>
      <c r="F351" s="14"/>
      <c r="G351" s="14"/>
      <c r="H351" s="14"/>
      <c r="I351" s="14"/>
      <c r="J351" s="14"/>
      <c r="K351" s="12"/>
    </row>
    <row r="352" ht="19.5" customHeight="1">
      <c r="A352" s="12"/>
      <c r="B352" s="583"/>
      <c r="C352" s="12"/>
      <c r="D352" s="13"/>
      <c r="F352" s="14"/>
      <c r="G352" s="14"/>
      <c r="H352" s="14"/>
      <c r="I352" s="14"/>
      <c r="J352" s="14"/>
      <c r="K352" s="12"/>
    </row>
    <row r="353" ht="19.5" customHeight="1">
      <c r="A353" s="12"/>
      <c r="B353" s="583"/>
      <c r="C353" s="12"/>
      <c r="D353" s="13"/>
      <c r="F353" s="14"/>
      <c r="G353" s="14"/>
      <c r="H353" s="14"/>
      <c r="I353" s="14"/>
      <c r="J353" s="14"/>
      <c r="K353" s="12"/>
    </row>
    <row r="354" ht="19.5" customHeight="1">
      <c r="A354" s="12"/>
      <c r="B354" s="583"/>
      <c r="C354" s="12"/>
      <c r="D354" s="13"/>
      <c r="F354" s="14"/>
      <c r="G354" s="14"/>
      <c r="H354" s="14"/>
      <c r="I354" s="14"/>
      <c r="J354" s="14"/>
      <c r="K354" s="12"/>
    </row>
    <row r="355" ht="19.5" customHeight="1">
      <c r="A355" s="12"/>
      <c r="B355" s="583"/>
      <c r="C355" s="12"/>
      <c r="D355" s="13"/>
      <c r="F355" s="14"/>
      <c r="G355" s="14"/>
      <c r="H355" s="14"/>
      <c r="I355" s="14"/>
      <c r="J355" s="14"/>
      <c r="K355" s="12"/>
    </row>
    <row r="356" ht="19.5" customHeight="1">
      <c r="A356" s="12"/>
      <c r="B356" s="583"/>
      <c r="C356" s="12"/>
      <c r="D356" s="13"/>
      <c r="F356" s="14"/>
      <c r="G356" s="14"/>
      <c r="H356" s="14"/>
      <c r="I356" s="14"/>
      <c r="J356" s="14"/>
      <c r="K356" s="12"/>
    </row>
    <row r="357" ht="19.5" customHeight="1">
      <c r="A357" s="12"/>
      <c r="B357" s="583"/>
      <c r="C357" s="12"/>
      <c r="D357" s="13"/>
      <c r="F357" s="14"/>
      <c r="G357" s="14"/>
      <c r="H357" s="14"/>
      <c r="I357" s="14"/>
      <c r="J357" s="14"/>
      <c r="K357" s="12"/>
    </row>
    <row r="358" ht="19.5" customHeight="1">
      <c r="A358" s="12"/>
      <c r="B358" s="583"/>
      <c r="C358" s="12"/>
      <c r="D358" s="13"/>
      <c r="F358" s="14"/>
      <c r="G358" s="14"/>
      <c r="H358" s="14"/>
      <c r="I358" s="14"/>
      <c r="J358" s="14"/>
      <c r="K358" s="12"/>
    </row>
    <row r="359" ht="19.5" customHeight="1">
      <c r="A359" s="12"/>
      <c r="B359" s="583"/>
      <c r="C359" s="12"/>
      <c r="D359" s="13"/>
      <c r="F359" s="14"/>
      <c r="G359" s="14"/>
      <c r="H359" s="14"/>
      <c r="I359" s="14"/>
      <c r="J359" s="14"/>
      <c r="K359" s="12"/>
    </row>
    <row r="360" ht="19.5" customHeight="1">
      <c r="A360" s="12"/>
      <c r="B360" s="583"/>
      <c r="C360" s="12"/>
      <c r="D360" s="13"/>
      <c r="F360" s="14"/>
      <c r="G360" s="14"/>
      <c r="H360" s="14"/>
      <c r="I360" s="14"/>
      <c r="J360" s="14"/>
      <c r="K360" s="12"/>
    </row>
    <row r="361" ht="19.5" customHeight="1">
      <c r="A361" s="12"/>
      <c r="B361" s="583"/>
      <c r="C361" s="12"/>
      <c r="D361" s="13"/>
      <c r="F361" s="14"/>
      <c r="G361" s="14"/>
      <c r="H361" s="14"/>
      <c r="I361" s="14"/>
      <c r="J361" s="14"/>
      <c r="K361" s="12"/>
    </row>
    <row r="362" ht="19.5" customHeight="1">
      <c r="A362" s="12"/>
      <c r="B362" s="583"/>
      <c r="C362" s="12"/>
      <c r="D362" s="13"/>
      <c r="F362" s="14"/>
      <c r="G362" s="14"/>
      <c r="H362" s="14"/>
      <c r="I362" s="14"/>
      <c r="J362" s="14"/>
      <c r="K362" s="12"/>
    </row>
    <row r="363" ht="19.5" customHeight="1">
      <c r="A363" s="12"/>
      <c r="B363" s="583"/>
      <c r="C363" s="12"/>
      <c r="D363" s="13"/>
      <c r="F363" s="14"/>
      <c r="G363" s="14"/>
      <c r="H363" s="14"/>
      <c r="I363" s="14"/>
      <c r="J363" s="14"/>
      <c r="K363" s="12"/>
    </row>
    <row r="364" ht="19.5" customHeight="1">
      <c r="A364" s="12"/>
      <c r="B364" s="583"/>
      <c r="C364" s="12"/>
      <c r="D364" s="13"/>
      <c r="F364" s="14"/>
      <c r="G364" s="14"/>
      <c r="H364" s="14"/>
      <c r="I364" s="14"/>
      <c r="J364" s="14"/>
      <c r="K364" s="12"/>
    </row>
    <row r="365" ht="19.5" customHeight="1">
      <c r="A365" s="12"/>
      <c r="B365" s="583"/>
      <c r="C365" s="12"/>
      <c r="D365" s="13"/>
      <c r="F365" s="14"/>
      <c r="G365" s="14"/>
      <c r="H365" s="14"/>
      <c r="I365" s="14"/>
      <c r="J365" s="14"/>
      <c r="K365" s="12"/>
    </row>
    <row r="366" ht="19.5" customHeight="1">
      <c r="A366" s="12"/>
      <c r="B366" s="583"/>
      <c r="C366" s="12"/>
      <c r="D366" s="13"/>
      <c r="F366" s="14"/>
      <c r="G366" s="14"/>
      <c r="H366" s="14"/>
      <c r="I366" s="14"/>
      <c r="J366" s="14"/>
      <c r="K366" s="12"/>
    </row>
    <row r="367" ht="19.5" customHeight="1">
      <c r="A367" s="12"/>
      <c r="B367" s="583"/>
      <c r="C367" s="12"/>
      <c r="D367" s="13"/>
      <c r="F367" s="14"/>
      <c r="G367" s="14"/>
      <c r="H367" s="14"/>
      <c r="I367" s="14"/>
      <c r="J367" s="14"/>
      <c r="K367" s="12"/>
    </row>
    <row r="368" ht="19.5" customHeight="1">
      <c r="A368" s="12"/>
      <c r="B368" s="583"/>
      <c r="C368" s="12"/>
      <c r="D368" s="13"/>
      <c r="F368" s="14"/>
      <c r="G368" s="14"/>
      <c r="H368" s="14"/>
      <c r="I368" s="14"/>
      <c r="J368" s="14"/>
      <c r="K368" s="12"/>
    </row>
    <row r="369" ht="19.5" customHeight="1">
      <c r="A369" s="12"/>
      <c r="B369" s="583"/>
      <c r="C369" s="12"/>
      <c r="D369" s="13"/>
      <c r="F369" s="14"/>
      <c r="G369" s="14"/>
      <c r="H369" s="14"/>
      <c r="I369" s="14"/>
      <c r="J369" s="14"/>
      <c r="K369" s="12"/>
    </row>
    <row r="370" ht="19.5" customHeight="1">
      <c r="A370" s="12"/>
      <c r="B370" s="583"/>
      <c r="C370" s="12"/>
      <c r="D370" s="13"/>
      <c r="F370" s="14"/>
      <c r="G370" s="14"/>
      <c r="H370" s="14"/>
      <c r="I370" s="14"/>
      <c r="J370" s="14"/>
      <c r="K370" s="12"/>
    </row>
    <row r="371" ht="19.5" customHeight="1">
      <c r="A371" s="12"/>
      <c r="B371" s="583"/>
      <c r="C371" s="12"/>
      <c r="D371" s="13"/>
      <c r="F371" s="14"/>
      <c r="G371" s="14"/>
      <c r="H371" s="14"/>
      <c r="I371" s="14"/>
      <c r="J371" s="14"/>
      <c r="K371" s="12"/>
    </row>
    <row r="372" ht="19.5" customHeight="1">
      <c r="A372" s="12"/>
      <c r="B372" s="583"/>
      <c r="C372" s="12"/>
      <c r="D372" s="13"/>
      <c r="F372" s="14"/>
      <c r="G372" s="14"/>
      <c r="H372" s="14"/>
      <c r="I372" s="14"/>
      <c r="J372" s="14"/>
      <c r="K372" s="12"/>
    </row>
    <row r="373" ht="19.5" customHeight="1">
      <c r="A373" s="12"/>
      <c r="B373" s="583"/>
      <c r="C373" s="12"/>
      <c r="D373" s="13"/>
      <c r="F373" s="14"/>
      <c r="G373" s="14"/>
      <c r="H373" s="14"/>
      <c r="I373" s="14"/>
      <c r="J373" s="14"/>
      <c r="K373" s="12"/>
    </row>
    <row r="374" ht="19.5" customHeight="1">
      <c r="A374" s="12"/>
      <c r="B374" s="583"/>
      <c r="C374" s="12"/>
      <c r="D374" s="13"/>
      <c r="F374" s="14"/>
      <c r="G374" s="14"/>
      <c r="H374" s="14"/>
      <c r="I374" s="14"/>
      <c r="J374" s="14"/>
      <c r="K374" s="12"/>
    </row>
    <row r="375" ht="19.5" customHeight="1">
      <c r="A375" s="12"/>
      <c r="B375" s="583"/>
      <c r="C375" s="12"/>
      <c r="D375" s="13"/>
      <c r="F375" s="14"/>
      <c r="G375" s="14"/>
      <c r="H375" s="14"/>
      <c r="I375" s="14"/>
      <c r="J375" s="14"/>
      <c r="K375" s="12"/>
    </row>
    <row r="376" ht="19.5" customHeight="1">
      <c r="A376" s="12"/>
      <c r="B376" s="583"/>
      <c r="C376" s="12"/>
      <c r="D376" s="13"/>
      <c r="F376" s="14"/>
      <c r="G376" s="14"/>
      <c r="H376" s="14"/>
      <c r="I376" s="14"/>
      <c r="J376" s="14"/>
      <c r="K376" s="12"/>
    </row>
    <row r="377" ht="19.5" customHeight="1">
      <c r="A377" s="12"/>
      <c r="B377" s="583"/>
      <c r="C377" s="12"/>
      <c r="D377" s="13"/>
      <c r="F377" s="14"/>
      <c r="G377" s="14"/>
      <c r="H377" s="14"/>
      <c r="I377" s="14"/>
      <c r="J377" s="14"/>
      <c r="K377" s="12"/>
    </row>
    <row r="378" ht="19.5" customHeight="1">
      <c r="A378" s="12"/>
      <c r="B378" s="583"/>
      <c r="C378" s="12"/>
      <c r="D378" s="13"/>
      <c r="F378" s="14"/>
      <c r="G378" s="14"/>
      <c r="H378" s="14"/>
      <c r="I378" s="14"/>
      <c r="J378" s="14"/>
      <c r="K378" s="12"/>
    </row>
    <row r="379" ht="19.5" customHeight="1">
      <c r="A379" s="12"/>
      <c r="B379" s="583"/>
      <c r="C379" s="12"/>
      <c r="D379" s="13"/>
      <c r="F379" s="14"/>
      <c r="G379" s="14"/>
      <c r="H379" s="14"/>
      <c r="I379" s="14"/>
      <c r="J379" s="14"/>
      <c r="K379" s="12"/>
    </row>
    <row r="380" ht="19.5" customHeight="1">
      <c r="A380" s="12"/>
      <c r="B380" s="583"/>
      <c r="C380" s="12"/>
      <c r="D380" s="13"/>
      <c r="F380" s="14"/>
      <c r="G380" s="14"/>
      <c r="H380" s="14"/>
      <c r="I380" s="14"/>
      <c r="J380" s="14"/>
      <c r="K380" s="12"/>
    </row>
    <row r="381" ht="19.5" customHeight="1">
      <c r="A381" s="12"/>
      <c r="B381" s="583"/>
      <c r="C381" s="12"/>
      <c r="D381" s="13"/>
      <c r="F381" s="14"/>
      <c r="G381" s="14"/>
      <c r="H381" s="14"/>
      <c r="I381" s="14"/>
      <c r="J381" s="14"/>
      <c r="K381" s="12"/>
    </row>
    <row r="382" ht="19.5" customHeight="1">
      <c r="A382" s="12"/>
      <c r="B382" s="583"/>
      <c r="C382" s="12"/>
      <c r="D382" s="13"/>
      <c r="F382" s="14"/>
      <c r="G382" s="14"/>
      <c r="H382" s="14"/>
      <c r="I382" s="14"/>
      <c r="J382" s="14"/>
      <c r="K382" s="12"/>
    </row>
    <row r="383" ht="19.5" customHeight="1">
      <c r="A383" s="12"/>
      <c r="B383" s="583"/>
      <c r="C383" s="12"/>
      <c r="D383" s="13"/>
      <c r="F383" s="14"/>
      <c r="G383" s="14"/>
      <c r="H383" s="14"/>
      <c r="I383" s="14"/>
      <c r="J383" s="14"/>
      <c r="K383" s="12"/>
    </row>
    <row r="384" ht="19.5" customHeight="1">
      <c r="A384" s="12"/>
      <c r="B384" s="583"/>
      <c r="C384" s="12"/>
      <c r="D384" s="13"/>
      <c r="F384" s="14"/>
      <c r="G384" s="14"/>
      <c r="H384" s="14"/>
      <c r="I384" s="14"/>
      <c r="J384" s="14"/>
      <c r="K384" s="12"/>
    </row>
    <row r="385" ht="19.5" customHeight="1">
      <c r="A385" s="12"/>
      <c r="B385" s="583"/>
      <c r="C385" s="12"/>
      <c r="D385" s="13"/>
      <c r="F385" s="14"/>
      <c r="G385" s="14"/>
      <c r="H385" s="14"/>
      <c r="I385" s="14"/>
      <c r="J385" s="14"/>
      <c r="K385" s="12"/>
    </row>
    <row r="386" ht="19.5" customHeight="1">
      <c r="A386" s="12"/>
      <c r="B386" s="583"/>
      <c r="C386" s="12"/>
      <c r="D386" s="13"/>
      <c r="F386" s="14"/>
      <c r="G386" s="14"/>
      <c r="H386" s="14"/>
      <c r="I386" s="14"/>
      <c r="J386" s="14"/>
      <c r="K386" s="12"/>
    </row>
    <row r="387" ht="19.5" customHeight="1">
      <c r="A387" s="12"/>
      <c r="B387" s="583"/>
      <c r="C387" s="12"/>
      <c r="D387" s="13"/>
      <c r="F387" s="14"/>
      <c r="G387" s="14"/>
      <c r="H387" s="14"/>
      <c r="I387" s="14"/>
      <c r="J387" s="14"/>
      <c r="K387" s="12"/>
    </row>
    <row r="388" ht="19.5" customHeight="1">
      <c r="A388" s="12"/>
      <c r="B388" s="583"/>
      <c r="C388" s="12"/>
      <c r="D388" s="13"/>
      <c r="F388" s="14"/>
      <c r="G388" s="14"/>
      <c r="H388" s="14"/>
      <c r="I388" s="14"/>
      <c r="J388" s="14"/>
      <c r="K388" s="12"/>
    </row>
    <row r="389" ht="19.5" customHeight="1">
      <c r="A389" s="12"/>
      <c r="B389" s="583"/>
      <c r="C389" s="12"/>
      <c r="D389" s="13"/>
      <c r="F389" s="14"/>
      <c r="G389" s="14"/>
      <c r="H389" s="14"/>
      <c r="I389" s="14"/>
      <c r="J389" s="14"/>
      <c r="K389" s="12"/>
    </row>
    <row r="390" ht="19.5" customHeight="1">
      <c r="A390" s="12"/>
      <c r="B390" s="583"/>
      <c r="C390" s="12"/>
      <c r="D390" s="13"/>
      <c r="F390" s="14"/>
      <c r="G390" s="14"/>
      <c r="H390" s="14"/>
      <c r="I390" s="14"/>
      <c r="J390" s="14"/>
      <c r="K390" s="12"/>
    </row>
    <row r="391" ht="19.5" customHeight="1">
      <c r="A391" s="12"/>
      <c r="B391" s="583"/>
      <c r="C391" s="12"/>
      <c r="D391" s="13"/>
      <c r="F391" s="14"/>
      <c r="G391" s="14"/>
      <c r="H391" s="14"/>
      <c r="I391" s="14"/>
      <c r="J391" s="14"/>
      <c r="K391" s="12"/>
    </row>
    <row r="392" ht="19.5" customHeight="1">
      <c r="A392" s="12"/>
      <c r="B392" s="583"/>
      <c r="C392" s="12"/>
      <c r="D392" s="13"/>
      <c r="F392" s="14"/>
      <c r="G392" s="14"/>
      <c r="H392" s="14"/>
      <c r="I392" s="14"/>
      <c r="J392" s="14"/>
      <c r="K392" s="12"/>
    </row>
    <row r="393" ht="19.5" customHeight="1">
      <c r="A393" s="12"/>
      <c r="B393" s="583"/>
      <c r="C393" s="12"/>
      <c r="D393" s="13"/>
      <c r="F393" s="14"/>
      <c r="G393" s="14"/>
      <c r="H393" s="14"/>
      <c r="I393" s="14"/>
      <c r="J393" s="14"/>
      <c r="K393" s="12"/>
    </row>
    <row r="394" ht="19.5" customHeight="1">
      <c r="A394" s="12"/>
      <c r="B394" s="583"/>
      <c r="C394" s="12"/>
      <c r="D394" s="13"/>
      <c r="F394" s="14"/>
      <c r="G394" s="14"/>
      <c r="H394" s="14"/>
      <c r="I394" s="14"/>
      <c r="J394" s="14"/>
      <c r="K394" s="12"/>
    </row>
    <row r="395" ht="19.5" customHeight="1">
      <c r="A395" s="12"/>
      <c r="B395" s="583"/>
      <c r="C395" s="12"/>
      <c r="D395" s="13"/>
      <c r="F395" s="14"/>
      <c r="G395" s="14"/>
      <c r="H395" s="14"/>
      <c r="I395" s="14"/>
      <c r="J395" s="14"/>
      <c r="K395" s="12"/>
    </row>
    <row r="396" ht="19.5" customHeight="1">
      <c r="A396" s="12"/>
      <c r="B396" s="583"/>
      <c r="C396" s="12"/>
      <c r="D396" s="13"/>
      <c r="F396" s="14"/>
      <c r="G396" s="14"/>
      <c r="H396" s="14"/>
      <c r="I396" s="14"/>
      <c r="J396" s="14"/>
      <c r="K396" s="12"/>
    </row>
    <row r="397" ht="19.5" customHeight="1">
      <c r="A397" s="12"/>
      <c r="B397" s="583"/>
      <c r="C397" s="12"/>
      <c r="D397" s="13"/>
      <c r="F397" s="14"/>
      <c r="G397" s="14"/>
      <c r="H397" s="14"/>
      <c r="I397" s="14"/>
      <c r="J397" s="14"/>
      <c r="K397" s="12"/>
    </row>
    <row r="398" ht="19.5" customHeight="1">
      <c r="A398" s="12"/>
      <c r="B398" s="583"/>
      <c r="C398" s="12"/>
      <c r="D398" s="13"/>
      <c r="F398" s="14"/>
      <c r="G398" s="14"/>
      <c r="H398" s="14"/>
      <c r="I398" s="14"/>
      <c r="J398" s="14"/>
      <c r="K398" s="12"/>
    </row>
    <row r="399" ht="19.5" customHeight="1">
      <c r="A399" s="12"/>
      <c r="B399" s="583"/>
      <c r="C399" s="12"/>
      <c r="D399" s="13"/>
      <c r="F399" s="14"/>
      <c r="G399" s="14"/>
      <c r="H399" s="14"/>
      <c r="I399" s="14"/>
      <c r="J399" s="14"/>
      <c r="K399" s="12"/>
    </row>
    <row r="400" ht="19.5" customHeight="1">
      <c r="A400" s="12"/>
      <c r="B400" s="583"/>
      <c r="C400" s="12"/>
      <c r="D400" s="13"/>
      <c r="F400" s="14"/>
      <c r="G400" s="14"/>
      <c r="H400" s="14"/>
      <c r="I400" s="14"/>
      <c r="J400" s="14"/>
      <c r="K400" s="12"/>
    </row>
    <row r="401" ht="19.5" customHeight="1">
      <c r="A401" s="12"/>
      <c r="B401" s="583"/>
      <c r="C401" s="12"/>
      <c r="D401" s="13"/>
      <c r="F401" s="14"/>
      <c r="G401" s="14"/>
      <c r="H401" s="14"/>
      <c r="I401" s="14"/>
      <c r="J401" s="14"/>
      <c r="K401" s="12"/>
    </row>
    <row r="402" ht="19.5" customHeight="1">
      <c r="A402" s="12"/>
      <c r="B402" s="583"/>
      <c r="C402" s="12"/>
      <c r="D402" s="13"/>
      <c r="F402" s="14"/>
      <c r="G402" s="14"/>
      <c r="H402" s="14"/>
      <c r="I402" s="14"/>
      <c r="J402" s="14"/>
      <c r="K402" s="12"/>
    </row>
    <row r="403" ht="19.5" customHeight="1">
      <c r="A403" s="12"/>
      <c r="B403" s="583"/>
      <c r="C403" s="12"/>
      <c r="D403" s="13"/>
      <c r="F403" s="14"/>
      <c r="G403" s="14"/>
      <c r="H403" s="14"/>
      <c r="I403" s="14"/>
      <c r="J403" s="14"/>
      <c r="K403" s="12"/>
    </row>
    <row r="404" ht="19.5" customHeight="1">
      <c r="A404" s="12"/>
      <c r="B404" s="583"/>
      <c r="C404" s="12"/>
      <c r="D404" s="13"/>
      <c r="F404" s="14"/>
      <c r="G404" s="14"/>
      <c r="H404" s="14"/>
      <c r="I404" s="14"/>
      <c r="J404" s="14"/>
      <c r="K404" s="12"/>
    </row>
    <row r="405" ht="19.5" customHeight="1">
      <c r="A405" s="12"/>
      <c r="B405" s="583"/>
      <c r="C405" s="12"/>
      <c r="D405" s="13"/>
      <c r="F405" s="14"/>
      <c r="G405" s="14"/>
      <c r="H405" s="14"/>
      <c r="I405" s="14"/>
      <c r="J405" s="14"/>
      <c r="K405" s="12"/>
    </row>
    <row r="406" ht="19.5" customHeight="1">
      <c r="A406" s="12"/>
      <c r="B406" s="583"/>
      <c r="C406" s="12"/>
      <c r="D406" s="13"/>
      <c r="F406" s="14"/>
      <c r="G406" s="14"/>
      <c r="H406" s="14"/>
      <c r="I406" s="14"/>
      <c r="J406" s="14"/>
      <c r="K406" s="12"/>
    </row>
    <row r="407" ht="19.5" customHeight="1">
      <c r="A407" s="12"/>
      <c r="B407" s="583"/>
      <c r="C407" s="12"/>
      <c r="D407" s="13"/>
      <c r="F407" s="14"/>
      <c r="G407" s="14"/>
      <c r="H407" s="14"/>
      <c r="I407" s="14"/>
      <c r="J407" s="14"/>
      <c r="K407" s="12"/>
    </row>
    <row r="408" ht="19.5" customHeight="1">
      <c r="A408" s="12"/>
      <c r="B408" s="583"/>
      <c r="C408" s="12"/>
      <c r="D408" s="13"/>
      <c r="F408" s="14"/>
      <c r="G408" s="14"/>
      <c r="H408" s="14"/>
      <c r="I408" s="14"/>
      <c r="J408" s="14"/>
      <c r="K408" s="12"/>
    </row>
    <row r="409" ht="19.5" customHeight="1">
      <c r="A409" s="12"/>
      <c r="B409" s="583"/>
      <c r="C409" s="12"/>
      <c r="D409" s="13"/>
      <c r="F409" s="14"/>
      <c r="G409" s="14"/>
      <c r="H409" s="14"/>
      <c r="I409" s="14"/>
      <c r="J409" s="14"/>
      <c r="K409" s="12"/>
    </row>
    <row r="410" ht="19.5" customHeight="1">
      <c r="A410" s="12"/>
      <c r="B410" s="583"/>
      <c r="C410" s="12"/>
      <c r="D410" s="13"/>
      <c r="F410" s="14"/>
      <c r="G410" s="14"/>
      <c r="H410" s="14"/>
      <c r="I410" s="14"/>
      <c r="J410" s="14"/>
      <c r="K410" s="12"/>
    </row>
    <row r="411" ht="19.5" customHeight="1">
      <c r="A411" s="12"/>
      <c r="B411" s="583"/>
      <c r="C411" s="12"/>
      <c r="D411" s="13"/>
      <c r="F411" s="14"/>
      <c r="G411" s="14"/>
      <c r="H411" s="14"/>
      <c r="I411" s="14"/>
      <c r="J411" s="14"/>
      <c r="K411" s="12"/>
    </row>
    <row r="412" ht="19.5" customHeight="1">
      <c r="A412" s="12"/>
      <c r="B412" s="583"/>
      <c r="C412" s="12"/>
      <c r="D412" s="13"/>
      <c r="F412" s="14"/>
      <c r="G412" s="14"/>
      <c r="H412" s="14"/>
      <c r="I412" s="14"/>
      <c r="J412" s="14"/>
      <c r="K412" s="12"/>
    </row>
    <row r="413" ht="19.5" customHeight="1">
      <c r="A413" s="12"/>
      <c r="B413" s="583"/>
      <c r="C413" s="12"/>
      <c r="D413" s="13"/>
      <c r="F413" s="14"/>
      <c r="G413" s="14"/>
      <c r="H413" s="14"/>
      <c r="I413" s="14"/>
      <c r="J413" s="14"/>
      <c r="K413" s="12"/>
    </row>
    <row r="414" ht="19.5" customHeight="1">
      <c r="A414" s="12"/>
      <c r="B414" s="583"/>
      <c r="C414" s="12"/>
      <c r="D414" s="13"/>
      <c r="F414" s="14"/>
      <c r="G414" s="14"/>
      <c r="H414" s="14"/>
      <c r="I414" s="14"/>
      <c r="J414" s="14"/>
      <c r="K414" s="12"/>
    </row>
    <row r="415" ht="19.5" customHeight="1">
      <c r="A415" s="12"/>
      <c r="B415" s="583"/>
      <c r="C415" s="12"/>
      <c r="D415" s="13"/>
      <c r="F415" s="14"/>
      <c r="G415" s="14"/>
      <c r="H415" s="14"/>
      <c r="I415" s="14"/>
      <c r="J415" s="14"/>
      <c r="K415" s="12"/>
    </row>
    <row r="416" ht="19.5" customHeight="1">
      <c r="A416" s="12"/>
      <c r="B416" s="583"/>
      <c r="C416" s="12"/>
      <c r="D416" s="13"/>
      <c r="F416" s="14"/>
      <c r="G416" s="14"/>
      <c r="H416" s="14"/>
      <c r="I416" s="14"/>
      <c r="J416" s="14"/>
      <c r="K416" s="12"/>
    </row>
    <row r="417" ht="19.5" customHeight="1">
      <c r="A417" s="12"/>
      <c r="B417" s="583"/>
      <c r="C417" s="12"/>
      <c r="D417" s="13"/>
      <c r="F417" s="14"/>
      <c r="G417" s="14"/>
      <c r="H417" s="14"/>
      <c r="I417" s="14"/>
      <c r="J417" s="14"/>
      <c r="K417" s="12"/>
    </row>
    <row r="418" ht="19.5" customHeight="1">
      <c r="A418" s="12"/>
      <c r="B418" s="583"/>
      <c r="C418" s="12"/>
      <c r="D418" s="13"/>
      <c r="F418" s="14"/>
      <c r="G418" s="14"/>
      <c r="H418" s="14"/>
      <c r="I418" s="14"/>
      <c r="J418" s="14"/>
      <c r="K418" s="12"/>
    </row>
    <row r="419" ht="19.5" customHeight="1">
      <c r="A419" s="12"/>
      <c r="B419" s="583"/>
      <c r="C419" s="12"/>
      <c r="D419" s="13"/>
      <c r="F419" s="14"/>
      <c r="G419" s="14"/>
      <c r="H419" s="14"/>
      <c r="I419" s="14"/>
      <c r="J419" s="14"/>
      <c r="K419" s="12"/>
    </row>
    <row r="420" ht="19.5" customHeight="1">
      <c r="A420" s="12"/>
      <c r="B420" s="583"/>
      <c r="C420" s="12"/>
      <c r="D420" s="13"/>
      <c r="F420" s="14"/>
      <c r="G420" s="14"/>
      <c r="H420" s="14"/>
      <c r="I420" s="14"/>
      <c r="J420" s="14"/>
      <c r="K420" s="12"/>
    </row>
    <row r="421" ht="19.5" customHeight="1">
      <c r="A421" s="12"/>
      <c r="B421" s="583"/>
      <c r="C421" s="12"/>
      <c r="D421" s="13"/>
      <c r="F421" s="14"/>
      <c r="G421" s="14"/>
      <c r="H421" s="14"/>
      <c r="I421" s="14"/>
      <c r="J421" s="14"/>
      <c r="K421" s="12"/>
    </row>
    <row r="422" ht="19.5" customHeight="1">
      <c r="A422" s="12"/>
      <c r="B422" s="583"/>
      <c r="C422" s="12"/>
      <c r="D422" s="13"/>
      <c r="F422" s="14"/>
      <c r="G422" s="14"/>
      <c r="H422" s="14"/>
      <c r="I422" s="14"/>
      <c r="J422" s="14"/>
      <c r="K422" s="12"/>
    </row>
    <row r="423" ht="19.5" customHeight="1">
      <c r="A423" s="12"/>
      <c r="B423" s="583"/>
      <c r="C423" s="12"/>
      <c r="D423" s="13"/>
      <c r="F423" s="14"/>
      <c r="G423" s="14"/>
      <c r="H423" s="14"/>
      <c r="I423" s="14"/>
      <c r="J423" s="14"/>
      <c r="K423" s="12"/>
    </row>
    <row r="424" ht="19.5" customHeight="1">
      <c r="A424" s="12"/>
      <c r="B424" s="583"/>
      <c r="C424" s="12"/>
      <c r="D424" s="13"/>
      <c r="F424" s="14"/>
      <c r="G424" s="14"/>
      <c r="H424" s="14"/>
      <c r="I424" s="14"/>
      <c r="J424" s="14"/>
      <c r="K424" s="12"/>
    </row>
    <row r="425" ht="19.5" customHeight="1">
      <c r="A425" s="12"/>
      <c r="B425" s="583"/>
      <c r="C425" s="12"/>
      <c r="D425" s="13"/>
      <c r="F425" s="14"/>
      <c r="G425" s="14"/>
      <c r="H425" s="14"/>
      <c r="I425" s="14"/>
      <c r="J425" s="14"/>
      <c r="K425" s="12"/>
    </row>
    <row r="426" ht="19.5" customHeight="1">
      <c r="A426" s="12"/>
      <c r="B426" s="583"/>
      <c r="C426" s="12"/>
      <c r="D426" s="13"/>
      <c r="F426" s="14"/>
      <c r="G426" s="14"/>
      <c r="H426" s="14"/>
      <c r="I426" s="14"/>
      <c r="J426" s="14"/>
      <c r="K426" s="12"/>
    </row>
    <row r="427" ht="19.5" customHeight="1">
      <c r="A427" s="12"/>
      <c r="B427" s="583"/>
      <c r="C427" s="12"/>
      <c r="D427" s="13"/>
      <c r="F427" s="14"/>
      <c r="G427" s="14"/>
      <c r="H427" s="14"/>
      <c r="I427" s="14"/>
      <c r="J427" s="14"/>
      <c r="K427" s="12"/>
    </row>
    <row r="428" ht="19.5" customHeight="1">
      <c r="A428" s="12"/>
      <c r="B428" s="583"/>
      <c r="C428" s="12"/>
      <c r="D428" s="13"/>
      <c r="F428" s="14"/>
      <c r="G428" s="14"/>
      <c r="H428" s="14"/>
      <c r="I428" s="14"/>
      <c r="J428" s="14"/>
      <c r="K428" s="12"/>
    </row>
    <row r="429" ht="19.5" customHeight="1">
      <c r="A429" s="12"/>
      <c r="B429" s="583"/>
      <c r="C429" s="12"/>
      <c r="D429" s="13"/>
      <c r="F429" s="14"/>
      <c r="G429" s="14"/>
      <c r="H429" s="14"/>
      <c r="I429" s="14"/>
      <c r="J429" s="14"/>
      <c r="K429" s="12"/>
    </row>
    <row r="430" ht="19.5" customHeight="1">
      <c r="A430" s="12"/>
      <c r="B430" s="583"/>
      <c r="C430" s="12"/>
      <c r="D430" s="13"/>
      <c r="F430" s="14"/>
      <c r="G430" s="14"/>
      <c r="H430" s="14"/>
      <c r="I430" s="14"/>
      <c r="J430" s="14"/>
      <c r="K430" s="12"/>
    </row>
    <row r="431" ht="19.5" customHeight="1">
      <c r="A431" s="12"/>
      <c r="B431" s="583"/>
      <c r="C431" s="12"/>
      <c r="D431" s="13"/>
      <c r="F431" s="14"/>
      <c r="G431" s="14"/>
      <c r="H431" s="14"/>
      <c r="I431" s="14"/>
      <c r="J431" s="14"/>
      <c r="K431" s="12"/>
    </row>
    <row r="432" ht="19.5" customHeight="1">
      <c r="A432" s="12"/>
      <c r="B432" s="583"/>
      <c r="C432" s="12"/>
      <c r="D432" s="13"/>
      <c r="F432" s="14"/>
      <c r="G432" s="14"/>
      <c r="H432" s="14"/>
      <c r="I432" s="14"/>
      <c r="J432" s="14"/>
      <c r="K432" s="12"/>
    </row>
    <row r="433" ht="19.5" customHeight="1">
      <c r="A433" s="12"/>
      <c r="B433" s="583"/>
      <c r="C433" s="12"/>
      <c r="D433" s="13"/>
      <c r="F433" s="14"/>
      <c r="G433" s="14"/>
      <c r="H433" s="14"/>
      <c r="I433" s="14"/>
      <c r="J433" s="14"/>
      <c r="K433" s="12"/>
    </row>
    <row r="434" ht="19.5" customHeight="1">
      <c r="A434" s="12"/>
      <c r="B434" s="583"/>
      <c r="C434" s="12"/>
      <c r="D434" s="13"/>
      <c r="F434" s="14"/>
      <c r="G434" s="14"/>
      <c r="H434" s="14"/>
      <c r="I434" s="14"/>
      <c r="J434" s="14"/>
      <c r="K434" s="12"/>
    </row>
    <row r="435" ht="19.5" customHeight="1">
      <c r="A435" s="12"/>
      <c r="B435" s="583"/>
      <c r="C435" s="12"/>
      <c r="D435" s="13"/>
      <c r="F435" s="14"/>
      <c r="G435" s="14"/>
      <c r="H435" s="14"/>
      <c r="I435" s="14"/>
      <c r="J435" s="14"/>
      <c r="K435" s="12"/>
    </row>
    <row r="436" ht="19.5" customHeight="1">
      <c r="A436" s="12"/>
      <c r="B436" s="583"/>
      <c r="C436" s="12"/>
      <c r="D436" s="13"/>
      <c r="F436" s="14"/>
      <c r="G436" s="14"/>
      <c r="H436" s="14"/>
      <c r="I436" s="14"/>
      <c r="J436" s="14"/>
      <c r="K436" s="12"/>
    </row>
    <row r="437" ht="19.5" customHeight="1">
      <c r="A437" s="12"/>
      <c r="B437" s="583"/>
      <c r="C437" s="12"/>
      <c r="D437" s="13"/>
      <c r="F437" s="14"/>
      <c r="G437" s="14"/>
      <c r="H437" s="14"/>
      <c r="I437" s="14"/>
      <c r="J437" s="14"/>
      <c r="K437" s="12"/>
    </row>
    <row r="438" ht="19.5" customHeight="1">
      <c r="A438" s="12"/>
      <c r="B438" s="583"/>
      <c r="C438" s="12"/>
      <c r="D438" s="13"/>
      <c r="F438" s="14"/>
      <c r="G438" s="14"/>
      <c r="H438" s="14"/>
      <c r="I438" s="14"/>
      <c r="J438" s="14"/>
      <c r="K438" s="12"/>
    </row>
    <row r="439" ht="19.5" customHeight="1">
      <c r="A439" s="12"/>
      <c r="B439" s="583"/>
      <c r="C439" s="12"/>
      <c r="D439" s="13"/>
      <c r="F439" s="14"/>
      <c r="G439" s="14"/>
      <c r="H439" s="14"/>
      <c r="I439" s="14"/>
      <c r="J439" s="14"/>
      <c r="K439" s="12"/>
    </row>
    <row r="440" ht="19.5" customHeight="1">
      <c r="A440" s="12"/>
      <c r="B440" s="583"/>
      <c r="C440" s="12"/>
      <c r="D440" s="13"/>
      <c r="F440" s="14"/>
      <c r="G440" s="14"/>
      <c r="H440" s="14"/>
      <c r="I440" s="14"/>
      <c r="J440" s="14"/>
      <c r="K440" s="12"/>
    </row>
    <row r="441" ht="19.5" customHeight="1">
      <c r="A441" s="12"/>
      <c r="B441" s="583"/>
      <c r="C441" s="12"/>
      <c r="D441" s="13"/>
      <c r="F441" s="14"/>
      <c r="G441" s="14"/>
      <c r="H441" s="14"/>
      <c r="I441" s="14"/>
      <c r="J441" s="14"/>
      <c r="K441" s="12"/>
    </row>
    <row r="442" ht="19.5" customHeight="1">
      <c r="A442" s="12"/>
      <c r="B442" s="583"/>
      <c r="C442" s="12"/>
      <c r="D442" s="13"/>
      <c r="F442" s="14"/>
      <c r="G442" s="14"/>
      <c r="H442" s="14"/>
      <c r="I442" s="14"/>
      <c r="J442" s="14"/>
      <c r="K442" s="12"/>
    </row>
    <row r="443" ht="19.5" customHeight="1">
      <c r="A443" s="12"/>
      <c r="B443" s="583"/>
      <c r="C443" s="12"/>
      <c r="D443" s="13"/>
      <c r="F443" s="14"/>
      <c r="G443" s="14"/>
      <c r="H443" s="14"/>
      <c r="I443" s="14"/>
      <c r="J443" s="14"/>
      <c r="K443" s="12"/>
    </row>
    <row r="444" ht="19.5" customHeight="1">
      <c r="A444" s="12"/>
      <c r="B444" s="583"/>
      <c r="C444" s="12"/>
      <c r="D444" s="13"/>
      <c r="F444" s="14"/>
      <c r="G444" s="14"/>
      <c r="H444" s="14"/>
      <c r="I444" s="14"/>
      <c r="J444" s="14"/>
      <c r="K444" s="12"/>
    </row>
    <row r="445" ht="19.5" customHeight="1">
      <c r="A445" s="12"/>
      <c r="B445" s="583"/>
      <c r="C445" s="12"/>
      <c r="D445" s="13"/>
      <c r="F445" s="14"/>
      <c r="G445" s="14"/>
      <c r="H445" s="14"/>
      <c r="I445" s="14"/>
      <c r="J445" s="14"/>
      <c r="K445" s="12"/>
    </row>
    <row r="446" ht="19.5" customHeight="1">
      <c r="A446" s="12"/>
      <c r="B446" s="583"/>
      <c r="C446" s="12"/>
      <c r="D446" s="13"/>
      <c r="F446" s="14"/>
      <c r="G446" s="14"/>
      <c r="H446" s="14"/>
      <c r="I446" s="14"/>
      <c r="J446" s="14"/>
      <c r="K446" s="12"/>
    </row>
    <row r="447" ht="19.5" customHeight="1">
      <c r="A447" s="12"/>
      <c r="B447" s="583"/>
      <c r="C447" s="12"/>
      <c r="D447" s="13"/>
      <c r="F447" s="14"/>
      <c r="G447" s="14"/>
      <c r="H447" s="14"/>
      <c r="I447" s="14"/>
      <c r="J447" s="14"/>
      <c r="K447" s="12"/>
    </row>
    <row r="448" ht="19.5" customHeight="1">
      <c r="A448" s="12"/>
      <c r="B448" s="583"/>
      <c r="C448" s="12"/>
      <c r="D448" s="13"/>
      <c r="F448" s="14"/>
      <c r="G448" s="14"/>
      <c r="H448" s="14"/>
      <c r="I448" s="14"/>
      <c r="J448" s="14"/>
      <c r="K448" s="12"/>
    </row>
    <row r="449" ht="19.5" customHeight="1">
      <c r="A449" s="12"/>
      <c r="B449" s="583"/>
      <c r="C449" s="12"/>
      <c r="D449" s="13"/>
      <c r="F449" s="14"/>
      <c r="G449" s="14"/>
      <c r="H449" s="14"/>
      <c r="I449" s="14"/>
      <c r="J449" s="14"/>
      <c r="K449" s="12"/>
    </row>
    <row r="450" ht="19.5" customHeight="1">
      <c r="A450" s="12"/>
      <c r="B450" s="583"/>
      <c r="C450" s="12"/>
      <c r="D450" s="13"/>
      <c r="F450" s="14"/>
      <c r="G450" s="14"/>
      <c r="H450" s="14"/>
      <c r="I450" s="14"/>
      <c r="J450" s="14"/>
      <c r="K450" s="12"/>
    </row>
    <row r="451" ht="19.5" customHeight="1">
      <c r="A451" s="12"/>
      <c r="B451" s="583"/>
      <c r="C451" s="12"/>
      <c r="D451" s="13"/>
      <c r="F451" s="14"/>
      <c r="G451" s="14"/>
      <c r="H451" s="14"/>
      <c r="I451" s="14"/>
      <c r="J451" s="14"/>
      <c r="K451" s="12"/>
    </row>
    <row r="452" ht="19.5" customHeight="1">
      <c r="A452" s="12"/>
      <c r="B452" s="583"/>
      <c r="C452" s="12"/>
      <c r="D452" s="13"/>
      <c r="F452" s="14"/>
      <c r="G452" s="14"/>
      <c r="H452" s="14"/>
      <c r="I452" s="14"/>
      <c r="J452" s="14"/>
      <c r="K452" s="12"/>
    </row>
    <row r="453" ht="19.5" customHeight="1">
      <c r="A453" s="12"/>
      <c r="B453" s="583"/>
      <c r="C453" s="12"/>
      <c r="D453" s="13"/>
      <c r="F453" s="14"/>
      <c r="G453" s="14"/>
      <c r="H453" s="14"/>
      <c r="I453" s="14"/>
      <c r="J453" s="14"/>
      <c r="K453" s="12"/>
    </row>
    <row r="454" ht="19.5" customHeight="1">
      <c r="A454" s="12"/>
      <c r="B454" s="583"/>
      <c r="C454" s="12"/>
      <c r="D454" s="13"/>
      <c r="F454" s="14"/>
      <c r="G454" s="14"/>
      <c r="H454" s="14"/>
      <c r="I454" s="14"/>
      <c r="J454" s="14"/>
      <c r="K454" s="12"/>
    </row>
    <row r="455" ht="19.5" customHeight="1">
      <c r="A455" s="12"/>
      <c r="B455" s="583"/>
      <c r="C455" s="12"/>
      <c r="D455" s="13"/>
      <c r="F455" s="14"/>
      <c r="G455" s="14"/>
      <c r="H455" s="14"/>
      <c r="I455" s="14"/>
      <c r="J455" s="14"/>
      <c r="K455" s="12"/>
    </row>
    <row r="456" ht="19.5" customHeight="1">
      <c r="A456" s="12"/>
      <c r="B456" s="583"/>
      <c r="C456" s="12"/>
      <c r="D456" s="13"/>
      <c r="F456" s="14"/>
      <c r="G456" s="14"/>
      <c r="H456" s="14"/>
      <c r="I456" s="14"/>
      <c r="J456" s="14"/>
      <c r="K456" s="12"/>
    </row>
    <row r="457" ht="19.5" customHeight="1">
      <c r="A457" s="12"/>
      <c r="B457" s="583"/>
      <c r="C457" s="12"/>
      <c r="D457" s="13"/>
      <c r="F457" s="14"/>
      <c r="G457" s="14"/>
      <c r="H457" s="14"/>
      <c r="I457" s="14"/>
      <c r="J457" s="14"/>
      <c r="K457" s="12"/>
    </row>
    <row r="458" ht="19.5" customHeight="1">
      <c r="A458" s="12"/>
      <c r="B458" s="583"/>
      <c r="C458" s="12"/>
      <c r="D458" s="13"/>
      <c r="F458" s="14"/>
      <c r="G458" s="14"/>
      <c r="H458" s="14"/>
      <c r="I458" s="14"/>
      <c r="J458" s="14"/>
      <c r="K458" s="12"/>
    </row>
    <row r="459" ht="19.5" customHeight="1">
      <c r="A459" s="12"/>
      <c r="B459" s="583"/>
      <c r="C459" s="12"/>
      <c r="D459" s="13"/>
      <c r="F459" s="14"/>
      <c r="G459" s="14"/>
      <c r="H459" s="14"/>
      <c r="I459" s="14"/>
      <c r="J459" s="14"/>
      <c r="K459" s="12"/>
    </row>
    <row r="460" ht="19.5" customHeight="1">
      <c r="A460" s="12"/>
      <c r="B460" s="583"/>
      <c r="C460" s="12"/>
      <c r="D460" s="13"/>
      <c r="F460" s="14"/>
      <c r="G460" s="14"/>
      <c r="H460" s="14"/>
      <c r="I460" s="14"/>
      <c r="J460" s="14"/>
      <c r="K460" s="12"/>
    </row>
    <row r="461" ht="19.5" customHeight="1">
      <c r="A461" s="12"/>
      <c r="B461" s="583"/>
      <c r="C461" s="12"/>
      <c r="D461" s="13"/>
      <c r="F461" s="14"/>
      <c r="G461" s="14"/>
      <c r="H461" s="14"/>
      <c r="I461" s="14"/>
      <c r="J461" s="14"/>
      <c r="K461" s="12"/>
    </row>
    <row r="462" ht="19.5" customHeight="1">
      <c r="A462" s="12"/>
      <c r="B462" s="583"/>
      <c r="C462" s="12"/>
      <c r="D462" s="13"/>
      <c r="F462" s="14"/>
      <c r="G462" s="14"/>
      <c r="H462" s="14"/>
      <c r="I462" s="14"/>
      <c r="J462" s="14"/>
      <c r="K462" s="12"/>
    </row>
    <row r="463" ht="19.5" customHeight="1">
      <c r="A463" s="12"/>
      <c r="B463" s="583"/>
      <c r="C463" s="12"/>
      <c r="D463" s="13"/>
      <c r="F463" s="14"/>
      <c r="G463" s="14"/>
      <c r="H463" s="14"/>
      <c r="I463" s="14"/>
      <c r="J463" s="14"/>
      <c r="K463" s="12"/>
    </row>
    <row r="464" ht="19.5" customHeight="1">
      <c r="A464" s="12"/>
      <c r="B464" s="583"/>
      <c r="C464" s="12"/>
      <c r="D464" s="13"/>
      <c r="F464" s="14"/>
      <c r="G464" s="14"/>
      <c r="H464" s="14"/>
      <c r="I464" s="14"/>
      <c r="J464" s="14"/>
      <c r="K464" s="12"/>
    </row>
    <row r="465" ht="19.5" customHeight="1">
      <c r="A465" s="12"/>
      <c r="B465" s="583"/>
      <c r="C465" s="12"/>
      <c r="D465" s="13"/>
      <c r="F465" s="14"/>
      <c r="G465" s="14"/>
      <c r="H465" s="14"/>
      <c r="I465" s="14"/>
      <c r="J465" s="14"/>
      <c r="K465" s="12"/>
    </row>
    <row r="466" ht="19.5" customHeight="1">
      <c r="A466" s="12"/>
      <c r="B466" s="583"/>
      <c r="C466" s="12"/>
      <c r="D466" s="13"/>
      <c r="F466" s="14"/>
      <c r="G466" s="14"/>
      <c r="H466" s="14"/>
      <c r="I466" s="14"/>
      <c r="J466" s="14"/>
      <c r="K466" s="12"/>
    </row>
    <row r="467" ht="19.5" customHeight="1">
      <c r="A467" s="12"/>
      <c r="B467" s="583"/>
      <c r="C467" s="12"/>
      <c r="D467" s="13"/>
      <c r="F467" s="14"/>
      <c r="G467" s="14"/>
      <c r="H467" s="14"/>
      <c r="I467" s="14"/>
      <c r="J467" s="14"/>
      <c r="K467" s="12"/>
    </row>
    <row r="468" ht="19.5" customHeight="1">
      <c r="A468" s="12"/>
      <c r="B468" s="583"/>
      <c r="C468" s="12"/>
      <c r="D468" s="13"/>
      <c r="F468" s="14"/>
      <c r="G468" s="14"/>
      <c r="H468" s="14"/>
      <c r="I468" s="14"/>
      <c r="J468" s="14"/>
      <c r="K468" s="12"/>
    </row>
    <row r="469" ht="19.5" customHeight="1">
      <c r="A469" s="12"/>
      <c r="B469" s="583"/>
      <c r="C469" s="12"/>
      <c r="D469" s="13"/>
      <c r="F469" s="14"/>
      <c r="G469" s="14"/>
      <c r="H469" s="14"/>
      <c r="I469" s="14"/>
      <c r="J469" s="14"/>
      <c r="K469" s="12"/>
    </row>
    <row r="470" ht="19.5" customHeight="1">
      <c r="A470" s="12"/>
      <c r="B470" s="583"/>
      <c r="C470" s="12"/>
      <c r="D470" s="13"/>
      <c r="F470" s="14"/>
      <c r="G470" s="14"/>
      <c r="H470" s="14"/>
      <c r="I470" s="14"/>
      <c r="J470" s="14"/>
      <c r="K470" s="12"/>
    </row>
    <row r="471" ht="19.5" customHeight="1">
      <c r="A471" s="12"/>
      <c r="B471" s="583"/>
      <c r="C471" s="12"/>
      <c r="D471" s="13"/>
      <c r="F471" s="14"/>
      <c r="G471" s="14"/>
      <c r="H471" s="14"/>
      <c r="I471" s="14"/>
      <c r="J471" s="14"/>
      <c r="K471" s="12"/>
    </row>
    <row r="472" ht="19.5" customHeight="1">
      <c r="A472" s="12"/>
      <c r="B472" s="583"/>
      <c r="C472" s="12"/>
      <c r="D472" s="13"/>
      <c r="F472" s="14"/>
      <c r="G472" s="14"/>
      <c r="H472" s="14"/>
      <c r="I472" s="14"/>
      <c r="J472" s="14"/>
      <c r="K472" s="12"/>
    </row>
    <row r="473" ht="19.5" customHeight="1">
      <c r="A473" s="12"/>
      <c r="B473" s="583"/>
      <c r="C473" s="12"/>
      <c r="D473" s="13"/>
      <c r="F473" s="14"/>
      <c r="G473" s="14"/>
      <c r="H473" s="14"/>
      <c r="I473" s="14"/>
      <c r="J473" s="14"/>
      <c r="K473" s="12"/>
    </row>
    <row r="474" ht="19.5" customHeight="1">
      <c r="A474" s="12"/>
      <c r="B474" s="583"/>
      <c r="C474" s="12"/>
      <c r="D474" s="13"/>
      <c r="F474" s="14"/>
      <c r="G474" s="14"/>
      <c r="H474" s="14"/>
      <c r="I474" s="14"/>
      <c r="J474" s="14"/>
      <c r="K474" s="12"/>
    </row>
    <row r="475" ht="19.5" customHeight="1">
      <c r="A475" s="12"/>
      <c r="B475" s="583"/>
      <c r="C475" s="12"/>
      <c r="D475" s="13"/>
      <c r="F475" s="14"/>
      <c r="G475" s="14"/>
      <c r="H475" s="14"/>
      <c r="I475" s="14"/>
      <c r="J475" s="14"/>
      <c r="K475" s="12"/>
    </row>
    <row r="476" ht="19.5" customHeight="1">
      <c r="A476" s="12"/>
      <c r="B476" s="583"/>
      <c r="C476" s="12"/>
      <c r="D476" s="13"/>
      <c r="F476" s="14"/>
      <c r="G476" s="14"/>
      <c r="H476" s="14"/>
      <c r="I476" s="14"/>
      <c r="J476" s="14"/>
      <c r="K476" s="12"/>
    </row>
    <row r="477" ht="19.5" customHeight="1">
      <c r="A477" s="12"/>
      <c r="B477" s="583"/>
      <c r="C477" s="12"/>
      <c r="D477" s="13"/>
      <c r="F477" s="14"/>
      <c r="G477" s="14"/>
      <c r="H477" s="14"/>
      <c r="I477" s="14"/>
      <c r="J477" s="14"/>
      <c r="K477" s="12"/>
    </row>
    <row r="478" ht="19.5" customHeight="1">
      <c r="A478" s="12"/>
      <c r="B478" s="583"/>
      <c r="C478" s="12"/>
      <c r="D478" s="13"/>
      <c r="F478" s="14"/>
      <c r="G478" s="14"/>
      <c r="H478" s="14"/>
      <c r="I478" s="14"/>
      <c r="J478" s="14"/>
      <c r="K478" s="12"/>
    </row>
    <row r="479" ht="19.5" customHeight="1">
      <c r="A479" s="12"/>
      <c r="B479" s="583"/>
      <c r="C479" s="12"/>
      <c r="D479" s="13"/>
      <c r="F479" s="14"/>
      <c r="G479" s="14"/>
      <c r="H479" s="14"/>
      <c r="I479" s="14"/>
      <c r="J479" s="14"/>
      <c r="K479" s="12"/>
    </row>
    <row r="480" ht="19.5" customHeight="1">
      <c r="A480" s="12"/>
      <c r="B480" s="583"/>
      <c r="C480" s="12"/>
      <c r="D480" s="13"/>
      <c r="F480" s="14"/>
      <c r="G480" s="14"/>
      <c r="H480" s="14"/>
      <c r="I480" s="14"/>
      <c r="J480" s="14"/>
      <c r="K480" s="12"/>
    </row>
    <row r="481" ht="19.5" customHeight="1">
      <c r="A481" s="12"/>
      <c r="B481" s="583"/>
      <c r="C481" s="12"/>
      <c r="D481" s="13"/>
      <c r="F481" s="14"/>
      <c r="G481" s="14"/>
      <c r="H481" s="14"/>
      <c r="I481" s="14"/>
      <c r="J481" s="14"/>
      <c r="K481" s="12"/>
    </row>
    <row r="482" ht="19.5" customHeight="1">
      <c r="A482" s="12"/>
      <c r="B482" s="583"/>
      <c r="C482" s="12"/>
      <c r="D482" s="13"/>
      <c r="F482" s="14"/>
      <c r="G482" s="14"/>
      <c r="H482" s="14"/>
      <c r="I482" s="14"/>
      <c r="J482" s="14"/>
      <c r="K482" s="12"/>
    </row>
    <row r="483" ht="19.5" customHeight="1">
      <c r="A483" s="12"/>
      <c r="B483" s="583"/>
      <c r="C483" s="12"/>
      <c r="D483" s="13"/>
      <c r="F483" s="14"/>
      <c r="G483" s="14"/>
      <c r="H483" s="14"/>
      <c r="I483" s="14"/>
      <c r="J483" s="14"/>
      <c r="K483" s="12"/>
    </row>
    <row r="484" ht="19.5" customHeight="1">
      <c r="A484" s="12"/>
      <c r="B484" s="583"/>
      <c r="C484" s="12"/>
      <c r="D484" s="13"/>
      <c r="F484" s="14"/>
      <c r="G484" s="14"/>
      <c r="H484" s="14"/>
      <c r="I484" s="14"/>
      <c r="J484" s="14"/>
      <c r="K484" s="12"/>
    </row>
    <row r="485" ht="19.5" customHeight="1">
      <c r="A485" s="12"/>
      <c r="B485" s="583"/>
      <c r="C485" s="12"/>
      <c r="D485" s="13"/>
      <c r="F485" s="14"/>
      <c r="G485" s="14"/>
      <c r="H485" s="14"/>
      <c r="I485" s="14"/>
      <c r="J485" s="14"/>
      <c r="K485" s="12"/>
    </row>
    <row r="486" ht="19.5" customHeight="1">
      <c r="A486" s="12"/>
      <c r="B486" s="583"/>
      <c r="C486" s="12"/>
      <c r="D486" s="13"/>
      <c r="F486" s="14"/>
      <c r="G486" s="14"/>
      <c r="H486" s="14"/>
      <c r="I486" s="14"/>
      <c r="J486" s="14"/>
      <c r="K486" s="12"/>
    </row>
    <row r="487" ht="19.5" customHeight="1">
      <c r="A487" s="12"/>
      <c r="B487" s="583"/>
      <c r="C487" s="12"/>
      <c r="D487" s="13"/>
      <c r="F487" s="14"/>
      <c r="G487" s="14"/>
      <c r="H487" s="14"/>
      <c r="I487" s="14"/>
      <c r="J487" s="14"/>
      <c r="K487" s="12"/>
    </row>
    <row r="488" ht="19.5" customHeight="1">
      <c r="A488" s="12"/>
      <c r="B488" s="583"/>
      <c r="C488" s="12"/>
      <c r="D488" s="13"/>
      <c r="F488" s="14"/>
      <c r="G488" s="14"/>
      <c r="H488" s="14"/>
      <c r="I488" s="14"/>
      <c r="J488" s="14"/>
      <c r="K488" s="12"/>
    </row>
    <row r="489" ht="19.5" customHeight="1">
      <c r="A489" s="12"/>
      <c r="B489" s="583"/>
      <c r="C489" s="12"/>
      <c r="D489" s="13"/>
      <c r="F489" s="14"/>
      <c r="G489" s="14"/>
      <c r="H489" s="14"/>
      <c r="I489" s="14"/>
      <c r="J489" s="14"/>
      <c r="K489" s="12"/>
    </row>
    <row r="490" ht="19.5" customHeight="1">
      <c r="A490" s="12"/>
      <c r="B490" s="583"/>
      <c r="C490" s="12"/>
      <c r="D490" s="13"/>
      <c r="F490" s="14"/>
      <c r="G490" s="14"/>
      <c r="H490" s="14"/>
      <c r="I490" s="14"/>
      <c r="J490" s="14"/>
      <c r="K490" s="12"/>
    </row>
    <row r="491" ht="19.5" customHeight="1">
      <c r="A491" s="12"/>
      <c r="B491" s="583"/>
      <c r="C491" s="12"/>
      <c r="D491" s="13"/>
      <c r="F491" s="14"/>
      <c r="G491" s="14"/>
      <c r="H491" s="14"/>
      <c r="I491" s="14"/>
      <c r="J491" s="14"/>
      <c r="K491" s="12"/>
    </row>
    <row r="492" ht="19.5" customHeight="1">
      <c r="A492" s="12"/>
      <c r="B492" s="583"/>
      <c r="C492" s="12"/>
      <c r="D492" s="13"/>
      <c r="F492" s="14"/>
      <c r="G492" s="14"/>
      <c r="H492" s="14"/>
      <c r="I492" s="14"/>
      <c r="J492" s="14"/>
      <c r="K492" s="12"/>
    </row>
    <row r="493" ht="19.5" customHeight="1">
      <c r="A493" s="12"/>
      <c r="B493" s="583"/>
      <c r="C493" s="12"/>
      <c r="D493" s="13"/>
      <c r="F493" s="14"/>
      <c r="G493" s="14"/>
      <c r="H493" s="14"/>
      <c r="I493" s="14"/>
      <c r="J493" s="14"/>
      <c r="K493" s="12"/>
    </row>
    <row r="494" ht="19.5" customHeight="1">
      <c r="A494" s="12"/>
      <c r="B494" s="583"/>
      <c r="C494" s="12"/>
      <c r="D494" s="13"/>
      <c r="F494" s="14"/>
      <c r="G494" s="14"/>
      <c r="H494" s="14"/>
      <c r="I494" s="14"/>
      <c r="J494" s="14"/>
      <c r="K494" s="12"/>
    </row>
    <row r="495" ht="19.5" customHeight="1">
      <c r="A495" s="12"/>
      <c r="B495" s="583"/>
      <c r="C495" s="12"/>
      <c r="D495" s="13"/>
      <c r="F495" s="14"/>
      <c r="G495" s="14"/>
      <c r="H495" s="14"/>
      <c r="I495" s="14"/>
      <c r="J495" s="14"/>
      <c r="K495" s="12"/>
    </row>
    <row r="496" ht="19.5" customHeight="1">
      <c r="A496" s="12"/>
      <c r="B496" s="583"/>
      <c r="C496" s="12"/>
      <c r="D496" s="13"/>
      <c r="F496" s="14"/>
      <c r="G496" s="14"/>
      <c r="H496" s="14"/>
      <c r="I496" s="14"/>
      <c r="J496" s="14"/>
      <c r="K496" s="12"/>
    </row>
    <row r="497" ht="19.5" customHeight="1">
      <c r="A497" s="12"/>
      <c r="B497" s="583"/>
      <c r="C497" s="12"/>
      <c r="D497" s="13"/>
      <c r="F497" s="14"/>
      <c r="G497" s="14"/>
      <c r="H497" s="14"/>
      <c r="I497" s="14"/>
      <c r="J497" s="14"/>
      <c r="K497" s="12"/>
    </row>
    <row r="498" ht="19.5" customHeight="1">
      <c r="A498" s="12"/>
      <c r="B498" s="583"/>
      <c r="C498" s="12"/>
      <c r="D498" s="13"/>
      <c r="F498" s="14"/>
      <c r="G498" s="14"/>
      <c r="H498" s="14"/>
      <c r="I498" s="14"/>
      <c r="J498" s="14"/>
      <c r="K498" s="12"/>
    </row>
    <row r="499" ht="19.5" customHeight="1">
      <c r="A499" s="12"/>
      <c r="B499" s="583"/>
      <c r="C499" s="12"/>
      <c r="D499" s="13"/>
      <c r="F499" s="14"/>
      <c r="G499" s="14"/>
      <c r="H499" s="14"/>
      <c r="I499" s="14"/>
      <c r="J499" s="14"/>
      <c r="K499" s="12"/>
    </row>
    <row r="500" ht="19.5" customHeight="1">
      <c r="A500" s="12"/>
      <c r="B500" s="583"/>
      <c r="C500" s="12"/>
      <c r="D500" s="13"/>
      <c r="F500" s="14"/>
      <c r="G500" s="14"/>
      <c r="H500" s="14"/>
      <c r="I500" s="14"/>
      <c r="J500" s="14"/>
      <c r="K500" s="12"/>
    </row>
    <row r="501" ht="19.5" customHeight="1">
      <c r="A501" s="12"/>
      <c r="B501" s="583"/>
      <c r="C501" s="12"/>
      <c r="D501" s="13"/>
      <c r="F501" s="14"/>
      <c r="G501" s="14"/>
      <c r="H501" s="14"/>
      <c r="I501" s="14"/>
      <c r="J501" s="14"/>
      <c r="K501" s="12"/>
    </row>
    <row r="502" ht="19.5" customHeight="1">
      <c r="A502" s="12"/>
      <c r="B502" s="583"/>
      <c r="C502" s="12"/>
      <c r="D502" s="13"/>
      <c r="F502" s="14"/>
      <c r="G502" s="14"/>
      <c r="H502" s="14"/>
      <c r="I502" s="14"/>
      <c r="J502" s="14"/>
      <c r="K502" s="12"/>
    </row>
    <row r="503" ht="19.5" customHeight="1">
      <c r="A503" s="12"/>
      <c r="B503" s="583"/>
      <c r="C503" s="12"/>
      <c r="D503" s="13"/>
      <c r="F503" s="14"/>
      <c r="G503" s="14"/>
      <c r="H503" s="14"/>
      <c r="I503" s="14"/>
      <c r="J503" s="14"/>
      <c r="K503" s="12"/>
    </row>
    <row r="504" ht="19.5" customHeight="1">
      <c r="A504" s="12"/>
      <c r="B504" s="583"/>
      <c r="C504" s="12"/>
      <c r="D504" s="13"/>
      <c r="F504" s="14"/>
      <c r="G504" s="14"/>
      <c r="H504" s="14"/>
      <c r="I504" s="14"/>
      <c r="J504" s="14"/>
      <c r="K504" s="12"/>
    </row>
    <row r="505" ht="19.5" customHeight="1">
      <c r="A505" s="12"/>
      <c r="B505" s="583"/>
      <c r="C505" s="12"/>
      <c r="D505" s="13"/>
      <c r="F505" s="14"/>
      <c r="G505" s="14"/>
      <c r="H505" s="14"/>
      <c r="I505" s="14"/>
      <c r="J505" s="14"/>
      <c r="K505" s="12"/>
    </row>
    <row r="506" ht="19.5" customHeight="1">
      <c r="A506" s="12"/>
      <c r="B506" s="583"/>
      <c r="C506" s="12"/>
      <c r="D506" s="13"/>
      <c r="F506" s="14"/>
      <c r="G506" s="14"/>
      <c r="H506" s="14"/>
      <c r="I506" s="14"/>
      <c r="J506" s="14"/>
      <c r="K506" s="12"/>
    </row>
    <row r="507" ht="19.5" customHeight="1">
      <c r="A507" s="12"/>
      <c r="B507" s="583"/>
      <c r="C507" s="12"/>
      <c r="D507" s="13"/>
      <c r="F507" s="14"/>
      <c r="G507" s="14"/>
      <c r="H507" s="14"/>
      <c r="I507" s="14"/>
      <c r="J507" s="14"/>
      <c r="K507" s="12"/>
    </row>
    <row r="508" ht="19.5" customHeight="1">
      <c r="A508" s="12"/>
      <c r="B508" s="583"/>
      <c r="C508" s="12"/>
      <c r="D508" s="13"/>
      <c r="F508" s="14"/>
      <c r="G508" s="14"/>
      <c r="H508" s="14"/>
      <c r="I508" s="14"/>
      <c r="J508" s="14"/>
      <c r="K508" s="12"/>
    </row>
    <row r="509" ht="19.5" customHeight="1">
      <c r="A509" s="12"/>
      <c r="B509" s="583"/>
      <c r="C509" s="12"/>
      <c r="D509" s="13"/>
      <c r="F509" s="14"/>
      <c r="G509" s="14"/>
      <c r="H509" s="14"/>
      <c r="I509" s="14"/>
      <c r="J509" s="14"/>
      <c r="K509" s="12"/>
    </row>
    <row r="510" ht="19.5" customHeight="1">
      <c r="A510" s="12"/>
      <c r="B510" s="583"/>
      <c r="C510" s="12"/>
      <c r="D510" s="13"/>
      <c r="F510" s="14"/>
      <c r="G510" s="14"/>
      <c r="H510" s="14"/>
      <c r="I510" s="14"/>
      <c r="J510" s="14"/>
      <c r="K510" s="12"/>
    </row>
    <row r="511" ht="19.5" customHeight="1">
      <c r="A511" s="12"/>
      <c r="B511" s="583"/>
      <c r="C511" s="12"/>
      <c r="D511" s="13"/>
      <c r="F511" s="14"/>
      <c r="G511" s="14"/>
      <c r="H511" s="14"/>
      <c r="I511" s="14"/>
      <c r="J511" s="14"/>
      <c r="K511" s="12"/>
    </row>
    <row r="512" ht="19.5" customHeight="1">
      <c r="A512" s="12"/>
      <c r="B512" s="583"/>
      <c r="C512" s="12"/>
      <c r="D512" s="13"/>
      <c r="F512" s="14"/>
      <c r="G512" s="14"/>
      <c r="H512" s="14"/>
      <c r="I512" s="14"/>
      <c r="J512" s="14"/>
      <c r="K512" s="12"/>
    </row>
    <row r="513" ht="19.5" customHeight="1">
      <c r="A513" s="12"/>
      <c r="B513" s="583"/>
      <c r="C513" s="12"/>
      <c r="D513" s="13"/>
      <c r="F513" s="14"/>
      <c r="G513" s="14"/>
      <c r="H513" s="14"/>
      <c r="I513" s="14"/>
      <c r="J513" s="14"/>
      <c r="K513" s="12"/>
    </row>
    <row r="514" ht="19.5" customHeight="1">
      <c r="A514" s="12"/>
      <c r="B514" s="583"/>
      <c r="C514" s="12"/>
      <c r="D514" s="13"/>
      <c r="F514" s="14"/>
      <c r="G514" s="14"/>
      <c r="H514" s="14"/>
      <c r="I514" s="14"/>
      <c r="J514" s="14"/>
      <c r="K514" s="12"/>
    </row>
    <row r="515" ht="19.5" customHeight="1">
      <c r="A515" s="12"/>
      <c r="B515" s="583"/>
      <c r="C515" s="12"/>
      <c r="D515" s="13"/>
      <c r="F515" s="14"/>
      <c r="G515" s="14"/>
      <c r="H515" s="14"/>
      <c r="I515" s="14"/>
      <c r="J515" s="14"/>
      <c r="K515" s="12"/>
    </row>
    <row r="516" ht="19.5" customHeight="1">
      <c r="A516" s="12"/>
      <c r="B516" s="583"/>
      <c r="C516" s="12"/>
      <c r="D516" s="13"/>
      <c r="F516" s="14"/>
      <c r="G516" s="14"/>
      <c r="H516" s="14"/>
      <c r="I516" s="14"/>
      <c r="J516" s="14"/>
      <c r="K516" s="12"/>
    </row>
    <row r="517" ht="19.5" customHeight="1">
      <c r="A517" s="12"/>
      <c r="B517" s="583"/>
      <c r="C517" s="12"/>
      <c r="D517" s="13"/>
      <c r="F517" s="14"/>
      <c r="G517" s="14"/>
      <c r="H517" s="14"/>
      <c r="I517" s="14"/>
      <c r="J517" s="14"/>
      <c r="K517" s="12"/>
    </row>
    <row r="518" ht="19.5" customHeight="1">
      <c r="A518" s="12"/>
      <c r="B518" s="583"/>
      <c r="C518" s="12"/>
      <c r="D518" s="13"/>
      <c r="F518" s="14"/>
      <c r="G518" s="14"/>
      <c r="H518" s="14"/>
      <c r="I518" s="14"/>
      <c r="J518" s="14"/>
      <c r="K518" s="12"/>
    </row>
    <row r="519" ht="19.5" customHeight="1">
      <c r="A519" s="12"/>
      <c r="B519" s="583"/>
      <c r="C519" s="12"/>
      <c r="D519" s="13"/>
      <c r="F519" s="14"/>
      <c r="G519" s="14"/>
      <c r="H519" s="14"/>
      <c r="I519" s="14"/>
      <c r="J519" s="14"/>
      <c r="K519" s="12"/>
    </row>
    <row r="520" ht="19.5" customHeight="1">
      <c r="A520" s="12"/>
      <c r="B520" s="583"/>
      <c r="C520" s="12"/>
      <c r="D520" s="13"/>
      <c r="F520" s="14"/>
      <c r="G520" s="14"/>
      <c r="H520" s="14"/>
      <c r="I520" s="14"/>
      <c r="J520" s="14"/>
      <c r="K520" s="12"/>
    </row>
    <row r="521" ht="19.5" customHeight="1">
      <c r="A521" s="12"/>
      <c r="B521" s="583"/>
      <c r="C521" s="12"/>
      <c r="D521" s="13"/>
      <c r="F521" s="14"/>
      <c r="G521" s="14"/>
      <c r="H521" s="14"/>
      <c r="I521" s="14"/>
      <c r="J521" s="14"/>
      <c r="K521" s="12"/>
    </row>
    <row r="522" ht="19.5" customHeight="1">
      <c r="A522" s="12"/>
      <c r="B522" s="583"/>
      <c r="C522" s="12"/>
      <c r="D522" s="13"/>
      <c r="F522" s="14"/>
      <c r="G522" s="14"/>
      <c r="H522" s="14"/>
      <c r="I522" s="14"/>
      <c r="J522" s="14"/>
      <c r="K522" s="12"/>
    </row>
    <row r="523" ht="19.5" customHeight="1">
      <c r="A523" s="12"/>
      <c r="B523" s="583"/>
      <c r="C523" s="12"/>
      <c r="D523" s="13"/>
      <c r="F523" s="14"/>
      <c r="G523" s="14"/>
      <c r="H523" s="14"/>
      <c r="I523" s="14"/>
      <c r="J523" s="14"/>
      <c r="K523" s="12"/>
    </row>
    <row r="524" ht="19.5" customHeight="1">
      <c r="A524" s="12"/>
      <c r="B524" s="583"/>
      <c r="C524" s="12"/>
      <c r="D524" s="13"/>
      <c r="F524" s="14"/>
      <c r="G524" s="14"/>
      <c r="H524" s="14"/>
      <c r="I524" s="14"/>
      <c r="J524" s="14"/>
      <c r="K524" s="12"/>
    </row>
    <row r="525" ht="19.5" customHeight="1">
      <c r="A525" s="12"/>
      <c r="B525" s="583"/>
      <c r="C525" s="12"/>
      <c r="D525" s="13"/>
      <c r="F525" s="14"/>
      <c r="G525" s="14"/>
      <c r="H525" s="14"/>
      <c r="I525" s="14"/>
      <c r="J525" s="14"/>
      <c r="K525" s="12"/>
    </row>
    <row r="526" ht="19.5" customHeight="1">
      <c r="A526" s="12"/>
      <c r="B526" s="583"/>
      <c r="C526" s="12"/>
      <c r="D526" s="13"/>
      <c r="F526" s="14"/>
      <c r="G526" s="14"/>
      <c r="H526" s="14"/>
      <c r="I526" s="14"/>
      <c r="J526" s="14"/>
      <c r="K526" s="12"/>
    </row>
    <row r="527" ht="19.5" customHeight="1">
      <c r="A527" s="12"/>
      <c r="B527" s="583"/>
      <c r="C527" s="12"/>
      <c r="D527" s="13"/>
      <c r="F527" s="14"/>
      <c r="G527" s="14"/>
      <c r="H527" s="14"/>
      <c r="I527" s="14"/>
      <c r="J527" s="14"/>
      <c r="K527" s="12"/>
    </row>
    <row r="528" ht="19.5" customHeight="1">
      <c r="A528" s="12"/>
      <c r="B528" s="583"/>
      <c r="C528" s="12"/>
      <c r="D528" s="13"/>
      <c r="F528" s="14"/>
      <c r="G528" s="14"/>
      <c r="H528" s="14"/>
      <c r="I528" s="14"/>
      <c r="J528" s="14"/>
      <c r="K528" s="12"/>
    </row>
    <row r="529" ht="19.5" customHeight="1">
      <c r="A529" s="12"/>
      <c r="B529" s="583"/>
      <c r="C529" s="12"/>
      <c r="D529" s="13"/>
      <c r="F529" s="14"/>
      <c r="G529" s="14"/>
      <c r="H529" s="14"/>
      <c r="I529" s="14"/>
      <c r="J529" s="14"/>
      <c r="K529" s="12"/>
    </row>
    <row r="530" ht="19.5" customHeight="1">
      <c r="A530" s="12"/>
      <c r="B530" s="583"/>
      <c r="C530" s="12"/>
      <c r="D530" s="13"/>
      <c r="F530" s="14"/>
      <c r="G530" s="14"/>
      <c r="H530" s="14"/>
      <c r="I530" s="14"/>
      <c r="J530" s="14"/>
      <c r="K530" s="12"/>
    </row>
    <row r="531" ht="19.5" customHeight="1">
      <c r="A531" s="12"/>
      <c r="B531" s="583"/>
      <c r="C531" s="12"/>
      <c r="D531" s="13"/>
      <c r="F531" s="14"/>
      <c r="G531" s="14"/>
      <c r="H531" s="14"/>
      <c r="I531" s="14"/>
      <c r="J531" s="14"/>
      <c r="K531" s="12"/>
    </row>
    <row r="532" ht="19.5" customHeight="1">
      <c r="A532" s="12"/>
      <c r="B532" s="583"/>
      <c r="C532" s="12"/>
      <c r="D532" s="13"/>
      <c r="F532" s="14"/>
      <c r="G532" s="14"/>
      <c r="H532" s="14"/>
      <c r="I532" s="14"/>
      <c r="J532" s="14"/>
      <c r="K532" s="12"/>
    </row>
    <row r="533" ht="19.5" customHeight="1">
      <c r="A533" s="12"/>
      <c r="B533" s="583"/>
      <c r="C533" s="12"/>
      <c r="D533" s="13"/>
      <c r="F533" s="14"/>
      <c r="G533" s="14"/>
      <c r="H533" s="14"/>
      <c r="I533" s="14"/>
      <c r="J533" s="14"/>
      <c r="K533" s="12"/>
    </row>
    <row r="534" ht="19.5" customHeight="1">
      <c r="A534" s="12"/>
      <c r="B534" s="583"/>
      <c r="C534" s="12"/>
      <c r="D534" s="13"/>
      <c r="F534" s="14"/>
      <c r="G534" s="14"/>
      <c r="H534" s="14"/>
      <c r="I534" s="14"/>
      <c r="J534" s="14"/>
      <c r="K534" s="12"/>
    </row>
    <row r="535" ht="19.5" customHeight="1">
      <c r="A535" s="12"/>
      <c r="B535" s="583"/>
      <c r="C535" s="12"/>
      <c r="D535" s="13"/>
      <c r="F535" s="14"/>
      <c r="G535" s="14"/>
      <c r="H535" s="14"/>
      <c r="I535" s="14"/>
      <c r="J535" s="14"/>
      <c r="K535" s="12"/>
    </row>
    <row r="536" ht="19.5" customHeight="1">
      <c r="A536" s="12"/>
      <c r="B536" s="583"/>
      <c r="C536" s="12"/>
      <c r="D536" s="13"/>
      <c r="F536" s="14"/>
      <c r="G536" s="14"/>
      <c r="H536" s="14"/>
      <c r="I536" s="14"/>
      <c r="J536" s="14"/>
      <c r="K536" s="12"/>
    </row>
    <row r="537" ht="19.5" customHeight="1">
      <c r="A537" s="12"/>
      <c r="B537" s="583"/>
      <c r="C537" s="12"/>
      <c r="D537" s="13"/>
      <c r="F537" s="14"/>
      <c r="G537" s="14"/>
      <c r="H537" s="14"/>
      <c r="I537" s="14"/>
      <c r="J537" s="14"/>
      <c r="K537" s="12"/>
    </row>
    <row r="538" ht="19.5" customHeight="1">
      <c r="A538" s="12"/>
      <c r="B538" s="583"/>
      <c r="C538" s="12"/>
      <c r="D538" s="13"/>
      <c r="F538" s="14"/>
      <c r="G538" s="14"/>
      <c r="H538" s="14"/>
      <c r="I538" s="14"/>
      <c r="J538" s="14"/>
      <c r="K538" s="12"/>
    </row>
    <row r="539" ht="19.5" customHeight="1">
      <c r="A539" s="12"/>
      <c r="B539" s="583"/>
      <c r="C539" s="12"/>
      <c r="D539" s="13"/>
      <c r="F539" s="14"/>
      <c r="G539" s="14"/>
      <c r="H539" s="14"/>
      <c r="I539" s="14"/>
      <c r="J539" s="14"/>
      <c r="K539" s="12"/>
    </row>
    <row r="540" ht="19.5" customHeight="1">
      <c r="A540" s="12"/>
      <c r="B540" s="583"/>
      <c r="C540" s="12"/>
      <c r="D540" s="13"/>
      <c r="F540" s="14"/>
      <c r="G540" s="14"/>
      <c r="H540" s="14"/>
      <c r="I540" s="14"/>
      <c r="J540" s="14"/>
      <c r="K540" s="12"/>
    </row>
    <row r="541" ht="19.5" customHeight="1">
      <c r="A541" s="12"/>
      <c r="B541" s="583"/>
      <c r="C541" s="12"/>
      <c r="D541" s="13"/>
      <c r="F541" s="14"/>
      <c r="G541" s="14"/>
      <c r="H541" s="14"/>
      <c r="I541" s="14"/>
      <c r="J541" s="14"/>
      <c r="K541" s="12"/>
    </row>
    <row r="542" ht="19.5" customHeight="1">
      <c r="A542" s="12"/>
      <c r="B542" s="583"/>
      <c r="C542" s="12"/>
      <c r="D542" s="13"/>
      <c r="F542" s="14"/>
      <c r="G542" s="14"/>
      <c r="H542" s="14"/>
      <c r="I542" s="14"/>
      <c r="J542" s="14"/>
      <c r="K542" s="12"/>
    </row>
    <row r="543" ht="19.5" customHeight="1">
      <c r="A543" s="12"/>
      <c r="B543" s="583"/>
      <c r="C543" s="12"/>
      <c r="D543" s="13"/>
      <c r="F543" s="14"/>
      <c r="G543" s="14"/>
      <c r="H543" s="14"/>
      <c r="I543" s="14"/>
      <c r="J543" s="14"/>
      <c r="K543" s="12"/>
    </row>
    <row r="544" ht="19.5" customHeight="1">
      <c r="A544" s="12"/>
      <c r="B544" s="583"/>
      <c r="C544" s="12"/>
      <c r="D544" s="13"/>
      <c r="F544" s="14"/>
      <c r="G544" s="14"/>
      <c r="H544" s="14"/>
      <c r="I544" s="14"/>
      <c r="J544" s="14"/>
      <c r="K544" s="12"/>
    </row>
    <row r="545" ht="19.5" customHeight="1">
      <c r="A545" s="12"/>
      <c r="B545" s="583"/>
      <c r="C545" s="12"/>
      <c r="D545" s="13"/>
      <c r="F545" s="14"/>
      <c r="G545" s="14"/>
      <c r="H545" s="14"/>
      <c r="I545" s="14"/>
      <c r="J545" s="14"/>
      <c r="K545" s="12"/>
    </row>
    <row r="546" ht="19.5" customHeight="1">
      <c r="A546" s="12"/>
      <c r="B546" s="583"/>
      <c r="C546" s="12"/>
      <c r="D546" s="13"/>
      <c r="F546" s="14"/>
      <c r="G546" s="14"/>
      <c r="H546" s="14"/>
      <c r="I546" s="14"/>
      <c r="J546" s="14"/>
      <c r="K546" s="12"/>
    </row>
    <row r="547" ht="19.5" customHeight="1">
      <c r="A547" s="12"/>
      <c r="B547" s="583"/>
      <c r="C547" s="12"/>
      <c r="D547" s="13"/>
      <c r="F547" s="14"/>
      <c r="G547" s="14"/>
      <c r="H547" s="14"/>
      <c r="I547" s="14"/>
      <c r="J547" s="14"/>
      <c r="K547" s="12"/>
    </row>
    <row r="548" ht="19.5" customHeight="1">
      <c r="A548" s="12"/>
      <c r="B548" s="583"/>
      <c r="C548" s="12"/>
      <c r="D548" s="13"/>
      <c r="F548" s="14"/>
      <c r="G548" s="14"/>
      <c r="H548" s="14"/>
      <c r="I548" s="14"/>
      <c r="J548" s="14"/>
      <c r="K548" s="12"/>
    </row>
    <row r="549" ht="19.5" customHeight="1">
      <c r="A549" s="12"/>
      <c r="B549" s="583"/>
      <c r="C549" s="12"/>
      <c r="D549" s="13"/>
      <c r="F549" s="14"/>
      <c r="G549" s="14"/>
      <c r="H549" s="14"/>
      <c r="I549" s="14"/>
      <c r="J549" s="14"/>
      <c r="K549" s="12"/>
    </row>
    <row r="550" ht="19.5" customHeight="1">
      <c r="A550" s="12"/>
      <c r="B550" s="583"/>
      <c r="C550" s="12"/>
      <c r="D550" s="13"/>
      <c r="F550" s="14"/>
      <c r="G550" s="14"/>
      <c r="H550" s="14"/>
      <c r="I550" s="14"/>
      <c r="J550" s="14"/>
      <c r="K550" s="12"/>
    </row>
    <row r="551" ht="19.5" customHeight="1">
      <c r="A551" s="12"/>
      <c r="B551" s="583"/>
      <c r="C551" s="12"/>
      <c r="D551" s="13"/>
      <c r="F551" s="14"/>
      <c r="G551" s="14"/>
      <c r="H551" s="14"/>
      <c r="I551" s="14"/>
      <c r="J551" s="14"/>
      <c r="K551" s="12"/>
    </row>
    <row r="552" ht="19.5" customHeight="1">
      <c r="A552" s="12"/>
      <c r="B552" s="583"/>
      <c r="C552" s="12"/>
      <c r="D552" s="13"/>
      <c r="F552" s="14"/>
      <c r="G552" s="14"/>
      <c r="H552" s="14"/>
      <c r="I552" s="14"/>
      <c r="J552" s="14"/>
      <c r="K552" s="12"/>
    </row>
    <row r="553" ht="19.5" customHeight="1">
      <c r="A553" s="12"/>
      <c r="B553" s="583"/>
      <c r="C553" s="12"/>
      <c r="D553" s="13"/>
      <c r="F553" s="14"/>
      <c r="G553" s="14"/>
      <c r="H553" s="14"/>
      <c r="I553" s="14"/>
      <c r="J553" s="14"/>
      <c r="K553" s="12"/>
    </row>
    <row r="554" ht="19.5" customHeight="1">
      <c r="A554" s="12"/>
      <c r="B554" s="583"/>
      <c r="C554" s="12"/>
      <c r="D554" s="13"/>
      <c r="F554" s="14"/>
      <c r="G554" s="14"/>
      <c r="H554" s="14"/>
      <c r="I554" s="14"/>
      <c r="J554" s="14"/>
      <c r="K554" s="12"/>
    </row>
    <row r="555" ht="19.5" customHeight="1">
      <c r="A555" s="12"/>
      <c r="B555" s="583"/>
      <c r="C555" s="12"/>
      <c r="D555" s="13"/>
      <c r="F555" s="14"/>
      <c r="G555" s="14"/>
      <c r="H555" s="14"/>
      <c r="I555" s="14"/>
      <c r="J555" s="14"/>
      <c r="K555" s="12"/>
    </row>
    <row r="556" ht="19.5" customHeight="1">
      <c r="A556" s="12"/>
      <c r="B556" s="583"/>
      <c r="C556" s="12"/>
      <c r="D556" s="13"/>
      <c r="F556" s="14"/>
      <c r="G556" s="14"/>
      <c r="H556" s="14"/>
      <c r="I556" s="14"/>
      <c r="J556" s="14"/>
      <c r="K556" s="12"/>
    </row>
    <row r="557" ht="19.5" customHeight="1">
      <c r="A557" s="12"/>
      <c r="B557" s="583"/>
      <c r="C557" s="12"/>
      <c r="D557" s="13"/>
      <c r="F557" s="14"/>
      <c r="G557" s="14"/>
      <c r="H557" s="14"/>
      <c r="I557" s="14"/>
      <c r="J557" s="14"/>
      <c r="K557" s="12"/>
    </row>
    <row r="558" ht="19.5" customHeight="1">
      <c r="A558" s="12"/>
      <c r="B558" s="583"/>
      <c r="C558" s="12"/>
      <c r="D558" s="13"/>
      <c r="F558" s="14"/>
      <c r="G558" s="14"/>
      <c r="H558" s="14"/>
      <c r="I558" s="14"/>
      <c r="J558" s="14"/>
      <c r="K558" s="12"/>
    </row>
    <row r="559" ht="19.5" customHeight="1">
      <c r="A559" s="12"/>
      <c r="B559" s="583"/>
      <c r="C559" s="12"/>
      <c r="D559" s="13"/>
      <c r="F559" s="14"/>
      <c r="G559" s="14"/>
      <c r="H559" s="14"/>
      <c r="I559" s="14"/>
      <c r="J559" s="14"/>
      <c r="K559" s="12"/>
    </row>
    <row r="560" ht="19.5" customHeight="1">
      <c r="A560" s="12"/>
      <c r="B560" s="583"/>
      <c r="C560" s="12"/>
      <c r="D560" s="13"/>
      <c r="F560" s="14"/>
      <c r="G560" s="14"/>
      <c r="H560" s="14"/>
      <c r="I560" s="14"/>
      <c r="J560" s="14"/>
      <c r="K560" s="12"/>
    </row>
    <row r="561" ht="19.5" customHeight="1">
      <c r="A561" s="12"/>
      <c r="B561" s="583"/>
      <c r="C561" s="12"/>
      <c r="D561" s="13"/>
      <c r="F561" s="14"/>
      <c r="G561" s="14"/>
      <c r="H561" s="14"/>
      <c r="I561" s="14"/>
      <c r="J561" s="14"/>
      <c r="K561" s="12"/>
    </row>
    <row r="562" ht="19.5" customHeight="1">
      <c r="A562" s="12"/>
      <c r="B562" s="583"/>
      <c r="C562" s="12"/>
      <c r="D562" s="13"/>
      <c r="F562" s="14"/>
      <c r="G562" s="14"/>
      <c r="H562" s="14"/>
      <c r="I562" s="14"/>
      <c r="J562" s="14"/>
      <c r="K562" s="12"/>
    </row>
    <row r="563" ht="19.5" customHeight="1">
      <c r="A563" s="12"/>
      <c r="B563" s="583"/>
      <c r="C563" s="12"/>
      <c r="D563" s="13"/>
      <c r="F563" s="14"/>
      <c r="G563" s="14"/>
      <c r="H563" s="14"/>
      <c r="I563" s="14"/>
      <c r="J563" s="14"/>
      <c r="K563" s="12"/>
    </row>
    <row r="564" ht="19.5" customHeight="1">
      <c r="A564" s="12"/>
      <c r="B564" s="583"/>
      <c r="C564" s="12"/>
      <c r="D564" s="13"/>
      <c r="F564" s="14"/>
      <c r="G564" s="14"/>
      <c r="H564" s="14"/>
      <c r="I564" s="14"/>
      <c r="J564" s="14"/>
      <c r="K564" s="12"/>
    </row>
    <row r="565" ht="19.5" customHeight="1">
      <c r="A565" s="12"/>
      <c r="B565" s="583"/>
      <c r="C565" s="12"/>
      <c r="D565" s="13"/>
      <c r="F565" s="14"/>
      <c r="G565" s="14"/>
      <c r="H565" s="14"/>
      <c r="I565" s="14"/>
      <c r="J565" s="14"/>
      <c r="K565" s="12"/>
    </row>
    <row r="566" ht="19.5" customHeight="1">
      <c r="A566" s="12"/>
      <c r="B566" s="583"/>
      <c r="C566" s="12"/>
      <c r="D566" s="13"/>
      <c r="F566" s="14"/>
      <c r="G566" s="14"/>
      <c r="H566" s="14"/>
      <c r="I566" s="14"/>
      <c r="J566" s="14"/>
      <c r="K566" s="12"/>
    </row>
    <row r="567" ht="19.5" customHeight="1">
      <c r="A567" s="12"/>
      <c r="B567" s="583"/>
      <c r="C567" s="12"/>
      <c r="D567" s="13"/>
      <c r="F567" s="14"/>
      <c r="G567" s="14"/>
      <c r="H567" s="14"/>
      <c r="I567" s="14"/>
      <c r="J567" s="14"/>
      <c r="K567" s="12"/>
    </row>
    <row r="568" ht="19.5" customHeight="1">
      <c r="A568" s="12"/>
      <c r="B568" s="583"/>
      <c r="C568" s="12"/>
      <c r="D568" s="13"/>
      <c r="F568" s="14"/>
      <c r="G568" s="14"/>
      <c r="H568" s="14"/>
      <c r="I568" s="14"/>
      <c r="J568" s="14"/>
      <c r="K568" s="12"/>
    </row>
    <row r="569" ht="19.5" customHeight="1">
      <c r="A569" s="12"/>
      <c r="B569" s="583"/>
      <c r="C569" s="12"/>
      <c r="D569" s="13"/>
      <c r="F569" s="14"/>
      <c r="G569" s="14"/>
      <c r="H569" s="14"/>
      <c r="I569" s="14"/>
      <c r="J569" s="14"/>
      <c r="K569" s="12"/>
    </row>
    <row r="570" ht="19.5" customHeight="1">
      <c r="A570" s="12"/>
      <c r="B570" s="583"/>
      <c r="C570" s="12"/>
      <c r="D570" s="13"/>
      <c r="F570" s="14"/>
      <c r="G570" s="14"/>
      <c r="H570" s="14"/>
      <c r="I570" s="14"/>
      <c r="J570" s="14"/>
      <c r="K570" s="12"/>
    </row>
    <row r="571" ht="19.5" customHeight="1">
      <c r="A571" s="12"/>
      <c r="B571" s="583"/>
      <c r="C571" s="12"/>
      <c r="D571" s="13"/>
      <c r="F571" s="14"/>
      <c r="G571" s="14"/>
      <c r="H571" s="14"/>
      <c r="I571" s="14"/>
      <c r="J571" s="14"/>
      <c r="K571" s="12"/>
    </row>
    <row r="572" ht="19.5" customHeight="1">
      <c r="A572" s="12"/>
      <c r="B572" s="583"/>
      <c r="C572" s="12"/>
      <c r="D572" s="13"/>
      <c r="F572" s="14"/>
      <c r="G572" s="14"/>
      <c r="H572" s="14"/>
      <c r="I572" s="14"/>
      <c r="J572" s="14"/>
      <c r="K572" s="12"/>
    </row>
    <row r="573" ht="19.5" customHeight="1">
      <c r="A573" s="12"/>
      <c r="B573" s="583"/>
      <c r="C573" s="12"/>
      <c r="D573" s="13"/>
      <c r="F573" s="14"/>
      <c r="G573" s="14"/>
      <c r="H573" s="14"/>
      <c r="I573" s="14"/>
      <c r="J573" s="14"/>
      <c r="K573" s="12"/>
    </row>
    <row r="574" ht="19.5" customHeight="1">
      <c r="A574" s="12"/>
      <c r="B574" s="583"/>
      <c r="C574" s="12"/>
      <c r="D574" s="13"/>
      <c r="F574" s="14"/>
      <c r="G574" s="14"/>
      <c r="H574" s="14"/>
      <c r="I574" s="14"/>
      <c r="J574" s="14"/>
      <c r="K574" s="12"/>
    </row>
    <row r="575" ht="19.5" customHeight="1">
      <c r="A575" s="12"/>
      <c r="B575" s="583"/>
      <c r="C575" s="12"/>
      <c r="D575" s="13"/>
      <c r="F575" s="14"/>
      <c r="G575" s="14"/>
      <c r="H575" s="14"/>
      <c r="I575" s="14"/>
      <c r="J575" s="14"/>
      <c r="K575" s="12"/>
    </row>
    <row r="576" ht="19.5" customHeight="1">
      <c r="A576" s="12"/>
      <c r="B576" s="583"/>
      <c r="C576" s="12"/>
      <c r="D576" s="13"/>
      <c r="F576" s="14"/>
      <c r="G576" s="14"/>
      <c r="H576" s="14"/>
      <c r="I576" s="14"/>
      <c r="J576" s="14"/>
      <c r="K576" s="12"/>
    </row>
    <row r="577" ht="19.5" customHeight="1">
      <c r="A577" s="12"/>
      <c r="B577" s="583"/>
      <c r="C577" s="12"/>
      <c r="D577" s="13"/>
      <c r="F577" s="14"/>
      <c r="G577" s="14"/>
      <c r="H577" s="14"/>
      <c r="I577" s="14"/>
      <c r="J577" s="14"/>
      <c r="K577" s="12"/>
    </row>
    <row r="578" ht="19.5" customHeight="1">
      <c r="A578" s="12"/>
      <c r="B578" s="583"/>
      <c r="C578" s="12"/>
      <c r="D578" s="13"/>
      <c r="F578" s="14"/>
      <c r="G578" s="14"/>
      <c r="H578" s="14"/>
      <c r="I578" s="14"/>
      <c r="J578" s="14"/>
      <c r="K578" s="12"/>
    </row>
    <row r="579" ht="19.5" customHeight="1">
      <c r="A579" s="12"/>
      <c r="B579" s="583"/>
      <c r="C579" s="12"/>
      <c r="D579" s="13"/>
      <c r="F579" s="14"/>
      <c r="G579" s="14"/>
      <c r="H579" s="14"/>
      <c r="I579" s="14"/>
      <c r="J579" s="14"/>
      <c r="K579" s="12"/>
    </row>
    <row r="580" ht="19.5" customHeight="1">
      <c r="A580" s="12"/>
      <c r="B580" s="583"/>
      <c r="C580" s="12"/>
      <c r="D580" s="13"/>
      <c r="F580" s="14"/>
      <c r="G580" s="14"/>
      <c r="H580" s="14"/>
      <c r="I580" s="14"/>
      <c r="J580" s="14"/>
      <c r="K580" s="12"/>
    </row>
    <row r="581" ht="19.5" customHeight="1">
      <c r="A581" s="12"/>
      <c r="B581" s="583"/>
      <c r="C581" s="12"/>
      <c r="D581" s="13"/>
      <c r="F581" s="14"/>
      <c r="G581" s="14"/>
      <c r="H581" s="14"/>
      <c r="I581" s="14"/>
      <c r="J581" s="14"/>
      <c r="K581" s="12"/>
    </row>
    <row r="582" ht="19.5" customHeight="1">
      <c r="A582" s="12"/>
      <c r="B582" s="583"/>
      <c r="C582" s="12"/>
      <c r="D582" s="13"/>
      <c r="F582" s="14"/>
      <c r="G582" s="14"/>
      <c r="H582" s="14"/>
      <c r="I582" s="14"/>
      <c r="J582" s="14"/>
      <c r="K582" s="12"/>
    </row>
    <row r="583" ht="19.5" customHeight="1">
      <c r="A583" s="12"/>
      <c r="B583" s="583"/>
      <c r="C583" s="12"/>
      <c r="D583" s="13"/>
      <c r="F583" s="14"/>
      <c r="G583" s="14"/>
      <c r="H583" s="14"/>
      <c r="I583" s="14"/>
      <c r="J583" s="14"/>
      <c r="K583" s="12"/>
    </row>
    <row r="584" ht="19.5" customHeight="1">
      <c r="A584" s="12"/>
      <c r="B584" s="583"/>
      <c r="C584" s="12"/>
      <c r="D584" s="13"/>
      <c r="F584" s="14"/>
      <c r="G584" s="14"/>
      <c r="H584" s="14"/>
      <c r="I584" s="14"/>
      <c r="J584" s="14"/>
      <c r="K584" s="12"/>
    </row>
    <row r="585" ht="19.5" customHeight="1">
      <c r="A585" s="12"/>
      <c r="B585" s="583"/>
      <c r="C585" s="12"/>
      <c r="D585" s="13"/>
      <c r="F585" s="14"/>
      <c r="G585" s="14"/>
      <c r="H585" s="14"/>
      <c r="I585" s="14"/>
      <c r="J585" s="14"/>
      <c r="K585" s="12"/>
    </row>
    <row r="586" ht="19.5" customHeight="1">
      <c r="A586" s="12"/>
      <c r="B586" s="583"/>
      <c r="C586" s="12"/>
      <c r="D586" s="13"/>
      <c r="F586" s="14"/>
      <c r="G586" s="14"/>
      <c r="H586" s="14"/>
      <c r="I586" s="14"/>
      <c r="J586" s="14"/>
      <c r="K586" s="12"/>
    </row>
    <row r="587" ht="19.5" customHeight="1">
      <c r="A587" s="12"/>
      <c r="B587" s="583"/>
      <c r="C587" s="12"/>
      <c r="D587" s="13"/>
      <c r="F587" s="14"/>
      <c r="G587" s="14"/>
      <c r="H587" s="14"/>
      <c r="I587" s="14"/>
      <c r="J587" s="14"/>
      <c r="K587" s="12"/>
    </row>
    <row r="588" ht="19.5" customHeight="1">
      <c r="A588" s="12"/>
      <c r="B588" s="583"/>
      <c r="C588" s="12"/>
      <c r="D588" s="13"/>
      <c r="F588" s="14"/>
      <c r="G588" s="14"/>
      <c r="H588" s="14"/>
      <c r="I588" s="14"/>
      <c r="J588" s="14"/>
      <c r="K588" s="12"/>
    </row>
    <row r="589" ht="19.5" customHeight="1">
      <c r="A589" s="12"/>
      <c r="B589" s="583"/>
      <c r="C589" s="12"/>
      <c r="D589" s="13"/>
      <c r="F589" s="14"/>
      <c r="G589" s="14"/>
      <c r="H589" s="14"/>
      <c r="I589" s="14"/>
      <c r="J589" s="14"/>
      <c r="K589" s="12"/>
    </row>
    <row r="590" ht="19.5" customHeight="1">
      <c r="A590" s="12"/>
      <c r="B590" s="583"/>
      <c r="C590" s="12"/>
      <c r="D590" s="13"/>
      <c r="F590" s="14"/>
      <c r="G590" s="14"/>
      <c r="H590" s="14"/>
      <c r="I590" s="14"/>
      <c r="J590" s="14"/>
      <c r="K590" s="12"/>
    </row>
    <row r="591" ht="19.5" customHeight="1">
      <c r="A591" s="12"/>
      <c r="B591" s="583"/>
      <c r="C591" s="12"/>
      <c r="D591" s="13"/>
      <c r="F591" s="14"/>
      <c r="G591" s="14"/>
      <c r="H591" s="14"/>
      <c r="I591" s="14"/>
      <c r="J591" s="14"/>
      <c r="K591" s="12"/>
    </row>
    <row r="592" ht="19.5" customHeight="1">
      <c r="A592" s="12"/>
      <c r="B592" s="583"/>
      <c r="C592" s="12"/>
      <c r="D592" s="13"/>
      <c r="F592" s="14"/>
      <c r="G592" s="14"/>
      <c r="H592" s="14"/>
      <c r="I592" s="14"/>
      <c r="J592" s="14"/>
      <c r="K592" s="12"/>
    </row>
    <row r="593" ht="19.5" customHeight="1">
      <c r="A593" s="12"/>
      <c r="B593" s="583"/>
      <c r="C593" s="12"/>
      <c r="D593" s="13"/>
      <c r="F593" s="14"/>
      <c r="G593" s="14"/>
      <c r="H593" s="14"/>
      <c r="I593" s="14"/>
      <c r="J593" s="14"/>
      <c r="K593" s="12"/>
    </row>
    <row r="594" ht="19.5" customHeight="1">
      <c r="A594" s="12"/>
      <c r="B594" s="583"/>
      <c r="C594" s="12"/>
      <c r="D594" s="13"/>
      <c r="F594" s="14"/>
      <c r="G594" s="14"/>
      <c r="H594" s="14"/>
      <c r="I594" s="14"/>
      <c r="J594" s="14"/>
      <c r="K594" s="12"/>
    </row>
    <row r="595" ht="19.5" customHeight="1">
      <c r="A595" s="12"/>
      <c r="B595" s="583"/>
      <c r="C595" s="12"/>
      <c r="D595" s="13"/>
      <c r="F595" s="14"/>
      <c r="G595" s="14"/>
      <c r="H595" s="14"/>
      <c r="I595" s="14"/>
      <c r="J595" s="14"/>
      <c r="K595" s="12"/>
    </row>
    <row r="596" ht="19.5" customHeight="1">
      <c r="A596" s="12"/>
      <c r="B596" s="583"/>
      <c r="C596" s="12"/>
      <c r="D596" s="13"/>
      <c r="F596" s="14"/>
      <c r="G596" s="14"/>
      <c r="H596" s="14"/>
      <c r="I596" s="14"/>
      <c r="J596" s="14"/>
      <c r="K596" s="12"/>
    </row>
    <row r="597" ht="19.5" customHeight="1">
      <c r="A597" s="12"/>
      <c r="B597" s="583"/>
      <c r="C597" s="12"/>
      <c r="D597" s="13"/>
      <c r="F597" s="14"/>
      <c r="G597" s="14"/>
      <c r="H597" s="14"/>
      <c r="I597" s="14"/>
      <c r="J597" s="14"/>
      <c r="K597" s="12"/>
    </row>
    <row r="598" ht="19.5" customHeight="1">
      <c r="A598" s="12"/>
      <c r="B598" s="583"/>
      <c r="C598" s="12"/>
      <c r="D598" s="13"/>
      <c r="F598" s="14"/>
      <c r="G598" s="14"/>
      <c r="H598" s="14"/>
      <c r="I598" s="14"/>
      <c r="J598" s="14"/>
      <c r="K598" s="12"/>
    </row>
    <row r="599" ht="19.5" customHeight="1">
      <c r="A599" s="12"/>
      <c r="B599" s="583"/>
      <c r="C599" s="12"/>
      <c r="D599" s="13"/>
      <c r="F599" s="14"/>
      <c r="G599" s="14"/>
      <c r="H599" s="14"/>
      <c r="I599" s="14"/>
      <c r="J599" s="14"/>
      <c r="K599" s="12"/>
    </row>
    <row r="600" ht="19.5" customHeight="1">
      <c r="A600" s="12"/>
      <c r="B600" s="583"/>
      <c r="C600" s="12"/>
      <c r="D600" s="13"/>
      <c r="F600" s="14"/>
      <c r="G600" s="14"/>
      <c r="H600" s="14"/>
      <c r="I600" s="14"/>
      <c r="J600" s="14"/>
      <c r="K600" s="12"/>
    </row>
    <row r="601" ht="19.5" customHeight="1">
      <c r="A601" s="12"/>
      <c r="B601" s="583"/>
      <c r="C601" s="12"/>
      <c r="D601" s="13"/>
      <c r="F601" s="14"/>
      <c r="G601" s="14"/>
      <c r="H601" s="14"/>
      <c r="I601" s="14"/>
      <c r="J601" s="14"/>
      <c r="K601" s="12"/>
    </row>
    <row r="602" ht="19.5" customHeight="1">
      <c r="A602" s="12"/>
      <c r="B602" s="583"/>
      <c r="C602" s="12"/>
      <c r="D602" s="13"/>
      <c r="F602" s="14"/>
      <c r="G602" s="14"/>
      <c r="H602" s="14"/>
      <c r="I602" s="14"/>
      <c r="J602" s="14"/>
      <c r="K602" s="12"/>
    </row>
    <row r="603" ht="19.5" customHeight="1">
      <c r="A603" s="12"/>
      <c r="B603" s="583"/>
      <c r="C603" s="12"/>
      <c r="D603" s="13"/>
      <c r="F603" s="14"/>
      <c r="G603" s="14"/>
      <c r="H603" s="14"/>
      <c r="I603" s="14"/>
      <c r="J603" s="14"/>
      <c r="K603" s="12"/>
    </row>
    <row r="604" ht="19.5" customHeight="1">
      <c r="A604" s="12"/>
      <c r="B604" s="583"/>
      <c r="C604" s="12"/>
      <c r="D604" s="13"/>
      <c r="F604" s="14"/>
      <c r="G604" s="14"/>
      <c r="H604" s="14"/>
      <c r="I604" s="14"/>
      <c r="J604" s="14"/>
      <c r="K604" s="12"/>
    </row>
    <row r="605" ht="19.5" customHeight="1">
      <c r="A605" s="12"/>
      <c r="B605" s="583"/>
      <c r="C605" s="12"/>
      <c r="D605" s="13"/>
      <c r="F605" s="14"/>
      <c r="G605" s="14"/>
      <c r="H605" s="14"/>
      <c r="I605" s="14"/>
      <c r="J605" s="14"/>
      <c r="K605" s="12"/>
    </row>
    <row r="606" ht="19.5" customHeight="1">
      <c r="A606" s="12"/>
      <c r="B606" s="583"/>
      <c r="C606" s="12"/>
      <c r="D606" s="13"/>
      <c r="F606" s="14"/>
      <c r="G606" s="14"/>
      <c r="H606" s="14"/>
      <c r="I606" s="14"/>
      <c r="J606" s="14"/>
      <c r="K606" s="12"/>
    </row>
    <row r="607" ht="19.5" customHeight="1">
      <c r="A607" s="12"/>
      <c r="B607" s="583"/>
      <c r="C607" s="12"/>
      <c r="D607" s="13"/>
      <c r="F607" s="14"/>
      <c r="G607" s="14"/>
      <c r="H607" s="14"/>
      <c r="I607" s="14"/>
      <c r="J607" s="14"/>
      <c r="K607" s="12"/>
    </row>
    <row r="608" ht="19.5" customHeight="1">
      <c r="A608" s="12"/>
      <c r="B608" s="583"/>
      <c r="C608" s="12"/>
      <c r="D608" s="13"/>
      <c r="F608" s="14"/>
      <c r="G608" s="14"/>
      <c r="H608" s="14"/>
      <c r="I608" s="14"/>
      <c r="J608" s="14"/>
      <c r="K608" s="12"/>
    </row>
    <row r="609" ht="19.5" customHeight="1">
      <c r="A609" s="12"/>
      <c r="B609" s="583"/>
      <c r="C609" s="12"/>
      <c r="D609" s="13"/>
      <c r="F609" s="14"/>
      <c r="G609" s="14"/>
      <c r="H609" s="14"/>
      <c r="I609" s="14"/>
      <c r="J609" s="14"/>
      <c r="K609" s="12"/>
    </row>
    <row r="610" ht="19.5" customHeight="1">
      <c r="A610" s="12"/>
      <c r="B610" s="583"/>
      <c r="C610" s="12"/>
      <c r="D610" s="13"/>
      <c r="F610" s="14"/>
      <c r="G610" s="14"/>
      <c r="H610" s="14"/>
      <c r="I610" s="14"/>
      <c r="J610" s="14"/>
      <c r="K610" s="12"/>
    </row>
    <row r="611" ht="19.5" customHeight="1">
      <c r="A611" s="12"/>
      <c r="B611" s="583"/>
      <c r="C611" s="12"/>
      <c r="D611" s="13"/>
      <c r="F611" s="14"/>
      <c r="G611" s="14"/>
      <c r="H611" s="14"/>
      <c r="I611" s="14"/>
      <c r="J611" s="14"/>
      <c r="K611" s="12"/>
    </row>
    <row r="612" ht="19.5" customHeight="1">
      <c r="A612" s="12"/>
      <c r="B612" s="583"/>
      <c r="C612" s="12"/>
      <c r="D612" s="13"/>
      <c r="F612" s="14"/>
      <c r="G612" s="14"/>
      <c r="H612" s="14"/>
      <c r="I612" s="14"/>
      <c r="J612" s="14"/>
      <c r="K612" s="12"/>
    </row>
    <row r="613" ht="19.5" customHeight="1">
      <c r="A613" s="12"/>
      <c r="B613" s="583"/>
      <c r="C613" s="12"/>
      <c r="D613" s="13"/>
      <c r="F613" s="14"/>
      <c r="G613" s="14"/>
      <c r="H613" s="14"/>
      <c r="I613" s="14"/>
      <c r="J613" s="14"/>
      <c r="K613" s="12"/>
    </row>
    <row r="614" ht="19.5" customHeight="1">
      <c r="A614" s="12"/>
      <c r="B614" s="583"/>
      <c r="C614" s="12"/>
      <c r="D614" s="13"/>
      <c r="F614" s="14"/>
      <c r="G614" s="14"/>
      <c r="H614" s="14"/>
      <c r="I614" s="14"/>
      <c r="J614" s="14"/>
      <c r="K614" s="12"/>
    </row>
    <row r="615" ht="19.5" customHeight="1">
      <c r="A615" s="12"/>
      <c r="B615" s="583"/>
      <c r="C615" s="12"/>
      <c r="D615" s="13"/>
      <c r="F615" s="14"/>
      <c r="G615" s="14"/>
      <c r="H615" s="14"/>
      <c r="I615" s="14"/>
      <c r="J615" s="14"/>
      <c r="K615" s="12"/>
    </row>
    <row r="616" ht="19.5" customHeight="1">
      <c r="A616" s="12"/>
      <c r="B616" s="583"/>
      <c r="C616" s="12"/>
      <c r="D616" s="13"/>
      <c r="F616" s="14"/>
      <c r="G616" s="14"/>
      <c r="H616" s="14"/>
      <c r="I616" s="14"/>
      <c r="J616" s="14"/>
      <c r="K616" s="12"/>
    </row>
    <row r="617" ht="19.5" customHeight="1">
      <c r="A617" s="12"/>
      <c r="B617" s="583"/>
      <c r="C617" s="12"/>
      <c r="D617" s="13"/>
      <c r="F617" s="14"/>
      <c r="G617" s="14"/>
      <c r="H617" s="14"/>
      <c r="I617" s="14"/>
      <c r="J617" s="14"/>
      <c r="K617" s="12"/>
    </row>
    <row r="618" ht="19.5" customHeight="1">
      <c r="A618" s="12"/>
      <c r="B618" s="583"/>
      <c r="C618" s="12"/>
      <c r="D618" s="13"/>
      <c r="F618" s="14"/>
      <c r="G618" s="14"/>
      <c r="H618" s="14"/>
      <c r="I618" s="14"/>
      <c r="J618" s="14"/>
      <c r="K618" s="12"/>
    </row>
    <row r="619" ht="19.5" customHeight="1">
      <c r="A619" s="12"/>
      <c r="B619" s="583"/>
      <c r="C619" s="12"/>
      <c r="D619" s="13"/>
      <c r="F619" s="14"/>
      <c r="G619" s="14"/>
      <c r="H619" s="14"/>
      <c r="I619" s="14"/>
      <c r="J619" s="14"/>
      <c r="K619" s="12"/>
    </row>
    <row r="620" ht="19.5" customHeight="1">
      <c r="A620" s="12"/>
      <c r="B620" s="583"/>
      <c r="C620" s="12"/>
      <c r="D620" s="13"/>
      <c r="F620" s="14"/>
      <c r="G620" s="14"/>
      <c r="H620" s="14"/>
      <c r="I620" s="14"/>
      <c r="J620" s="14"/>
      <c r="K620" s="12"/>
    </row>
    <row r="621" ht="19.5" customHeight="1">
      <c r="A621" s="12"/>
      <c r="B621" s="583"/>
      <c r="C621" s="12"/>
      <c r="D621" s="13"/>
      <c r="F621" s="14"/>
      <c r="G621" s="14"/>
      <c r="H621" s="14"/>
      <c r="I621" s="14"/>
      <c r="J621" s="14"/>
      <c r="K621" s="12"/>
    </row>
    <row r="622" ht="19.5" customHeight="1">
      <c r="A622" s="12"/>
      <c r="B622" s="583"/>
      <c r="C622" s="12"/>
      <c r="D622" s="13"/>
      <c r="F622" s="14"/>
      <c r="G622" s="14"/>
      <c r="H622" s="14"/>
      <c r="I622" s="14"/>
      <c r="J622" s="14"/>
      <c r="K622" s="12"/>
    </row>
    <row r="623" ht="19.5" customHeight="1">
      <c r="A623" s="12"/>
      <c r="B623" s="583"/>
      <c r="C623" s="12"/>
      <c r="D623" s="13"/>
      <c r="F623" s="14"/>
      <c r="G623" s="14"/>
      <c r="H623" s="14"/>
      <c r="I623" s="14"/>
      <c r="J623" s="14"/>
      <c r="K623" s="12"/>
    </row>
    <row r="624" ht="19.5" customHeight="1">
      <c r="A624" s="12"/>
      <c r="B624" s="583"/>
      <c r="C624" s="12"/>
      <c r="D624" s="13"/>
      <c r="F624" s="14"/>
      <c r="G624" s="14"/>
      <c r="H624" s="14"/>
      <c r="I624" s="14"/>
      <c r="J624" s="14"/>
      <c r="K624" s="12"/>
    </row>
    <row r="625" ht="19.5" customHeight="1">
      <c r="A625" s="12"/>
      <c r="B625" s="583"/>
      <c r="C625" s="12"/>
      <c r="D625" s="13"/>
      <c r="F625" s="14"/>
      <c r="G625" s="14"/>
      <c r="H625" s="14"/>
      <c r="I625" s="14"/>
      <c r="J625" s="14"/>
      <c r="K625" s="12"/>
    </row>
    <row r="626" ht="19.5" customHeight="1">
      <c r="A626" s="12"/>
      <c r="B626" s="583"/>
      <c r="C626" s="12"/>
      <c r="D626" s="13"/>
      <c r="F626" s="14"/>
      <c r="G626" s="14"/>
      <c r="H626" s="14"/>
      <c r="I626" s="14"/>
      <c r="J626" s="14"/>
      <c r="K626" s="12"/>
    </row>
    <row r="627" ht="19.5" customHeight="1">
      <c r="A627" s="12"/>
      <c r="B627" s="583"/>
      <c r="C627" s="12"/>
      <c r="D627" s="13"/>
      <c r="F627" s="14"/>
      <c r="G627" s="14"/>
      <c r="H627" s="14"/>
      <c r="I627" s="14"/>
      <c r="J627" s="14"/>
      <c r="K627" s="12"/>
    </row>
    <row r="628" ht="19.5" customHeight="1">
      <c r="A628" s="12"/>
      <c r="B628" s="583"/>
      <c r="C628" s="12"/>
      <c r="D628" s="13"/>
      <c r="F628" s="14"/>
      <c r="G628" s="14"/>
      <c r="H628" s="14"/>
      <c r="I628" s="14"/>
      <c r="J628" s="14"/>
      <c r="K628" s="12"/>
    </row>
    <row r="629" ht="19.5" customHeight="1">
      <c r="A629" s="12"/>
      <c r="B629" s="583"/>
      <c r="C629" s="12"/>
      <c r="D629" s="13"/>
      <c r="F629" s="14"/>
      <c r="G629" s="14"/>
      <c r="H629" s="14"/>
      <c r="I629" s="14"/>
      <c r="J629" s="14"/>
      <c r="K629" s="12"/>
    </row>
    <row r="630" ht="19.5" customHeight="1">
      <c r="A630" s="12"/>
      <c r="B630" s="583"/>
      <c r="C630" s="12"/>
      <c r="D630" s="13"/>
      <c r="F630" s="14"/>
      <c r="G630" s="14"/>
      <c r="H630" s="14"/>
      <c r="I630" s="14"/>
      <c r="J630" s="14"/>
      <c r="K630" s="12"/>
    </row>
    <row r="631" ht="19.5" customHeight="1">
      <c r="A631" s="12"/>
      <c r="B631" s="583"/>
      <c r="C631" s="12"/>
      <c r="D631" s="13"/>
      <c r="F631" s="14"/>
      <c r="G631" s="14"/>
      <c r="H631" s="14"/>
      <c r="I631" s="14"/>
      <c r="J631" s="14"/>
      <c r="K631" s="12"/>
    </row>
    <row r="632" ht="19.5" customHeight="1">
      <c r="A632" s="12"/>
      <c r="B632" s="583"/>
      <c r="C632" s="12"/>
      <c r="D632" s="13"/>
      <c r="F632" s="14"/>
      <c r="G632" s="14"/>
      <c r="H632" s="14"/>
      <c r="I632" s="14"/>
      <c r="J632" s="14"/>
      <c r="K632" s="12"/>
    </row>
    <row r="633" ht="19.5" customHeight="1">
      <c r="A633" s="12"/>
      <c r="B633" s="583"/>
      <c r="C633" s="12"/>
      <c r="D633" s="13"/>
      <c r="F633" s="14"/>
      <c r="G633" s="14"/>
      <c r="H633" s="14"/>
      <c r="I633" s="14"/>
      <c r="J633" s="14"/>
      <c r="K633" s="12"/>
    </row>
    <row r="634" ht="19.5" customHeight="1">
      <c r="A634" s="12"/>
      <c r="B634" s="583"/>
      <c r="C634" s="12"/>
      <c r="D634" s="13"/>
      <c r="F634" s="14"/>
      <c r="G634" s="14"/>
      <c r="H634" s="14"/>
      <c r="I634" s="14"/>
      <c r="J634" s="14"/>
      <c r="K634" s="12"/>
    </row>
    <row r="635" ht="19.5" customHeight="1">
      <c r="A635" s="12"/>
      <c r="B635" s="583"/>
      <c r="C635" s="12"/>
      <c r="D635" s="13"/>
      <c r="F635" s="14"/>
      <c r="G635" s="14"/>
      <c r="H635" s="14"/>
      <c r="I635" s="14"/>
      <c r="J635" s="14"/>
      <c r="K635" s="12"/>
    </row>
    <row r="636" ht="19.5" customHeight="1">
      <c r="A636" s="12"/>
      <c r="B636" s="583"/>
      <c r="C636" s="12"/>
      <c r="D636" s="13"/>
      <c r="F636" s="14"/>
      <c r="G636" s="14"/>
      <c r="H636" s="14"/>
      <c r="I636" s="14"/>
      <c r="J636" s="14"/>
      <c r="K636" s="12"/>
    </row>
    <row r="637" ht="19.5" customHeight="1">
      <c r="A637" s="12"/>
      <c r="B637" s="583"/>
      <c r="C637" s="12"/>
      <c r="D637" s="13"/>
      <c r="F637" s="14"/>
      <c r="G637" s="14"/>
      <c r="H637" s="14"/>
      <c r="I637" s="14"/>
      <c r="J637" s="14"/>
      <c r="K637" s="12"/>
    </row>
    <row r="638" ht="19.5" customHeight="1">
      <c r="A638" s="12"/>
      <c r="B638" s="583"/>
      <c r="C638" s="12"/>
      <c r="D638" s="13"/>
      <c r="F638" s="14"/>
      <c r="G638" s="14"/>
      <c r="H638" s="14"/>
      <c r="I638" s="14"/>
      <c r="J638" s="14"/>
      <c r="K638" s="12"/>
    </row>
    <row r="639" ht="19.5" customHeight="1">
      <c r="A639" s="12"/>
      <c r="B639" s="583"/>
      <c r="C639" s="12"/>
      <c r="D639" s="13"/>
      <c r="F639" s="14"/>
      <c r="G639" s="14"/>
      <c r="H639" s="14"/>
      <c r="I639" s="14"/>
      <c r="J639" s="14"/>
      <c r="K639" s="12"/>
    </row>
    <row r="640" ht="19.5" customHeight="1">
      <c r="A640" s="12"/>
      <c r="B640" s="583"/>
      <c r="C640" s="12"/>
      <c r="D640" s="13"/>
      <c r="F640" s="14"/>
      <c r="G640" s="14"/>
      <c r="H640" s="14"/>
      <c r="I640" s="14"/>
      <c r="J640" s="14"/>
      <c r="K640" s="12"/>
    </row>
    <row r="641" ht="19.5" customHeight="1">
      <c r="A641" s="12"/>
      <c r="B641" s="583"/>
      <c r="C641" s="12"/>
      <c r="D641" s="13"/>
      <c r="F641" s="14"/>
      <c r="G641" s="14"/>
      <c r="H641" s="14"/>
      <c r="I641" s="14"/>
      <c r="J641" s="14"/>
      <c r="K641" s="12"/>
    </row>
    <row r="642" ht="19.5" customHeight="1">
      <c r="A642" s="12"/>
      <c r="B642" s="583"/>
      <c r="C642" s="12"/>
      <c r="D642" s="13"/>
      <c r="F642" s="14"/>
      <c r="G642" s="14"/>
      <c r="H642" s="14"/>
      <c r="I642" s="14"/>
      <c r="J642" s="14"/>
      <c r="K642" s="12"/>
    </row>
    <row r="643" ht="19.5" customHeight="1">
      <c r="A643" s="12"/>
      <c r="B643" s="583"/>
      <c r="C643" s="12"/>
      <c r="D643" s="13"/>
      <c r="F643" s="14"/>
      <c r="G643" s="14"/>
      <c r="H643" s="14"/>
      <c r="I643" s="14"/>
      <c r="J643" s="14"/>
      <c r="K643" s="12"/>
    </row>
    <row r="644" ht="19.5" customHeight="1">
      <c r="A644" s="12"/>
      <c r="B644" s="583"/>
      <c r="C644" s="12"/>
      <c r="D644" s="13"/>
      <c r="F644" s="14"/>
      <c r="G644" s="14"/>
      <c r="H644" s="14"/>
      <c r="I644" s="14"/>
      <c r="J644" s="14"/>
      <c r="K644" s="12"/>
    </row>
    <row r="645" ht="19.5" customHeight="1">
      <c r="A645" s="12"/>
      <c r="B645" s="583"/>
      <c r="C645" s="12"/>
      <c r="D645" s="13"/>
      <c r="F645" s="14"/>
      <c r="G645" s="14"/>
      <c r="H645" s="14"/>
      <c r="I645" s="14"/>
      <c r="J645" s="14"/>
      <c r="K645" s="12"/>
    </row>
    <row r="646" ht="19.5" customHeight="1">
      <c r="A646" s="12"/>
      <c r="B646" s="583"/>
      <c r="C646" s="12"/>
      <c r="D646" s="13"/>
      <c r="F646" s="14"/>
      <c r="G646" s="14"/>
      <c r="H646" s="14"/>
      <c r="I646" s="14"/>
      <c r="J646" s="14"/>
      <c r="K646" s="12"/>
    </row>
    <row r="647" ht="19.5" customHeight="1">
      <c r="A647" s="12"/>
      <c r="B647" s="583"/>
      <c r="C647" s="12"/>
      <c r="D647" s="13"/>
      <c r="F647" s="14"/>
      <c r="G647" s="14"/>
      <c r="H647" s="14"/>
      <c r="I647" s="14"/>
      <c r="J647" s="14"/>
      <c r="K647" s="12"/>
    </row>
    <row r="648" ht="19.5" customHeight="1">
      <c r="A648" s="12"/>
      <c r="B648" s="583"/>
      <c r="C648" s="12"/>
      <c r="D648" s="13"/>
      <c r="F648" s="14"/>
      <c r="G648" s="14"/>
      <c r="H648" s="14"/>
      <c r="I648" s="14"/>
      <c r="J648" s="14"/>
      <c r="K648" s="12"/>
    </row>
    <row r="649" ht="19.5" customHeight="1">
      <c r="A649" s="12"/>
      <c r="B649" s="583"/>
      <c r="C649" s="12"/>
      <c r="D649" s="13"/>
      <c r="F649" s="14"/>
      <c r="G649" s="14"/>
      <c r="H649" s="14"/>
      <c r="I649" s="14"/>
      <c r="J649" s="14"/>
      <c r="K649" s="12"/>
    </row>
    <row r="650" ht="19.5" customHeight="1">
      <c r="A650" s="12"/>
      <c r="B650" s="583"/>
      <c r="C650" s="12"/>
      <c r="D650" s="13"/>
      <c r="F650" s="14"/>
      <c r="G650" s="14"/>
      <c r="H650" s="14"/>
      <c r="I650" s="14"/>
      <c r="J650" s="14"/>
      <c r="K650" s="12"/>
    </row>
    <row r="651" ht="19.5" customHeight="1">
      <c r="A651" s="12"/>
      <c r="B651" s="583"/>
      <c r="C651" s="12"/>
      <c r="D651" s="13"/>
      <c r="F651" s="14"/>
      <c r="G651" s="14"/>
      <c r="H651" s="14"/>
      <c r="I651" s="14"/>
      <c r="J651" s="14"/>
      <c r="K651" s="12"/>
    </row>
    <row r="652" ht="19.5" customHeight="1">
      <c r="A652" s="12"/>
      <c r="B652" s="583"/>
      <c r="C652" s="12"/>
      <c r="D652" s="13"/>
      <c r="F652" s="14"/>
      <c r="G652" s="14"/>
      <c r="H652" s="14"/>
      <c r="I652" s="14"/>
      <c r="J652" s="14"/>
      <c r="K652" s="12"/>
    </row>
    <row r="653" ht="19.5" customHeight="1">
      <c r="A653" s="12"/>
      <c r="B653" s="583"/>
      <c r="C653" s="12"/>
      <c r="D653" s="13"/>
      <c r="F653" s="14"/>
      <c r="G653" s="14"/>
      <c r="H653" s="14"/>
      <c r="I653" s="14"/>
      <c r="J653" s="14"/>
      <c r="K653" s="12"/>
    </row>
    <row r="654" ht="19.5" customHeight="1">
      <c r="A654" s="12"/>
      <c r="B654" s="583"/>
      <c r="C654" s="12"/>
      <c r="D654" s="13"/>
      <c r="F654" s="14"/>
      <c r="G654" s="14"/>
      <c r="H654" s="14"/>
      <c r="I654" s="14"/>
      <c r="J654" s="14"/>
      <c r="K654" s="12"/>
    </row>
    <row r="655" ht="19.5" customHeight="1">
      <c r="A655" s="12"/>
      <c r="B655" s="583"/>
      <c r="C655" s="12"/>
      <c r="D655" s="13"/>
      <c r="F655" s="14"/>
      <c r="G655" s="14"/>
      <c r="H655" s="14"/>
      <c r="I655" s="14"/>
      <c r="J655" s="14"/>
      <c r="K655" s="12"/>
    </row>
    <row r="656" ht="19.5" customHeight="1">
      <c r="A656" s="12"/>
      <c r="B656" s="583"/>
      <c r="C656" s="12"/>
      <c r="D656" s="13"/>
      <c r="F656" s="14"/>
      <c r="G656" s="14"/>
      <c r="H656" s="14"/>
      <c r="I656" s="14"/>
      <c r="J656" s="14"/>
      <c r="K656" s="12"/>
    </row>
    <row r="657" ht="19.5" customHeight="1">
      <c r="A657" s="12"/>
      <c r="B657" s="583"/>
      <c r="C657" s="12"/>
      <c r="D657" s="13"/>
      <c r="F657" s="14"/>
      <c r="G657" s="14"/>
      <c r="H657" s="14"/>
      <c r="I657" s="14"/>
      <c r="J657" s="14"/>
      <c r="K657" s="12"/>
    </row>
    <row r="658" ht="19.5" customHeight="1">
      <c r="A658" s="12"/>
      <c r="B658" s="583"/>
      <c r="C658" s="12"/>
      <c r="D658" s="13"/>
      <c r="F658" s="14"/>
      <c r="G658" s="14"/>
      <c r="H658" s="14"/>
      <c r="I658" s="14"/>
      <c r="J658" s="14"/>
      <c r="K658" s="12"/>
    </row>
    <row r="659" ht="19.5" customHeight="1">
      <c r="A659" s="12"/>
      <c r="B659" s="583"/>
      <c r="C659" s="12"/>
      <c r="D659" s="13"/>
      <c r="F659" s="14"/>
      <c r="G659" s="14"/>
      <c r="H659" s="14"/>
      <c r="I659" s="14"/>
      <c r="J659" s="14"/>
      <c r="K659" s="12"/>
    </row>
    <row r="660" ht="19.5" customHeight="1">
      <c r="A660" s="12"/>
      <c r="B660" s="583"/>
      <c r="C660" s="12"/>
      <c r="D660" s="13"/>
      <c r="F660" s="14"/>
      <c r="G660" s="14"/>
      <c r="H660" s="14"/>
      <c r="I660" s="14"/>
      <c r="J660" s="14"/>
      <c r="K660" s="12"/>
    </row>
    <row r="661" ht="19.5" customHeight="1">
      <c r="A661" s="12"/>
      <c r="B661" s="583"/>
      <c r="C661" s="12"/>
      <c r="D661" s="13"/>
      <c r="F661" s="14"/>
      <c r="G661" s="14"/>
      <c r="H661" s="14"/>
      <c r="I661" s="14"/>
      <c r="J661" s="14"/>
      <c r="K661" s="12"/>
    </row>
    <row r="662" ht="19.5" customHeight="1">
      <c r="A662" s="12"/>
      <c r="B662" s="583"/>
      <c r="C662" s="12"/>
      <c r="D662" s="13"/>
      <c r="F662" s="14"/>
      <c r="G662" s="14"/>
      <c r="H662" s="14"/>
      <c r="I662" s="14"/>
      <c r="J662" s="14"/>
      <c r="K662" s="12"/>
    </row>
    <row r="663" ht="19.5" customHeight="1">
      <c r="A663" s="12"/>
      <c r="B663" s="583"/>
      <c r="C663" s="12"/>
      <c r="D663" s="13"/>
      <c r="F663" s="14"/>
      <c r="G663" s="14"/>
      <c r="H663" s="14"/>
      <c r="I663" s="14"/>
      <c r="J663" s="14"/>
      <c r="K663" s="12"/>
    </row>
    <row r="664" ht="19.5" customHeight="1">
      <c r="A664" s="12"/>
      <c r="B664" s="583"/>
      <c r="C664" s="12"/>
      <c r="D664" s="13"/>
      <c r="F664" s="14"/>
      <c r="G664" s="14"/>
      <c r="H664" s="14"/>
      <c r="I664" s="14"/>
      <c r="J664" s="14"/>
      <c r="K664" s="12"/>
    </row>
    <row r="665" ht="19.5" customHeight="1">
      <c r="A665" s="12"/>
      <c r="B665" s="583"/>
      <c r="C665" s="12"/>
      <c r="D665" s="13"/>
      <c r="F665" s="14"/>
      <c r="G665" s="14"/>
      <c r="H665" s="14"/>
      <c r="I665" s="14"/>
      <c r="J665" s="14"/>
      <c r="K665" s="12"/>
    </row>
    <row r="666" ht="19.5" customHeight="1">
      <c r="A666" s="12"/>
      <c r="B666" s="583"/>
      <c r="C666" s="12"/>
      <c r="D666" s="13"/>
      <c r="F666" s="14"/>
      <c r="G666" s="14"/>
      <c r="H666" s="14"/>
      <c r="I666" s="14"/>
      <c r="J666" s="14"/>
      <c r="K666" s="12"/>
    </row>
    <row r="667" ht="19.5" customHeight="1">
      <c r="A667" s="12"/>
      <c r="B667" s="583"/>
      <c r="C667" s="12"/>
      <c r="D667" s="13"/>
      <c r="F667" s="14"/>
      <c r="G667" s="14"/>
      <c r="H667" s="14"/>
      <c r="I667" s="14"/>
      <c r="J667" s="14"/>
      <c r="K667" s="12"/>
    </row>
    <row r="668" ht="19.5" customHeight="1">
      <c r="A668" s="12"/>
      <c r="B668" s="583"/>
      <c r="C668" s="12"/>
      <c r="D668" s="13"/>
      <c r="F668" s="14"/>
      <c r="G668" s="14"/>
      <c r="H668" s="14"/>
      <c r="I668" s="14"/>
      <c r="J668" s="14"/>
      <c r="K668" s="12"/>
    </row>
    <row r="669" ht="19.5" customHeight="1">
      <c r="A669" s="12"/>
      <c r="B669" s="583"/>
      <c r="C669" s="12"/>
      <c r="D669" s="13"/>
      <c r="F669" s="14"/>
      <c r="G669" s="14"/>
      <c r="H669" s="14"/>
      <c r="I669" s="14"/>
      <c r="J669" s="14"/>
      <c r="K669" s="12"/>
    </row>
    <row r="670" ht="19.5" customHeight="1">
      <c r="A670" s="12"/>
      <c r="B670" s="583"/>
      <c r="C670" s="12"/>
      <c r="D670" s="13"/>
      <c r="F670" s="14"/>
      <c r="G670" s="14"/>
      <c r="H670" s="14"/>
      <c r="I670" s="14"/>
      <c r="J670" s="14"/>
      <c r="K670" s="12"/>
    </row>
    <row r="671" ht="19.5" customHeight="1">
      <c r="A671" s="12"/>
      <c r="B671" s="583"/>
      <c r="C671" s="12"/>
      <c r="D671" s="13"/>
      <c r="F671" s="14"/>
      <c r="G671" s="14"/>
      <c r="H671" s="14"/>
      <c r="I671" s="14"/>
      <c r="J671" s="14"/>
      <c r="K671" s="12"/>
    </row>
    <row r="672" ht="19.5" customHeight="1">
      <c r="A672" s="12"/>
      <c r="B672" s="583"/>
      <c r="C672" s="12"/>
      <c r="D672" s="13"/>
      <c r="F672" s="14"/>
      <c r="G672" s="14"/>
      <c r="H672" s="14"/>
      <c r="I672" s="14"/>
      <c r="J672" s="14"/>
      <c r="K672" s="12"/>
    </row>
    <row r="673" ht="19.5" customHeight="1">
      <c r="A673" s="12"/>
      <c r="B673" s="583"/>
      <c r="C673" s="12"/>
      <c r="D673" s="13"/>
      <c r="F673" s="14"/>
      <c r="G673" s="14"/>
      <c r="H673" s="14"/>
      <c r="I673" s="14"/>
      <c r="J673" s="14"/>
      <c r="K673" s="12"/>
    </row>
    <row r="674" ht="19.5" customHeight="1">
      <c r="A674" s="12"/>
      <c r="B674" s="583"/>
      <c r="C674" s="12"/>
      <c r="D674" s="13"/>
      <c r="F674" s="14"/>
      <c r="G674" s="14"/>
      <c r="H674" s="14"/>
      <c r="I674" s="14"/>
      <c r="J674" s="14"/>
      <c r="K674" s="12"/>
    </row>
    <row r="675" ht="19.5" customHeight="1">
      <c r="A675" s="12"/>
      <c r="B675" s="583"/>
      <c r="C675" s="12"/>
      <c r="D675" s="13"/>
      <c r="F675" s="14"/>
      <c r="G675" s="14"/>
      <c r="H675" s="14"/>
      <c r="I675" s="14"/>
      <c r="J675" s="14"/>
      <c r="K675" s="12"/>
    </row>
    <row r="676" ht="19.5" customHeight="1">
      <c r="A676" s="12"/>
      <c r="B676" s="583"/>
      <c r="C676" s="12"/>
      <c r="D676" s="13"/>
      <c r="F676" s="14"/>
      <c r="G676" s="14"/>
      <c r="H676" s="14"/>
      <c r="I676" s="14"/>
      <c r="J676" s="14"/>
      <c r="K676" s="12"/>
    </row>
    <row r="677" ht="19.5" customHeight="1">
      <c r="A677" s="12"/>
      <c r="B677" s="583"/>
      <c r="C677" s="12"/>
      <c r="D677" s="13"/>
      <c r="F677" s="14"/>
      <c r="G677" s="14"/>
      <c r="H677" s="14"/>
      <c r="I677" s="14"/>
      <c r="J677" s="14"/>
      <c r="K677" s="12"/>
    </row>
    <row r="678" ht="19.5" customHeight="1">
      <c r="A678" s="12"/>
      <c r="B678" s="583"/>
      <c r="C678" s="12"/>
      <c r="D678" s="13"/>
      <c r="F678" s="14"/>
      <c r="G678" s="14"/>
      <c r="H678" s="14"/>
      <c r="I678" s="14"/>
      <c r="J678" s="14"/>
      <c r="K678" s="12"/>
    </row>
    <row r="679" ht="19.5" customHeight="1">
      <c r="A679" s="12"/>
      <c r="B679" s="583"/>
      <c r="C679" s="12"/>
      <c r="D679" s="13"/>
      <c r="F679" s="14"/>
      <c r="G679" s="14"/>
      <c r="H679" s="14"/>
      <c r="I679" s="14"/>
      <c r="J679" s="14"/>
      <c r="K679" s="12"/>
    </row>
    <row r="680" ht="19.5" customHeight="1">
      <c r="A680" s="12"/>
      <c r="B680" s="583"/>
      <c r="C680" s="12"/>
      <c r="D680" s="13"/>
      <c r="F680" s="14"/>
      <c r="G680" s="14"/>
      <c r="H680" s="14"/>
      <c r="I680" s="14"/>
      <c r="J680" s="14"/>
      <c r="K680" s="12"/>
    </row>
    <row r="681" ht="19.5" customHeight="1">
      <c r="A681" s="12"/>
      <c r="B681" s="583"/>
      <c r="C681" s="12"/>
      <c r="D681" s="13"/>
      <c r="F681" s="14"/>
      <c r="G681" s="14"/>
      <c r="H681" s="14"/>
      <c r="I681" s="14"/>
      <c r="J681" s="14"/>
      <c r="K681" s="12"/>
    </row>
    <row r="682" ht="19.5" customHeight="1">
      <c r="A682" s="12"/>
      <c r="B682" s="583"/>
      <c r="C682" s="12"/>
      <c r="D682" s="13"/>
      <c r="F682" s="14"/>
      <c r="G682" s="14"/>
      <c r="H682" s="14"/>
      <c r="I682" s="14"/>
      <c r="J682" s="14"/>
      <c r="K682" s="12"/>
    </row>
    <row r="683" ht="19.5" customHeight="1">
      <c r="A683" s="12"/>
      <c r="B683" s="583"/>
      <c r="C683" s="12"/>
      <c r="D683" s="13"/>
      <c r="F683" s="14"/>
      <c r="G683" s="14"/>
      <c r="H683" s="14"/>
      <c r="I683" s="14"/>
      <c r="J683" s="14"/>
      <c r="K683" s="12"/>
    </row>
    <row r="684" ht="19.5" customHeight="1">
      <c r="A684" s="12"/>
      <c r="B684" s="583"/>
      <c r="C684" s="12"/>
      <c r="D684" s="13"/>
      <c r="F684" s="14"/>
      <c r="G684" s="14"/>
      <c r="H684" s="14"/>
      <c r="I684" s="14"/>
      <c r="J684" s="14"/>
      <c r="K684" s="12"/>
    </row>
    <row r="685" ht="19.5" customHeight="1">
      <c r="A685" s="12"/>
      <c r="B685" s="583"/>
      <c r="C685" s="12"/>
      <c r="D685" s="13"/>
      <c r="F685" s="14"/>
      <c r="G685" s="14"/>
      <c r="H685" s="14"/>
      <c r="I685" s="14"/>
      <c r="J685" s="14"/>
      <c r="K685" s="12"/>
    </row>
    <row r="686" ht="19.5" customHeight="1">
      <c r="A686" s="12"/>
      <c r="B686" s="583"/>
      <c r="C686" s="12"/>
      <c r="D686" s="13"/>
      <c r="F686" s="14"/>
      <c r="G686" s="14"/>
      <c r="H686" s="14"/>
      <c r="I686" s="14"/>
      <c r="J686" s="14"/>
      <c r="K686" s="12"/>
    </row>
    <row r="687" ht="19.5" customHeight="1">
      <c r="A687" s="12"/>
      <c r="B687" s="583"/>
      <c r="C687" s="12"/>
      <c r="D687" s="13"/>
      <c r="F687" s="14"/>
      <c r="G687" s="14"/>
      <c r="H687" s="14"/>
      <c r="I687" s="14"/>
      <c r="J687" s="14"/>
      <c r="K687" s="12"/>
    </row>
    <row r="688" ht="19.5" customHeight="1">
      <c r="A688" s="12"/>
      <c r="B688" s="583"/>
      <c r="C688" s="12"/>
      <c r="D688" s="13"/>
      <c r="F688" s="14"/>
      <c r="G688" s="14"/>
      <c r="H688" s="14"/>
      <c r="I688" s="14"/>
      <c r="J688" s="14"/>
      <c r="K688" s="12"/>
    </row>
    <row r="689" ht="19.5" customHeight="1">
      <c r="A689" s="12"/>
      <c r="B689" s="583"/>
      <c r="C689" s="12"/>
      <c r="D689" s="13"/>
      <c r="F689" s="14"/>
      <c r="G689" s="14"/>
      <c r="H689" s="14"/>
      <c r="I689" s="14"/>
      <c r="J689" s="14"/>
      <c r="K689" s="12"/>
    </row>
    <row r="690" ht="19.5" customHeight="1">
      <c r="A690" s="12"/>
      <c r="B690" s="583"/>
      <c r="C690" s="12"/>
      <c r="D690" s="13"/>
      <c r="F690" s="14"/>
      <c r="G690" s="14"/>
      <c r="H690" s="14"/>
      <c r="I690" s="14"/>
      <c r="J690" s="14"/>
      <c r="K690" s="12"/>
    </row>
    <row r="691" ht="19.5" customHeight="1">
      <c r="A691" s="12"/>
      <c r="B691" s="583"/>
      <c r="C691" s="12"/>
      <c r="D691" s="13"/>
      <c r="F691" s="14"/>
      <c r="G691" s="14"/>
      <c r="H691" s="14"/>
      <c r="I691" s="14"/>
      <c r="J691" s="14"/>
      <c r="K691" s="12"/>
    </row>
    <row r="692" ht="19.5" customHeight="1">
      <c r="A692" s="12"/>
      <c r="B692" s="583"/>
      <c r="C692" s="12"/>
      <c r="D692" s="13"/>
      <c r="F692" s="14"/>
      <c r="G692" s="14"/>
      <c r="H692" s="14"/>
      <c r="I692" s="14"/>
      <c r="J692" s="14"/>
      <c r="K692" s="12"/>
    </row>
    <row r="693" ht="19.5" customHeight="1">
      <c r="A693" s="12"/>
      <c r="B693" s="583"/>
      <c r="C693" s="12"/>
      <c r="D693" s="13"/>
      <c r="F693" s="14"/>
      <c r="G693" s="14"/>
      <c r="H693" s="14"/>
      <c r="I693" s="14"/>
      <c r="J693" s="14"/>
      <c r="K693" s="12"/>
    </row>
    <row r="694" ht="19.5" customHeight="1">
      <c r="A694" s="12"/>
      <c r="B694" s="583"/>
      <c r="C694" s="12"/>
      <c r="D694" s="13"/>
      <c r="F694" s="14"/>
      <c r="G694" s="14"/>
      <c r="H694" s="14"/>
      <c r="I694" s="14"/>
      <c r="J694" s="14"/>
      <c r="K694" s="12"/>
    </row>
    <row r="695" ht="19.5" customHeight="1">
      <c r="A695" s="12"/>
      <c r="B695" s="583"/>
      <c r="C695" s="12"/>
      <c r="D695" s="13"/>
      <c r="F695" s="14"/>
      <c r="G695" s="14"/>
      <c r="H695" s="14"/>
      <c r="I695" s="14"/>
      <c r="J695" s="14"/>
      <c r="K695" s="12"/>
    </row>
    <row r="696" ht="19.5" customHeight="1">
      <c r="A696" s="12"/>
      <c r="B696" s="583"/>
      <c r="C696" s="12"/>
      <c r="D696" s="13"/>
      <c r="F696" s="14"/>
      <c r="G696" s="14"/>
      <c r="H696" s="14"/>
      <c r="I696" s="14"/>
      <c r="J696" s="14"/>
      <c r="K696" s="12"/>
    </row>
    <row r="697" ht="19.5" customHeight="1">
      <c r="A697" s="12"/>
      <c r="B697" s="583"/>
      <c r="C697" s="12"/>
      <c r="D697" s="13"/>
      <c r="F697" s="14"/>
      <c r="G697" s="14"/>
      <c r="H697" s="14"/>
      <c r="I697" s="14"/>
      <c r="J697" s="14"/>
      <c r="K697" s="12"/>
    </row>
    <row r="698" ht="19.5" customHeight="1">
      <c r="A698" s="12"/>
      <c r="B698" s="583"/>
      <c r="C698" s="12"/>
      <c r="D698" s="13"/>
      <c r="F698" s="14"/>
      <c r="G698" s="14"/>
      <c r="H698" s="14"/>
      <c r="I698" s="14"/>
      <c r="J698" s="14"/>
      <c r="K698" s="12"/>
    </row>
    <row r="699" ht="19.5" customHeight="1">
      <c r="A699" s="12"/>
      <c r="B699" s="583"/>
      <c r="C699" s="12"/>
      <c r="D699" s="13"/>
      <c r="F699" s="14"/>
      <c r="G699" s="14"/>
      <c r="H699" s="14"/>
      <c r="I699" s="14"/>
      <c r="J699" s="14"/>
      <c r="K699" s="12"/>
    </row>
    <row r="700" ht="19.5" customHeight="1">
      <c r="A700" s="12"/>
      <c r="B700" s="583"/>
      <c r="C700" s="12"/>
      <c r="D700" s="13"/>
      <c r="F700" s="14"/>
      <c r="G700" s="14"/>
      <c r="H700" s="14"/>
      <c r="I700" s="14"/>
      <c r="J700" s="14"/>
      <c r="K700" s="12"/>
    </row>
    <row r="701" ht="19.5" customHeight="1">
      <c r="A701" s="12"/>
      <c r="B701" s="583"/>
      <c r="C701" s="12"/>
      <c r="D701" s="13"/>
      <c r="F701" s="14"/>
      <c r="G701" s="14"/>
      <c r="H701" s="14"/>
      <c r="I701" s="14"/>
      <c r="J701" s="14"/>
      <c r="K701" s="12"/>
    </row>
    <row r="702" ht="19.5" customHeight="1">
      <c r="A702" s="12"/>
      <c r="B702" s="583"/>
      <c r="C702" s="12"/>
      <c r="D702" s="13"/>
      <c r="F702" s="14"/>
      <c r="G702" s="14"/>
      <c r="H702" s="14"/>
      <c r="I702" s="14"/>
      <c r="J702" s="14"/>
      <c r="K702" s="12"/>
    </row>
    <row r="703" ht="19.5" customHeight="1">
      <c r="A703" s="12"/>
      <c r="B703" s="583"/>
      <c r="C703" s="12"/>
      <c r="D703" s="13"/>
      <c r="F703" s="14"/>
      <c r="G703" s="14"/>
      <c r="H703" s="14"/>
      <c r="I703" s="14"/>
      <c r="J703" s="14"/>
      <c r="K703" s="12"/>
    </row>
    <row r="704" ht="19.5" customHeight="1">
      <c r="A704" s="12"/>
      <c r="B704" s="583"/>
      <c r="C704" s="12"/>
      <c r="D704" s="13"/>
      <c r="F704" s="14"/>
      <c r="G704" s="14"/>
      <c r="H704" s="14"/>
      <c r="I704" s="14"/>
      <c r="J704" s="14"/>
      <c r="K704" s="12"/>
    </row>
    <row r="705" ht="19.5" customHeight="1">
      <c r="A705" s="12"/>
      <c r="B705" s="583"/>
      <c r="C705" s="12"/>
      <c r="D705" s="13"/>
      <c r="F705" s="14"/>
      <c r="G705" s="14"/>
      <c r="H705" s="14"/>
      <c r="I705" s="14"/>
      <c r="J705" s="14"/>
      <c r="K705" s="12"/>
    </row>
    <row r="706" ht="19.5" customHeight="1">
      <c r="A706" s="12"/>
      <c r="B706" s="583"/>
      <c r="C706" s="12"/>
      <c r="D706" s="13"/>
      <c r="F706" s="14"/>
      <c r="G706" s="14"/>
      <c r="H706" s="14"/>
      <c r="I706" s="14"/>
      <c r="J706" s="14"/>
      <c r="K706" s="12"/>
    </row>
    <row r="707" ht="19.5" customHeight="1">
      <c r="A707" s="12"/>
      <c r="B707" s="583"/>
      <c r="C707" s="12"/>
      <c r="D707" s="13"/>
      <c r="F707" s="14"/>
      <c r="G707" s="14"/>
      <c r="H707" s="14"/>
      <c r="I707" s="14"/>
      <c r="J707" s="14"/>
      <c r="K707" s="12"/>
    </row>
    <row r="708" ht="19.5" customHeight="1">
      <c r="A708" s="12"/>
      <c r="B708" s="583"/>
      <c r="C708" s="12"/>
      <c r="D708" s="13"/>
      <c r="F708" s="14"/>
      <c r="G708" s="14"/>
      <c r="H708" s="14"/>
      <c r="I708" s="14"/>
      <c r="J708" s="14"/>
      <c r="K708" s="12"/>
    </row>
    <row r="709" ht="19.5" customHeight="1">
      <c r="A709" s="12"/>
      <c r="B709" s="583"/>
      <c r="C709" s="12"/>
      <c r="D709" s="13"/>
      <c r="F709" s="14"/>
      <c r="G709" s="14"/>
      <c r="H709" s="14"/>
      <c r="I709" s="14"/>
      <c r="J709" s="14"/>
      <c r="K709" s="12"/>
    </row>
    <row r="710" ht="19.5" customHeight="1">
      <c r="A710" s="12"/>
      <c r="B710" s="583"/>
      <c r="C710" s="12"/>
      <c r="D710" s="13"/>
      <c r="F710" s="14"/>
      <c r="G710" s="14"/>
      <c r="H710" s="14"/>
      <c r="I710" s="14"/>
      <c r="J710" s="14"/>
      <c r="K710" s="12"/>
    </row>
    <row r="711" ht="19.5" customHeight="1">
      <c r="A711" s="12"/>
      <c r="B711" s="583"/>
      <c r="C711" s="12"/>
      <c r="D711" s="13"/>
      <c r="F711" s="14"/>
      <c r="G711" s="14"/>
      <c r="H711" s="14"/>
      <c r="I711" s="14"/>
      <c r="J711" s="14"/>
      <c r="K711" s="12"/>
    </row>
    <row r="712" ht="19.5" customHeight="1">
      <c r="A712" s="12"/>
      <c r="B712" s="583"/>
      <c r="C712" s="12"/>
      <c r="D712" s="13"/>
      <c r="F712" s="14"/>
      <c r="G712" s="14"/>
      <c r="H712" s="14"/>
      <c r="I712" s="14"/>
      <c r="J712" s="14"/>
      <c r="K712" s="12"/>
    </row>
    <row r="713" ht="19.5" customHeight="1">
      <c r="A713" s="12"/>
      <c r="B713" s="583"/>
      <c r="C713" s="12"/>
      <c r="D713" s="13"/>
      <c r="F713" s="14"/>
      <c r="G713" s="14"/>
      <c r="H713" s="14"/>
      <c r="I713" s="14"/>
      <c r="J713" s="14"/>
      <c r="K713" s="12"/>
    </row>
    <row r="714" ht="19.5" customHeight="1">
      <c r="A714" s="12"/>
      <c r="B714" s="583"/>
      <c r="C714" s="12"/>
      <c r="D714" s="13"/>
      <c r="F714" s="14"/>
      <c r="G714" s="14"/>
      <c r="H714" s="14"/>
      <c r="I714" s="14"/>
      <c r="J714" s="14"/>
      <c r="K714" s="12"/>
    </row>
    <row r="715" ht="19.5" customHeight="1">
      <c r="A715" s="12"/>
      <c r="B715" s="583"/>
      <c r="C715" s="12"/>
      <c r="D715" s="13"/>
      <c r="F715" s="14"/>
      <c r="G715" s="14"/>
      <c r="H715" s="14"/>
      <c r="I715" s="14"/>
      <c r="J715" s="14"/>
      <c r="K715" s="12"/>
    </row>
    <row r="716" ht="19.5" customHeight="1">
      <c r="A716" s="12"/>
      <c r="B716" s="583"/>
      <c r="C716" s="12"/>
      <c r="D716" s="13"/>
      <c r="F716" s="14"/>
      <c r="G716" s="14"/>
      <c r="H716" s="14"/>
      <c r="I716" s="14"/>
      <c r="J716" s="14"/>
      <c r="K716" s="12"/>
    </row>
    <row r="717" ht="19.5" customHeight="1">
      <c r="A717" s="12"/>
      <c r="B717" s="583"/>
      <c r="C717" s="12"/>
      <c r="D717" s="13"/>
      <c r="F717" s="14"/>
      <c r="G717" s="14"/>
      <c r="H717" s="14"/>
      <c r="I717" s="14"/>
      <c r="J717" s="14"/>
      <c r="K717" s="12"/>
    </row>
    <row r="718" ht="19.5" customHeight="1">
      <c r="A718" s="12"/>
      <c r="B718" s="583"/>
      <c r="C718" s="12"/>
      <c r="D718" s="13"/>
      <c r="F718" s="14"/>
      <c r="G718" s="14"/>
      <c r="H718" s="14"/>
      <c r="I718" s="14"/>
      <c r="J718" s="14"/>
      <c r="K718" s="12"/>
    </row>
    <row r="719" ht="19.5" customHeight="1">
      <c r="A719" s="12"/>
      <c r="B719" s="583"/>
      <c r="C719" s="12"/>
      <c r="D719" s="13"/>
      <c r="F719" s="14"/>
      <c r="G719" s="14"/>
      <c r="H719" s="14"/>
      <c r="I719" s="14"/>
      <c r="J719" s="14"/>
      <c r="K719" s="12"/>
    </row>
    <row r="720" ht="19.5" customHeight="1">
      <c r="A720" s="12"/>
      <c r="B720" s="583"/>
      <c r="C720" s="12"/>
      <c r="D720" s="13"/>
      <c r="F720" s="14"/>
      <c r="G720" s="14"/>
      <c r="H720" s="14"/>
      <c r="I720" s="14"/>
      <c r="J720" s="14"/>
      <c r="K720" s="12"/>
    </row>
    <row r="721" ht="19.5" customHeight="1">
      <c r="A721" s="12"/>
      <c r="B721" s="583"/>
      <c r="C721" s="12"/>
      <c r="D721" s="13"/>
      <c r="F721" s="14"/>
      <c r="G721" s="14"/>
      <c r="H721" s="14"/>
      <c r="I721" s="14"/>
      <c r="J721" s="14"/>
      <c r="K721" s="12"/>
    </row>
    <row r="722" ht="19.5" customHeight="1">
      <c r="A722" s="12"/>
      <c r="B722" s="583"/>
      <c r="C722" s="12"/>
      <c r="D722" s="13"/>
      <c r="F722" s="14"/>
      <c r="G722" s="14"/>
      <c r="H722" s="14"/>
      <c r="I722" s="14"/>
      <c r="J722" s="14"/>
      <c r="K722" s="12"/>
    </row>
    <row r="723" ht="19.5" customHeight="1">
      <c r="A723" s="12"/>
      <c r="B723" s="583"/>
      <c r="C723" s="12"/>
      <c r="D723" s="13"/>
      <c r="F723" s="14"/>
      <c r="G723" s="14"/>
      <c r="H723" s="14"/>
      <c r="I723" s="14"/>
      <c r="J723" s="14"/>
      <c r="K723" s="12"/>
    </row>
    <row r="724" ht="19.5" customHeight="1">
      <c r="A724" s="12"/>
      <c r="B724" s="583"/>
      <c r="C724" s="12"/>
      <c r="D724" s="13"/>
      <c r="F724" s="14"/>
      <c r="G724" s="14"/>
      <c r="H724" s="14"/>
      <c r="I724" s="14"/>
      <c r="J724" s="14"/>
      <c r="K724" s="12"/>
    </row>
    <row r="725" ht="19.5" customHeight="1">
      <c r="A725" s="12"/>
      <c r="B725" s="583"/>
      <c r="C725" s="12"/>
      <c r="D725" s="13"/>
      <c r="F725" s="14"/>
      <c r="G725" s="14"/>
      <c r="H725" s="14"/>
      <c r="I725" s="14"/>
      <c r="J725" s="14"/>
      <c r="K725" s="12"/>
    </row>
    <row r="726" ht="19.5" customHeight="1">
      <c r="A726" s="12"/>
      <c r="B726" s="583"/>
      <c r="C726" s="12"/>
      <c r="D726" s="13"/>
      <c r="F726" s="14"/>
      <c r="G726" s="14"/>
      <c r="H726" s="14"/>
      <c r="I726" s="14"/>
      <c r="J726" s="14"/>
      <c r="K726" s="12"/>
    </row>
    <row r="727" ht="19.5" customHeight="1">
      <c r="A727" s="12"/>
      <c r="B727" s="583"/>
      <c r="C727" s="12"/>
      <c r="D727" s="13"/>
      <c r="F727" s="14"/>
      <c r="G727" s="14"/>
      <c r="H727" s="14"/>
      <c r="I727" s="14"/>
      <c r="J727" s="14"/>
      <c r="K727" s="12"/>
    </row>
    <row r="728" ht="19.5" customHeight="1">
      <c r="A728" s="12"/>
      <c r="B728" s="583"/>
      <c r="C728" s="12"/>
      <c r="D728" s="13"/>
      <c r="F728" s="14"/>
      <c r="G728" s="14"/>
      <c r="H728" s="14"/>
      <c r="I728" s="14"/>
      <c r="J728" s="14"/>
      <c r="K728" s="12"/>
    </row>
    <row r="729" ht="19.5" customHeight="1">
      <c r="A729" s="12"/>
      <c r="B729" s="583"/>
      <c r="C729" s="12"/>
      <c r="D729" s="13"/>
      <c r="F729" s="14"/>
      <c r="G729" s="14"/>
      <c r="H729" s="14"/>
      <c r="I729" s="14"/>
      <c r="J729" s="14"/>
      <c r="K729" s="12"/>
    </row>
    <row r="730" ht="19.5" customHeight="1">
      <c r="A730" s="12"/>
      <c r="B730" s="583"/>
      <c r="C730" s="12"/>
      <c r="D730" s="13"/>
      <c r="F730" s="14"/>
      <c r="G730" s="14"/>
      <c r="H730" s="14"/>
      <c r="I730" s="14"/>
      <c r="J730" s="14"/>
      <c r="K730" s="12"/>
    </row>
    <row r="731" ht="19.5" customHeight="1">
      <c r="A731" s="12"/>
      <c r="B731" s="583"/>
      <c r="C731" s="12"/>
      <c r="D731" s="13"/>
      <c r="F731" s="14"/>
      <c r="G731" s="14"/>
      <c r="H731" s="14"/>
      <c r="I731" s="14"/>
      <c r="J731" s="14"/>
      <c r="K731" s="12"/>
    </row>
    <row r="732" ht="19.5" customHeight="1">
      <c r="A732" s="12"/>
      <c r="B732" s="583"/>
      <c r="C732" s="12"/>
      <c r="D732" s="13"/>
      <c r="F732" s="14"/>
      <c r="G732" s="14"/>
      <c r="H732" s="14"/>
      <c r="I732" s="14"/>
      <c r="J732" s="14"/>
      <c r="K732" s="12"/>
    </row>
    <row r="733" ht="19.5" customHeight="1">
      <c r="A733" s="12"/>
      <c r="B733" s="583"/>
      <c r="C733" s="12"/>
      <c r="D733" s="13"/>
      <c r="F733" s="14"/>
      <c r="G733" s="14"/>
      <c r="H733" s="14"/>
      <c r="I733" s="14"/>
      <c r="J733" s="14"/>
      <c r="K733" s="12"/>
    </row>
    <row r="734" ht="19.5" customHeight="1">
      <c r="A734" s="12"/>
      <c r="B734" s="583"/>
      <c r="C734" s="12"/>
      <c r="D734" s="13"/>
      <c r="F734" s="14"/>
      <c r="G734" s="14"/>
      <c r="H734" s="14"/>
      <c r="I734" s="14"/>
      <c r="J734" s="14"/>
      <c r="K734" s="12"/>
    </row>
    <row r="735" ht="19.5" customHeight="1">
      <c r="A735" s="12"/>
      <c r="B735" s="583"/>
      <c r="C735" s="12"/>
      <c r="D735" s="13"/>
      <c r="F735" s="14"/>
      <c r="G735" s="14"/>
      <c r="H735" s="14"/>
      <c r="I735" s="14"/>
      <c r="J735" s="14"/>
      <c r="K735" s="12"/>
    </row>
    <row r="736" ht="19.5" customHeight="1">
      <c r="A736" s="12"/>
      <c r="B736" s="583"/>
      <c r="C736" s="12"/>
      <c r="D736" s="13"/>
      <c r="F736" s="14"/>
      <c r="G736" s="14"/>
      <c r="H736" s="14"/>
      <c r="I736" s="14"/>
      <c r="J736" s="14"/>
      <c r="K736" s="12"/>
    </row>
    <row r="737" ht="19.5" customHeight="1">
      <c r="A737" s="12"/>
      <c r="B737" s="583"/>
      <c r="C737" s="12"/>
      <c r="D737" s="13"/>
      <c r="F737" s="14"/>
      <c r="G737" s="14"/>
      <c r="H737" s="14"/>
      <c r="I737" s="14"/>
      <c r="J737" s="14"/>
      <c r="K737" s="12"/>
    </row>
    <row r="738" ht="19.5" customHeight="1">
      <c r="A738" s="12"/>
      <c r="B738" s="583"/>
      <c r="C738" s="12"/>
      <c r="D738" s="13"/>
      <c r="F738" s="14"/>
      <c r="G738" s="14"/>
      <c r="H738" s="14"/>
      <c r="I738" s="14"/>
      <c r="J738" s="14"/>
      <c r="K738" s="12"/>
    </row>
    <row r="739" ht="19.5" customHeight="1">
      <c r="A739" s="12"/>
      <c r="B739" s="583"/>
      <c r="C739" s="12"/>
      <c r="D739" s="13"/>
      <c r="F739" s="14"/>
      <c r="G739" s="14"/>
      <c r="H739" s="14"/>
      <c r="I739" s="14"/>
      <c r="J739" s="14"/>
      <c r="K739" s="12"/>
    </row>
    <row r="740" ht="19.5" customHeight="1">
      <c r="A740" s="12"/>
      <c r="B740" s="583"/>
      <c r="C740" s="12"/>
      <c r="D740" s="13"/>
      <c r="F740" s="14"/>
      <c r="G740" s="14"/>
      <c r="H740" s="14"/>
      <c r="I740" s="14"/>
      <c r="J740" s="14"/>
      <c r="K740" s="12"/>
    </row>
    <row r="741" ht="19.5" customHeight="1">
      <c r="A741" s="12"/>
      <c r="B741" s="583"/>
      <c r="C741" s="12"/>
      <c r="D741" s="13"/>
      <c r="F741" s="14"/>
      <c r="G741" s="14"/>
      <c r="H741" s="14"/>
      <c r="I741" s="14"/>
      <c r="J741" s="14"/>
      <c r="K741" s="12"/>
    </row>
    <row r="742" ht="19.5" customHeight="1">
      <c r="A742" s="12"/>
      <c r="B742" s="583"/>
      <c r="C742" s="12"/>
      <c r="D742" s="13"/>
      <c r="F742" s="14"/>
      <c r="G742" s="14"/>
      <c r="H742" s="14"/>
      <c r="I742" s="14"/>
      <c r="J742" s="14"/>
      <c r="K742" s="12"/>
    </row>
    <row r="743" ht="19.5" customHeight="1">
      <c r="A743" s="12"/>
      <c r="B743" s="583"/>
      <c r="C743" s="12"/>
      <c r="D743" s="13"/>
      <c r="F743" s="14"/>
      <c r="G743" s="14"/>
      <c r="H743" s="14"/>
      <c r="I743" s="14"/>
      <c r="J743" s="14"/>
      <c r="K743" s="12"/>
    </row>
    <row r="744" ht="19.5" customHeight="1">
      <c r="A744" s="12"/>
      <c r="B744" s="583"/>
      <c r="C744" s="12"/>
      <c r="D744" s="13"/>
      <c r="F744" s="14"/>
      <c r="G744" s="14"/>
      <c r="H744" s="14"/>
      <c r="I744" s="14"/>
      <c r="J744" s="14"/>
      <c r="K744" s="12"/>
    </row>
    <row r="745" ht="19.5" customHeight="1">
      <c r="A745" s="12"/>
      <c r="B745" s="583"/>
      <c r="C745" s="12"/>
      <c r="D745" s="13"/>
      <c r="F745" s="14"/>
      <c r="G745" s="14"/>
      <c r="H745" s="14"/>
      <c r="I745" s="14"/>
      <c r="J745" s="14"/>
      <c r="K745" s="12"/>
    </row>
    <row r="746" ht="19.5" customHeight="1">
      <c r="A746" s="12"/>
      <c r="B746" s="583"/>
      <c r="C746" s="12"/>
      <c r="D746" s="13"/>
      <c r="F746" s="14"/>
      <c r="G746" s="14"/>
      <c r="H746" s="14"/>
      <c r="I746" s="14"/>
      <c r="J746" s="14"/>
      <c r="K746" s="12"/>
    </row>
    <row r="747" ht="19.5" customHeight="1">
      <c r="A747" s="12"/>
      <c r="B747" s="583"/>
      <c r="C747" s="12"/>
      <c r="D747" s="13"/>
      <c r="F747" s="14"/>
      <c r="G747" s="14"/>
      <c r="H747" s="14"/>
      <c r="I747" s="14"/>
      <c r="J747" s="14"/>
      <c r="K747" s="12"/>
    </row>
    <row r="748" ht="19.5" customHeight="1">
      <c r="A748" s="12"/>
      <c r="B748" s="583"/>
      <c r="C748" s="12"/>
      <c r="D748" s="13"/>
      <c r="F748" s="14"/>
      <c r="G748" s="14"/>
      <c r="H748" s="14"/>
      <c r="I748" s="14"/>
      <c r="J748" s="14"/>
      <c r="K748" s="12"/>
    </row>
    <row r="749" ht="19.5" customHeight="1">
      <c r="A749" s="12"/>
      <c r="B749" s="583"/>
      <c r="C749" s="12"/>
      <c r="D749" s="13"/>
      <c r="F749" s="14"/>
      <c r="G749" s="14"/>
      <c r="H749" s="14"/>
      <c r="I749" s="14"/>
      <c r="J749" s="14"/>
      <c r="K749" s="12"/>
    </row>
    <row r="750" ht="19.5" customHeight="1">
      <c r="A750" s="12"/>
      <c r="B750" s="583"/>
      <c r="C750" s="12"/>
      <c r="D750" s="13"/>
      <c r="F750" s="14"/>
      <c r="G750" s="14"/>
      <c r="H750" s="14"/>
      <c r="I750" s="14"/>
      <c r="J750" s="14"/>
      <c r="K750" s="12"/>
    </row>
    <row r="751" ht="19.5" customHeight="1">
      <c r="A751" s="12"/>
      <c r="B751" s="583"/>
      <c r="C751" s="12"/>
      <c r="D751" s="13"/>
      <c r="F751" s="14"/>
      <c r="G751" s="14"/>
      <c r="H751" s="14"/>
      <c r="I751" s="14"/>
      <c r="J751" s="14"/>
      <c r="K751" s="12"/>
    </row>
    <row r="752" ht="19.5" customHeight="1">
      <c r="A752" s="12"/>
      <c r="B752" s="583"/>
      <c r="C752" s="12"/>
      <c r="D752" s="13"/>
      <c r="F752" s="14"/>
      <c r="G752" s="14"/>
      <c r="H752" s="14"/>
      <c r="I752" s="14"/>
      <c r="J752" s="14"/>
      <c r="K752" s="12"/>
    </row>
    <row r="753" ht="19.5" customHeight="1">
      <c r="A753" s="12"/>
      <c r="B753" s="583"/>
      <c r="C753" s="12"/>
      <c r="D753" s="13"/>
      <c r="F753" s="14"/>
      <c r="G753" s="14"/>
      <c r="H753" s="14"/>
      <c r="I753" s="14"/>
      <c r="J753" s="14"/>
      <c r="K753" s="12"/>
    </row>
    <row r="754" ht="19.5" customHeight="1">
      <c r="A754" s="12"/>
      <c r="B754" s="583"/>
      <c r="C754" s="12"/>
      <c r="D754" s="13"/>
      <c r="F754" s="14"/>
      <c r="G754" s="14"/>
      <c r="H754" s="14"/>
      <c r="I754" s="14"/>
      <c r="J754" s="14"/>
      <c r="K754" s="12"/>
    </row>
    <row r="755" ht="19.5" customHeight="1">
      <c r="A755" s="12"/>
      <c r="B755" s="583"/>
      <c r="C755" s="12"/>
      <c r="D755" s="13"/>
      <c r="F755" s="14"/>
      <c r="G755" s="14"/>
      <c r="H755" s="14"/>
      <c r="I755" s="14"/>
      <c r="J755" s="14"/>
      <c r="K755" s="12"/>
    </row>
    <row r="756" ht="19.5" customHeight="1">
      <c r="A756" s="12"/>
      <c r="B756" s="583"/>
      <c r="C756" s="12"/>
      <c r="D756" s="13"/>
      <c r="F756" s="14"/>
      <c r="G756" s="14"/>
      <c r="H756" s="14"/>
      <c r="I756" s="14"/>
      <c r="J756" s="14"/>
      <c r="K756" s="12"/>
    </row>
    <row r="757" ht="19.5" customHeight="1">
      <c r="A757" s="12"/>
      <c r="B757" s="583"/>
      <c r="C757" s="12"/>
      <c r="D757" s="13"/>
      <c r="F757" s="14"/>
      <c r="G757" s="14"/>
      <c r="H757" s="14"/>
      <c r="I757" s="14"/>
      <c r="J757" s="14"/>
      <c r="K757" s="12"/>
    </row>
    <row r="758" ht="19.5" customHeight="1">
      <c r="A758" s="12"/>
      <c r="B758" s="583"/>
      <c r="C758" s="12"/>
      <c r="D758" s="13"/>
      <c r="F758" s="14"/>
      <c r="G758" s="14"/>
      <c r="H758" s="14"/>
      <c r="I758" s="14"/>
      <c r="J758" s="14"/>
      <c r="K758" s="12"/>
    </row>
    <row r="759" ht="19.5" customHeight="1">
      <c r="A759" s="12"/>
      <c r="B759" s="583"/>
      <c r="C759" s="12"/>
      <c r="D759" s="13"/>
      <c r="F759" s="14"/>
      <c r="G759" s="14"/>
      <c r="H759" s="14"/>
      <c r="I759" s="14"/>
      <c r="J759" s="14"/>
      <c r="K759" s="12"/>
    </row>
    <row r="760" ht="19.5" customHeight="1">
      <c r="A760" s="12"/>
      <c r="B760" s="583"/>
      <c r="C760" s="12"/>
      <c r="D760" s="13"/>
      <c r="F760" s="14"/>
      <c r="G760" s="14"/>
      <c r="H760" s="14"/>
      <c r="I760" s="14"/>
      <c r="J760" s="14"/>
      <c r="K760" s="12"/>
    </row>
    <row r="761" ht="19.5" customHeight="1">
      <c r="A761" s="12"/>
      <c r="B761" s="583"/>
      <c r="C761" s="12"/>
      <c r="D761" s="13"/>
      <c r="F761" s="14"/>
      <c r="G761" s="14"/>
      <c r="H761" s="14"/>
      <c r="I761" s="14"/>
      <c r="J761" s="14"/>
      <c r="K761" s="12"/>
    </row>
    <row r="762" ht="19.5" customHeight="1">
      <c r="A762" s="12"/>
      <c r="B762" s="583"/>
      <c r="C762" s="12"/>
      <c r="D762" s="13"/>
      <c r="F762" s="14"/>
      <c r="G762" s="14"/>
      <c r="H762" s="14"/>
      <c r="I762" s="14"/>
      <c r="J762" s="14"/>
      <c r="K762" s="12"/>
    </row>
    <row r="763" ht="19.5" customHeight="1">
      <c r="A763" s="12"/>
      <c r="B763" s="583"/>
      <c r="C763" s="12"/>
      <c r="D763" s="13"/>
      <c r="F763" s="14"/>
      <c r="G763" s="14"/>
      <c r="H763" s="14"/>
      <c r="I763" s="14"/>
      <c r="J763" s="14"/>
      <c r="K763" s="12"/>
    </row>
    <row r="764" ht="19.5" customHeight="1">
      <c r="A764" s="12"/>
      <c r="B764" s="583"/>
      <c r="C764" s="12"/>
      <c r="D764" s="13"/>
      <c r="F764" s="14"/>
      <c r="G764" s="14"/>
      <c r="H764" s="14"/>
      <c r="I764" s="14"/>
      <c r="J764" s="14"/>
      <c r="K764" s="12"/>
    </row>
    <row r="765" ht="19.5" customHeight="1">
      <c r="A765" s="12"/>
      <c r="B765" s="583"/>
      <c r="C765" s="12"/>
      <c r="D765" s="13"/>
      <c r="F765" s="14"/>
      <c r="G765" s="14"/>
      <c r="H765" s="14"/>
      <c r="I765" s="14"/>
      <c r="J765" s="14"/>
      <c r="K765" s="12"/>
    </row>
    <row r="766" ht="19.5" customHeight="1">
      <c r="A766" s="12"/>
      <c r="B766" s="583"/>
      <c r="C766" s="12"/>
      <c r="D766" s="13"/>
      <c r="F766" s="14"/>
      <c r="G766" s="14"/>
      <c r="H766" s="14"/>
      <c r="I766" s="14"/>
      <c r="J766" s="14"/>
      <c r="K766" s="12"/>
    </row>
    <row r="767" ht="19.5" customHeight="1">
      <c r="A767" s="12"/>
      <c r="B767" s="583"/>
      <c r="C767" s="12"/>
      <c r="D767" s="13"/>
      <c r="F767" s="14"/>
      <c r="G767" s="14"/>
      <c r="H767" s="14"/>
      <c r="I767" s="14"/>
      <c r="J767" s="14"/>
      <c r="K767" s="12"/>
    </row>
    <row r="768" ht="19.5" customHeight="1">
      <c r="A768" s="12"/>
      <c r="B768" s="583"/>
      <c r="C768" s="12"/>
      <c r="D768" s="13"/>
      <c r="F768" s="14"/>
      <c r="G768" s="14"/>
      <c r="H768" s="14"/>
      <c r="I768" s="14"/>
      <c r="J768" s="14"/>
      <c r="K768" s="12"/>
    </row>
    <row r="769" ht="19.5" customHeight="1">
      <c r="A769" s="12"/>
      <c r="B769" s="583"/>
      <c r="C769" s="12"/>
      <c r="D769" s="13"/>
      <c r="F769" s="14"/>
      <c r="G769" s="14"/>
      <c r="H769" s="14"/>
      <c r="I769" s="14"/>
      <c r="J769" s="14"/>
      <c r="K769" s="12"/>
    </row>
    <row r="770" ht="19.5" customHeight="1">
      <c r="A770" s="12"/>
      <c r="B770" s="583"/>
      <c r="C770" s="12"/>
      <c r="D770" s="13"/>
      <c r="F770" s="14"/>
      <c r="G770" s="14"/>
      <c r="H770" s="14"/>
      <c r="I770" s="14"/>
      <c r="J770" s="14"/>
      <c r="K770" s="12"/>
    </row>
    <row r="771" ht="19.5" customHeight="1">
      <c r="A771" s="12"/>
      <c r="B771" s="583"/>
      <c r="C771" s="12"/>
      <c r="D771" s="13"/>
      <c r="F771" s="14"/>
      <c r="G771" s="14"/>
      <c r="H771" s="14"/>
      <c r="I771" s="14"/>
      <c r="J771" s="14"/>
      <c r="K771" s="12"/>
    </row>
    <row r="772" ht="19.5" customHeight="1">
      <c r="A772" s="12"/>
      <c r="B772" s="583"/>
      <c r="C772" s="12"/>
      <c r="D772" s="13"/>
      <c r="F772" s="14"/>
      <c r="G772" s="14"/>
      <c r="H772" s="14"/>
      <c r="I772" s="14"/>
      <c r="J772" s="14"/>
      <c r="K772" s="12"/>
    </row>
    <row r="773" ht="19.5" customHeight="1">
      <c r="A773" s="12"/>
      <c r="B773" s="583"/>
      <c r="C773" s="12"/>
      <c r="D773" s="13"/>
      <c r="F773" s="14"/>
      <c r="G773" s="14"/>
      <c r="H773" s="14"/>
      <c r="I773" s="14"/>
      <c r="J773" s="14"/>
      <c r="K773" s="12"/>
    </row>
    <row r="774" ht="19.5" customHeight="1">
      <c r="A774" s="12"/>
      <c r="B774" s="583"/>
      <c r="C774" s="12"/>
      <c r="D774" s="13"/>
      <c r="F774" s="14"/>
      <c r="G774" s="14"/>
      <c r="H774" s="14"/>
      <c r="I774" s="14"/>
      <c r="J774" s="14"/>
      <c r="K774" s="12"/>
    </row>
    <row r="775" ht="19.5" customHeight="1">
      <c r="A775" s="12"/>
      <c r="B775" s="583"/>
      <c r="C775" s="12"/>
      <c r="D775" s="13"/>
      <c r="F775" s="14"/>
      <c r="G775" s="14"/>
      <c r="H775" s="14"/>
      <c r="I775" s="14"/>
      <c r="J775" s="14"/>
      <c r="K775" s="12"/>
    </row>
    <row r="776" ht="19.5" customHeight="1">
      <c r="A776" s="12"/>
      <c r="B776" s="583"/>
      <c r="C776" s="12"/>
      <c r="D776" s="13"/>
      <c r="F776" s="14"/>
      <c r="G776" s="14"/>
      <c r="H776" s="14"/>
      <c r="I776" s="14"/>
      <c r="J776" s="14"/>
      <c r="K776" s="12"/>
    </row>
    <row r="777" ht="19.5" customHeight="1">
      <c r="A777" s="12"/>
      <c r="B777" s="583"/>
      <c r="C777" s="12"/>
      <c r="D777" s="13"/>
      <c r="F777" s="14"/>
      <c r="G777" s="14"/>
      <c r="H777" s="14"/>
      <c r="I777" s="14"/>
      <c r="J777" s="14"/>
      <c r="K777" s="12"/>
    </row>
    <row r="778" ht="19.5" customHeight="1">
      <c r="A778" s="12"/>
      <c r="B778" s="583"/>
      <c r="C778" s="12"/>
      <c r="D778" s="13"/>
      <c r="F778" s="14"/>
      <c r="G778" s="14"/>
      <c r="H778" s="14"/>
      <c r="I778" s="14"/>
      <c r="J778" s="14"/>
      <c r="K778" s="12"/>
    </row>
    <row r="779" ht="19.5" customHeight="1">
      <c r="A779" s="12"/>
      <c r="B779" s="583"/>
      <c r="C779" s="12"/>
      <c r="D779" s="13"/>
      <c r="F779" s="14"/>
      <c r="G779" s="14"/>
      <c r="H779" s="14"/>
      <c r="I779" s="14"/>
      <c r="J779" s="14"/>
      <c r="K779" s="12"/>
    </row>
    <row r="780" ht="19.5" customHeight="1">
      <c r="A780" s="12"/>
      <c r="B780" s="583"/>
      <c r="C780" s="12"/>
      <c r="D780" s="13"/>
      <c r="F780" s="14"/>
      <c r="G780" s="14"/>
      <c r="H780" s="14"/>
      <c r="I780" s="14"/>
      <c r="J780" s="14"/>
      <c r="K780" s="12"/>
    </row>
    <row r="781" ht="19.5" customHeight="1">
      <c r="A781" s="12"/>
      <c r="B781" s="583"/>
      <c r="C781" s="12"/>
      <c r="D781" s="13"/>
      <c r="F781" s="14"/>
      <c r="G781" s="14"/>
      <c r="H781" s="14"/>
      <c r="I781" s="14"/>
      <c r="J781" s="14"/>
      <c r="K781" s="12"/>
    </row>
    <row r="782" ht="19.5" customHeight="1">
      <c r="A782" s="12"/>
      <c r="B782" s="583"/>
      <c r="C782" s="12"/>
      <c r="D782" s="13"/>
      <c r="F782" s="14"/>
      <c r="G782" s="14"/>
      <c r="H782" s="14"/>
      <c r="I782" s="14"/>
      <c r="J782" s="14"/>
      <c r="K782" s="12"/>
    </row>
    <row r="783" ht="19.5" customHeight="1">
      <c r="A783" s="12"/>
      <c r="B783" s="583"/>
      <c r="C783" s="12"/>
      <c r="D783" s="13"/>
      <c r="F783" s="14"/>
      <c r="G783" s="14"/>
      <c r="H783" s="14"/>
      <c r="I783" s="14"/>
      <c r="J783" s="14"/>
      <c r="K783" s="12"/>
    </row>
    <row r="784" ht="19.5" customHeight="1">
      <c r="A784" s="12"/>
      <c r="B784" s="583"/>
      <c r="C784" s="12"/>
      <c r="D784" s="13"/>
      <c r="F784" s="14"/>
      <c r="G784" s="14"/>
      <c r="H784" s="14"/>
      <c r="I784" s="14"/>
      <c r="J784" s="14"/>
      <c r="K784" s="12"/>
    </row>
    <row r="785" ht="19.5" customHeight="1">
      <c r="A785" s="12"/>
      <c r="B785" s="583"/>
      <c r="C785" s="12"/>
      <c r="D785" s="13"/>
      <c r="F785" s="14"/>
      <c r="G785" s="14"/>
      <c r="H785" s="14"/>
      <c r="I785" s="14"/>
      <c r="J785" s="14"/>
      <c r="K785" s="12"/>
    </row>
    <row r="786" ht="19.5" customHeight="1">
      <c r="A786" s="12"/>
      <c r="B786" s="583"/>
      <c r="C786" s="12"/>
      <c r="D786" s="13"/>
      <c r="F786" s="14"/>
      <c r="G786" s="14"/>
      <c r="H786" s="14"/>
      <c r="I786" s="14"/>
      <c r="J786" s="14"/>
      <c r="K786" s="12"/>
    </row>
    <row r="787" ht="19.5" customHeight="1">
      <c r="A787" s="12"/>
      <c r="B787" s="583"/>
      <c r="C787" s="12"/>
      <c r="D787" s="13"/>
      <c r="F787" s="14"/>
      <c r="G787" s="14"/>
      <c r="H787" s="14"/>
      <c r="I787" s="14"/>
      <c r="J787" s="14"/>
      <c r="K787" s="12"/>
    </row>
    <row r="788" ht="19.5" customHeight="1">
      <c r="A788" s="12"/>
      <c r="B788" s="583"/>
      <c r="C788" s="12"/>
      <c r="D788" s="13"/>
      <c r="F788" s="14"/>
      <c r="G788" s="14"/>
      <c r="H788" s="14"/>
      <c r="I788" s="14"/>
      <c r="J788" s="14"/>
      <c r="K788" s="12"/>
    </row>
    <row r="789" ht="19.5" customHeight="1">
      <c r="A789" s="12"/>
      <c r="B789" s="583"/>
      <c r="C789" s="12"/>
      <c r="D789" s="13"/>
      <c r="F789" s="14"/>
      <c r="G789" s="14"/>
      <c r="H789" s="14"/>
      <c r="I789" s="14"/>
      <c r="J789" s="14"/>
      <c r="K789" s="12"/>
    </row>
    <row r="790" ht="19.5" customHeight="1">
      <c r="A790" s="12"/>
      <c r="B790" s="583"/>
      <c r="C790" s="12"/>
      <c r="D790" s="13"/>
      <c r="F790" s="14"/>
      <c r="G790" s="14"/>
      <c r="H790" s="14"/>
      <c r="I790" s="14"/>
      <c r="J790" s="14"/>
      <c r="K790" s="12"/>
    </row>
    <row r="791" ht="19.5" customHeight="1">
      <c r="A791" s="12"/>
      <c r="B791" s="583"/>
      <c r="C791" s="12"/>
      <c r="D791" s="13"/>
      <c r="F791" s="14"/>
      <c r="G791" s="14"/>
      <c r="H791" s="14"/>
      <c r="I791" s="14"/>
      <c r="J791" s="14"/>
      <c r="K791" s="12"/>
    </row>
    <row r="792" ht="19.5" customHeight="1">
      <c r="A792" s="12"/>
      <c r="B792" s="583"/>
      <c r="C792" s="12"/>
      <c r="D792" s="13"/>
      <c r="F792" s="14"/>
      <c r="G792" s="14"/>
      <c r="H792" s="14"/>
      <c r="I792" s="14"/>
      <c r="J792" s="14"/>
      <c r="K792" s="12"/>
    </row>
    <row r="793" ht="19.5" customHeight="1">
      <c r="A793" s="12"/>
      <c r="B793" s="583"/>
      <c r="C793" s="12"/>
      <c r="D793" s="13"/>
      <c r="F793" s="14"/>
      <c r="G793" s="14"/>
      <c r="H793" s="14"/>
      <c r="I793" s="14"/>
      <c r="J793" s="14"/>
      <c r="K793" s="12"/>
    </row>
    <row r="794" ht="19.5" customHeight="1">
      <c r="A794" s="12"/>
      <c r="B794" s="583"/>
      <c r="C794" s="12"/>
      <c r="D794" s="13"/>
      <c r="F794" s="14"/>
      <c r="G794" s="14"/>
      <c r="H794" s="14"/>
      <c r="I794" s="14"/>
      <c r="J794" s="14"/>
      <c r="K794" s="12"/>
    </row>
    <row r="795" ht="19.5" customHeight="1">
      <c r="A795" s="12"/>
      <c r="B795" s="583"/>
      <c r="C795" s="12"/>
      <c r="D795" s="13"/>
      <c r="F795" s="14"/>
      <c r="G795" s="14"/>
      <c r="H795" s="14"/>
      <c r="I795" s="14"/>
      <c r="J795" s="14"/>
      <c r="K795" s="12"/>
    </row>
    <row r="796" ht="19.5" customHeight="1">
      <c r="A796" s="12"/>
      <c r="B796" s="583"/>
      <c r="C796" s="12"/>
      <c r="D796" s="13"/>
      <c r="F796" s="14"/>
      <c r="G796" s="14"/>
      <c r="H796" s="14"/>
      <c r="I796" s="14"/>
      <c r="J796" s="14"/>
      <c r="K796" s="12"/>
    </row>
    <row r="797" ht="19.5" customHeight="1">
      <c r="A797" s="12"/>
      <c r="B797" s="583"/>
      <c r="C797" s="12"/>
      <c r="D797" s="13"/>
      <c r="F797" s="14"/>
      <c r="G797" s="14"/>
      <c r="H797" s="14"/>
      <c r="I797" s="14"/>
      <c r="J797" s="14"/>
      <c r="K797" s="12"/>
    </row>
    <row r="798" ht="19.5" customHeight="1">
      <c r="A798" s="12"/>
      <c r="B798" s="583"/>
      <c r="C798" s="12"/>
      <c r="D798" s="13"/>
      <c r="F798" s="14"/>
      <c r="G798" s="14"/>
      <c r="H798" s="14"/>
      <c r="I798" s="14"/>
      <c r="J798" s="14"/>
      <c r="K798" s="12"/>
    </row>
    <row r="799" ht="19.5" customHeight="1">
      <c r="A799" s="12"/>
      <c r="B799" s="583"/>
      <c r="C799" s="12"/>
      <c r="D799" s="13"/>
      <c r="F799" s="14"/>
      <c r="G799" s="14"/>
      <c r="H799" s="14"/>
      <c r="I799" s="14"/>
      <c r="J799" s="14"/>
      <c r="K799" s="12"/>
    </row>
    <row r="800" ht="19.5" customHeight="1">
      <c r="A800" s="12"/>
      <c r="B800" s="583"/>
      <c r="C800" s="12"/>
      <c r="D800" s="13"/>
      <c r="F800" s="14"/>
      <c r="G800" s="14"/>
      <c r="H800" s="14"/>
      <c r="I800" s="14"/>
      <c r="J800" s="14"/>
      <c r="K800" s="12"/>
    </row>
    <row r="801" ht="19.5" customHeight="1">
      <c r="A801" s="12"/>
      <c r="B801" s="583"/>
      <c r="C801" s="12"/>
      <c r="D801" s="13"/>
      <c r="F801" s="14"/>
      <c r="G801" s="14"/>
      <c r="H801" s="14"/>
      <c r="I801" s="14"/>
      <c r="J801" s="14"/>
      <c r="K801" s="12"/>
    </row>
    <row r="802" ht="19.5" customHeight="1">
      <c r="A802" s="12"/>
      <c r="B802" s="583"/>
      <c r="C802" s="12"/>
      <c r="D802" s="13"/>
      <c r="F802" s="14"/>
      <c r="G802" s="14"/>
      <c r="H802" s="14"/>
      <c r="I802" s="14"/>
      <c r="J802" s="14"/>
      <c r="K802" s="12"/>
    </row>
    <row r="803" ht="19.5" customHeight="1">
      <c r="A803" s="12"/>
      <c r="B803" s="583"/>
      <c r="C803" s="12"/>
      <c r="D803" s="13"/>
      <c r="F803" s="14"/>
      <c r="G803" s="14"/>
      <c r="H803" s="14"/>
      <c r="I803" s="14"/>
      <c r="J803" s="14"/>
      <c r="K803" s="12"/>
    </row>
    <row r="804" ht="19.5" customHeight="1">
      <c r="A804" s="12"/>
      <c r="B804" s="583"/>
      <c r="C804" s="12"/>
      <c r="D804" s="13"/>
      <c r="F804" s="14"/>
      <c r="G804" s="14"/>
      <c r="H804" s="14"/>
      <c r="I804" s="14"/>
      <c r="J804" s="14"/>
      <c r="K804" s="12"/>
    </row>
    <row r="805" ht="19.5" customHeight="1">
      <c r="A805" s="12"/>
      <c r="B805" s="583"/>
      <c r="C805" s="12"/>
      <c r="D805" s="13"/>
      <c r="F805" s="14"/>
      <c r="G805" s="14"/>
      <c r="H805" s="14"/>
      <c r="I805" s="14"/>
      <c r="J805" s="14"/>
      <c r="K805" s="12"/>
    </row>
    <row r="806" ht="19.5" customHeight="1">
      <c r="A806" s="12"/>
      <c r="B806" s="583"/>
      <c r="C806" s="12"/>
      <c r="D806" s="13"/>
      <c r="F806" s="14"/>
      <c r="G806" s="14"/>
      <c r="H806" s="14"/>
      <c r="I806" s="14"/>
      <c r="J806" s="14"/>
      <c r="K806" s="12"/>
    </row>
    <row r="807" ht="19.5" customHeight="1">
      <c r="A807" s="12"/>
      <c r="B807" s="583"/>
      <c r="C807" s="12"/>
      <c r="D807" s="13"/>
      <c r="F807" s="14"/>
      <c r="G807" s="14"/>
      <c r="H807" s="14"/>
      <c r="I807" s="14"/>
      <c r="J807" s="14"/>
      <c r="K807" s="12"/>
    </row>
    <row r="808" ht="19.5" customHeight="1">
      <c r="A808" s="12"/>
      <c r="B808" s="583"/>
      <c r="C808" s="12"/>
      <c r="D808" s="13"/>
      <c r="F808" s="14"/>
      <c r="G808" s="14"/>
      <c r="H808" s="14"/>
      <c r="I808" s="14"/>
      <c r="J808" s="14"/>
      <c r="K808" s="12"/>
    </row>
    <row r="809" ht="19.5" customHeight="1">
      <c r="A809" s="12"/>
      <c r="B809" s="583"/>
      <c r="C809" s="12"/>
      <c r="D809" s="13"/>
      <c r="F809" s="14"/>
      <c r="G809" s="14"/>
      <c r="H809" s="14"/>
      <c r="I809" s="14"/>
      <c r="J809" s="14"/>
      <c r="K809" s="12"/>
    </row>
    <row r="810" ht="19.5" customHeight="1">
      <c r="A810" s="12"/>
      <c r="B810" s="583"/>
      <c r="C810" s="12"/>
      <c r="D810" s="13"/>
      <c r="F810" s="14"/>
      <c r="G810" s="14"/>
      <c r="H810" s="14"/>
      <c r="I810" s="14"/>
      <c r="J810" s="14"/>
      <c r="K810" s="12"/>
    </row>
    <row r="811" ht="19.5" customHeight="1">
      <c r="A811" s="12"/>
      <c r="B811" s="583"/>
      <c r="C811" s="12"/>
      <c r="D811" s="13"/>
      <c r="F811" s="14"/>
      <c r="G811" s="14"/>
      <c r="H811" s="14"/>
      <c r="I811" s="14"/>
      <c r="J811" s="14"/>
      <c r="K811" s="12"/>
    </row>
    <row r="812" ht="19.5" customHeight="1">
      <c r="A812" s="12"/>
      <c r="B812" s="583"/>
      <c r="C812" s="12"/>
      <c r="D812" s="13"/>
      <c r="F812" s="14"/>
      <c r="G812" s="14"/>
      <c r="H812" s="14"/>
      <c r="I812" s="14"/>
      <c r="J812" s="14"/>
      <c r="K812" s="12"/>
    </row>
    <row r="813" ht="19.5" customHeight="1">
      <c r="A813" s="12"/>
      <c r="B813" s="583"/>
      <c r="C813" s="12"/>
      <c r="D813" s="13"/>
      <c r="F813" s="14"/>
      <c r="G813" s="14"/>
      <c r="H813" s="14"/>
      <c r="I813" s="14"/>
      <c r="J813" s="14"/>
      <c r="K813" s="12"/>
    </row>
    <row r="814" ht="19.5" customHeight="1">
      <c r="A814" s="12"/>
      <c r="B814" s="583"/>
      <c r="C814" s="12"/>
      <c r="D814" s="13"/>
      <c r="F814" s="14"/>
      <c r="G814" s="14"/>
      <c r="H814" s="14"/>
      <c r="I814" s="14"/>
      <c r="J814" s="14"/>
      <c r="K814" s="12"/>
    </row>
    <row r="815" ht="19.5" customHeight="1">
      <c r="A815" s="12"/>
      <c r="B815" s="583"/>
      <c r="C815" s="12"/>
      <c r="D815" s="13"/>
      <c r="F815" s="14"/>
      <c r="G815" s="14"/>
      <c r="H815" s="14"/>
      <c r="I815" s="14"/>
      <c r="J815" s="14"/>
      <c r="K815" s="12"/>
    </row>
    <row r="816" ht="19.5" customHeight="1">
      <c r="A816" s="12"/>
      <c r="B816" s="583"/>
      <c r="C816" s="12"/>
      <c r="D816" s="13"/>
      <c r="F816" s="14"/>
      <c r="G816" s="14"/>
      <c r="H816" s="14"/>
      <c r="I816" s="14"/>
      <c r="J816" s="14"/>
      <c r="K816" s="12"/>
    </row>
    <row r="817" ht="19.5" customHeight="1">
      <c r="A817" s="12"/>
      <c r="B817" s="583"/>
      <c r="C817" s="12"/>
      <c r="D817" s="13"/>
      <c r="F817" s="14"/>
      <c r="G817" s="14"/>
      <c r="H817" s="14"/>
      <c r="I817" s="14"/>
      <c r="J817" s="14"/>
      <c r="K817" s="12"/>
    </row>
    <row r="818" ht="19.5" customHeight="1">
      <c r="A818" s="12"/>
      <c r="B818" s="583"/>
      <c r="C818" s="12"/>
      <c r="D818" s="13"/>
      <c r="F818" s="14"/>
      <c r="G818" s="14"/>
      <c r="H818" s="14"/>
      <c r="I818" s="14"/>
      <c r="J818" s="14"/>
      <c r="K818" s="12"/>
    </row>
    <row r="819" ht="19.5" customHeight="1">
      <c r="A819" s="12"/>
      <c r="B819" s="583"/>
      <c r="C819" s="12"/>
      <c r="D819" s="13"/>
      <c r="F819" s="14"/>
      <c r="G819" s="14"/>
      <c r="H819" s="14"/>
      <c r="I819" s="14"/>
      <c r="J819" s="14"/>
      <c r="K819" s="12"/>
    </row>
    <row r="820" ht="19.5" customHeight="1">
      <c r="A820" s="12"/>
      <c r="B820" s="583"/>
      <c r="C820" s="12"/>
      <c r="D820" s="13"/>
      <c r="F820" s="14"/>
      <c r="G820" s="14"/>
      <c r="H820" s="14"/>
      <c r="I820" s="14"/>
      <c r="J820" s="14"/>
      <c r="K820" s="12"/>
    </row>
    <row r="821" ht="19.5" customHeight="1">
      <c r="A821" s="12"/>
      <c r="B821" s="583"/>
      <c r="C821" s="12"/>
      <c r="D821" s="13"/>
      <c r="F821" s="14"/>
      <c r="G821" s="14"/>
      <c r="H821" s="14"/>
      <c r="I821" s="14"/>
      <c r="J821" s="14"/>
      <c r="K821" s="12"/>
    </row>
    <row r="822" ht="19.5" customHeight="1">
      <c r="A822" s="12"/>
      <c r="B822" s="583"/>
      <c r="C822" s="12"/>
      <c r="D822" s="13"/>
      <c r="F822" s="14"/>
      <c r="G822" s="14"/>
      <c r="H822" s="14"/>
      <c r="I822" s="14"/>
      <c r="J822" s="14"/>
      <c r="K822" s="12"/>
    </row>
    <row r="823" ht="19.5" customHeight="1">
      <c r="A823" s="12"/>
      <c r="B823" s="583"/>
      <c r="C823" s="12"/>
      <c r="D823" s="13"/>
      <c r="F823" s="14"/>
      <c r="G823" s="14"/>
      <c r="H823" s="14"/>
      <c r="I823" s="14"/>
      <c r="J823" s="14"/>
      <c r="K823" s="12"/>
    </row>
    <row r="824" ht="19.5" customHeight="1">
      <c r="A824" s="12"/>
      <c r="B824" s="583"/>
      <c r="C824" s="12"/>
      <c r="D824" s="13"/>
      <c r="F824" s="14"/>
      <c r="G824" s="14"/>
      <c r="H824" s="14"/>
      <c r="I824" s="14"/>
      <c r="J824" s="14"/>
      <c r="K824" s="12"/>
    </row>
    <row r="825" ht="19.5" customHeight="1">
      <c r="A825" s="12"/>
      <c r="B825" s="583"/>
      <c r="C825" s="12"/>
      <c r="D825" s="13"/>
      <c r="F825" s="14"/>
      <c r="G825" s="14"/>
      <c r="H825" s="14"/>
      <c r="I825" s="14"/>
      <c r="J825" s="14"/>
      <c r="K825" s="12"/>
    </row>
    <row r="826" ht="19.5" customHeight="1">
      <c r="A826" s="12"/>
      <c r="B826" s="583"/>
      <c r="C826" s="12"/>
      <c r="D826" s="13"/>
      <c r="F826" s="14"/>
      <c r="G826" s="14"/>
      <c r="H826" s="14"/>
      <c r="I826" s="14"/>
      <c r="J826" s="14"/>
      <c r="K826" s="12"/>
    </row>
    <row r="827" ht="19.5" customHeight="1">
      <c r="A827" s="12"/>
      <c r="B827" s="583"/>
      <c r="C827" s="12"/>
      <c r="D827" s="13"/>
      <c r="F827" s="14"/>
      <c r="G827" s="14"/>
      <c r="H827" s="14"/>
      <c r="I827" s="14"/>
      <c r="J827" s="14"/>
      <c r="K827" s="12"/>
    </row>
    <row r="828" ht="19.5" customHeight="1">
      <c r="A828" s="12"/>
      <c r="B828" s="583"/>
      <c r="C828" s="12"/>
      <c r="D828" s="13"/>
      <c r="F828" s="14"/>
      <c r="G828" s="14"/>
      <c r="H828" s="14"/>
      <c r="I828" s="14"/>
      <c r="J828" s="14"/>
      <c r="K828" s="12"/>
    </row>
    <row r="829" ht="19.5" customHeight="1">
      <c r="A829" s="12"/>
      <c r="B829" s="583"/>
      <c r="C829" s="12"/>
      <c r="D829" s="13"/>
      <c r="F829" s="14"/>
      <c r="G829" s="14"/>
      <c r="H829" s="14"/>
      <c r="I829" s="14"/>
      <c r="J829" s="14"/>
      <c r="K829" s="12"/>
    </row>
    <row r="830" ht="19.5" customHeight="1">
      <c r="A830" s="12"/>
      <c r="B830" s="583"/>
      <c r="C830" s="12"/>
      <c r="D830" s="13"/>
      <c r="F830" s="14"/>
      <c r="G830" s="14"/>
      <c r="H830" s="14"/>
      <c r="I830" s="14"/>
      <c r="J830" s="14"/>
      <c r="K830" s="12"/>
    </row>
    <row r="831" ht="19.5" customHeight="1">
      <c r="A831" s="12"/>
      <c r="B831" s="583"/>
      <c r="C831" s="12"/>
      <c r="D831" s="13"/>
      <c r="F831" s="14"/>
      <c r="G831" s="14"/>
      <c r="H831" s="14"/>
      <c r="I831" s="14"/>
      <c r="J831" s="14"/>
      <c r="K831" s="12"/>
    </row>
    <row r="832" ht="19.5" customHeight="1">
      <c r="A832" s="12"/>
      <c r="B832" s="583"/>
      <c r="C832" s="12"/>
      <c r="D832" s="13"/>
      <c r="F832" s="14"/>
      <c r="G832" s="14"/>
      <c r="H832" s="14"/>
      <c r="I832" s="14"/>
      <c r="J832" s="14"/>
      <c r="K832" s="12"/>
    </row>
    <row r="833" ht="19.5" customHeight="1">
      <c r="A833" s="12"/>
      <c r="B833" s="583"/>
      <c r="C833" s="12"/>
      <c r="D833" s="13"/>
      <c r="F833" s="14"/>
      <c r="G833" s="14"/>
      <c r="H833" s="14"/>
      <c r="I833" s="14"/>
      <c r="J833" s="14"/>
      <c r="K833" s="12"/>
    </row>
    <row r="834" ht="19.5" customHeight="1">
      <c r="A834" s="12"/>
      <c r="B834" s="583"/>
      <c r="C834" s="12"/>
      <c r="D834" s="13"/>
      <c r="F834" s="14"/>
      <c r="G834" s="14"/>
      <c r="H834" s="14"/>
      <c r="I834" s="14"/>
      <c r="J834" s="14"/>
      <c r="K834" s="12"/>
    </row>
    <row r="835" ht="19.5" customHeight="1">
      <c r="A835" s="12"/>
      <c r="B835" s="583"/>
      <c r="C835" s="12"/>
      <c r="D835" s="13"/>
      <c r="F835" s="14"/>
      <c r="G835" s="14"/>
      <c r="H835" s="14"/>
      <c r="I835" s="14"/>
      <c r="J835" s="14"/>
      <c r="K835" s="12"/>
    </row>
    <row r="836" ht="19.5" customHeight="1">
      <c r="A836" s="12"/>
      <c r="B836" s="583"/>
      <c r="C836" s="12"/>
      <c r="D836" s="13"/>
      <c r="F836" s="14"/>
      <c r="G836" s="14"/>
      <c r="H836" s="14"/>
      <c r="I836" s="14"/>
      <c r="J836" s="14"/>
      <c r="K836" s="12"/>
    </row>
    <row r="837" ht="19.5" customHeight="1">
      <c r="A837" s="12"/>
      <c r="B837" s="583"/>
      <c r="C837" s="12"/>
      <c r="D837" s="13"/>
      <c r="F837" s="14"/>
      <c r="G837" s="14"/>
      <c r="H837" s="14"/>
      <c r="I837" s="14"/>
      <c r="J837" s="14"/>
      <c r="K837" s="12"/>
    </row>
    <row r="838" ht="19.5" customHeight="1">
      <c r="A838" s="12"/>
      <c r="B838" s="583"/>
      <c r="C838" s="12"/>
      <c r="D838" s="13"/>
      <c r="F838" s="14"/>
      <c r="G838" s="14"/>
      <c r="H838" s="14"/>
      <c r="I838" s="14"/>
      <c r="J838" s="14"/>
      <c r="K838" s="12"/>
    </row>
    <row r="839" ht="19.5" customHeight="1">
      <c r="A839" s="12"/>
      <c r="B839" s="583"/>
      <c r="C839" s="12"/>
      <c r="D839" s="13"/>
      <c r="F839" s="14"/>
      <c r="G839" s="14"/>
      <c r="H839" s="14"/>
      <c r="I839" s="14"/>
      <c r="J839" s="14"/>
      <c r="K839" s="12"/>
    </row>
    <row r="840" ht="19.5" customHeight="1">
      <c r="A840" s="12"/>
      <c r="B840" s="583"/>
      <c r="C840" s="12"/>
      <c r="D840" s="13"/>
      <c r="F840" s="14"/>
      <c r="G840" s="14"/>
      <c r="H840" s="14"/>
      <c r="I840" s="14"/>
      <c r="J840" s="14"/>
      <c r="K840" s="12"/>
    </row>
    <row r="841" ht="19.5" customHeight="1">
      <c r="A841" s="12"/>
      <c r="B841" s="583"/>
      <c r="C841" s="12"/>
      <c r="D841" s="13"/>
      <c r="F841" s="14"/>
      <c r="G841" s="14"/>
      <c r="H841" s="14"/>
      <c r="I841" s="14"/>
      <c r="J841" s="14"/>
      <c r="K841" s="12"/>
    </row>
    <row r="842" ht="19.5" customHeight="1">
      <c r="A842" s="12"/>
      <c r="B842" s="583"/>
      <c r="C842" s="12"/>
      <c r="D842" s="13"/>
      <c r="F842" s="14"/>
      <c r="G842" s="14"/>
      <c r="H842" s="14"/>
      <c r="I842" s="14"/>
      <c r="J842" s="14"/>
      <c r="K842" s="12"/>
    </row>
    <row r="843" ht="19.5" customHeight="1">
      <c r="A843" s="12"/>
      <c r="B843" s="583"/>
      <c r="C843" s="12"/>
      <c r="D843" s="13"/>
      <c r="F843" s="14"/>
      <c r="G843" s="14"/>
      <c r="H843" s="14"/>
      <c r="I843" s="14"/>
      <c r="J843" s="14"/>
      <c r="K843" s="12"/>
    </row>
    <row r="844" ht="19.5" customHeight="1">
      <c r="A844" s="12"/>
      <c r="B844" s="583"/>
      <c r="C844" s="12"/>
      <c r="D844" s="13"/>
      <c r="F844" s="14"/>
      <c r="G844" s="14"/>
      <c r="H844" s="14"/>
      <c r="I844" s="14"/>
      <c r="J844" s="14"/>
      <c r="K844" s="12"/>
    </row>
    <row r="845" ht="19.5" customHeight="1">
      <c r="A845" s="12"/>
      <c r="B845" s="583"/>
      <c r="C845" s="12"/>
      <c r="D845" s="13"/>
      <c r="F845" s="14"/>
      <c r="G845" s="14"/>
      <c r="H845" s="14"/>
      <c r="I845" s="14"/>
      <c r="J845" s="14"/>
      <c r="K845" s="12"/>
    </row>
    <row r="846" ht="19.5" customHeight="1">
      <c r="A846" s="12"/>
      <c r="B846" s="583"/>
      <c r="C846" s="12"/>
      <c r="D846" s="13"/>
      <c r="F846" s="14"/>
      <c r="G846" s="14"/>
      <c r="H846" s="14"/>
      <c r="I846" s="14"/>
      <c r="J846" s="14"/>
      <c r="K846" s="12"/>
    </row>
    <row r="847" ht="19.5" customHeight="1">
      <c r="A847" s="12"/>
      <c r="B847" s="583"/>
      <c r="C847" s="12"/>
      <c r="D847" s="13"/>
      <c r="F847" s="14"/>
      <c r="G847" s="14"/>
      <c r="H847" s="14"/>
      <c r="I847" s="14"/>
      <c r="J847" s="14"/>
      <c r="K847" s="12"/>
    </row>
    <row r="848" ht="19.5" customHeight="1">
      <c r="A848" s="12"/>
      <c r="B848" s="583"/>
      <c r="C848" s="12"/>
      <c r="D848" s="13"/>
      <c r="F848" s="14"/>
      <c r="G848" s="14"/>
      <c r="H848" s="14"/>
      <c r="I848" s="14"/>
      <c r="J848" s="14"/>
      <c r="K848" s="12"/>
    </row>
    <row r="849" ht="19.5" customHeight="1">
      <c r="A849" s="12"/>
      <c r="B849" s="583"/>
      <c r="C849" s="12"/>
      <c r="D849" s="13"/>
      <c r="F849" s="14"/>
      <c r="G849" s="14"/>
      <c r="H849" s="14"/>
      <c r="I849" s="14"/>
      <c r="J849" s="14"/>
      <c r="K849" s="12"/>
    </row>
    <row r="850" ht="19.5" customHeight="1">
      <c r="A850" s="12"/>
      <c r="B850" s="583"/>
      <c r="C850" s="12"/>
      <c r="D850" s="13"/>
      <c r="F850" s="14"/>
      <c r="G850" s="14"/>
      <c r="H850" s="14"/>
      <c r="I850" s="14"/>
      <c r="J850" s="14"/>
      <c r="K850" s="12"/>
    </row>
    <row r="851" ht="19.5" customHeight="1">
      <c r="A851" s="12"/>
      <c r="B851" s="583"/>
      <c r="C851" s="12"/>
      <c r="D851" s="13"/>
      <c r="F851" s="14"/>
      <c r="G851" s="14"/>
      <c r="H851" s="14"/>
      <c r="I851" s="14"/>
      <c r="J851" s="14"/>
      <c r="K851" s="12"/>
    </row>
    <row r="852" ht="19.5" customHeight="1">
      <c r="A852" s="12"/>
      <c r="B852" s="583"/>
      <c r="C852" s="12"/>
      <c r="D852" s="13"/>
      <c r="F852" s="14"/>
      <c r="G852" s="14"/>
      <c r="H852" s="14"/>
      <c r="I852" s="14"/>
      <c r="J852" s="14"/>
      <c r="K852" s="12"/>
    </row>
    <row r="853" ht="19.5" customHeight="1">
      <c r="A853" s="12"/>
      <c r="B853" s="583"/>
      <c r="C853" s="12"/>
      <c r="D853" s="13"/>
      <c r="F853" s="14"/>
      <c r="G853" s="14"/>
      <c r="H853" s="14"/>
      <c r="I853" s="14"/>
      <c r="J853" s="14"/>
      <c r="K853" s="12"/>
    </row>
    <row r="854" ht="19.5" customHeight="1">
      <c r="A854" s="12"/>
      <c r="B854" s="583"/>
      <c r="C854" s="12"/>
      <c r="D854" s="13"/>
      <c r="F854" s="14"/>
      <c r="G854" s="14"/>
      <c r="H854" s="14"/>
      <c r="I854" s="14"/>
      <c r="J854" s="14"/>
      <c r="K854" s="12"/>
    </row>
    <row r="855" ht="19.5" customHeight="1">
      <c r="A855" s="12"/>
      <c r="B855" s="583"/>
      <c r="C855" s="12"/>
      <c r="D855" s="13"/>
      <c r="F855" s="14"/>
      <c r="G855" s="14"/>
      <c r="H855" s="14"/>
      <c r="I855" s="14"/>
      <c r="J855" s="14"/>
      <c r="K855" s="12"/>
    </row>
    <row r="856" ht="19.5" customHeight="1">
      <c r="A856" s="12"/>
      <c r="B856" s="583"/>
      <c r="C856" s="12"/>
      <c r="D856" s="13"/>
      <c r="F856" s="14"/>
      <c r="G856" s="14"/>
      <c r="H856" s="14"/>
      <c r="I856" s="14"/>
      <c r="J856" s="14"/>
      <c r="K856" s="12"/>
    </row>
    <row r="857" ht="19.5" customHeight="1">
      <c r="A857" s="12"/>
      <c r="B857" s="583"/>
      <c r="C857" s="12"/>
      <c r="D857" s="13"/>
      <c r="F857" s="14"/>
      <c r="G857" s="14"/>
      <c r="H857" s="14"/>
      <c r="I857" s="14"/>
      <c r="J857" s="14"/>
      <c r="K857" s="12"/>
    </row>
    <row r="858" ht="19.5" customHeight="1">
      <c r="A858" s="12"/>
      <c r="B858" s="583"/>
      <c r="C858" s="12"/>
      <c r="D858" s="13"/>
      <c r="F858" s="14"/>
      <c r="G858" s="14"/>
      <c r="H858" s="14"/>
      <c r="I858" s="14"/>
      <c r="J858" s="14"/>
      <c r="K858" s="12"/>
    </row>
    <row r="859" ht="19.5" customHeight="1">
      <c r="A859" s="12"/>
      <c r="B859" s="583"/>
      <c r="C859" s="12"/>
      <c r="D859" s="13"/>
      <c r="F859" s="14"/>
      <c r="G859" s="14"/>
      <c r="H859" s="14"/>
      <c r="I859" s="14"/>
      <c r="J859" s="14"/>
      <c r="K859" s="12"/>
    </row>
    <row r="860" ht="19.5" customHeight="1">
      <c r="A860" s="12"/>
      <c r="B860" s="583"/>
      <c r="C860" s="12"/>
      <c r="D860" s="13"/>
      <c r="F860" s="14"/>
      <c r="G860" s="14"/>
      <c r="H860" s="14"/>
      <c r="I860" s="14"/>
      <c r="J860" s="14"/>
      <c r="K860" s="12"/>
    </row>
    <row r="861" ht="19.5" customHeight="1">
      <c r="A861" s="12"/>
      <c r="B861" s="583"/>
      <c r="C861" s="12"/>
      <c r="D861" s="13"/>
      <c r="F861" s="14"/>
      <c r="G861" s="14"/>
      <c r="H861" s="14"/>
      <c r="I861" s="14"/>
      <c r="J861" s="14"/>
      <c r="K861" s="12"/>
    </row>
    <row r="862" ht="19.5" customHeight="1">
      <c r="A862" s="12"/>
      <c r="B862" s="583"/>
      <c r="C862" s="12"/>
      <c r="D862" s="13"/>
      <c r="F862" s="14"/>
      <c r="G862" s="14"/>
      <c r="H862" s="14"/>
      <c r="I862" s="14"/>
      <c r="J862" s="14"/>
      <c r="K862" s="12"/>
    </row>
    <row r="863" ht="19.5" customHeight="1">
      <c r="A863" s="12"/>
      <c r="B863" s="583"/>
      <c r="C863" s="12"/>
      <c r="D863" s="13"/>
      <c r="F863" s="14"/>
      <c r="G863" s="14"/>
      <c r="H863" s="14"/>
      <c r="I863" s="14"/>
      <c r="J863" s="14"/>
      <c r="K863" s="12"/>
    </row>
    <row r="864" ht="19.5" customHeight="1">
      <c r="A864" s="12"/>
      <c r="B864" s="583"/>
      <c r="C864" s="12"/>
      <c r="D864" s="13"/>
      <c r="F864" s="14"/>
      <c r="G864" s="14"/>
      <c r="H864" s="14"/>
      <c r="I864" s="14"/>
      <c r="J864" s="14"/>
      <c r="K864" s="12"/>
    </row>
    <row r="865" ht="19.5" customHeight="1">
      <c r="A865" s="12"/>
      <c r="B865" s="583"/>
      <c r="C865" s="12"/>
      <c r="D865" s="13"/>
      <c r="F865" s="14"/>
      <c r="G865" s="14"/>
      <c r="H865" s="14"/>
      <c r="I865" s="14"/>
      <c r="J865" s="14"/>
      <c r="K865" s="12"/>
    </row>
    <row r="866" ht="19.5" customHeight="1">
      <c r="A866" s="12"/>
      <c r="B866" s="583"/>
      <c r="C866" s="12"/>
      <c r="D866" s="13"/>
      <c r="F866" s="14"/>
      <c r="G866" s="14"/>
      <c r="H866" s="14"/>
      <c r="I866" s="14"/>
      <c r="J866" s="14"/>
      <c r="K866" s="12"/>
    </row>
    <row r="867" ht="19.5" customHeight="1">
      <c r="A867" s="12"/>
      <c r="B867" s="583"/>
      <c r="C867" s="12"/>
      <c r="D867" s="13"/>
      <c r="F867" s="14"/>
      <c r="G867" s="14"/>
      <c r="H867" s="14"/>
      <c r="I867" s="14"/>
      <c r="J867" s="14"/>
      <c r="K867" s="12"/>
    </row>
    <row r="868" ht="19.5" customHeight="1">
      <c r="A868" s="12"/>
      <c r="B868" s="583"/>
      <c r="C868" s="12"/>
      <c r="D868" s="13"/>
      <c r="F868" s="14"/>
      <c r="G868" s="14"/>
      <c r="H868" s="14"/>
      <c r="I868" s="14"/>
      <c r="J868" s="14"/>
      <c r="K868" s="12"/>
    </row>
    <row r="869" ht="19.5" customHeight="1">
      <c r="A869" s="12"/>
      <c r="B869" s="583"/>
      <c r="C869" s="12"/>
      <c r="D869" s="13"/>
      <c r="F869" s="14"/>
      <c r="G869" s="14"/>
      <c r="H869" s="14"/>
      <c r="I869" s="14"/>
      <c r="J869" s="14"/>
      <c r="K869" s="12"/>
    </row>
    <row r="870" ht="19.5" customHeight="1">
      <c r="A870" s="12"/>
      <c r="B870" s="583"/>
      <c r="C870" s="12"/>
      <c r="D870" s="13"/>
      <c r="F870" s="14"/>
      <c r="G870" s="14"/>
      <c r="H870" s="14"/>
      <c r="I870" s="14"/>
      <c r="J870" s="14"/>
      <c r="K870" s="12"/>
    </row>
    <row r="871" ht="19.5" customHeight="1">
      <c r="A871" s="12"/>
      <c r="B871" s="583"/>
      <c r="C871" s="12"/>
      <c r="D871" s="13"/>
      <c r="F871" s="14"/>
      <c r="G871" s="14"/>
      <c r="H871" s="14"/>
      <c r="I871" s="14"/>
      <c r="J871" s="14"/>
      <c r="K871" s="12"/>
    </row>
    <row r="872" ht="19.5" customHeight="1">
      <c r="A872" s="12"/>
      <c r="B872" s="583"/>
      <c r="C872" s="12"/>
      <c r="D872" s="13"/>
      <c r="F872" s="14"/>
      <c r="G872" s="14"/>
      <c r="H872" s="14"/>
      <c r="I872" s="14"/>
      <c r="J872" s="14"/>
      <c r="K872" s="12"/>
    </row>
    <row r="873" ht="19.5" customHeight="1">
      <c r="A873" s="12"/>
      <c r="B873" s="583"/>
      <c r="C873" s="12"/>
      <c r="D873" s="13"/>
      <c r="F873" s="14"/>
      <c r="G873" s="14"/>
      <c r="H873" s="14"/>
      <c r="I873" s="14"/>
      <c r="J873" s="14"/>
      <c r="K873" s="12"/>
    </row>
    <row r="874" ht="19.5" customHeight="1">
      <c r="A874" s="12"/>
      <c r="B874" s="583"/>
      <c r="C874" s="12"/>
      <c r="D874" s="13"/>
      <c r="F874" s="14"/>
      <c r="G874" s="14"/>
      <c r="H874" s="14"/>
      <c r="I874" s="14"/>
      <c r="J874" s="14"/>
      <c r="K874" s="12"/>
    </row>
    <row r="875" ht="19.5" customHeight="1">
      <c r="A875" s="12"/>
      <c r="B875" s="583"/>
      <c r="C875" s="12"/>
      <c r="D875" s="13"/>
      <c r="F875" s="14"/>
      <c r="G875" s="14"/>
      <c r="H875" s="14"/>
      <c r="I875" s="14"/>
      <c r="J875" s="14"/>
      <c r="K875" s="12"/>
    </row>
    <row r="876" ht="19.5" customHeight="1">
      <c r="A876" s="12"/>
      <c r="B876" s="583"/>
      <c r="C876" s="12"/>
      <c r="D876" s="13"/>
      <c r="F876" s="14"/>
      <c r="G876" s="14"/>
      <c r="H876" s="14"/>
      <c r="I876" s="14"/>
      <c r="J876" s="14"/>
      <c r="K876" s="12"/>
    </row>
    <row r="877" ht="19.5" customHeight="1">
      <c r="A877" s="12"/>
      <c r="B877" s="583"/>
      <c r="C877" s="12"/>
      <c r="D877" s="13"/>
      <c r="F877" s="14"/>
      <c r="G877" s="14"/>
      <c r="H877" s="14"/>
      <c r="I877" s="14"/>
      <c r="J877" s="14"/>
      <c r="K877" s="12"/>
    </row>
    <row r="878" ht="19.5" customHeight="1">
      <c r="A878" s="12"/>
      <c r="B878" s="583"/>
      <c r="C878" s="12"/>
      <c r="D878" s="13"/>
      <c r="F878" s="14"/>
      <c r="G878" s="14"/>
      <c r="H878" s="14"/>
      <c r="I878" s="14"/>
      <c r="J878" s="14"/>
      <c r="K878" s="12"/>
    </row>
    <row r="879" ht="19.5" customHeight="1">
      <c r="A879" s="12"/>
      <c r="B879" s="583"/>
      <c r="C879" s="12"/>
      <c r="D879" s="13"/>
      <c r="F879" s="14"/>
      <c r="G879" s="14"/>
      <c r="H879" s="14"/>
      <c r="I879" s="14"/>
      <c r="J879" s="14"/>
      <c r="K879" s="12"/>
    </row>
    <row r="880" ht="19.5" customHeight="1">
      <c r="A880" s="12"/>
      <c r="B880" s="583"/>
      <c r="C880" s="12"/>
      <c r="D880" s="13"/>
      <c r="F880" s="14"/>
      <c r="G880" s="14"/>
      <c r="H880" s="14"/>
      <c r="I880" s="14"/>
      <c r="J880" s="14"/>
      <c r="K880" s="12"/>
    </row>
    <row r="881" ht="19.5" customHeight="1">
      <c r="A881" s="12"/>
      <c r="B881" s="583"/>
      <c r="C881" s="12"/>
      <c r="D881" s="13"/>
      <c r="F881" s="14"/>
      <c r="G881" s="14"/>
      <c r="H881" s="14"/>
      <c r="I881" s="14"/>
      <c r="J881" s="14"/>
      <c r="K881" s="12"/>
    </row>
    <row r="882" ht="19.5" customHeight="1">
      <c r="A882" s="12"/>
      <c r="B882" s="583"/>
      <c r="C882" s="12"/>
      <c r="D882" s="13"/>
      <c r="F882" s="14"/>
      <c r="G882" s="14"/>
      <c r="H882" s="14"/>
      <c r="I882" s="14"/>
      <c r="J882" s="14"/>
      <c r="K882" s="12"/>
    </row>
    <row r="883" ht="19.5" customHeight="1">
      <c r="A883" s="12"/>
      <c r="B883" s="583"/>
      <c r="C883" s="12"/>
      <c r="D883" s="13"/>
      <c r="F883" s="14"/>
      <c r="G883" s="14"/>
      <c r="H883" s="14"/>
      <c r="I883" s="14"/>
      <c r="J883" s="14"/>
      <c r="K883" s="12"/>
    </row>
    <row r="884" ht="19.5" customHeight="1">
      <c r="A884" s="12"/>
      <c r="B884" s="583"/>
      <c r="C884" s="12"/>
      <c r="D884" s="13"/>
      <c r="F884" s="14"/>
      <c r="G884" s="14"/>
      <c r="H884" s="14"/>
      <c r="I884" s="14"/>
      <c r="J884" s="14"/>
      <c r="K884" s="12"/>
    </row>
    <row r="885" ht="19.5" customHeight="1">
      <c r="A885" s="12"/>
      <c r="B885" s="583"/>
      <c r="C885" s="12"/>
      <c r="D885" s="13"/>
      <c r="F885" s="14"/>
      <c r="G885" s="14"/>
      <c r="H885" s="14"/>
      <c r="I885" s="14"/>
      <c r="J885" s="14"/>
      <c r="K885" s="12"/>
    </row>
    <row r="886" ht="19.5" customHeight="1">
      <c r="A886" s="12"/>
      <c r="B886" s="583"/>
      <c r="C886" s="12"/>
      <c r="D886" s="13"/>
      <c r="F886" s="14"/>
      <c r="G886" s="14"/>
      <c r="H886" s="14"/>
      <c r="I886" s="14"/>
      <c r="J886" s="14"/>
      <c r="K886" s="12"/>
    </row>
    <row r="887" ht="19.5" customHeight="1">
      <c r="A887" s="12"/>
      <c r="B887" s="583"/>
      <c r="C887" s="12"/>
      <c r="D887" s="13"/>
      <c r="F887" s="14"/>
      <c r="G887" s="14"/>
      <c r="H887" s="14"/>
      <c r="I887" s="14"/>
      <c r="J887" s="14"/>
      <c r="K887" s="12"/>
    </row>
    <row r="888" ht="19.5" customHeight="1">
      <c r="A888" s="12"/>
      <c r="B888" s="583"/>
      <c r="C888" s="12"/>
      <c r="D888" s="13"/>
      <c r="F888" s="14"/>
      <c r="G888" s="14"/>
      <c r="H888" s="14"/>
      <c r="I888" s="14"/>
      <c r="J888" s="14"/>
      <c r="K888" s="12"/>
    </row>
    <row r="889" ht="19.5" customHeight="1">
      <c r="A889" s="12"/>
      <c r="B889" s="583"/>
      <c r="C889" s="12"/>
      <c r="D889" s="13"/>
      <c r="F889" s="14"/>
      <c r="G889" s="14"/>
      <c r="H889" s="14"/>
      <c r="I889" s="14"/>
      <c r="J889" s="14"/>
      <c r="K889" s="12"/>
    </row>
    <row r="890" ht="19.5" customHeight="1">
      <c r="A890" s="12"/>
      <c r="B890" s="583"/>
      <c r="C890" s="12"/>
      <c r="D890" s="13"/>
      <c r="F890" s="14"/>
      <c r="G890" s="14"/>
      <c r="H890" s="14"/>
      <c r="I890" s="14"/>
      <c r="J890" s="14"/>
      <c r="K890" s="12"/>
    </row>
    <row r="891" ht="19.5" customHeight="1">
      <c r="A891" s="12"/>
      <c r="B891" s="583"/>
      <c r="C891" s="12"/>
      <c r="D891" s="13"/>
      <c r="F891" s="14"/>
      <c r="G891" s="14"/>
      <c r="H891" s="14"/>
      <c r="I891" s="14"/>
      <c r="J891" s="14"/>
      <c r="K891" s="12"/>
    </row>
    <row r="892" ht="19.5" customHeight="1">
      <c r="A892" s="12"/>
      <c r="B892" s="583"/>
      <c r="C892" s="12"/>
      <c r="D892" s="13"/>
      <c r="F892" s="14"/>
      <c r="G892" s="14"/>
      <c r="H892" s="14"/>
      <c r="I892" s="14"/>
      <c r="J892" s="14"/>
      <c r="K892" s="12"/>
    </row>
    <row r="893" ht="19.5" customHeight="1">
      <c r="A893" s="12"/>
      <c r="B893" s="583"/>
      <c r="C893" s="12"/>
      <c r="D893" s="13"/>
      <c r="F893" s="14"/>
      <c r="G893" s="14"/>
      <c r="H893" s="14"/>
      <c r="I893" s="14"/>
      <c r="J893" s="14"/>
      <c r="K893" s="12"/>
    </row>
    <row r="894" ht="19.5" customHeight="1">
      <c r="A894" s="12"/>
      <c r="B894" s="583"/>
      <c r="C894" s="12"/>
      <c r="D894" s="13"/>
      <c r="F894" s="14"/>
      <c r="G894" s="14"/>
      <c r="H894" s="14"/>
      <c r="I894" s="14"/>
      <c r="J894" s="14"/>
      <c r="K894" s="12"/>
    </row>
    <row r="895" ht="19.5" customHeight="1">
      <c r="A895" s="12"/>
      <c r="B895" s="583"/>
      <c r="C895" s="12"/>
      <c r="D895" s="13"/>
      <c r="F895" s="14"/>
      <c r="G895" s="14"/>
      <c r="H895" s="14"/>
      <c r="I895" s="14"/>
      <c r="J895" s="14"/>
      <c r="K895" s="12"/>
    </row>
    <row r="896" ht="19.5" customHeight="1">
      <c r="A896" s="12"/>
      <c r="B896" s="583"/>
      <c r="C896" s="12"/>
      <c r="D896" s="13"/>
      <c r="F896" s="14"/>
      <c r="G896" s="14"/>
      <c r="H896" s="14"/>
      <c r="I896" s="14"/>
      <c r="J896" s="14"/>
      <c r="K896" s="12"/>
    </row>
    <row r="897" ht="19.5" customHeight="1">
      <c r="A897" s="12"/>
      <c r="B897" s="583"/>
      <c r="C897" s="12"/>
      <c r="D897" s="13"/>
      <c r="F897" s="14"/>
      <c r="G897" s="14"/>
      <c r="H897" s="14"/>
      <c r="I897" s="14"/>
      <c r="J897" s="14"/>
      <c r="K897" s="12"/>
    </row>
    <row r="898" ht="19.5" customHeight="1">
      <c r="A898" s="12"/>
      <c r="B898" s="583"/>
      <c r="C898" s="12"/>
      <c r="D898" s="13"/>
      <c r="F898" s="14"/>
      <c r="G898" s="14"/>
      <c r="H898" s="14"/>
      <c r="I898" s="14"/>
      <c r="J898" s="14"/>
      <c r="K898" s="12"/>
    </row>
    <row r="899" ht="19.5" customHeight="1">
      <c r="A899" s="12"/>
      <c r="B899" s="583"/>
      <c r="C899" s="12"/>
      <c r="D899" s="13"/>
      <c r="F899" s="14"/>
      <c r="G899" s="14"/>
      <c r="H899" s="14"/>
      <c r="I899" s="14"/>
      <c r="J899" s="14"/>
      <c r="K899" s="12"/>
    </row>
    <row r="900" ht="19.5" customHeight="1">
      <c r="A900" s="12"/>
      <c r="B900" s="583"/>
      <c r="C900" s="12"/>
      <c r="D900" s="13"/>
      <c r="F900" s="14"/>
      <c r="G900" s="14"/>
      <c r="H900" s="14"/>
      <c r="I900" s="14"/>
      <c r="J900" s="14"/>
      <c r="K900" s="12"/>
    </row>
    <row r="901" ht="19.5" customHeight="1">
      <c r="A901" s="12"/>
      <c r="B901" s="583"/>
      <c r="C901" s="12"/>
      <c r="D901" s="13"/>
      <c r="F901" s="14"/>
      <c r="G901" s="14"/>
      <c r="H901" s="14"/>
      <c r="I901" s="14"/>
      <c r="J901" s="14"/>
      <c r="K901" s="12"/>
    </row>
    <row r="902" ht="19.5" customHeight="1">
      <c r="A902" s="12"/>
      <c r="B902" s="583"/>
      <c r="C902" s="12"/>
      <c r="D902" s="13"/>
      <c r="F902" s="14"/>
      <c r="G902" s="14"/>
      <c r="H902" s="14"/>
      <c r="I902" s="14"/>
      <c r="J902" s="14"/>
      <c r="K902" s="12"/>
    </row>
    <row r="903" ht="19.5" customHeight="1">
      <c r="A903" s="12"/>
      <c r="B903" s="583"/>
      <c r="C903" s="12"/>
      <c r="D903" s="13"/>
      <c r="F903" s="14"/>
      <c r="G903" s="14"/>
      <c r="H903" s="14"/>
      <c r="I903" s="14"/>
      <c r="J903" s="14"/>
      <c r="K903" s="12"/>
    </row>
    <row r="904" ht="19.5" customHeight="1">
      <c r="A904" s="12"/>
      <c r="B904" s="583"/>
      <c r="C904" s="12"/>
      <c r="D904" s="13"/>
      <c r="F904" s="14"/>
      <c r="G904" s="14"/>
      <c r="H904" s="14"/>
      <c r="I904" s="14"/>
      <c r="J904" s="14"/>
      <c r="K904" s="12"/>
    </row>
    <row r="905" ht="19.5" customHeight="1">
      <c r="A905" s="12"/>
      <c r="B905" s="583"/>
      <c r="C905" s="12"/>
      <c r="D905" s="13"/>
      <c r="F905" s="14"/>
      <c r="G905" s="14"/>
      <c r="H905" s="14"/>
      <c r="I905" s="14"/>
      <c r="J905" s="14"/>
      <c r="K905" s="12"/>
    </row>
    <row r="906" ht="19.5" customHeight="1">
      <c r="A906" s="12"/>
      <c r="B906" s="583"/>
      <c r="C906" s="12"/>
      <c r="D906" s="13"/>
      <c r="F906" s="14"/>
      <c r="G906" s="14"/>
      <c r="H906" s="14"/>
      <c r="I906" s="14"/>
      <c r="J906" s="14"/>
      <c r="K906" s="12"/>
    </row>
    <row r="907" ht="19.5" customHeight="1">
      <c r="A907" s="12"/>
      <c r="B907" s="583"/>
      <c r="C907" s="12"/>
      <c r="D907" s="13"/>
      <c r="F907" s="14"/>
      <c r="G907" s="14"/>
      <c r="H907" s="14"/>
      <c r="I907" s="14"/>
      <c r="J907" s="14"/>
      <c r="K907" s="12"/>
    </row>
    <row r="908" ht="19.5" customHeight="1">
      <c r="A908" s="12"/>
      <c r="B908" s="583"/>
      <c r="C908" s="12"/>
      <c r="D908" s="13"/>
      <c r="F908" s="14"/>
      <c r="G908" s="14"/>
      <c r="H908" s="14"/>
      <c r="I908" s="14"/>
      <c r="J908" s="14"/>
      <c r="K908" s="12"/>
    </row>
    <row r="909" ht="19.5" customHeight="1">
      <c r="A909" s="12"/>
      <c r="B909" s="583"/>
      <c r="C909" s="12"/>
      <c r="D909" s="13"/>
      <c r="F909" s="14"/>
      <c r="G909" s="14"/>
      <c r="H909" s="14"/>
      <c r="I909" s="14"/>
      <c r="J909" s="14"/>
      <c r="K909" s="12"/>
    </row>
    <row r="910" ht="19.5" customHeight="1">
      <c r="A910" s="12"/>
      <c r="B910" s="583"/>
      <c r="C910" s="12"/>
      <c r="D910" s="13"/>
      <c r="F910" s="14"/>
      <c r="G910" s="14"/>
      <c r="H910" s="14"/>
      <c r="I910" s="14"/>
      <c r="J910" s="14"/>
      <c r="K910" s="12"/>
    </row>
    <row r="911" ht="19.5" customHeight="1">
      <c r="A911" s="12"/>
      <c r="B911" s="583"/>
      <c r="C911" s="12"/>
      <c r="D911" s="13"/>
      <c r="F911" s="14"/>
      <c r="G911" s="14"/>
      <c r="H911" s="14"/>
      <c r="I911" s="14"/>
      <c r="J911" s="14"/>
      <c r="K911" s="12"/>
    </row>
    <row r="912" ht="19.5" customHeight="1">
      <c r="A912" s="12"/>
      <c r="B912" s="583"/>
      <c r="C912" s="12"/>
      <c r="D912" s="13"/>
      <c r="F912" s="14"/>
      <c r="G912" s="14"/>
      <c r="H912" s="14"/>
      <c r="I912" s="14"/>
      <c r="J912" s="14"/>
      <c r="K912" s="12"/>
    </row>
    <row r="913" ht="19.5" customHeight="1">
      <c r="A913" s="12"/>
      <c r="B913" s="583"/>
      <c r="C913" s="12"/>
      <c r="D913" s="13"/>
      <c r="F913" s="14"/>
      <c r="G913" s="14"/>
      <c r="H913" s="14"/>
      <c r="I913" s="14"/>
      <c r="J913" s="14"/>
      <c r="K913" s="12"/>
    </row>
    <row r="914" ht="19.5" customHeight="1">
      <c r="A914" s="12"/>
      <c r="B914" s="583"/>
      <c r="C914" s="12"/>
      <c r="D914" s="13"/>
      <c r="F914" s="14"/>
      <c r="G914" s="14"/>
      <c r="H914" s="14"/>
      <c r="I914" s="14"/>
      <c r="J914" s="14"/>
      <c r="K914" s="12"/>
    </row>
    <row r="915" ht="19.5" customHeight="1">
      <c r="A915" s="12"/>
      <c r="B915" s="583"/>
      <c r="C915" s="12"/>
      <c r="D915" s="13"/>
      <c r="F915" s="14"/>
      <c r="G915" s="14"/>
      <c r="H915" s="14"/>
      <c r="I915" s="14"/>
      <c r="J915" s="14"/>
      <c r="K915" s="12"/>
    </row>
    <row r="916" ht="19.5" customHeight="1">
      <c r="A916" s="12"/>
      <c r="B916" s="583"/>
      <c r="C916" s="12"/>
      <c r="D916" s="13"/>
      <c r="F916" s="14"/>
      <c r="G916" s="14"/>
      <c r="H916" s="14"/>
      <c r="I916" s="14"/>
      <c r="J916" s="14"/>
      <c r="K916" s="12"/>
    </row>
    <row r="917" ht="19.5" customHeight="1">
      <c r="A917" s="12"/>
      <c r="B917" s="583"/>
      <c r="C917" s="12"/>
      <c r="D917" s="13"/>
      <c r="F917" s="14"/>
      <c r="G917" s="14"/>
      <c r="H917" s="14"/>
      <c r="I917" s="14"/>
      <c r="J917" s="14"/>
      <c r="K917" s="12"/>
    </row>
    <row r="918" ht="19.5" customHeight="1">
      <c r="A918" s="12"/>
      <c r="B918" s="583"/>
      <c r="C918" s="12"/>
      <c r="D918" s="13"/>
      <c r="F918" s="14"/>
      <c r="G918" s="14"/>
      <c r="H918" s="14"/>
      <c r="I918" s="14"/>
      <c r="J918" s="14"/>
      <c r="K918" s="12"/>
    </row>
    <row r="919" ht="19.5" customHeight="1">
      <c r="A919" s="12"/>
      <c r="B919" s="583"/>
      <c r="C919" s="12"/>
      <c r="D919" s="13"/>
      <c r="F919" s="14"/>
      <c r="G919" s="14"/>
      <c r="H919" s="14"/>
      <c r="I919" s="14"/>
      <c r="J919" s="14"/>
      <c r="K919" s="12"/>
    </row>
    <row r="920" ht="19.5" customHeight="1">
      <c r="A920" s="12"/>
      <c r="B920" s="583"/>
      <c r="C920" s="12"/>
      <c r="D920" s="13"/>
      <c r="F920" s="14"/>
      <c r="G920" s="14"/>
      <c r="H920" s="14"/>
      <c r="I920" s="14"/>
      <c r="J920" s="14"/>
      <c r="K920" s="12"/>
    </row>
    <row r="921" ht="19.5" customHeight="1">
      <c r="A921" s="12"/>
      <c r="B921" s="583"/>
      <c r="C921" s="12"/>
      <c r="D921" s="13"/>
      <c r="F921" s="14"/>
      <c r="G921" s="14"/>
      <c r="H921" s="14"/>
      <c r="I921" s="14"/>
      <c r="J921" s="14"/>
      <c r="K921" s="12"/>
    </row>
    <row r="922" ht="19.5" customHeight="1">
      <c r="A922" s="12"/>
      <c r="B922" s="583"/>
      <c r="C922" s="12"/>
      <c r="D922" s="13"/>
      <c r="F922" s="14"/>
      <c r="G922" s="14"/>
      <c r="H922" s="14"/>
      <c r="I922" s="14"/>
      <c r="J922" s="14"/>
      <c r="K922" s="12"/>
    </row>
    <row r="923" ht="19.5" customHeight="1">
      <c r="A923" s="12"/>
      <c r="B923" s="583"/>
      <c r="C923" s="12"/>
      <c r="D923" s="13"/>
      <c r="F923" s="14"/>
      <c r="G923" s="14"/>
      <c r="H923" s="14"/>
      <c r="I923" s="14"/>
      <c r="J923" s="14"/>
      <c r="K923" s="12"/>
    </row>
    <row r="924" ht="19.5" customHeight="1">
      <c r="A924" s="12"/>
      <c r="B924" s="583"/>
      <c r="C924" s="12"/>
      <c r="D924" s="13"/>
      <c r="F924" s="14"/>
      <c r="G924" s="14"/>
      <c r="H924" s="14"/>
      <c r="I924" s="14"/>
      <c r="J924" s="14"/>
      <c r="K924" s="12"/>
    </row>
    <row r="925" ht="19.5" customHeight="1">
      <c r="A925" s="12"/>
      <c r="B925" s="583"/>
      <c r="C925" s="12"/>
      <c r="D925" s="13"/>
      <c r="F925" s="14"/>
      <c r="G925" s="14"/>
      <c r="H925" s="14"/>
      <c r="I925" s="14"/>
      <c r="J925" s="14"/>
      <c r="K925" s="12"/>
    </row>
    <row r="926" ht="19.5" customHeight="1">
      <c r="A926" s="12"/>
      <c r="B926" s="583"/>
      <c r="C926" s="12"/>
      <c r="D926" s="13"/>
      <c r="F926" s="14"/>
      <c r="G926" s="14"/>
      <c r="H926" s="14"/>
      <c r="I926" s="14"/>
      <c r="J926" s="14"/>
      <c r="K926" s="12"/>
    </row>
    <row r="927" ht="19.5" customHeight="1">
      <c r="A927" s="12"/>
      <c r="B927" s="583"/>
      <c r="C927" s="12"/>
      <c r="D927" s="13"/>
      <c r="F927" s="14"/>
      <c r="G927" s="14"/>
      <c r="H927" s="14"/>
      <c r="I927" s="14"/>
      <c r="J927" s="14"/>
      <c r="K927" s="12"/>
    </row>
    <row r="928" ht="19.5" customHeight="1">
      <c r="A928" s="12"/>
      <c r="B928" s="583"/>
      <c r="C928" s="12"/>
      <c r="D928" s="13"/>
      <c r="F928" s="14"/>
      <c r="G928" s="14"/>
      <c r="H928" s="14"/>
      <c r="I928" s="14"/>
      <c r="J928" s="14"/>
      <c r="K928" s="12"/>
    </row>
    <row r="929" ht="19.5" customHeight="1">
      <c r="A929" s="12"/>
      <c r="B929" s="583"/>
      <c r="C929" s="12"/>
      <c r="D929" s="13"/>
      <c r="F929" s="14"/>
      <c r="G929" s="14"/>
      <c r="H929" s="14"/>
      <c r="I929" s="14"/>
      <c r="J929" s="14"/>
      <c r="K929" s="12"/>
    </row>
    <row r="930" ht="19.5" customHeight="1">
      <c r="A930" s="12"/>
      <c r="B930" s="583"/>
      <c r="C930" s="12"/>
      <c r="D930" s="13"/>
      <c r="F930" s="14"/>
      <c r="G930" s="14"/>
      <c r="H930" s="14"/>
      <c r="I930" s="14"/>
      <c r="J930" s="14"/>
      <c r="K930" s="12"/>
    </row>
    <row r="931" ht="19.5" customHeight="1">
      <c r="A931" s="12"/>
      <c r="B931" s="583"/>
      <c r="C931" s="12"/>
      <c r="D931" s="13"/>
      <c r="F931" s="14"/>
      <c r="G931" s="14"/>
      <c r="H931" s="14"/>
      <c r="I931" s="14"/>
      <c r="J931" s="14"/>
      <c r="K931" s="12"/>
    </row>
    <row r="932" ht="19.5" customHeight="1">
      <c r="A932" s="12"/>
      <c r="B932" s="583"/>
      <c r="C932" s="12"/>
      <c r="D932" s="13"/>
      <c r="F932" s="14"/>
      <c r="G932" s="14"/>
      <c r="H932" s="14"/>
      <c r="I932" s="14"/>
      <c r="J932" s="14"/>
      <c r="K932" s="12"/>
    </row>
    <row r="933" ht="19.5" customHeight="1">
      <c r="A933" s="12"/>
      <c r="B933" s="583"/>
      <c r="C933" s="12"/>
      <c r="D933" s="13"/>
      <c r="F933" s="14"/>
      <c r="G933" s="14"/>
      <c r="H933" s="14"/>
      <c r="I933" s="14"/>
      <c r="J933" s="14"/>
      <c r="K933" s="12"/>
    </row>
    <row r="934" ht="19.5" customHeight="1">
      <c r="A934" s="12"/>
      <c r="B934" s="583"/>
      <c r="C934" s="12"/>
      <c r="D934" s="13"/>
      <c r="F934" s="14"/>
      <c r="G934" s="14"/>
      <c r="H934" s="14"/>
      <c r="I934" s="14"/>
      <c r="J934" s="14"/>
      <c r="K934" s="12"/>
    </row>
    <row r="935" ht="19.5" customHeight="1">
      <c r="A935" s="12"/>
      <c r="B935" s="583"/>
      <c r="C935" s="12"/>
      <c r="D935" s="13"/>
      <c r="F935" s="14"/>
      <c r="G935" s="14"/>
      <c r="H935" s="14"/>
      <c r="I935" s="14"/>
      <c r="J935" s="14"/>
      <c r="K935" s="12"/>
    </row>
    <row r="936" ht="19.5" customHeight="1">
      <c r="A936" s="12"/>
      <c r="B936" s="583"/>
      <c r="C936" s="12"/>
      <c r="D936" s="13"/>
      <c r="F936" s="14"/>
      <c r="G936" s="14"/>
      <c r="H936" s="14"/>
      <c r="I936" s="14"/>
      <c r="J936" s="14"/>
      <c r="K936" s="12"/>
    </row>
    <row r="937" ht="19.5" customHeight="1">
      <c r="A937" s="12"/>
      <c r="B937" s="583"/>
      <c r="C937" s="12"/>
      <c r="D937" s="13"/>
      <c r="F937" s="14"/>
      <c r="G937" s="14"/>
      <c r="H937" s="14"/>
      <c r="I937" s="14"/>
      <c r="J937" s="14"/>
      <c r="K937" s="12"/>
    </row>
    <row r="938" ht="19.5" customHeight="1">
      <c r="A938" s="12"/>
      <c r="B938" s="583"/>
      <c r="C938" s="12"/>
      <c r="D938" s="13"/>
      <c r="F938" s="14"/>
      <c r="G938" s="14"/>
      <c r="H938" s="14"/>
      <c r="I938" s="14"/>
      <c r="J938" s="14"/>
      <c r="K938" s="12"/>
    </row>
    <row r="939" ht="19.5" customHeight="1">
      <c r="A939" s="12"/>
      <c r="B939" s="583"/>
      <c r="C939" s="12"/>
      <c r="D939" s="13"/>
      <c r="F939" s="14"/>
      <c r="G939" s="14"/>
      <c r="H939" s="14"/>
      <c r="I939" s="14"/>
      <c r="J939" s="14"/>
      <c r="K939" s="12"/>
    </row>
    <row r="940" ht="19.5" customHeight="1">
      <c r="A940" s="12"/>
      <c r="B940" s="583"/>
      <c r="C940" s="12"/>
      <c r="D940" s="13"/>
      <c r="F940" s="14"/>
      <c r="G940" s="14"/>
      <c r="H940" s="14"/>
      <c r="I940" s="14"/>
      <c r="J940" s="14"/>
      <c r="K940" s="12"/>
    </row>
    <row r="941" ht="19.5" customHeight="1">
      <c r="A941" s="12"/>
      <c r="B941" s="583"/>
      <c r="C941" s="12"/>
      <c r="D941" s="13"/>
      <c r="F941" s="14"/>
      <c r="G941" s="14"/>
      <c r="H941" s="14"/>
      <c r="I941" s="14"/>
      <c r="J941" s="14"/>
      <c r="K941" s="12"/>
    </row>
    <row r="942" ht="19.5" customHeight="1">
      <c r="A942" s="12"/>
      <c r="B942" s="583"/>
      <c r="C942" s="12"/>
      <c r="D942" s="13"/>
      <c r="F942" s="14"/>
      <c r="G942" s="14"/>
      <c r="H942" s="14"/>
      <c r="I942" s="14"/>
      <c r="J942" s="14"/>
      <c r="K942" s="12"/>
    </row>
    <row r="943" ht="19.5" customHeight="1">
      <c r="A943" s="12"/>
      <c r="B943" s="583"/>
      <c r="C943" s="12"/>
      <c r="D943" s="13"/>
      <c r="F943" s="14"/>
      <c r="G943" s="14"/>
      <c r="H943" s="14"/>
      <c r="I943" s="14"/>
      <c r="J943" s="14"/>
      <c r="K943" s="12"/>
    </row>
    <row r="944" ht="19.5" customHeight="1">
      <c r="A944" s="12"/>
      <c r="B944" s="583"/>
      <c r="C944" s="12"/>
      <c r="D944" s="13"/>
      <c r="F944" s="14"/>
      <c r="G944" s="14"/>
      <c r="H944" s="14"/>
      <c r="I944" s="14"/>
      <c r="J944" s="14"/>
      <c r="K944" s="12"/>
    </row>
    <row r="945" ht="19.5" customHeight="1">
      <c r="A945" s="12"/>
      <c r="B945" s="583"/>
      <c r="C945" s="12"/>
      <c r="D945" s="13"/>
      <c r="F945" s="14"/>
      <c r="G945" s="14"/>
      <c r="H945" s="14"/>
      <c r="I945" s="14"/>
      <c r="J945" s="14"/>
      <c r="K945" s="12"/>
    </row>
    <row r="946" ht="19.5" customHeight="1">
      <c r="A946" s="12"/>
      <c r="B946" s="583"/>
      <c r="C946" s="12"/>
      <c r="D946" s="13"/>
      <c r="F946" s="14"/>
      <c r="G946" s="14"/>
      <c r="H946" s="14"/>
      <c r="I946" s="14"/>
      <c r="J946" s="14"/>
      <c r="K946" s="12"/>
    </row>
    <row r="947" ht="19.5" customHeight="1">
      <c r="A947" s="12"/>
      <c r="B947" s="583"/>
      <c r="C947" s="12"/>
      <c r="D947" s="13"/>
      <c r="F947" s="14"/>
      <c r="G947" s="14"/>
      <c r="H947" s="14"/>
      <c r="I947" s="14"/>
      <c r="J947" s="14"/>
      <c r="K947" s="12"/>
    </row>
    <row r="948" ht="19.5" customHeight="1">
      <c r="A948" s="12"/>
      <c r="B948" s="583"/>
      <c r="C948" s="12"/>
      <c r="D948" s="13"/>
      <c r="F948" s="14"/>
      <c r="G948" s="14"/>
      <c r="H948" s="14"/>
      <c r="I948" s="14"/>
      <c r="J948" s="14"/>
      <c r="K948" s="12"/>
    </row>
    <row r="949" ht="19.5" customHeight="1">
      <c r="A949" s="12"/>
      <c r="B949" s="583"/>
      <c r="C949" s="12"/>
      <c r="D949" s="13"/>
      <c r="F949" s="14"/>
      <c r="G949" s="14"/>
      <c r="H949" s="14"/>
      <c r="I949" s="14"/>
      <c r="J949" s="14"/>
      <c r="K949" s="12"/>
    </row>
    <row r="950" ht="19.5" customHeight="1">
      <c r="A950" s="12"/>
      <c r="B950" s="583"/>
      <c r="C950" s="12"/>
      <c r="D950" s="13"/>
      <c r="F950" s="14"/>
      <c r="G950" s="14"/>
      <c r="H950" s="14"/>
      <c r="I950" s="14"/>
      <c r="J950" s="14"/>
      <c r="K950" s="12"/>
    </row>
    <row r="951" ht="19.5" customHeight="1">
      <c r="A951" s="12"/>
      <c r="B951" s="583"/>
      <c r="C951" s="12"/>
      <c r="D951" s="13"/>
      <c r="F951" s="14"/>
      <c r="G951" s="14"/>
      <c r="H951" s="14"/>
      <c r="I951" s="14"/>
      <c r="J951" s="14"/>
      <c r="K951" s="12"/>
    </row>
    <row r="952" ht="19.5" customHeight="1">
      <c r="A952" s="12"/>
      <c r="B952" s="583"/>
      <c r="C952" s="12"/>
      <c r="D952" s="13"/>
      <c r="F952" s="14"/>
      <c r="G952" s="14"/>
      <c r="H952" s="14"/>
      <c r="I952" s="14"/>
      <c r="J952" s="14"/>
      <c r="K952" s="12"/>
    </row>
    <row r="953" ht="19.5" customHeight="1">
      <c r="A953" s="12"/>
      <c r="B953" s="583"/>
      <c r="C953" s="12"/>
      <c r="D953" s="13"/>
      <c r="F953" s="14"/>
      <c r="G953" s="14"/>
      <c r="H953" s="14"/>
      <c r="I953" s="14"/>
      <c r="J953" s="14"/>
      <c r="K953" s="12"/>
    </row>
    <row r="954" ht="19.5" customHeight="1">
      <c r="A954" s="12"/>
      <c r="B954" s="583"/>
      <c r="C954" s="12"/>
      <c r="D954" s="13"/>
      <c r="F954" s="14"/>
      <c r="G954" s="14"/>
      <c r="H954" s="14"/>
      <c r="I954" s="14"/>
      <c r="J954" s="14"/>
      <c r="K954" s="12"/>
    </row>
    <row r="955" ht="19.5" customHeight="1">
      <c r="A955" s="12"/>
      <c r="B955" s="583"/>
      <c r="C955" s="12"/>
      <c r="D955" s="13"/>
      <c r="F955" s="14"/>
      <c r="G955" s="14"/>
      <c r="H955" s="14"/>
      <c r="I955" s="14"/>
      <c r="J955" s="14"/>
      <c r="K955" s="12"/>
    </row>
    <row r="956" ht="19.5" customHeight="1">
      <c r="A956" s="12"/>
      <c r="B956" s="583"/>
      <c r="C956" s="12"/>
      <c r="D956" s="13"/>
      <c r="F956" s="14"/>
      <c r="G956" s="14"/>
      <c r="H956" s="14"/>
      <c r="I956" s="14"/>
      <c r="J956" s="14"/>
      <c r="K956" s="12"/>
    </row>
    <row r="957" ht="19.5" customHeight="1">
      <c r="A957" s="12"/>
      <c r="B957" s="583"/>
      <c r="C957" s="12"/>
      <c r="D957" s="13"/>
      <c r="F957" s="14"/>
      <c r="G957" s="14"/>
      <c r="H957" s="14"/>
      <c r="I957" s="14"/>
      <c r="J957" s="14"/>
      <c r="K957" s="12"/>
    </row>
    <row r="958" ht="19.5" customHeight="1">
      <c r="A958" s="12"/>
      <c r="B958" s="583"/>
      <c r="C958" s="12"/>
      <c r="D958" s="13"/>
      <c r="F958" s="14"/>
      <c r="G958" s="14"/>
      <c r="H958" s="14"/>
      <c r="I958" s="14"/>
      <c r="J958" s="14"/>
      <c r="K958" s="12"/>
    </row>
    <row r="959" ht="19.5" customHeight="1">
      <c r="A959" s="12"/>
      <c r="B959" s="583"/>
      <c r="C959" s="12"/>
      <c r="D959" s="13"/>
      <c r="F959" s="14"/>
      <c r="G959" s="14"/>
      <c r="H959" s="14"/>
      <c r="I959" s="14"/>
      <c r="J959" s="14"/>
      <c r="K959" s="12"/>
    </row>
    <row r="960" ht="19.5" customHeight="1">
      <c r="A960" s="12"/>
      <c r="B960" s="583"/>
      <c r="C960" s="12"/>
      <c r="D960" s="13"/>
      <c r="F960" s="14"/>
      <c r="G960" s="14"/>
      <c r="H960" s="14"/>
      <c r="I960" s="14"/>
      <c r="J960" s="14"/>
      <c r="K960" s="12"/>
    </row>
    <row r="961" ht="19.5" customHeight="1">
      <c r="A961" s="12"/>
      <c r="B961" s="583"/>
      <c r="C961" s="12"/>
      <c r="D961" s="13"/>
      <c r="F961" s="14"/>
      <c r="G961" s="14"/>
      <c r="H961" s="14"/>
      <c r="I961" s="14"/>
      <c r="J961" s="14"/>
      <c r="K961" s="12"/>
    </row>
    <row r="962" ht="19.5" customHeight="1">
      <c r="A962" s="12"/>
      <c r="B962" s="583"/>
      <c r="C962" s="12"/>
      <c r="D962" s="13"/>
      <c r="F962" s="14"/>
      <c r="G962" s="14"/>
      <c r="H962" s="14"/>
      <c r="I962" s="14"/>
      <c r="J962" s="14"/>
      <c r="K962" s="12"/>
    </row>
    <row r="963" ht="19.5" customHeight="1">
      <c r="A963" s="12"/>
      <c r="B963" s="583"/>
      <c r="C963" s="12"/>
      <c r="D963" s="13"/>
      <c r="F963" s="14"/>
      <c r="G963" s="14"/>
      <c r="H963" s="14"/>
      <c r="I963" s="14"/>
      <c r="J963" s="14"/>
      <c r="K963" s="12"/>
    </row>
  </sheetData>
  <mergeCells count="15">
    <mergeCell ref="E9:G9"/>
    <mergeCell ref="J9:J10"/>
    <mergeCell ref="J12:J17"/>
    <mergeCell ref="J19:J23"/>
    <mergeCell ref="J25:J29"/>
    <mergeCell ref="J31:J35"/>
    <mergeCell ref="J37:J41"/>
    <mergeCell ref="A6:K6"/>
    <mergeCell ref="A7:K7"/>
    <mergeCell ref="A8:K8"/>
    <mergeCell ref="A9:A10"/>
    <mergeCell ref="B9:B10"/>
    <mergeCell ref="C9:C10"/>
    <mergeCell ref="D9:D10"/>
    <mergeCell ref="K9:K10"/>
  </mergeCells>
  <printOptions/>
  <pageMargins bottom="0.787401575" footer="0.0" header="0.0" left="0.511811024" right="0.511811024" top="0.787401575"/>
  <pageSetup orientation="landscape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42.13"/>
    <col customWidth="1" min="3" max="3" width="9.13"/>
    <col customWidth="1" min="4" max="4" width="16.25"/>
    <col customWidth="1" min="5" max="5" width="19.13"/>
    <col customWidth="1" min="6" max="6" width="17.75"/>
    <col customWidth="1" min="7" max="7" width="21.88"/>
    <col customWidth="1" min="8" max="8" width="20.13"/>
    <col customWidth="1" min="9" max="9" width="16.13"/>
    <col customWidth="1" min="10" max="10" width="18.25"/>
    <col customWidth="1" min="11" max="11" width="32.38"/>
    <col customWidth="1" min="12" max="26" width="8.63"/>
  </cols>
  <sheetData>
    <row r="1" ht="19.5" customHeight="1">
      <c r="A1" s="4"/>
      <c r="B1" s="5"/>
      <c r="C1" s="6"/>
      <c r="D1" s="86"/>
      <c r="E1" s="5"/>
      <c r="F1" s="8"/>
      <c r="G1" s="8"/>
      <c r="H1" s="8"/>
      <c r="I1" s="8"/>
      <c r="J1" s="8"/>
      <c r="K1" s="9"/>
    </row>
    <row r="2" ht="19.5" customHeight="1">
      <c r="A2" s="10" t="s">
        <v>83</v>
      </c>
      <c r="B2" s="11" t="s">
        <v>84</v>
      </c>
      <c r="C2" s="12"/>
      <c r="D2" s="87"/>
      <c r="F2" s="14"/>
      <c r="G2" s="14"/>
      <c r="H2" s="14"/>
      <c r="I2" s="14"/>
      <c r="J2" s="17" t="s">
        <v>144</v>
      </c>
      <c r="K2" s="18"/>
    </row>
    <row r="3" ht="19.5" customHeight="1">
      <c r="A3" s="10" t="s">
        <v>86</v>
      </c>
      <c r="B3" s="11" t="s">
        <v>87</v>
      </c>
      <c r="C3" s="12"/>
      <c r="D3" s="87"/>
      <c r="F3" s="14"/>
      <c r="G3" s="14"/>
      <c r="H3" s="14"/>
      <c r="I3" s="14"/>
      <c r="J3" s="14"/>
      <c r="K3" s="18"/>
    </row>
    <row r="4" ht="19.5" customHeight="1">
      <c r="A4" s="19"/>
      <c r="C4" s="12"/>
      <c r="D4" s="87"/>
      <c r="F4" s="14"/>
      <c r="G4" s="14"/>
      <c r="H4" s="14"/>
      <c r="I4" s="14"/>
      <c r="J4" s="14"/>
      <c r="K4" s="18"/>
    </row>
    <row r="5" ht="19.5" customHeight="1">
      <c r="A5" s="19"/>
      <c r="C5" s="12"/>
      <c r="D5" s="87"/>
      <c r="F5" s="14"/>
      <c r="G5" s="14"/>
      <c r="H5" s="14"/>
      <c r="I5" s="14"/>
      <c r="J5" s="14"/>
      <c r="K5" s="18"/>
    </row>
    <row r="6" ht="66.0" customHeight="1">
      <c r="A6" s="20" t="s">
        <v>1870</v>
      </c>
      <c r="K6" s="21"/>
    </row>
    <row r="7" ht="64.5" customHeight="1">
      <c r="A7" s="22" t="s">
        <v>1871</v>
      </c>
      <c r="K7" s="21"/>
    </row>
    <row r="8" ht="37.5" customHeight="1">
      <c r="A8" s="88" t="s">
        <v>90</v>
      </c>
      <c r="B8" s="24"/>
      <c r="C8" s="24"/>
      <c r="D8" s="24"/>
      <c r="E8" s="24"/>
      <c r="F8" s="24"/>
      <c r="G8" s="24"/>
      <c r="H8" s="24"/>
      <c r="I8" s="24"/>
      <c r="J8" s="24"/>
      <c r="K8" s="25"/>
    </row>
    <row r="9" ht="19.5" customHeight="1">
      <c r="A9" s="26" t="s">
        <v>1</v>
      </c>
      <c r="B9" s="26" t="s">
        <v>91</v>
      </c>
      <c r="C9" s="26" t="s">
        <v>92</v>
      </c>
      <c r="D9" s="31" t="s">
        <v>93</v>
      </c>
      <c r="E9" s="27" t="s">
        <v>94</v>
      </c>
      <c r="F9" s="28"/>
      <c r="G9" s="29"/>
      <c r="H9" s="30"/>
      <c r="I9" s="30"/>
      <c r="J9" s="31" t="s">
        <v>95</v>
      </c>
      <c r="K9" s="26" t="s">
        <v>96</v>
      </c>
    </row>
    <row r="10" ht="19.5" customHeight="1">
      <c r="A10" s="32"/>
      <c r="B10" s="32"/>
      <c r="C10" s="32"/>
      <c r="D10" s="32"/>
      <c r="E10" s="33" t="s">
        <v>97</v>
      </c>
      <c r="F10" s="34" t="s">
        <v>121</v>
      </c>
      <c r="G10" s="34" t="s">
        <v>99</v>
      </c>
      <c r="H10" s="35" t="s">
        <v>100</v>
      </c>
      <c r="I10" s="35" t="s">
        <v>101</v>
      </c>
      <c r="J10" s="32"/>
      <c r="K10" s="32"/>
    </row>
    <row r="11" ht="19.5" customHeight="1">
      <c r="A11" s="46">
        <v>1.0</v>
      </c>
      <c r="B11" s="37" t="s">
        <v>147</v>
      </c>
      <c r="C11" s="46" t="s">
        <v>148</v>
      </c>
      <c r="D11" s="78">
        <v>4.0</v>
      </c>
      <c r="E11" s="37">
        <v>0.4</v>
      </c>
      <c r="F11" s="40">
        <v>0.5</v>
      </c>
      <c r="G11" s="40">
        <v>0.5</v>
      </c>
      <c r="H11" s="40">
        <f>G11*F11*E11*D11</f>
        <v>0.4</v>
      </c>
      <c r="I11" s="42"/>
      <c r="J11" s="43">
        <f>H11-I11</f>
        <v>0.4</v>
      </c>
      <c r="K11" s="46"/>
    </row>
    <row r="12" ht="19.5" customHeight="1">
      <c r="A12" s="74" t="s">
        <v>1</v>
      </c>
      <c r="B12" s="74" t="s">
        <v>91</v>
      </c>
      <c r="C12" s="74" t="s">
        <v>92</v>
      </c>
      <c r="D12" s="76" t="s">
        <v>93</v>
      </c>
      <c r="E12" s="50" t="s">
        <v>97</v>
      </c>
      <c r="F12" s="53" t="s">
        <v>121</v>
      </c>
      <c r="G12" s="53" t="s">
        <v>99</v>
      </c>
      <c r="H12" s="75" t="s">
        <v>100</v>
      </c>
      <c r="I12" s="75" t="s">
        <v>101</v>
      </c>
      <c r="J12" s="76" t="s">
        <v>95</v>
      </c>
      <c r="K12" s="74" t="s">
        <v>96</v>
      </c>
    </row>
    <row r="13" ht="19.5" customHeight="1">
      <c r="A13" s="46">
        <v>1.0</v>
      </c>
      <c r="B13" s="37" t="s">
        <v>150</v>
      </c>
      <c r="C13" s="46" t="s">
        <v>148</v>
      </c>
      <c r="D13" s="78">
        <v>2.0</v>
      </c>
      <c r="E13" s="37"/>
      <c r="F13" s="40">
        <v>2.0</v>
      </c>
      <c r="G13" s="40">
        <v>1.0</v>
      </c>
      <c r="H13" s="40">
        <f>(G13+F13)*D13</f>
        <v>6</v>
      </c>
      <c r="I13" s="42"/>
      <c r="J13" s="64">
        <f>H13</f>
        <v>6</v>
      </c>
      <c r="K13" s="46"/>
    </row>
    <row r="14" ht="19.5" customHeight="1">
      <c r="A14" s="74" t="s">
        <v>1</v>
      </c>
      <c r="B14" s="74" t="s">
        <v>91</v>
      </c>
      <c r="C14" s="74" t="s">
        <v>92</v>
      </c>
      <c r="D14" s="76" t="s">
        <v>93</v>
      </c>
      <c r="E14" s="50" t="s">
        <v>97</v>
      </c>
      <c r="F14" s="53" t="s">
        <v>121</v>
      </c>
      <c r="G14" s="53" t="s">
        <v>99</v>
      </c>
      <c r="H14" s="75" t="s">
        <v>100</v>
      </c>
      <c r="I14" s="75" t="s">
        <v>101</v>
      </c>
      <c r="J14" s="76" t="s">
        <v>95</v>
      </c>
      <c r="K14" s="74" t="s">
        <v>96</v>
      </c>
    </row>
    <row r="15" ht="19.5" customHeight="1">
      <c r="A15" s="46">
        <v>1.0</v>
      </c>
      <c r="B15" s="37" t="s">
        <v>332</v>
      </c>
      <c r="C15" s="46" t="s">
        <v>148</v>
      </c>
      <c r="D15" s="78">
        <f>D11</f>
        <v>4</v>
      </c>
      <c r="E15" s="37"/>
      <c r="F15" s="40">
        <f t="shared" ref="F15:G15" si="1">F11</f>
        <v>0.5</v>
      </c>
      <c r="G15" s="40">
        <f t="shared" si="1"/>
        <v>0.5</v>
      </c>
      <c r="H15" s="40">
        <f>G15*F15*D15</f>
        <v>1</v>
      </c>
      <c r="I15" s="42"/>
      <c r="J15" s="64">
        <f>H15</f>
        <v>1</v>
      </c>
      <c r="K15" s="46"/>
    </row>
    <row r="16" ht="19.5" customHeight="1">
      <c r="A16" s="74" t="s">
        <v>1</v>
      </c>
      <c r="B16" s="74" t="s">
        <v>91</v>
      </c>
      <c r="C16" s="74" t="s">
        <v>92</v>
      </c>
      <c r="D16" s="76" t="s">
        <v>93</v>
      </c>
      <c r="E16" s="50" t="s">
        <v>97</v>
      </c>
      <c r="F16" s="53" t="s">
        <v>121</v>
      </c>
      <c r="G16" s="53" t="s">
        <v>99</v>
      </c>
      <c r="H16" s="75" t="s">
        <v>100</v>
      </c>
      <c r="I16" s="75" t="s">
        <v>101</v>
      </c>
      <c r="J16" s="76" t="s">
        <v>95</v>
      </c>
      <c r="K16" s="74" t="s">
        <v>96</v>
      </c>
    </row>
    <row r="17" ht="19.5" customHeight="1">
      <c r="A17" s="46">
        <v>1.0</v>
      </c>
      <c r="B17" s="37" t="s">
        <v>333</v>
      </c>
      <c r="C17" s="46" t="s">
        <v>148</v>
      </c>
      <c r="D17" s="78">
        <f>D15</f>
        <v>4</v>
      </c>
      <c r="E17" s="37">
        <v>0.05</v>
      </c>
      <c r="F17" s="40">
        <f t="shared" ref="F17:G17" si="2">F15</f>
        <v>0.5</v>
      </c>
      <c r="G17" s="40">
        <f t="shared" si="2"/>
        <v>0.5</v>
      </c>
      <c r="H17" s="40">
        <f>G17*F17*E17*D17</f>
        <v>0.05</v>
      </c>
      <c r="I17" s="42"/>
      <c r="J17" s="64">
        <f>H17</f>
        <v>0.05</v>
      </c>
      <c r="K17" s="46"/>
    </row>
    <row r="18" ht="19.5" customHeight="1">
      <c r="A18" s="74" t="s">
        <v>1</v>
      </c>
      <c r="B18" s="74" t="s">
        <v>91</v>
      </c>
      <c r="C18" s="74" t="s">
        <v>92</v>
      </c>
      <c r="D18" s="76" t="s">
        <v>93</v>
      </c>
      <c r="E18" s="50" t="s">
        <v>97</v>
      </c>
      <c r="F18" s="53" t="s">
        <v>121</v>
      </c>
      <c r="G18" s="53" t="s">
        <v>99</v>
      </c>
      <c r="H18" s="75" t="s">
        <v>100</v>
      </c>
      <c r="I18" s="75" t="s">
        <v>101</v>
      </c>
      <c r="J18" s="76" t="s">
        <v>95</v>
      </c>
      <c r="K18" s="74" t="s">
        <v>96</v>
      </c>
    </row>
    <row r="19" ht="19.5" customHeight="1">
      <c r="A19" s="46">
        <v>1.0</v>
      </c>
      <c r="B19" s="37" t="s">
        <v>334</v>
      </c>
      <c r="C19" s="46" t="s">
        <v>148</v>
      </c>
      <c r="D19" s="78">
        <f>D17</f>
        <v>4</v>
      </c>
      <c r="E19" s="37">
        <v>0.5</v>
      </c>
      <c r="F19" s="40">
        <v>0.25</v>
      </c>
      <c r="G19" s="40">
        <v>0.3</v>
      </c>
      <c r="H19" s="40">
        <f>G19*F19*E19*D19</f>
        <v>0.15</v>
      </c>
      <c r="I19" s="42"/>
      <c r="J19" s="43">
        <f>H19-I19</f>
        <v>0.15</v>
      </c>
      <c r="K19" s="46"/>
    </row>
    <row r="20" ht="19.5" customHeight="1">
      <c r="A20" s="74" t="s">
        <v>1</v>
      </c>
      <c r="B20" s="74" t="s">
        <v>91</v>
      </c>
      <c r="C20" s="74" t="s">
        <v>92</v>
      </c>
      <c r="D20" s="76" t="s">
        <v>93</v>
      </c>
      <c r="E20" s="50" t="s">
        <v>97</v>
      </c>
      <c r="F20" s="53" t="s">
        <v>121</v>
      </c>
      <c r="G20" s="53" t="s">
        <v>99</v>
      </c>
      <c r="H20" s="75" t="s">
        <v>100</v>
      </c>
      <c r="I20" s="75" t="s">
        <v>101</v>
      </c>
      <c r="J20" s="76" t="s">
        <v>95</v>
      </c>
      <c r="K20" s="74" t="s">
        <v>96</v>
      </c>
    </row>
    <row r="21" ht="19.5" customHeight="1">
      <c r="A21" s="46">
        <v>1.0</v>
      </c>
      <c r="B21" s="37" t="s">
        <v>1348</v>
      </c>
      <c r="C21" s="46" t="s">
        <v>148</v>
      </c>
      <c r="D21" s="78">
        <v>4.0</v>
      </c>
      <c r="E21" s="37">
        <v>2.0</v>
      </c>
      <c r="F21" s="40">
        <v>0.15</v>
      </c>
      <c r="G21" s="40">
        <v>0.1</v>
      </c>
      <c r="H21" s="40">
        <f>G21*F21*E21*D21</f>
        <v>0.12</v>
      </c>
      <c r="I21" s="42"/>
      <c r="J21" s="107"/>
      <c r="K21" s="46"/>
    </row>
    <row r="22" ht="19.5" customHeight="1">
      <c r="A22" s="46"/>
      <c r="B22" s="37"/>
      <c r="C22" s="46"/>
      <c r="D22" s="78"/>
      <c r="E22" s="37"/>
      <c r="F22" s="40"/>
      <c r="G22" s="40"/>
      <c r="H22" s="40"/>
      <c r="I22" s="42"/>
      <c r="J22" s="96">
        <f>SUM(H21:H22)</f>
        <v>0.12</v>
      </c>
      <c r="K22" s="79"/>
    </row>
    <row r="23" ht="19.5" customHeight="1">
      <c r="A23" s="74" t="s">
        <v>1</v>
      </c>
      <c r="B23" s="74" t="s">
        <v>91</v>
      </c>
      <c r="C23" s="74" t="s">
        <v>92</v>
      </c>
      <c r="D23" s="76" t="s">
        <v>93</v>
      </c>
      <c r="E23" s="50" t="s">
        <v>97</v>
      </c>
      <c r="F23" s="53" t="s">
        <v>121</v>
      </c>
      <c r="G23" s="53" t="s">
        <v>99</v>
      </c>
      <c r="H23" s="75" t="s">
        <v>100</v>
      </c>
      <c r="I23" s="75" t="s">
        <v>101</v>
      </c>
      <c r="J23" s="76" t="s">
        <v>95</v>
      </c>
      <c r="K23" s="74" t="s">
        <v>96</v>
      </c>
    </row>
    <row r="24" ht="19.5" customHeight="1">
      <c r="A24" s="46">
        <v>1.0</v>
      </c>
      <c r="B24" s="37" t="s">
        <v>337</v>
      </c>
      <c r="C24" s="46" t="s">
        <v>148</v>
      </c>
      <c r="D24" s="78">
        <f>D19</f>
        <v>4</v>
      </c>
      <c r="E24" s="37">
        <v>0.25</v>
      </c>
      <c r="F24" s="40">
        <f t="shared" ref="F24:G24" si="3">F17</f>
        <v>0.5</v>
      </c>
      <c r="G24" s="40">
        <f t="shared" si="3"/>
        <v>0.5</v>
      </c>
      <c r="H24" s="40">
        <f>G24*F24*E24*D24</f>
        <v>0.25</v>
      </c>
      <c r="I24" s="42"/>
      <c r="J24" s="40"/>
      <c r="K24" s="46"/>
    </row>
    <row r="25" ht="19.5" customHeight="1">
      <c r="A25" s="46">
        <v>2.0</v>
      </c>
      <c r="B25" s="37" t="s">
        <v>337</v>
      </c>
      <c r="C25" s="46" t="s">
        <v>148</v>
      </c>
      <c r="D25" s="78"/>
      <c r="E25" s="37"/>
      <c r="F25" s="40"/>
      <c r="G25" s="40"/>
      <c r="H25" s="40"/>
      <c r="I25" s="42"/>
      <c r="J25" s="43">
        <f>SUM(H24:H25)</f>
        <v>0.25</v>
      </c>
      <c r="K25" s="79"/>
    </row>
    <row r="26" ht="19.5" customHeight="1">
      <c r="A26" s="74" t="s">
        <v>1</v>
      </c>
      <c r="B26" s="74" t="s">
        <v>91</v>
      </c>
      <c r="C26" s="74" t="s">
        <v>92</v>
      </c>
      <c r="D26" s="76" t="s">
        <v>93</v>
      </c>
      <c r="E26" s="50" t="s">
        <v>97</v>
      </c>
      <c r="F26" s="53" t="s">
        <v>121</v>
      </c>
      <c r="G26" s="53" t="s">
        <v>99</v>
      </c>
      <c r="H26" s="75" t="s">
        <v>100</v>
      </c>
      <c r="I26" s="75" t="s">
        <v>101</v>
      </c>
      <c r="J26" s="76" t="s">
        <v>95</v>
      </c>
      <c r="K26" s="74" t="s">
        <v>96</v>
      </c>
    </row>
    <row r="27" ht="19.5" customHeight="1">
      <c r="A27" s="46">
        <v>1.0</v>
      </c>
      <c r="B27" s="37" t="s">
        <v>338</v>
      </c>
      <c r="C27" s="46" t="s">
        <v>148</v>
      </c>
      <c r="D27" s="78">
        <v>2.0</v>
      </c>
      <c r="E27" s="37">
        <v>0.1</v>
      </c>
      <c r="F27" s="78">
        <v>2.0</v>
      </c>
      <c r="G27" s="40">
        <v>0.14</v>
      </c>
      <c r="H27" s="40">
        <f t="shared" ref="H27:H28" si="4">G27*F27*E27*D27</f>
        <v>0.056</v>
      </c>
      <c r="I27" s="42"/>
      <c r="J27" s="40"/>
      <c r="K27" s="46"/>
    </row>
    <row r="28" ht="19.5" customHeight="1">
      <c r="A28" s="46">
        <v>2.0</v>
      </c>
      <c r="B28" s="37" t="s">
        <v>338</v>
      </c>
      <c r="C28" s="46" t="s">
        <v>148</v>
      </c>
      <c r="D28" s="78">
        <v>2.0</v>
      </c>
      <c r="E28" s="37">
        <v>0.1</v>
      </c>
      <c r="F28" s="78">
        <v>1.0</v>
      </c>
      <c r="G28" s="40">
        <v>0.14</v>
      </c>
      <c r="H28" s="40">
        <f t="shared" si="4"/>
        <v>0.028</v>
      </c>
      <c r="I28" s="42"/>
      <c r="J28" s="107"/>
      <c r="K28" s="46"/>
      <c r="L28" s="14">
        <f>J28+J21</f>
        <v>0</v>
      </c>
    </row>
    <row r="29" ht="19.5" customHeight="1">
      <c r="A29" s="46"/>
      <c r="B29" s="37"/>
      <c r="C29" s="46"/>
      <c r="D29" s="78"/>
      <c r="E29" s="37"/>
      <c r="F29" s="78"/>
      <c r="G29" s="40"/>
      <c r="H29" s="40"/>
      <c r="I29" s="42"/>
      <c r="J29" s="43">
        <f>SUM(H27:H29)</f>
        <v>0.084</v>
      </c>
      <c r="K29" s="79"/>
      <c r="L29" s="14">
        <f>J29+J19</f>
        <v>0.234</v>
      </c>
    </row>
    <row r="30" ht="19.5" customHeight="1">
      <c r="A30" s="74" t="s">
        <v>1</v>
      </c>
      <c r="B30" s="74" t="s">
        <v>91</v>
      </c>
      <c r="C30" s="74" t="s">
        <v>92</v>
      </c>
      <c r="D30" s="76" t="s">
        <v>93</v>
      </c>
      <c r="E30" s="50" t="s">
        <v>97</v>
      </c>
      <c r="F30" s="53" t="s">
        <v>121</v>
      </c>
      <c r="G30" s="53" t="s">
        <v>99</v>
      </c>
      <c r="H30" s="75" t="s">
        <v>100</v>
      </c>
      <c r="I30" s="75" t="s">
        <v>101</v>
      </c>
      <c r="J30" s="76" t="s">
        <v>95</v>
      </c>
      <c r="K30" s="74" t="s">
        <v>96</v>
      </c>
    </row>
    <row r="31" ht="19.5" customHeight="1">
      <c r="A31" s="46">
        <v>1.0</v>
      </c>
      <c r="B31" s="37" t="s">
        <v>339</v>
      </c>
      <c r="C31" s="46" t="s">
        <v>148</v>
      </c>
      <c r="D31" s="78">
        <f>H11</f>
        <v>0.4</v>
      </c>
      <c r="E31" s="37"/>
      <c r="F31" s="78"/>
      <c r="G31" s="40"/>
      <c r="H31" s="40">
        <f>D31</f>
        <v>0.4</v>
      </c>
      <c r="I31" s="42"/>
      <c r="J31" s="43">
        <f>H31</f>
        <v>0.4</v>
      </c>
      <c r="K31" s="46"/>
    </row>
    <row r="32" ht="19.5" customHeight="1">
      <c r="A32" s="46">
        <v>2.0</v>
      </c>
      <c r="B32" s="37" t="s">
        <v>340</v>
      </c>
      <c r="C32" s="46" t="s">
        <v>148</v>
      </c>
      <c r="D32" s="78">
        <v>1.0</v>
      </c>
      <c r="E32" s="37">
        <v>0.4</v>
      </c>
      <c r="F32" s="78">
        <v>2.0</v>
      </c>
      <c r="G32" s="40">
        <v>1.0</v>
      </c>
      <c r="H32" s="40">
        <f>(G32*F32*E32)-H31</f>
        <v>0.4</v>
      </c>
      <c r="I32" s="42"/>
      <c r="J32" s="43">
        <f>H32*1.5</f>
        <v>0.6</v>
      </c>
      <c r="K32" s="46" t="s">
        <v>341</v>
      </c>
    </row>
    <row r="33" ht="19.5" customHeight="1">
      <c r="A33" s="74" t="s">
        <v>1</v>
      </c>
      <c r="B33" s="74" t="s">
        <v>91</v>
      </c>
      <c r="C33" s="74" t="s">
        <v>92</v>
      </c>
      <c r="D33" s="76" t="s">
        <v>93</v>
      </c>
      <c r="E33" s="50" t="s">
        <v>97</v>
      </c>
      <c r="F33" s="53" t="s">
        <v>121</v>
      </c>
      <c r="G33" s="53" t="s">
        <v>99</v>
      </c>
      <c r="H33" s="75" t="s">
        <v>100</v>
      </c>
      <c r="I33" s="75" t="s">
        <v>101</v>
      </c>
      <c r="J33" s="76" t="s">
        <v>95</v>
      </c>
      <c r="K33" s="74" t="s">
        <v>96</v>
      </c>
      <c r="L33" s="14">
        <f>J21+J44</f>
        <v>0.21</v>
      </c>
    </row>
    <row r="34" ht="19.5" customHeight="1">
      <c r="A34" s="46">
        <v>1.0</v>
      </c>
      <c r="B34" s="37" t="s">
        <v>172</v>
      </c>
      <c r="C34" s="46" t="s">
        <v>148</v>
      </c>
      <c r="D34" s="78">
        <v>1.0</v>
      </c>
      <c r="E34" s="37">
        <v>0.05</v>
      </c>
      <c r="F34" s="78">
        <f t="shared" ref="F34:G34" si="5">F32</f>
        <v>2</v>
      </c>
      <c r="G34" s="40">
        <f t="shared" si="5"/>
        <v>1</v>
      </c>
      <c r="H34" s="40">
        <f>G34*F34*E34*D34</f>
        <v>0.1</v>
      </c>
      <c r="I34" s="42"/>
      <c r="J34" s="43">
        <f t="shared" ref="J34:J36" si="7">H34</f>
        <v>0.1</v>
      </c>
      <c r="K34" s="46"/>
    </row>
    <row r="35" ht="19.5" customHeight="1">
      <c r="A35" s="46">
        <v>2.0</v>
      </c>
      <c r="B35" s="37" t="s">
        <v>342</v>
      </c>
      <c r="C35" s="46" t="s">
        <v>103</v>
      </c>
      <c r="D35" s="78">
        <v>1.0</v>
      </c>
      <c r="E35" s="37">
        <v>0.05</v>
      </c>
      <c r="F35" s="78">
        <f t="shared" ref="F35:G35" si="6">F34</f>
        <v>2</v>
      </c>
      <c r="G35" s="78">
        <f t="shared" si="6"/>
        <v>1</v>
      </c>
      <c r="H35" s="40">
        <f>G35*F35</f>
        <v>2</v>
      </c>
      <c r="I35" s="42"/>
      <c r="J35" s="43">
        <f t="shared" si="7"/>
        <v>2</v>
      </c>
      <c r="K35" s="46"/>
    </row>
    <row r="36" ht="19.5" customHeight="1">
      <c r="A36" s="46"/>
      <c r="B36" s="37"/>
      <c r="C36" s="46"/>
      <c r="D36" s="78"/>
      <c r="E36" s="37"/>
      <c r="F36" s="78"/>
      <c r="G36" s="78"/>
      <c r="H36" s="40"/>
      <c r="I36" s="42"/>
      <c r="J36" s="43" t="str">
        <f t="shared" si="7"/>
        <v/>
      </c>
      <c r="K36" s="46" t="s">
        <v>344</v>
      </c>
    </row>
    <row r="37" ht="19.5" customHeight="1">
      <c r="A37" s="74" t="s">
        <v>1</v>
      </c>
      <c r="B37" s="74" t="s">
        <v>91</v>
      </c>
      <c r="C37" s="74" t="s">
        <v>92</v>
      </c>
      <c r="D37" s="76" t="s">
        <v>93</v>
      </c>
      <c r="E37" s="50" t="s">
        <v>97</v>
      </c>
      <c r="F37" s="53" t="s">
        <v>121</v>
      </c>
      <c r="G37" s="53" t="s">
        <v>99</v>
      </c>
      <c r="H37" s="75" t="s">
        <v>100</v>
      </c>
      <c r="I37" s="75" t="s">
        <v>101</v>
      </c>
      <c r="J37" s="76" t="s">
        <v>95</v>
      </c>
      <c r="K37" s="74" t="s">
        <v>96</v>
      </c>
    </row>
    <row r="38" ht="19.5" customHeight="1">
      <c r="A38" s="46">
        <v>1.0</v>
      </c>
      <c r="B38" s="37" t="s">
        <v>345</v>
      </c>
      <c r="C38" s="46" t="s">
        <v>148</v>
      </c>
      <c r="D38" s="78">
        <f t="shared" ref="D38:D39" si="8">D27</f>
        <v>2</v>
      </c>
      <c r="E38" s="37">
        <v>0.3</v>
      </c>
      <c r="F38" s="78">
        <f t="shared" ref="F38:F39" si="9">F27</f>
        <v>2</v>
      </c>
      <c r="G38" s="40">
        <v>0.14</v>
      </c>
      <c r="H38" s="40">
        <f t="shared" ref="H38:H39" si="10">G38*F38*E38*D38</f>
        <v>0.168</v>
      </c>
      <c r="I38" s="42"/>
      <c r="J38" s="40"/>
      <c r="K38" s="46"/>
    </row>
    <row r="39" ht="19.5" customHeight="1">
      <c r="A39" s="46">
        <v>2.0</v>
      </c>
      <c r="B39" s="37" t="s">
        <v>345</v>
      </c>
      <c r="C39" s="46" t="s">
        <v>148</v>
      </c>
      <c r="D39" s="78">
        <f t="shared" si="8"/>
        <v>2</v>
      </c>
      <c r="E39" s="37">
        <v>0.3</v>
      </c>
      <c r="F39" s="78">
        <f t="shared" si="9"/>
        <v>1</v>
      </c>
      <c r="G39" s="40">
        <v>0.14</v>
      </c>
      <c r="H39" s="40">
        <f t="shared" si="10"/>
        <v>0.084</v>
      </c>
      <c r="I39" s="42"/>
      <c r="J39" s="107"/>
      <c r="K39" s="46"/>
    </row>
    <row r="40" ht="19.5" customHeight="1">
      <c r="A40" s="46"/>
      <c r="B40" s="37"/>
      <c r="C40" s="46"/>
      <c r="D40" s="78"/>
      <c r="E40" s="37"/>
      <c r="F40" s="78"/>
      <c r="G40" s="40"/>
      <c r="H40" s="40"/>
      <c r="I40" s="42"/>
      <c r="J40" s="64">
        <f>SUM(H38:H40)</f>
        <v>0.252</v>
      </c>
      <c r="K40" s="79"/>
    </row>
    <row r="41" ht="19.5" customHeight="1">
      <c r="A41" s="74" t="s">
        <v>1</v>
      </c>
      <c r="B41" s="74" t="s">
        <v>91</v>
      </c>
      <c r="C41" s="74" t="s">
        <v>92</v>
      </c>
      <c r="D41" s="76" t="s">
        <v>93</v>
      </c>
      <c r="E41" s="50" t="s">
        <v>97</v>
      </c>
      <c r="F41" s="53" t="s">
        <v>121</v>
      </c>
      <c r="G41" s="53" t="s">
        <v>99</v>
      </c>
      <c r="H41" s="75" t="s">
        <v>100</v>
      </c>
      <c r="I41" s="75" t="s">
        <v>101</v>
      </c>
      <c r="J41" s="76" t="s">
        <v>95</v>
      </c>
      <c r="K41" s="74" t="s">
        <v>96</v>
      </c>
    </row>
    <row r="42" ht="19.5" customHeight="1">
      <c r="A42" s="46">
        <v>1.0</v>
      </c>
      <c r="B42" s="37" t="s">
        <v>346</v>
      </c>
      <c r="C42" s="46" t="s">
        <v>148</v>
      </c>
      <c r="D42" s="78">
        <v>2.0</v>
      </c>
      <c r="E42" s="37">
        <v>0.25</v>
      </c>
      <c r="F42" s="40">
        <f t="shared" ref="F42:F43" si="11">F38</f>
        <v>2</v>
      </c>
      <c r="G42" s="40">
        <v>0.14</v>
      </c>
      <c r="H42" s="40">
        <f t="shared" ref="H42:H43" si="12">G42*F42*E42*D42</f>
        <v>0.14</v>
      </c>
      <c r="I42" s="42"/>
      <c r="J42" s="40"/>
      <c r="K42" s="46"/>
    </row>
    <row r="43" ht="19.5" customHeight="1">
      <c r="A43" s="46">
        <v>2.0</v>
      </c>
      <c r="B43" s="37" t="s">
        <v>346</v>
      </c>
      <c r="C43" s="46" t="s">
        <v>148</v>
      </c>
      <c r="D43" s="78">
        <v>2.0</v>
      </c>
      <c r="E43" s="37">
        <v>0.25</v>
      </c>
      <c r="F43" s="40">
        <f t="shared" si="11"/>
        <v>1</v>
      </c>
      <c r="G43" s="40">
        <v>0.14</v>
      </c>
      <c r="H43" s="40">
        <f t="shared" si="12"/>
        <v>0.07</v>
      </c>
      <c r="I43" s="42"/>
      <c r="J43" s="107"/>
      <c r="K43" s="46"/>
      <c r="L43" s="14">
        <f>J43+J21+J28</f>
        <v>0</v>
      </c>
    </row>
    <row r="44" ht="19.5" customHeight="1">
      <c r="A44" s="46"/>
      <c r="B44" s="37"/>
      <c r="C44" s="46"/>
      <c r="D44" s="78"/>
      <c r="E44" s="37"/>
      <c r="F44" s="40"/>
      <c r="G44" s="40"/>
      <c r="H44" s="40"/>
      <c r="I44" s="42"/>
      <c r="J44" s="96">
        <f>SUM(H42:H43)</f>
        <v>0.21</v>
      </c>
      <c r="K44" s="79"/>
      <c r="L44" s="14"/>
    </row>
    <row r="45" ht="19.5" customHeight="1">
      <c r="A45" s="74" t="s">
        <v>1</v>
      </c>
      <c r="B45" s="74" t="s">
        <v>91</v>
      </c>
      <c r="C45" s="74" t="s">
        <v>92</v>
      </c>
      <c r="D45" s="76" t="s">
        <v>93</v>
      </c>
      <c r="E45" s="50" t="s">
        <v>97</v>
      </c>
      <c r="F45" s="53" t="s">
        <v>121</v>
      </c>
      <c r="G45" s="53" t="s">
        <v>99</v>
      </c>
      <c r="H45" s="75" t="s">
        <v>100</v>
      </c>
      <c r="I45" s="75" t="s">
        <v>101</v>
      </c>
      <c r="J45" s="76" t="s">
        <v>95</v>
      </c>
      <c r="K45" s="74" t="s">
        <v>96</v>
      </c>
    </row>
    <row r="46" ht="19.5" customHeight="1">
      <c r="A46" s="46">
        <v>1.0</v>
      </c>
      <c r="B46" s="37" t="s">
        <v>176</v>
      </c>
      <c r="C46" s="46" t="s">
        <v>103</v>
      </c>
      <c r="D46" s="78">
        <v>1.0</v>
      </c>
      <c r="E46" s="37"/>
      <c r="F46" s="40">
        <v>2.5</v>
      </c>
      <c r="G46" s="40">
        <v>1.5</v>
      </c>
      <c r="H46" s="40">
        <f>G46*F46</f>
        <v>3.75</v>
      </c>
      <c r="I46" s="42"/>
      <c r="J46" s="43">
        <f>H46</f>
        <v>3.75</v>
      </c>
      <c r="K46" s="47"/>
    </row>
    <row r="47" ht="19.5" customHeight="1">
      <c r="A47" s="74" t="s">
        <v>1</v>
      </c>
      <c r="B47" s="74" t="s">
        <v>91</v>
      </c>
      <c r="C47" s="74" t="s">
        <v>92</v>
      </c>
      <c r="D47" s="76" t="s">
        <v>93</v>
      </c>
      <c r="E47" s="50" t="s">
        <v>148</v>
      </c>
      <c r="F47" s="53" t="s">
        <v>347</v>
      </c>
      <c r="G47" s="53" t="s">
        <v>348</v>
      </c>
      <c r="H47" s="75" t="s">
        <v>100</v>
      </c>
      <c r="I47" s="75" t="s">
        <v>101</v>
      </c>
      <c r="J47" s="76" t="s">
        <v>95</v>
      </c>
      <c r="K47" s="74" t="s">
        <v>96</v>
      </c>
    </row>
    <row r="48" ht="20.25" customHeight="1">
      <c r="A48" s="46">
        <v>1.0</v>
      </c>
      <c r="B48" s="37" t="s">
        <v>349</v>
      </c>
      <c r="C48" s="46" t="s">
        <v>103</v>
      </c>
      <c r="D48" s="123">
        <v>1.0</v>
      </c>
      <c r="E48" s="40">
        <f>J25</f>
        <v>0.25</v>
      </c>
      <c r="F48" s="40">
        <v>10.0</v>
      </c>
      <c r="G48" s="40">
        <f t="shared" ref="G48:G50" si="13">E48/4</f>
        <v>0.0625</v>
      </c>
      <c r="H48" s="40">
        <f t="shared" ref="H48:H50" si="14">G48*F48</f>
        <v>0.625</v>
      </c>
      <c r="I48" s="42"/>
      <c r="J48" s="107"/>
      <c r="K48" s="127" t="s">
        <v>1872</v>
      </c>
    </row>
    <row r="49" ht="18.75" customHeight="1">
      <c r="A49" s="46">
        <v>2.0</v>
      </c>
      <c r="B49" s="37" t="s">
        <v>351</v>
      </c>
      <c r="C49" s="46" t="s">
        <v>103</v>
      </c>
      <c r="D49" s="128">
        <v>1.0</v>
      </c>
      <c r="E49" s="40">
        <f>J19+J29</f>
        <v>0.234</v>
      </c>
      <c r="F49" s="40">
        <v>12.0</v>
      </c>
      <c r="G49" s="40">
        <f t="shared" si="13"/>
        <v>0.0585</v>
      </c>
      <c r="H49" s="59">
        <f t="shared" si="14"/>
        <v>0.702</v>
      </c>
      <c r="I49" s="93"/>
      <c r="J49" s="107"/>
      <c r="K49" s="129"/>
    </row>
    <row r="50" ht="18.0" customHeight="1">
      <c r="A50" s="46">
        <v>3.0</v>
      </c>
      <c r="B50" s="37" t="s">
        <v>352</v>
      </c>
      <c r="C50" s="46" t="s">
        <v>103</v>
      </c>
      <c r="D50" s="128">
        <v>1.0</v>
      </c>
      <c r="E50" s="40">
        <f>J44+J21</f>
        <v>0.21</v>
      </c>
      <c r="F50" s="40">
        <v>12.0</v>
      </c>
      <c r="G50" s="40">
        <f t="shared" si="13"/>
        <v>0.0525</v>
      </c>
      <c r="H50" s="59">
        <f t="shared" si="14"/>
        <v>0.63</v>
      </c>
      <c r="I50" s="93"/>
      <c r="J50" s="107">
        <f>SUM(H48:H50)</f>
        <v>1.957</v>
      </c>
      <c r="K50" s="130"/>
    </row>
    <row r="51" ht="19.5" customHeight="1">
      <c r="A51" s="74" t="s">
        <v>1</v>
      </c>
      <c r="B51" s="74" t="s">
        <v>91</v>
      </c>
      <c r="C51" s="74" t="s">
        <v>92</v>
      </c>
      <c r="D51" s="76" t="s">
        <v>93</v>
      </c>
      <c r="E51" s="50" t="s">
        <v>97</v>
      </c>
      <c r="F51" s="53" t="s">
        <v>121</v>
      </c>
      <c r="G51" s="53" t="s">
        <v>99</v>
      </c>
      <c r="H51" s="75" t="s">
        <v>100</v>
      </c>
      <c r="I51" s="75" t="s">
        <v>101</v>
      </c>
      <c r="J51" s="76" t="s">
        <v>95</v>
      </c>
      <c r="K51" s="74" t="s">
        <v>96</v>
      </c>
    </row>
    <row r="52" ht="19.5" customHeight="1">
      <c r="A52" s="46">
        <v>1.0</v>
      </c>
      <c r="B52" s="37" t="s">
        <v>177</v>
      </c>
      <c r="C52" s="46" t="s">
        <v>103</v>
      </c>
      <c r="D52" s="78">
        <v>2.0</v>
      </c>
      <c r="E52" s="37">
        <v>2.0</v>
      </c>
      <c r="F52" s="78">
        <v>2.0</v>
      </c>
      <c r="G52" s="40">
        <v>0.09</v>
      </c>
      <c r="H52" s="40">
        <f t="shared" ref="H52:H53" si="15">F52*E52*D52</f>
        <v>8</v>
      </c>
      <c r="I52" s="42"/>
      <c r="J52" s="40">
        <f t="shared" ref="J52:J53" si="16">H52-I52</f>
        <v>8</v>
      </c>
      <c r="K52" s="46"/>
    </row>
    <row r="53" ht="19.5" customHeight="1">
      <c r="A53" s="46">
        <v>2.0</v>
      </c>
      <c r="B53" s="37" t="s">
        <v>177</v>
      </c>
      <c r="C53" s="46" t="s">
        <v>103</v>
      </c>
      <c r="D53" s="78">
        <v>2.0</v>
      </c>
      <c r="E53" s="37">
        <v>2.0</v>
      </c>
      <c r="F53" s="78">
        <v>1.0</v>
      </c>
      <c r="G53" s="40">
        <v>0.09</v>
      </c>
      <c r="H53" s="40">
        <f t="shared" si="15"/>
        <v>4</v>
      </c>
      <c r="I53" s="42"/>
      <c r="J53" s="40">
        <f t="shared" si="16"/>
        <v>4</v>
      </c>
      <c r="K53" s="46"/>
    </row>
    <row r="54" ht="19.5" customHeight="1">
      <c r="A54" s="79"/>
      <c r="B54" s="95"/>
      <c r="C54" s="79"/>
      <c r="D54" s="92"/>
      <c r="E54" s="37"/>
      <c r="F54" s="78"/>
      <c r="G54" s="40"/>
      <c r="H54" s="59"/>
      <c r="I54" s="93"/>
      <c r="J54" s="96">
        <f>SUM(J52:J53)</f>
        <v>12</v>
      </c>
      <c r="K54" s="79"/>
    </row>
    <row r="55" ht="19.5" customHeight="1">
      <c r="A55" s="74" t="s">
        <v>1</v>
      </c>
      <c r="B55" s="74" t="s">
        <v>91</v>
      </c>
      <c r="C55" s="74" t="s">
        <v>92</v>
      </c>
      <c r="D55" s="76" t="s">
        <v>93</v>
      </c>
      <c r="E55" s="50" t="s">
        <v>97</v>
      </c>
      <c r="F55" s="53" t="s">
        <v>121</v>
      </c>
      <c r="G55" s="53" t="s">
        <v>99</v>
      </c>
      <c r="H55" s="75" t="s">
        <v>100</v>
      </c>
      <c r="I55" s="75" t="s">
        <v>101</v>
      </c>
      <c r="J55" s="76" t="s">
        <v>95</v>
      </c>
      <c r="K55" s="74" t="s">
        <v>96</v>
      </c>
    </row>
    <row r="56" ht="19.5" customHeight="1">
      <c r="A56" s="46">
        <v>1.0</v>
      </c>
      <c r="B56" s="37" t="s">
        <v>182</v>
      </c>
      <c r="C56" s="46" t="s">
        <v>103</v>
      </c>
      <c r="D56" s="78">
        <f>J46</f>
        <v>3.75</v>
      </c>
      <c r="E56" s="37"/>
      <c r="F56" s="40"/>
      <c r="G56" s="40"/>
      <c r="H56" s="40">
        <f>D56</f>
        <v>3.75</v>
      </c>
      <c r="I56" s="42"/>
      <c r="J56" s="43">
        <f>H56-I56</f>
        <v>3.75</v>
      </c>
      <c r="K56" s="46" t="s">
        <v>183</v>
      </c>
    </row>
    <row r="57" ht="19.5" customHeight="1">
      <c r="A57" s="74" t="s">
        <v>1</v>
      </c>
      <c r="B57" s="74" t="s">
        <v>91</v>
      </c>
      <c r="C57" s="74" t="s">
        <v>92</v>
      </c>
      <c r="D57" s="76" t="s">
        <v>93</v>
      </c>
      <c r="E57" s="50" t="s">
        <v>187</v>
      </c>
      <c r="F57" s="53"/>
      <c r="G57" s="53" t="s">
        <v>353</v>
      </c>
      <c r="H57" s="75" t="s">
        <v>100</v>
      </c>
      <c r="I57" s="75" t="s">
        <v>101</v>
      </c>
      <c r="J57" s="76" t="s">
        <v>95</v>
      </c>
      <c r="K57" s="74" t="s">
        <v>96</v>
      </c>
    </row>
    <row r="58" ht="19.5" customHeight="1">
      <c r="A58" s="46">
        <v>1.0</v>
      </c>
      <c r="B58" s="37" t="s">
        <v>354</v>
      </c>
      <c r="C58" s="46" t="s">
        <v>158</v>
      </c>
      <c r="D58" s="78">
        <f>J25</f>
        <v>0.25</v>
      </c>
      <c r="E58" s="37">
        <v>80.0</v>
      </c>
      <c r="F58" s="40"/>
      <c r="G58" s="40">
        <f t="shared" ref="G58:G60" si="17">E58*D58</f>
        <v>20</v>
      </c>
      <c r="H58" s="40">
        <f t="shared" ref="H58:H60" si="18">E58*D58</f>
        <v>20</v>
      </c>
      <c r="I58" s="42"/>
      <c r="J58" s="107"/>
      <c r="K58" s="46" t="s">
        <v>355</v>
      </c>
    </row>
    <row r="59" ht="19.5" customHeight="1">
      <c r="A59" s="46">
        <v>2.0</v>
      </c>
      <c r="B59" s="37" t="s">
        <v>356</v>
      </c>
      <c r="C59" s="46" t="s">
        <v>158</v>
      </c>
      <c r="D59" s="78">
        <f>J19+J29</f>
        <v>0.234</v>
      </c>
      <c r="E59" s="37">
        <v>90.0</v>
      </c>
      <c r="F59" s="40"/>
      <c r="G59" s="40">
        <f t="shared" si="17"/>
        <v>21.06</v>
      </c>
      <c r="H59" s="40">
        <f t="shared" si="18"/>
        <v>21.06</v>
      </c>
      <c r="I59" s="42"/>
      <c r="J59" s="121"/>
      <c r="K59" s="79"/>
    </row>
    <row r="60" ht="19.5" customHeight="1">
      <c r="A60" s="46">
        <v>3.0</v>
      </c>
      <c r="B60" s="37" t="s">
        <v>357</v>
      </c>
      <c r="C60" s="46" t="s">
        <v>158</v>
      </c>
      <c r="D60" s="78">
        <f>J44+J25</f>
        <v>0.46</v>
      </c>
      <c r="E60" s="37">
        <v>100.0</v>
      </c>
      <c r="F60" s="40"/>
      <c r="G60" s="40">
        <f t="shared" si="17"/>
        <v>46</v>
      </c>
      <c r="H60" s="40">
        <f t="shared" si="18"/>
        <v>46</v>
      </c>
      <c r="I60" s="42"/>
      <c r="J60" s="121"/>
      <c r="K60" s="79"/>
    </row>
    <row r="61" ht="19.5" customHeight="1">
      <c r="A61" s="46">
        <v>4.0</v>
      </c>
      <c r="B61" s="37" t="s">
        <v>358</v>
      </c>
      <c r="C61" s="46" t="s">
        <v>158</v>
      </c>
      <c r="D61" s="78">
        <f>H56*98</f>
        <v>367.5</v>
      </c>
      <c r="E61" s="37"/>
      <c r="F61" s="40"/>
      <c r="G61" s="40"/>
      <c r="H61" s="40">
        <f>D61</f>
        <v>367.5</v>
      </c>
      <c r="I61" s="42"/>
      <c r="J61" s="96">
        <f>SUM(H58:H61)</f>
        <v>454.56</v>
      </c>
      <c r="K61" s="79"/>
    </row>
    <row r="62" ht="19.5" customHeight="1">
      <c r="A62" s="74" t="s">
        <v>1</v>
      </c>
      <c r="B62" s="74" t="s">
        <v>91</v>
      </c>
      <c r="C62" s="74" t="s">
        <v>92</v>
      </c>
      <c r="D62" s="76" t="s">
        <v>93</v>
      </c>
      <c r="E62" s="50" t="s">
        <v>97</v>
      </c>
      <c r="F62" s="53" t="s">
        <v>121</v>
      </c>
      <c r="G62" s="53" t="s">
        <v>99</v>
      </c>
      <c r="H62" s="75" t="s">
        <v>100</v>
      </c>
      <c r="I62" s="75" t="s">
        <v>101</v>
      </c>
      <c r="J62" s="76" t="s">
        <v>95</v>
      </c>
      <c r="K62" s="74" t="s">
        <v>96</v>
      </c>
    </row>
    <row r="63" ht="19.5" customHeight="1">
      <c r="A63" s="46">
        <v>1.0</v>
      </c>
      <c r="B63" s="37" t="s">
        <v>184</v>
      </c>
      <c r="C63" s="46" t="s">
        <v>108</v>
      </c>
      <c r="D63" s="78"/>
      <c r="E63" s="37"/>
      <c r="F63" s="40"/>
      <c r="G63" s="40"/>
      <c r="H63" s="40"/>
      <c r="I63" s="42"/>
      <c r="J63" s="77"/>
      <c r="K63" s="46"/>
    </row>
    <row r="64" ht="19.5" customHeight="1">
      <c r="A64" s="46">
        <v>2.0</v>
      </c>
      <c r="B64" s="37" t="s">
        <v>185</v>
      </c>
      <c r="C64" s="46" t="s">
        <v>108</v>
      </c>
      <c r="D64" s="78"/>
      <c r="E64" s="37"/>
      <c r="F64" s="40"/>
      <c r="G64" s="40"/>
      <c r="H64" s="40"/>
      <c r="I64" s="42"/>
      <c r="J64" s="43">
        <f>H64+H63</f>
        <v>0</v>
      </c>
      <c r="K64" s="46" t="s">
        <v>186</v>
      </c>
    </row>
    <row r="65" ht="19.5" customHeight="1">
      <c r="A65" s="74" t="s">
        <v>1</v>
      </c>
      <c r="B65" s="74" t="s">
        <v>91</v>
      </c>
      <c r="C65" s="74" t="s">
        <v>92</v>
      </c>
      <c r="D65" s="76" t="s">
        <v>93</v>
      </c>
      <c r="E65" s="50" t="s">
        <v>187</v>
      </c>
      <c r="F65" s="53" t="s">
        <v>99</v>
      </c>
      <c r="G65" s="53" t="s">
        <v>121</v>
      </c>
      <c r="H65" s="75" t="s">
        <v>100</v>
      </c>
      <c r="I65" s="75" t="s">
        <v>101</v>
      </c>
      <c r="J65" s="76" t="s">
        <v>95</v>
      </c>
      <c r="K65" s="74" t="s">
        <v>96</v>
      </c>
    </row>
    <row r="66" ht="19.5" customHeight="1">
      <c r="A66" s="46">
        <v>1.0</v>
      </c>
      <c r="B66" s="37" t="s">
        <v>188</v>
      </c>
      <c r="C66" s="46" t="s">
        <v>103</v>
      </c>
      <c r="D66" s="78"/>
      <c r="E66" s="37"/>
      <c r="F66" s="40"/>
      <c r="G66" s="40"/>
      <c r="H66" s="40"/>
      <c r="I66" s="42"/>
      <c r="J66" s="43">
        <f>H66-I66</f>
        <v>0</v>
      </c>
      <c r="K66" s="46" t="s">
        <v>359</v>
      </c>
    </row>
    <row r="67" ht="19.5" customHeight="1">
      <c r="A67" s="74" t="s">
        <v>1</v>
      </c>
      <c r="B67" s="74" t="s">
        <v>91</v>
      </c>
      <c r="C67" s="74" t="s">
        <v>92</v>
      </c>
      <c r="D67" s="76" t="s">
        <v>93</v>
      </c>
      <c r="E67" s="50" t="s">
        <v>187</v>
      </c>
      <c r="F67" s="53" t="s">
        <v>99</v>
      </c>
      <c r="G67" s="53" t="s">
        <v>121</v>
      </c>
      <c r="H67" s="75" t="s">
        <v>100</v>
      </c>
      <c r="I67" s="75" t="s">
        <v>101</v>
      </c>
      <c r="J67" s="76" t="s">
        <v>95</v>
      </c>
      <c r="K67" s="74" t="s">
        <v>96</v>
      </c>
    </row>
    <row r="68" ht="19.5" customHeight="1">
      <c r="A68" s="46">
        <v>1.0</v>
      </c>
      <c r="B68" s="37" t="s">
        <v>189</v>
      </c>
      <c r="C68" s="46" t="s">
        <v>103</v>
      </c>
      <c r="D68" s="78"/>
      <c r="E68" s="37"/>
      <c r="F68" s="40"/>
      <c r="G68" s="40"/>
      <c r="H68" s="40"/>
      <c r="I68" s="42"/>
      <c r="J68" s="43">
        <f>H68-I68</f>
        <v>0</v>
      </c>
      <c r="K68" s="46"/>
    </row>
    <row r="69" ht="19.5" customHeight="1">
      <c r="A69" s="74" t="s">
        <v>1</v>
      </c>
      <c r="B69" s="74" t="s">
        <v>91</v>
      </c>
      <c r="C69" s="74" t="s">
        <v>92</v>
      </c>
      <c r="D69" s="76" t="s">
        <v>93</v>
      </c>
      <c r="E69" s="50" t="s">
        <v>99</v>
      </c>
      <c r="F69" s="53" t="s">
        <v>121</v>
      </c>
      <c r="G69" s="53" t="s">
        <v>97</v>
      </c>
      <c r="H69" s="75" t="s">
        <v>100</v>
      </c>
      <c r="I69" s="75" t="s">
        <v>101</v>
      </c>
      <c r="J69" s="76" t="s">
        <v>95</v>
      </c>
      <c r="K69" s="74" t="s">
        <v>96</v>
      </c>
    </row>
    <row r="70" ht="19.5" customHeight="1">
      <c r="A70" s="46">
        <v>1.0</v>
      </c>
      <c r="B70" s="37" t="s">
        <v>360</v>
      </c>
      <c r="C70" s="46" t="s">
        <v>103</v>
      </c>
      <c r="D70" s="78"/>
      <c r="E70" s="37"/>
      <c r="F70" s="40"/>
      <c r="G70" s="40"/>
      <c r="H70" s="40"/>
      <c r="I70" s="42"/>
      <c r="J70" s="43">
        <f>H70-I70</f>
        <v>0</v>
      </c>
      <c r="K70" s="46"/>
    </row>
    <row r="71" ht="19.5" customHeight="1">
      <c r="A71" s="74" t="s">
        <v>1</v>
      </c>
      <c r="B71" s="74" t="s">
        <v>91</v>
      </c>
      <c r="C71" s="74" t="s">
        <v>92</v>
      </c>
      <c r="D71" s="76" t="s">
        <v>93</v>
      </c>
      <c r="E71" s="50" t="s">
        <v>193</v>
      </c>
      <c r="F71" s="53" t="s">
        <v>121</v>
      </c>
      <c r="G71" s="53" t="s">
        <v>194</v>
      </c>
      <c r="H71" s="75" t="s">
        <v>100</v>
      </c>
      <c r="I71" s="75" t="s">
        <v>101</v>
      </c>
      <c r="J71" s="76" t="s">
        <v>95</v>
      </c>
      <c r="K71" s="74" t="s">
        <v>96</v>
      </c>
    </row>
    <row r="72" ht="19.5" customHeight="1">
      <c r="A72" s="46">
        <v>1.0</v>
      </c>
      <c r="B72" s="37" t="s">
        <v>361</v>
      </c>
      <c r="C72" s="46" t="s">
        <v>103</v>
      </c>
      <c r="D72" s="78"/>
      <c r="E72" s="37"/>
      <c r="F72" s="40"/>
      <c r="G72" s="40"/>
      <c r="H72" s="40"/>
      <c r="I72" s="42"/>
      <c r="J72" s="107"/>
      <c r="K72" s="46"/>
    </row>
    <row r="73" ht="19.5" customHeight="1">
      <c r="A73" s="46">
        <v>2.0</v>
      </c>
      <c r="B73" s="37" t="s">
        <v>923</v>
      </c>
      <c r="C73" s="46" t="s">
        <v>103</v>
      </c>
      <c r="D73" s="78"/>
      <c r="E73" s="37"/>
      <c r="F73" s="40"/>
      <c r="G73" s="40"/>
      <c r="H73" s="40"/>
      <c r="I73" s="42"/>
      <c r="J73" s="43">
        <f>H73-I73</f>
        <v>0</v>
      </c>
      <c r="K73" s="79"/>
    </row>
    <row r="74" ht="19.5" customHeight="1">
      <c r="A74" s="46">
        <v>3.0</v>
      </c>
      <c r="B74" s="37" t="s">
        <v>362</v>
      </c>
      <c r="C74" s="46" t="s">
        <v>103</v>
      </c>
      <c r="D74" s="78"/>
      <c r="E74" s="37"/>
      <c r="F74" s="40"/>
      <c r="G74" s="40"/>
      <c r="H74" s="40"/>
      <c r="I74" s="42"/>
      <c r="J74" s="107"/>
      <c r="K74" s="79"/>
    </row>
    <row r="75" ht="19.5" customHeight="1">
      <c r="A75" s="46">
        <v>4.0</v>
      </c>
      <c r="B75" s="37" t="s">
        <v>362</v>
      </c>
      <c r="C75" s="46" t="s">
        <v>103</v>
      </c>
      <c r="D75" s="78"/>
      <c r="E75" s="37"/>
      <c r="F75" s="40"/>
      <c r="G75" s="40"/>
      <c r="H75" s="40"/>
      <c r="I75" s="42"/>
      <c r="J75" s="121"/>
      <c r="K75" s="79"/>
    </row>
    <row r="76" ht="19.5" customHeight="1">
      <c r="A76" s="46">
        <v>5.0</v>
      </c>
      <c r="B76" s="37" t="s">
        <v>362</v>
      </c>
      <c r="C76" s="46" t="s">
        <v>103</v>
      </c>
      <c r="D76" s="78"/>
      <c r="E76" s="37"/>
      <c r="F76" s="40"/>
      <c r="G76" s="40"/>
      <c r="H76" s="40"/>
      <c r="I76" s="42"/>
      <c r="J76" s="121"/>
      <c r="K76" s="79"/>
    </row>
    <row r="77" ht="19.5" customHeight="1">
      <c r="A77" s="46">
        <v>6.0</v>
      </c>
      <c r="B77" s="37" t="s">
        <v>362</v>
      </c>
      <c r="C77" s="46" t="s">
        <v>103</v>
      </c>
      <c r="D77" s="78"/>
      <c r="E77" s="37"/>
      <c r="F77" s="40"/>
      <c r="G77" s="40"/>
      <c r="H77" s="40"/>
      <c r="I77" s="42"/>
      <c r="J77" s="121"/>
      <c r="K77" s="79"/>
    </row>
    <row r="78" ht="19.5" customHeight="1">
      <c r="A78" s="46">
        <v>7.0</v>
      </c>
      <c r="B78" s="37"/>
      <c r="C78" s="46"/>
      <c r="D78" s="78"/>
      <c r="E78" s="37"/>
      <c r="F78" s="40"/>
      <c r="G78" s="40"/>
      <c r="H78" s="40"/>
      <c r="I78" s="42"/>
      <c r="J78" s="96">
        <f>SUM(H74:H78)</f>
        <v>0</v>
      </c>
      <c r="K78" s="79"/>
    </row>
    <row r="79" ht="19.5" customHeight="1">
      <c r="A79" s="74" t="s">
        <v>1</v>
      </c>
      <c r="B79" s="74" t="s">
        <v>91</v>
      </c>
      <c r="C79" s="74" t="s">
        <v>92</v>
      </c>
      <c r="D79" s="76" t="s">
        <v>93</v>
      </c>
      <c r="E79" s="50" t="s">
        <v>161</v>
      </c>
      <c r="F79" s="53" t="s">
        <v>99</v>
      </c>
      <c r="G79" s="53" t="s">
        <v>121</v>
      </c>
      <c r="H79" s="75" t="s">
        <v>100</v>
      </c>
      <c r="I79" s="75" t="s">
        <v>101</v>
      </c>
      <c r="J79" s="76" t="s">
        <v>95</v>
      </c>
      <c r="K79" s="74" t="s">
        <v>96</v>
      </c>
    </row>
    <row r="80" ht="19.5" customHeight="1">
      <c r="A80" s="46">
        <v>1.0</v>
      </c>
      <c r="B80" s="37" t="s">
        <v>930</v>
      </c>
      <c r="C80" s="46" t="s">
        <v>103</v>
      </c>
      <c r="D80" s="78"/>
      <c r="E80" s="37"/>
      <c r="F80" s="40"/>
      <c r="G80" s="40"/>
      <c r="H80" s="40"/>
      <c r="I80" s="42"/>
      <c r="J80" s="43">
        <f>H80-I80</f>
        <v>0</v>
      </c>
      <c r="K80" s="46"/>
    </row>
    <row r="81" ht="19.5" customHeight="1">
      <c r="A81" s="74" t="s">
        <v>1</v>
      </c>
      <c r="B81" s="74" t="s">
        <v>91</v>
      </c>
      <c r="C81" s="74" t="s">
        <v>92</v>
      </c>
      <c r="D81" s="76" t="s">
        <v>93</v>
      </c>
      <c r="E81" s="50" t="s">
        <v>97</v>
      </c>
      <c r="F81" s="53" t="s">
        <v>121</v>
      </c>
      <c r="G81" s="53" t="s">
        <v>198</v>
      </c>
      <c r="H81" s="75" t="s">
        <v>100</v>
      </c>
      <c r="I81" s="75" t="s">
        <v>101</v>
      </c>
      <c r="J81" s="76" t="s">
        <v>95</v>
      </c>
      <c r="K81" s="74" t="s">
        <v>96</v>
      </c>
    </row>
    <row r="82" ht="19.5" customHeight="1">
      <c r="A82" s="46">
        <v>1.0</v>
      </c>
      <c r="B82" s="37" t="s">
        <v>363</v>
      </c>
      <c r="C82" s="46" t="s">
        <v>103</v>
      </c>
      <c r="D82" s="78">
        <f t="shared" ref="D82:D83" si="19">D52</f>
        <v>2</v>
      </c>
      <c r="E82" s="37">
        <v>4.0</v>
      </c>
      <c r="F82" s="78">
        <f t="shared" ref="F82:F83" si="20">F52</f>
        <v>2</v>
      </c>
      <c r="G82" s="40">
        <v>2.0</v>
      </c>
      <c r="H82" s="40">
        <f t="shared" ref="H82:H83" si="21">G82*F82*E82*D82</f>
        <v>32</v>
      </c>
      <c r="I82" s="42"/>
      <c r="J82" s="40">
        <f t="shared" ref="J82:J85" si="22">H82-I82</f>
        <v>32</v>
      </c>
      <c r="K82" s="46"/>
    </row>
    <row r="83" ht="19.5" customHeight="1">
      <c r="A83" s="46">
        <v>2.0</v>
      </c>
      <c r="B83" s="37" t="s">
        <v>363</v>
      </c>
      <c r="C83" s="46" t="s">
        <v>103</v>
      </c>
      <c r="D83" s="78">
        <f t="shared" si="19"/>
        <v>2</v>
      </c>
      <c r="E83" s="37">
        <v>4.0</v>
      </c>
      <c r="F83" s="78">
        <f t="shared" si="20"/>
        <v>1</v>
      </c>
      <c r="G83" s="40">
        <v>2.0</v>
      </c>
      <c r="H83" s="40">
        <f t="shared" si="21"/>
        <v>16</v>
      </c>
      <c r="I83" s="42"/>
      <c r="J83" s="40">
        <f t="shared" si="22"/>
        <v>16</v>
      </c>
      <c r="K83" s="46"/>
    </row>
    <row r="84" ht="19.5" customHeight="1">
      <c r="A84" s="46">
        <v>3.0</v>
      </c>
      <c r="B84" s="37"/>
      <c r="C84" s="46"/>
      <c r="D84" s="78"/>
      <c r="E84" s="37"/>
      <c r="F84" s="78"/>
      <c r="G84" s="40"/>
      <c r="H84" s="40"/>
      <c r="I84" s="42"/>
      <c r="J84" s="40">
        <f t="shared" si="22"/>
        <v>0</v>
      </c>
      <c r="K84" s="79"/>
    </row>
    <row r="85" ht="19.5" customHeight="1">
      <c r="A85" s="46">
        <v>4.0</v>
      </c>
      <c r="B85" s="37"/>
      <c r="C85" s="46"/>
      <c r="D85" s="78"/>
      <c r="E85" s="37"/>
      <c r="F85" s="78"/>
      <c r="G85" s="40"/>
      <c r="H85" s="40"/>
      <c r="I85" s="42"/>
      <c r="J85" s="40">
        <f t="shared" si="22"/>
        <v>0</v>
      </c>
      <c r="K85" s="79"/>
    </row>
    <row r="86" ht="19.5" customHeight="1">
      <c r="A86" s="79"/>
      <c r="B86" s="95"/>
      <c r="C86" s="79"/>
      <c r="D86" s="92"/>
      <c r="E86" s="37"/>
      <c r="F86" s="78"/>
      <c r="G86" s="40"/>
      <c r="H86" s="59"/>
      <c r="I86" s="93"/>
      <c r="J86" s="96">
        <f>SUM(J82:J85)</f>
        <v>48</v>
      </c>
      <c r="K86" s="79"/>
    </row>
    <row r="87" ht="19.5" customHeight="1">
      <c r="A87" s="74" t="s">
        <v>1</v>
      </c>
      <c r="B87" s="74" t="s">
        <v>91</v>
      </c>
      <c r="C87" s="74" t="s">
        <v>92</v>
      </c>
      <c r="D87" s="76" t="s">
        <v>93</v>
      </c>
      <c r="E87" s="50" t="s">
        <v>97</v>
      </c>
      <c r="F87" s="53" t="s">
        <v>121</v>
      </c>
      <c r="G87" s="53" t="s">
        <v>198</v>
      </c>
      <c r="H87" s="75" t="s">
        <v>100</v>
      </c>
      <c r="I87" s="75" t="s">
        <v>101</v>
      </c>
      <c r="J87" s="76" t="s">
        <v>95</v>
      </c>
      <c r="K87" s="74" t="s">
        <v>96</v>
      </c>
    </row>
    <row r="88" ht="19.5" customHeight="1">
      <c r="A88" s="46">
        <v>1.0</v>
      </c>
      <c r="B88" s="37" t="s">
        <v>204</v>
      </c>
      <c r="C88" s="46" t="s">
        <v>103</v>
      </c>
      <c r="D88" s="78">
        <f t="shared" ref="D88:F88" si="23">D82</f>
        <v>2</v>
      </c>
      <c r="E88" s="37">
        <f t="shared" si="23"/>
        <v>4</v>
      </c>
      <c r="F88" s="78">
        <f t="shared" si="23"/>
        <v>2</v>
      </c>
      <c r="G88" s="40">
        <v>1.0</v>
      </c>
      <c r="H88" s="40">
        <f t="shared" ref="H88:H89" si="25">G88*F88*E88*D88</f>
        <v>16</v>
      </c>
      <c r="I88" s="42"/>
      <c r="J88" s="40"/>
      <c r="K88" s="46"/>
    </row>
    <row r="89" ht="19.5" customHeight="1">
      <c r="A89" s="46">
        <v>2.0</v>
      </c>
      <c r="B89" s="37" t="s">
        <v>204</v>
      </c>
      <c r="C89" s="46" t="s">
        <v>103</v>
      </c>
      <c r="D89" s="78">
        <f t="shared" ref="D89:F89" si="24">D83</f>
        <v>2</v>
      </c>
      <c r="E89" s="37">
        <f t="shared" si="24"/>
        <v>4</v>
      </c>
      <c r="F89" s="78">
        <f t="shared" si="24"/>
        <v>1</v>
      </c>
      <c r="G89" s="40">
        <v>2.0</v>
      </c>
      <c r="H89" s="40">
        <f t="shared" si="25"/>
        <v>16</v>
      </c>
      <c r="I89" s="42"/>
      <c r="J89" s="40"/>
      <c r="K89" s="46"/>
    </row>
    <row r="90" ht="19.5" customHeight="1">
      <c r="A90" s="46">
        <v>3.0</v>
      </c>
      <c r="B90" s="37"/>
      <c r="C90" s="46"/>
      <c r="D90" s="78"/>
      <c r="E90" s="37"/>
      <c r="F90" s="78"/>
      <c r="G90" s="40"/>
      <c r="H90" s="40"/>
      <c r="I90" s="42"/>
      <c r="J90" s="40"/>
      <c r="K90" s="46"/>
    </row>
    <row r="91" ht="19.5" customHeight="1">
      <c r="A91" s="46"/>
      <c r="B91" s="37"/>
      <c r="C91" s="46"/>
      <c r="D91" s="78"/>
      <c r="E91" s="37"/>
      <c r="F91" s="78"/>
      <c r="G91" s="40"/>
      <c r="H91" s="40"/>
      <c r="I91" s="93"/>
      <c r="J91" s="96">
        <f>SUM(H88:H91)</f>
        <v>32</v>
      </c>
      <c r="K91" s="46"/>
    </row>
    <row r="92" ht="19.5" customHeight="1">
      <c r="A92" s="74" t="s">
        <v>1</v>
      </c>
      <c r="B92" s="74" t="s">
        <v>91</v>
      </c>
      <c r="C92" s="74" t="s">
        <v>92</v>
      </c>
      <c r="D92" s="76" t="s">
        <v>93</v>
      </c>
      <c r="E92" s="50" t="s">
        <v>97</v>
      </c>
      <c r="F92" s="53" t="s">
        <v>121</v>
      </c>
      <c r="G92" s="53" t="s">
        <v>198</v>
      </c>
      <c r="H92" s="75" t="s">
        <v>100</v>
      </c>
      <c r="I92" s="75" t="s">
        <v>101</v>
      </c>
      <c r="J92" s="76" t="s">
        <v>95</v>
      </c>
      <c r="K92" s="74" t="s">
        <v>96</v>
      </c>
    </row>
    <row r="93" ht="19.5" customHeight="1">
      <c r="A93" s="46">
        <v>1.0</v>
      </c>
      <c r="B93" s="37" t="s">
        <v>364</v>
      </c>
      <c r="C93" s="46" t="s">
        <v>103</v>
      </c>
      <c r="D93" s="78">
        <v>2.0</v>
      </c>
      <c r="E93" s="37">
        <v>2.0</v>
      </c>
      <c r="F93" s="78">
        <v>2.0</v>
      </c>
      <c r="G93" s="40">
        <v>2.0</v>
      </c>
      <c r="H93" s="40">
        <f>F93*E93*D93*G93</f>
        <v>16</v>
      </c>
      <c r="I93" s="42"/>
      <c r="J93" s="107"/>
      <c r="K93" s="131"/>
    </row>
    <row r="94" ht="19.5" customHeight="1">
      <c r="A94" s="46">
        <v>2.0</v>
      </c>
      <c r="B94" s="37"/>
      <c r="C94" s="46"/>
      <c r="D94" s="78"/>
      <c r="E94" s="37"/>
      <c r="F94" s="78"/>
      <c r="G94" s="40"/>
      <c r="H94" s="40"/>
      <c r="I94" s="42"/>
      <c r="J94" s="107"/>
      <c r="K94" s="46"/>
    </row>
    <row r="95" ht="19.5" customHeight="1">
      <c r="A95" s="46">
        <v>3.0</v>
      </c>
      <c r="B95" s="37"/>
      <c r="C95" s="46"/>
      <c r="D95" s="78"/>
      <c r="E95" s="37"/>
      <c r="F95" s="78"/>
      <c r="G95" s="40"/>
      <c r="H95" s="40"/>
      <c r="I95" s="42"/>
      <c r="J95" s="64">
        <f>SUM(H93:H95)-I93-I94</f>
        <v>16</v>
      </c>
      <c r="K95" s="46"/>
    </row>
    <row r="96" ht="19.5" customHeight="1">
      <c r="A96" s="46">
        <v>4.0</v>
      </c>
      <c r="B96" s="37"/>
      <c r="C96" s="46"/>
      <c r="D96" s="78"/>
      <c r="E96" s="37"/>
      <c r="F96" s="78"/>
      <c r="G96" s="40"/>
      <c r="H96" s="40"/>
      <c r="I96" s="42"/>
      <c r="J96" s="40"/>
      <c r="K96" s="46"/>
    </row>
    <row r="97" ht="19.5" customHeight="1">
      <c r="A97" s="46">
        <v>5.0</v>
      </c>
      <c r="B97" s="37"/>
      <c r="C97" s="46"/>
      <c r="D97" s="78"/>
      <c r="E97" s="37"/>
      <c r="F97" s="78"/>
      <c r="G97" s="40"/>
      <c r="H97" s="40"/>
      <c r="I97" s="42"/>
      <c r="J97" s="77"/>
      <c r="K97" s="46"/>
    </row>
    <row r="98" ht="19.5" customHeight="1">
      <c r="A98" s="46">
        <v>6.0</v>
      </c>
      <c r="B98" s="37"/>
      <c r="C98" s="46"/>
      <c r="D98" s="78"/>
      <c r="E98" s="37"/>
      <c r="F98" s="78"/>
      <c r="G98" s="40"/>
      <c r="H98" s="40"/>
      <c r="I98" s="93"/>
      <c r="J98" s="107"/>
      <c r="K98" s="79" t="s">
        <v>95</v>
      </c>
    </row>
    <row r="99" ht="19.5" customHeight="1">
      <c r="A99" s="46"/>
      <c r="B99" s="37"/>
      <c r="C99" s="46"/>
      <c r="D99" s="78"/>
      <c r="E99" s="37"/>
      <c r="F99" s="78"/>
      <c r="G99" s="40"/>
      <c r="H99" s="40"/>
      <c r="I99" s="93"/>
      <c r="J99" s="64">
        <f>SUM(H96:H99)-I97</f>
        <v>0</v>
      </c>
      <c r="K99" s="132">
        <f>J99+J94</f>
        <v>0</v>
      </c>
    </row>
    <row r="100" ht="19.5" customHeight="1">
      <c r="A100" s="74" t="s">
        <v>1</v>
      </c>
      <c r="B100" s="74" t="s">
        <v>91</v>
      </c>
      <c r="C100" s="74" t="s">
        <v>92</v>
      </c>
      <c r="D100" s="76" t="s">
        <v>93</v>
      </c>
      <c r="E100" s="50" t="s">
        <v>97</v>
      </c>
      <c r="F100" s="53" t="s">
        <v>121</v>
      </c>
      <c r="G100" s="53" t="s">
        <v>206</v>
      </c>
      <c r="H100" s="75" t="s">
        <v>100</v>
      </c>
      <c r="I100" s="75" t="s">
        <v>101</v>
      </c>
      <c r="J100" s="76" t="s">
        <v>95</v>
      </c>
      <c r="K100" s="74" t="s">
        <v>96</v>
      </c>
    </row>
    <row r="101" ht="19.5" customHeight="1">
      <c r="A101" s="46">
        <v>1.0</v>
      </c>
      <c r="B101" s="37" t="s">
        <v>365</v>
      </c>
      <c r="C101" s="46" t="s">
        <v>103</v>
      </c>
      <c r="D101" s="78"/>
      <c r="E101" s="37"/>
      <c r="F101" s="78"/>
      <c r="G101" s="40"/>
      <c r="H101" s="40"/>
      <c r="I101" s="42"/>
      <c r="J101" s="417"/>
      <c r="K101" s="46"/>
    </row>
    <row r="102" ht="19.5" customHeight="1">
      <c r="A102" s="46">
        <v>2.0</v>
      </c>
      <c r="B102" s="37" t="s">
        <v>365</v>
      </c>
      <c r="C102" s="46" t="s">
        <v>103</v>
      </c>
      <c r="D102" s="78"/>
      <c r="E102" s="37"/>
      <c r="F102" s="78"/>
      <c r="G102" s="40"/>
      <c r="H102" s="40"/>
      <c r="I102" s="42"/>
      <c r="J102" s="64">
        <f>SUM(H101:H102)</f>
        <v>0</v>
      </c>
      <c r="K102" s="46"/>
    </row>
    <row r="103" ht="19.5" customHeight="1">
      <c r="A103" s="79">
        <v>7.0</v>
      </c>
      <c r="B103" s="95" t="s">
        <v>366</v>
      </c>
      <c r="C103" s="79" t="s">
        <v>103</v>
      </c>
      <c r="D103" s="92"/>
      <c r="E103" s="37"/>
      <c r="F103" s="78"/>
      <c r="G103" s="40"/>
      <c r="H103" s="59"/>
      <c r="I103" s="93"/>
      <c r="J103" s="133">
        <f>SUM(J101:J102)</f>
        <v>0</v>
      </c>
      <c r="K103" s="79"/>
    </row>
    <row r="104" ht="19.5" customHeight="1">
      <c r="A104" s="74" t="s">
        <v>1</v>
      </c>
      <c r="B104" s="74" t="s">
        <v>91</v>
      </c>
      <c r="C104" s="74" t="s">
        <v>92</v>
      </c>
      <c r="D104" s="76" t="s">
        <v>93</v>
      </c>
      <c r="E104" s="50" t="s">
        <v>97</v>
      </c>
      <c r="F104" s="53" t="s">
        <v>121</v>
      </c>
      <c r="G104" s="53" t="s">
        <v>99</v>
      </c>
      <c r="H104" s="75" t="s">
        <v>100</v>
      </c>
      <c r="I104" s="75" t="s">
        <v>101</v>
      </c>
      <c r="J104" s="76" t="s">
        <v>95</v>
      </c>
      <c r="K104" s="74" t="s">
        <v>96</v>
      </c>
    </row>
    <row r="105" ht="19.5" customHeight="1">
      <c r="A105" s="46">
        <v>1.0</v>
      </c>
      <c r="B105" s="37" t="s">
        <v>367</v>
      </c>
      <c r="C105" s="46" t="s">
        <v>103</v>
      </c>
      <c r="D105" s="78">
        <v>1.0</v>
      </c>
      <c r="E105" s="37">
        <v>1.0</v>
      </c>
      <c r="F105" s="78">
        <v>1.8</v>
      </c>
      <c r="G105" s="40">
        <v>1.8</v>
      </c>
      <c r="H105" s="40">
        <f>G105*E105*D105</f>
        <v>1.8</v>
      </c>
      <c r="I105" s="42"/>
      <c r="J105" s="64">
        <f>H105</f>
        <v>1.8</v>
      </c>
      <c r="K105" s="46"/>
    </row>
    <row r="106" ht="19.5" customHeight="1">
      <c r="A106" s="46">
        <v>7.0</v>
      </c>
      <c r="B106" s="37"/>
      <c r="C106" s="46"/>
      <c r="D106" s="78"/>
      <c r="E106" s="37"/>
      <c r="F106" s="78"/>
      <c r="G106" s="40"/>
      <c r="H106" s="40"/>
      <c r="I106" s="42"/>
      <c r="J106" s="77"/>
      <c r="K106" s="79"/>
    </row>
    <row r="107" ht="19.5" customHeight="1">
      <c r="A107" s="74" t="s">
        <v>1</v>
      </c>
      <c r="B107" s="74" t="s">
        <v>91</v>
      </c>
      <c r="C107" s="74" t="s">
        <v>92</v>
      </c>
      <c r="D107" s="76" t="s">
        <v>93</v>
      </c>
      <c r="E107" s="50" t="s">
        <v>161</v>
      </c>
      <c r="F107" s="53" t="s">
        <v>121</v>
      </c>
      <c r="G107" s="53" t="s">
        <v>99</v>
      </c>
      <c r="H107" s="75" t="s">
        <v>100</v>
      </c>
      <c r="I107" s="75" t="s">
        <v>101</v>
      </c>
      <c r="J107" s="76" t="s">
        <v>95</v>
      </c>
      <c r="K107" s="74" t="s">
        <v>96</v>
      </c>
    </row>
    <row r="108" ht="19.5" customHeight="1">
      <c r="A108" s="46">
        <v>1.0</v>
      </c>
      <c r="B108" s="37" t="s">
        <v>162</v>
      </c>
      <c r="C108" s="46" t="s">
        <v>103</v>
      </c>
      <c r="D108" s="78">
        <v>2.0</v>
      </c>
      <c r="E108" s="37"/>
      <c r="F108" s="78"/>
      <c r="G108" s="40"/>
      <c r="H108" s="40"/>
      <c r="I108" s="42"/>
      <c r="J108" s="40"/>
      <c r="K108" s="46"/>
    </row>
    <row r="109" ht="19.5" customHeight="1">
      <c r="A109" s="46">
        <v>2.0</v>
      </c>
      <c r="B109" s="37" t="s">
        <v>162</v>
      </c>
      <c r="C109" s="46" t="s">
        <v>103</v>
      </c>
      <c r="D109" s="78">
        <v>4.0</v>
      </c>
      <c r="E109" s="37"/>
      <c r="F109" s="78"/>
      <c r="G109" s="40"/>
      <c r="H109" s="40"/>
      <c r="I109" s="42"/>
      <c r="J109" s="64">
        <f>D109+D108</f>
        <v>6</v>
      </c>
      <c r="K109" s="46"/>
    </row>
    <row r="110" ht="19.5" customHeight="1">
      <c r="A110" s="74" t="s">
        <v>1</v>
      </c>
      <c r="B110" s="74" t="s">
        <v>91</v>
      </c>
      <c r="C110" s="74" t="s">
        <v>92</v>
      </c>
      <c r="D110" s="76" t="s">
        <v>93</v>
      </c>
      <c r="E110" s="50" t="s">
        <v>161</v>
      </c>
      <c r="F110" s="53" t="s">
        <v>121</v>
      </c>
      <c r="G110" s="53" t="s">
        <v>99</v>
      </c>
      <c r="H110" s="75" t="s">
        <v>100</v>
      </c>
      <c r="I110" s="75" t="s">
        <v>101</v>
      </c>
      <c r="J110" s="76" t="s">
        <v>95</v>
      </c>
      <c r="K110" s="74" t="s">
        <v>96</v>
      </c>
    </row>
    <row r="111" ht="19.5" customHeight="1">
      <c r="A111" s="46">
        <v>1.0</v>
      </c>
      <c r="B111" s="37" t="s">
        <v>1352</v>
      </c>
      <c r="C111" s="46" t="s">
        <v>106</v>
      </c>
      <c r="D111" s="78"/>
      <c r="E111" s="37"/>
      <c r="F111" s="78"/>
      <c r="G111" s="40"/>
      <c r="H111" s="40"/>
      <c r="I111" s="42"/>
      <c r="J111" s="40"/>
      <c r="K111" s="46"/>
    </row>
    <row r="112" ht="19.5" customHeight="1">
      <c r="A112" s="46">
        <v>2.0</v>
      </c>
      <c r="B112" s="37" t="s">
        <v>375</v>
      </c>
      <c r="C112" s="46" t="s">
        <v>106</v>
      </c>
      <c r="D112" s="78"/>
      <c r="E112" s="37"/>
      <c r="F112" s="78"/>
      <c r="G112" s="40"/>
      <c r="H112" s="40"/>
      <c r="I112" s="42"/>
      <c r="J112" s="64">
        <f>SUM(H111:H112)</f>
        <v>0</v>
      </c>
      <c r="K112" s="46"/>
    </row>
    <row r="113" ht="19.5" customHeight="1">
      <c r="A113" s="46">
        <v>3.0</v>
      </c>
      <c r="B113" s="37" t="s">
        <v>376</v>
      </c>
      <c r="C113" s="46" t="s">
        <v>106</v>
      </c>
      <c r="D113" s="78"/>
      <c r="E113" s="37"/>
      <c r="F113" s="78"/>
      <c r="G113" s="40"/>
      <c r="H113" s="40"/>
      <c r="I113" s="42"/>
      <c r="J113" s="64" t="str">
        <f>H113</f>
        <v/>
      </c>
      <c r="K113" s="79"/>
    </row>
    <row r="114" ht="19.5" customHeight="1">
      <c r="A114" s="74" t="s">
        <v>1</v>
      </c>
      <c r="B114" s="74" t="s">
        <v>91</v>
      </c>
      <c r="C114" s="74" t="s">
        <v>92</v>
      </c>
      <c r="D114" s="76" t="s">
        <v>93</v>
      </c>
      <c r="E114" s="50" t="s">
        <v>161</v>
      </c>
      <c r="F114" s="53" t="s">
        <v>121</v>
      </c>
      <c r="G114" s="53" t="s">
        <v>99</v>
      </c>
      <c r="H114" s="75" t="s">
        <v>100</v>
      </c>
      <c r="I114" s="75" t="s">
        <v>101</v>
      </c>
      <c r="J114" s="76" t="s">
        <v>95</v>
      </c>
      <c r="K114" s="74" t="s">
        <v>96</v>
      </c>
    </row>
    <row r="115" ht="19.5" customHeight="1">
      <c r="A115" s="46">
        <v>1.0</v>
      </c>
      <c r="B115" s="37" t="s">
        <v>856</v>
      </c>
      <c r="C115" s="46" t="s">
        <v>103</v>
      </c>
      <c r="D115" s="78"/>
      <c r="E115" s="37"/>
      <c r="F115" s="78"/>
      <c r="G115" s="40"/>
      <c r="H115" s="40"/>
      <c r="I115" s="42"/>
      <c r="J115" s="40"/>
      <c r="K115" s="46"/>
    </row>
    <row r="116" ht="19.5" customHeight="1">
      <c r="A116" s="46"/>
      <c r="B116" s="37"/>
      <c r="C116" s="46"/>
      <c r="D116" s="78"/>
      <c r="E116" s="37"/>
      <c r="F116" s="78"/>
      <c r="G116" s="40"/>
      <c r="H116" s="40"/>
      <c r="I116" s="93"/>
      <c r="J116" s="64">
        <f>SUM(H115:H116)</f>
        <v>0</v>
      </c>
      <c r="K116" s="79"/>
    </row>
    <row r="117" ht="19.5" customHeight="1">
      <c r="A117" s="74" t="s">
        <v>1</v>
      </c>
      <c r="B117" s="74" t="s">
        <v>91</v>
      </c>
      <c r="C117" s="74" t="s">
        <v>92</v>
      </c>
      <c r="D117" s="76" t="s">
        <v>93</v>
      </c>
      <c r="E117" s="50" t="s">
        <v>161</v>
      </c>
      <c r="F117" s="53" t="s">
        <v>121</v>
      </c>
      <c r="G117" s="53" t="s">
        <v>97</v>
      </c>
      <c r="H117" s="75" t="s">
        <v>100</v>
      </c>
      <c r="I117" s="75" t="s">
        <v>101</v>
      </c>
      <c r="J117" s="76" t="s">
        <v>95</v>
      </c>
      <c r="K117" s="74" t="s">
        <v>96</v>
      </c>
    </row>
    <row r="118" ht="19.5" customHeight="1">
      <c r="A118" s="46">
        <v>1.0</v>
      </c>
      <c r="B118" s="37" t="s">
        <v>244</v>
      </c>
      <c r="C118" s="46" t="s">
        <v>103</v>
      </c>
      <c r="D118" s="78"/>
      <c r="E118" s="37"/>
      <c r="F118" s="78"/>
      <c r="G118" s="40"/>
      <c r="H118" s="40"/>
      <c r="I118" s="42"/>
      <c r="J118" s="40"/>
      <c r="K118" s="46"/>
    </row>
    <row r="119" ht="19.5" customHeight="1">
      <c r="A119" s="46">
        <v>2.0</v>
      </c>
      <c r="B119" s="37" t="s">
        <v>244</v>
      </c>
      <c r="C119" s="46" t="s">
        <v>103</v>
      </c>
      <c r="D119" s="78"/>
      <c r="E119" s="37"/>
      <c r="F119" s="78"/>
      <c r="G119" s="40"/>
      <c r="H119" s="40"/>
      <c r="I119" s="42"/>
      <c r="J119" s="64">
        <f>SUM(H118:H119)</f>
        <v>0</v>
      </c>
      <c r="K119" s="46"/>
    </row>
    <row r="120" ht="19.5" customHeight="1">
      <c r="A120" s="74" t="s">
        <v>1</v>
      </c>
      <c r="B120" s="74" t="s">
        <v>91</v>
      </c>
      <c r="C120" s="74" t="s">
        <v>92</v>
      </c>
      <c r="D120" s="76" t="s">
        <v>93</v>
      </c>
      <c r="E120" s="50" t="s">
        <v>161</v>
      </c>
      <c r="F120" s="53"/>
      <c r="G120" s="53"/>
      <c r="H120" s="75" t="s">
        <v>100</v>
      </c>
      <c r="I120" s="75" t="s">
        <v>101</v>
      </c>
      <c r="J120" s="76" t="s">
        <v>95</v>
      </c>
      <c r="K120" s="74" t="s">
        <v>96</v>
      </c>
    </row>
    <row r="121" ht="19.5" customHeight="1">
      <c r="A121" s="46">
        <v>1.0</v>
      </c>
      <c r="B121" s="37" t="s">
        <v>245</v>
      </c>
      <c r="C121" s="46" t="s">
        <v>106</v>
      </c>
      <c r="D121" s="78"/>
      <c r="E121" s="37"/>
      <c r="F121" s="78"/>
      <c r="G121" s="40"/>
      <c r="H121" s="40"/>
      <c r="I121" s="42"/>
      <c r="J121" s="64" t="str">
        <f t="shared" ref="J121:J139" si="26">H121</f>
        <v/>
      </c>
      <c r="K121" s="46"/>
    </row>
    <row r="122" ht="19.5" customHeight="1">
      <c r="A122" s="46">
        <v>2.0</v>
      </c>
      <c r="B122" s="37" t="s">
        <v>245</v>
      </c>
      <c r="C122" s="46" t="s">
        <v>106</v>
      </c>
      <c r="D122" s="78"/>
      <c r="E122" s="37"/>
      <c r="F122" s="78"/>
      <c r="G122" s="40"/>
      <c r="H122" s="40"/>
      <c r="I122" s="42"/>
      <c r="J122" s="64" t="str">
        <f t="shared" si="26"/>
        <v/>
      </c>
      <c r="K122" s="46"/>
    </row>
    <row r="123" ht="19.5" customHeight="1">
      <c r="A123" s="46">
        <v>3.0</v>
      </c>
      <c r="B123" s="37" t="s">
        <v>246</v>
      </c>
      <c r="C123" s="46" t="s">
        <v>106</v>
      </c>
      <c r="D123" s="78"/>
      <c r="E123" s="37"/>
      <c r="F123" s="78"/>
      <c r="G123" s="40"/>
      <c r="H123" s="40"/>
      <c r="I123" s="42"/>
      <c r="J123" s="64" t="str">
        <f t="shared" si="26"/>
        <v/>
      </c>
      <c r="K123" s="46"/>
    </row>
    <row r="124" ht="19.5" customHeight="1">
      <c r="A124" s="46">
        <v>4.0</v>
      </c>
      <c r="B124" s="37" t="s">
        <v>246</v>
      </c>
      <c r="C124" s="46" t="s">
        <v>106</v>
      </c>
      <c r="D124" s="78"/>
      <c r="E124" s="37"/>
      <c r="F124" s="78"/>
      <c r="G124" s="40"/>
      <c r="H124" s="40"/>
      <c r="I124" s="42"/>
      <c r="J124" s="64" t="str">
        <f t="shared" si="26"/>
        <v/>
      </c>
      <c r="K124" s="46"/>
    </row>
    <row r="125" ht="19.5" customHeight="1">
      <c r="A125" s="46">
        <v>5.0</v>
      </c>
      <c r="B125" s="37" t="s">
        <v>247</v>
      </c>
      <c r="C125" s="46" t="s">
        <v>106</v>
      </c>
      <c r="D125" s="78"/>
      <c r="E125" s="37"/>
      <c r="F125" s="78"/>
      <c r="G125" s="40"/>
      <c r="H125" s="40"/>
      <c r="I125" s="42"/>
      <c r="J125" s="64" t="str">
        <f t="shared" si="26"/>
        <v/>
      </c>
      <c r="K125" s="46"/>
    </row>
    <row r="126" ht="19.5" customHeight="1">
      <c r="A126" s="46">
        <v>6.0</v>
      </c>
      <c r="B126" s="37" t="s">
        <v>248</v>
      </c>
      <c r="C126" s="46" t="s">
        <v>106</v>
      </c>
      <c r="D126" s="78"/>
      <c r="E126" s="37"/>
      <c r="F126" s="78"/>
      <c r="G126" s="40"/>
      <c r="H126" s="40"/>
      <c r="I126" s="42"/>
      <c r="J126" s="64" t="str">
        <f t="shared" si="26"/>
        <v/>
      </c>
      <c r="K126" s="46"/>
    </row>
    <row r="127" ht="19.5" customHeight="1">
      <c r="A127" s="46">
        <v>7.0</v>
      </c>
      <c r="B127" s="37" t="s">
        <v>249</v>
      </c>
      <c r="C127" s="46" t="s">
        <v>106</v>
      </c>
      <c r="D127" s="78"/>
      <c r="E127" s="37"/>
      <c r="F127" s="78"/>
      <c r="G127" s="40"/>
      <c r="H127" s="40"/>
      <c r="I127" s="42"/>
      <c r="J127" s="64" t="str">
        <f t="shared" si="26"/>
        <v/>
      </c>
      <c r="K127" s="46"/>
    </row>
    <row r="128" ht="19.5" customHeight="1">
      <c r="A128" s="46">
        <v>8.0</v>
      </c>
      <c r="B128" s="37" t="s">
        <v>250</v>
      </c>
      <c r="C128" s="46" t="s">
        <v>106</v>
      </c>
      <c r="D128" s="123"/>
      <c r="E128" s="37"/>
      <c r="F128" s="40"/>
      <c r="G128" s="40"/>
      <c r="H128" s="40"/>
      <c r="I128" s="40"/>
      <c r="J128" s="64" t="str">
        <f t="shared" si="26"/>
        <v/>
      </c>
      <c r="K128" s="46"/>
    </row>
    <row r="129" ht="19.5" customHeight="1">
      <c r="A129" s="46">
        <v>9.0</v>
      </c>
      <c r="B129" s="37" t="s">
        <v>251</v>
      </c>
      <c r="C129" s="46" t="s">
        <v>106</v>
      </c>
      <c r="D129" s="123"/>
      <c r="E129" s="37"/>
      <c r="F129" s="40"/>
      <c r="G129" s="40"/>
      <c r="H129" s="40"/>
      <c r="I129" s="40"/>
      <c r="J129" s="64" t="str">
        <f t="shared" si="26"/>
        <v/>
      </c>
      <c r="K129" s="46"/>
    </row>
    <row r="130" ht="19.5" customHeight="1">
      <c r="A130" s="46">
        <v>10.0</v>
      </c>
      <c r="B130" s="37" t="s">
        <v>252</v>
      </c>
      <c r="C130" s="46" t="s">
        <v>108</v>
      </c>
      <c r="D130" s="123"/>
      <c r="E130" s="37"/>
      <c r="F130" s="40"/>
      <c r="G130" s="40"/>
      <c r="H130" s="40"/>
      <c r="I130" s="40"/>
      <c r="J130" s="64" t="str">
        <f t="shared" si="26"/>
        <v/>
      </c>
      <c r="K130" s="46"/>
    </row>
    <row r="131" ht="19.5" customHeight="1">
      <c r="A131" s="46">
        <v>11.0</v>
      </c>
      <c r="B131" s="37" t="s">
        <v>253</v>
      </c>
      <c r="C131" s="46" t="s">
        <v>108</v>
      </c>
      <c r="D131" s="123"/>
      <c r="E131" s="37"/>
      <c r="F131" s="40"/>
      <c r="G131" s="40"/>
      <c r="H131" s="40"/>
      <c r="I131" s="40"/>
      <c r="J131" s="64" t="str">
        <f t="shared" si="26"/>
        <v/>
      </c>
      <c r="K131" s="46"/>
    </row>
    <row r="132" ht="19.5" customHeight="1">
      <c r="A132" s="46">
        <v>12.0</v>
      </c>
      <c r="B132" s="37" t="s">
        <v>254</v>
      </c>
      <c r="C132" s="46" t="s">
        <v>108</v>
      </c>
      <c r="D132" s="123"/>
      <c r="E132" s="37"/>
      <c r="F132" s="40"/>
      <c r="G132" s="40"/>
      <c r="H132" s="40"/>
      <c r="I132" s="40"/>
      <c r="J132" s="64" t="str">
        <f t="shared" si="26"/>
        <v/>
      </c>
      <c r="K132" s="46"/>
    </row>
    <row r="133" ht="19.5" customHeight="1">
      <c r="A133" s="46">
        <f t="shared" ref="A133:A139" si="27">A132+1</f>
        <v>13</v>
      </c>
      <c r="B133" s="37" t="s">
        <v>255</v>
      </c>
      <c r="C133" s="46" t="s">
        <v>108</v>
      </c>
      <c r="D133" s="123"/>
      <c r="E133" s="37"/>
      <c r="F133" s="40"/>
      <c r="G133" s="40"/>
      <c r="H133" s="40"/>
      <c r="I133" s="40"/>
      <c r="J133" s="64" t="str">
        <f t="shared" si="26"/>
        <v/>
      </c>
      <c r="K133" s="46"/>
    </row>
    <row r="134" ht="19.5" customHeight="1">
      <c r="A134" s="46">
        <f t="shared" si="27"/>
        <v>14</v>
      </c>
      <c r="B134" s="37" t="s">
        <v>256</v>
      </c>
      <c r="C134" s="46" t="s">
        <v>108</v>
      </c>
      <c r="D134" s="123"/>
      <c r="E134" s="37"/>
      <c r="F134" s="40"/>
      <c r="G134" s="40"/>
      <c r="H134" s="40"/>
      <c r="I134" s="40"/>
      <c r="J134" s="64" t="str">
        <f t="shared" si="26"/>
        <v/>
      </c>
      <c r="K134" s="46"/>
    </row>
    <row r="135" ht="19.5" customHeight="1">
      <c r="A135" s="46">
        <f t="shared" si="27"/>
        <v>15</v>
      </c>
      <c r="B135" s="37" t="s">
        <v>257</v>
      </c>
      <c r="C135" s="46" t="s">
        <v>106</v>
      </c>
      <c r="D135" s="123"/>
      <c r="E135" s="37"/>
      <c r="F135" s="40"/>
      <c r="G135" s="40"/>
      <c r="H135" s="40"/>
      <c r="I135" s="40"/>
      <c r="J135" s="64" t="str">
        <f t="shared" si="26"/>
        <v/>
      </c>
      <c r="K135" s="46"/>
    </row>
    <row r="136" ht="19.5" customHeight="1">
      <c r="A136" s="46">
        <f t="shared" si="27"/>
        <v>16</v>
      </c>
      <c r="B136" s="37" t="s">
        <v>258</v>
      </c>
      <c r="C136" s="46" t="s">
        <v>106</v>
      </c>
      <c r="D136" s="123"/>
      <c r="E136" s="37"/>
      <c r="F136" s="40"/>
      <c r="G136" s="40"/>
      <c r="H136" s="40"/>
      <c r="I136" s="40"/>
      <c r="J136" s="64" t="str">
        <f t="shared" si="26"/>
        <v/>
      </c>
      <c r="K136" s="46"/>
    </row>
    <row r="137" ht="19.5" customHeight="1">
      <c r="A137" s="46">
        <f t="shared" si="27"/>
        <v>17</v>
      </c>
      <c r="B137" s="37" t="s">
        <v>259</v>
      </c>
      <c r="C137" s="46" t="s">
        <v>108</v>
      </c>
      <c r="D137" s="123"/>
      <c r="E137" s="37"/>
      <c r="F137" s="40"/>
      <c r="G137" s="40"/>
      <c r="H137" s="40"/>
      <c r="I137" s="40"/>
      <c r="J137" s="64" t="str">
        <f t="shared" si="26"/>
        <v/>
      </c>
      <c r="K137" s="46"/>
    </row>
    <row r="138" ht="19.5" customHeight="1">
      <c r="A138" s="46">
        <f t="shared" si="27"/>
        <v>18</v>
      </c>
      <c r="B138" s="37" t="s">
        <v>260</v>
      </c>
      <c r="C138" s="46" t="s">
        <v>108</v>
      </c>
      <c r="D138" s="123"/>
      <c r="E138" s="37"/>
      <c r="F138" s="40"/>
      <c r="G138" s="40"/>
      <c r="H138" s="40"/>
      <c r="I138" s="40"/>
      <c r="J138" s="64" t="str">
        <f t="shared" si="26"/>
        <v/>
      </c>
      <c r="K138" s="46"/>
    </row>
    <row r="139" ht="19.5" customHeight="1">
      <c r="A139" s="46">
        <f t="shared" si="27"/>
        <v>19</v>
      </c>
      <c r="B139" s="37" t="s">
        <v>261</v>
      </c>
      <c r="C139" s="46" t="s">
        <v>106</v>
      </c>
      <c r="D139" s="123"/>
      <c r="E139" s="37"/>
      <c r="F139" s="40"/>
      <c r="G139" s="40"/>
      <c r="H139" s="40"/>
      <c r="I139" s="40"/>
      <c r="J139" s="64" t="str">
        <f t="shared" si="26"/>
        <v/>
      </c>
      <c r="K139" s="46"/>
    </row>
    <row r="140" ht="19.5" customHeight="1">
      <c r="A140" s="12"/>
      <c r="C140" s="12"/>
      <c r="D140" s="87"/>
      <c r="F140" s="14"/>
      <c r="G140" s="14"/>
      <c r="H140" s="14"/>
      <c r="I140" s="14"/>
      <c r="J140" s="14"/>
      <c r="K140" s="12"/>
    </row>
    <row r="141" ht="19.5" customHeight="1">
      <c r="A141" s="74" t="s">
        <v>1</v>
      </c>
      <c r="B141" s="74" t="s">
        <v>91</v>
      </c>
      <c r="C141" s="74" t="s">
        <v>92</v>
      </c>
      <c r="D141" s="76" t="s">
        <v>93</v>
      </c>
      <c r="E141" s="50" t="s">
        <v>161</v>
      </c>
      <c r="F141" s="53" t="s">
        <v>121</v>
      </c>
      <c r="G141" s="53" t="s">
        <v>99</v>
      </c>
      <c r="H141" s="53" t="s">
        <v>100</v>
      </c>
      <c r="I141" s="53" t="s">
        <v>101</v>
      </c>
      <c r="J141" s="76" t="s">
        <v>95</v>
      </c>
      <c r="K141" s="74" t="s">
        <v>96</v>
      </c>
    </row>
    <row r="142" ht="19.5" customHeight="1">
      <c r="A142" s="46">
        <v>1.0</v>
      </c>
      <c r="B142" s="37" t="s">
        <v>262</v>
      </c>
      <c r="C142" s="46" t="s">
        <v>108</v>
      </c>
      <c r="D142" s="78"/>
      <c r="E142" s="37"/>
      <c r="F142" s="78"/>
      <c r="G142" s="40"/>
      <c r="H142" s="40"/>
      <c r="I142" s="42"/>
      <c r="J142" s="64" t="str">
        <f t="shared" ref="J142:J165" si="28">H142</f>
        <v/>
      </c>
      <c r="K142" s="46"/>
    </row>
    <row r="143" ht="19.5" customHeight="1">
      <c r="A143" s="46">
        <f t="shared" ref="A143:A165" si="29">A142+1</f>
        <v>2</v>
      </c>
      <c r="B143" s="37" t="s">
        <v>263</v>
      </c>
      <c r="C143" s="46" t="s">
        <v>108</v>
      </c>
      <c r="D143" s="123"/>
      <c r="E143" s="37"/>
      <c r="F143" s="40"/>
      <c r="G143" s="40"/>
      <c r="H143" s="40"/>
      <c r="I143" s="40"/>
      <c r="J143" s="64" t="str">
        <f t="shared" si="28"/>
        <v/>
      </c>
      <c r="K143" s="46"/>
    </row>
    <row r="144" ht="19.5" customHeight="1">
      <c r="A144" s="46">
        <f t="shared" si="29"/>
        <v>3</v>
      </c>
      <c r="B144" s="37" t="s">
        <v>264</v>
      </c>
      <c r="C144" s="46" t="s">
        <v>108</v>
      </c>
      <c r="D144" s="123"/>
      <c r="E144" s="37"/>
      <c r="F144" s="40"/>
      <c r="G144" s="40"/>
      <c r="H144" s="40"/>
      <c r="I144" s="40"/>
      <c r="J144" s="64" t="str">
        <f t="shared" si="28"/>
        <v/>
      </c>
      <c r="K144" s="46"/>
    </row>
    <row r="145" ht="19.5" customHeight="1">
      <c r="A145" s="46">
        <f t="shared" si="29"/>
        <v>4</v>
      </c>
      <c r="B145" s="37" t="s">
        <v>265</v>
      </c>
      <c r="C145" s="46" t="s">
        <v>106</v>
      </c>
      <c r="D145" s="123"/>
      <c r="E145" s="37"/>
      <c r="F145" s="40"/>
      <c r="G145" s="40"/>
      <c r="H145" s="40"/>
      <c r="I145" s="40"/>
      <c r="J145" s="64" t="str">
        <f t="shared" si="28"/>
        <v/>
      </c>
      <c r="K145" s="46"/>
    </row>
    <row r="146" ht="19.5" customHeight="1">
      <c r="A146" s="46">
        <f t="shared" si="29"/>
        <v>5</v>
      </c>
      <c r="B146" s="37" t="s">
        <v>266</v>
      </c>
      <c r="C146" s="46" t="s">
        <v>106</v>
      </c>
      <c r="D146" s="123"/>
      <c r="E146" s="37"/>
      <c r="F146" s="40"/>
      <c r="G146" s="40"/>
      <c r="H146" s="40"/>
      <c r="I146" s="40"/>
      <c r="J146" s="64" t="str">
        <f t="shared" si="28"/>
        <v/>
      </c>
      <c r="K146" s="46"/>
    </row>
    <row r="147" ht="19.5" customHeight="1">
      <c r="A147" s="46">
        <f t="shared" si="29"/>
        <v>6</v>
      </c>
      <c r="B147" s="37" t="s">
        <v>267</v>
      </c>
      <c r="C147" s="46" t="s">
        <v>106</v>
      </c>
      <c r="D147" s="123"/>
      <c r="E147" s="37"/>
      <c r="F147" s="40"/>
      <c r="G147" s="40"/>
      <c r="H147" s="40"/>
      <c r="I147" s="40"/>
      <c r="J147" s="64" t="str">
        <f t="shared" si="28"/>
        <v/>
      </c>
      <c r="K147" s="46"/>
    </row>
    <row r="148" ht="19.5" customHeight="1">
      <c r="A148" s="46">
        <f t="shared" si="29"/>
        <v>7</v>
      </c>
      <c r="B148" s="37" t="s">
        <v>268</v>
      </c>
      <c r="C148" s="46" t="s">
        <v>106</v>
      </c>
      <c r="D148" s="123"/>
      <c r="E148" s="37"/>
      <c r="F148" s="40"/>
      <c r="G148" s="40"/>
      <c r="H148" s="40"/>
      <c r="I148" s="40"/>
      <c r="J148" s="64" t="str">
        <f t="shared" si="28"/>
        <v/>
      </c>
      <c r="K148" s="46"/>
    </row>
    <row r="149" ht="19.5" customHeight="1">
      <c r="A149" s="46">
        <f t="shared" si="29"/>
        <v>8</v>
      </c>
      <c r="B149" s="37" t="s">
        <v>269</v>
      </c>
      <c r="C149" s="46" t="s">
        <v>106</v>
      </c>
      <c r="D149" s="123"/>
      <c r="E149" s="37"/>
      <c r="F149" s="40"/>
      <c r="G149" s="40"/>
      <c r="H149" s="40"/>
      <c r="I149" s="40"/>
      <c r="J149" s="64" t="str">
        <f t="shared" si="28"/>
        <v/>
      </c>
      <c r="K149" s="46"/>
    </row>
    <row r="150" ht="19.5" customHeight="1">
      <c r="A150" s="46">
        <f t="shared" si="29"/>
        <v>9</v>
      </c>
      <c r="B150" s="37" t="s">
        <v>270</v>
      </c>
      <c r="C150" s="46" t="s">
        <v>106</v>
      </c>
      <c r="D150" s="123"/>
      <c r="E150" s="37"/>
      <c r="F150" s="40"/>
      <c r="G150" s="40"/>
      <c r="H150" s="40"/>
      <c r="I150" s="40"/>
      <c r="J150" s="64" t="str">
        <f t="shared" si="28"/>
        <v/>
      </c>
      <c r="K150" s="46"/>
    </row>
    <row r="151" ht="19.5" customHeight="1">
      <c r="A151" s="46">
        <f t="shared" si="29"/>
        <v>10</v>
      </c>
      <c r="B151" s="37" t="s">
        <v>271</v>
      </c>
      <c r="C151" s="46" t="s">
        <v>106</v>
      </c>
      <c r="D151" s="123"/>
      <c r="E151" s="37"/>
      <c r="F151" s="40"/>
      <c r="G151" s="40"/>
      <c r="H151" s="40"/>
      <c r="I151" s="40"/>
      <c r="J151" s="64" t="str">
        <f t="shared" si="28"/>
        <v/>
      </c>
      <c r="K151" s="46"/>
    </row>
    <row r="152" ht="19.5" customHeight="1">
      <c r="A152" s="46">
        <f t="shared" si="29"/>
        <v>11</v>
      </c>
      <c r="B152" s="37" t="s">
        <v>272</v>
      </c>
      <c r="C152" s="46" t="s">
        <v>106</v>
      </c>
      <c r="D152" s="123"/>
      <c r="E152" s="37"/>
      <c r="F152" s="40"/>
      <c r="G152" s="40"/>
      <c r="H152" s="40"/>
      <c r="I152" s="40"/>
      <c r="J152" s="64" t="str">
        <f t="shared" si="28"/>
        <v/>
      </c>
      <c r="K152" s="46"/>
    </row>
    <row r="153" ht="19.5" customHeight="1">
      <c r="A153" s="46">
        <f t="shared" si="29"/>
        <v>12</v>
      </c>
      <c r="B153" s="37" t="s">
        <v>273</v>
      </c>
      <c r="C153" s="46" t="s">
        <v>106</v>
      </c>
      <c r="D153" s="123"/>
      <c r="E153" s="37"/>
      <c r="F153" s="40"/>
      <c r="G153" s="40"/>
      <c r="H153" s="40"/>
      <c r="I153" s="40"/>
      <c r="J153" s="64" t="str">
        <f t="shared" si="28"/>
        <v/>
      </c>
      <c r="K153" s="46"/>
    </row>
    <row r="154" ht="19.5" customHeight="1">
      <c r="A154" s="46">
        <f t="shared" si="29"/>
        <v>13</v>
      </c>
      <c r="B154" s="37" t="s">
        <v>274</v>
      </c>
      <c r="C154" s="46" t="s">
        <v>106</v>
      </c>
      <c r="D154" s="123"/>
      <c r="E154" s="37"/>
      <c r="F154" s="40"/>
      <c r="G154" s="40"/>
      <c r="H154" s="40"/>
      <c r="I154" s="40"/>
      <c r="J154" s="64" t="str">
        <f t="shared" si="28"/>
        <v/>
      </c>
      <c r="K154" s="46"/>
    </row>
    <row r="155" ht="19.5" customHeight="1">
      <c r="A155" s="46">
        <f t="shared" si="29"/>
        <v>14</v>
      </c>
      <c r="B155" s="37" t="s">
        <v>275</v>
      </c>
      <c r="C155" s="46" t="s">
        <v>106</v>
      </c>
      <c r="D155" s="123"/>
      <c r="E155" s="37"/>
      <c r="F155" s="40"/>
      <c r="G155" s="40"/>
      <c r="H155" s="40"/>
      <c r="I155" s="40"/>
      <c r="J155" s="64" t="str">
        <f t="shared" si="28"/>
        <v/>
      </c>
      <c r="K155" s="46"/>
    </row>
    <row r="156" ht="19.5" customHeight="1">
      <c r="A156" s="46">
        <f t="shared" si="29"/>
        <v>15</v>
      </c>
      <c r="B156" s="37" t="s">
        <v>276</v>
      </c>
      <c r="C156" s="46" t="s">
        <v>106</v>
      </c>
      <c r="D156" s="123"/>
      <c r="E156" s="37"/>
      <c r="F156" s="40"/>
      <c r="G156" s="40"/>
      <c r="H156" s="40"/>
      <c r="I156" s="40"/>
      <c r="J156" s="64" t="str">
        <f t="shared" si="28"/>
        <v/>
      </c>
      <c r="K156" s="46"/>
    </row>
    <row r="157" ht="19.5" customHeight="1">
      <c r="A157" s="46">
        <f t="shared" si="29"/>
        <v>16</v>
      </c>
      <c r="B157" s="37" t="s">
        <v>277</v>
      </c>
      <c r="C157" s="46" t="s">
        <v>106</v>
      </c>
      <c r="D157" s="123"/>
      <c r="E157" s="37"/>
      <c r="F157" s="40"/>
      <c r="G157" s="40"/>
      <c r="H157" s="40"/>
      <c r="I157" s="40"/>
      <c r="J157" s="64" t="str">
        <f t="shared" si="28"/>
        <v/>
      </c>
      <c r="K157" s="46"/>
    </row>
    <row r="158" ht="19.5" customHeight="1">
      <c r="A158" s="46">
        <f t="shared" si="29"/>
        <v>17</v>
      </c>
      <c r="B158" s="37" t="s">
        <v>278</v>
      </c>
      <c r="C158" s="46" t="s">
        <v>106</v>
      </c>
      <c r="D158" s="123"/>
      <c r="E158" s="37"/>
      <c r="F158" s="40"/>
      <c r="G158" s="40"/>
      <c r="H158" s="40"/>
      <c r="I158" s="40"/>
      <c r="J158" s="64" t="str">
        <f t="shared" si="28"/>
        <v/>
      </c>
      <c r="K158" s="46"/>
    </row>
    <row r="159" ht="19.5" customHeight="1">
      <c r="A159" s="46">
        <f t="shared" si="29"/>
        <v>18</v>
      </c>
      <c r="B159" s="37" t="s">
        <v>279</v>
      </c>
      <c r="C159" s="46" t="s">
        <v>106</v>
      </c>
      <c r="D159" s="123"/>
      <c r="E159" s="37"/>
      <c r="F159" s="40"/>
      <c r="G159" s="40"/>
      <c r="H159" s="40"/>
      <c r="I159" s="40"/>
      <c r="J159" s="64" t="str">
        <f t="shared" si="28"/>
        <v/>
      </c>
      <c r="K159" s="46"/>
    </row>
    <row r="160" ht="19.5" customHeight="1">
      <c r="A160" s="46">
        <f t="shared" si="29"/>
        <v>19</v>
      </c>
      <c r="B160" s="37" t="s">
        <v>280</v>
      </c>
      <c r="C160" s="46" t="s">
        <v>106</v>
      </c>
      <c r="D160" s="123"/>
      <c r="E160" s="37"/>
      <c r="F160" s="40"/>
      <c r="G160" s="40"/>
      <c r="H160" s="40"/>
      <c r="I160" s="40"/>
      <c r="J160" s="64" t="str">
        <f t="shared" si="28"/>
        <v/>
      </c>
      <c r="K160" s="46"/>
    </row>
    <row r="161" ht="19.5" customHeight="1">
      <c r="A161" s="46">
        <f t="shared" si="29"/>
        <v>20</v>
      </c>
      <c r="B161" s="37" t="s">
        <v>281</v>
      </c>
      <c r="C161" s="46" t="s">
        <v>106</v>
      </c>
      <c r="D161" s="123"/>
      <c r="E161" s="37"/>
      <c r="F161" s="40"/>
      <c r="G161" s="40"/>
      <c r="H161" s="40"/>
      <c r="I161" s="40"/>
      <c r="J161" s="64" t="str">
        <f t="shared" si="28"/>
        <v/>
      </c>
      <c r="K161" s="46"/>
    </row>
    <row r="162" ht="19.5" customHeight="1">
      <c r="A162" s="46">
        <f t="shared" si="29"/>
        <v>21</v>
      </c>
      <c r="B162" s="37" t="s">
        <v>378</v>
      </c>
      <c r="C162" s="46" t="s">
        <v>106</v>
      </c>
      <c r="D162" s="123"/>
      <c r="E162" s="37"/>
      <c r="F162" s="40"/>
      <c r="G162" s="40"/>
      <c r="H162" s="40"/>
      <c r="I162" s="40"/>
      <c r="J162" s="64" t="str">
        <f t="shared" si="28"/>
        <v/>
      </c>
      <c r="K162" s="46"/>
    </row>
    <row r="163" ht="19.5" customHeight="1">
      <c r="A163" s="46">
        <f t="shared" si="29"/>
        <v>22</v>
      </c>
      <c r="B163" s="37" t="s">
        <v>284</v>
      </c>
      <c r="C163" s="46" t="s">
        <v>106</v>
      </c>
      <c r="D163" s="123"/>
      <c r="E163" s="37"/>
      <c r="F163" s="40"/>
      <c r="G163" s="40"/>
      <c r="H163" s="40"/>
      <c r="I163" s="40"/>
      <c r="J163" s="64" t="str">
        <f t="shared" si="28"/>
        <v/>
      </c>
      <c r="K163" s="46"/>
    </row>
    <row r="164" ht="19.5" customHeight="1">
      <c r="A164" s="46">
        <f t="shared" si="29"/>
        <v>23</v>
      </c>
      <c r="B164" s="37" t="s">
        <v>285</v>
      </c>
      <c r="C164" s="46" t="s">
        <v>106</v>
      </c>
      <c r="D164" s="123"/>
      <c r="E164" s="37"/>
      <c r="F164" s="40"/>
      <c r="G164" s="40"/>
      <c r="H164" s="40"/>
      <c r="I164" s="40"/>
      <c r="J164" s="64" t="str">
        <f t="shared" si="28"/>
        <v/>
      </c>
      <c r="K164" s="79"/>
    </row>
    <row r="165" ht="19.5" customHeight="1">
      <c r="A165" s="46">
        <f t="shared" si="29"/>
        <v>24</v>
      </c>
      <c r="B165" s="37" t="s">
        <v>286</v>
      </c>
      <c r="C165" s="46" t="s">
        <v>106</v>
      </c>
      <c r="D165" s="123"/>
      <c r="E165" s="37"/>
      <c r="F165" s="40"/>
      <c r="G165" s="40"/>
      <c r="H165" s="40"/>
      <c r="I165" s="40"/>
      <c r="J165" s="64" t="str">
        <f t="shared" si="28"/>
        <v/>
      </c>
      <c r="K165" s="79"/>
    </row>
    <row r="166" ht="19.5" customHeight="1">
      <c r="A166" s="74" t="s">
        <v>1</v>
      </c>
      <c r="B166" s="74" t="s">
        <v>91</v>
      </c>
      <c r="C166" s="74" t="s">
        <v>92</v>
      </c>
      <c r="D166" s="76" t="s">
        <v>93</v>
      </c>
      <c r="E166" s="50" t="s">
        <v>161</v>
      </c>
      <c r="F166" s="53" t="s">
        <v>121</v>
      </c>
      <c r="G166" s="53" t="s">
        <v>99</v>
      </c>
      <c r="H166" s="53" t="s">
        <v>100</v>
      </c>
      <c r="I166" s="53" t="s">
        <v>101</v>
      </c>
      <c r="J166" s="76" t="s">
        <v>95</v>
      </c>
      <c r="K166" s="74" t="s">
        <v>96</v>
      </c>
    </row>
    <row r="167" ht="19.5" customHeight="1">
      <c r="A167" s="46">
        <v>1.0</v>
      </c>
      <c r="B167" s="37" t="s">
        <v>287</v>
      </c>
      <c r="C167" s="46" t="s">
        <v>108</v>
      </c>
      <c r="D167" s="78"/>
      <c r="E167" s="37"/>
      <c r="F167" s="78"/>
      <c r="G167" s="40"/>
      <c r="H167" s="40"/>
      <c r="I167" s="42"/>
      <c r="J167" s="64" t="str">
        <f t="shared" ref="J167:J207" si="30">H167</f>
        <v/>
      </c>
      <c r="K167" s="46"/>
    </row>
    <row r="168" ht="19.5" customHeight="1">
      <c r="A168" s="46">
        <f t="shared" ref="A168:A207" si="31">A167+1</f>
        <v>2</v>
      </c>
      <c r="B168" s="37" t="s">
        <v>288</v>
      </c>
      <c r="C168" s="46" t="s">
        <v>108</v>
      </c>
      <c r="D168" s="78"/>
      <c r="E168" s="37"/>
      <c r="F168" s="78"/>
      <c r="G168" s="40"/>
      <c r="H168" s="40"/>
      <c r="I168" s="42"/>
      <c r="J168" s="64" t="str">
        <f t="shared" si="30"/>
        <v/>
      </c>
      <c r="K168" s="46"/>
    </row>
    <row r="169" ht="19.5" customHeight="1">
      <c r="A169" s="46">
        <f t="shared" si="31"/>
        <v>3</v>
      </c>
      <c r="B169" s="37" t="s">
        <v>289</v>
      </c>
      <c r="C169" s="46" t="s">
        <v>108</v>
      </c>
      <c r="D169" s="78"/>
      <c r="E169" s="37"/>
      <c r="F169" s="78"/>
      <c r="G169" s="40"/>
      <c r="H169" s="40"/>
      <c r="I169" s="42"/>
      <c r="J169" s="64" t="str">
        <f t="shared" si="30"/>
        <v/>
      </c>
      <c r="K169" s="46"/>
    </row>
    <row r="170" ht="19.5" customHeight="1">
      <c r="A170" s="46">
        <f t="shared" si="31"/>
        <v>4</v>
      </c>
      <c r="B170" s="37" t="s">
        <v>263</v>
      </c>
      <c r="C170" s="46" t="s">
        <v>108</v>
      </c>
      <c r="D170" s="78"/>
      <c r="E170" s="37"/>
      <c r="F170" s="78"/>
      <c r="G170" s="40"/>
      <c r="H170" s="40"/>
      <c r="I170" s="42"/>
      <c r="J170" s="64" t="str">
        <f t="shared" si="30"/>
        <v/>
      </c>
      <c r="K170" s="46"/>
    </row>
    <row r="171" ht="19.5" customHeight="1">
      <c r="A171" s="46">
        <f t="shared" si="31"/>
        <v>5</v>
      </c>
      <c r="B171" s="37" t="s">
        <v>264</v>
      </c>
      <c r="C171" s="46" t="s">
        <v>108</v>
      </c>
      <c r="D171" s="123"/>
      <c r="E171" s="37"/>
      <c r="F171" s="40"/>
      <c r="G171" s="40"/>
      <c r="H171" s="40"/>
      <c r="I171" s="40"/>
      <c r="J171" s="64" t="str">
        <f t="shared" si="30"/>
        <v/>
      </c>
      <c r="K171" s="46"/>
    </row>
    <row r="172" ht="19.5" customHeight="1">
      <c r="A172" s="46">
        <f t="shared" si="31"/>
        <v>6</v>
      </c>
      <c r="B172" s="37" t="s">
        <v>290</v>
      </c>
      <c r="C172" s="46" t="s">
        <v>108</v>
      </c>
      <c r="D172" s="123"/>
      <c r="E172" s="37"/>
      <c r="F172" s="40"/>
      <c r="G172" s="40"/>
      <c r="H172" s="40"/>
      <c r="I172" s="40"/>
      <c r="J172" s="64" t="str">
        <f t="shared" si="30"/>
        <v/>
      </c>
      <c r="K172" s="46"/>
    </row>
    <row r="173" ht="19.5" customHeight="1">
      <c r="A173" s="46">
        <f t="shared" si="31"/>
        <v>7</v>
      </c>
      <c r="B173" s="37" t="s">
        <v>291</v>
      </c>
      <c r="C173" s="46" t="s">
        <v>108</v>
      </c>
      <c r="D173" s="123"/>
      <c r="E173" s="37"/>
      <c r="F173" s="40"/>
      <c r="G173" s="40"/>
      <c r="H173" s="40"/>
      <c r="I173" s="40"/>
      <c r="J173" s="64" t="str">
        <f t="shared" si="30"/>
        <v/>
      </c>
      <c r="K173" s="46"/>
    </row>
    <row r="174" ht="19.5" customHeight="1">
      <c r="A174" s="46">
        <f t="shared" si="31"/>
        <v>8</v>
      </c>
      <c r="B174" s="37" t="s">
        <v>292</v>
      </c>
      <c r="C174" s="46" t="s">
        <v>106</v>
      </c>
      <c r="D174" s="123"/>
      <c r="E174" s="37"/>
      <c r="F174" s="40"/>
      <c r="G174" s="40"/>
      <c r="H174" s="40"/>
      <c r="I174" s="40"/>
      <c r="J174" s="64" t="str">
        <f t="shared" si="30"/>
        <v/>
      </c>
      <c r="K174" s="46"/>
    </row>
    <row r="175" ht="19.5" customHeight="1">
      <c r="A175" s="46">
        <f t="shared" si="31"/>
        <v>9</v>
      </c>
      <c r="B175" s="37" t="s">
        <v>293</v>
      </c>
      <c r="C175" s="46" t="s">
        <v>106</v>
      </c>
      <c r="D175" s="123"/>
      <c r="E175" s="37"/>
      <c r="F175" s="40"/>
      <c r="G175" s="40"/>
      <c r="H175" s="40"/>
      <c r="I175" s="40"/>
      <c r="J175" s="64" t="str">
        <f t="shared" si="30"/>
        <v/>
      </c>
      <c r="K175" s="46"/>
    </row>
    <row r="176" ht="19.5" customHeight="1">
      <c r="A176" s="46">
        <f t="shared" si="31"/>
        <v>10</v>
      </c>
      <c r="B176" s="37" t="s">
        <v>294</v>
      </c>
      <c r="C176" s="46" t="s">
        <v>106</v>
      </c>
      <c r="D176" s="123"/>
      <c r="E176" s="37"/>
      <c r="F176" s="40"/>
      <c r="G176" s="40"/>
      <c r="H176" s="40"/>
      <c r="I176" s="40"/>
      <c r="J176" s="64" t="str">
        <f t="shared" si="30"/>
        <v/>
      </c>
      <c r="K176" s="46"/>
    </row>
    <row r="177" ht="19.5" customHeight="1">
      <c r="A177" s="46">
        <f t="shared" si="31"/>
        <v>11</v>
      </c>
      <c r="B177" s="37" t="s">
        <v>295</v>
      </c>
      <c r="C177" s="46" t="s">
        <v>106</v>
      </c>
      <c r="D177" s="123"/>
      <c r="E177" s="37"/>
      <c r="F177" s="40"/>
      <c r="G177" s="40"/>
      <c r="H177" s="40"/>
      <c r="I177" s="40"/>
      <c r="J177" s="64" t="str">
        <f t="shared" si="30"/>
        <v/>
      </c>
      <c r="K177" s="46"/>
    </row>
    <row r="178" ht="19.5" customHeight="1">
      <c r="A178" s="46">
        <f t="shared" si="31"/>
        <v>12</v>
      </c>
      <c r="B178" s="37" t="s">
        <v>270</v>
      </c>
      <c r="C178" s="46" t="s">
        <v>106</v>
      </c>
      <c r="D178" s="123"/>
      <c r="E178" s="37"/>
      <c r="F178" s="40"/>
      <c r="G178" s="40"/>
      <c r="H178" s="40"/>
      <c r="I178" s="40"/>
      <c r="J178" s="64" t="str">
        <f t="shared" si="30"/>
        <v/>
      </c>
      <c r="K178" s="46"/>
    </row>
    <row r="179" ht="19.5" customHeight="1">
      <c r="A179" s="46">
        <f t="shared" si="31"/>
        <v>13</v>
      </c>
      <c r="B179" s="37" t="s">
        <v>296</v>
      </c>
      <c r="C179" s="46" t="s">
        <v>106</v>
      </c>
      <c r="D179" s="123"/>
      <c r="E179" s="37"/>
      <c r="F179" s="40"/>
      <c r="G179" s="40"/>
      <c r="H179" s="40"/>
      <c r="I179" s="40"/>
      <c r="J179" s="64" t="str">
        <f t="shared" si="30"/>
        <v/>
      </c>
      <c r="K179" s="46"/>
    </row>
    <row r="180" ht="19.5" customHeight="1">
      <c r="A180" s="46">
        <f t="shared" si="31"/>
        <v>14</v>
      </c>
      <c r="B180" s="37" t="s">
        <v>297</v>
      </c>
      <c r="C180" s="46" t="s">
        <v>106</v>
      </c>
      <c r="D180" s="123"/>
      <c r="E180" s="37"/>
      <c r="F180" s="40"/>
      <c r="G180" s="40"/>
      <c r="H180" s="40"/>
      <c r="I180" s="40"/>
      <c r="J180" s="64" t="str">
        <f t="shared" si="30"/>
        <v/>
      </c>
      <c r="K180" s="46"/>
    </row>
    <row r="181" ht="19.5" customHeight="1">
      <c r="A181" s="46">
        <f t="shared" si="31"/>
        <v>15</v>
      </c>
      <c r="B181" s="37" t="s">
        <v>298</v>
      </c>
      <c r="C181" s="46" t="s">
        <v>106</v>
      </c>
      <c r="D181" s="123"/>
      <c r="E181" s="37"/>
      <c r="F181" s="40"/>
      <c r="G181" s="40"/>
      <c r="H181" s="40"/>
      <c r="I181" s="40"/>
      <c r="J181" s="64" t="str">
        <f t="shared" si="30"/>
        <v/>
      </c>
      <c r="K181" s="46"/>
    </row>
    <row r="182" ht="19.5" customHeight="1">
      <c r="A182" s="46">
        <f t="shared" si="31"/>
        <v>16</v>
      </c>
      <c r="B182" s="37" t="s">
        <v>299</v>
      </c>
      <c r="C182" s="46" t="s">
        <v>106</v>
      </c>
      <c r="D182" s="123"/>
      <c r="E182" s="37"/>
      <c r="F182" s="40"/>
      <c r="G182" s="40"/>
      <c r="H182" s="40"/>
      <c r="I182" s="40"/>
      <c r="J182" s="64" t="str">
        <f t="shared" si="30"/>
        <v/>
      </c>
      <c r="K182" s="46"/>
    </row>
    <row r="183" ht="19.5" customHeight="1">
      <c r="A183" s="46">
        <f t="shared" si="31"/>
        <v>17</v>
      </c>
      <c r="B183" s="37" t="s">
        <v>300</v>
      </c>
      <c r="C183" s="46" t="s">
        <v>106</v>
      </c>
      <c r="D183" s="123"/>
      <c r="E183" s="37"/>
      <c r="F183" s="40"/>
      <c r="G183" s="40"/>
      <c r="H183" s="40"/>
      <c r="I183" s="40"/>
      <c r="J183" s="64" t="str">
        <f t="shared" si="30"/>
        <v/>
      </c>
      <c r="K183" s="46"/>
    </row>
    <row r="184" ht="19.5" customHeight="1">
      <c r="A184" s="46">
        <f t="shared" si="31"/>
        <v>18</v>
      </c>
      <c r="B184" s="37" t="s">
        <v>301</v>
      </c>
      <c r="C184" s="46" t="s">
        <v>106</v>
      </c>
      <c r="D184" s="123"/>
      <c r="E184" s="37"/>
      <c r="F184" s="40"/>
      <c r="G184" s="40"/>
      <c r="H184" s="40"/>
      <c r="I184" s="40"/>
      <c r="J184" s="64" t="str">
        <f t="shared" si="30"/>
        <v/>
      </c>
      <c r="K184" s="46"/>
    </row>
    <row r="185" ht="19.5" customHeight="1">
      <c r="A185" s="46">
        <f t="shared" si="31"/>
        <v>19</v>
      </c>
      <c r="B185" s="37" t="s">
        <v>302</v>
      </c>
      <c r="C185" s="46" t="s">
        <v>106</v>
      </c>
      <c r="D185" s="123"/>
      <c r="E185" s="37"/>
      <c r="F185" s="40"/>
      <c r="G185" s="40"/>
      <c r="H185" s="40"/>
      <c r="I185" s="40"/>
      <c r="J185" s="64" t="str">
        <f t="shared" si="30"/>
        <v/>
      </c>
      <c r="K185" s="46"/>
    </row>
    <row r="186" ht="19.5" customHeight="1">
      <c r="A186" s="46">
        <f t="shared" si="31"/>
        <v>20</v>
      </c>
      <c r="B186" s="37" t="s">
        <v>303</v>
      </c>
      <c r="C186" s="46" t="s">
        <v>106</v>
      </c>
      <c r="D186" s="123"/>
      <c r="E186" s="37"/>
      <c r="F186" s="40"/>
      <c r="G186" s="40"/>
      <c r="H186" s="40"/>
      <c r="I186" s="40"/>
      <c r="J186" s="64" t="str">
        <f t="shared" si="30"/>
        <v/>
      </c>
      <c r="K186" s="46"/>
    </row>
    <row r="187" ht="19.5" customHeight="1">
      <c r="A187" s="46">
        <f t="shared" si="31"/>
        <v>21</v>
      </c>
      <c r="B187" s="37" t="s">
        <v>304</v>
      </c>
      <c r="C187" s="46" t="s">
        <v>106</v>
      </c>
      <c r="D187" s="123"/>
      <c r="E187" s="37"/>
      <c r="F187" s="40"/>
      <c r="G187" s="40"/>
      <c r="H187" s="40"/>
      <c r="I187" s="40"/>
      <c r="J187" s="64" t="str">
        <f t="shared" si="30"/>
        <v/>
      </c>
      <c r="K187" s="46"/>
    </row>
    <row r="188" ht="19.5" customHeight="1">
      <c r="A188" s="46">
        <f t="shared" si="31"/>
        <v>22</v>
      </c>
      <c r="B188" s="37" t="s">
        <v>305</v>
      </c>
      <c r="C188" s="46" t="s">
        <v>106</v>
      </c>
      <c r="D188" s="123"/>
      <c r="E188" s="37"/>
      <c r="F188" s="40"/>
      <c r="G188" s="40"/>
      <c r="H188" s="40"/>
      <c r="I188" s="40"/>
      <c r="J188" s="64" t="str">
        <f t="shared" si="30"/>
        <v/>
      </c>
      <c r="K188" s="46"/>
    </row>
    <row r="189" ht="19.5" customHeight="1">
      <c r="A189" s="46">
        <f t="shared" si="31"/>
        <v>23</v>
      </c>
      <c r="B189" s="37" t="s">
        <v>306</v>
      </c>
      <c r="C189" s="46" t="s">
        <v>106</v>
      </c>
      <c r="D189" s="123"/>
      <c r="E189" s="37"/>
      <c r="F189" s="40"/>
      <c r="G189" s="40"/>
      <c r="H189" s="40"/>
      <c r="I189" s="40"/>
      <c r="J189" s="64" t="str">
        <f t="shared" si="30"/>
        <v/>
      </c>
      <c r="K189" s="46"/>
    </row>
    <row r="190" ht="19.5" customHeight="1">
      <c r="A190" s="46">
        <f t="shared" si="31"/>
        <v>24</v>
      </c>
      <c r="B190" s="37" t="s">
        <v>307</v>
      </c>
      <c r="C190" s="46" t="s">
        <v>106</v>
      </c>
      <c r="D190" s="123"/>
      <c r="E190" s="37"/>
      <c r="F190" s="40"/>
      <c r="G190" s="40"/>
      <c r="H190" s="40"/>
      <c r="I190" s="40"/>
      <c r="J190" s="64" t="str">
        <f t="shared" si="30"/>
        <v/>
      </c>
      <c r="K190" s="46"/>
    </row>
    <row r="191" ht="19.5" customHeight="1">
      <c r="A191" s="46">
        <f t="shared" si="31"/>
        <v>25</v>
      </c>
      <c r="B191" s="37" t="s">
        <v>308</v>
      </c>
      <c r="C191" s="46" t="s">
        <v>106</v>
      </c>
      <c r="D191" s="123"/>
      <c r="E191" s="37"/>
      <c r="F191" s="40"/>
      <c r="G191" s="40"/>
      <c r="H191" s="40"/>
      <c r="I191" s="40"/>
      <c r="J191" s="64" t="str">
        <f t="shared" si="30"/>
        <v/>
      </c>
      <c r="K191" s="46"/>
    </row>
    <row r="192" ht="19.5" customHeight="1">
      <c r="A192" s="46">
        <f t="shared" si="31"/>
        <v>26</v>
      </c>
      <c r="B192" s="37" t="s">
        <v>309</v>
      </c>
      <c r="C192" s="46" t="s">
        <v>106</v>
      </c>
      <c r="D192" s="123"/>
      <c r="E192" s="37"/>
      <c r="F192" s="40"/>
      <c r="G192" s="40"/>
      <c r="H192" s="40"/>
      <c r="I192" s="40"/>
      <c r="J192" s="64" t="str">
        <f t="shared" si="30"/>
        <v/>
      </c>
      <c r="K192" s="46"/>
    </row>
    <row r="193" ht="19.5" customHeight="1">
      <c r="A193" s="46">
        <f t="shared" si="31"/>
        <v>27</v>
      </c>
      <c r="B193" s="37" t="s">
        <v>310</v>
      </c>
      <c r="C193" s="46" t="s">
        <v>106</v>
      </c>
      <c r="D193" s="123"/>
      <c r="E193" s="37"/>
      <c r="F193" s="40"/>
      <c r="G193" s="40"/>
      <c r="H193" s="40"/>
      <c r="I193" s="40"/>
      <c r="J193" s="64" t="str">
        <f t="shared" si="30"/>
        <v/>
      </c>
      <c r="K193" s="46"/>
    </row>
    <row r="194" ht="19.5" customHeight="1">
      <c r="A194" s="46">
        <f t="shared" si="31"/>
        <v>28</v>
      </c>
      <c r="B194" s="37" t="s">
        <v>311</v>
      </c>
      <c r="C194" s="46" t="s">
        <v>106</v>
      </c>
      <c r="D194" s="123"/>
      <c r="E194" s="37"/>
      <c r="F194" s="40"/>
      <c r="G194" s="40"/>
      <c r="H194" s="40"/>
      <c r="I194" s="40"/>
      <c r="J194" s="64" t="str">
        <f t="shared" si="30"/>
        <v/>
      </c>
      <c r="K194" s="46"/>
    </row>
    <row r="195" ht="19.5" customHeight="1">
      <c r="A195" s="46">
        <f t="shared" si="31"/>
        <v>29</v>
      </c>
      <c r="B195" s="37" t="s">
        <v>312</v>
      </c>
      <c r="C195" s="46" t="s">
        <v>106</v>
      </c>
      <c r="D195" s="123"/>
      <c r="E195" s="37"/>
      <c r="F195" s="40"/>
      <c r="G195" s="40"/>
      <c r="H195" s="40"/>
      <c r="I195" s="40"/>
      <c r="J195" s="64" t="str">
        <f t="shared" si="30"/>
        <v/>
      </c>
      <c r="K195" s="46"/>
    </row>
    <row r="196" ht="19.5" customHeight="1">
      <c r="A196" s="46">
        <f t="shared" si="31"/>
        <v>30</v>
      </c>
      <c r="B196" s="37" t="s">
        <v>313</v>
      </c>
      <c r="C196" s="46" t="s">
        <v>106</v>
      </c>
      <c r="D196" s="123"/>
      <c r="E196" s="37"/>
      <c r="F196" s="40"/>
      <c r="G196" s="40"/>
      <c r="H196" s="40"/>
      <c r="I196" s="40"/>
      <c r="J196" s="64" t="str">
        <f t="shared" si="30"/>
        <v/>
      </c>
      <c r="K196" s="46"/>
    </row>
    <row r="197" ht="19.5" customHeight="1">
      <c r="A197" s="46">
        <f t="shared" si="31"/>
        <v>31</v>
      </c>
      <c r="B197" s="37" t="s">
        <v>314</v>
      </c>
      <c r="C197" s="46" t="s">
        <v>106</v>
      </c>
      <c r="D197" s="123"/>
      <c r="E197" s="37"/>
      <c r="F197" s="40"/>
      <c r="G197" s="40"/>
      <c r="H197" s="40"/>
      <c r="I197" s="40"/>
      <c r="J197" s="64" t="str">
        <f t="shared" si="30"/>
        <v/>
      </c>
      <c r="K197" s="46"/>
    </row>
    <row r="198" ht="19.5" customHeight="1">
      <c r="A198" s="46">
        <f t="shared" si="31"/>
        <v>32</v>
      </c>
      <c r="B198" s="37" t="s">
        <v>315</v>
      </c>
      <c r="C198" s="46" t="s">
        <v>106</v>
      </c>
      <c r="D198" s="123"/>
      <c r="E198" s="37"/>
      <c r="F198" s="40"/>
      <c r="G198" s="40"/>
      <c r="H198" s="40"/>
      <c r="I198" s="40"/>
      <c r="J198" s="64" t="str">
        <f t="shared" si="30"/>
        <v/>
      </c>
      <c r="K198" s="46"/>
    </row>
    <row r="199" ht="19.5" customHeight="1">
      <c r="A199" s="46">
        <f t="shared" si="31"/>
        <v>33</v>
      </c>
      <c r="B199" s="37" t="s">
        <v>316</v>
      </c>
      <c r="C199" s="46" t="s">
        <v>106</v>
      </c>
      <c r="D199" s="123"/>
      <c r="E199" s="37"/>
      <c r="F199" s="40"/>
      <c r="G199" s="40"/>
      <c r="H199" s="40"/>
      <c r="I199" s="40"/>
      <c r="J199" s="64" t="str">
        <f t="shared" si="30"/>
        <v/>
      </c>
      <c r="K199" s="46"/>
    </row>
    <row r="200" ht="19.5" customHeight="1">
      <c r="A200" s="46">
        <f t="shared" si="31"/>
        <v>34</v>
      </c>
      <c r="B200" s="37" t="s">
        <v>317</v>
      </c>
      <c r="C200" s="46" t="s">
        <v>106</v>
      </c>
      <c r="D200" s="123"/>
      <c r="E200" s="37"/>
      <c r="F200" s="40"/>
      <c r="G200" s="40"/>
      <c r="H200" s="40"/>
      <c r="I200" s="40"/>
      <c r="J200" s="64" t="str">
        <f t="shared" si="30"/>
        <v/>
      </c>
      <c r="K200" s="46"/>
    </row>
    <row r="201" ht="19.5" customHeight="1">
      <c r="A201" s="46">
        <f t="shared" si="31"/>
        <v>35</v>
      </c>
      <c r="B201" s="37" t="s">
        <v>318</v>
      </c>
      <c r="C201" s="46" t="s">
        <v>106</v>
      </c>
      <c r="D201" s="123"/>
      <c r="E201" s="37"/>
      <c r="F201" s="40"/>
      <c r="G201" s="40"/>
      <c r="H201" s="40"/>
      <c r="I201" s="40"/>
      <c r="J201" s="64" t="str">
        <f t="shared" si="30"/>
        <v/>
      </c>
      <c r="K201" s="46"/>
    </row>
    <row r="202" ht="19.5" customHeight="1">
      <c r="A202" s="46">
        <f t="shared" si="31"/>
        <v>36</v>
      </c>
      <c r="B202" s="37" t="s">
        <v>319</v>
      </c>
      <c r="C202" s="46" t="s">
        <v>106</v>
      </c>
      <c r="D202" s="123"/>
      <c r="E202" s="37"/>
      <c r="F202" s="40"/>
      <c r="G202" s="40"/>
      <c r="H202" s="40"/>
      <c r="I202" s="40"/>
      <c r="J202" s="64" t="str">
        <f t="shared" si="30"/>
        <v/>
      </c>
      <c r="K202" s="46"/>
    </row>
    <row r="203" ht="19.5" customHeight="1">
      <c r="A203" s="46">
        <f t="shared" si="31"/>
        <v>37</v>
      </c>
      <c r="B203" s="37" t="s">
        <v>320</v>
      </c>
      <c r="C203" s="46" t="s">
        <v>106</v>
      </c>
      <c r="D203" s="123"/>
      <c r="E203" s="37"/>
      <c r="F203" s="40"/>
      <c r="G203" s="40"/>
      <c r="H203" s="40"/>
      <c r="I203" s="40"/>
      <c r="J203" s="64" t="str">
        <f t="shared" si="30"/>
        <v/>
      </c>
      <c r="K203" s="46"/>
    </row>
    <row r="204" ht="19.5" customHeight="1">
      <c r="A204" s="46">
        <f t="shared" si="31"/>
        <v>38</v>
      </c>
      <c r="B204" s="37" t="s">
        <v>321</v>
      </c>
      <c r="C204" s="46" t="s">
        <v>106</v>
      </c>
      <c r="D204" s="123"/>
      <c r="E204" s="37"/>
      <c r="F204" s="40"/>
      <c r="G204" s="40"/>
      <c r="H204" s="40"/>
      <c r="I204" s="40"/>
      <c r="J204" s="64" t="str">
        <f t="shared" si="30"/>
        <v/>
      </c>
      <c r="K204" s="46"/>
    </row>
    <row r="205" ht="19.5" customHeight="1">
      <c r="A205" s="46">
        <f t="shared" si="31"/>
        <v>39</v>
      </c>
      <c r="B205" s="37" t="s">
        <v>322</v>
      </c>
      <c r="C205" s="46" t="s">
        <v>106</v>
      </c>
      <c r="D205" s="123"/>
      <c r="E205" s="37"/>
      <c r="F205" s="40"/>
      <c r="G205" s="40"/>
      <c r="H205" s="40"/>
      <c r="I205" s="40"/>
      <c r="J205" s="64" t="str">
        <f t="shared" si="30"/>
        <v/>
      </c>
      <c r="K205" s="46"/>
    </row>
    <row r="206" ht="19.5" customHeight="1">
      <c r="A206" s="46">
        <f t="shared" si="31"/>
        <v>40</v>
      </c>
      <c r="B206" s="37" t="s">
        <v>323</v>
      </c>
      <c r="C206" s="46" t="s">
        <v>108</v>
      </c>
      <c r="D206" s="123"/>
      <c r="E206" s="37"/>
      <c r="F206" s="40"/>
      <c r="G206" s="40"/>
      <c r="H206" s="40"/>
      <c r="I206" s="40"/>
      <c r="J206" s="64" t="str">
        <f t="shared" si="30"/>
        <v/>
      </c>
      <c r="K206" s="46"/>
    </row>
    <row r="207" ht="19.5" customHeight="1">
      <c r="A207" s="46">
        <f t="shared" si="31"/>
        <v>41</v>
      </c>
      <c r="B207" s="37" t="s">
        <v>324</v>
      </c>
      <c r="C207" s="46" t="s">
        <v>325</v>
      </c>
      <c r="D207" s="123"/>
      <c r="E207" s="37"/>
      <c r="F207" s="40"/>
      <c r="G207" s="40"/>
      <c r="H207" s="40"/>
      <c r="I207" s="40"/>
      <c r="J207" s="64" t="str">
        <f t="shared" si="30"/>
        <v/>
      </c>
      <c r="K207" s="46"/>
    </row>
    <row r="208" ht="19.5" customHeight="1">
      <c r="A208" s="12"/>
      <c r="C208" s="12"/>
      <c r="D208" s="87"/>
      <c r="F208" s="14"/>
      <c r="G208" s="14"/>
      <c r="H208" s="14"/>
      <c r="I208" s="14"/>
      <c r="J208" s="14"/>
      <c r="K208" s="12"/>
    </row>
    <row r="209" ht="19.5" customHeight="1">
      <c r="A209" s="74" t="s">
        <v>1</v>
      </c>
      <c r="B209" s="74" t="s">
        <v>91</v>
      </c>
      <c r="C209" s="74" t="s">
        <v>92</v>
      </c>
      <c r="D209" s="76" t="s">
        <v>93</v>
      </c>
      <c r="E209" s="50" t="s">
        <v>161</v>
      </c>
      <c r="F209" s="53" t="s">
        <v>121</v>
      </c>
      <c r="G209" s="53" t="s">
        <v>99</v>
      </c>
      <c r="H209" s="53" t="s">
        <v>100</v>
      </c>
      <c r="I209" s="53" t="s">
        <v>101</v>
      </c>
      <c r="J209" s="76" t="s">
        <v>95</v>
      </c>
      <c r="K209" s="74" t="s">
        <v>96</v>
      </c>
    </row>
    <row r="210" ht="19.5" customHeight="1">
      <c r="A210" s="46">
        <v>1.0</v>
      </c>
      <c r="B210" s="37" t="s">
        <v>326</v>
      </c>
      <c r="C210" s="46" t="s">
        <v>106</v>
      </c>
      <c r="D210" s="78"/>
      <c r="E210" s="37"/>
      <c r="F210" s="78"/>
      <c r="G210" s="40"/>
      <c r="H210" s="40"/>
      <c r="I210" s="42"/>
      <c r="J210" s="43" t="str">
        <f t="shared" ref="J210:J213" si="32">H210</f>
        <v/>
      </c>
      <c r="K210" s="46"/>
    </row>
    <row r="211" ht="19.5" customHeight="1">
      <c r="A211" s="46">
        <v>2.0</v>
      </c>
      <c r="B211" s="37" t="s">
        <v>327</v>
      </c>
      <c r="C211" s="46" t="s">
        <v>106</v>
      </c>
      <c r="D211" s="123"/>
      <c r="E211" s="37"/>
      <c r="F211" s="40"/>
      <c r="G211" s="40"/>
      <c r="H211" s="40"/>
      <c r="I211" s="40"/>
      <c r="J211" s="43" t="str">
        <f t="shared" si="32"/>
        <v/>
      </c>
      <c r="K211" s="46"/>
    </row>
    <row r="212" ht="19.5" customHeight="1">
      <c r="A212" s="46">
        <v>3.0</v>
      </c>
      <c r="B212" s="37" t="s">
        <v>379</v>
      </c>
      <c r="C212" s="46" t="s">
        <v>106</v>
      </c>
      <c r="D212" s="123"/>
      <c r="E212" s="37"/>
      <c r="F212" s="40"/>
      <c r="G212" s="40"/>
      <c r="H212" s="40"/>
      <c r="I212" s="40"/>
      <c r="J212" s="43" t="str">
        <f t="shared" si="32"/>
        <v/>
      </c>
      <c r="K212" s="46"/>
    </row>
    <row r="213" ht="19.5" customHeight="1">
      <c r="A213" s="46">
        <v>4.0</v>
      </c>
      <c r="B213" s="37" t="s">
        <v>330</v>
      </c>
      <c r="C213" s="46" t="s">
        <v>103</v>
      </c>
      <c r="D213" s="123"/>
      <c r="E213" s="37"/>
      <c r="F213" s="40"/>
      <c r="G213" s="40"/>
      <c r="H213" s="40"/>
      <c r="I213" s="40"/>
      <c r="J213" s="43" t="str">
        <f t="shared" si="32"/>
        <v/>
      </c>
      <c r="K213" s="46"/>
    </row>
    <row r="214" ht="19.5" customHeight="1">
      <c r="A214" s="12"/>
      <c r="C214" s="12"/>
      <c r="D214" s="87"/>
      <c r="F214" s="14"/>
      <c r="G214" s="14"/>
      <c r="H214" s="14"/>
      <c r="I214" s="14"/>
      <c r="J214" s="14"/>
      <c r="K214" s="12"/>
    </row>
    <row r="215" ht="19.5" customHeight="1">
      <c r="A215" s="12"/>
      <c r="C215" s="12"/>
      <c r="D215" s="87"/>
      <c r="F215" s="14"/>
      <c r="G215" s="14"/>
      <c r="H215" s="14"/>
      <c r="I215" s="14"/>
      <c r="J215" s="14"/>
      <c r="K215" s="12"/>
    </row>
    <row r="216" ht="19.5" customHeight="1">
      <c r="A216" s="12"/>
      <c r="C216" s="12"/>
      <c r="D216" s="87"/>
      <c r="F216" s="14"/>
      <c r="G216" s="14"/>
      <c r="H216" s="14"/>
      <c r="I216" s="14"/>
      <c r="J216" s="14"/>
      <c r="K216" s="12"/>
    </row>
    <row r="217" ht="19.5" customHeight="1">
      <c r="A217" s="12"/>
      <c r="C217" s="12"/>
      <c r="D217" s="87"/>
      <c r="F217" s="14"/>
      <c r="G217" s="14"/>
      <c r="H217" s="14"/>
      <c r="I217" s="14"/>
      <c r="J217" s="14"/>
      <c r="K217" s="12"/>
    </row>
    <row r="218" ht="19.5" customHeight="1">
      <c r="A218" s="12"/>
      <c r="C218" s="12"/>
      <c r="D218" s="87"/>
      <c r="F218" s="14"/>
      <c r="G218" s="14"/>
      <c r="H218" s="14"/>
      <c r="I218" s="14"/>
      <c r="J218" s="14"/>
      <c r="K218" s="12"/>
    </row>
    <row r="219" ht="19.5" customHeight="1">
      <c r="A219" s="12"/>
      <c r="C219" s="12"/>
      <c r="D219" s="87"/>
      <c r="F219" s="14"/>
      <c r="G219" s="14"/>
      <c r="H219" s="14"/>
      <c r="I219" s="14"/>
      <c r="J219" s="14"/>
      <c r="K219" s="12"/>
    </row>
    <row r="220" ht="19.5" customHeight="1">
      <c r="A220" s="12"/>
      <c r="C220" s="12"/>
      <c r="D220" s="87"/>
      <c r="F220" s="14"/>
      <c r="G220" s="14"/>
      <c r="H220" s="14"/>
      <c r="I220" s="14"/>
      <c r="J220" s="14"/>
      <c r="K220" s="12"/>
    </row>
    <row r="221" ht="19.5" customHeight="1">
      <c r="A221" s="12"/>
      <c r="C221" s="12"/>
      <c r="D221" s="87"/>
      <c r="F221" s="14"/>
      <c r="G221" s="14"/>
      <c r="H221" s="14"/>
      <c r="I221" s="14"/>
      <c r="J221" s="14"/>
      <c r="K221" s="12"/>
    </row>
    <row r="222" ht="19.5" customHeight="1">
      <c r="A222" s="12"/>
      <c r="C222" s="12"/>
      <c r="D222" s="87"/>
      <c r="F222" s="14"/>
      <c r="G222" s="14"/>
      <c r="H222" s="14"/>
      <c r="I222" s="14"/>
      <c r="J222" s="14"/>
      <c r="K222" s="12"/>
    </row>
    <row r="223" ht="19.5" customHeight="1">
      <c r="A223" s="12"/>
      <c r="C223" s="12"/>
      <c r="D223" s="87"/>
      <c r="F223" s="14"/>
      <c r="G223" s="14"/>
      <c r="H223" s="14"/>
      <c r="I223" s="14"/>
      <c r="J223" s="14"/>
      <c r="K223" s="12"/>
    </row>
    <row r="224" ht="19.5" customHeight="1">
      <c r="A224" s="12"/>
      <c r="C224" s="12"/>
      <c r="D224" s="87"/>
      <c r="F224" s="14"/>
      <c r="G224" s="14"/>
      <c r="H224" s="14"/>
      <c r="I224" s="14"/>
      <c r="J224" s="14"/>
      <c r="K224" s="12"/>
    </row>
    <row r="225" ht="19.5" customHeight="1">
      <c r="A225" s="12"/>
      <c r="C225" s="12"/>
      <c r="D225" s="87"/>
      <c r="F225" s="14"/>
      <c r="G225" s="14"/>
      <c r="H225" s="14"/>
      <c r="I225" s="14"/>
      <c r="J225" s="14"/>
      <c r="K225" s="12"/>
    </row>
    <row r="226" ht="19.5" customHeight="1">
      <c r="A226" s="12"/>
      <c r="C226" s="12"/>
      <c r="D226" s="87"/>
      <c r="F226" s="14"/>
      <c r="G226" s="14"/>
      <c r="H226" s="14"/>
      <c r="I226" s="14"/>
      <c r="J226" s="14"/>
      <c r="K226" s="12"/>
    </row>
    <row r="227" ht="19.5" customHeight="1">
      <c r="A227" s="12"/>
      <c r="C227" s="12"/>
      <c r="D227" s="87"/>
      <c r="F227" s="14"/>
      <c r="G227" s="14"/>
      <c r="H227" s="14"/>
      <c r="I227" s="14"/>
      <c r="J227" s="14"/>
      <c r="K227" s="12"/>
    </row>
    <row r="228" ht="19.5" customHeight="1">
      <c r="A228" s="12"/>
      <c r="C228" s="12"/>
      <c r="D228" s="87"/>
      <c r="F228" s="14"/>
      <c r="G228" s="14"/>
      <c r="H228" s="14"/>
      <c r="I228" s="14"/>
      <c r="J228" s="14"/>
      <c r="K228" s="12"/>
    </row>
    <row r="229" ht="19.5" customHeight="1">
      <c r="A229" s="12"/>
      <c r="C229" s="12"/>
      <c r="D229" s="87"/>
      <c r="F229" s="14"/>
      <c r="G229" s="14"/>
      <c r="H229" s="14"/>
      <c r="I229" s="14"/>
      <c r="J229" s="14"/>
      <c r="K229" s="12"/>
    </row>
    <row r="230" ht="19.5" customHeight="1">
      <c r="A230" s="12"/>
      <c r="C230" s="12"/>
      <c r="D230" s="87"/>
      <c r="F230" s="14"/>
      <c r="G230" s="14"/>
      <c r="H230" s="14"/>
      <c r="I230" s="14"/>
      <c r="J230" s="14"/>
      <c r="K230" s="12"/>
    </row>
    <row r="231" ht="19.5" customHeight="1">
      <c r="A231" s="12"/>
      <c r="C231" s="12"/>
      <c r="D231" s="87"/>
      <c r="F231" s="14"/>
      <c r="G231" s="14"/>
      <c r="H231" s="14"/>
      <c r="I231" s="14"/>
      <c r="J231" s="14"/>
      <c r="K231" s="12"/>
    </row>
    <row r="232" ht="19.5" customHeight="1">
      <c r="A232" s="12"/>
      <c r="C232" s="12"/>
      <c r="D232" s="87"/>
      <c r="F232" s="14"/>
      <c r="G232" s="14"/>
      <c r="H232" s="14"/>
      <c r="I232" s="14"/>
      <c r="J232" s="14"/>
      <c r="K232" s="12"/>
    </row>
    <row r="233" ht="19.5" customHeight="1">
      <c r="A233" s="12"/>
      <c r="C233" s="12"/>
      <c r="D233" s="87"/>
      <c r="F233" s="14"/>
      <c r="G233" s="14"/>
      <c r="H233" s="14"/>
      <c r="I233" s="14"/>
      <c r="J233" s="14"/>
      <c r="K233" s="12"/>
    </row>
    <row r="234" ht="19.5" customHeight="1">
      <c r="A234" s="12"/>
      <c r="C234" s="12"/>
      <c r="D234" s="87"/>
      <c r="F234" s="14"/>
      <c r="G234" s="14"/>
      <c r="H234" s="14"/>
      <c r="I234" s="14"/>
      <c r="J234" s="14"/>
      <c r="K234" s="12"/>
    </row>
    <row r="235" ht="19.5" customHeight="1">
      <c r="A235" s="12"/>
      <c r="C235" s="12"/>
      <c r="D235" s="87"/>
      <c r="F235" s="14"/>
      <c r="G235" s="14"/>
      <c r="H235" s="14"/>
      <c r="I235" s="14"/>
      <c r="J235" s="14"/>
      <c r="K235" s="12"/>
    </row>
    <row r="236" ht="19.5" customHeight="1">
      <c r="A236" s="12"/>
      <c r="C236" s="12"/>
      <c r="D236" s="87"/>
      <c r="F236" s="14"/>
      <c r="G236" s="14"/>
      <c r="H236" s="14"/>
      <c r="I236" s="14"/>
      <c r="J236" s="14"/>
      <c r="K236" s="12"/>
    </row>
    <row r="237" ht="19.5" customHeight="1">
      <c r="A237" s="12"/>
      <c r="C237" s="12"/>
      <c r="D237" s="87"/>
      <c r="F237" s="14"/>
      <c r="G237" s="14"/>
      <c r="H237" s="14"/>
      <c r="I237" s="14"/>
      <c r="J237" s="14"/>
      <c r="K237" s="12"/>
    </row>
    <row r="238" ht="19.5" customHeight="1">
      <c r="A238" s="12"/>
      <c r="C238" s="12"/>
      <c r="D238" s="87"/>
      <c r="F238" s="14"/>
      <c r="G238" s="14"/>
      <c r="H238" s="14"/>
      <c r="I238" s="14"/>
      <c r="J238" s="14"/>
      <c r="K238" s="12"/>
    </row>
    <row r="239" ht="19.5" customHeight="1">
      <c r="A239" s="12"/>
      <c r="C239" s="12"/>
      <c r="D239" s="87"/>
      <c r="F239" s="14"/>
      <c r="G239" s="14"/>
      <c r="H239" s="14"/>
      <c r="I239" s="14"/>
      <c r="J239" s="14"/>
      <c r="K239" s="12"/>
    </row>
    <row r="240" ht="19.5" customHeight="1">
      <c r="A240" s="12"/>
      <c r="C240" s="12"/>
      <c r="D240" s="87"/>
      <c r="F240" s="14"/>
      <c r="G240" s="14"/>
      <c r="H240" s="14"/>
      <c r="I240" s="14"/>
      <c r="J240" s="14"/>
      <c r="K240" s="12"/>
    </row>
    <row r="241" ht="19.5" customHeight="1">
      <c r="A241" s="12"/>
      <c r="C241" s="12"/>
      <c r="D241" s="87"/>
      <c r="F241" s="14"/>
      <c r="G241" s="14"/>
      <c r="H241" s="14"/>
      <c r="I241" s="14"/>
      <c r="J241" s="14"/>
      <c r="K241" s="12"/>
    </row>
    <row r="242" ht="19.5" customHeight="1">
      <c r="A242" s="12"/>
      <c r="C242" s="12"/>
      <c r="D242" s="87"/>
      <c r="F242" s="14"/>
      <c r="G242" s="14"/>
      <c r="H242" s="14"/>
      <c r="I242" s="14"/>
      <c r="J242" s="14"/>
      <c r="K242" s="12"/>
    </row>
    <row r="243" ht="19.5" customHeight="1">
      <c r="A243" s="12"/>
      <c r="C243" s="12"/>
      <c r="D243" s="87"/>
      <c r="F243" s="14"/>
      <c r="G243" s="14"/>
      <c r="H243" s="14"/>
      <c r="I243" s="14"/>
      <c r="J243" s="14"/>
      <c r="K243" s="12"/>
    </row>
    <row r="244" ht="19.5" customHeight="1">
      <c r="A244" s="12"/>
      <c r="C244" s="12"/>
      <c r="D244" s="87"/>
      <c r="F244" s="14"/>
      <c r="G244" s="14"/>
      <c r="H244" s="14"/>
      <c r="I244" s="14"/>
      <c r="J244" s="14"/>
      <c r="K244" s="12"/>
    </row>
    <row r="245" ht="19.5" customHeight="1">
      <c r="A245" s="12"/>
      <c r="C245" s="12"/>
      <c r="D245" s="87"/>
      <c r="F245" s="14"/>
      <c r="G245" s="14"/>
      <c r="H245" s="14"/>
      <c r="I245" s="14"/>
      <c r="J245" s="14"/>
      <c r="K245" s="12"/>
    </row>
    <row r="246" ht="19.5" customHeight="1">
      <c r="A246" s="12"/>
      <c r="C246" s="12"/>
      <c r="D246" s="87"/>
      <c r="F246" s="14"/>
      <c r="G246" s="14"/>
      <c r="H246" s="14"/>
      <c r="I246" s="14"/>
      <c r="J246" s="14"/>
      <c r="K246" s="12"/>
    </row>
    <row r="247" ht="19.5" customHeight="1">
      <c r="A247" s="12"/>
      <c r="C247" s="12"/>
      <c r="D247" s="87"/>
      <c r="F247" s="14"/>
      <c r="G247" s="14"/>
      <c r="H247" s="14"/>
      <c r="I247" s="14"/>
      <c r="J247" s="14"/>
      <c r="K247" s="12"/>
    </row>
    <row r="248" ht="19.5" customHeight="1">
      <c r="A248" s="12"/>
      <c r="C248" s="12"/>
      <c r="D248" s="87"/>
      <c r="F248" s="14"/>
      <c r="G248" s="14"/>
      <c r="H248" s="14"/>
      <c r="I248" s="14"/>
      <c r="J248" s="14"/>
      <c r="K248" s="12"/>
    </row>
    <row r="249" ht="19.5" customHeight="1">
      <c r="A249" s="12"/>
      <c r="C249" s="12"/>
      <c r="D249" s="87"/>
      <c r="F249" s="14"/>
      <c r="G249" s="14"/>
      <c r="H249" s="14"/>
      <c r="I249" s="14"/>
      <c r="J249" s="14"/>
      <c r="K249" s="12"/>
    </row>
    <row r="250" ht="19.5" customHeight="1">
      <c r="A250" s="12"/>
      <c r="C250" s="12"/>
      <c r="D250" s="87"/>
      <c r="F250" s="14"/>
      <c r="G250" s="14"/>
      <c r="H250" s="14"/>
      <c r="I250" s="14"/>
      <c r="J250" s="14"/>
      <c r="K250" s="12"/>
    </row>
    <row r="251" ht="19.5" customHeight="1">
      <c r="A251" s="12"/>
      <c r="C251" s="12"/>
      <c r="D251" s="87"/>
      <c r="F251" s="14"/>
      <c r="G251" s="14"/>
      <c r="H251" s="14"/>
      <c r="I251" s="14"/>
      <c r="J251" s="14"/>
      <c r="K251" s="12"/>
    </row>
    <row r="252" ht="19.5" customHeight="1">
      <c r="A252" s="12"/>
      <c r="C252" s="12"/>
      <c r="D252" s="87"/>
      <c r="F252" s="14"/>
      <c r="G252" s="14"/>
      <c r="H252" s="14"/>
      <c r="I252" s="14"/>
      <c r="J252" s="14"/>
      <c r="K252" s="12"/>
    </row>
    <row r="253" ht="19.5" customHeight="1">
      <c r="A253" s="12"/>
      <c r="C253" s="12"/>
      <c r="D253" s="87"/>
      <c r="F253" s="14"/>
      <c r="G253" s="14"/>
      <c r="H253" s="14"/>
      <c r="I253" s="14"/>
      <c r="J253" s="14"/>
      <c r="K253" s="12"/>
    </row>
    <row r="254" ht="19.5" customHeight="1">
      <c r="A254" s="12"/>
      <c r="C254" s="12"/>
      <c r="D254" s="87"/>
      <c r="F254" s="14"/>
      <c r="G254" s="14"/>
      <c r="H254" s="14"/>
      <c r="I254" s="14"/>
      <c r="J254" s="14"/>
      <c r="K254" s="12"/>
    </row>
    <row r="255" ht="19.5" customHeight="1">
      <c r="A255" s="12"/>
      <c r="C255" s="12"/>
      <c r="D255" s="87"/>
      <c r="F255" s="14"/>
      <c r="G255" s="14"/>
      <c r="H255" s="14"/>
      <c r="I255" s="14"/>
      <c r="J255" s="14"/>
      <c r="K255" s="12"/>
    </row>
    <row r="256" ht="19.5" customHeight="1">
      <c r="A256" s="12"/>
      <c r="C256" s="12"/>
      <c r="D256" s="87"/>
      <c r="F256" s="14"/>
      <c r="G256" s="14"/>
      <c r="H256" s="14"/>
      <c r="I256" s="14"/>
      <c r="J256" s="14"/>
      <c r="K256" s="12"/>
    </row>
    <row r="257" ht="19.5" customHeight="1">
      <c r="A257" s="12"/>
      <c r="C257" s="12"/>
      <c r="D257" s="87"/>
      <c r="F257" s="14"/>
      <c r="G257" s="14"/>
      <c r="H257" s="14"/>
      <c r="I257" s="14"/>
      <c r="J257" s="14"/>
      <c r="K257" s="12"/>
    </row>
    <row r="258" ht="19.5" customHeight="1">
      <c r="A258" s="12"/>
      <c r="C258" s="12"/>
      <c r="D258" s="87"/>
      <c r="F258" s="14"/>
      <c r="G258" s="14"/>
      <c r="H258" s="14"/>
      <c r="I258" s="14"/>
      <c r="J258" s="14"/>
      <c r="K258" s="12"/>
    </row>
    <row r="259" ht="19.5" customHeight="1">
      <c r="A259" s="12"/>
      <c r="C259" s="12"/>
      <c r="D259" s="87"/>
      <c r="F259" s="14"/>
      <c r="G259" s="14"/>
      <c r="H259" s="14"/>
      <c r="I259" s="14"/>
      <c r="J259" s="14"/>
      <c r="K259" s="12"/>
    </row>
    <row r="260" ht="19.5" customHeight="1">
      <c r="A260" s="12"/>
      <c r="C260" s="12"/>
      <c r="D260" s="87"/>
      <c r="F260" s="14"/>
      <c r="G260" s="14"/>
      <c r="H260" s="14"/>
      <c r="I260" s="14"/>
      <c r="J260" s="14"/>
      <c r="K260" s="12"/>
    </row>
    <row r="261" ht="19.5" customHeight="1">
      <c r="A261" s="12"/>
      <c r="C261" s="12"/>
      <c r="D261" s="87"/>
      <c r="F261" s="14"/>
      <c r="G261" s="14"/>
      <c r="H261" s="14"/>
      <c r="I261" s="14"/>
      <c r="J261" s="14"/>
      <c r="K261" s="12"/>
    </row>
    <row r="262" ht="19.5" customHeight="1">
      <c r="A262" s="12"/>
      <c r="C262" s="12"/>
      <c r="D262" s="87"/>
      <c r="F262" s="14"/>
      <c r="G262" s="14"/>
      <c r="H262" s="14"/>
      <c r="I262" s="14"/>
      <c r="J262" s="14"/>
      <c r="K262" s="12"/>
    </row>
    <row r="263" ht="19.5" customHeight="1">
      <c r="A263" s="12"/>
      <c r="C263" s="12"/>
      <c r="D263" s="87"/>
      <c r="F263" s="14"/>
      <c r="G263" s="14"/>
      <c r="H263" s="14"/>
      <c r="I263" s="14"/>
      <c r="J263" s="14"/>
      <c r="K263" s="12"/>
    </row>
    <row r="264" ht="19.5" customHeight="1">
      <c r="A264" s="12"/>
      <c r="C264" s="12"/>
      <c r="D264" s="87"/>
      <c r="F264" s="14"/>
      <c r="G264" s="14"/>
      <c r="H264" s="14"/>
      <c r="I264" s="14"/>
      <c r="J264" s="14"/>
      <c r="K264" s="12"/>
    </row>
    <row r="265" ht="19.5" customHeight="1">
      <c r="A265" s="12"/>
      <c r="C265" s="12"/>
      <c r="D265" s="87"/>
      <c r="F265" s="14"/>
      <c r="G265" s="14"/>
      <c r="H265" s="14"/>
      <c r="I265" s="14"/>
      <c r="J265" s="14"/>
      <c r="K265" s="12"/>
    </row>
    <row r="266" ht="19.5" customHeight="1">
      <c r="A266" s="12"/>
      <c r="C266" s="12"/>
      <c r="D266" s="87"/>
      <c r="F266" s="14"/>
      <c r="G266" s="14"/>
      <c r="H266" s="14"/>
      <c r="I266" s="14"/>
      <c r="J266" s="14"/>
      <c r="K266" s="12"/>
    </row>
    <row r="267" ht="19.5" customHeight="1">
      <c r="A267" s="12"/>
      <c r="C267" s="12"/>
      <c r="D267" s="87"/>
      <c r="F267" s="14"/>
      <c r="G267" s="14"/>
      <c r="H267" s="14"/>
      <c r="I267" s="14"/>
      <c r="J267" s="14"/>
      <c r="K267" s="12"/>
    </row>
    <row r="268" ht="19.5" customHeight="1">
      <c r="A268" s="12"/>
      <c r="C268" s="12"/>
      <c r="D268" s="87"/>
      <c r="F268" s="14"/>
      <c r="G268" s="14"/>
      <c r="H268" s="14"/>
      <c r="I268" s="14"/>
      <c r="J268" s="14"/>
      <c r="K268" s="12"/>
    </row>
    <row r="269" ht="19.5" customHeight="1">
      <c r="A269" s="12"/>
      <c r="C269" s="12"/>
      <c r="D269" s="87"/>
      <c r="F269" s="14"/>
      <c r="G269" s="14"/>
      <c r="H269" s="14"/>
      <c r="I269" s="14"/>
      <c r="J269" s="14"/>
      <c r="K269" s="12"/>
    </row>
    <row r="270" ht="19.5" customHeight="1">
      <c r="A270" s="12"/>
      <c r="C270" s="12"/>
      <c r="D270" s="87"/>
      <c r="F270" s="14"/>
      <c r="G270" s="14"/>
      <c r="H270" s="14"/>
      <c r="I270" s="14"/>
      <c r="J270" s="14"/>
      <c r="K270" s="12"/>
    </row>
    <row r="271" ht="19.5" customHeight="1">
      <c r="A271" s="12"/>
      <c r="C271" s="12"/>
      <c r="D271" s="87"/>
      <c r="F271" s="14"/>
      <c r="G271" s="14"/>
      <c r="H271" s="14"/>
      <c r="I271" s="14"/>
      <c r="J271" s="14"/>
      <c r="K271" s="12"/>
    </row>
    <row r="272" ht="19.5" customHeight="1">
      <c r="A272" s="12"/>
      <c r="C272" s="12"/>
      <c r="D272" s="87"/>
      <c r="F272" s="14"/>
      <c r="G272" s="14"/>
      <c r="H272" s="14"/>
      <c r="I272" s="14"/>
      <c r="J272" s="14"/>
      <c r="K272" s="12"/>
    </row>
    <row r="273" ht="19.5" customHeight="1">
      <c r="A273" s="12"/>
      <c r="C273" s="12"/>
      <c r="D273" s="87"/>
      <c r="F273" s="14"/>
      <c r="G273" s="14"/>
      <c r="H273" s="14"/>
      <c r="I273" s="14"/>
      <c r="J273" s="14"/>
      <c r="K273" s="12"/>
    </row>
    <row r="274" ht="19.5" customHeight="1">
      <c r="A274" s="12"/>
      <c r="C274" s="12"/>
      <c r="D274" s="87"/>
      <c r="F274" s="14"/>
      <c r="G274" s="14"/>
      <c r="H274" s="14"/>
      <c r="I274" s="14"/>
      <c r="J274" s="14"/>
      <c r="K274" s="12"/>
    </row>
    <row r="275" ht="19.5" customHeight="1">
      <c r="A275" s="12"/>
      <c r="C275" s="12"/>
      <c r="D275" s="87"/>
      <c r="F275" s="14"/>
      <c r="G275" s="14"/>
      <c r="H275" s="14"/>
      <c r="I275" s="14"/>
      <c r="J275" s="14"/>
      <c r="K275" s="12"/>
    </row>
    <row r="276" ht="19.5" customHeight="1">
      <c r="A276" s="12"/>
      <c r="C276" s="12"/>
      <c r="D276" s="87"/>
      <c r="F276" s="14"/>
      <c r="G276" s="14"/>
      <c r="H276" s="14"/>
      <c r="I276" s="14"/>
      <c r="J276" s="14"/>
      <c r="K276" s="12"/>
    </row>
    <row r="277" ht="19.5" customHeight="1">
      <c r="A277" s="12"/>
      <c r="C277" s="12"/>
      <c r="D277" s="87"/>
      <c r="F277" s="14"/>
      <c r="G277" s="14"/>
      <c r="H277" s="14"/>
      <c r="I277" s="14"/>
      <c r="J277" s="14"/>
      <c r="K277" s="12"/>
    </row>
    <row r="278" ht="19.5" customHeight="1">
      <c r="A278" s="12"/>
      <c r="C278" s="12"/>
      <c r="D278" s="87"/>
      <c r="F278" s="14"/>
      <c r="G278" s="14"/>
      <c r="H278" s="14"/>
      <c r="I278" s="14"/>
      <c r="J278" s="14"/>
      <c r="K278" s="12"/>
    </row>
    <row r="279" ht="19.5" customHeight="1">
      <c r="A279" s="12"/>
      <c r="C279" s="12"/>
      <c r="D279" s="87"/>
      <c r="F279" s="14"/>
      <c r="G279" s="14"/>
      <c r="H279" s="14"/>
      <c r="I279" s="14"/>
      <c r="J279" s="14"/>
      <c r="K279" s="12"/>
    </row>
    <row r="280" ht="19.5" customHeight="1">
      <c r="A280" s="12"/>
      <c r="C280" s="12"/>
      <c r="D280" s="87"/>
      <c r="F280" s="14"/>
      <c r="G280" s="14"/>
      <c r="H280" s="14"/>
      <c r="I280" s="14"/>
      <c r="J280" s="14"/>
      <c r="K280" s="12"/>
    </row>
    <row r="281" ht="19.5" customHeight="1">
      <c r="A281" s="12"/>
      <c r="C281" s="12"/>
      <c r="D281" s="87"/>
      <c r="F281" s="14"/>
      <c r="G281" s="14"/>
      <c r="H281" s="14"/>
      <c r="I281" s="14"/>
      <c r="J281" s="14"/>
      <c r="K281" s="12"/>
    </row>
    <row r="282" ht="19.5" customHeight="1">
      <c r="A282" s="12"/>
      <c r="C282" s="12"/>
      <c r="D282" s="87"/>
      <c r="F282" s="14"/>
      <c r="G282" s="14"/>
      <c r="H282" s="14"/>
      <c r="I282" s="14"/>
      <c r="J282" s="14"/>
      <c r="K282" s="12"/>
    </row>
    <row r="283" ht="19.5" customHeight="1">
      <c r="A283" s="12"/>
      <c r="C283" s="12"/>
      <c r="D283" s="87"/>
      <c r="F283" s="14"/>
      <c r="G283" s="14"/>
      <c r="H283" s="14"/>
      <c r="I283" s="14"/>
      <c r="J283" s="14"/>
      <c r="K283" s="12"/>
    </row>
    <row r="284" ht="19.5" customHeight="1">
      <c r="A284" s="12"/>
      <c r="C284" s="12"/>
      <c r="D284" s="87"/>
      <c r="F284" s="14"/>
      <c r="G284" s="14"/>
      <c r="H284" s="14"/>
      <c r="I284" s="14"/>
      <c r="J284" s="14"/>
      <c r="K284" s="12"/>
    </row>
    <row r="285" ht="19.5" customHeight="1">
      <c r="A285" s="12"/>
      <c r="C285" s="12"/>
      <c r="D285" s="87"/>
      <c r="F285" s="14"/>
      <c r="G285" s="14"/>
      <c r="H285" s="14"/>
      <c r="I285" s="14"/>
      <c r="J285" s="14"/>
      <c r="K285" s="12"/>
    </row>
    <row r="286" ht="19.5" customHeight="1">
      <c r="A286" s="12"/>
      <c r="C286" s="12"/>
      <c r="D286" s="87"/>
      <c r="F286" s="14"/>
      <c r="G286" s="14"/>
      <c r="H286" s="14"/>
      <c r="I286" s="14"/>
      <c r="J286" s="14"/>
      <c r="K286" s="12"/>
    </row>
    <row r="287" ht="19.5" customHeight="1">
      <c r="A287" s="12"/>
      <c r="C287" s="12"/>
      <c r="D287" s="87"/>
      <c r="F287" s="14"/>
      <c r="G287" s="14"/>
      <c r="H287" s="14"/>
      <c r="I287" s="14"/>
      <c r="J287" s="14"/>
      <c r="K287" s="12"/>
    </row>
    <row r="288" ht="19.5" customHeight="1">
      <c r="A288" s="12"/>
      <c r="C288" s="12"/>
      <c r="D288" s="87"/>
      <c r="F288" s="14"/>
      <c r="G288" s="14"/>
      <c r="H288" s="14"/>
      <c r="I288" s="14"/>
      <c r="J288" s="14"/>
      <c r="K288" s="12"/>
    </row>
    <row r="289" ht="19.5" customHeight="1">
      <c r="A289" s="12"/>
      <c r="C289" s="12"/>
      <c r="D289" s="87"/>
      <c r="F289" s="14"/>
      <c r="G289" s="14"/>
      <c r="H289" s="14"/>
      <c r="I289" s="14"/>
      <c r="J289" s="14"/>
      <c r="K289" s="12"/>
    </row>
    <row r="290" ht="19.5" customHeight="1">
      <c r="A290" s="12"/>
      <c r="C290" s="12"/>
      <c r="D290" s="87"/>
      <c r="F290" s="14"/>
      <c r="G290" s="14"/>
      <c r="H290" s="14"/>
      <c r="I290" s="14"/>
      <c r="J290" s="14"/>
      <c r="K290" s="12"/>
    </row>
    <row r="291" ht="19.5" customHeight="1">
      <c r="A291" s="12"/>
      <c r="C291" s="12"/>
      <c r="D291" s="87"/>
      <c r="F291" s="14"/>
      <c r="G291" s="14"/>
      <c r="H291" s="14"/>
      <c r="I291" s="14"/>
      <c r="J291" s="14"/>
      <c r="K291" s="12"/>
    </row>
    <row r="292" ht="19.5" customHeight="1">
      <c r="A292" s="12"/>
      <c r="C292" s="12"/>
      <c r="D292" s="87"/>
      <c r="F292" s="14"/>
      <c r="G292" s="14"/>
      <c r="H292" s="14"/>
      <c r="I292" s="14"/>
      <c r="J292" s="14"/>
      <c r="K292" s="12"/>
    </row>
    <row r="293" ht="19.5" customHeight="1">
      <c r="A293" s="12"/>
      <c r="C293" s="12"/>
      <c r="D293" s="87"/>
      <c r="F293" s="14"/>
      <c r="G293" s="14"/>
      <c r="H293" s="14"/>
      <c r="I293" s="14"/>
      <c r="J293" s="14"/>
      <c r="K293" s="12"/>
    </row>
    <row r="294" ht="19.5" customHeight="1">
      <c r="A294" s="12"/>
      <c r="C294" s="12"/>
      <c r="D294" s="87"/>
      <c r="F294" s="14"/>
      <c r="G294" s="14"/>
      <c r="H294" s="14"/>
      <c r="I294" s="14"/>
      <c r="J294" s="14"/>
      <c r="K294" s="12"/>
    </row>
    <row r="295" ht="19.5" customHeight="1">
      <c r="A295" s="12"/>
      <c r="C295" s="12"/>
      <c r="D295" s="87"/>
      <c r="F295" s="14"/>
      <c r="G295" s="14"/>
      <c r="H295" s="14"/>
      <c r="I295" s="14"/>
      <c r="J295" s="14"/>
      <c r="K295" s="12"/>
    </row>
    <row r="296" ht="19.5" customHeight="1">
      <c r="A296" s="12"/>
      <c r="C296" s="12"/>
      <c r="D296" s="87"/>
      <c r="F296" s="14"/>
      <c r="G296" s="14"/>
      <c r="H296" s="14"/>
      <c r="I296" s="14"/>
      <c r="J296" s="14"/>
      <c r="K296" s="12"/>
    </row>
    <row r="297" ht="19.5" customHeight="1">
      <c r="A297" s="12"/>
      <c r="C297" s="12"/>
      <c r="D297" s="87"/>
      <c r="F297" s="14"/>
      <c r="G297" s="14"/>
      <c r="H297" s="14"/>
      <c r="I297" s="14"/>
      <c r="J297" s="14"/>
      <c r="K297" s="12"/>
    </row>
    <row r="298" ht="19.5" customHeight="1">
      <c r="A298" s="12"/>
      <c r="C298" s="12"/>
      <c r="D298" s="87"/>
      <c r="F298" s="14"/>
      <c r="G298" s="14"/>
      <c r="H298" s="14"/>
      <c r="I298" s="14"/>
      <c r="J298" s="14"/>
      <c r="K298" s="12"/>
    </row>
    <row r="299" ht="19.5" customHeight="1">
      <c r="A299" s="12"/>
      <c r="C299" s="12"/>
      <c r="D299" s="87"/>
      <c r="F299" s="14"/>
      <c r="G299" s="14"/>
      <c r="H299" s="14"/>
      <c r="I299" s="14"/>
      <c r="J299" s="14"/>
      <c r="K299" s="12"/>
    </row>
    <row r="300" ht="19.5" customHeight="1">
      <c r="A300" s="12"/>
      <c r="C300" s="12"/>
      <c r="D300" s="87"/>
      <c r="F300" s="14"/>
      <c r="G300" s="14"/>
      <c r="H300" s="14"/>
      <c r="I300" s="14"/>
      <c r="J300" s="14"/>
      <c r="K300" s="12"/>
    </row>
    <row r="301" ht="19.5" customHeight="1">
      <c r="A301" s="12"/>
      <c r="C301" s="12"/>
      <c r="D301" s="87"/>
      <c r="F301" s="14"/>
      <c r="G301" s="14"/>
      <c r="H301" s="14"/>
      <c r="I301" s="14"/>
      <c r="J301" s="14"/>
      <c r="K301" s="12"/>
    </row>
    <row r="302" ht="19.5" customHeight="1">
      <c r="A302" s="12"/>
      <c r="C302" s="12"/>
      <c r="D302" s="87"/>
      <c r="F302" s="14"/>
      <c r="G302" s="14"/>
      <c r="H302" s="14"/>
      <c r="I302" s="14"/>
      <c r="J302" s="14"/>
      <c r="K302" s="12"/>
    </row>
    <row r="303" ht="19.5" customHeight="1">
      <c r="A303" s="12"/>
      <c r="C303" s="12"/>
      <c r="D303" s="87"/>
      <c r="F303" s="14"/>
      <c r="G303" s="14"/>
      <c r="H303" s="14"/>
      <c r="I303" s="14"/>
      <c r="J303" s="14"/>
      <c r="K303" s="12"/>
    </row>
    <row r="304" ht="19.5" customHeight="1">
      <c r="A304" s="12"/>
      <c r="C304" s="12"/>
      <c r="D304" s="87"/>
      <c r="F304" s="14"/>
      <c r="G304" s="14"/>
      <c r="H304" s="14"/>
      <c r="I304" s="14"/>
      <c r="J304" s="14"/>
      <c r="K304" s="12"/>
    </row>
    <row r="305" ht="19.5" customHeight="1">
      <c r="A305" s="12"/>
      <c r="C305" s="12"/>
      <c r="D305" s="87"/>
      <c r="F305" s="14"/>
      <c r="G305" s="14"/>
      <c r="H305" s="14"/>
      <c r="I305" s="14"/>
      <c r="J305" s="14"/>
      <c r="K305" s="12"/>
    </row>
    <row r="306" ht="19.5" customHeight="1">
      <c r="A306" s="12"/>
      <c r="C306" s="12"/>
      <c r="D306" s="87"/>
      <c r="F306" s="14"/>
      <c r="G306" s="14"/>
      <c r="H306" s="14"/>
      <c r="I306" s="14"/>
      <c r="J306" s="14"/>
      <c r="K306" s="12"/>
    </row>
    <row r="307" ht="19.5" customHeight="1">
      <c r="A307" s="12"/>
      <c r="C307" s="12"/>
      <c r="D307" s="87"/>
      <c r="F307" s="14"/>
      <c r="G307" s="14"/>
      <c r="H307" s="14"/>
      <c r="I307" s="14"/>
      <c r="J307" s="14"/>
      <c r="K307" s="12"/>
    </row>
    <row r="308" ht="19.5" customHeight="1">
      <c r="A308" s="12"/>
      <c r="C308" s="12"/>
      <c r="D308" s="87"/>
      <c r="F308" s="14"/>
      <c r="G308" s="14"/>
      <c r="H308" s="14"/>
      <c r="I308" s="14"/>
      <c r="J308" s="14"/>
      <c r="K308" s="12"/>
    </row>
    <row r="309" ht="19.5" customHeight="1">
      <c r="A309" s="12"/>
      <c r="C309" s="12"/>
      <c r="D309" s="87"/>
      <c r="F309" s="14"/>
      <c r="G309" s="14"/>
      <c r="H309" s="14"/>
      <c r="I309" s="14"/>
      <c r="J309" s="14"/>
      <c r="K309" s="12"/>
    </row>
    <row r="310" ht="19.5" customHeight="1">
      <c r="A310" s="12"/>
      <c r="C310" s="12"/>
      <c r="D310" s="87"/>
      <c r="F310" s="14"/>
      <c r="G310" s="14"/>
      <c r="H310" s="14"/>
      <c r="I310" s="14"/>
      <c r="J310" s="14"/>
      <c r="K310" s="12"/>
    </row>
    <row r="311" ht="19.5" customHeight="1">
      <c r="A311" s="12"/>
      <c r="C311" s="12"/>
      <c r="D311" s="87"/>
      <c r="F311" s="14"/>
      <c r="G311" s="14"/>
      <c r="H311" s="14"/>
      <c r="I311" s="14"/>
      <c r="J311" s="14"/>
      <c r="K311" s="12"/>
    </row>
    <row r="312" ht="19.5" customHeight="1">
      <c r="A312" s="12"/>
      <c r="C312" s="12"/>
      <c r="D312" s="87"/>
      <c r="F312" s="14"/>
      <c r="G312" s="14"/>
      <c r="H312" s="14"/>
      <c r="I312" s="14"/>
      <c r="J312" s="14"/>
      <c r="K312" s="12"/>
    </row>
    <row r="313" ht="19.5" customHeight="1">
      <c r="A313" s="12"/>
      <c r="C313" s="12"/>
      <c r="D313" s="87"/>
      <c r="F313" s="14"/>
      <c r="G313" s="14"/>
      <c r="H313" s="14"/>
      <c r="I313" s="14"/>
      <c r="J313" s="14"/>
      <c r="K313" s="12"/>
    </row>
    <row r="314" ht="19.5" customHeight="1">
      <c r="A314" s="12"/>
      <c r="C314" s="12"/>
      <c r="D314" s="87"/>
      <c r="F314" s="14"/>
      <c r="G314" s="14"/>
      <c r="H314" s="14"/>
      <c r="I314" s="14"/>
      <c r="J314" s="14"/>
      <c r="K314" s="12"/>
    </row>
    <row r="315" ht="19.5" customHeight="1">
      <c r="A315" s="12"/>
      <c r="C315" s="12"/>
      <c r="D315" s="87"/>
      <c r="F315" s="14"/>
      <c r="G315" s="14"/>
      <c r="H315" s="14"/>
      <c r="I315" s="14"/>
      <c r="J315" s="14"/>
      <c r="K315" s="12"/>
    </row>
    <row r="316" ht="19.5" customHeight="1">
      <c r="A316" s="12"/>
      <c r="C316" s="12"/>
      <c r="D316" s="87"/>
      <c r="F316" s="14"/>
      <c r="G316" s="14"/>
      <c r="H316" s="14"/>
      <c r="I316" s="14"/>
      <c r="J316" s="14"/>
      <c r="K316" s="12"/>
    </row>
    <row r="317" ht="19.5" customHeight="1">
      <c r="A317" s="12"/>
      <c r="C317" s="12"/>
      <c r="D317" s="87"/>
      <c r="F317" s="14"/>
      <c r="G317" s="14"/>
      <c r="H317" s="14"/>
      <c r="I317" s="14"/>
      <c r="J317" s="14"/>
      <c r="K317" s="12"/>
    </row>
    <row r="318" ht="19.5" customHeight="1">
      <c r="A318" s="12"/>
      <c r="C318" s="12"/>
      <c r="D318" s="87"/>
      <c r="F318" s="14"/>
      <c r="G318" s="14"/>
      <c r="H318" s="14"/>
      <c r="I318" s="14"/>
      <c r="J318" s="14"/>
      <c r="K318" s="12"/>
    </row>
    <row r="319" ht="19.5" customHeight="1">
      <c r="A319" s="12"/>
      <c r="C319" s="12"/>
      <c r="D319" s="87"/>
      <c r="F319" s="14"/>
      <c r="G319" s="14"/>
      <c r="H319" s="14"/>
      <c r="I319" s="14"/>
      <c r="J319" s="14"/>
      <c r="K319" s="12"/>
    </row>
    <row r="320" ht="19.5" customHeight="1">
      <c r="A320" s="12"/>
      <c r="C320" s="12"/>
      <c r="D320" s="87"/>
      <c r="F320" s="14"/>
      <c r="G320" s="14"/>
      <c r="H320" s="14"/>
      <c r="I320" s="14"/>
      <c r="J320" s="14"/>
      <c r="K320" s="12"/>
    </row>
    <row r="321" ht="19.5" customHeight="1">
      <c r="A321" s="12"/>
      <c r="C321" s="12"/>
      <c r="D321" s="87"/>
      <c r="F321" s="14"/>
      <c r="G321" s="14"/>
      <c r="H321" s="14"/>
      <c r="I321" s="14"/>
      <c r="J321" s="14"/>
      <c r="K321" s="12"/>
    </row>
    <row r="322" ht="19.5" customHeight="1">
      <c r="A322" s="12"/>
      <c r="C322" s="12"/>
      <c r="D322" s="87"/>
      <c r="F322" s="14"/>
      <c r="G322" s="14"/>
      <c r="H322" s="14"/>
      <c r="I322" s="14"/>
      <c r="J322" s="14"/>
      <c r="K322" s="12"/>
    </row>
    <row r="323" ht="19.5" customHeight="1">
      <c r="A323" s="12"/>
      <c r="C323" s="12"/>
      <c r="D323" s="87"/>
      <c r="F323" s="14"/>
      <c r="G323" s="14"/>
      <c r="H323" s="14"/>
      <c r="I323" s="14"/>
      <c r="J323" s="14"/>
      <c r="K323" s="12"/>
    </row>
    <row r="324" ht="19.5" customHeight="1">
      <c r="A324" s="12"/>
      <c r="C324" s="12"/>
      <c r="D324" s="87"/>
      <c r="F324" s="14"/>
      <c r="G324" s="14"/>
      <c r="H324" s="14"/>
      <c r="I324" s="14"/>
      <c r="J324" s="14"/>
      <c r="K324" s="12"/>
    </row>
    <row r="325" ht="19.5" customHeight="1">
      <c r="A325" s="12"/>
      <c r="C325" s="12"/>
      <c r="D325" s="87"/>
      <c r="F325" s="14"/>
      <c r="G325" s="14"/>
      <c r="H325" s="14"/>
      <c r="I325" s="14"/>
      <c r="J325" s="14"/>
      <c r="K325" s="12"/>
    </row>
    <row r="326" ht="19.5" customHeight="1">
      <c r="A326" s="12"/>
      <c r="C326" s="12"/>
      <c r="D326" s="87"/>
      <c r="F326" s="14"/>
      <c r="G326" s="14"/>
      <c r="H326" s="14"/>
      <c r="I326" s="14"/>
      <c r="J326" s="14"/>
      <c r="K326" s="12"/>
    </row>
    <row r="327" ht="19.5" customHeight="1">
      <c r="A327" s="12"/>
      <c r="C327" s="12"/>
      <c r="D327" s="87"/>
      <c r="F327" s="14"/>
      <c r="G327" s="14"/>
      <c r="H327" s="14"/>
      <c r="I327" s="14"/>
      <c r="J327" s="14"/>
      <c r="K327" s="12"/>
    </row>
    <row r="328" ht="19.5" customHeight="1">
      <c r="A328" s="12"/>
      <c r="C328" s="12"/>
      <c r="D328" s="87"/>
      <c r="F328" s="14"/>
      <c r="G328" s="14"/>
      <c r="H328" s="14"/>
      <c r="I328" s="14"/>
      <c r="J328" s="14"/>
      <c r="K328" s="12"/>
    </row>
    <row r="329" ht="19.5" customHeight="1">
      <c r="A329" s="12"/>
      <c r="C329" s="12"/>
      <c r="D329" s="87"/>
      <c r="F329" s="14"/>
      <c r="G329" s="14"/>
      <c r="H329" s="14"/>
      <c r="I329" s="14"/>
      <c r="J329" s="14"/>
      <c r="K329" s="12"/>
    </row>
    <row r="330" ht="19.5" customHeight="1">
      <c r="A330" s="12"/>
      <c r="C330" s="12"/>
      <c r="D330" s="87"/>
      <c r="F330" s="14"/>
      <c r="G330" s="14"/>
      <c r="H330" s="14"/>
      <c r="I330" s="14"/>
      <c r="J330" s="14"/>
      <c r="K330" s="12"/>
    </row>
    <row r="331" ht="19.5" customHeight="1">
      <c r="A331" s="12"/>
      <c r="C331" s="12"/>
      <c r="D331" s="87"/>
      <c r="F331" s="14"/>
      <c r="G331" s="14"/>
      <c r="H331" s="14"/>
      <c r="I331" s="14"/>
      <c r="J331" s="14"/>
      <c r="K331" s="12"/>
    </row>
    <row r="332" ht="19.5" customHeight="1">
      <c r="A332" s="12"/>
      <c r="C332" s="12"/>
      <c r="D332" s="87"/>
      <c r="F332" s="14"/>
      <c r="G332" s="14"/>
      <c r="H332" s="14"/>
      <c r="I332" s="14"/>
      <c r="J332" s="14"/>
      <c r="K332" s="12"/>
    </row>
    <row r="333" ht="19.5" customHeight="1">
      <c r="A333" s="12"/>
      <c r="C333" s="12"/>
      <c r="D333" s="87"/>
      <c r="F333" s="14"/>
      <c r="G333" s="14"/>
      <c r="H333" s="14"/>
      <c r="I333" s="14"/>
      <c r="J333" s="14"/>
      <c r="K333" s="12"/>
    </row>
    <row r="334" ht="19.5" customHeight="1">
      <c r="A334" s="12"/>
      <c r="C334" s="12"/>
      <c r="D334" s="87"/>
      <c r="F334" s="14"/>
      <c r="G334" s="14"/>
      <c r="H334" s="14"/>
      <c r="I334" s="14"/>
      <c r="J334" s="14"/>
      <c r="K334" s="12"/>
    </row>
    <row r="335" ht="19.5" customHeight="1">
      <c r="A335" s="12"/>
      <c r="C335" s="12"/>
      <c r="D335" s="87"/>
      <c r="F335" s="14"/>
      <c r="G335" s="14"/>
      <c r="H335" s="14"/>
      <c r="I335" s="14"/>
      <c r="J335" s="14"/>
      <c r="K335" s="12"/>
    </row>
    <row r="336" ht="19.5" customHeight="1">
      <c r="A336" s="12"/>
      <c r="C336" s="12"/>
      <c r="D336" s="87"/>
      <c r="F336" s="14"/>
      <c r="G336" s="14"/>
      <c r="H336" s="14"/>
      <c r="I336" s="14"/>
      <c r="J336" s="14"/>
      <c r="K336" s="12"/>
    </row>
    <row r="337" ht="19.5" customHeight="1">
      <c r="A337" s="12"/>
      <c r="C337" s="12"/>
      <c r="D337" s="87"/>
      <c r="F337" s="14"/>
      <c r="G337" s="14"/>
      <c r="H337" s="14"/>
      <c r="I337" s="14"/>
      <c r="J337" s="14"/>
      <c r="K337" s="12"/>
    </row>
    <row r="338" ht="19.5" customHeight="1">
      <c r="A338" s="12"/>
      <c r="C338" s="12"/>
      <c r="D338" s="87"/>
      <c r="F338" s="14"/>
      <c r="G338" s="14"/>
      <c r="H338" s="14"/>
      <c r="I338" s="14"/>
      <c r="J338" s="14"/>
      <c r="K338" s="12"/>
    </row>
    <row r="339" ht="19.5" customHeight="1">
      <c r="A339" s="12"/>
      <c r="C339" s="12"/>
      <c r="D339" s="87"/>
      <c r="F339" s="14"/>
      <c r="G339" s="14"/>
      <c r="H339" s="14"/>
      <c r="I339" s="14"/>
      <c r="J339" s="14"/>
      <c r="K339" s="12"/>
    </row>
    <row r="340" ht="19.5" customHeight="1">
      <c r="A340" s="12"/>
      <c r="C340" s="12"/>
      <c r="D340" s="87"/>
      <c r="F340" s="14"/>
      <c r="G340" s="14"/>
      <c r="H340" s="14"/>
      <c r="I340" s="14"/>
      <c r="J340" s="14"/>
      <c r="K340" s="12"/>
    </row>
    <row r="341" ht="19.5" customHeight="1">
      <c r="A341" s="12"/>
      <c r="C341" s="12"/>
      <c r="D341" s="87"/>
      <c r="F341" s="14"/>
      <c r="G341" s="14"/>
      <c r="H341" s="14"/>
      <c r="I341" s="14"/>
      <c r="J341" s="14"/>
      <c r="K341" s="12"/>
    </row>
    <row r="342" ht="19.5" customHeight="1">
      <c r="A342" s="12"/>
      <c r="C342" s="12"/>
      <c r="D342" s="87"/>
      <c r="F342" s="14"/>
      <c r="G342" s="14"/>
      <c r="H342" s="14"/>
      <c r="I342" s="14"/>
      <c r="J342" s="14"/>
      <c r="K342" s="12"/>
    </row>
    <row r="343" ht="19.5" customHeight="1">
      <c r="A343" s="12"/>
      <c r="C343" s="12"/>
      <c r="D343" s="87"/>
      <c r="F343" s="14"/>
      <c r="G343" s="14"/>
      <c r="H343" s="14"/>
      <c r="I343" s="14"/>
      <c r="J343" s="14"/>
      <c r="K343" s="12"/>
    </row>
    <row r="344" ht="19.5" customHeight="1">
      <c r="A344" s="12"/>
      <c r="C344" s="12"/>
      <c r="D344" s="87"/>
      <c r="F344" s="14"/>
      <c r="G344" s="14"/>
      <c r="H344" s="14"/>
      <c r="I344" s="14"/>
      <c r="J344" s="14"/>
      <c r="K344" s="12"/>
    </row>
    <row r="345" ht="19.5" customHeight="1">
      <c r="A345" s="12"/>
      <c r="C345" s="12"/>
      <c r="D345" s="87"/>
      <c r="F345" s="14"/>
      <c r="G345" s="14"/>
      <c r="H345" s="14"/>
      <c r="I345" s="14"/>
      <c r="J345" s="14"/>
      <c r="K345" s="12"/>
    </row>
    <row r="346" ht="19.5" customHeight="1">
      <c r="A346" s="12"/>
      <c r="C346" s="12"/>
      <c r="D346" s="87"/>
      <c r="F346" s="14"/>
      <c r="G346" s="14"/>
      <c r="H346" s="14"/>
      <c r="I346" s="14"/>
      <c r="J346" s="14"/>
      <c r="K346" s="12"/>
    </row>
    <row r="347" ht="19.5" customHeight="1">
      <c r="A347" s="12"/>
      <c r="C347" s="12"/>
      <c r="D347" s="87"/>
      <c r="F347" s="14"/>
      <c r="G347" s="14"/>
      <c r="H347" s="14"/>
      <c r="I347" s="14"/>
      <c r="J347" s="14"/>
      <c r="K347" s="12"/>
    </row>
    <row r="348" ht="19.5" customHeight="1">
      <c r="A348" s="12"/>
      <c r="C348" s="12"/>
      <c r="D348" s="87"/>
      <c r="F348" s="14"/>
      <c r="G348" s="14"/>
      <c r="H348" s="14"/>
      <c r="I348" s="14"/>
      <c r="J348" s="14"/>
      <c r="K348" s="12"/>
    </row>
    <row r="349" ht="19.5" customHeight="1">
      <c r="A349" s="12"/>
      <c r="C349" s="12"/>
      <c r="D349" s="87"/>
      <c r="F349" s="14"/>
      <c r="G349" s="14"/>
      <c r="H349" s="14"/>
      <c r="I349" s="14"/>
      <c r="J349" s="14"/>
      <c r="K349" s="12"/>
    </row>
    <row r="350" ht="19.5" customHeight="1">
      <c r="A350" s="12"/>
      <c r="C350" s="12"/>
      <c r="D350" s="87"/>
      <c r="F350" s="14"/>
      <c r="G350" s="14"/>
      <c r="H350" s="14"/>
      <c r="I350" s="14"/>
      <c r="J350" s="14"/>
      <c r="K350" s="12"/>
    </row>
    <row r="351" ht="19.5" customHeight="1">
      <c r="A351" s="12"/>
      <c r="C351" s="12"/>
      <c r="D351" s="87"/>
      <c r="F351" s="14"/>
      <c r="G351" s="14"/>
      <c r="H351" s="14"/>
      <c r="I351" s="14"/>
      <c r="J351" s="14"/>
      <c r="K351" s="12"/>
    </row>
    <row r="352" ht="19.5" customHeight="1">
      <c r="A352" s="12"/>
      <c r="C352" s="12"/>
      <c r="D352" s="87"/>
      <c r="F352" s="14"/>
      <c r="G352" s="14"/>
      <c r="H352" s="14"/>
      <c r="I352" s="14"/>
      <c r="J352" s="14"/>
      <c r="K352" s="12"/>
    </row>
    <row r="353" ht="19.5" customHeight="1">
      <c r="A353" s="12"/>
      <c r="C353" s="12"/>
      <c r="D353" s="87"/>
      <c r="F353" s="14"/>
      <c r="G353" s="14"/>
      <c r="H353" s="14"/>
      <c r="I353" s="14"/>
      <c r="J353" s="14"/>
      <c r="K353" s="12"/>
    </row>
    <row r="354" ht="19.5" customHeight="1">
      <c r="A354" s="12"/>
      <c r="C354" s="12"/>
      <c r="D354" s="87"/>
      <c r="F354" s="14"/>
      <c r="G354" s="14"/>
      <c r="H354" s="14"/>
      <c r="I354" s="14"/>
      <c r="J354" s="14"/>
      <c r="K354" s="12"/>
    </row>
    <row r="355" ht="19.5" customHeight="1">
      <c r="A355" s="12"/>
      <c r="C355" s="12"/>
      <c r="D355" s="87"/>
      <c r="F355" s="14"/>
      <c r="G355" s="14"/>
      <c r="H355" s="14"/>
      <c r="I355" s="14"/>
      <c r="J355" s="14"/>
      <c r="K355" s="12"/>
    </row>
    <row r="356" ht="19.5" customHeight="1">
      <c r="A356" s="12"/>
      <c r="C356" s="12"/>
      <c r="D356" s="87"/>
      <c r="F356" s="14"/>
      <c r="G356" s="14"/>
      <c r="H356" s="14"/>
      <c r="I356" s="14"/>
      <c r="J356" s="14"/>
      <c r="K356" s="12"/>
    </row>
    <row r="357" ht="19.5" customHeight="1">
      <c r="A357" s="12"/>
      <c r="C357" s="12"/>
      <c r="D357" s="87"/>
      <c r="F357" s="14"/>
      <c r="G357" s="14"/>
      <c r="H357" s="14"/>
      <c r="I357" s="14"/>
      <c r="J357" s="14"/>
      <c r="K357" s="12"/>
    </row>
    <row r="358" ht="19.5" customHeight="1">
      <c r="A358" s="12"/>
      <c r="C358" s="12"/>
      <c r="D358" s="87"/>
      <c r="F358" s="14"/>
      <c r="G358" s="14"/>
      <c r="H358" s="14"/>
      <c r="I358" s="14"/>
      <c r="J358" s="14"/>
      <c r="K358" s="12"/>
    </row>
    <row r="359" ht="19.5" customHeight="1">
      <c r="A359" s="12"/>
      <c r="C359" s="12"/>
      <c r="D359" s="87"/>
      <c r="F359" s="14"/>
      <c r="G359" s="14"/>
      <c r="H359" s="14"/>
      <c r="I359" s="14"/>
      <c r="J359" s="14"/>
      <c r="K359" s="12"/>
    </row>
    <row r="360" ht="19.5" customHeight="1">
      <c r="A360" s="12"/>
      <c r="C360" s="12"/>
      <c r="D360" s="87"/>
      <c r="F360" s="14"/>
      <c r="G360" s="14"/>
      <c r="H360" s="14"/>
      <c r="I360" s="14"/>
      <c r="J360" s="14"/>
      <c r="K360" s="12"/>
    </row>
    <row r="361" ht="19.5" customHeight="1">
      <c r="A361" s="12"/>
      <c r="C361" s="12"/>
      <c r="D361" s="87"/>
      <c r="F361" s="14"/>
      <c r="G361" s="14"/>
      <c r="H361" s="14"/>
      <c r="I361" s="14"/>
      <c r="J361" s="14"/>
      <c r="K361" s="12"/>
    </row>
    <row r="362" ht="19.5" customHeight="1">
      <c r="A362" s="12"/>
      <c r="C362" s="12"/>
      <c r="D362" s="87"/>
      <c r="F362" s="14"/>
      <c r="G362" s="14"/>
      <c r="H362" s="14"/>
      <c r="I362" s="14"/>
      <c r="J362" s="14"/>
      <c r="K362" s="12"/>
    </row>
    <row r="363" ht="19.5" customHeight="1">
      <c r="A363" s="12"/>
      <c r="C363" s="12"/>
      <c r="D363" s="87"/>
      <c r="F363" s="14"/>
      <c r="G363" s="14"/>
      <c r="H363" s="14"/>
      <c r="I363" s="14"/>
      <c r="J363" s="14"/>
      <c r="K363" s="12"/>
    </row>
    <row r="364" ht="19.5" customHeight="1">
      <c r="A364" s="12"/>
      <c r="C364" s="12"/>
      <c r="D364" s="87"/>
      <c r="F364" s="14"/>
      <c r="G364" s="14"/>
      <c r="H364" s="14"/>
      <c r="I364" s="14"/>
      <c r="J364" s="14"/>
      <c r="K364" s="12"/>
    </row>
    <row r="365" ht="19.5" customHeight="1">
      <c r="A365" s="12"/>
      <c r="C365" s="12"/>
      <c r="D365" s="87"/>
      <c r="F365" s="14"/>
      <c r="G365" s="14"/>
      <c r="H365" s="14"/>
      <c r="I365" s="14"/>
      <c r="J365" s="14"/>
      <c r="K365" s="12"/>
    </row>
    <row r="366" ht="19.5" customHeight="1">
      <c r="A366" s="12"/>
      <c r="C366" s="12"/>
      <c r="D366" s="87"/>
      <c r="F366" s="14"/>
      <c r="G366" s="14"/>
      <c r="H366" s="14"/>
      <c r="I366" s="14"/>
      <c r="J366" s="14"/>
      <c r="K366" s="12"/>
    </row>
    <row r="367" ht="19.5" customHeight="1">
      <c r="A367" s="12"/>
      <c r="C367" s="12"/>
      <c r="D367" s="87"/>
      <c r="F367" s="14"/>
      <c r="G367" s="14"/>
      <c r="H367" s="14"/>
      <c r="I367" s="14"/>
      <c r="J367" s="14"/>
      <c r="K367" s="12"/>
    </row>
    <row r="368" ht="19.5" customHeight="1">
      <c r="A368" s="12"/>
      <c r="C368" s="12"/>
      <c r="D368" s="87"/>
      <c r="F368" s="14"/>
      <c r="G368" s="14"/>
      <c r="H368" s="14"/>
      <c r="I368" s="14"/>
      <c r="J368" s="14"/>
      <c r="K368" s="12"/>
    </row>
    <row r="369" ht="19.5" customHeight="1">
      <c r="A369" s="12"/>
      <c r="C369" s="12"/>
      <c r="D369" s="87"/>
      <c r="F369" s="14"/>
      <c r="G369" s="14"/>
      <c r="H369" s="14"/>
      <c r="I369" s="14"/>
      <c r="J369" s="14"/>
      <c r="K369" s="12"/>
    </row>
    <row r="370" ht="19.5" customHeight="1">
      <c r="A370" s="12"/>
      <c r="C370" s="12"/>
      <c r="D370" s="87"/>
      <c r="F370" s="14"/>
      <c r="G370" s="14"/>
      <c r="H370" s="14"/>
      <c r="I370" s="14"/>
      <c r="J370" s="14"/>
      <c r="K370" s="12"/>
    </row>
    <row r="371" ht="19.5" customHeight="1">
      <c r="A371" s="12"/>
      <c r="C371" s="12"/>
      <c r="D371" s="87"/>
      <c r="F371" s="14"/>
      <c r="G371" s="14"/>
      <c r="H371" s="14"/>
      <c r="I371" s="14"/>
      <c r="J371" s="14"/>
      <c r="K371" s="12"/>
    </row>
    <row r="372" ht="19.5" customHeight="1">
      <c r="A372" s="12"/>
      <c r="C372" s="12"/>
      <c r="D372" s="87"/>
      <c r="F372" s="14"/>
      <c r="G372" s="14"/>
      <c r="H372" s="14"/>
      <c r="I372" s="14"/>
      <c r="J372" s="14"/>
      <c r="K372" s="12"/>
    </row>
    <row r="373" ht="19.5" customHeight="1">
      <c r="A373" s="12"/>
      <c r="C373" s="12"/>
      <c r="D373" s="87"/>
      <c r="F373" s="14"/>
      <c r="G373" s="14"/>
      <c r="H373" s="14"/>
      <c r="I373" s="14"/>
      <c r="J373" s="14"/>
      <c r="K373" s="12"/>
    </row>
    <row r="374" ht="19.5" customHeight="1">
      <c r="A374" s="12"/>
      <c r="C374" s="12"/>
      <c r="D374" s="87"/>
      <c r="F374" s="14"/>
      <c r="G374" s="14"/>
      <c r="H374" s="14"/>
      <c r="I374" s="14"/>
      <c r="J374" s="14"/>
      <c r="K374" s="12"/>
    </row>
    <row r="375" ht="19.5" customHeight="1">
      <c r="A375" s="12"/>
      <c r="C375" s="12"/>
      <c r="D375" s="87"/>
      <c r="F375" s="14"/>
      <c r="G375" s="14"/>
      <c r="H375" s="14"/>
      <c r="I375" s="14"/>
      <c r="J375" s="14"/>
      <c r="K375" s="12"/>
    </row>
    <row r="376" ht="19.5" customHeight="1">
      <c r="A376" s="12"/>
      <c r="C376" s="12"/>
      <c r="D376" s="87"/>
      <c r="F376" s="14"/>
      <c r="G376" s="14"/>
      <c r="H376" s="14"/>
      <c r="I376" s="14"/>
      <c r="J376" s="14"/>
      <c r="K376" s="12"/>
    </row>
    <row r="377" ht="19.5" customHeight="1">
      <c r="A377" s="12"/>
      <c r="C377" s="12"/>
      <c r="D377" s="87"/>
      <c r="F377" s="14"/>
      <c r="G377" s="14"/>
      <c r="H377" s="14"/>
      <c r="I377" s="14"/>
      <c r="J377" s="14"/>
      <c r="K377" s="12"/>
    </row>
    <row r="378" ht="19.5" customHeight="1">
      <c r="A378" s="12"/>
      <c r="C378" s="12"/>
      <c r="D378" s="87"/>
      <c r="F378" s="14"/>
      <c r="G378" s="14"/>
      <c r="H378" s="14"/>
      <c r="I378" s="14"/>
      <c r="J378" s="14"/>
      <c r="K378" s="12"/>
    </row>
    <row r="379" ht="19.5" customHeight="1">
      <c r="A379" s="12"/>
      <c r="C379" s="12"/>
      <c r="D379" s="87"/>
      <c r="F379" s="14"/>
      <c r="G379" s="14"/>
      <c r="H379" s="14"/>
      <c r="I379" s="14"/>
      <c r="J379" s="14"/>
      <c r="K379" s="12"/>
    </row>
    <row r="380" ht="19.5" customHeight="1">
      <c r="A380" s="12"/>
      <c r="C380" s="12"/>
      <c r="D380" s="87"/>
      <c r="F380" s="14"/>
      <c r="G380" s="14"/>
      <c r="H380" s="14"/>
      <c r="I380" s="14"/>
      <c r="J380" s="14"/>
      <c r="K380" s="12"/>
    </row>
    <row r="381" ht="19.5" customHeight="1">
      <c r="A381" s="12"/>
      <c r="C381" s="12"/>
      <c r="D381" s="87"/>
      <c r="F381" s="14"/>
      <c r="G381" s="14"/>
      <c r="H381" s="14"/>
      <c r="I381" s="14"/>
      <c r="J381" s="14"/>
      <c r="K381" s="12"/>
    </row>
    <row r="382" ht="19.5" customHeight="1">
      <c r="A382" s="12"/>
      <c r="C382" s="12"/>
      <c r="D382" s="87"/>
      <c r="F382" s="14"/>
      <c r="G382" s="14"/>
      <c r="H382" s="14"/>
      <c r="I382" s="14"/>
      <c r="J382" s="14"/>
      <c r="K382" s="12"/>
    </row>
    <row r="383" ht="19.5" customHeight="1">
      <c r="A383" s="12"/>
      <c r="C383" s="12"/>
      <c r="D383" s="87"/>
      <c r="F383" s="14"/>
      <c r="G383" s="14"/>
      <c r="H383" s="14"/>
      <c r="I383" s="14"/>
      <c r="J383" s="14"/>
      <c r="K383" s="12"/>
    </row>
    <row r="384" ht="19.5" customHeight="1">
      <c r="A384" s="12"/>
      <c r="C384" s="12"/>
      <c r="D384" s="87"/>
      <c r="F384" s="14"/>
      <c r="G384" s="14"/>
      <c r="H384" s="14"/>
      <c r="I384" s="14"/>
      <c r="J384" s="14"/>
      <c r="K384" s="12"/>
    </row>
    <row r="385" ht="19.5" customHeight="1">
      <c r="A385" s="12"/>
      <c r="C385" s="12"/>
      <c r="D385" s="87"/>
      <c r="F385" s="14"/>
      <c r="G385" s="14"/>
      <c r="H385" s="14"/>
      <c r="I385" s="14"/>
      <c r="J385" s="14"/>
      <c r="K385" s="12"/>
    </row>
    <row r="386" ht="19.5" customHeight="1">
      <c r="A386" s="12"/>
      <c r="C386" s="12"/>
      <c r="D386" s="87"/>
      <c r="F386" s="14"/>
      <c r="G386" s="14"/>
      <c r="H386" s="14"/>
      <c r="I386" s="14"/>
      <c r="J386" s="14"/>
      <c r="K386" s="12"/>
    </row>
    <row r="387" ht="19.5" customHeight="1">
      <c r="A387" s="12"/>
      <c r="C387" s="12"/>
      <c r="D387" s="87"/>
      <c r="F387" s="14"/>
      <c r="G387" s="14"/>
      <c r="H387" s="14"/>
      <c r="I387" s="14"/>
      <c r="J387" s="14"/>
      <c r="K387" s="12"/>
    </row>
    <row r="388" ht="19.5" customHeight="1">
      <c r="A388" s="12"/>
      <c r="C388" s="12"/>
      <c r="D388" s="87"/>
      <c r="F388" s="14"/>
      <c r="G388" s="14"/>
      <c r="H388" s="14"/>
      <c r="I388" s="14"/>
      <c r="J388" s="14"/>
      <c r="K388" s="12"/>
    </row>
    <row r="389" ht="19.5" customHeight="1">
      <c r="A389" s="12"/>
      <c r="C389" s="12"/>
      <c r="D389" s="87"/>
      <c r="F389" s="14"/>
      <c r="G389" s="14"/>
      <c r="H389" s="14"/>
      <c r="I389" s="14"/>
      <c r="J389" s="14"/>
      <c r="K389" s="12"/>
    </row>
    <row r="390" ht="19.5" customHeight="1">
      <c r="A390" s="12"/>
      <c r="C390" s="12"/>
      <c r="D390" s="87"/>
      <c r="F390" s="14"/>
      <c r="G390" s="14"/>
      <c r="H390" s="14"/>
      <c r="I390" s="14"/>
      <c r="J390" s="14"/>
      <c r="K390" s="12"/>
    </row>
    <row r="391" ht="19.5" customHeight="1">
      <c r="A391" s="12"/>
      <c r="C391" s="12"/>
      <c r="D391" s="87"/>
      <c r="F391" s="14"/>
      <c r="G391" s="14"/>
      <c r="H391" s="14"/>
      <c r="I391" s="14"/>
      <c r="J391" s="14"/>
      <c r="K391" s="12"/>
    </row>
    <row r="392" ht="19.5" customHeight="1">
      <c r="A392" s="12"/>
      <c r="C392" s="12"/>
      <c r="D392" s="87"/>
      <c r="F392" s="14"/>
      <c r="G392" s="14"/>
      <c r="H392" s="14"/>
      <c r="I392" s="14"/>
      <c r="J392" s="14"/>
      <c r="K392" s="12"/>
    </row>
    <row r="393" ht="19.5" customHeight="1">
      <c r="A393" s="12"/>
      <c r="C393" s="12"/>
      <c r="D393" s="87"/>
      <c r="F393" s="14"/>
      <c r="G393" s="14"/>
      <c r="H393" s="14"/>
      <c r="I393" s="14"/>
      <c r="J393" s="14"/>
      <c r="K393" s="12"/>
    </row>
    <row r="394" ht="19.5" customHeight="1">
      <c r="A394" s="12"/>
      <c r="C394" s="12"/>
      <c r="D394" s="87"/>
      <c r="F394" s="14"/>
      <c r="G394" s="14"/>
      <c r="H394" s="14"/>
      <c r="I394" s="14"/>
      <c r="J394" s="14"/>
      <c r="K394" s="12"/>
    </row>
    <row r="395" ht="19.5" customHeight="1">
      <c r="A395" s="12"/>
      <c r="C395" s="12"/>
      <c r="D395" s="87"/>
      <c r="F395" s="14"/>
      <c r="G395" s="14"/>
      <c r="H395" s="14"/>
      <c r="I395" s="14"/>
      <c r="J395" s="14"/>
      <c r="K395" s="12"/>
    </row>
    <row r="396" ht="19.5" customHeight="1">
      <c r="A396" s="12"/>
      <c r="C396" s="12"/>
      <c r="D396" s="87"/>
      <c r="F396" s="14"/>
      <c r="G396" s="14"/>
      <c r="H396" s="14"/>
      <c r="I396" s="14"/>
      <c r="J396" s="14"/>
      <c r="K396" s="12"/>
    </row>
    <row r="397" ht="19.5" customHeight="1">
      <c r="A397" s="12"/>
      <c r="C397" s="12"/>
      <c r="D397" s="87"/>
      <c r="F397" s="14"/>
      <c r="G397" s="14"/>
      <c r="H397" s="14"/>
      <c r="I397" s="14"/>
      <c r="J397" s="14"/>
      <c r="K397" s="12"/>
    </row>
    <row r="398" ht="19.5" customHeight="1">
      <c r="A398" s="12"/>
      <c r="C398" s="12"/>
      <c r="D398" s="87"/>
      <c r="F398" s="14"/>
      <c r="G398" s="14"/>
      <c r="H398" s="14"/>
      <c r="I398" s="14"/>
      <c r="J398" s="14"/>
      <c r="K398" s="12"/>
    </row>
    <row r="399" ht="19.5" customHeight="1">
      <c r="A399" s="12"/>
      <c r="C399" s="12"/>
      <c r="D399" s="87"/>
      <c r="F399" s="14"/>
      <c r="G399" s="14"/>
      <c r="H399" s="14"/>
      <c r="I399" s="14"/>
      <c r="J399" s="14"/>
      <c r="K399" s="12"/>
    </row>
    <row r="400" ht="19.5" customHeight="1">
      <c r="A400" s="12"/>
      <c r="C400" s="12"/>
      <c r="D400" s="87"/>
      <c r="F400" s="14"/>
      <c r="G400" s="14"/>
      <c r="H400" s="14"/>
      <c r="I400" s="14"/>
      <c r="J400" s="14"/>
      <c r="K400" s="12"/>
    </row>
    <row r="401" ht="19.5" customHeight="1">
      <c r="A401" s="12"/>
      <c r="C401" s="12"/>
      <c r="D401" s="87"/>
      <c r="F401" s="14"/>
      <c r="G401" s="14"/>
      <c r="H401" s="14"/>
      <c r="I401" s="14"/>
      <c r="J401" s="14"/>
      <c r="K401" s="12"/>
    </row>
    <row r="402" ht="19.5" customHeight="1">
      <c r="A402" s="12"/>
      <c r="C402" s="12"/>
      <c r="D402" s="87"/>
      <c r="F402" s="14"/>
      <c r="G402" s="14"/>
      <c r="H402" s="14"/>
      <c r="I402" s="14"/>
      <c r="J402" s="14"/>
      <c r="K402" s="12"/>
    </row>
    <row r="403" ht="19.5" customHeight="1">
      <c r="A403" s="12"/>
      <c r="C403" s="12"/>
      <c r="D403" s="87"/>
      <c r="F403" s="14"/>
      <c r="G403" s="14"/>
      <c r="H403" s="14"/>
      <c r="I403" s="14"/>
      <c r="J403" s="14"/>
      <c r="K403" s="12"/>
    </row>
    <row r="404" ht="19.5" customHeight="1">
      <c r="A404" s="12"/>
      <c r="C404" s="12"/>
      <c r="D404" s="87"/>
      <c r="F404" s="14"/>
      <c r="G404" s="14"/>
      <c r="H404" s="14"/>
      <c r="I404" s="14"/>
      <c r="J404" s="14"/>
      <c r="K404" s="12"/>
    </row>
    <row r="405" ht="19.5" customHeight="1">
      <c r="A405" s="12"/>
      <c r="C405" s="12"/>
      <c r="D405" s="87"/>
      <c r="F405" s="14"/>
      <c r="G405" s="14"/>
      <c r="H405" s="14"/>
      <c r="I405" s="14"/>
      <c r="J405" s="14"/>
      <c r="K405" s="12"/>
    </row>
    <row r="406" ht="19.5" customHeight="1">
      <c r="A406" s="12"/>
      <c r="C406" s="12"/>
      <c r="D406" s="87"/>
      <c r="F406" s="14"/>
      <c r="G406" s="14"/>
      <c r="H406" s="14"/>
      <c r="I406" s="14"/>
      <c r="J406" s="14"/>
      <c r="K406" s="12"/>
    </row>
    <row r="407" ht="19.5" customHeight="1">
      <c r="A407" s="12"/>
      <c r="C407" s="12"/>
      <c r="D407" s="87"/>
      <c r="F407" s="14"/>
      <c r="G407" s="14"/>
      <c r="H407" s="14"/>
      <c r="I407" s="14"/>
      <c r="J407" s="14"/>
      <c r="K407" s="12"/>
    </row>
    <row r="408" ht="19.5" customHeight="1">
      <c r="A408" s="12"/>
      <c r="C408" s="12"/>
      <c r="D408" s="87"/>
      <c r="F408" s="14"/>
      <c r="G408" s="14"/>
      <c r="H408" s="14"/>
      <c r="I408" s="14"/>
      <c r="J408" s="14"/>
      <c r="K408" s="12"/>
    </row>
    <row r="409" ht="19.5" customHeight="1">
      <c r="A409" s="12"/>
      <c r="C409" s="12"/>
      <c r="D409" s="87"/>
      <c r="F409" s="14"/>
      <c r="G409" s="14"/>
      <c r="H409" s="14"/>
      <c r="I409" s="14"/>
      <c r="J409" s="14"/>
      <c r="K409" s="12"/>
    </row>
    <row r="410" ht="19.5" customHeight="1">
      <c r="A410" s="12"/>
      <c r="C410" s="12"/>
      <c r="D410" s="87"/>
      <c r="F410" s="14"/>
      <c r="G410" s="14"/>
      <c r="H410" s="14"/>
      <c r="I410" s="14"/>
      <c r="J410" s="14"/>
      <c r="K410" s="12"/>
    </row>
    <row r="411" ht="19.5" customHeight="1">
      <c r="A411" s="12"/>
      <c r="C411" s="12"/>
      <c r="D411" s="87"/>
      <c r="F411" s="14"/>
      <c r="G411" s="14"/>
      <c r="H411" s="14"/>
      <c r="I411" s="14"/>
      <c r="J411" s="14"/>
      <c r="K411" s="12"/>
    </row>
    <row r="412" ht="19.5" customHeight="1">
      <c r="A412" s="12"/>
      <c r="C412" s="12"/>
      <c r="D412" s="87"/>
      <c r="F412" s="14"/>
      <c r="G412" s="14"/>
      <c r="H412" s="14"/>
      <c r="I412" s="14"/>
      <c r="J412" s="14"/>
      <c r="K412" s="12"/>
    </row>
    <row r="413" ht="19.5" customHeight="1">
      <c r="A413" s="12"/>
      <c r="C413" s="12"/>
      <c r="D413" s="87"/>
      <c r="F413" s="14"/>
      <c r="G413" s="14"/>
      <c r="H413" s="14"/>
      <c r="I413" s="14"/>
      <c r="J413" s="14"/>
      <c r="K413" s="12"/>
    </row>
    <row r="414" ht="19.5" customHeight="1">
      <c r="A414" s="12"/>
      <c r="C414" s="12"/>
      <c r="D414" s="87"/>
      <c r="F414" s="14"/>
      <c r="G414" s="14"/>
      <c r="H414" s="14"/>
      <c r="I414" s="14"/>
      <c r="J414" s="14"/>
      <c r="K414" s="12"/>
    </row>
    <row r="415" ht="19.5" customHeight="1">
      <c r="A415" s="12"/>
      <c r="C415" s="12"/>
      <c r="D415" s="87"/>
      <c r="F415" s="14"/>
      <c r="G415" s="14"/>
      <c r="H415" s="14"/>
      <c r="I415" s="14"/>
      <c r="J415" s="14"/>
      <c r="K415" s="12"/>
    </row>
    <row r="416" ht="19.5" customHeight="1">
      <c r="A416" s="12"/>
      <c r="C416" s="12"/>
      <c r="D416" s="87"/>
      <c r="F416" s="14"/>
      <c r="G416" s="14"/>
      <c r="H416" s="14"/>
      <c r="I416" s="14"/>
      <c r="J416" s="14"/>
      <c r="K416" s="12"/>
    </row>
    <row r="417" ht="19.5" customHeight="1">
      <c r="A417" s="12"/>
      <c r="C417" s="12"/>
      <c r="D417" s="87"/>
      <c r="F417" s="14"/>
      <c r="G417" s="14"/>
      <c r="H417" s="14"/>
      <c r="I417" s="14"/>
      <c r="J417" s="14"/>
      <c r="K417" s="12"/>
    </row>
    <row r="418" ht="19.5" customHeight="1">
      <c r="A418" s="12"/>
      <c r="C418" s="12"/>
      <c r="D418" s="87"/>
      <c r="F418" s="14"/>
      <c r="G418" s="14"/>
      <c r="H418" s="14"/>
      <c r="I418" s="14"/>
      <c r="J418" s="14"/>
      <c r="K418" s="12"/>
    </row>
    <row r="419" ht="19.5" customHeight="1">
      <c r="A419" s="12"/>
      <c r="C419" s="12"/>
      <c r="D419" s="87"/>
      <c r="F419" s="14"/>
      <c r="G419" s="14"/>
      <c r="H419" s="14"/>
      <c r="I419" s="14"/>
      <c r="J419" s="14"/>
      <c r="K419" s="12"/>
    </row>
    <row r="420" ht="19.5" customHeight="1">
      <c r="A420" s="12"/>
      <c r="C420" s="12"/>
      <c r="D420" s="87"/>
      <c r="F420" s="14"/>
      <c r="G420" s="14"/>
      <c r="H420" s="14"/>
      <c r="I420" s="14"/>
      <c r="J420" s="14"/>
      <c r="K420" s="12"/>
    </row>
    <row r="421" ht="19.5" customHeight="1">
      <c r="A421" s="12"/>
      <c r="C421" s="12"/>
      <c r="D421" s="87"/>
      <c r="F421" s="14"/>
      <c r="G421" s="14"/>
      <c r="H421" s="14"/>
      <c r="I421" s="14"/>
      <c r="J421" s="14"/>
      <c r="K421" s="12"/>
    </row>
    <row r="422" ht="19.5" customHeight="1">
      <c r="A422" s="12"/>
      <c r="C422" s="12"/>
      <c r="D422" s="87"/>
      <c r="F422" s="14"/>
      <c r="G422" s="14"/>
      <c r="H422" s="14"/>
      <c r="I422" s="14"/>
      <c r="J422" s="14"/>
      <c r="K422" s="12"/>
    </row>
    <row r="423" ht="19.5" customHeight="1">
      <c r="A423" s="12"/>
      <c r="C423" s="12"/>
      <c r="D423" s="87"/>
      <c r="F423" s="14"/>
      <c r="G423" s="14"/>
      <c r="H423" s="14"/>
      <c r="I423" s="14"/>
      <c r="J423" s="14"/>
      <c r="K423" s="12"/>
    </row>
    <row r="424" ht="19.5" customHeight="1">
      <c r="A424" s="12"/>
      <c r="C424" s="12"/>
      <c r="D424" s="87"/>
      <c r="F424" s="14"/>
      <c r="G424" s="14"/>
      <c r="H424" s="14"/>
      <c r="I424" s="14"/>
      <c r="J424" s="14"/>
      <c r="K424" s="12"/>
    </row>
    <row r="425" ht="19.5" customHeight="1">
      <c r="A425" s="12"/>
      <c r="C425" s="12"/>
      <c r="D425" s="87"/>
      <c r="F425" s="14"/>
      <c r="G425" s="14"/>
      <c r="H425" s="14"/>
      <c r="I425" s="14"/>
      <c r="J425" s="14"/>
      <c r="K425" s="12"/>
    </row>
    <row r="426" ht="19.5" customHeight="1">
      <c r="A426" s="12"/>
      <c r="C426" s="12"/>
      <c r="D426" s="87"/>
      <c r="F426" s="14"/>
      <c r="G426" s="14"/>
      <c r="H426" s="14"/>
      <c r="I426" s="14"/>
      <c r="J426" s="14"/>
      <c r="K426" s="12"/>
    </row>
    <row r="427" ht="19.5" customHeight="1">
      <c r="A427" s="12"/>
      <c r="C427" s="12"/>
      <c r="D427" s="87"/>
      <c r="F427" s="14"/>
      <c r="G427" s="14"/>
      <c r="H427" s="14"/>
      <c r="I427" s="14"/>
      <c r="J427" s="14"/>
      <c r="K427" s="12"/>
    </row>
    <row r="428" ht="19.5" customHeight="1">
      <c r="A428" s="12"/>
      <c r="C428" s="12"/>
      <c r="D428" s="87"/>
      <c r="F428" s="14"/>
      <c r="G428" s="14"/>
      <c r="H428" s="14"/>
      <c r="I428" s="14"/>
      <c r="J428" s="14"/>
      <c r="K428" s="12"/>
    </row>
    <row r="429" ht="19.5" customHeight="1">
      <c r="A429" s="12"/>
      <c r="C429" s="12"/>
      <c r="D429" s="87"/>
      <c r="F429" s="14"/>
      <c r="G429" s="14"/>
      <c r="H429" s="14"/>
      <c r="I429" s="14"/>
      <c r="J429" s="14"/>
      <c r="K429" s="12"/>
    </row>
    <row r="430" ht="19.5" customHeight="1">
      <c r="A430" s="12"/>
      <c r="C430" s="12"/>
      <c r="D430" s="87"/>
      <c r="F430" s="14"/>
      <c r="G430" s="14"/>
      <c r="H430" s="14"/>
      <c r="I430" s="14"/>
      <c r="J430" s="14"/>
      <c r="K430" s="12"/>
    </row>
    <row r="431" ht="19.5" customHeight="1">
      <c r="A431" s="12"/>
      <c r="C431" s="12"/>
      <c r="D431" s="87"/>
      <c r="F431" s="14"/>
      <c r="G431" s="14"/>
      <c r="H431" s="14"/>
      <c r="I431" s="14"/>
      <c r="J431" s="14"/>
      <c r="K431" s="12"/>
    </row>
    <row r="432" ht="19.5" customHeight="1">
      <c r="A432" s="12"/>
      <c r="C432" s="12"/>
      <c r="D432" s="87"/>
      <c r="F432" s="14"/>
      <c r="G432" s="14"/>
      <c r="H432" s="14"/>
      <c r="I432" s="14"/>
      <c r="J432" s="14"/>
      <c r="K432" s="12"/>
    </row>
    <row r="433" ht="19.5" customHeight="1">
      <c r="A433" s="12"/>
      <c r="C433" s="12"/>
      <c r="D433" s="87"/>
      <c r="F433" s="14"/>
      <c r="G433" s="14"/>
      <c r="H433" s="14"/>
      <c r="I433" s="14"/>
      <c r="J433" s="14"/>
      <c r="K433" s="12"/>
    </row>
    <row r="434" ht="19.5" customHeight="1">
      <c r="A434" s="12"/>
      <c r="C434" s="12"/>
      <c r="D434" s="87"/>
      <c r="F434" s="14"/>
      <c r="G434" s="14"/>
      <c r="H434" s="14"/>
      <c r="I434" s="14"/>
      <c r="J434" s="14"/>
      <c r="K434" s="12"/>
    </row>
    <row r="435" ht="19.5" customHeight="1">
      <c r="A435" s="12"/>
      <c r="C435" s="12"/>
      <c r="D435" s="87"/>
      <c r="F435" s="14"/>
      <c r="G435" s="14"/>
      <c r="H435" s="14"/>
      <c r="I435" s="14"/>
      <c r="J435" s="14"/>
      <c r="K435" s="12"/>
    </row>
    <row r="436" ht="19.5" customHeight="1">
      <c r="A436" s="12"/>
      <c r="C436" s="12"/>
      <c r="D436" s="87"/>
      <c r="F436" s="14"/>
      <c r="G436" s="14"/>
      <c r="H436" s="14"/>
      <c r="I436" s="14"/>
      <c r="J436" s="14"/>
      <c r="K436" s="12"/>
    </row>
    <row r="437" ht="19.5" customHeight="1">
      <c r="A437" s="12"/>
      <c r="C437" s="12"/>
      <c r="D437" s="87"/>
      <c r="F437" s="14"/>
      <c r="G437" s="14"/>
      <c r="H437" s="14"/>
      <c r="I437" s="14"/>
      <c r="J437" s="14"/>
      <c r="K437" s="12"/>
    </row>
    <row r="438" ht="19.5" customHeight="1">
      <c r="A438" s="12"/>
      <c r="C438" s="12"/>
      <c r="D438" s="87"/>
      <c r="F438" s="14"/>
      <c r="G438" s="14"/>
      <c r="H438" s="14"/>
      <c r="I438" s="14"/>
      <c r="J438" s="14"/>
      <c r="K438" s="12"/>
    </row>
    <row r="439" ht="19.5" customHeight="1">
      <c r="A439" s="12"/>
      <c r="C439" s="12"/>
      <c r="D439" s="87"/>
      <c r="F439" s="14"/>
      <c r="G439" s="14"/>
      <c r="H439" s="14"/>
      <c r="I439" s="14"/>
      <c r="J439" s="14"/>
      <c r="K439" s="12"/>
    </row>
    <row r="440" ht="19.5" customHeight="1">
      <c r="A440" s="12"/>
      <c r="C440" s="12"/>
      <c r="D440" s="87"/>
      <c r="F440" s="14"/>
      <c r="G440" s="14"/>
      <c r="H440" s="14"/>
      <c r="I440" s="14"/>
      <c r="J440" s="14"/>
      <c r="K440" s="12"/>
    </row>
    <row r="441" ht="19.5" customHeight="1">
      <c r="A441" s="12"/>
      <c r="C441" s="12"/>
      <c r="D441" s="87"/>
      <c r="F441" s="14"/>
      <c r="G441" s="14"/>
      <c r="H441" s="14"/>
      <c r="I441" s="14"/>
      <c r="J441" s="14"/>
      <c r="K441" s="12"/>
    </row>
    <row r="442" ht="19.5" customHeight="1">
      <c r="A442" s="12"/>
      <c r="C442" s="12"/>
      <c r="D442" s="87"/>
      <c r="F442" s="14"/>
      <c r="G442" s="14"/>
      <c r="H442" s="14"/>
      <c r="I442" s="14"/>
      <c r="J442" s="14"/>
      <c r="K442" s="12"/>
    </row>
    <row r="443" ht="19.5" customHeight="1">
      <c r="A443" s="12"/>
      <c r="C443" s="12"/>
      <c r="D443" s="87"/>
      <c r="F443" s="14"/>
      <c r="G443" s="14"/>
      <c r="H443" s="14"/>
      <c r="I443" s="14"/>
      <c r="J443" s="14"/>
      <c r="K443" s="12"/>
    </row>
    <row r="444" ht="19.5" customHeight="1">
      <c r="A444" s="12"/>
      <c r="C444" s="12"/>
      <c r="D444" s="87"/>
      <c r="F444" s="14"/>
      <c r="G444" s="14"/>
      <c r="H444" s="14"/>
      <c r="I444" s="14"/>
      <c r="J444" s="14"/>
      <c r="K444" s="12"/>
    </row>
    <row r="445" ht="19.5" customHeight="1">
      <c r="A445" s="12"/>
      <c r="C445" s="12"/>
      <c r="D445" s="87"/>
      <c r="F445" s="14"/>
      <c r="G445" s="14"/>
      <c r="H445" s="14"/>
      <c r="I445" s="14"/>
      <c r="J445" s="14"/>
      <c r="K445" s="12"/>
    </row>
    <row r="446" ht="19.5" customHeight="1">
      <c r="A446" s="12"/>
      <c r="C446" s="12"/>
      <c r="D446" s="87"/>
      <c r="F446" s="14"/>
      <c r="G446" s="14"/>
      <c r="H446" s="14"/>
      <c r="I446" s="14"/>
      <c r="J446" s="14"/>
      <c r="K446" s="12"/>
    </row>
    <row r="447" ht="19.5" customHeight="1">
      <c r="A447" s="12"/>
      <c r="C447" s="12"/>
      <c r="D447" s="87"/>
      <c r="F447" s="14"/>
      <c r="G447" s="14"/>
      <c r="H447" s="14"/>
      <c r="I447" s="14"/>
      <c r="J447" s="14"/>
      <c r="K447" s="12"/>
    </row>
    <row r="448" ht="19.5" customHeight="1">
      <c r="A448" s="12"/>
      <c r="C448" s="12"/>
      <c r="D448" s="87"/>
      <c r="F448" s="14"/>
      <c r="G448" s="14"/>
      <c r="H448" s="14"/>
      <c r="I448" s="14"/>
      <c r="J448" s="14"/>
      <c r="K448" s="12"/>
    </row>
    <row r="449" ht="19.5" customHeight="1">
      <c r="A449" s="12"/>
      <c r="C449" s="12"/>
      <c r="D449" s="87"/>
      <c r="F449" s="14"/>
      <c r="G449" s="14"/>
      <c r="H449" s="14"/>
      <c r="I449" s="14"/>
      <c r="J449" s="14"/>
      <c r="K449" s="12"/>
    </row>
    <row r="450" ht="19.5" customHeight="1">
      <c r="A450" s="12"/>
      <c r="C450" s="12"/>
      <c r="D450" s="87"/>
      <c r="F450" s="14"/>
      <c r="G450" s="14"/>
      <c r="H450" s="14"/>
      <c r="I450" s="14"/>
      <c r="J450" s="14"/>
      <c r="K450" s="12"/>
    </row>
    <row r="451" ht="19.5" customHeight="1">
      <c r="A451" s="12"/>
      <c r="C451" s="12"/>
      <c r="D451" s="87"/>
      <c r="F451" s="14"/>
      <c r="G451" s="14"/>
      <c r="H451" s="14"/>
      <c r="I451" s="14"/>
      <c r="J451" s="14"/>
      <c r="K451" s="12"/>
    </row>
    <row r="452" ht="19.5" customHeight="1">
      <c r="A452" s="12"/>
      <c r="C452" s="12"/>
      <c r="D452" s="87"/>
      <c r="F452" s="14"/>
      <c r="G452" s="14"/>
      <c r="H452" s="14"/>
      <c r="I452" s="14"/>
      <c r="J452" s="14"/>
      <c r="K452" s="12"/>
    </row>
    <row r="453" ht="19.5" customHeight="1">
      <c r="A453" s="12"/>
      <c r="C453" s="12"/>
      <c r="D453" s="87"/>
      <c r="F453" s="14"/>
      <c r="G453" s="14"/>
      <c r="H453" s="14"/>
      <c r="I453" s="14"/>
      <c r="J453" s="14"/>
      <c r="K453" s="12"/>
    </row>
    <row r="454" ht="19.5" customHeight="1">
      <c r="A454" s="12"/>
      <c r="C454" s="12"/>
      <c r="D454" s="87"/>
      <c r="F454" s="14"/>
      <c r="G454" s="14"/>
      <c r="H454" s="14"/>
      <c r="I454" s="14"/>
      <c r="J454" s="14"/>
      <c r="K454" s="12"/>
    </row>
    <row r="455" ht="19.5" customHeight="1">
      <c r="A455" s="12"/>
      <c r="C455" s="12"/>
      <c r="D455" s="87"/>
      <c r="F455" s="14"/>
      <c r="G455" s="14"/>
      <c r="H455" s="14"/>
      <c r="I455" s="14"/>
      <c r="J455" s="14"/>
      <c r="K455" s="12"/>
    </row>
    <row r="456" ht="19.5" customHeight="1">
      <c r="A456" s="12"/>
      <c r="C456" s="12"/>
      <c r="D456" s="87"/>
      <c r="F456" s="14"/>
      <c r="G456" s="14"/>
      <c r="H456" s="14"/>
      <c r="I456" s="14"/>
      <c r="J456" s="14"/>
      <c r="K456" s="12"/>
    </row>
    <row r="457" ht="19.5" customHeight="1">
      <c r="A457" s="12"/>
      <c r="C457" s="12"/>
      <c r="D457" s="87"/>
      <c r="F457" s="14"/>
      <c r="G457" s="14"/>
      <c r="H457" s="14"/>
      <c r="I457" s="14"/>
      <c r="J457" s="14"/>
      <c r="K457" s="12"/>
    </row>
    <row r="458" ht="19.5" customHeight="1">
      <c r="A458" s="12"/>
      <c r="C458" s="12"/>
      <c r="D458" s="87"/>
      <c r="F458" s="14"/>
      <c r="G458" s="14"/>
      <c r="H458" s="14"/>
      <c r="I458" s="14"/>
      <c r="J458" s="14"/>
      <c r="K458" s="12"/>
    </row>
    <row r="459" ht="19.5" customHeight="1">
      <c r="A459" s="12"/>
      <c r="C459" s="12"/>
      <c r="D459" s="87"/>
      <c r="F459" s="14"/>
      <c r="G459" s="14"/>
      <c r="H459" s="14"/>
      <c r="I459" s="14"/>
      <c r="J459" s="14"/>
      <c r="K459" s="12"/>
    </row>
    <row r="460" ht="19.5" customHeight="1">
      <c r="A460" s="12"/>
      <c r="C460" s="12"/>
      <c r="D460" s="87"/>
      <c r="F460" s="14"/>
      <c r="G460" s="14"/>
      <c r="H460" s="14"/>
      <c r="I460" s="14"/>
      <c r="J460" s="14"/>
      <c r="K460" s="12"/>
    </row>
    <row r="461" ht="19.5" customHeight="1">
      <c r="A461" s="12"/>
      <c r="C461" s="12"/>
      <c r="D461" s="87"/>
      <c r="F461" s="14"/>
      <c r="G461" s="14"/>
      <c r="H461" s="14"/>
      <c r="I461" s="14"/>
      <c r="J461" s="14"/>
      <c r="K461" s="12"/>
    </row>
    <row r="462" ht="19.5" customHeight="1">
      <c r="A462" s="12"/>
      <c r="C462" s="12"/>
      <c r="D462" s="87"/>
      <c r="F462" s="14"/>
      <c r="G462" s="14"/>
      <c r="H462" s="14"/>
      <c r="I462" s="14"/>
      <c r="J462" s="14"/>
      <c r="K462" s="12"/>
    </row>
    <row r="463" ht="19.5" customHeight="1">
      <c r="A463" s="12"/>
      <c r="C463" s="12"/>
      <c r="D463" s="87"/>
      <c r="F463" s="14"/>
      <c r="G463" s="14"/>
      <c r="H463" s="14"/>
      <c r="I463" s="14"/>
      <c r="J463" s="14"/>
      <c r="K463" s="12"/>
    </row>
    <row r="464" ht="19.5" customHeight="1">
      <c r="A464" s="12"/>
      <c r="C464" s="12"/>
      <c r="D464" s="87"/>
      <c r="F464" s="14"/>
      <c r="G464" s="14"/>
      <c r="H464" s="14"/>
      <c r="I464" s="14"/>
      <c r="J464" s="14"/>
      <c r="K464" s="12"/>
    </row>
    <row r="465" ht="19.5" customHeight="1">
      <c r="A465" s="12"/>
      <c r="C465" s="12"/>
      <c r="D465" s="87"/>
      <c r="F465" s="14"/>
      <c r="G465" s="14"/>
      <c r="H465" s="14"/>
      <c r="I465" s="14"/>
      <c r="J465" s="14"/>
      <c r="K465" s="12"/>
    </row>
    <row r="466" ht="19.5" customHeight="1">
      <c r="A466" s="12"/>
      <c r="C466" s="12"/>
      <c r="D466" s="87"/>
      <c r="F466" s="14"/>
      <c r="G466" s="14"/>
      <c r="H466" s="14"/>
      <c r="I466" s="14"/>
      <c r="J466" s="14"/>
      <c r="K466" s="12"/>
    </row>
    <row r="467" ht="19.5" customHeight="1">
      <c r="A467" s="12"/>
      <c r="C467" s="12"/>
      <c r="D467" s="87"/>
      <c r="F467" s="14"/>
      <c r="G467" s="14"/>
      <c r="H467" s="14"/>
      <c r="I467" s="14"/>
      <c r="J467" s="14"/>
      <c r="K467" s="12"/>
    </row>
    <row r="468" ht="19.5" customHeight="1">
      <c r="A468" s="12"/>
      <c r="C468" s="12"/>
      <c r="D468" s="87"/>
      <c r="F468" s="14"/>
      <c r="G468" s="14"/>
      <c r="H468" s="14"/>
      <c r="I468" s="14"/>
      <c r="J468" s="14"/>
      <c r="K468" s="12"/>
    </row>
    <row r="469" ht="19.5" customHeight="1">
      <c r="A469" s="12"/>
      <c r="C469" s="12"/>
      <c r="D469" s="87"/>
      <c r="F469" s="14"/>
      <c r="G469" s="14"/>
      <c r="H469" s="14"/>
      <c r="I469" s="14"/>
      <c r="J469" s="14"/>
      <c r="K469" s="12"/>
    </row>
    <row r="470" ht="19.5" customHeight="1">
      <c r="A470" s="12"/>
      <c r="C470" s="12"/>
      <c r="D470" s="87"/>
      <c r="F470" s="14"/>
      <c r="G470" s="14"/>
      <c r="H470" s="14"/>
      <c r="I470" s="14"/>
      <c r="J470" s="14"/>
      <c r="K470" s="12"/>
    </row>
    <row r="471" ht="19.5" customHeight="1">
      <c r="A471" s="12"/>
      <c r="C471" s="12"/>
      <c r="D471" s="87"/>
      <c r="F471" s="14"/>
      <c r="G471" s="14"/>
      <c r="H471" s="14"/>
      <c r="I471" s="14"/>
      <c r="J471" s="14"/>
      <c r="K471" s="12"/>
    </row>
    <row r="472" ht="19.5" customHeight="1">
      <c r="A472" s="12"/>
      <c r="C472" s="12"/>
      <c r="D472" s="87"/>
      <c r="F472" s="14"/>
      <c r="G472" s="14"/>
      <c r="H472" s="14"/>
      <c r="I472" s="14"/>
      <c r="J472" s="14"/>
      <c r="K472" s="12"/>
    </row>
    <row r="473" ht="19.5" customHeight="1">
      <c r="A473" s="12"/>
      <c r="C473" s="12"/>
      <c r="D473" s="87"/>
      <c r="F473" s="14"/>
      <c r="G473" s="14"/>
      <c r="H473" s="14"/>
      <c r="I473" s="14"/>
      <c r="J473" s="14"/>
      <c r="K473" s="12"/>
    </row>
    <row r="474" ht="19.5" customHeight="1">
      <c r="A474" s="12"/>
      <c r="C474" s="12"/>
      <c r="D474" s="87"/>
      <c r="F474" s="14"/>
      <c r="G474" s="14"/>
      <c r="H474" s="14"/>
      <c r="I474" s="14"/>
      <c r="J474" s="14"/>
      <c r="K474" s="12"/>
    </row>
    <row r="475" ht="19.5" customHeight="1">
      <c r="A475" s="12"/>
      <c r="C475" s="12"/>
      <c r="D475" s="87"/>
      <c r="F475" s="14"/>
      <c r="G475" s="14"/>
      <c r="H475" s="14"/>
      <c r="I475" s="14"/>
      <c r="J475" s="14"/>
      <c r="K475" s="12"/>
    </row>
    <row r="476" ht="19.5" customHeight="1">
      <c r="A476" s="12"/>
      <c r="C476" s="12"/>
      <c r="D476" s="87"/>
      <c r="F476" s="14"/>
      <c r="G476" s="14"/>
      <c r="H476" s="14"/>
      <c r="I476" s="14"/>
      <c r="J476" s="14"/>
      <c r="K476" s="12"/>
    </row>
    <row r="477" ht="19.5" customHeight="1">
      <c r="A477" s="12"/>
      <c r="C477" s="12"/>
      <c r="D477" s="87"/>
      <c r="F477" s="14"/>
      <c r="G477" s="14"/>
      <c r="H477" s="14"/>
      <c r="I477" s="14"/>
      <c r="J477" s="14"/>
      <c r="K477" s="12"/>
    </row>
    <row r="478" ht="19.5" customHeight="1">
      <c r="A478" s="12"/>
      <c r="C478" s="12"/>
      <c r="D478" s="87"/>
      <c r="F478" s="14"/>
      <c r="G478" s="14"/>
      <c r="H478" s="14"/>
      <c r="I478" s="14"/>
      <c r="J478" s="14"/>
      <c r="K478" s="12"/>
    </row>
    <row r="479" ht="19.5" customHeight="1">
      <c r="A479" s="12"/>
      <c r="C479" s="12"/>
      <c r="D479" s="87"/>
      <c r="F479" s="14"/>
      <c r="G479" s="14"/>
      <c r="H479" s="14"/>
      <c r="I479" s="14"/>
      <c r="J479" s="14"/>
      <c r="K479" s="12"/>
    </row>
    <row r="480" ht="19.5" customHeight="1">
      <c r="A480" s="12"/>
      <c r="C480" s="12"/>
      <c r="D480" s="87"/>
      <c r="F480" s="14"/>
      <c r="G480" s="14"/>
      <c r="H480" s="14"/>
      <c r="I480" s="14"/>
      <c r="J480" s="14"/>
      <c r="K480" s="12"/>
    </row>
    <row r="481" ht="19.5" customHeight="1">
      <c r="A481" s="12"/>
      <c r="C481" s="12"/>
      <c r="D481" s="87"/>
      <c r="F481" s="14"/>
      <c r="G481" s="14"/>
      <c r="H481" s="14"/>
      <c r="I481" s="14"/>
      <c r="J481" s="14"/>
      <c r="K481" s="12"/>
    </row>
    <row r="482" ht="19.5" customHeight="1">
      <c r="A482" s="12"/>
      <c r="C482" s="12"/>
      <c r="D482" s="87"/>
      <c r="F482" s="14"/>
      <c r="G482" s="14"/>
      <c r="H482" s="14"/>
      <c r="I482" s="14"/>
      <c r="J482" s="14"/>
      <c r="K482" s="12"/>
    </row>
    <row r="483" ht="19.5" customHeight="1">
      <c r="A483" s="12"/>
      <c r="C483" s="12"/>
      <c r="D483" s="87"/>
      <c r="F483" s="14"/>
      <c r="G483" s="14"/>
      <c r="H483" s="14"/>
      <c r="I483" s="14"/>
      <c r="J483" s="14"/>
      <c r="K483" s="12"/>
    </row>
    <row r="484" ht="19.5" customHeight="1">
      <c r="A484" s="12"/>
      <c r="C484" s="12"/>
      <c r="D484" s="87"/>
      <c r="F484" s="14"/>
      <c r="G484" s="14"/>
      <c r="H484" s="14"/>
      <c r="I484" s="14"/>
      <c r="J484" s="14"/>
      <c r="K484" s="12"/>
    </row>
    <row r="485" ht="19.5" customHeight="1">
      <c r="A485" s="12"/>
      <c r="C485" s="12"/>
      <c r="D485" s="87"/>
      <c r="F485" s="14"/>
      <c r="G485" s="14"/>
      <c r="H485" s="14"/>
      <c r="I485" s="14"/>
      <c r="J485" s="14"/>
      <c r="K485" s="12"/>
    </row>
    <row r="486" ht="19.5" customHeight="1">
      <c r="A486" s="12"/>
      <c r="C486" s="12"/>
      <c r="D486" s="87"/>
      <c r="F486" s="14"/>
      <c r="G486" s="14"/>
      <c r="H486" s="14"/>
      <c r="I486" s="14"/>
      <c r="J486" s="14"/>
      <c r="K486" s="12"/>
    </row>
    <row r="487" ht="19.5" customHeight="1">
      <c r="A487" s="12"/>
      <c r="C487" s="12"/>
      <c r="D487" s="87"/>
      <c r="F487" s="14"/>
      <c r="G487" s="14"/>
      <c r="H487" s="14"/>
      <c r="I487" s="14"/>
      <c r="J487" s="14"/>
      <c r="K487" s="12"/>
    </row>
    <row r="488" ht="19.5" customHeight="1">
      <c r="A488" s="12"/>
      <c r="C488" s="12"/>
      <c r="D488" s="87"/>
      <c r="F488" s="14"/>
      <c r="G488" s="14"/>
      <c r="H488" s="14"/>
      <c r="I488" s="14"/>
      <c r="J488" s="14"/>
      <c r="K488" s="12"/>
    </row>
    <row r="489" ht="19.5" customHeight="1">
      <c r="A489" s="12"/>
      <c r="C489" s="12"/>
      <c r="D489" s="87"/>
      <c r="F489" s="14"/>
      <c r="G489" s="14"/>
      <c r="H489" s="14"/>
      <c r="I489" s="14"/>
      <c r="J489" s="14"/>
      <c r="K489" s="12"/>
    </row>
    <row r="490" ht="19.5" customHeight="1">
      <c r="A490" s="12"/>
      <c r="C490" s="12"/>
      <c r="D490" s="87"/>
      <c r="F490" s="14"/>
      <c r="G490" s="14"/>
      <c r="H490" s="14"/>
      <c r="I490" s="14"/>
      <c r="J490" s="14"/>
      <c r="K490" s="12"/>
    </row>
    <row r="491" ht="19.5" customHeight="1">
      <c r="A491" s="12"/>
      <c r="C491" s="12"/>
      <c r="D491" s="87"/>
      <c r="F491" s="14"/>
      <c r="G491" s="14"/>
      <c r="H491" s="14"/>
      <c r="I491" s="14"/>
      <c r="J491" s="14"/>
      <c r="K491" s="12"/>
    </row>
    <row r="492" ht="19.5" customHeight="1">
      <c r="A492" s="12"/>
      <c r="C492" s="12"/>
      <c r="D492" s="87"/>
      <c r="F492" s="14"/>
      <c r="G492" s="14"/>
      <c r="H492" s="14"/>
      <c r="I492" s="14"/>
      <c r="J492" s="14"/>
      <c r="K492" s="12"/>
    </row>
    <row r="493" ht="19.5" customHeight="1">
      <c r="A493" s="12"/>
      <c r="C493" s="12"/>
      <c r="D493" s="87"/>
      <c r="F493" s="14"/>
      <c r="G493" s="14"/>
      <c r="H493" s="14"/>
      <c r="I493" s="14"/>
      <c r="J493" s="14"/>
      <c r="K493" s="12"/>
    </row>
    <row r="494" ht="19.5" customHeight="1">
      <c r="A494" s="12"/>
      <c r="C494" s="12"/>
      <c r="D494" s="87"/>
      <c r="F494" s="14"/>
      <c r="G494" s="14"/>
      <c r="H494" s="14"/>
      <c r="I494" s="14"/>
      <c r="J494" s="14"/>
      <c r="K494" s="12"/>
    </row>
    <row r="495" ht="19.5" customHeight="1">
      <c r="A495" s="12"/>
      <c r="C495" s="12"/>
      <c r="D495" s="87"/>
      <c r="F495" s="14"/>
      <c r="G495" s="14"/>
      <c r="H495" s="14"/>
      <c r="I495" s="14"/>
      <c r="J495" s="14"/>
      <c r="K495" s="12"/>
    </row>
    <row r="496" ht="19.5" customHeight="1">
      <c r="A496" s="12"/>
      <c r="C496" s="12"/>
      <c r="D496" s="87"/>
      <c r="F496" s="14"/>
      <c r="G496" s="14"/>
      <c r="H496" s="14"/>
      <c r="I496" s="14"/>
      <c r="J496" s="14"/>
      <c r="K496" s="12"/>
    </row>
    <row r="497" ht="19.5" customHeight="1">
      <c r="A497" s="12"/>
      <c r="C497" s="12"/>
      <c r="D497" s="87"/>
      <c r="F497" s="14"/>
      <c r="G497" s="14"/>
      <c r="H497" s="14"/>
      <c r="I497" s="14"/>
      <c r="J497" s="14"/>
      <c r="K497" s="12"/>
    </row>
    <row r="498" ht="19.5" customHeight="1">
      <c r="A498" s="12"/>
      <c r="C498" s="12"/>
      <c r="D498" s="87"/>
      <c r="F498" s="14"/>
      <c r="G498" s="14"/>
      <c r="H498" s="14"/>
      <c r="I498" s="14"/>
      <c r="J498" s="14"/>
      <c r="K498" s="12"/>
    </row>
    <row r="499" ht="19.5" customHeight="1">
      <c r="A499" s="12"/>
      <c r="C499" s="12"/>
      <c r="D499" s="87"/>
      <c r="F499" s="14"/>
      <c r="G499" s="14"/>
      <c r="H499" s="14"/>
      <c r="I499" s="14"/>
      <c r="J499" s="14"/>
      <c r="K499" s="12"/>
    </row>
    <row r="500" ht="19.5" customHeight="1">
      <c r="A500" s="12"/>
      <c r="C500" s="12"/>
      <c r="D500" s="87"/>
      <c r="F500" s="14"/>
      <c r="G500" s="14"/>
      <c r="H500" s="14"/>
      <c r="I500" s="14"/>
      <c r="J500" s="14"/>
      <c r="K500" s="12"/>
    </row>
    <row r="501" ht="19.5" customHeight="1">
      <c r="A501" s="12"/>
      <c r="C501" s="12"/>
      <c r="D501" s="87"/>
      <c r="F501" s="14"/>
      <c r="G501" s="14"/>
      <c r="H501" s="14"/>
      <c r="I501" s="14"/>
      <c r="J501" s="14"/>
      <c r="K501" s="12"/>
    </row>
    <row r="502" ht="19.5" customHeight="1">
      <c r="A502" s="12"/>
      <c r="C502" s="12"/>
      <c r="D502" s="87"/>
      <c r="F502" s="14"/>
      <c r="G502" s="14"/>
      <c r="H502" s="14"/>
      <c r="I502" s="14"/>
      <c r="J502" s="14"/>
      <c r="K502" s="12"/>
    </row>
    <row r="503" ht="19.5" customHeight="1">
      <c r="A503" s="12"/>
      <c r="C503" s="12"/>
      <c r="D503" s="87"/>
      <c r="F503" s="14"/>
      <c r="G503" s="14"/>
      <c r="H503" s="14"/>
      <c r="I503" s="14"/>
      <c r="J503" s="14"/>
      <c r="K503" s="12"/>
    </row>
    <row r="504" ht="19.5" customHeight="1">
      <c r="A504" s="12"/>
      <c r="C504" s="12"/>
      <c r="D504" s="87"/>
      <c r="F504" s="14"/>
      <c r="G504" s="14"/>
      <c r="H504" s="14"/>
      <c r="I504" s="14"/>
      <c r="J504" s="14"/>
      <c r="K504" s="12"/>
    </row>
    <row r="505" ht="19.5" customHeight="1">
      <c r="A505" s="12"/>
      <c r="C505" s="12"/>
      <c r="D505" s="87"/>
      <c r="F505" s="14"/>
      <c r="G505" s="14"/>
      <c r="H505" s="14"/>
      <c r="I505" s="14"/>
      <c r="J505" s="14"/>
      <c r="K505" s="12"/>
    </row>
    <row r="506" ht="19.5" customHeight="1">
      <c r="A506" s="12"/>
      <c r="C506" s="12"/>
      <c r="D506" s="87"/>
      <c r="F506" s="14"/>
      <c r="G506" s="14"/>
      <c r="H506" s="14"/>
      <c r="I506" s="14"/>
      <c r="J506" s="14"/>
      <c r="K506" s="12"/>
    </row>
    <row r="507" ht="19.5" customHeight="1">
      <c r="A507" s="12"/>
      <c r="C507" s="12"/>
      <c r="D507" s="87"/>
      <c r="F507" s="14"/>
      <c r="G507" s="14"/>
      <c r="H507" s="14"/>
      <c r="I507" s="14"/>
      <c r="J507" s="14"/>
      <c r="K507" s="12"/>
    </row>
    <row r="508" ht="19.5" customHeight="1">
      <c r="A508" s="12"/>
      <c r="C508" s="12"/>
      <c r="D508" s="87"/>
      <c r="F508" s="14"/>
      <c r="G508" s="14"/>
      <c r="H508" s="14"/>
      <c r="I508" s="14"/>
      <c r="J508" s="14"/>
      <c r="K508" s="12"/>
    </row>
    <row r="509" ht="19.5" customHeight="1">
      <c r="A509" s="12"/>
      <c r="C509" s="12"/>
      <c r="D509" s="87"/>
      <c r="F509" s="14"/>
      <c r="G509" s="14"/>
      <c r="H509" s="14"/>
      <c r="I509" s="14"/>
      <c r="J509" s="14"/>
      <c r="K509" s="12"/>
    </row>
    <row r="510" ht="19.5" customHeight="1">
      <c r="A510" s="12"/>
      <c r="C510" s="12"/>
      <c r="D510" s="87"/>
      <c r="F510" s="14"/>
      <c r="G510" s="14"/>
      <c r="H510" s="14"/>
      <c r="I510" s="14"/>
      <c r="J510" s="14"/>
      <c r="K510" s="12"/>
    </row>
    <row r="511" ht="19.5" customHeight="1">
      <c r="A511" s="12"/>
      <c r="C511" s="12"/>
      <c r="D511" s="87"/>
      <c r="F511" s="14"/>
      <c r="G511" s="14"/>
      <c r="H511" s="14"/>
      <c r="I511" s="14"/>
      <c r="J511" s="14"/>
      <c r="K511" s="12"/>
    </row>
    <row r="512" ht="19.5" customHeight="1">
      <c r="A512" s="12"/>
      <c r="C512" s="12"/>
      <c r="D512" s="87"/>
      <c r="F512" s="14"/>
      <c r="G512" s="14"/>
      <c r="H512" s="14"/>
      <c r="I512" s="14"/>
      <c r="J512" s="14"/>
      <c r="K512" s="12"/>
    </row>
    <row r="513" ht="19.5" customHeight="1">
      <c r="A513" s="12"/>
      <c r="C513" s="12"/>
      <c r="D513" s="87"/>
      <c r="F513" s="14"/>
      <c r="G513" s="14"/>
      <c r="H513" s="14"/>
      <c r="I513" s="14"/>
      <c r="J513" s="14"/>
      <c r="K513" s="12"/>
    </row>
    <row r="514" ht="19.5" customHeight="1">
      <c r="A514" s="12"/>
      <c r="C514" s="12"/>
      <c r="D514" s="87"/>
      <c r="F514" s="14"/>
      <c r="G514" s="14"/>
      <c r="H514" s="14"/>
      <c r="I514" s="14"/>
      <c r="J514" s="14"/>
      <c r="K514" s="12"/>
    </row>
    <row r="515" ht="19.5" customHeight="1">
      <c r="A515" s="12"/>
      <c r="C515" s="12"/>
      <c r="D515" s="87"/>
      <c r="F515" s="14"/>
      <c r="G515" s="14"/>
      <c r="H515" s="14"/>
      <c r="I515" s="14"/>
      <c r="J515" s="14"/>
      <c r="K515" s="12"/>
    </row>
    <row r="516" ht="19.5" customHeight="1">
      <c r="A516" s="12"/>
      <c r="C516" s="12"/>
      <c r="D516" s="87"/>
      <c r="F516" s="14"/>
      <c r="G516" s="14"/>
      <c r="H516" s="14"/>
      <c r="I516" s="14"/>
      <c r="J516" s="14"/>
      <c r="K516" s="12"/>
    </row>
    <row r="517" ht="19.5" customHeight="1">
      <c r="A517" s="12"/>
      <c r="C517" s="12"/>
      <c r="D517" s="87"/>
      <c r="F517" s="14"/>
      <c r="G517" s="14"/>
      <c r="H517" s="14"/>
      <c r="I517" s="14"/>
      <c r="J517" s="14"/>
      <c r="K517" s="12"/>
    </row>
    <row r="518" ht="19.5" customHeight="1">
      <c r="A518" s="12"/>
      <c r="C518" s="12"/>
      <c r="D518" s="87"/>
      <c r="F518" s="14"/>
      <c r="G518" s="14"/>
      <c r="H518" s="14"/>
      <c r="I518" s="14"/>
      <c r="J518" s="14"/>
      <c r="K518" s="12"/>
    </row>
    <row r="519" ht="19.5" customHeight="1">
      <c r="A519" s="12"/>
      <c r="C519" s="12"/>
      <c r="D519" s="87"/>
      <c r="F519" s="14"/>
      <c r="G519" s="14"/>
      <c r="H519" s="14"/>
      <c r="I519" s="14"/>
      <c r="J519" s="14"/>
      <c r="K519" s="12"/>
    </row>
    <row r="520" ht="19.5" customHeight="1">
      <c r="A520" s="12"/>
      <c r="C520" s="12"/>
      <c r="D520" s="87"/>
      <c r="F520" s="14"/>
      <c r="G520" s="14"/>
      <c r="H520" s="14"/>
      <c r="I520" s="14"/>
      <c r="J520" s="14"/>
      <c r="K520" s="12"/>
    </row>
    <row r="521" ht="19.5" customHeight="1">
      <c r="A521" s="12"/>
      <c r="C521" s="12"/>
      <c r="D521" s="87"/>
      <c r="F521" s="14"/>
      <c r="G521" s="14"/>
      <c r="H521" s="14"/>
      <c r="I521" s="14"/>
      <c r="J521" s="14"/>
      <c r="K521" s="12"/>
    </row>
    <row r="522" ht="19.5" customHeight="1">
      <c r="A522" s="12"/>
      <c r="C522" s="12"/>
      <c r="D522" s="87"/>
      <c r="F522" s="14"/>
      <c r="G522" s="14"/>
      <c r="H522" s="14"/>
      <c r="I522" s="14"/>
      <c r="J522" s="14"/>
      <c r="K522" s="12"/>
    </row>
    <row r="523" ht="19.5" customHeight="1">
      <c r="A523" s="12"/>
      <c r="C523" s="12"/>
      <c r="D523" s="87"/>
      <c r="F523" s="14"/>
      <c r="G523" s="14"/>
      <c r="H523" s="14"/>
      <c r="I523" s="14"/>
      <c r="J523" s="14"/>
      <c r="K523" s="12"/>
    </row>
    <row r="524" ht="19.5" customHeight="1">
      <c r="A524" s="12"/>
      <c r="C524" s="12"/>
      <c r="D524" s="87"/>
      <c r="F524" s="14"/>
      <c r="G524" s="14"/>
      <c r="H524" s="14"/>
      <c r="I524" s="14"/>
      <c r="J524" s="14"/>
      <c r="K524" s="12"/>
    </row>
    <row r="525" ht="19.5" customHeight="1">
      <c r="A525" s="12"/>
      <c r="C525" s="12"/>
      <c r="D525" s="87"/>
      <c r="F525" s="14"/>
      <c r="G525" s="14"/>
      <c r="H525" s="14"/>
      <c r="I525" s="14"/>
      <c r="J525" s="14"/>
      <c r="K525" s="12"/>
    </row>
    <row r="526" ht="19.5" customHeight="1">
      <c r="A526" s="12"/>
      <c r="C526" s="12"/>
      <c r="D526" s="87"/>
      <c r="F526" s="14"/>
      <c r="G526" s="14"/>
      <c r="H526" s="14"/>
      <c r="I526" s="14"/>
      <c r="J526" s="14"/>
      <c r="K526" s="12"/>
    </row>
    <row r="527" ht="19.5" customHeight="1">
      <c r="A527" s="12"/>
      <c r="C527" s="12"/>
      <c r="D527" s="87"/>
      <c r="F527" s="14"/>
      <c r="G527" s="14"/>
      <c r="H527" s="14"/>
      <c r="I527" s="14"/>
      <c r="J527" s="14"/>
      <c r="K527" s="12"/>
    </row>
    <row r="528" ht="19.5" customHeight="1">
      <c r="A528" s="12"/>
      <c r="C528" s="12"/>
      <c r="D528" s="87"/>
      <c r="F528" s="14"/>
      <c r="G528" s="14"/>
      <c r="H528" s="14"/>
      <c r="I528" s="14"/>
      <c r="J528" s="14"/>
      <c r="K528" s="12"/>
    </row>
    <row r="529" ht="19.5" customHeight="1">
      <c r="A529" s="12"/>
      <c r="C529" s="12"/>
      <c r="D529" s="87"/>
      <c r="F529" s="14"/>
      <c r="G529" s="14"/>
      <c r="H529" s="14"/>
      <c r="I529" s="14"/>
      <c r="J529" s="14"/>
      <c r="K529" s="12"/>
    </row>
    <row r="530" ht="19.5" customHeight="1">
      <c r="A530" s="12"/>
      <c r="C530" s="12"/>
      <c r="D530" s="87"/>
      <c r="F530" s="14"/>
      <c r="G530" s="14"/>
      <c r="H530" s="14"/>
      <c r="I530" s="14"/>
      <c r="J530" s="14"/>
      <c r="K530" s="12"/>
    </row>
    <row r="531" ht="19.5" customHeight="1">
      <c r="A531" s="12"/>
      <c r="C531" s="12"/>
      <c r="D531" s="87"/>
      <c r="F531" s="14"/>
      <c r="G531" s="14"/>
      <c r="H531" s="14"/>
      <c r="I531" s="14"/>
      <c r="J531" s="14"/>
      <c r="K531" s="12"/>
    </row>
    <row r="532" ht="19.5" customHeight="1">
      <c r="A532" s="12"/>
      <c r="C532" s="12"/>
      <c r="D532" s="87"/>
      <c r="F532" s="14"/>
      <c r="G532" s="14"/>
      <c r="H532" s="14"/>
      <c r="I532" s="14"/>
      <c r="J532" s="14"/>
      <c r="K532" s="12"/>
    </row>
    <row r="533" ht="19.5" customHeight="1">
      <c r="A533" s="12"/>
      <c r="C533" s="12"/>
      <c r="D533" s="87"/>
      <c r="F533" s="14"/>
      <c r="G533" s="14"/>
      <c r="H533" s="14"/>
      <c r="I533" s="14"/>
      <c r="J533" s="14"/>
      <c r="K533" s="12"/>
    </row>
    <row r="534" ht="19.5" customHeight="1">
      <c r="A534" s="12"/>
      <c r="C534" s="12"/>
      <c r="D534" s="87"/>
      <c r="F534" s="14"/>
      <c r="G534" s="14"/>
      <c r="H534" s="14"/>
      <c r="I534" s="14"/>
      <c r="J534" s="14"/>
      <c r="K534" s="12"/>
    </row>
    <row r="535" ht="19.5" customHeight="1">
      <c r="A535" s="12"/>
      <c r="C535" s="12"/>
      <c r="D535" s="87"/>
      <c r="F535" s="14"/>
      <c r="G535" s="14"/>
      <c r="H535" s="14"/>
      <c r="I535" s="14"/>
      <c r="J535" s="14"/>
      <c r="K535" s="12"/>
    </row>
    <row r="536" ht="19.5" customHeight="1">
      <c r="A536" s="12"/>
      <c r="C536" s="12"/>
      <c r="D536" s="87"/>
      <c r="F536" s="14"/>
      <c r="G536" s="14"/>
      <c r="H536" s="14"/>
      <c r="I536" s="14"/>
      <c r="J536" s="14"/>
      <c r="K536" s="12"/>
    </row>
    <row r="537" ht="19.5" customHeight="1">
      <c r="A537" s="12"/>
      <c r="C537" s="12"/>
      <c r="D537" s="87"/>
      <c r="F537" s="14"/>
      <c r="G537" s="14"/>
      <c r="H537" s="14"/>
      <c r="I537" s="14"/>
      <c r="J537" s="14"/>
      <c r="K537" s="12"/>
    </row>
    <row r="538" ht="19.5" customHeight="1">
      <c r="A538" s="12"/>
      <c r="C538" s="12"/>
      <c r="D538" s="87"/>
      <c r="F538" s="14"/>
      <c r="G538" s="14"/>
      <c r="H538" s="14"/>
      <c r="I538" s="14"/>
      <c r="J538" s="14"/>
      <c r="K538" s="12"/>
    </row>
    <row r="539" ht="19.5" customHeight="1">
      <c r="A539" s="12"/>
      <c r="C539" s="12"/>
      <c r="D539" s="87"/>
      <c r="F539" s="14"/>
      <c r="G539" s="14"/>
      <c r="H539" s="14"/>
      <c r="I539" s="14"/>
      <c r="J539" s="14"/>
      <c r="K539" s="12"/>
    </row>
    <row r="540" ht="19.5" customHeight="1">
      <c r="A540" s="12"/>
      <c r="C540" s="12"/>
      <c r="D540" s="87"/>
      <c r="F540" s="14"/>
      <c r="G540" s="14"/>
      <c r="H540" s="14"/>
      <c r="I540" s="14"/>
      <c r="J540" s="14"/>
      <c r="K540" s="12"/>
    </row>
    <row r="541" ht="19.5" customHeight="1">
      <c r="A541" s="12"/>
      <c r="C541" s="12"/>
      <c r="D541" s="87"/>
      <c r="F541" s="14"/>
      <c r="G541" s="14"/>
      <c r="H541" s="14"/>
      <c r="I541" s="14"/>
      <c r="J541" s="14"/>
      <c r="K541" s="12"/>
    </row>
    <row r="542" ht="19.5" customHeight="1">
      <c r="A542" s="12"/>
      <c r="C542" s="12"/>
      <c r="D542" s="87"/>
      <c r="F542" s="14"/>
      <c r="G542" s="14"/>
      <c r="H542" s="14"/>
      <c r="I542" s="14"/>
      <c r="J542" s="14"/>
      <c r="K542" s="12"/>
    </row>
    <row r="543" ht="19.5" customHeight="1">
      <c r="A543" s="12"/>
      <c r="C543" s="12"/>
      <c r="D543" s="87"/>
      <c r="F543" s="14"/>
      <c r="G543" s="14"/>
      <c r="H543" s="14"/>
      <c r="I543" s="14"/>
      <c r="J543" s="14"/>
      <c r="K543" s="12"/>
    </row>
    <row r="544" ht="19.5" customHeight="1">
      <c r="A544" s="12"/>
      <c r="C544" s="12"/>
      <c r="D544" s="87"/>
      <c r="F544" s="14"/>
      <c r="G544" s="14"/>
      <c r="H544" s="14"/>
      <c r="I544" s="14"/>
      <c r="J544" s="14"/>
      <c r="K544" s="12"/>
    </row>
    <row r="545" ht="19.5" customHeight="1">
      <c r="A545" s="12"/>
      <c r="C545" s="12"/>
      <c r="D545" s="87"/>
      <c r="F545" s="14"/>
      <c r="G545" s="14"/>
      <c r="H545" s="14"/>
      <c r="I545" s="14"/>
      <c r="J545" s="14"/>
      <c r="K545" s="12"/>
    </row>
    <row r="546" ht="19.5" customHeight="1">
      <c r="A546" s="12"/>
      <c r="C546" s="12"/>
      <c r="D546" s="87"/>
      <c r="F546" s="14"/>
      <c r="G546" s="14"/>
      <c r="H546" s="14"/>
      <c r="I546" s="14"/>
      <c r="J546" s="14"/>
      <c r="K546" s="12"/>
    </row>
    <row r="547" ht="19.5" customHeight="1">
      <c r="A547" s="12"/>
      <c r="C547" s="12"/>
      <c r="D547" s="87"/>
      <c r="F547" s="14"/>
      <c r="G547" s="14"/>
      <c r="H547" s="14"/>
      <c r="I547" s="14"/>
      <c r="J547" s="14"/>
      <c r="K547" s="12"/>
    </row>
    <row r="548" ht="19.5" customHeight="1">
      <c r="A548" s="12"/>
      <c r="C548" s="12"/>
      <c r="D548" s="87"/>
      <c r="F548" s="14"/>
      <c r="G548" s="14"/>
      <c r="H548" s="14"/>
      <c r="I548" s="14"/>
      <c r="J548" s="14"/>
      <c r="K548" s="12"/>
    </row>
    <row r="549" ht="19.5" customHeight="1">
      <c r="A549" s="12"/>
      <c r="C549" s="12"/>
      <c r="D549" s="87"/>
      <c r="F549" s="14"/>
      <c r="G549" s="14"/>
      <c r="H549" s="14"/>
      <c r="I549" s="14"/>
      <c r="J549" s="14"/>
      <c r="K549" s="12"/>
    </row>
    <row r="550" ht="19.5" customHeight="1">
      <c r="A550" s="12"/>
      <c r="C550" s="12"/>
      <c r="D550" s="87"/>
      <c r="F550" s="14"/>
      <c r="G550" s="14"/>
      <c r="H550" s="14"/>
      <c r="I550" s="14"/>
      <c r="J550" s="14"/>
      <c r="K550" s="12"/>
    </row>
    <row r="551" ht="19.5" customHeight="1">
      <c r="A551" s="12"/>
      <c r="C551" s="12"/>
      <c r="D551" s="87"/>
      <c r="F551" s="14"/>
      <c r="G551" s="14"/>
      <c r="H551" s="14"/>
      <c r="I551" s="14"/>
      <c r="J551" s="14"/>
      <c r="K551" s="12"/>
    </row>
    <row r="552" ht="19.5" customHeight="1">
      <c r="A552" s="12"/>
      <c r="C552" s="12"/>
      <c r="D552" s="87"/>
      <c r="F552" s="14"/>
      <c r="G552" s="14"/>
      <c r="H552" s="14"/>
      <c r="I552" s="14"/>
      <c r="J552" s="14"/>
      <c r="K552" s="12"/>
    </row>
    <row r="553" ht="19.5" customHeight="1">
      <c r="A553" s="12"/>
      <c r="C553" s="12"/>
      <c r="D553" s="87"/>
      <c r="F553" s="14"/>
      <c r="G553" s="14"/>
      <c r="H553" s="14"/>
      <c r="I553" s="14"/>
      <c r="J553" s="14"/>
      <c r="K553" s="12"/>
    </row>
    <row r="554" ht="19.5" customHeight="1">
      <c r="A554" s="12"/>
      <c r="C554" s="12"/>
      <c r="D554" s="87"/>
      <c r="F554" s="14"/>
      <c r="G554" s="14"/>
      <c r="H554" s="14"/>
      <c r="I554" s="14"/>
      <c r="J554" s="14"/>
      <c r="K554" s="12"/>
    </row>
    <row r="555" ht="19.5" customHeight="1">
      <c r="A555" s="12"/>
      <c r="C555" s="12"/>
      <c r="D555" s="87"/>
      <c r="F555" s="14"/>
      <c r="G555" s="14"/>
      <c r="H555" s="14"/>
      <c r="I555" s="14"/>
      <c r="J555" s="14"/>
      <c r="K555" s="12"/>
    </row>
    <row r="556" ht="19.5" customHeight="1">
      <c r="A556" s="12"/>
      <c r="C556" s="12"/>
      <c r="D556" s="87"/>
      <c r="F556" s="14"/>
      <c r="G556" s="14"/>
      <c r="H556" s="14"/>
      <c r="I556" s="14"/>
      <c r="J556" s="14"/>
      <c r="K556" s="12"/>
    </row>
    <row r="557" ht="19.5" customHeight="1">
      <c r="A557" s="12"/>
      <c r="C557" s="12"/>
      <c r="D557" s="87"/>
      <c r="F557" s="14"/>
      <c r="G557" s="14"/>
      <c r="H557" s="14"/>
      <c r="I557" s="14"/>
      <c r="J557" s="14"/>
      <c r="K557" s="12"/>
    </row>
    <row r="558" ht="19.5" customHeight="1">
      <c r="A558" s="12"/>
      <c r="C558" s="12"/>
      <c r="D558" s="87"/>
      <c r="F558" s="14"/>
      <c r="G558" s="14"/>
      <c r="H558" s="14"/>
      <c r="I558" s="14"/>
      <c r="J558" s="14"/>
      <c r="K558" s="12"/>
    </row>
    <row r="559" ht="19.5" customHeight="1">
      <c r="A559" s="12"/>
      <c r="C559" s="12"/>
      <c r="D559" s="87"/>
      <c r="F559" s="14"/>
      <c r="G559" s="14"/>
      <c r="H559" s="14"/>
      <c r="I559" s="14"/>
      <c r="J559" s="14"/>
      <c r="K559" s="12"/>
    </row>
    <row r="560" ht="19.5" customHeight="1">
      <c r="A560" s="12"/>
      <c r="C560" s="12"/>
      <c r="D560" s="87"/>
      <c r="F560" s="14"/>
      <c r="G560" s="14"/>
      <c r="H560" s="14"/>
      <c r="I560" s="14"/>
      <c r="J560" s="14"/>
      <c r="K560" s="12"/>
    </row>
    <row r="561" ht="19.5" customHeight="1">
      <c r="A561" s="12"/>
      <c r="C561" s="12"/>
      <c r="D561" s="87"/>
      <c r="F561" s="14"/>
      <c r="G561" s="14"/>
      <c r="H561" s="14"/>
      <c r="I561" s="14"/>
      <c r="J561" s="14"/>
      <c r="K561" s="12"/>
    </row>
    <row r="562" ht="19.5" customHeight="1">
      <c r="A562" s="12"/>
      <c r="C562" s="12"/>
      <c r="D562" s="87"/>
      <c r="F562" s="14"/>
      <c r="G562" s="14"/>
      <c r="H562" s="14"/>
      <c r="I562" s="14"/>
      <c r="J562" s="14"/>
      <c r="K562" s="12"/>
    </row>
    <row r="563" ht="19.5" customHeight="1">
      <c r="A563" s="12"/>
      <c r="C563" s="12"/>
      <c r="D563" s="87"/>
      <c r="F563" s="14"/>
      <c r="G563" s="14"/>
      <c r="H563" s="14"/>
      <c r="I563" s="14"/>
      <c r="J563" s="14"/>
      <c r="K563" s="12"/>
    </row>
    <row r="564" ht="19.5" customHeight="1">
      <c r="A564" s="12"/>
      <c r="C564" s="12"/>
      <c r="D564" s="87"/>
      <c r="F564" s="14"/>
      <c r="G564" s="14"/>
      <c r="H564" s="14"/>
      <c r="I564" s="14"/>
      <c r="J564" s="14"/>
      <c r="K564" s="12"/>
    </row>
    <row r="565" ht="19.5" customHeight="1">
      <c r="A565" s="12"/>
      <c r="C565" s="12"/>
      <c r="D565" s="87"/>
      <c r="F565" s="14"/>
      <c r="G565" s="14"/>
      <c r="H565" s="14"/>
      <c r="I565" s="14"/>
      <c r="J565" s="14"/>
      <c r="K565" s="12"/>
    </row>
    <row r="566" ht="19.5" customHeight="1">
      <c r="A566" s="12"/>
      <c r="C566" s="12"/>
      <c r="D566" s="87"/>
      <c r="F566" s="14"/>
      <c r="G566" s="14"/>
      <c r="H566" s="14"/>
      <c r="I566" s="14"/>
      <c r="J566" s="14"/>
      <c r="K566" s="12"/>
    </row>
    <row r="567" ht="19.5" customHeight="1">
      <c r="A567" s="12"/>
      <c r="C567" s="12"/>
      <c r="D567" s="87"/>
      <c r="F567" s="14"/>
      <c r="G567" s="14"/>
      <c r="H567" s="14"/>
      <c r="I567" s="14"/>
      <c r="J567" s="14"/>
      <c r="K567" s="12"/>
    </row>
    <row r="568" ht="19.5" customHeight="1">
      <c r="A568" s="12"/>
      <c r="C568" s="12"/>
      <c r="D568" s="87"/>
      <c r="F568" s="14"/>
      <c r="G568" s="14"/>
      <c r="H568" s="14"/>
      <c r="I568" s="14"/>
      <c r="J568" s="14"/>
      <c r="K568" s="12"/>
    </row>
    <row r="569" ht="19.5" customHeight="1">
      <c r="A569" s="12"/>
      <c r="C569" s="12"/>
      <c r="D569" s="87"/>
      <c r="F569" s="14"/>
      <c r="G569" s="14"/>
      <c r="H569" s="14"/>
      <c r="I569" s="14"/>
      <c r="J569" s="14"/>
      <c r="K569" s="12"/>
    </row>
    <row r="570" ht="19.5" customHeight="1">
      <c r="A570" s="12"/>
      <c r="C570" s="12"/>
      <c r="D570" s="87"/>
      <c r="F570" s="14"/>
      <c r="G570" s="14"/>
      <c r="H570" s="14"/>
      <c r="I570" s="14"/>
      <c r="J570" s="14"/>
      <c r="K570" s="12"/>
    </row>
    <row r="571" ht="19.5" customHeight="1">
      <c r="A571" s="12"/>
      <c r="C571" s="12"/>
      <c r="D571" s="87"/>
      <c r="F571" s="14"/>
      <c r="G571" s="14"/>
      <c r="H571" s="14"/>
      <c r="I571" s="14"/>
      <c r="J571" s="14"/>
      <c r="K571" s="12"/>
    </row>
    <row r="572" ht="19.5" customHeight="1">
      <c r="A572" s="12"/>
      <c r="C572" s="12"/>
      <c r="D572" s="87"/>
      <c r="F572" s="14"/>
      <c r="G572" s="14"/>
      <c r="H572" s="14"/>
      <c r="I572" s="14"/>
      <c r="J572" s="14"/>
      <c r="K572" s="12"/>
    </row>
    <row r="573" ht="19.5" customHeight="1">
      <c r="A573" s="12"/>
      <c r="C573" s="12"/>
      <c r="D573" s="87"/>
      <c r="F573" s="14"/>
      <c r="G573" s="14"/>
      <c r="H573" s="14"/>
      <c r="I573" s="14"/>
      <c r="J573" s="14"/>
      <c r="K573" s="12"/>
    </row>
    <row r="574" ht="19.5" customHeight="1">
      <c r="A574" s="12"/>
      <c r="C574" s="12"/>
      <c r="D574" s="87"/>
      <c r="F574" s="14"/>
      <c r="G574" s="14"/>
      <c r="H574" s="14"/>
      <c r="I574" s="14"/>
      <c r="J574" s="14"/>
      <c r="K574" s="12"/>
    </row>
    <row r="575" ht="19.5" customHeight="1">
      <c r="A575" s="12"/>
      <c r="C575" s="12"/>
      <c r="D575" s="87"/>
      <c r="F575" s="14"/>
      <c r="G575" s="14"/>
      <c r="H575" s="14"/>
      <c r="I575" s="14"/>
      <c r="J575" s="14"/>
      <c r="K575" s="12"/>
    </row>
    <row r="576" ht="19.5" customHeight="1">
      <c r="A576" s="12"/>
      <c r="C576" s="12"/>
      <c r="D576" s="87"/>
      <c r="F576" s="14"/>
      <c r="G576" s="14"/>
      <c r="H576" s="14"/>
      <c r="I576" s="14"/>
      <c r="J576" s="14"/>
      <c r="K576" s="12"/>
    </row>
    <row r="577" ht="19.5" customHeight="1">
      <c r="A577" s="12"/>
      <c r="C577" s="12"/>
      <c r="D577" s="87"/>
      <c r="F577" s="14"/>
      <c r="G577" s="14"/>
      <c r="H577" s="14"/>
      <c r="I577" s="14"/>
      <c r="J577" s="14"/>
      <c r="K577" s="12"/>
    </row>
    <row r="578" ht="19.5" customHeight="1">
      <c r="A578" s="12"/>
      <c r="C578" s="12"/>
      <c r="D578" s="87"/>
      <c r="F578" s="14"/>
      <c r="G578" s="14"/>
      <c r="H578" s="14"/>
      <c r="I578" s="14"/>
      <c r="J578" s="14"/>
      <c r="K578" s="12"/>
    </row>
    <row r="579" ht="19.5" customHeight="1">
      <c r="A579" s="12"/>
      <c r="C579" s="12"/>
      <c r="D579" s="87"/>
      <c r="F579" s="14"/>
      <c r="G579" s="14"/>
      <c r="H579" s="14"/>
      <c r="I579" s="14"/>
      <c r="J579" s="14"/>
      <c r="K579" s="12"/>
    </row>
    <row r="580" ht="19.5" customHeight="1">
      <c r="A580" s="12"/>
      <c r="C580" s="12"/>
      <c r="D580" s="87"/>
      <c r="F580" s="14"/>
      <c r="G580" s="14"/>
      <c r="H580" s="14"/>
      <c r="I580" s="14"/>
      <c r="J580" s="14"/>
      <c r="K580" s="12"/>
    </row>
    <row r="581" ht="19.5" customHeight="1">
      <c r="A581" s="12"/>
      <c r="C581" s="12"/>
      <c r="D581" s="87"/>
      <c r="F581" s="14"/>
      <c r="G581" s="14"/>
      <c r="H581" s="14"/>
      <c r="I581" s="14"/>
      <c r="J581" s="14"/>
      <c r="K581" s="12"/>
    </row>
    <row r="582" ht="19.5" customHeight="1">
      <c r="A582" s="12"/>
      <c r="C582" s="12"/>
      <c r="D582" s="87"/>
      <c r="F582" s="14"/>
      <c r="G582" s="14"/>
      <c r="H582" s="14"/>
      <c r="I582" s="14"/>
      <c r="J582" s="14"/>
      <c r="K582" s="12"/>
    </row>
    <row r="583" ht="19.5" customHeight="1">
      <c r="A583" s="12"/>
      <c r="C583" s="12"/>
      <c r="D583" s="87"/>
      <c r="F583" s="14"/>
      <c r="G583" s="14"/>
      <c r="H583" s="14"/>
      <c r="I583" s="14"/>
      <c r="J583" s="14"/>
      <c r="K583" s="12"/>
    </row>
    <row r="584" ht="19.5" customHeight="1">
      <c r="A584" s="12"/>
      <c r="C584" s="12"/>
      <c r="D584" s="87"/>
      <c r="F584" s="14"/>
      <c r="G584" s="14"/>
      <c r="H584" s="14"/>
      <c r="I584" s="14"/>
      <c r="J584" s="14"/>
      <c r="K584" s="12"/>
    </row>
    <row r="585" ht="19.5" customHeight="1">
      <c r="A585" s="12"/>
      <c r="C585" s="12"/>
      <c r="D585" s="87"/>
      <c r="F585" s="14"/>
      <c r="G585" s="14"/>
      <c r="H585" s="14"/>
      <c r="I585" s="14"/>
      <c r="J585" s="14"/>
      <c r="K585" s="12"/>
    </row>
    <row r="586" ht="19.5" customHeight="1">
      <c r="A586" s="12"/>
      <c r="C586" s="12"/>
      <c r="D586" s="87"/>
      <c r="F586" s="14"/>
      <c r="G586" s="14"/>
      <c r="H586" s="14"/>
      <c r="I586" s="14"/>
      <c r="J586" s="14"/>
      <c r="K586" s="12"/>
    </row>
    <row r="587" ht="19.5" customHeight="1">
      <c r="A587" s="12"/>
      <c r="C587" s="12"/>
      <c r="D587" s="87"/>
      <c r="F587" s="14"/>
      <c r="G587" s="14"/>
      <c r="H587" s="14"/>
      <c r="I587" s="14"/>
      <c r="J587" s="14"/>
      <c r="K587" s="12"/>
    </row>
    <row r="588" ht="19.5" customHeight="1">
      <c r="A588" s="12"/>
      <c r="C588" s="12"/>
      <c r="D588" s="87"/>
      <c r="F588" s="14"/>
      <c r="G588" s="14"/>
      <c r="H588" s="14"/>
      <c r="I588" s="14"/>
      <c r="J588" s="14"/>
      <c r="K588" s="12"/>
    </row>
    <row r="589" ht="19.5" customHeight="1">
      <c r="A589" s="12"/>
      <c r="C589" s="12"/>
      <c r="D589" s="87"/>
      <c r="F589" s="14"/>
      <c r="G589" s="14"/>
      <c r="H589" s="14"/>
      <c r="I589" s="14"/>
      <c r="J589" s="14"/>
      <c r="K589" s="12"/>
    </row>
    <row r="590" ht="19.5" customHeight="1">
      <c r="A590" s="12"/>
      <c r="C590" s="12"/>
      <c r="D590" s="87"/>
      <c r="F590" s="14"/>
      <c r="G590" s="14"/>
      <c r="H590" s="14"/>
      <c r="I590" s="14"/>
      <c r="J590" s="14"/>
      <c r="K590" s="12"/>
    </row>
    <row r="591" ht="19.5" customHeight="1">
      <c r="A591" s="12"/>
      <c r="C591" s="12"/>
      <c r="D591" s="87"/>
      <c r="F591" s="14"/>
      <c r="G591" s="14"/>
      <c r="H591" s="14"/>
      <c r="I591" s="14"/>
      <c r="J591" s="14"/>
      <c r="K591" s="12"/>
    </row>
    <row r="592" ht="19.5" customHeight="1">
      <c r="A592" s="12"/>
      <c r="C592" s="12"/>
      <c r="D592" s="87"/>
      <c r="F592" s="14"/>
      <c r="G592" s="14"/>
      <c r="H592" s="14"/>
      <c r="I592" s="14"/>
      <c r="J592" s="14"/>
      <c r="K592" s="12"/>
    </row>
    <row r="593" ht="19.5" customHeight="1">
      <c r="A593" s="12"/>
      <c r="C593" s="12"/>
      <c r="D593" s="87"/>
      <c r="F593" s="14"/>
      <c r="G593" s="14"/>
      <c r="H593" s="14"/>
      <c r="I593" s="14"/>
      <c r="J593" s="14"/>
      <c r="K593" s="12"/>
    </row>
    <row r="594" ht="19.5" customHeight="1">
      <c r="A594" s="12"/>
      <c r="C594" s="12"/>
      <c r="D594" s="87"/>
      <c r="F594" s="14"/>
      <c r="G594" s="14"/>
      <c r="H594" s="14"/>
      <c r="I594" s="14"/>
      <c r="J594" s="14"/>
      <c r="K594" s="12"/>
    </row>
    <row r="595" ht="19.5" customHeight="1">
      <c r="A595" s="12"/>
      <c r="C595" s="12"/>
      <c r="D595" s="87"/>
      <c r="F595" s="14"/>
      <c r="G595" s="14"/>
      <c r="H595" s="14"/>
      <c r="I595" s="14"/>
      <c r="J595" s="14"/>
      <c r="K595" s="12"/>
    </row>
    <row r="596" ht="19.5" customHeight="1">
      <c r="A596" s="12"/>
      <c r="C596" s="12"/>
      <c r="D596" s="87"/>
      <c r="F596" s="14"/>
      <c r="G596" s="14"/>
      <c r="H596" s="14"/>
      <c r="I596" s="14"/>
      <c r="J596" s="14"/>
      <c r="K596" s="12"/>
    </row>
    <row r="597" ht="19.5" customHeight="1">
      <c r="A597" s="12"/>
      <c r="C597" s="12"/>
      <c r="D597" s="87"/>
      <c r="F597" s="14"/>
      <c r="G597" s="14"/>
      <c r="H597" s="14"/>
      <c r="I597" s="14"/>
      <c r="J597" s="14"/>
      <c r="K597" s="12"/>
    </row>
    <row r="598" ht="19.5" customHeight="1">
      <c r="A598" s="12"/>
      <c r="C598" s="12"/>
      <c r="D598" s="87"/>
      <c r="F598" s="14"/>
      <c r="G598" s="14"/>
      <c r="H598" s="14"/>
      <c r="I598" s="14"/>
      <c r="J598" s="14"/>
      <c r="K598" s="12"/>
    </row>
    <row r="599" ht="19.5" customHeight="1">
      <c r="A599" s="12"/>
      <c r="C599" s="12"/>
      <c r="D599" s="87"/>
      <c r="F599" s="14"/>
      <c r="G599" s="14"/>
      <c r="H599" s="14"/>
      <c r="I599" s="14"/>
      <c r="J599" s="14"/>
      <c r="K599" s="12"/>
    </row>
    <row r="600" ht="19.5" customHeight="1">
      <c r="A600" s="12"/>
      <c r="C600" s="12"/>
      <c r="D600" s="87"/>
      <c r="F600" s="14"/>
      <c r="G600" s="14"/>
      <c r="H600" s="14"/>
      <c r="I600" s="14"/>
      <c r="J600" s="14"/>
      <c r="K600" s="12"/>
    </row>
    <row r="601" ht="19.5" customHeight="1">
      <c r="A601" s="12"/>
      <c r="C601" s="12"/>
      <c r="D601" s="87"/>
      <c r="F601" s="14"/>
      <c r="G601" s="14"/>
      <c r="H601" s="14"/>
      <c r="I601" s="14"/>
      <c r="J601" s="14"/>
      <c r="K601" s="12"/>
    </row>
    <row r="602" ht="19.5" customHeight="1">
      <c r="A602" s="12"/>
      <c r="C602" s="12"/>
      <c r="D602" s="87"/>
      <c r="F602" s="14"/>
      <c r="G602" s="14"/>
      <c r="H602" s="14"/>
      <c r="I602" s="14"/>
      <c r="J602" s="14"/>
      <c r="K602" s="12"/>
    </row>
    <row r="603" ht="19.5" customHeight="1">
      <c r="A603" s="12"/>
      <c r="C603" s="12"/>
      <c r="D603" s="87"/>
      <c r="F603" s="14"/>
      <c r="G603" s="14"/>
      <c r="H603" s="14"/>
      <c r="I603" s="14"/>
      <c r="J603" s="14"/>
      <c r="K603" s="12"/>
    </row>
    <row r="604" ht="19.5" customHeight="1">
      <c r="A604" s="12"/>
      <c r="C604" s="12"/>
      <c r="D604" s="87"/>
      <c r="F604" s="14"/>
      <c r="G604" s="14"/>
      <c r="H604" s="14"/>
      <c r="I604" s="14"/>
      <c r="J604" s="14"/>
      <c r="K604" s="12"/>
    </row>
    <row r="605" ht="19.5" customHeight="1">
      <c r="A605" s="12"/>
      <c r="C605" s="12"/>
      <c r="D605" s="87"/>
      <c r="F605" s="14"/>
      <c r="G605" s="14"/>
      <c r="H605" s="14"/>
      <c r="I605" s="14"/>
      <c r="J605" s="14"/>
      <c r="K605" s="12"/>
    </row>
    <row r="606" ht="19.5" customHeight="1">
      <c r="A606" s="12"/>
      <c r="C606" s="12"/>
      <c r="D606" s="87"/>
      <c r="F606" s="14"/>
      <c r="G606" s="14"/>
      <c r="H606" s="14"/>
      <c r="I606" s="14"/>
      <c r="J606" s="14"/>
      <c r="K606" s="12"/>
    </row>
    <row r="607" ht="19.5" customHeight="1">
      <c r="A607" s="12"/>
      <c r="C607" s="12"/>
      <c r="D607" s="87"/>
      <c r="F607" s="14"/>
      <c r="G607" s="14"/>
      <c r="H607" s="14"/>
      <c r="I607" s="14"/>
      <c r="J607" s="14"/>
      <c r="K607" s="12"/>
    </row>
    <row r="608" ht="19.5" customHeight="1">
      <c r="A608" s="12"/>
      <c r="C608" s="12"/>
      <c r="D608" s="87"/>
      <c r="F608" s="14"/>
      <c r="G608" s="14"/>
      <c r="H608" s="14"/>
      <c r="I608" s="14"/>
      <c r="J608" s="14"/>
      <c r="K608" s="12"/>
    </row>
    <row r="609" ht="19.5" customHeight="1">
      <c r="A609" s="12"/>
      <c r="C609" s="12"/>
      <c r="D609" s="87"/>
      <c r="F609" s="14"/>
      <c r="G609" s="14"/>
      <c r="H609" s="14"/>
      <c r="I609" s="14"/>
      <c r="J609" s="14"/>
      <c r="K609" s="12"/>
    </row>
    <row r="610" ht="19.5" customHeight="1">
      <c r="A610" s="12"/>
      <c r="C610" s="12"/>
      <c r="D610" s="87"/>
      <c r="F610" s="14"/>
      <c r="G610" s="14"/>
      <c r="H610" s="14"/>
      <c r="I610" s="14"/>
      <c r="J610" s="14"/>
      <c r="K610" s="12"/>
    </row>
    <row r="611" ht="19.5" customHeight="1">
      <c r="A611" s="12"/>
      <c r="C611" s="12"/>
      <c r="D611" s="87"/>
      <c r="F611" s="14"/>
      <c r="G611" s="14"/>
      <c r="H611" s="14"/>
      <c r="I611" s="14"/>
      <c r="J611" s="14"/>
      <c r="K611" s="12"/>
    </row>
    <row r="612" ht="19.5" customHeight="1">
      <c r="A612" s="12"/>
      <c r="C612" s="12"/>
      <c r="D612" s="87"/>
      <c r="F612" s="14"/>
      <c r="G612" s="14"/>
      <c r="H612" s="14"/>
      <c r="I612" s="14"/>
      <c r="J612" s="14"/>
      <c r="K612" s="12"/>
    </row>
    <row r="613" ht="19.5" customHeight="1">
      <c r="A613" s="12"/>
      <c r="C613" s="12"/>
      <c r="D613" s="87"/>
      <c r="F613" s="14"/>
      <c r="G613" s="14"/>
      <c r="H613" s="14"/>
      <c r="I613" s="14"/>
      <c r="J613" s="14"/>
      <c r="K613" s="12"/>
    </row>
    <row r="614" ht="19.5" customHeight="1">
      <c r="A614" s="12"/>
      <c r="C614" s="12"/>
      <c r="D614" s="87"/>
      <c r="F614" s="14"/>
      <c r="G614" s="14"/>
      <c r="H614" s="14"/>
      <c r="I614" s="14"/>
      <c r="J614" s="14"/>
      <c r="K614" s="12"/>
    </row>
    <row r="615" ht="19.5" customHeight="1">
      <c r="A615" s="12"/>
      <c r="C615" s="12"/>
      <c r="D615" s="87"/>
      <c r="F615" s="14"/>
      <c r="G615" s="14"/>
      <c r="H615" s="14"/>
      <c r="I615" s="14"/>
      <c r="J615" s="14"/>
      <c r="K615" s="12"/>
    </row>
    <row r="616" ht="19.5" customHeight="1">
      <c r="A616" s="12"/>
      <c r="C616" s="12"/>
      <c r="D616" s="87"/>
      <c r="F616" s="14"/>
      <c r="G616" s="14"/>
      <c r="H616" s="14"/>
      <c r="I616" s="14"/>
      <c r="J616" s="14"/>
      <c r="K616" s="12"/>
    </row>
    <row r="617" ht="19.5" customHeight="1">
      <c r="A617" s="12"/>
      <c r="C617" s="12"/>
      <c r="D617" s="87"/>
      <c r="F617" s="14"/>
      <c r="G617" s="14"/>
      <c r="H617" s="14"/>
      <c r="I617" s="14"/>
      <c r="J617" s="14"/>
      <c r="K617" s="12"/>
    </row>
    <row r="618" ht="19.5" customHeight="1">
      <c r="A618" s="12"/>
      <c r="C618" s="12"/>
      <c r="D618" s="87"/>
      <c r="F618" s="14"/>
      <c r="G618" s="14"/>
      <c r="H618" s="14"/>
      <c r="I618" s="14"/>
      <c r="J618" s="14"/>
      <c r="K618" s="12"/>
    </row>
    <row r="619" ht="19.5" customHeight="1">
      <c r="A619" s="12"/>
      <c r="C619" s="12"/>
      <c r="D619" s="87"/>
      <c r="F619" s="14"/>
      <c r="G619" s="14"/>
      <c r="H619" s="14"/>
      <c r="I619" s="14"/>
      <c r="J619" s="14"/>
      <c r="K619" s="12"/>
    </row>
    <row r="620" ht="19.5" customHeight="1">
      <c r="A620" s="12"/>
      <c r="C620" s="12"/>
      <c r="D620" s="87"/>
      <c r="F620" s="14"/>
      <c r="G620" s="14"/>
      <c r="H620" s="14"/>
      <c r="I620" s="14"/>
      <c r="J620" s="14"/>
      <c r="K620" s="12"/>
    </row>
    <row r="621" ht="19.5" customHeight="1">
      <c r="A621" s="12"/>
      <c r="C621" s="12"/>
      <c r="D621" s="87"/>
      <c r="F621" s="14"/>
      <c r="G621" s="14"/>
      <c r="H621" s="14"/>
      <c r="I621" s="14"/>
      <c r="J621" s="14"/>
      <c r="K621" s="12"/>
    </row>
    <row r="622" ht="19.5" customHeight="1">
      <c r="A622" s="12"/>
      <c r="C622" s="12"/>
      <c r="D622" s="87"/>
      <c r="F622" s="14"/>
      <c r="G622" s="14"/>
      <c r="H622" s="14"/>
      <c r="I622" s="14"/>
      <c r="J622" s="14"/>
      <c r="K622" s="12"/>
    </row>
    <row r="623" ht="19.5" customHeight="1">
      <c r="A623" s="12"/>
      <c r="C623" s="12"/>
      <c r="D623" s="87"/>
      <c r="F623" s="14"/>
      <c r="G623" s="14"/>
      <c r="H623" s="14"/>
      <c r="I623" s="14"/>
      <c r="J623" s="14"/>
      <c r="K623" s="12"/>
    </row>
    <row r="624" ht="19.5" customHeight="1">
      <c r="A624" s="12"/>
      <c r="C624" s="12"/>
      <c r="D624" s="87"/>
      <c r="F624" s="14"/>
      <c r="G624" s="14"/>
      <c r="H624" s="14"/>
      <c r="I624" s="14"/>
      <c r="J624" s="14"/>
      <c r="K624" s="12"/>
    </row>
    <row r="625" ht="19.5" customHeight="1">
      <c r="A625" s="12"/>
      <c r="C625" s="12"/>
      <c r="D625" s="87"/>
      <c r="F625" s="14"/>
      <c r="G625" s="14"/>
      <c r="H625" s="14"/>
      <c r="I625" s="14"/>
      <c r="J625" s="14"/>
      <c r="K625" s="12"/>
    </row>
    <row r="626" ht="19.5" customHeight="1">
      <c r="A626" s="12"/>
      <c r="C626" s="12"/>
      <c r="D626" s="87"/>
      <c r="F626" s="14"/>
      <c r="G626" s="14"/>
      <c r="H626" s="14"/>
      <c r="I626" s="14"/>
      <c r="J626" s="14"/>
      <c r="K626" s="12"/>
    </row>
    <row r="627" ht="19.5" customHeight="1">
      <c r="A627" s="12"/>
      <c r="C627" s="12"/>
      <c r="D627" s="87"/>
      <c r="F627" s="14"/>
      <c r="G627" s="14"/>
      <c r="H627" s="14"/>
      <c r="I627" s="14"/>
      <c r="J627" s="14"/>
      <c r="K627" s="12"/>
    </row>
    <row r="628" ht="19.5" customHeight="1">
      <c r="A628" s="12"/>
      <c r="C628" s="12"/>
      <c r="D628" s="87"/>
      <c r="F628" s="14"/>
      <c r="G628" s="14"/>
      <c r="H628" s="14"/>
      <c r="I628" s="14"/>
      <c r="J628" s="14"/>
      <c r="K628" s="12"/>
    </row>
    <row r="629" ht="19.5" customHeight="1">
      <c r="A629" s="12"/>
      <c r="C629" s="12"/>
      <c r="D629" s="87"/>
      <c r="F629" s="14"/>
      <c r="G629" s="14"/>
      <c r="H629" s="14"/>
      <c r="I629" s="14"/>
      <c r="J629" s="14"/>
      <c r="K629" s="12"/>
    </row>
    <row r="630" ht="19.5" customHeight="1">
      <c r="A630" s="12"/>
      <c r="C630" s="12"/>
      <c r="D630" s="87"/>
      <c r="F630" s="14"/>
      <c r="G630" s="14"/>
      <c r="H630" s="14"/>
      <c r="I630" s="14"/>
      <c r="J630" s="14"/>
      <c r="K630" s="12"/>
    </row>
    <row r="631" ht="19.5" customHeight="1">
      <c r="A631" s="12"/>
      <c r="C631" s="12"/>
      <c r="D631" s="87"/>
      <c r="F631" s="14"/>
      <c r="G631" s="14"/>
      <c r="H631" s="14"/>
      <c r="I631" s="14"/>
      <c r="J631" s="14"/>
      <c r="K631" s="12"/>
    </row>
    <row r="632" ht="19.5" customHeight="1">
      <c r="A632" s="12"/>
      <c r="C632" s="12"/>
      <c r="D632" s="87"/>
      <c r="F632" s="14"/>
      <c r="G632" s="14"/>
      <c r="H632" s="14"/>
      <c r="I632" s="14"/>
      <c r="J632" s="14"/>
      <c r="K632" s="12"/>
    </row>
    <row r="633" ht="19.5" customHeight="1">
      <c r="A633" s="12"/>
      <c r="C633" s="12"/>
      <c r="D633" s="87"/>
      <c r="F633" s="14"/>
      <c r="G633" s="14"/>
      <c r="H633" s="14"/>
      <c r="I633" s="14"/>
      <c r="J633" s="14"/>
      <c r="K633" s="12"/>
    </row>
    <row r="634" ht="19.5" customHeight="1">
      <c r="A634" s="12"/>
      <c r="C634" s="12"/>
      <c r="D634" s="87"/>
      <c r="F634" s="14"/>
      <c r="G634" s="14"/>
      <c r="H634" s="14"/>
      <c r="I634" s="14"/>
      <c r="J634" s="14"/>
      <c r="K634" s="12"/>
    </row>
    <row r="635" ht="19.5" customHeight="1">
      <c r="A635" s="12"/>
      <c r="C635" s="12"/>
      <c r="D635" s="87"/>
      <c r="F635" s="14"/>
      <c r="G635" s="14"/>
      <c r="H635" s="14"/>
      <c r="I635" s="14"/>
      <c r="J635" s="14"/>
      <c r="K635" s="12"/>
    </row>
    <row r="636" ht="19.5" customHeight="1">
      <c r="A636" s="12"/>
      <c r="C636" s="12"/>
      <c r="D636" s="87"/>
      <c r="F636" s="14"/>
      <c r="G636" s="14"/>
      <c r="H636" s="14"/>
      <c r="I636" s="14"/>
      <c r="J636" s="14"/>
      <c r="K636" s="12"/>
    </row>
    <row r="637" ht="19.5" customHeight="1">
      <c r="A637" s="12"/>
      <c r="C637" s="12"/>
      <c r="D637" s="87"/>
      <c r="F637" s="14"/>
      <c r="G637" s="14"/>
      <c r="H637" s="14"/>
      <c r="I637" s="14"/>
      <c r="J637" s="14"/>
      <c r="K637" s="12"/>
    </row>
    <row r="638" ht="19.5" customHeight="1">
      <c r="A638" s="12"/>
      <c r="C638" s="12"/>
      <c r="D638" s="87"/>
      <c r="F638" s="14"/>
      <c r="G638" s="14"/>
      <c r="H638" s="14"/>
      <c r="I638" s="14"/>
      <c r="J638" s="14"/>
      <c r="K638" s="12"/>
    </row>
    <row r="639" ht="19.5" customHeight="1">
      <c r="A639" s="12"/>
      <c r="C639" s="12"/>
      <c r="D639" s="87"/>
      <c r="F639" s="14"/>
      <c r="G639" s="14"/>
      <c r="H639" s="14"/>
      <c r="I639" s="14"/>
      <c r="J639" s="14"/>
      <c r="K639" s="12"/>
    </row>
    <row r="640" ht="19.5" customHeight="1">
      <c r="A640" s="12"/>
      <c r="C640" s="12"/>
      <c r="D640" s="87"/>
      <c r="F640" s="14"/>
      <c r="G640" s="14"/>
      <c r="H640" s="14"/>
      <c r="I640" s="14"/>
      <c r="J640" s="14"/>
      <c r="K640" s="12"/>
    </row>
    <row r="641" ht="19.5" customHeight="1">
      <c r="A641" s="12"/>
      <c r="C641" s="12"/>
      <c r="D641" s="87"/>
      <c r="F641" s="14"/>
      <c r="G641" s="14"/>
      <c r="H641" s="14"/>
      <c r="I641" s="14"/>
      <c r="J641" s="14"/>
      <c r="K641" s="12"/>
    </row>
    <row r="642" ht="19.5" customHeight="1">
      <c r="A642" s="12"/>
      <c r="C642" s="12"/>
      <c r="D642" s="87"/>
      <c r="F642" s="14"/>
      <c r="G642" s="14"/>
      <c r="H642" s="14"/>
      <c r="I642" s="14"/>
      <c r="J642" s="14"/>
      <c r="K642" s="12"/>
    </row>
    <row r="643" ht="19.5" customHeight="1">
      <c r="A643" s="12"/>
      <c r="C643" s="12"/>
      <c r="D643" s="87"/>
      <c r="F643" s="14"/>
      <c r="G643" s="14"/>
      <c r="H643" s="14"/>
      <c r="I643" s="14"/>
      <c r="J643" s="14"/>
      <c r="K643" s="12"/>
    </row>
    <row r="644" ht="19.5" customHeight="1">
      <c r="A644" s="12"/>
      <c r="C644" s="12"/>
      <c r="D644" s="87"/>
      <c r="F644" s="14"/>
      <c r="G644" s="14"/>
      <c r="H644" s="14"/>
      <c r="I644" s="14"/>
      <c r="J644" s="14"/>
      <c r="K644" s="12"/>
    </row>
    <row r="645" ht="19.5" customHeight="1">
      <c r="A645" s="12"/>
      <c r="C645" s="12"/>
      <c r="D645" s="87"/>
      <c r="F645" s="14"/>
      <c r="G645" s="14"/>
      <c r="H645" s="14"/>
      <c r="I645" s="14"/>
      <c r="J645" s="14"/>
      <c r="K645" s="12"/>
    </row>
    <row r="646" ht="19.5" customHeight="1">
      <c r="A646" s="12"/>
      <c r="C646" s="12"/>
      <c r="D646" s="87"/>
      <c r="F646" s="14"/>
      <c r="G646" s="14"/>
      <c r="H646" s="14"/>
      <c r="I646" s="14"/>
      <c r="J646" s="14"/>
      <c r="K646" s="12"/>
    </row>
    <row r="647" ht="19.5" customHeight="1">
      <c r="A647" s="12"/>
      <c r="C647" s="12"/>
      <c r="D647" s="87"/>
      <c r="F647" s="14"/>
      <c r="G647" s="14"/>
      <c r="H647" s="14"/>
      <c r="I647" s="14"/>
      <c r="J647" s="14"/>
      <c r="K647" s="12"/>
    </row>
    <row r="648" ht="19.5" customHeight="1">
      <c r="A648" s="12"/>
      <c r="C648" s="12"/>
      <c r="D648" s="87"/>
      <c r="F648" s="14"/>
      <c r="G648" s="14"/>
      <c r="H648" s="14"/>
      <c r="I648" s="14"/>
      <c r="J648" s="14"/>
      <c r="K648" s="12"/>
    </row>
    <row r="649" ht="19.5" customHeight="1">
      <c r="A649" s="12"/>
      <c r="C649" s="12"/>
      <c r="D649" s="87"/>
      <c r="F649" s="14"/>
      <c r="G649" s="14"/>
      <c r="H649" s="14"/>
      <c r="I649" s="14"/>
      <c r="J649" s="14"/>
      <c r="K649" s="12"/>
    </row>
    <row r="650" ht="19.5" customHeight="1">
      <c r="A650" s="12"/>
      <c r="C650" s="12"/>
      <c r="D650" s="87"/>
      <c r="F650" s="14"/>
      <c r="G650" s="14"/>
      <c r="H650" s="14"/>
      <c r="I650" s="14"/>
      <c r="J650" s="14"/>
      <c r="K650" s="12"/>
    </row>
    <row r="651" ht="19.5" customHeight="1">
      <c r="A651" s="12"/>
      <c r="C651" s="12"/>
      <c r="D651" s="87"/>
      <c r="F651" s="14"/>
      <c r="G651" s="14"/>
      <c r="H651" s="14"/>
      <c r="I651" s="14"/>
      <c r="J651" s="14"/>
      <c r="K651" s="12"/>
    </row>
    <row r="652" ht="19.5" customHeight="1">
      <c r="A652" s="12"/>
      <c r="C652" s="12"/>
      <c r="D652" s="87"/>
      <c r="F652" s="14"/>
      <c r="G652" s="14"/>
      <c r="H652" s="14"/>
      <c r="I652" s="14"/>
      <c r="J652" s="14"/>
      <c r="K652" s="12"/>
    </row>
    <row r="653" ht="19.5" customHeight="1">
      <c r="A653" s="12"/>
      <c r="C653" s="12"/>
      <c r="D653" s="87"/>
      <c r="F653" s="14"/>
      <c r="G653" s="14"/>
      <c r="H653" s="14"/>
      <c r="I653" s="14"/>
      <c r="J653" s="14"/>
      <c r="K653" s="12"/>
    </row>
    <row r="654" ht="19.5" customHeight="1">
      <c r="A654" s="12"/>
      <c r="C654" s="12"/>
      <c r="D654" s="87"/>
      <c r="F654" s="14"/>
      <c r="G654" s="14"/>
      <c r="H654" s="14"/>
      <c r="I654" s="14"/>
      <c r="J654" s="14"/>
      <c r="K654" s="12"/>
    </row>
    <row r="655" ht="19.5" customHeight="1">
      <c r="A655" s="12"/>
      <c r="C655" s="12"/>
      <c r="D655" s="87"/>
      <c r="F655" s="14"/>
      <c r="G655" s="14"/>
      <c r="H655" s="14"/>
      <c r="I655" s="14"/>
      <c r="J655" s="14"/>
      <c r="K655" s="12"/>
    </row>
    <row r="656" ht="19.5" customHeight="1">
      <c r="A656" s="12"/>
      <c r="C656" s="12"/>
      <c r="D656" s="87"/>
      <c r="F656" s="14"/>
      <c r="G656" s="14"/>
      <c r="H656" s="14"/>
      <c r="I656" s="14"/>
      <c r="J656" s="14"/>
      <c r="K656" s="12"/>
    </row>
    <row r="657" ht="19.5" customHeight="1">
      <c r="A657" s="12"/>
      <c r="C657" s="12"/>
      <c r="D657" s="87"/>
      <c r="F657" s="14"/>
      <c r="G657" s="14"/>
      <c r="H657" s="14"/>
      <c r="I657" s="14"/>
      <c r="J657" s="14"/>
      <c r="K657" s="12"/>
    </row>
    <row r="658" ht="19.5" customHeight="1">
      <c r="A658" s="12"/>
      <c r="C658" s="12"/>
      <c r="D658" s="87"/>
      <c r="F658" s="14"/>
      <c r="G658" s="14"/>
      <c r="H658" s="14"/>
      <c r="I658" s="14"/>
      <c r="J658" s="14"/>
      <c r="K658" s="12"/>
    </row>
    <row r="659" ht="19.5" customHeight="1">
      <c r="A659" s="12"/>
      <c r="C659" s="12"/>
      <c r="D659" s="87"/>
      <c r="F659" s="14"/>
      <c r="G659" s="14"/>
      <c r="H659" s="14"/>
      <c r="I659" s="14"/>
      <c r="J659" s="14"/>
      <c r="K659" s="12"/>
    </row>
    <row r="660" ht="19.5" customHeight="1">
      <c r="A660" s="12"/>
      <c r="C660" s="12"/>
      <c r="D660" s="87"/>
      <c r="F660" s="14"/>
      <c r="G660" s="14"/>
      <c r="H660" s="14"/>
      <c r="I660" s="14"/>
      <c r="J660" s="14"/>
      <c r="K660" s="12"/>
    </row>
    <row r="661" ht="19.5" customHeight="1">
      <c r="A661" s="12"/>
      <c r="C661" s="12"/>
      <c r="D661" s="87"/>
      <c r="F661" s="14"/>
      <c r="G661" s="14"/>
      <c r="H661" s="14"/>
      <c r="I661" s="14"/>
      <c r="J661" s="14"/>
      <c r="K661" s="12"/>
    </row>
    <row r="662" ht="19.5" customHeight="1">
      <c r="A662" s="12"/>
      <c r="C662" s="12"/>
      <c r="D662" s="87"/>
      <c r="F662" s="14"/>
      <c r="G662" s="14"/>
      <c r="H662" s="14"/>
      <c r="I662" s="14"/>
      <c r="J662" s="14"/>
      <c r="K662" s="12"/>
    </row>
    <row r="663" ht="19.5" customHeight="1">
      <c r="A663" s="12"/>
      <c r="C663" s="12"/>
      <c r="D663" s="87"/>
      <c r="F663" s="14"/>
      <c r="G663" s="14"/>
      <c r="H663" s="14"/>
      <c r="I663" s="14"/>
      <c r="J663" s="14"/>
      <c r="K663" s="12"/>
    </row>
    <row r="664" ht="19.5" customHeight="1">
      <c r="A664" s="12"/>
      <c r="C664" s="12"/>
      <c r="D664" s="87"/>
      <c r="F664" s="14"/>
      <c r="G664" s="14"/>
      <c r="H664" s="14"/>
      <c r="I664" s="14"/>
      <c r="J664" s="14"/>
      <c r="K664" s="12"/>
    </row>
    <row r="665" ht="19.5" customHeight="1">
      <c r="A665" s="12"/>
      <c r="C665" s="12"/>
      <c r="D665" s="87"/>
      <c r="F665" s="14"/>
      <c r="G665" s="14"/>
      <c r="H665" s="14"/>
      <c r="I665" s="14"/>
      <c r="J665" s="14"/>
      <c r="K665" s="12"/>
    </row>
    <row r="666" ht="19.5" customHeight="1">
      <c r="A666" s="12"/>
      <c r="C666" s="12"/>
      <c r="D666" s="87"/>
      <c r="F666" s="14"/>
      <c r="G666" s="14"/>
      <c r="H666" s="14"/>
      <c r="I666" s="14"/>
      <c r="J666" s="14"/>
      <c r="K666" s="12"/>
    </row>
    <row r="667" ht="19.5" customHeight="1">
      <c r="A667" s="12"/>
      <c r="C667" s="12"/>
      <c r="D667" s="87"/>
      <c r="F667" s="14"/>
      <c r="G667" s="14"/>
      <c r="H667" s="14"/>
      <c r="I667" s="14"/>
      <c r="J667" s="14"/>
      <c r="K667" s="12"/>
    </row>
    <row r="668" ht="19.5" customHeight="1">
      <c r="A668" s="12"/>
      <c r="C668" s="12"/>
      <c r="D668" s="87"/>
      <c r="F668" s="14"/>
      <c r="G668" s="14"/>
      <c r="H668" s="14"/>
      <c r="I668" s="14"/>
      <c r="J668" s="14"/>
      <c r="K668" s="12"/>
    </row>
    <row r="669" ht="19.5" customHeight="1">
      <c r="A669" s="12"/>
      <c r="C669" s="12"/>
      <c r="D669" s="87"/>
      <c r="F669" s="14"/>
      <c r="G669" s="14"/>
      <c r="H669" s="14"/>
      <c r="I669" s="14"/>
      <c r="J669" s="14"/>
      <c r="K669" s="12"/>
    </row>
    <row r="670" ht="19.5" customHeight="1">
      <c r="A670" s="12"/>
      <c r="C670" s="12"/>
      <c r="D670" s="87"/>
      <c r="F670" s="14"/>
      <c r="G670" s="14"/>
      <c r="H670" s="14"/>
      <c r="I670" s="14"/>
      <c r="J670" s="14"/>
      <c r="K670" s="12"/>
    </row>
    <row r="671" ht="19.5" customHeight="1">
      <c r="A671" s="12"/>
      <c r="C671" s="12"/>
      <c r="D671" s="87"/>
      <c r="F671" s="14"/>
      <c r="G671" s="14"/>
      <c r="H671" s="14"/>
      <c r="I671" s="14"/>
      <c r="J671" s="14"/>
      <c r="K671" s="12"/>
    </row>
    <row r="672" ht="19.5" customHeight="1">
      <c r="A672" s="12"/>
      <c r="C672" s="12"/>
      <c r="D672" s="87"/>
      <c r="F672" s="14"/>
      <c r="G672" s="14"/>
      <c r="H672" s="14"/>
      <c r="I672" s="14"/>
      <c r="J672" s="14"/>
      <c r="K672" s="12"/>
    </row>
    <row r="673" ht="19.5" customHeight="1">
      <c r="A673" s="12"/>
      <c r="C673" s="12"/>
      <c r="D673" s="87"/>
      <c r="F673" s="14"/>
      <c r="G673" s="14"/>
      <c r="H673" s="14"/>
      <c r="I673" s="14"/>
      <c r="J673" s="14"/>
      <c r="K673" s="12"/>
    </row>
    <row r="674" ht="19.5" customHeight="1">
      <c r="A674" s="12"/>
      <c r="C674" s="12"/>
      <c r="D674" s="87"/>
      <c r="F674" s="14"/>
      <c r="G674" s="14"/>
      <c r="H674" s="14"/>
      <c r="I674" s="14"/>
      <c r="J674" s="14"/>
      <c r="K674" s="12"/>
    </row>
    <row r="675" ht="19.5" customHeight="1">
      <c r="A675" s="12"/>
      <c r="C675" s="12"/>
      <c r="D675" s="87"/>
      <c r="F675" s="14"/>
      <c r="G675" s="14"/>
      <c r="H675" s="14"/>
      <c r="I675" s="14"/>
      <c r="J675" s="14"/>
      <c r="K675" s="12"/>
    </row>
    <row r="676" ht="19.5" customHeight="1">
      <c r="A676" s="12"/>
      <c r="C676" s="12"/>
      <c r="D676" s="87"/>
      <c r="F676" s="14"/>
      <c r="G676" s="14"/>
      <c r="H676" s="14"/>
      <c r="I676" s="14"/>
      <c r="J676" s="14"/>
      <c r="K676" s="12"/>
    </row>
    <row r="677" ht="19.5" customHeight="1">
      <c r="A677" s="12"/>
      <c r="C677" s="12"/>
      <c r="D677" s="87"/>
      <c r="F677" s="14"/>
      <c r="G677" s="14"/>
      <c r="H677" s="14"/>
      <c r="I677" s="14"/>
      <c r="J677" s="14"/>
      <c r="K677" s="12"/>
    </row>
    <row r="678" ht="19.5" customHeight="1">
      <c r="A678" s="12"/>
      <c r="C678" s="12"/>
      <c r="D678" s="87"/>
      <c r="F678" s="14"/>
      <c r="G678" s="14"/>
      <c r="H678" s="14"/>
      <c r="I678" s="14"/>
      <c r="J678" s="14"/>
      <c r="K678" s="12"/>
    </row>
    <row r="679" ht="19.5" customHeight="1">
      <c r="A679" s="12"/>
      <c r="C679" s="12"/>
      <c r="D679" s="87"/>
      <c r="F679" s="14"/>
      <c r="G679" s="14"/>
      <c r="H679" s="14"/>
      <c r="I679" s="14"/>
      <c r="J679" s="14"/>
      <c r="K679" s="12"/>
    </row>
    <row r="680" ht="19.5" customHeight="1">
      <c r="A680" s="12"/>
      <c r="C680" s="12"/>
      <c r="D680" s="87"/>
      <c r="F680" s="14"/>
      <c r="G680" s="14"/>
      <c r="H680" s="14"/>
      <c r="I680" s="14"/>
      <c r="J680" s="14"/>
      <c r="K680" s="12"/>
    </row>
    <row r="681" ht="19.5" customHeight="1">
      <c r="A681" s="12"/>
      <c r="C681" s="12"/>
      <c r="D681" s="87"/>
      <c r="F681" s="14"/>
      <c r="G681" s="14"/>
      <c r="H681" s="14"/>
      <c r="I681" s="14"/>
      <c r="J681" s="14"/>
      <c r="K681" s="12"/>
    </row>
    <row r="682" ht="19.5" customHeight="1">
      <c r="A682" s="12"/>
      <c r="C682" s="12"/>
      <c r="D682" s="87"/>
      <c r="F682" s="14"/>
      <c r="G682" s="14"/>
      <c r="H682" s="14"/>
      <c r="I682" s="14"/>
      <c r="J682" s="14"/>
      <c r="K682" s="12"/>
    </row>
    <row r="683" ht="19.5" customHeight="1">
      <c r="A683" s="12"/>
      <c r="C683" s="12"/>
      <c r="D683" s="87"/>
      <c r="F683" s="14"/>
      <c r="G683" s="14"/>
      <c r="H683" s="14"/>
      <c r="I683" s="14"/>
      <c r="J683" s="14"/>
      <c r="K683" s="12"/>
    </row>
    <row r="684" ht="19.5" customHeight="1">
      <c r="A684" s="12"/>
      <c r="C684" s="12"/>
      <c r="D684" s="87"/>
      <c r="F684" s="14"/>
      <c r="G684" s="14"/>
      <c r="H684" s="14"/>
      <c r="I684" s="14"/>
      <c r="J684" s="14"/>
      <c r="K684" s="12"/>
    </row>
    <row r="685" ht="19.5" customHeight="1">
      <c r="A685" s="12"/>
      <c r="C685" s="12"/>
      <c r="D685" s="87"/>
      <c r="F685" s="14"/>
      <c r="G685" s="14"/>
      <c r="H685" s="14"/>
      <c r="I685" s="14"/>
      <c r="J685" s="14"/>
      <c r="K685" s="12"/>
    </row>
    <row r="686" ht="19.5" customHeight="1">
      <c r="A686" s="12"/>
      <c r="C686" s="12"/>
      <c r="D686" s="87"/>
      <c r="F686" s="14"/>
      <c r="G686" s="14"/>
      <c r="H686" s="14"/>
      <c r="I686" s="14"/>
      <c r="J686" s="14"/>
      <c r="K686" s="12"/>
    </row>
    <row r="687" ht="19.5" customHeight="1">
      <c r="A687" s="12"/>
      <c r="C687" s="12"/>
      <c r="D687" s="87"/>
      <c r="F687" s="14"/>
      <c r="G687" s="14"/>
      <c r="H687" s="14"/>
      <c r="I687" s="14"/>
      <c r="J687" s="14"/>
      <c r="K687" s="12"/>
    </row>
    <row r="688" ht="19.5" customHeight="1">
      <c r="A688" s="12"/>
      <c r="C688" s="12"/>
      <c r="D688" s="87"/>
      <c r="F688" s="14"/>
      <c r="G688" s="14"/>
      <c r="H688" s="14"/>
      <c r="I688" s="14"/>
      <c r="J688" s="14"/>
      <c r="K688" s="12"/>
    </row>
    <row r="689" ht="19.5" customHeight="1">
      <c r="A689" s="12"/>
      <c r="C689" s="12"/>
      <c r="D689" s="87"/>
      <c r="F689" s="14"/>
      <c r="G689" s="14"/>
      <c r="H689" s="14"/>
      <c r="I689" s="14"/>
      <c r="J689" s="14"/>
      <c r="K689" s="12"/>
    </row>
    <row r="690" ht="19.5" customHeight="1">
      <c r="A690" s="12"/>
      <c r="C690" s="12"/>
      <c r="D690" s="87"/>
      <c r="F690" s="14"/>
      <c r="G690" s="14"/>
      <c r="H690" s="14"/>
      <c r="I690" s="14"/>
      <c r="J690" s="14"/>
      <c r="K690" s="12"/>
    </row>
    <row r="691" ht="19.5" customHeight="1">
      <c r="A691" s="12"/>
      <c r="C691" s="12"/>
      <c r="D691" s="87"/>
      <c r="F691" s="14"/>
      <c r="G691" s="14"/>
      <c r="H691" s="14"/>
      <c r="I691" s="14"/>
      <c r="J691" s="14"/>
      <c r="K691" s="12"/>
    </row>
    <row r="692" ht="19.5" customHeight="1">
      <c r="A692" s="12"/>
      <c r="C692" s="12"/>
      <c r="D692" s="87"/>
      <c r="F692" s="14"/>
      <c r="G692" s="14"/>
      <c r="H692" s="14"/>
      <c r="I692" s="14"/>
      <c r="J692" s="14"/>
      <c r="K692" s="12"/>
    </row>
    <row r="693" ht="19.5" customHeight="1">
      <c r="A693" s="12"/>
      <c r="C693" s="12"/>
      <c r="D693" s="87"/>
      <c r="F693" s="14"/>
      <c r="G693" s="14"/>
      <c r="H693" s="14"/>
      <c r="I693" s="14"/>
      <c r="J693" s="14"/>
      <c r="K693" s="12"/>
    </row>
    <row r="694" ht="19.5" customHeight="1">
      <c r="A694" s="12"/>
      <c r="C694" s="12"/>
      <c r="D694" s="87"/>
      <c r="F694" s="14"/>
      <c r="G694" s="14"/>
      <c r="H694" s="14"/>
      <c r="I694" s="14"/>
      <c r="J694" s="14"/>
      <c r="K694" s="12"/>
    </row>
    <row r="695" ht="19.5" customHeight="1">
      <c r="A695" s="12"/>
      <c r="C695" s="12"/>
      <c r="D695" s="87"/>
      <c r="F695" s="14"/>
      <c r="G695" s="14"/>
      <c r="H695" s="14"/>
      <c r="I695" s="14"/>
      <c r="J695" s="14"/>
      <c r="K695" s="12"/>
    </row>
    <row r="696" ht="19.5" customHeight="1">
      <c r="A696" s="12"/>
      <c r="C696" s="12"/>
      <c r="D696" s="87"/>
      <c r="F696" s="14"/>
      <c r="G696" s="14"/>
      <c r="H696" s="14"/>
      <c r="I696" s="14"/>
      <c r="J696" s="14"/>
      <c r="K696" s="12"/>
    </row>
    <row r="697" ht="19.5" customHeight="1">
      <c r="A697" s="12"/>
      <c r="C697" s="12"/>
      <c r="D697" s="87"/>
      <c r="F697" s="14"/>
      <c r="G697" s="14"/>
      <c r="H697" s="14"/>
      <c r="I697" s="14"/>
      <c r="J697" s="14"/>
      <c r="K697" s="12"/>
    </row>
    <row r="698" ht="19.5" customHeight="1">
      <c r="A698" s="12"/>
      <c r="C698" s="12"/>
      <c r="D698" s="87"/>
      <c r="F698" s="14"/>
      <c r="G698" s="14"/>
      <c r="H698" s="14"/>
      <c r="I698" s="14"/>
      <c r="J698" s="14"/>
      <c r="K698" s="12"/>
    </row>
    <row r="699" ht="19.5" customHeight="1">
      <c r="A699" s="12"/>
      <c r="C699" s="12"/>
      <c r="D699" s="87"/>
      <c r="F699" s="14"/>
      <c r="G699" s="14"/>
      <c r="H699" s="14"/>
      <c r="I699" s="14"/>
      <c r="J699" s="14"/>
      <c r="K699" s="12"/>
    </row>
    <row r="700" ht="19.5" customHeight="1">
      <c r="A700" s="12"/>
      <c r="C700" s="12"/>
      <c r="D700" s="87"/>
      <c r="F700" s="14"/>
      <c r="G700" s="14"/>
      <c r="H700" s="14"/>
      <c r="I700" s="14"/>
      <c r="J700" s="14"/>
      <c r="K700" s="12"/>
    </row>
    <row r="701" ht="19.5" customHeight="1">
      <c r="A701" s="12"/>
      <c r="C701" s="12"/>
      <c r="D701" s="87"/>
      <c r="F701" s="14"/>
      <c r="G701" s="14"/>
      <c r="H701" s="14"/>
      <c r="I701" s="14"/>
      <c r="J701" s="14"/>
      <c r="K701" s="12"/>
    </row>
    <row r="702" ht="19.5" customHeight="1">
      <c r="A702" s="12"/>
      <c r="C702" s="12"/>
      <c r="D702" s="87"/>
      <c r="F702" s="14"/>
      <c r="G702" s="14"/>
      <c r="H702" s="14"/>
      <c r="I702" s="14"/>
      <c r="J702" s="14"/>
      <c r="K702" s="12"/>
    </row>
    <row r="703" ht="19.5" customHeight="1">
      <c r="A703" s="12"/>
      <c r="C703" s="12"/>
      <c r="D703" s="87"/>
      <c r="F703" s="14"/>
      <c r="G703" s="14"/>
      <c r="H703" s="14"/>
      <c r="I703" s="14"/>
      <c r="J703" s="14"/>
      <c r="K703" s="12"/>
    </row>
    <row r="704" ht="19.5" customHeight="1">
      <c r="A704" s="12"/>
      <c r="C704" s="12"/>
      <c r="D704" s="87"/>
      <c r="F704" s="14"/>
      <c r="G704" s="14"/>
      <c r="H704" s="14"/>
      <c r="I704" s="14"/>
      <c r="J704" s="14"/>
      <c r="K704" s="12"/>
    </row>
    <row r="705" ht="19.5" customHeight="1">
      <c r="A705" s="12"/>
      <c r="C705" s="12"/>
      <c r="D705" s="87"/>
      <c r="F705" s="14"/>
      <c r="G705" s="14"/>
      <c r="H705" s="14"/>
      <c r="I705" s="14"/>
      <c r="J705" s="14"/>
      <c r="K705" s="12"/>
    </row>
    <row r="706" ht="19.5" customHeight="1">
      <c r="A706" s="12"/>
      <c r="C706" s="12"/>
      <c r="D706" s="87"/>
      <c r="F706" s="14"/>
      <c r="G706" s="14"/>
      <c r="H706" s="14"/>
      <c r="I706" s="14"/>
      <c r="J706" s="14"/>
      <c r="K706" s="12"/>
    </row>
    <row r="707" ht="19.5" customHeight="1">
      <c r="A707" s="12"/>
      <c r="C707" s="12"/>
      <c r="D707" s="87"/>
      <c r="F707" s="14"/>
      <c r="G707" s="14"/>
      <c r="H707" s="14"/>
      <c r="I707" s="14"/>
      <c r="J707" s="14"/>
      <c r="K707" s="12"/>
    </row>
    <row r="708" ht="19.5" customHeight="1">
      <c r="A708" s="12"/>
      <c r="C708" s="12"/>
      <c r="D708" s="87"/>
      <c r="F708" s="14"/>
      <c r="G708" s="14"/>
      <c r="H708" s="14"/>
      <c r="I708" s="14"/>
      <c r="J708" s="14"/>
      <c r="K708" s="12"/>
    </row>
    <row r="709" ht="19.5" customHeight="1">
      <c r="A709" s="12"/>
      <c r="C709" s="12"/>
      <c r="D709" s="87"/>
      <c r="F709" s="14"/>
      <c r="G709" s="14"/>
      <c r="H709" s="14"/>
      <c r="I709" s="14"/>
      <c r="J709" s="14"/>
      <c r="K709" s="12"/>
    </row>
    <row r="710" ht="19.5" customHeight="1">
      <c r="A710" s="12"/>
      <c r="C710" s="12"/>
      <c r="D710" s="87"/>
      <c r="F710" s="14"/>
      <c r="G710" s="14"/>
      <c r="H710" s="14"/>
      <c r="I710" s="14"/>
      <c r="J710" s="14"/>
      <c r="K710" s="12"/>
    </row>
    <row r="711" ht="19.5" customHeight="1">
      <c r="A711" s="12"/>
      <c r="C711" s="12"/>
      <c r="D711" s="87"/>
      <c r="F711" s="14"/>
      <c r="G711" s="14"/>
      <c r="H711" s="14"/>
      <c r="I711" s="14"/>
      <c r="J711" s="14"/>
      <c r="K711" s="12"/>
    </row>
    <row r="712" ht="19.5" customHeight="1">
      <c r="A712" s="12"/>
      <c r="C712" s="12"/>
      <c r="D712" s="87"/>
      <c r="F712" s="14"/>
      <c r="G712" s="14"/>
      <c r="H712" s="14"/>
      <c r="I712" s="14"/>
      <c r="J712" s="14"/>
      <c r="K712" s="12"/>
    </row>
    <row r="713" ht="19.5" customHeight="1">
      <c r="A713" s="12"/>
      <c r="C713" s="12"/>
      <c r="D713" s="87"/>
      <c r="F713" s="14"/>
      <c r="G713" s="14"/>
      <c r="H713" s="14"/>
      <c r="I713" s="14"/>
      <c r="J713" s="14"/>
      <c r="K713" s="12"/>
    </row>
    <row r="714" ht="19.5" customHeight="1">
      <c r="A714" s="12"/>
      <c r="C714" s="12"/>
      <c r="D714" s="87"/>
      <c r="F714" s="14"/>
      <c r="G714" s="14"/>
      <c r="H714" s="14"/>
      <c r="I714" s="14"/>
      <c r="J714" s="14"/>
      <c r="K714" s="12"/>
    </row>
    <row r="715" ht="19.5" customHeight="1">
      <c r="A715" s="12"/>
      <c r="C715" s="12"/>
      <c r="D715" s="87"/>
      <c r="F715" s="14"/>
      <c r="G715" s="14"/>
      <c r="H715" s="14"/>
      <c r="I715" s="14"/>
      <c r="J715" s="14"/>
      <c r="K715" s="12"/>
    </row>
    <row r="716" ht="19.5" customHeight="1">
      <c r="A716" s="12"/>
      <c r="C716" s="12"/>
      <c r="D716" s="87"/>
      <c r="F716" s="14"/>
      <c r="G716" s="14"/>
      <c r="H716" s="14"/>
      <c r="I716" s="14"/>
      <c r="J716" s="14"/>
      <c r="K716" s="12"/>
    </row>
    <row r="717" ht="19.5" customHeight="1">
      <c r="A717" s="12"/>
      <c r="C717" s="12"/>
      <c r="D717" s="87"/>
      <c r="F717" s="14"/>
      <c r="G717" s="14"/>
      <c r="H717" s="14"/>
      <c r="I717" s="14"/>
      <c r="J717" s="14"/>
      <c r="K717" s="12"/>
    </row>
    <row r="718" ht="19.5" customHeight="1">
      <c r="A718" s="12"/>
      <c r="C718" s="12"/>
      <c r="D718" s="87"/>
      <c r="F718" s="14"/>
      <c r="G718" s="14"/>
      <c r="H718" s="14"/>
      <c r="I718" s="14"/>
      <c r="J718" s="14"/>
      <c r="K718" s="12"/>
    </row>
    <row r="719" ht="19.5" customHeight="1">
      <c r="A719" s="12"/>
      <c r="C719" s="12"/>
      <c r="D719" s="87"/>
      <c r="F719" s="14"/>
      <c r="G719" s="14"/>
      <c r="H719" s="14"/>
      <c r="I719" s="14"/>
      <c r="J719" s="14"/>
      <c r="K719" s="12"/>
    </row>
    <row r="720" ht="19.5" customHeight="1">
      <c r="A720" s="12"/>
      <c r="C720" s="12"/>
      <c r="D720" s="87"/>
      <c r="F720" s="14"/>
      <c r="G720" s="14"/>
      <c r="H720" s="14"/>
      <c r="I720" s="14"/>
      <c r="J720" s="14"/>
      <c r="K720" s="12"/>
    </row>
    <row r="721" ht="19.5" customHeight="1">
      <c r="A721" s="12"/>
      <c r="C721" s="12"/>
      <c r="D721" s="87"/>
      <c r="F721" s="14"/>
      <c r="G721" s="14"/>
      <c r="H721" s="14"/>
      <c r="I721" s="14"/>
      <c r="J721" s="14"/>
      <c r="K721" s="12"/>
    </row>
    <row r="722" ht="19.5" customHeight="1">
      <c r="A722" s="12"/>
      <c r="C722" s="12"/>
      <c r="D722" s="87"/>
      <c r="F722" s="14"/>
      <c r="G722" s="14"/>
      <c r="H722" s="14"/>
      <c r="I722" s="14"/>
      <c r="J722" s="14"/>
      <c r="K722" s="12"/>
    </row>
    <row r="723" ht="19.5" customHeight="1">
      <c r="A723" s="12"/>
      <c r="C723" s="12"/>
      <c r="D723" s="87"/>
      <c r="F723" s="14"/>
      <c r="G723" s="14"/>
      <c r="H723" s="14"/>
      <c r="I723" s="14"/>
      <c r="J723" s="14"/>
      <c r="K723" s="12"/>
    </row>
    <row r="724" ht="19.5" customHeight="1">
      <c r="A724" s="12"/>
      <c r="C724" s="12"/>
      <c r="D724" s="87"/>
      <c r="F724" s="14"/>
      <c r="G724" s="14"/>
      <c r="H724" s="14"/>
      <c r="I724" s="14"/>
      <c r="J724" s="14"/>
      <c r="K724" s="12"/>
    </row>
    <row r="725" ht="19.5" customHeight="1">
      <c r="A725" s="12"/>
      <c r="C725" s="12"/>
      <c r="D725" s="87"/>
      <c r="F725" s="14"/>
      <c r="G725" s="14"/>
      <c r="H725" s="14"/>
      <c r="I725" s="14"/>
      <c r="J725" s="14"/>
      <c r="K725" s="12"/>
    </row>
    <row r="726" ht="19.5" customHeight="1">
      <c r="A726" s="12"/>
      <c r="C726" s="12"/>
      <c r="D726" s="87"/>
      <c r="F726" s="14"/>
      <c r="G726" s="14"/>
      <c r="H726" s="14"/>
      <c r="I726" s="14"/>
      <c r="J726" s="14"/>
      <c r="K726" s="12"/>
    </row>
    <row r="727" ht="19.5" customHeight="1">
      <c r="A727" s="12"/>
      <c r="C727" s="12"/>
      <c r="D727" s="87"/>
      <c r="F727" s="14"/>
      <c r="G727" s="14"/>
      <c r="H727" s="14"/>
      <c r="I727" s="14"/>
      <c r="J727" s="14"/>
      <c r="K727" s="12"/>
    </row>
    <row r="728" ht="19.5" customHeight="1">
      <c r="A728" s="12"/>
      <c r="C728" s="12"/>
      <c r="D728" s="87"/>
      <c r="F728" s="14"/>
      <c r="G728" s="14"/>
      <c r="H728" s="14"/>
      <c r="I728" s="14"/>
      <c r="J728" s="14"/>
      <c r="K728" s="12"/>
    </row>
    <row r="729" ht="19.5" customHeight="1">
      <c r="A729" s="12"/>
      <c r="C729" s="12"/>
      <c r="D729" s="87"/>
      <c r="F729" s="14"/>
      <c r="G729" s="14"/>
      <c r="H729" s="14"/>
      <c r="I729" s="14"/>
      <c r="J729" s="14"/>
      <c r="K729" s="12"/>
    </row>
    <row r="730" ht="19.5" customHeight="1">
      <c r="A730" s="12"/>
      <c r="C730" s="12"/>
      <c r="D730" s="87"/>
      <c r="F730" s="14"/>
      <c r="G730" s="14"/>
      <c r="H730" s="14"/>
      <c r="I730" s="14"/>
      <c r="J730" s="14"/>
      <c r="K730" s="12"/>
    </row>
    <row r="731" ht="19.5" customHeight="1">
      <c r="A731" s="12"/>
      <c r="C731" s="12"/>
      <c r="D731" s="87"/>
      <c r="F731" s="14"/>
      <c r="G731" s="14"/>
      <c r="H731" s="14"/>
      <c r="I731" s="14"/>
      <c r="J731" s="14"/>
      <c r="K731" s="12"/>
    </row>
    <row r="732" ht="19.5" customHeight="1">
      <c r="A732" s="12"/>
      <c r="C732" s="12"/>
      <c r="D732" s="87"/>
      <c r="F732" s="14"/>
      <c r="G732" s="14"/>
      <c r="H732" s="14"/>
      <c r="I732" s="14"/>
      <c r="J732" s="14"/>
      <c r="K732" s="12"/>
    </row>
    <row r="733" ht="19.5" customHeight="1">
      <c r="A733" s="12"/>
      <c r="C733" s="12"/>
      <c r="D733" s="87"/>
      <c r="F733" s="14"/>
      <c r="G733" s="14"/>
      <c r="H733" s="14"/>
      <c r="I733" s="14"/>
      <c r="J733" s="14"/>
      <c r="K733" s="12"/>
    </row>
    <row r="734" ht="19.5" customHeight="1">
      <c r="A734" s="12"/>
      <c r="C734" s="12"/>
      <c r="D734" s="87"/>
      <c r="F734" s="14"/>
      <c r="G734" s="14"/>
      <c r="H734" s="14"/>
      <c r="I734" s="14"/>
      <c r="J734" s="14"/>
      <c r="K734" s="12"/>
    </row>
    <row r="735" ht="19.5" customHeight="1">
      <c r="A735" s="12"/>
      <c r="C735" s="12"/>
      <c r="D735" s="87"/>
      <c r="F735" s="14"/>
      <c r="G735" s="14"/>
      <c r="H735" s="14"/>
      <c r="I735" s="14"/>
      <c r="J735" s="14"/>
      <c r="K735" s="12"/>
    </row>
    <row r="736" ht="19.5" customHeight="1">
      <c r="A736" s="12"/>
      <c r="C736" s="12"/>
      <c r="D736" s="87"/>
      <c r="F736" s="14"/>
      <c r="G736" s="14"/>
      <c r="H736" s="14"/>
      <c r="I736" s="14"/>
      <c r="J736" s="14"/>
      <c r="K736" s="12"/>
    </row>
    <row r="737" ht="19.5" customHeight="1">
      <c r="A737" s="12"/>
      <c r="C737" s="12"/>
      <c r="D737" s="87"/>
      <c r="F737" s="14"/>
      <c r="G737" s="14"/>
      <c r="H737" s="14"/>
      <c r="I737" s="14"/>
      <c r="J737" s="14"/>
      <c r="K737" s="12"/>
    </row>
    <row r="738" ht="19.5" customHeight="1">
      <c r="A738" s="12"/>
      <c r="C738" s="12"/>
      <c r="D738" s="87"/>
      <c r="F738" s="14"/>
      <c r="G738" s="14"/>
      <c r="H738" s="14"/>
      <c r="I738" s="14"/>
      <c r="J738" s="14"/>
      <c r="K738" s="12"/>
    </row>
    <row r="739" ht="19.5" customHeight="1">
      <c r="A739" s="12"/>
      <c r="C739" s="12"/>
      <c r="D739" s="87"/>
      <c r="F739" s="14"/>
      <c r="G739" s="14"/>
      <c r="H739" s="14"/>
      <c r="I739" s="14"/>
      <c r="J739" s="14"/>
      <c r="K739" s="12"/>
    </row>
    <row r="740" ht="19.5" customHeight="1">
      <c r="A740" s="12"/>
      <c r="C740" s="12"/>
      <c r="D740" s="87"/>
      <c r="F740" s="14"/>
      <c r="G740" s="14"/>
      <c r="H740" s="14"/>
      <c r="I740" s="14"/>
      <c r="J740" s="14"/>
      <c r="K740" s="12"/>
    </row>
    <row r="741" ht="19.5" customHeight="1">
      <c r="A741" s="12"/>
      <c r="C741" s="12"/>
      <c r="D741" s="87"/>
      <c r="F741" s="14"/>
      <c r="G741" s="14"/>
      <c r="H741" s="14"/>
      <c r="I741" s="14"/>
      <c r="J741" s="14"/>
      <c r="K741" s="12"/>
    </row>
    <row r="742" ht="19.5" customHeight="1">
      <c r="A742" s="12"/>
      <c r="C742" s="12"/>
      <c r="D742" s="87"/>
      <c r="F742" s="14"/>
      <c r="G742" s="14"/>
      <c r="H742" s="14"/>
      <c r="I742" s="14"/>
      <c r="J742" s="14"/>
      <c r="K742" s="12"/>
    </row>
    <row r="743" ht="19.5" customHeight="1">
      <c r="A743" s="12"/>
      <c r="C743" s="12"/>
      <c r="D743" s="87"/>
      <c r="F743" s="14"/>
      <c r="G743" s="14"/>
      <c r="H743" s="14"/>
      <c r="I743" s="14"/>
      <c r="J743" s="14"/>
      <c r="K743" s="12"/>
    </row>
    <row r="744" ht="19.5" customHeight="1">
      <c r="A744" s="12"/>
      <c r="C744" s="12"/>
      <c r="D744" s="87"/>
      <c r="F744" s="14"/>
      <c r="G744" s="14"/>
      <c r="H744" s="14"/>
      <c r="I744" s="14"/>
      <c r="J744" s="14"/>
      <c r="K744" s="12"/>
    </row>
    <row r="745" ht="19.5" customHeight="1">
      <c r="A745" s="12"/>
      <c r="C745" s="12"/>
      <c r="D745" s="87"/>
      <c r="F745" s="14"/>
      <c r="G745" s="14"/>
      <c r="H745" s="14"/>
      <c r="I745" s="14"/>
      <c r="J745" s="14"/>
      <c r="K745" s="12"/>
    </row>
    <row r="746" ht="19.5" customHeight="1">
      <c r="A746" s="12"/>
      <c r="C746" s="12"/>
      <c r="D746" s="87"/>
      <c r="F746" s="14"/>
      <c r="G746" s="14"/>
      <c r="H746" s="14"/>
      <c r="I746" s="14"/>
      <c r="J746" s="14"/>
      <c r="K746" s="12"/>
    </row>
    <row r="747" ht="19.5" customHeight="1">
      <c r="A747" s="12"/>
      <c r="C747" s="12"/>
      <c r="D747" s="87"/>
      <c r="F747" s="14"/>
      <c r="G747" s="14"/>
      <c r="H747" s="14"/>
      <c r="I747" s="14"/>
      <c r="J747" s="14"/>
      <c r="K747" s="12"/>
    </row>
    <row r="748" ht="19.5" customHeight="1">
      <c r="A748" s="12"/>
      <c r="C748" s="12"/>
      <c r="D748" s="87"/>
      <c r="F748" s="14"/>
      <c r="G748" s="14"/>
      <c r="H748" s="14"/>
      <c r="I748" s="14"/>
      <c r="J748" s="14"/>
      <c r="K748" s="12"/>
    </row>
    <row r="749" ht="19.5" customHeight="1">
      <c r="A749" s="12"/>
      <c r="C749" s="12"/>
      <c r="D749" s="87"/>
      <c r="F749" s="14"/>
      <c r="G749" s="14"/>
      <c r="H749" s="14"/>
      <c r="I749" s="14"/>
      <c r="J749" s="14"/>
      <c r="K749" s="12"/>
    </row>
    <row r="750" ht="19.5" customHeight="1">
      <c r="A750" s="12"/>
      <c r="C750" s="12"/>
      <c r="D750" s="87"/>
      <c r="F750" s="14"/>
      <c r="G750" s="14"/>
      <c r="H750" s="14"/>
      <c r="I750" s="14"/>
      <c r="J750" s="14"/>
      <c r="K750" s="12"/>
    </row>
    <row r="751" ht="19.5" customHeight="1">
      <c r="A751" s="12"/>
      <c r="C751" s="12"/>
      <c r="D751" s="87"/>
      <c r="F751" s="14"/>
      <c r="G751" s="14"/>
      <c r="H751" s="14"/>
      <c r="I751" s="14"/>
      <c r="J751" s="14"/>
      <c r="K751" s="12"/>
    </row>
    <row r="752" ht="19.5" customHeight="1">
      <c r="A752" s="12"/>
      <c r="C752" s="12"/>
      <c r="D752" s="87"/>
      <c r="F752" s="14"/>
      <c r="G752" s="14"/>
      <c r="H752" s="14"/>
      <c r="I752" s="14"/>
      <c r="J752" s="14"/>
      <c r="K752" s="12"/>
    </row>
    <row r="753" ht="19.5" customHeight="1">
      <c r="A753" s="12"/>
      <c r="C753" s="12"/>
      <c r="D753" s="87"/>
      <c r="F753" s="14"/>
      <c r="G753" s="14"/>
      <c r="H753" s="14"/>
      <c r="I753" s="14"/>
      <c r="J753" s="14"/>
      <c r="K753" s="12"/>
    </row>
    <row r="754" ht="19.5" customHeight="1">
      <c r="A754" s="12"/>
      <c r="C754" s="12"/>
      <c r="D754" s="87"/>
      <c r="F754" s="14"/>
      <c r="G754" s="14"/>
      <c r="H754" s="14"/>
      <c r="I754" s="14"/>
      <c r="J754" s="14"/>
      <c r="K754" s="12"/>
    </row>
    <row r="755" ht="19.5" customHeight="1">
      <c r="A755" s="12"/>
      <c r="C755" s="12"/>
      <c r="D755" s="87"/>
      <c r="F755" s="14"/>
      <c r="G755" s="14"/>
      <c r="H755" s="14"/>
      <c r="I755" s="14"/>
      <c r="J755" s="14"/>
      <c r="K755" s="12"/>
    </row>
    <row r="756" ht="19.5" customHeight="1">
      <c r="A756" s="12"/>
      <c r="C756" s="12"/>
      <c r="D756" s="87"/>
      <c r="F756" s="14"/>
      <c r="G756" s="14"/>
      <c r="H756" s="14"/>
      <c r="I756" s="14"/>
      <c r="J756" s="14"/>
      <c r="K756" s="12"/>
    </row>
    <row r="757" ht="19.5" customHeight="1">
      <c r="A757" s="12"/>
      <c r="C757" s="12"/>
      <c r="D757" s="87"/>
      <c r="F757" s="14"/>
      <c r="G757" s="14"/>
      <c r="H757" s="14"/>
      <c r="I757" s="14"/>
      <c r="J757" s="14"/>
      <c r="K757" s="12"/>
    </row>
    <row r="758" ht="19.5" customHeight="1">
      <c r="A758" s="12"/>
      <c r="C758" s="12"/>
      <c r="D758" s="87"/>
      <c r="F758" s="14"/>
      <c r="G758" s="14"/>
      <c r="H758" s="14"/>
      <c r="I758" s="14"/>
      <c r="J758" s="14"/>
      <c r="K758" s="12"/>
    </row>
    <row r="759" ht="19.5" customHeight="1">
      <c r="A759" s="12"/>
      <c r="C759" s="12"/>
      <c r="D759" s="87"/>
      <c r="F759" s="14"/>
      <c r="G759" s="14"/>
      <c r="H759" s="14"/>
      <c r="I759" s="14"/>
      <c r="J759" s="14"/>
      <c r="K759" s="12"/>
    </row>
    <row r="760" ht="19.5" customHeight="1">
      <c r="A760" s="12"/>
      <c r="C760" s="12"/>
      <c r="D760" s="87"/>
      <c r="F760" s="14"/>
      <c r="G760" s="14"/>
      <c r="H760" s="14"/>
      <c r="I760" s="14"/>
      <c r="J760" s="14"/>
      <c r="K760" s="12"/>
    </row>
    <row r="761" ht="19.5" customHeight="1">
      <c r="A761" s="12"/>
      <c r="C761" s="12"/>
      <c r="D761" s="87"/>
      <c r="F761" s="14"/>
      <c r="G761" s="14"/>
      <c r="H761" s="14"/>
      <c r="I761" s="14"/>
      <c r="J761" s="14"/>
      <c r="K761" s="12"/>
    </row>
    <row r="762" ht="19.5" customHeight="1">
      <c r="A762" s="12"/>
      <c r="C762" s="12"/>
      <c r="D762" s="87"/>
      <c r="F762" s="14"/>
      <c r="G762" s="14"/>
      <c r="H762" s="14"/>
      <c r="I762" s="14"/>
      <c r="J762" s="14"/>
      <c r="K762" s="12"/>
    </row>
    <row r="763" ht="19.5" customHeight="1">
      <c r="A763" s="12"/>
      <c r="C763" s="12"/>
      <c r="D763" s="87"/>
      <c r="F763" s="14"/>
      <c r="G763" s="14"/>
      <c r="H763" s="14"/>
      <c r="I763" s="14"/>
      <c r="J763" s="14"/>
      <c r="K763" s="12"/>
    </row>
    <row r="764" ht="19.5" customHeight="1">
      <c r="A764" s="12"/>
      <c r="C764" s="12"/>
      <c r="D764" s="87"/>
      <c r="F764" s="14"/>
      <c r="G764" s="14"/>
      <c r="H764" s="14"/>
      <c r="I764" s="14"/>
      <c r="J764" s="14"/>
      <c r="K764" s="12"/>
    </row>
    <row r="765" ht="19.5" customHeight="1">
      <c r="A765" s="12"/>
      <c r="C765" s="12"/>
      <c r="D765" s="87"/>
      <c r="F765" s="14"/>
      <c r="G765" s="14"/>
      <c r="H765" s="14"/>
      <c r="I765" s="14"/>
      <c r="J765" s="14"/>
      <c r="K765" s="12"/>
    </row>
    <row r="766" ht="19.5" customHeight="1">
      <c r="A766" s="12"/>
      <c r="C766" s="12"/>
      <c r="D766" s="87"/>
      <c r="F766" s="14"/>
      <c r="G766" s="14"/>
      <c r="H766" s="14"/>
      <c r="I766" s="14"/>
      <c r="J766" s="14"/>
      <c r="K766" s="12"/>
    </row>
    <row r="767" ht="19.5" customHeight="1">
      <c r="A767" s="12"/>
      <c r="C767" s="12"/>
      <c r="D767" s="87"/>
      <c r="F767" s="14"/>
      <c r="G767" s="14"/>
      <c r="H767" s="14"/>
      <c r="I767" s="14"/>
      <c r="J767" s="14"/>
      <c r="K767" s="12"/>
    </row>
    <row r="768" ht="19.5" customHeight="1">
      <c r="A768" s="12"/>
      <c r="C768" s="12"/>
      <c r="D768" s="87"/>
      <c r="F768" s="14"/>
      <c r="G768" s="14"/>
      <c r="H768" s="14"/>
      <c r="I768" s="14"/>
      <c r="J768" s="14"/>
      <c r="K768" s="12"/>
    </row>
    <row r="769" ht="19.5" customHeight="1">
      <c r="A769" s="12"/>
      <c r="C769" s="12"/>
      <c r="D769" s="87"/>
      <c r="F769" s="14"/>
      <c r="G769" s="14"/>
      <c r="H769" s="14"/>
      <c r="I769" s="14"/>
      <c r="J769" s="14"/>
      <c r="K769" s="12"/>
    </row>
    <row r="770" ht="19.5" customHeight="1">
      <c r="A770" s="12"/>
      <c r="C770" s="12"/>
      <c r="D770" s="87"/>
      <c r="F770" s="14"/>
      <c r="G770" s="14"/>
      <c r="H770" s="14"/>
      <c r="I770" s="14"/>
      <c r="J770" s="14"/>
      <c r="K770" s="12"/>
    </row>
    <row r="771" ht="19.5" customHeight="1">
      <c r="A771" s="12"/>
      <c r="C771" s="12"/>
      <c r="D771" s="87"/>
      <c r="F771" s="14"/>
      <c r="G771" s="14"/>
      <c r="H771" s="14"/>
      <c r="I771" s="14"/>
      <c r="J771" s="14"/>
      <c r="K771" s="12"/>
    </row>
    <row r="772" ht="19.5" customHeight="1">
      <c r="A772" s="12"/>
      <c r="C772" s="12"/>
      <c r="D772" s="87"/>
      <c r="F772" s="14"/>
      <c r="G772" s="14"/>
      <c r="H772" s="14"/>
      <c r="I772" s="14"/>
      <c r="J772" s="14"/>
      <c r="K772" s="12"/>
    </row>
    <row r="773" ht="19.5" customHeight="1">
      <c r="A773" s="12"/>
      <c r="C773" s="12"/>
      <c r="D773" s="87"/>
      <c r="F773" s="14"/>
      <c r="G773" s="14"/>
      <c r="H773" s="14"/>
      <c r="I773" s="14"/>
      <c r="J773" s="14"/>
      <c r="K773" s="12"/>
    </row>
    <row r="774" ht="19.5" customHeight="1">
      <c r="A774" s="12"/>
      <c r="C774" s="12"/>
      <c r="D774" s="87"/>
      <c r="F774" s="14"/>
      <c r="G774" s="14"/>
      <c r="H774" s="14"/>
      <c r="I774" s="14"/>
      <c r="J774" s="14"/>
      <c r="K774" s="12"/>
    </row>
    <row r="775" ht="19.5" customHeight="1">
      <c r="A775" s="12"/>
      <c r="C775" s="12"/>
      <c r="D775" s="87"/>
      <c r="F775" s="14"/>
      <c r="G775" s="14"/>
      <c r="H775" s="14"/>
      <c r="I775" s="14"/>
      <c r="J775" s="14"/>
      <c r="K775" s="12"/>
    </row>
    <row r="776" ht="19.5" customHeight="1">
      <c r="A776" s="12"/>
      <c r="C776" s="12"/>
      <c r="D776" s="87"/>
      <c r="F776" s="14"/>
      <c r="G776" s="14"/>
      <c r="H776" s="14"/>
      <c r="I776" s="14"/>
      <c r="J776" s="14"/>
      <c r="K776" s="12"/>
    </row>
    <row r="777" ht="19.5" customHeight="1">
      <c r="A777" s="12"/>
      <c r="C777" s="12"/>
      <c r="D777" s="87"/>
      <c r="F777" s="14"/>
      <c r="G777" s="14"/>
      <c r="H777" s="14"/>
      <c r="I777" s="14"/>
      <c r="J777" s="14"/>
      <c r="K777" s="12"/>
    </row>
    <row r="778" ht="19.5" customHeight="1">
      <c r="A778" s="12"/>
      <c r="C778" s="12"/>
      <c r="D778" s="87"/>
      <c r="F778" s="14"/>
      <c r="G778" s="14"/>
      <c r="H778" s="14"/>
      <c r="I778" s="14"/>
      <c r="J778" s="14"/>
      <c r="K778" s="12"/>
    </row>
    <row r="779" ht="19.5" customHeight="1">
      <c r="A779" s="12"/>
      <c r="C779" s="12"/>
      <c r="D779" s="87"/>
      <c r="F779" s="14"/>
      <c r="G779" s="14"/>
      <c r="H779" s="14"/>
      <c r="I779" s="14"/>
      <c r="J779" s="14"/>
      <c r="K779" s="12"/>
    </row>
    <row r="780" ht="19.5" customHeight="1">
      <c r="A780" s="12"/>
      <c r="C780" s="12"/>
      <c r="D780" s="87"/>
      <c r="F780" s="14"/>
      <c r="G780" s="14"/>
      <c r="H780" s="14"/>
      <c r="I780" s="14"/>
      <c r="J780" s="14"/>
      <c r="K780" s="12"/>
    </row>
    <row r="781" ht="19.5" customHeight="1">
      <c r="A781" s="12"/>
      <c r="C781" s="12"/>
      <c r="D781" s="87"/>
      <c r="F781" s="14"/>
      <c r="G781" s="14"/>
      <c r="H781" s="14"/>
      <c r="I781" s="14"/>
      <c r="J781" s="14"/>
      <c r="K781" s="12"/>
    </row>
    <row r="782" ht="19.5" customHeight="1">
      <c r="A782" s="12"/>
      <c r="C782" s="12"/>
      <c r="D782" s="87"/>
      <c r="F782" s="14"/>
      <c r="G782" s="14"/>
      <c r="H782" s="14"/>
      <c r="I782" s="14"/>
      <c r="J782" s="14"/>
      <c r="K782" s="12"/>
    </row>
    <row r="783" ht="19.5" customHeight="1">
      <c r="A783" s="12"/>
      <c r="C783" s="12"/>
      <c r="D783" s="87"/>
      <c r="F783" s="14"/>
      <c r="G783" s="14"/>
      <c r="H783" s="14"/>
      <c r="I783" s="14"/>
      <c r="J783" s="14"/>
      <c r="K783" s="12"/>
    </row>
    <row r="784" ht="19.5" customHeight="1">
      <c r="A784" s="12"/>
      <c r="C784" s="12"/>
      <c r="D784" s="87"/>
      <c r="F784" s="14"/>
      <c r="G784" s="14"/>
      <c r="H784" s="14"/>
      <c r="I784" s="14"/>
      <c r="J784" s="14"/>
      <c r="K784" s="12"/>
    </row>
    <row r="785" ht="19.5" customHeight="1">
      <c r="A785" s="12"/>
      <c r="C785" s="12"/>
      <c r="D785" s="87"/>
      <c r="F785" s="14"/>
      <c r="G785" s="14"/>
      <c r="H785" s="14"/>
      <c r="I785" s="14"/>
      <c r="J785" s="14"/>
      <c r="K785" s="12"/>
    </row>
    <row r="786" ht="19.5" customHeight="1">
      <c r="A786" s="12"/>
      <c r="C786" s="12"/>
      <c r="D786" s="87"/>
      <c r="F786" s="14"/>
      <c r="G786" s="14"/>
      <c r="H786" s="14"/>
      <c r="I786" s="14"/>
      <c r="J786" s="14"/>
      <c r="K786" s="12"/>
    </row>
    <row r="787" ht="19.5" customHeight="1">
      <c r="A787" s="12"/>
      <c r="C787" s="12"/>
      <c r="D787" s="87"/>
      <c r="F787" s="14"/>
      <c r="G787" s="14"/>
      <c r="H787" s="14"/>
      <c r="I787" s="14"/>
      <c r="J787" s="14"/>
      <c r="K787" s="12"/>
    </row>
    <row r="788" ht="19.5" customHeight="1">
      <c r="A788" s="12"/>
      <c r="C788" s="12"/>
      <c r="D788" s="87"/>
      <c r="F788" s="14"/>
      <c r="G788" s="14"/>
      <c r="H788" s="14"/>
      <c r="I788" s="14"/>
      <c r="J788" s="14"/>
      <c r="K788" s="12"/>
    </row>
    <row r="789" ht="19.5" customHeight="1">
      <c r="A789" s="12"/>
      <c r="C789" s="12"/>
      <c r="D789" s="87"/>
      <c r="F789" s="14"/>
      <c r="G789" s="14"/>
      <c r="H789" s="14"/>
      <c r="I789" s="14"/>
      <c r="J789" s="14"/>
      <c r="K789" s="12"/>
    </row>
    <row r="790" ht="19.5" customHeight="1">
      <c r="A790" s="12"/>
      <c r="C790" s="12"/>
      <c r="D790" s="87"/>
      <c r="F790" s="14"/>
      <c r="G790" s="14"/>
      <c r="H790" s="14"/>
      <c r="I790" s="14"/>
      <c r="J790" s="14"/>
      <c r="K790" s="12"/>
    </row>
    <row r="791" ht="19.5" customHeight="1">
      <c r="A791" s="12"/>
      <c r="C791" s="12"/>
      <c r="D791" s="87"/>
      <c r="F791" s="14"/>
      <c r="G791" s="14"/>
      <c r="H791" s="14"/>
      <c r="I791" s="14"/>
      <c r="J791" s="14"/>
      <c r="K791" s="12"/>
    </row>
    <row r="792" ht="19.5" customHeight="1">
      <c r="A792" s="12"/>
      <c r="C792" s="12"/>
      <c r="D792" s="87"/>
      <c r="F792" s="14"/>
      <c r="G792" s="14"/>
      <c r="H792" s="14"/>
      <c r="I792" s="14"/>
      <c r="J792" s="14"/>
      <c r="K792" s="12"/>
    </row>
    <row r="793" ht="19.5" customHeight="1">
      <c r="A793" s="12"/>
      <c r="C793" s="12"/>
      <c r="D793" s="87"/>
      <c r="F793" s="14"/>
      <c r="G793" s="14"/>
      <c r="H793" s="14"/>
      <c r="I793" s="14"/>
      <c r="J793" s="14"/>
      <c r="K793" s="12"/>
    </row>
    <row r="794" ht="19.5" customHeight="1">
      <c r="A794" s="12"/>
      <c r="C794" s="12"/>
      <c r="D794" s="87"/>
      <c r="F794" s="14"/>
      <c r="G794" s="14"/>
      <c r="H794" s="14"/>
      <c r="I794" s="14"/>
      <c r="J794" s="14"/>
      <c r="K794" s="12"/>
    </row>
    <row r="795" ht="19.5" customHeight="1">
      <c r="A795" s="12"/>
      <c r="C795" s="12"/>
      <c r="D795" s="87"/>
      <c r="F795" s="14"/>
      <c r="G795" s="14"/>
      <c r="H795" s="14"/>
      <c r="I795" s="14"/>
      <c r="J795" s="14"/>
      <c r="K795" s="12"/>
    </row>
    <row r="796" ht="19.5" customHeight="1">
      <c r="A796" s="12"/>
      <c r="C796" s="12"/>
      <c r="D796" s="87"/>
      <c r="F796" s="14"/>
      <c r="G796" s="14"/>
      <c r="H796" s="14"/>
      <c r="I796" s="14"/>
      <c r="J796" s="14"/>
      <c r="K796" s="12"/>
    </row>
    <row r="797" ht="19.5" customHeight="1">
      <c r="A797" s="12"/>
      <c r="C797" s="12"/>
      <c r="D797" s="87"/>
      <c r="F797" s="14"/>
      <c r="G797" s="14"/>
      <c r="H797" s="14"/>
      <c r="I797" s="14"/>
      <c r="J797" s="14"/>
      <c r="K797" s="12"/>
    </row>
    <row r="798" ht="19.5" customHeight="1">
      <c r="A798" s="12"/>
      <c r="C798" s="12"/>
      <c r="D798" s="87"/>
      <c r="F798" s="14"/>
      <c r="G798" s="14"/>
      <c r="H798" s="14"/>
      <c r="I798" s="14"/>
      <c r="J798" s="14"/>
      <c r="K798" s="12"/>
    </row>
    <row r="799" ht="19.5" customHeight="1">
      <c r="A799" s="12"/>
      <c r="C799" s="12"/>
      <c r="D799" s="87"/>
      <c r="F799" s="14"/>
      <c r="G799" s="14"/>
      <c r="H799" s="14"/>
      <c r="I799" s="14"/>
      <c r="J799" s="14"/>
      <c r="K799" s="12"/>
    </row>
    <row r="800" ht="19.5" customHeight="1">
      <c r="A800" s="12"/>
      <c r="C800" s="12"/>
      <c r="D800" s="87"/>
      <c r="F800" s="14"/>
      <c r="G800" s="14"/>
      <c r="H800" s="14"/>
      <c r="I800" s="14"/>
      <c r="J800" s="14"/>
      <c r="K800" s="12"/>
    </row>
    <row r="801" ht="19.5" customHeight="1">
      <c r="A801" s="12"/>
      <c r="C801" s="12"/>
      <c r="D801" s="87"/>
      <c r="F801" s="14"/>
      <c r="G801" s="14"/>
      <c r="H801" s="14"/>
      <c r="I801" s="14"/>
      <c r="J801" s="14"/>
      <c r="K801" s="12"/>
    </row>
    <row r="802" ht="19.5" customHeight="1">
      <c r="A802" s="12"/>
      <c r="C802" s="12"/>
      <c r="D802" s="87"/>
      <c r="F802" s="14"/>
      <c r="G802" s="14"/>
      <c r="H802" s="14"/>
      <c r="I802" s="14"/>
      <c r="J802" s="14"/>
      <c r="K802" s="12"/>
    </row>
    <row r="803" ht="19.5" customHeight="1">
      <c r="A803" s="12"/>
      <c r="C803" s="12"/>
      <c r="D803" s="87"/>
      <c r="F803" s="14"/>
      <c r="G803" s="14"/>
      <c r="H803" s="14"/>
      <c r="I803" s="14"/>
      <c r="J803" s="14"/>
      <c r="K803" s="12"/>
    </row>
    <row r="804" ht="19.5" customHeight="1">
      <c r="A804" s="12"/>
      <c r="C804" s="12"/>
      <c r="D804" s="87"/>
      <c r="F804" s="14"/>
      <c r="G804" s="14"/>
      <c r="H804" s="14"/>
      <c r="I804" s="14"/>
      <c r="J804" s="14"/>
      <c r="K804" s="12"/>
    </row>
    <row r="805" ht="19.5" customHeight="1">
      <c r="A805" s="12"/>
      <c r="C805" s="12"/>
      <c r="D805" s="87"/>
      <c r="F805" s="14"/>
      <c r="G805" s="14"/>
      <c r="H805" s="14"/>
      <c r="I805" s="14"/>
      <c r="J805" s="14"/>
      <c r="K805" s="12"/>
    </row>
    <row r="806" ht="19.5" customHeight="1">
      <c r="A806" s="12"/>
      <c r="C806" s="12"/>
      <c r="D806" s="87"/>
      <c r="F806" s="14"/>
      <c r="G806" s="14"/>
      <c r="H806" s="14"/>
      <c r="I806" s="14"/>
      <c r="J806" s="14"/>
      <c r="K806" s="12"/>
    </row>
    <row r="807" ht="19.5" customHeight="1">
      <c r="A807" s="12"/>
      <c r="C807" s="12"/>
      <c r="D807" s="87"/>
      <c r="F807" s="14"/>
      <c r="G807" s="14"/>
      <c r="H807" s="14"/>
      <c r="I807" s="14"/>
      <c r="J807" s="14"/>
      <c r="K807" s="12"/>
    </row>
    <row r="808" ht="19.5" customHeight="1">
      <c r="A808" s="12"/>
      <c r="C808" s="12"/>
      <c r="D808" s="87"/>
      <c r="F808" s="14"/>
      <c r="G808" s="14"/>
      <c r="H808" s="14"/>
      <c r="I808" s="14"/>
      <c r="J808" s="14"/>
      <c r="K808" s="12"/>
    </row>
    <row r="809" ht="19.5" customHeight="1">
      <c r="A809" s="12"/>
      <c r="C809" s="12"/>
      <c r="D809" s="87"/>
      <c r="F809" s="14"/>
      <c r="G809" s="14"/>
      <c r="H809" s="14"/>
      <c r="I809" s="14"/>
      <c r="J809" s="14"/>
      <c r="K809" s="12"/>
    </row>
    <row r="810" ht="19.5" customHeight="1">
      <c r="A810" s="12"/>
      <c r="C810" s="12"/>
      <c r="D810" s="87"/>
      <c r="F810" s="14"/>
      <c r="G810" s="14"/>
      <c r="H810" s="14"/>
      <c r="I810" s="14"/>
      <c r="J810" s="14"/>
      <c r="K810" s="12"/>
    </row>
    <row r="811" ht="19.5" customHeight="1">
      <c r="A811" s="12"/>
      <c r="C811" s="12"/>
      <c r="D811" s="87"/>
      <c r="F811" s="14"/>
      <c r="G811" s="14"/>
      <c r="H811" s="14"/>
      <c r="I811" s="14"/>
      <c r="J811" s="14"/>
      <c r="K811" s="12"/>
    </row>
    <row r="812" ht="19.5" customHeight="1">
      <c r="A812" s="12"/>
      <c r="C812" s="12"/>
      <c r="D812" s="87"/>
      <c r="F812" s="14"/>
      <c r="G812" s="14"/>
      <c r="H812" s="14"/>
      <c r="I812" s="14"/>
      <c r="J812" s="14"/>
      <c r="K812" s="12"/>
    </row>
    <row r="813" ht="19.5" customHeight="1">
      <c r="A813" s="12"/>
      <c r="C813" s="12"/>
      <c r="D813" s="87"/>
      <c r="F813" s="14"/>
      <c r="G813" s="14"/>
      <c r="H813" s="14"/>
      <c r="I813" s="14"/>
      <c r="J813" s="14"/>
      <c r="K813" s="12"/>
    </row>
    <row r="814" ht="19.5" customHeight="1">
      <c r="A814" s="12"/>
      <c r="C814" s="12"/>
      <c r="D814" s="87"/>
      <c r="F814" s="14"/>
      <c r="G814" s="14"/>
      <c r="H814" s="14"/>
      <c r="I814" s="14"/>
      <c r="J814" s="14"/>
      <c r="K814" s="12"/>
    </row>
    <row r="815" ht="19.5" customHeight="1">
      <c r="A815" s="12"/>
      <c r="C815" s="12"/>
      <c r="D815" s="87"/>
      <c r="F815" s="14"/>
      <c r="G815" s="14"/>
      <c r="H815" s="14"/>
      <c r="I815" s="14"/>
      <c r="J815" s="14"/>
      <c r="K815" s="12"/>
    </row>
    <row r="816" ht="19.5" customHeight="1">
      <c r="A816" s="12"/>
      <c r="C816" s="12"/>
      <c r="D816" s="87"/>
      <c r="F816" s="14"/>
      <c r="G816" s="14"/>
      <c r="H816" s="14"/>
      <c r="I816" s="14"/>
      <c r="J816" s="14"/>
      <c r="K816" s="12"/>
    </row>
    <row r="817" ht="19.5" customHeight="1">
      <c r="A817" s="12"/>
      <c r="C817" s="12"/>
      <c r="D817" s="87"/>
      <c r="F817" s="14"/>
      <c r="G817" s="14"/>
      <c r="H817" s="14"/>
      <c r="I817" s="14"/>
      <c r="J817" s="14"/>
      <c r="K817" s="12"/>
    </row>
    <row r="818" ht="19.5" customHeight="1">
      <c r="A818" s="12"/>
      <c r="C818" s="12"/>
      <c r="D818" s="87"/>
      <c r="F818" s="14"/>
      <c r="G818" s="14"/>
      <c r="H818" s="14"/>
      <c r="I818" s="14"/>
      <c r="J818" s="14"/>
      <c r="K818" s="12"/>
    </row>
    <row r="819" ht="19.5" customHeight="1">
      <c r="A819" s="12"/>
      <c r="C819" s="12"/>
      <c r="D819" s="87"/>
      <c r="F819" s="14"/>
      <c r="G819" s="14"/>
      <c r="H819" s="14"/>
      <c r="I819" s="14"/>
      <c r="J819" s="14"/>
      <c r="K819" s="12"/>
    </row>
    <row r="820" ht="19.5" customHeight="1">
      <c r="A820" s="12"/>
      <c r="C820" s="12"/>
      <c r="D820" s="87"/>
      <c r="F820" s="14"/>
      <c r="G820" s="14"/>
      <c r="H820" s="14"/>
      <c r="I820" s="14"/>
      <c r="J820" s="14"/>
      <c r="K820" s="12"/>
    </row>
    <row r="821" ht="19.5" customHeight="1">
      <c r="A821" s="12"/>
      <c r="C821" s="12"/>
      <c r="D821" s="87"/>
      <c r="F821" s="14"/>
      <c r="G821" s="14"/>
      <c r="H821" s="14"/>
      <c r="I821" s="14"/>
      <c r="J821" s="14"/>
      <c r="K821" s="12"/>
    </row>
    <row r="822" ht="19.5" customHeight="1">
      <c r="A822" s="12"/>
      <c r="C822" s="12"/>
      <c r="D822" s="87"/>
      <c r="F822" s="14"/>
      <c r="G822" s="14"/>
      <c r="H822" s="14"/>
      <c r="I822" s="14"/>
      <c r="J822" s="14"/>
      <c r="K822" s="12"/>
    </row>
    <row r="823" ht="19.5" customHeight="1">
      <c r="A823" s="12"/>
      <c r="C823" s="12"/>
      <c r="D823" s="87"/>
      <c r="F823" s="14"/>
      <c r="G823" s="14"/>
      <c r="H823" s="14"/>
      <c r="I823" s="14"/>
      <c r="J823" s="14"/>
      <c r="K823" s="12"/>
    </row>
    <row r="824" ht="19.5" customHeight="1">
      <c r="A824" s="12"/>
      <c r="C824" s="12"/>
      <c r="D824" s="87"/>
      <c r="F824" s="14"/>
      <c r="G824" s="14"/>
      <c r="H824" s="14"/>
      <c r="I824" s="14"/>
      <c r="J824" s="14"/>
      <c r="K824" s="12"/>
    </row>
    <row r="825" ht="19.5" customHeight="1">
      <c r="A825" s="12"/>
      <c r="C825" s="12"/>
      <c r="D825" s="87"/>
      <c r="F825" s="14"/>
      <c r="G825" s="14"/>
      <c r="H825" s="14"/>
      <c r="I825" s="14"/>
      <c r="J825" s="14"/>
      <c r="K825" s="12"/>
    </row>
    <row r="826" ht="19.5" customHeight="1">
      <c r="A826" s="12"/>
      <c r="C826" s="12"/>
      <c r="D826" s="87"/>
      <c r="F826" s="14"/>
      <c r="G826" s="14"/>
      <c r="H826" s="14"/>
      <c r="I826" s="14"/>
      <c r="J826" s="14"/>
      <c r="K826" s="12"/>
    </row>
    <row r="827" ht="19.5" customHeight="1">
      <c r="A827" s="12"/>
      <c r="C827" s="12"/>
      <c r="D827" s="87"/>
      <c r="F827" s="14"/>
      <c r="G827" s="14"/>
      <c r="H827" s="14"/>
      <c r="I827" s="14"/>
      <c r="J827" s="14"/>
      <c r="K827" s="12"/>
    </row>
    <row r="828" ht="19.5" customHeight="1">
      <c r="A828" s="12"/>
      <c r="C828" s="12"/>
      <c r="D828" s="87"/>
      <c r="F828" s="14"/>
      <c r="G828" s="14"/>
      <c r="H828" s="14"/>
      <c r="I828" s="14"/>
      <c r="J828" s="14"/>
      <c r="K828" s="12"/>
    </row>
    <row r="829" ht="19.5" customHeight="1">
      <c r="A829" s="12"/>
      <c r="C829" s="12"/>
      <c r="D829" s="87"/>
      <c r="F829" s="14"/>
      <c r="G829" s="14"/>
      <c r="H829" s="14"/>
      <c r="I829" s="14"/>
      <c r="J829" s="14"/>
      <c r="K829" s="12"/>
    </row>
    <row r="830" ht="19.5" customHeight="1">
      <c r="A830" s="12"/>
      <c r="C830" s="12"/>
      <c r="D830" s="87"/>
      <c r="F830" s="14"/>
      <c r="G830" s="14"/>
      <c r="H830" s="14"/>
      <c r="I830" s="14"/>
      <c r="J830" s="14"/>
      <c r="K830" s="12"/>
    </row>
    <row r="831" ht="19.5" customHeight="1">
      <c r="A831" s="12"/>
      <c r="C831" s="12"/>
      <c r="D831" s="87"/>
      <c r="F831" s="14"/>
      <c r="G831" s="14"/>
      <c r="H831" s="14"/>
      <c r="I831" s="14"/>
      <c r="J831" s="14"/>
      <c r="K831" s="12"/>
    </row>
    <row r="832" ht="19.5" customHeight="1">
      <c r="A832" s="12"/>
      <c r="C832" s="12"/>
      <c r="D832" s="87"/>
      <c r="F832" s="14"/>
      <c r="G832" s="14"/>
      <c r="H832" s="14"/>
      <c r="I832" s="14"/>
      <c r="J832" s="14"/>
      <c r="K832" s="12"/>
    </row>
    <row r="833" ht="19.5" customHeight="1">
      <c r="A833" s="12"/>
      <c r="C833" s="12"/>
      <c r="D833" s="87"/>
      <c r="F833" s="14"/>
      <c r="G833" s="14"/>
      <c r="H833" s="14"/>
      <c r="I833" s="14"/>
      <c r="J833" s="14"/>
      <c r="K833" s="12"/>
    </row>
    <row r="834" ht="19.5" customHeight="1">
      <c r="A834" s="12"/>
      <c r="C834" s="12"/>
      <c r="D834" s="87"/>
      <c r="F834" s="14"/>
      <c r="G834" s="14"/>
      <c r="H834" s="14"/>
      <c r="I834" s="14"/>
      <c r="J834" s="14"/>
      <c r="K834" s="12"/>
    </row>
    <row r="835" ht="19.5" customHeight="1">
      <c r="A835" s="12"/>
      <c r="C835" s="12"/>
      <c r="D835" s="87"/>
      <c r="F835" s="14"/>
      <c r="G835" s="14"/>
      <c r="H835" s="14"/>
      <c r="I835" s="14"/>
      <c r="J835" s="14"/>
      <c r="K835" s="12"/>
    </row>
    <row r="836" ht="19.5" customHeight="1">
      <c r="A836" s="12"/>
      <c r="C836" s="12"/>
      <c r="D836" s="87"/>
      <c r="F836" s="14"/>
      <c r="G836" s="14"/>
      <c r="H836" s="14"/>
      <c r="I836" s="14"/>
      <c r="J836" s="14"/>
      <c r="K836" s="12"/>
    </row>
    <row r="837" ht="19.5" customHeight="1">
      <c r="A837" s="12"/>
      <c r="C837" s="12"/>
      <c r="D837" s="87"/>
      <c r="F837" s="14"/>
      <c r="G837" s="14"/>
      <c r="H837" s="14"/>
      <c r="I837" s="14"/>
      <c r="J837" s="14"/>
      <c r="K837" s="12"/>
    </row>
    <row r="838" ht="19.5" customHeight="1">
      <c r="A838" s="12"/>
      <c r="C838" s="12"/>
      <c r="D838" s="87"/>
      <c r="F838" s="14"/>
      <c r="G838" s="14"/>
      <c r="H838" s="14"/>
      <c r="I838" s="14"/>
      <c r="J838" s="14"/>
      <c r="K838" s="12"/>
    </row>
    <row r="839" ht="19.5" customHeight="1">
      <c r="A839" s="12"/>
      <c r="C839" s="12"/>
      <c r="D839" s="87"/>
      <c r="F839" s="14"/>
      <c r="G839" s="14"/>
      <c r="H839" s="14"/>
      <c r="I839" s="14"/>
      <c r="J839" s="14"/>
      <c r="K839" s="12"/>
    </row>
    <row r="840" ht="19.5" customHeight="1">
      <c r="A840" s="12"/>
      <c r="C840" s="12"/>
      <c r="D840" s="87"/>
      <c r="F840" s="14"/>
      <c r="G840" s="14"/>
      <c r="H840" s="14"/>
      <c r="I840" s="14"/>
      <c r="J840" s="14"/>
      <c r="K840" s="12"/>
    </row>
    <row r="841" ht="19.5" customHeight="1">
      <c r="A841" s="12"/>
      <c r="C841" s="12"/>
      <c r="D841" s="87"/>
      <c r="F841" s="14"/>
      <c r="G841" s="14"/>
      <c r="H841" s="14"/>
      <c r="I841" s="14"/>
      <c r="J841" s="14"/>
      <c r="K841" s="12"/>
    </row>
    <row r="842" ht="19.5" customHeight="1">
      <c r="A842" s="12"/>
      <c r="C842" s="12"/>
      <c r="D842" s="87"/>
      <c r="F842" s="14"/>
      <c r="G842" s="14"/>
      <c r="H842" s="14"/>
      <c r="I842" s="14"/>
      <c r="J842" s="14"/>
      <c r="K842" s="12"/>
    </row>
    <row r="843" ht="19.5" customHeight="1">
      <c r="A843" s="12"/>
      <c r="C843" s="12"/>
      <c r="D843" s="87"/>
      <c r="F843" s="14"/>
      <c r="G843" s="14"/>
      <c r="H843" s="14"/>
      <c r="I843" s="14"/>
      <c r="J843" s="14"/>
      <c r="K843" s="12"/>
    </row>
    <row r="844" ht="19.5" customHeight="1">
      <c r="A844" s="12"/>
      <c r="C844" s="12"/>
      <c r="D844" s="87"/>
      <c r="F844" s="14"/>
      <c r="G844" s="14"/>
      <c r="H844" s="14"/>
      <c r="I844" s="14"/>
      <c r="J844" s="14"/>
      <c r="K844" s="12"/>
    </row>
    <row r="845" ht="19.5" customHeight="1">
      <c r="A845" s="12"/>
      <c r="C845" s="12"/>
      <c r="D845" s="87"/>
      <c r="F845" s="14"/>
      <c r="G845" s="14"/>
      <c r="H845" s="14"/>
      <c r="I845" s="14"/>
      <c r="J845" s="14"/>
      <c r="K845" s="12"/>
    </row>
    <row r="846" ht="19.5" customHeight="1">
      <c r="A846" s="12"/>
      <c r="C846" s="12"/>
      <c r="D846" s="87"/>
      <c r="F846" s="14"/>
      <c r="G846" s="14"/>
      <c r="H846" s="14"/>
      <c r="I846" s="14"/>
      <c r="J846" s="14"/>
      <c r="K846" s="12"/>
    </row>
    <row r="847" ht="19.5" customHeight="1">
      <c r="A847" s="12"/>
      <c r="C847" s="12"/>
      <c r="D847" s="87"/>
      <c r="F847" s="14"/>
      <c r="G847" s="14"/>
      <c r="H847" s="14"/>
      <c r="I847" s="14"/>
      <c r="J847" s="14"/>
      <c r="K847" s="12"/>
    </row>
    <row r="848" ht="19.5" customHeight="1">
      <c r="A848" s="12"/>
      <c r="C848" s="12"/>
      <c r="D848" s="87"/>
      <c r="F848" s="14"/>
      <c r="G848" s="14"/>
      <c r="H848" s="14"/>
      <c r="I848" s="14"/>
      <c r="J848" s="14"/>
      <c r="K848" s="12"/>
    </row>
    <row r="849" ht="19.5" customHeight="1">
      <c r="A849" s="12"/>
      <c r="C849" s="12"/>
      <c r="D849" s="87"/>
      <c r="F849" s="14"/>
      <c r="G849" s="14"/>
      <c r="H849" s="14"/>
      <c r="I849" s="14"/>
      <c r="J849" s="14"/>
      <c r="K849" s="12"/>
    </row>
    <row r="850" ht="19.5" customHeight="1">
      <c r="A850" s="12"/>
      <c r="C850" s="12"/>
      <c r="D850" s="87"/>
      <c r="F850" s="14"/>
      <c r="G850" s="14"/>
      <c r="H850" s="14"/>
      <c r="I850" s="14"/>
      <c r="J850" s="14"/>
      <c r="K850" s="12"/>
    </row>
    <row r="851" ht="19.5" customHeight="1">
      <c r="A851" s="12"/>
      <c r="C851" s="12"/>
      <c r="D851" s="87"/>
      <c r="F851" s="14"/>
      <c r="G851" s="14"/>
      <c r="H851" s="14"/>
      <c r="I851" s="14"/>
      <c r="J851" s="14"/>
      <c r="K851" s="12"/>
    </row>
    <row r="852" ht="19.5" customHeight="1">
      <c r="A852" s="12"/>
      <c r="C852" s="12"/>
      <c r="D852" s="87"/>
      <c r="F852" s="14"/>
      <c r="G852" s="14"/>
      <c r="H852" s="14"/>
      <c r="I852" s="14"/>
      <c r="J852" s="14"/>
      <c r="K852" s="12"/>
    </row>
    <row r="853" ht="19.5" customHeight="1">
      <c r="A853" s="12"/>
      <c r="C853" s="12"/>
      <c r="D853" s="87"/>
      <c r="F853" s="14"/>
      <c r="G853" s="14"/>
      <c r="H853" s="14"/>
      <c r="I853" s="14"/>
      <c r="J853" s="14"/>
      <c r="K853" s="12"/>
    </row>
    <row r="854" ht="19.5" customHeight="1">
      <c r="A854" s="12"/>
      <c r="C854" s="12"/>
      <c r="D854" s="87"/>
      <c r="F854" s="14"/>
      <c r="G854" s="14"/>
      <c r="H854" s="14"/>
      <c r="I854" s="14"/>
      <c r="J854" s="14"/>
      <c r="K854" s="12"/>
    </row>
    <row r="855" ht="19.5" customHeight="1">
      <c r="A855" s="12"/>
      <c r="C855" s="12"/>
      <c r="D855" s="87"/>
      <c r="F855" s="14"/>
      <c r="G855" s="14"/>
      <c r="H855" s="14"/>
      <c r="I855" s="14"/>
      <c r="J855" s="14"/>
      <c r="K855" s="12"/>
    </row>
    <row r="856" ht="19.5" customHeight="1">
      <c r="A856" s="12"/>
      <c r="C856" s="12"/>
      <c r="D856" s="87"/>
      <c r="F856" s="14"/>
      <c r="G856" s="14"/>
      <c r="H856" s="14"/>
      <c r="I856" s="14"/>
      <c r="J856" s="14"/>
      <c r="K856" s="12"/>
    </row>
    <row r="857" ht="19.5" customHeight="1">
      <c r="A857" s="12"/>
      <c r="C857" s="12"/>
      <c r="D857" s="87"/>
      <c r="F857" s="14"/>
      <c r="G857" s="14"/>
      <c r="H857" s="14"/>
      <c r="I857" s="14"/>
      <c r="J857" s="14"/>
      <c r="K857" s="12"/>
    </row>
    <row r="858" ht="19.5" customHeight="1">
      <c r="A858" s="12"/>
      <c r="C858" s="12"/>
      <c r="D858" s="87"/>
      <c r="F858" s="14"/>
      <c r="G858" s="14"/>
      <c r="H858" s="14"/>
      <c r="I858" s="14"/>
      <c r="J858" s="14"/>
      <c r="K858" s="12"/>
    </row>
    <row r="859" ht="19.5" customHeight="1">
      <c r="A859" s="12"/>
      <c r="C859" s="12"/>
      <c r="D859" s="87"/>
      <c r="F859" s="14"/>
      <c r="G859" s="14"/>
      <c r="H859" s="14"/>
      <c r="I859" s="14"/>
      <c r="J859" s="14"/>
      <c r="K859" s="12"/>
    </row>
    <row r="860" ht="19.5" customHeight="1">
      <c r="A860" s="12"/>
      <c r="C860" s="12"/>
      <c r="D860" s="87"/>
      <c r="F860" s="14"/>
      <c r="G860" s="14"/>
      <c r="H860" s="14"/>
      <c r="I860" s="14"/>
      <c r="J860" s="14"/>
      <c r="K860" s="12"/>
    </row>
    <row r="861" ht="19.5" customHeight="1">
      <c r="A861" s="12"/>
      <c r="C861" s="12"/>
      <c r="D861" s="87"/>
      <c r="F861" s="14"/>
      <c r="G861" s="14"/>
      <c r="H861" s="14"/>
      <c r="I861" s="14"/>
      <c r="J861" s="14"/>
      <c r="K861" s="12"/>
    </row>
    <row r="862" ht="19.5" customHeight="1">
      <c r="A862" s="12"/>
      <c r="C862" s="12"/>
      <c r="D862" s="87"/>
      <c r="F862" s="14"/>
      <c r="G862" s="14"/>
      <c r="H862" s="14"/>
      <c r="I862" s="14"/>
      <c r="J862" s="14"/>
      <c r="K862" s="12"/>
    </row>
    <row r="863" ht="19.5" customHeight="1">
      <c r="A863" s="12"/>
      <c r="C863" s="12"/>
      <c r="D863" s="87"/>
      <c r="F863" s="14"/>
      <c r="G863" s="14"/>
      <c r="H863" s="14"/>
      <c r="I863" s="14"/>
      <c r="J863" s="14"/>
      <c r="K863" s="12"/>
    </row>
    <row r="864" ht="19.5" customHeight="1">
      <c r="A864" s="12"/>
      <c r="C864" s="12"/>
      <c r="D864" s="87"/>
      <c r="F864" s="14"/>
      <c r="G864" s="14"/>
      <c r="H864" s="14"/>
      <c r="I864" s="14"/>
      <c r="J864" s="14"/>
      <c r="K864" s="12"/>
    </row>
    <row r="865" ht="19.5" customHeight="1">
      <c r="A865" s="12"/>
      <c r="C865" s="12"/>
      <c r="D865" s="87"/>
      <c r="F865" s="14"/>
      <c r="G865" s="14"/>
      <c r="H865" s="14"/>
      <c r="I865" s="14"/>
      <c r="J865" s="14"/>
      <c r="K865" s="12"/>
    </row>
    <row r="866" ht="19.5" customHeight="1">
      <c r="A866" s="12"/>
      <c r="C866" s="12"/>
      <c r="D866" s="87"/>
      <c r="F866" s="14"/>
      <c r="G866" s="14"/>
      <c r="H866" s="14"/>
      <c r="I866" s="14"/>
      <c r="J866" s="14"/>
      <c r="K866" s="12"/>
    </row>
    <row r="867" ht="19.5" customHeight="1">
      <c r="A867" s="12"/>
      <c r="C867" s="12"/>
      <c r="D867" s="87"/>
      <c r="F867" s="14"/>
      <c r="G867" s="14"/>
      <c r="H867" s="14"/>
      <c r="I867" s="14"/>
      <c r="J867" s="14"/>
      <c r="K867" s="12"/>
    </row>
    <row r="868" ht="19.5" customHeight="1">
      <c r="A868" s="12"/>
      <c r="C868" s="12"/>
      <c r="D868" s="87"/>
      <c r="F868" s="14"/>
      <c r="G868" s="14"/>
      <c r="H868" s="14"/>
      <c r="I868" s="14"/>
      <c r="J868" s="14"/>
      <c r="K868" s="12"/>
    </row>
    <row r="869" ht="19.5" customHeight="1">
      <c r="A869" s="12"/>
      <c r="C869" s="12"/>
      <c r="D869" s="87"/>
      <c r="F869" s="14"/>
      <c r="G869" s="14"/>
      <c r="H869" s="14"/>
      <c r="I869" s="14"/>
      <c r="J869" s="14"/>
      <c r="K869" s="12"/>
    </row>
    <row r="870" ht="19.5" customHeight="1">
      <c r="A870" s="12"/>
      <c r="C870" s="12"/>
      <c r="D870" s="87"/>
      <c r="F870" s="14"/>
      <c r="G870" s="14"/>
      <c r="H870" s="14"/>
      <c r="I870" s="14"/>
      <c r="J870" s="14"/>
      <c r="K870" s="12"/>
    </row>
    <row r="871" ht="19.5" customHeight="1">
      <c r="A871" s="12"/>
      <c r="C871" s="12"/>
      <c r="D871" s="87"/>
      <c r="F871" s="14"/>
      <c r="G871" s="14"/>
      <c r="H871" s="14"/>
      <c r="I871" s="14"/>
      <c r="J871" s="14"/>
      <c r="K871" s="12"/>
    </row>
    <row r="872" ht="19.5" customHeight="1">
      <c r="A872" s="12"/>
      <c r="C872" s="12"/>
      <c r="D872" s="87"/>
      <c r="F872" s="14"/>
      <c r="G872" s="14"/>
      <c r="H872" s="14"/>
      <c r="I872" s="14"/>
      <c r="J872" s="14"/>
      <c r="K872" s="12"/>
    </row>
    <row r="873" ht="19.5" customHeight="1">
      <c r="A873" s="12"/>
      <c r="C873" s="12"/>
      <c r="D873" s="87"/>
      <c r="F873" s="14"/>
      <c r="G873" s="14"/>
      <c r="H873" s="14"/>
      <c r="I873" s="14"/>
      <c r="J873" s="14"/>
      <c r="K873" s="12"/>
    </row>
    <row r="874" ht="19.5" customHeight="1">
      <c r="A874" s="12"/>
      <c r="C874" s="12"/>
      <c r="D874" s="87"/>
      <c r="F874" s="14"/>
      <c r="G874" s="14"/>
      <c r="H874" s="14"/>
      <c r="I874" s="14"/>
      <c r="J874" s="14"/>
      <c r="K874" s="12"/>
    </row>
    <row r="875" ht="19.5" customHeight="1">
      <c r="A875" s="12"/>
      <c r="C875" s="12"/>
      <c r="D875" s="87"/>
      <c r="F875" s="14"/>
      <c r="G875" s="14"/>
      <c r="H875" s="14"/>
      <c r="I875" s="14"/>
      <c r="J875" s="14"/>
      <c r="K875" s="12"/>
    </row>
    <row r="876" ht="19.5" customHeight="1">
      <c r="A876" s="12"/>
      <c r="C876" s="12"/>
      <c r="D876" s="87"/>
      <c r="F876" s="14"/>
      <c r="G876" s="14"/>
      <c r="H876" s="14"/>
      <c r="I876" s="14"/>
      <c r="J876" s="14"/>
      <c r="K876" s="12"/>
    </row>
    <row r="877" ht="19.5" customHeight="1">
      <c r="A877" s="12"/>
      <c r="C877" s="12"/>
      <c r="D877" s="87"/>
      <c r="F877" s="14"/>
      <c r="G877" s="14"/>
      <c r="H877" s="14"/>
      <c r="I877" s="14"/>
      <c r="J877" s="14"/>
      <c r="K877" s="12"/>
    </row>
    <row r="878" ht="19.5" customHeight="1">
      <c r="A878" s="12"/>
      <c r="C878" s="12"/>
      <c r="D878" s="87"/>
      <c r="F878" s="14"/>
      <c r="G878" s="14"/>
      <c r="H878" s="14"/>
      <c r="I878" s="14"/>
      <c r="J878" s="14"/>
      <c r="K878" s="12"/>
    </row>
    <row r="879" ht="19.5" customHeight="1">
      <c r="A879" s="12"/>
      <c r="C879" s="12"/>
      <c r="D879" s="87"/>
      <c r="F879" s="14"/>
      <c r="G879" s="14"/>
      <c r="H879" s="14"/>
      <c r="I879" s="14"/>
      <c r="J879" s="14"/>
      <c r="K879" s="12"/>
    </row>
    <row r="880" ht="19.5" customHeight="1">
      <c r="A880" s="12"/>
      <c r="C880" s="12"/>
      <c r="D880" s="87"/>
      <c r="F880" s="14"/>
      <c r="G880" s="14"/>
      <c r="H880" s="14"/>
      <c r="I880" s="14"/>
      <c r="J880" s="14"/>
      <c r="K880" s="12"/>
    </row>
    <row r="881" ht="19.5" customHeight="1">
      <c r="A881" s="12"/>
      <c r="C881" s="12"/>
      <c r="D881" s="87"/>
      <c r="F881" s="14"/>
      <c r="G881" s="14"/>
      <c r="H881" s="14"/>
      <c r="I881" s="14"/>
      <c r="J881" s="14"/>
      <c r="K881" s="12"/>
    </row>
    <row r="882" ht="19.5" customHeight="1">
      <c r="A882" s="12"/>
      <c r="C882" s="12"/>
      <c r="D882" s="87"/>
      <c r="F882" s="14"/>
      <c r="G882" s="14"/>
      <c r="H882" s="14"/>
      <c r="I882" s="14"/>
      <c r="J882" s="14"/>
      <c r="K882" s="12"/>
    </row>
    <row r="883" ht="19.5" customHeight="1">
      <c r="A883" s="12"/>
      <c r="C883" s="12"/>
      <c r="D883" s="87"/>
      <c r="F883" s="14"/>
      <c r="G883" s="14"/>
      <c r="H883" s="14"/>
      <c r="I883" s="14"/>
      <c r="J883" s="14"/>
      <c r="K883" s="12"/>
    </row>
    <row r="884" ht="19.5" customHeight="1">
      <c r="A884" s="12"/>
      <c r="C884" s="12"/>
      <c r="D884" s="87"/>
      <c r="F884" s="14"/>
      <c r="G884" s="14"/>
      <c r="H884" s="14"/>
      <c r="I884" s="14"/>
      <c r="J884" s="14"/>
      <c r="K884" s="12"/>
    </row>
    <row r="885" ht="19.5" customHeight="1">
      <c r="A885" s="12"/>
      <c r="C885" s="12"/>
      <c r="D885" s="87"/>
      <c r="F885" s="14"/>
      <c r="G885" s="14"/>
      <c r="H885" s="14"/>
      <c r="I885" s="14"/>
      <c r="J885" s="14"/>
      <c r="K885" s="12"/>
    </row>
    <row r="886" ht="19.5" customHeight="1">
      <c r="A886" s="12"/>
      <c r="C886" s="12"/>
      <c r="D886" s="87"/>
      <c r="F886" s="14"/>
      <c r="G886" s="14"/>
      <c r="H886" s="14"/>
      <c r="I886" s="14"/>
      <c r="J886" s="14"/>
      <c r="K886" s="12"/>
    </row>
    <row r="887" ht="19.5" customHeight="1">
      <c r="A887" s="12"/>
      <c r="C887" s="12"/>
      <c r="D887" s="87"/>
      <c r="F887" s="14"/>
      <c r="G887" s="14"/>
      <c r="H887" s="14"/>
      <c r="I887" s="14"/>
      <c r="J887" s="14"/>
      <c r="K887" s="12"/>
    </row>
    <row r="888" ht="19.5" customHeight="1">
      <c r="A888" s="12"/>
      <c r="C888" s="12"/>
      <c r="D888" s="87"/>
      <c r="F888" s="14"/>
      <c r="G888" s="14"/>
      <c r="H888" s="14"/>
      <c r="I888" s="14"/>
      <c r="J888" s="14"/>
      <c r="K888" s="12"/>
    </row>
    <row r="889" ht="19.5" customHeight="1">
      <c r="A889" s="12"/>
      <c r="C889" s="12"/>
      <c r="D889" s="87"/>
      <c r="F889" s="14"/>
      <c r="G889" s="14"/>
      <c r="H889" s="14"/>
      <c r="I889" s="14"/>
      <c r="J889" s="14"/>
      <c r="K889" s="12"/>
    </row>
    <row r="890" ht="19.5" customHeight="1">
      <c r="A890" s="12"/>
      <c r="C890" s="12"/>
      <c r="D890" s="87"/>
      <c r="F890" s="14"/>
      <c r="G890" s="14"/>
      <c r="H890" s="14"/>
      <c r="I890" s="14"/>
      <c r="J890" s="14"/>
      <c r="K890" s="12"/>
    </row>
    <row r="891" ht="19.5" customHeight="1">
      <c r="A891" s="12"/>
      <c r="C891" s="12"/>
      <c r="D891" s="87"/>
      <c r="F891" s="14"/>
      <c r="G891" s="14"/>
      <c r="H891" s="14"/>
      <c r="I891" s="14"/>
      <c r="J891" s="14"/>
      <c r="K891" s="12"/>
    </row>
    <row r="892" ht="19.5" customHeight="1">
      <c r="A892" s="12"/>
      <c r="C892" s="12"/>
      <c r="D892" s="87"/>
      <c r="F892" s="14"/>
      <c r="G892" s="14"/>
      <c r="H892" s="14"/>
      <c r="I892" s="14"/>
      <c r="J892" s="14"/>
      <c r="K892" s="12"/>
    </row>
    <row r="893" ht="19.5" customHeight="1">
      <c r="A893" s="12"/>
      <c r="C893" s="12"/>
      <c r="D893" s="87"/>
      <c r="F893" s="14"/>
      <c r="G893" s="14"/>
      <c r="H893" s="14"/>
      <c r="I893" s="14"/>
      <c r="J893" s="14"/>
      <c r="K893" s="12"/>
    </row>
    <row r="894" ht="19.5" customHeight="1">
      <c r="A894" s="12"/>
      <c r="C894" s="12"/>
      <c r="D894" s="87"/>
      <c r="F894" s="14"/>
      <c r="G894" s="14"/>
      <c r="H894" s="14"/>
      <c r="I894" s="14"/>
      <c r="J894" s="14"/>
      <c r="K894" s="12"/>
    </row>
    <row r="895" ht="19.5" customHeight="1">
      <c r="A895" s="12"/>
      <c r="C895" s="12"/>
      <c r="D895" s="87"/>
      <c r="F895" s="14"/>
      <c r="G895" s="14"/>
      <c r="H895" s="14"/>
      <c r="I895" s="14"/>
      <c r="J895" s="14"/>
      <c r="K895" s="12"/>
    </row>
    <row r="896" ht="19.5" customHeight="1">
      <c r="A896" s="12"/>
      <c r="C896" s="12"/>
      <c r="D896" s="87"/>
      <c r="F896" s="14"/>
      <c r="G896" s="14"/>
      <c r="H896" s="14"/>
      <c r="I896" s="14"/>
      <c r="J896" s="14"/>
      <c r="K896" s="12"/>
    </row>
    <row r="897" ht="19.5" customHeight="1">
      <c r="A897" s="12"/>
      <c r="C897" s="12"/>
      <c r="D897" s="87"/>
      <c r="F897" s="14"/>
      <c r="G897" s="14"/>
      <c r="H897" s="14"/>
      <c r="I897" s="14"/>
      <c r="J897" s="14"/>
      <c r="K897" s="12"/>
    </row>
    <row r="898" ht="19.5" customHeight="1">
      <c r="A898" s="12"/>
      <c r="C898" s="12"/>
      <c r="D898" s="87"/>
      <c r="F898" s="14"/>
      <c r="G898" s="14"/>
      <c r="H898" s="14"/>
      <c r="I898" s="14"/>
      <c r="J898" s="14"/>
      <c r="K898" s="12"/>
    </row>
    <row r="899" ht="19.5" customHeight="1">
      <c r="A899" s="12"/>
      <c r="C899" s="12"/>
      <c r="D899" s="87"/>
      <c r="F899" s="14"/>
      <c r="G899" s="14"/>
      <c r="H899" s="14"/>
      <c r="I899" s="14"/>
      <c r="J899" s="14"/>
      <c r="K899" s="12"/>
    </row>
    <row r="900" ht="19.5" customHeight="1">
      <c r="A900" s="12"/>
      <c r="C900" s="12"/>
      <c r="D900" s="87"/>
      <c r="F900" s="14"/>
      <c r="G900" s="14"/>
      <c r="H900" s="14"/>
      <c r="I900" s="14"/>
      <c r="J900" s="14"/>
      <c r="K900" s="12"/>
    </row>
    <row r="901" ht="19.5" customHeight="1">
      <c r="A901" s="12"/>
      <c r="C901" s="12"/>
      <c r="D901" s="87"/>
      <c r="F901" s="14"/>
      <c r="G901" s="14"/>
      <c r="H901" s="14"/>
      <c r="I901" s="14"/>
      <c r="J901" s="14"/>
      <c r="K901" s="12"/>
    </row>
    <row r="902" ht="19.5" customHeight="1">
      <c r="A902" s="12"/>
      <c r="C902" s="12"/>
      <c r="D902" s="87"/>
      <c r="F902" s="14"/>
      <c r="G902" s="14"/>
      <c r="H902" s="14"/>
      <c r="I902" s="14"/>
      <c r="J902" s="14"/>
      <c r="K902" s="12"/>
    </row>
    <row r="903" ht="19.5" customHeight="1">
      <c r="A903" s="12"/>
      <c r="C903" s="12"/>
      <c r="D903" s="87"/>
      <c r="F903" s="14"/>
      <c r="G903" s="14"/>
      <c r="H903" s="14"/>
      <c r="I903" s="14"/>
      <c r="J903" s="14"/>
      <c r="K903" s="12"/>
    </row>
    <row r="904" ht="19.5" customHeight="1">
      <c r="A904" s="12"/>
      <c r="C904" s="12"/>
      <c r="D904" s="87"/>
      <c r="F904" s="14"/>
      <c r="G904" s="14"/>
      <c r="H904" s="14"/>
      <c r="I904" s="14"/>
      <c r="J904" s="14"/>
      <c r="K904" s="12"/>
    </row>
    <row r="905" ht="19.5" customHeight="1">
      <c r="A905" s="12"/>
      <c r="C905" s="12"/>
      <c r="D905" s="87"/>
      <c r="F905" s="14"/>
      <c r="G905" s="14"/>
      <c r="H905" s="14"/>
      <c r="I905" s="14"/>
      <c r="J905" s="14"/>
      <c r="K905" s="12"/>
    </row>
    <row r="906" ht="19.5" customHeight="1">
      <c r="A906" s="12"/>
      <c r="C906" s="12"/>
      <c r="D906" s="87"/>
      <c r="F906" s="14"/>
      <c r="G906" s="14"/>
      <c r="H906" s="14"/>
      <c r="I906" s="14"/>
      <c r="J906" s="14"/>
      <c r="K906" s="12"/>
    </row>
    <row r="907" ht="19.5" customHeight="1">
      <c r="A907" s="12"/>
      <c r="C907" s="12"/>
      <c r="D907" s="87"/>
      <c r="F907" s="14"/>
      <c r="G907" s="14"/>
      <c r="H907" s="14"/>
      <c r="I907" s="14"/>
      <c r="J907" s="14"/>
      <c r="K907" s="12"/>
    </row>
    <row r="908" ht="19.5" customHeight="1">
      <c r="A908" s="12"/>
      <c r="C908" s="12"/>
      <c r="D908" s="87"/>
      <c r="F908" s="14"/>
      <c r="G908" s="14"/>
      <c r="H908" s="14"/>
      <c r="I908" s="14"/>
      <c r="J908" s="14"/>
      <c r="K908" s="12"/>
    </row>
    <row r="909" ht="19.5" customHeight="1">
      <c r="A909" s="12"/>
      <c r="C909" s="12"/>
      <c r="D909" s="87"/>
      <c r="F909" s="14"/>
      <c r="G909" s="14"/>
      <c r="H909" s="14"/>
      <c r="I909" s="14"/>
      <c r="J909" s="14"/>
      <c r="K909" s="12"/>
    </row>
    <row r="910" ht="19.5" customHeight="1">
      <c r="A910" s="12"/>
      <c r="C910" s="12"/>
      <c r="D910" s="87"/>
      <c r="F910" s="14"/>
      <c r="G910" s="14"/>
      <c r="H910" s="14"/>
      <c r="I910" s="14"/>
      <c r="J910" s="14"/>
      <c r="K910" s="12"/>
    </row>
    <row r="911" ht="19.5" customHeight="1">
      <c r="A911" s="12"/>
      <c r="C911" s="12"/>
      <c r="D911" s="87"/>
      <c r="F911" s="14"/>
      <c r="G911" s="14"/>
      <c r="H911" s="14"/>
      <c r="I911" s="14"/>
      <c r="J911" s="14"/>
      <c r="K911" s="12"/>
    </row>
    <row r="912" ht="19.5" customHeight="1">
      <c r="A912" s="12"/>
      <c r="C912" s="12"/>
      <c r="D912" s="87"/>
      <c r="F912" s="14"/>
      <c r="G912" s="14"/>
      <c r="H912" s="14"/>
      <c r="I912" s="14"/>
      <c r="J912" s="14"/>
      <c r="K912" s="12"/>
    </row>
    <row r="913" ht="19.5" customHeight="1">
      <c r="A913" s="12"/>
      <c r="C913" s="12"/>
      <c r="D913" s="87"/>
      <c r="F913" s="14"/>
      <c r="G913" s="14"/>
      <c r="H913" s="14"/>
      <c r="I913" s="14"/>
      <c r="J913" s="14"/>
      <c r="K913" s="12"/>
    </row>
    <row r="914" ht="19.5" customHeight="1">
      <c r="A914" s="12"/>
      <c r="C914" s="12"/>
      <c r="D914" s="87"/>
      <c r="F914" s="14"/>
      <c r="G914" s="14"/>
      <c r="H914" s="14"/>
      <c r="I914" s="14"/>
      <c r="J914" s="14"/>
      <c r="K914" s="12"/>
    </row>
    <row r="915" ht="19.5" customHeight="1">
      <c r="A915" s="12"/>
      <c r="C915" s="12"/>
      <c r="D915" s="87"/>
      <c r="F915" s="14"/>
      <c r="G915" s="14"/>
      <c r="H915" s="14"/>
      <c r="I915" s="14"/>
      <c r="J915" s="14"/>
      <c r="K915" s="12"/>
    </row>
    <row r="916" ht="19.5" customHeight="1">
      <c r="A916" s="12"/>
      <c r="C916" s="12"/>
      <c r="D916" s="87"/>
      <c r="F916" s="14"/>
      <c r="G916" s="14"/>
      <c r="H916" s="14"/>
      <c r="I916" s="14"/>
      <c r="J916" s="14"/>
      <c r="K916" s="12"/>
    </row>
    <row r="917" ht="19.5" customHeight="1">
      <c r="A917" s="12"/>
      <c r="C917" s="12"/>
      <c r="D917" s="87"/>
      <c r="F917" s="14"/>
      <c r="G917" s="14"/>
      <c r="H917" s="14"/>
      <c r="I917" s="14"/>
      <c r="J917" s="14"/>
      <c r="K917" s="12"/>
    </row>
    <row r="918" ht="19.5" customHeight="1">
      <c r="A918" s="12"/>
      <c r="C918" s="12"/>
      <c r="D918" s="87"/>
      <c r="F918" s="14"/>
      <c r="G918" s="14"/>
      <c r="H918" s="14"/>
      <c r="I918" s="14"/>
      <c r="J918" s="14"/>
      <c r="K918" s="12"/>
    </row>
    <row r="919" ht="19.5" customHeight="1">
      <c r="A919" s="12"/>
      <c r="C919" s="12"/>
      <c r="D919" s="87"/>
      <c r="F919" s="14"/>
      <c r="G919" s="14"/>
      <c r="H919" s="14"/>
      <c r="I919" s="14"/>
      <c r="J919" s="14"/>
      <c r="K919" s="12"/>
    </row>
    <row r="920" ht="19.5" customHeight="1">
      <c r="A920" s="12"/>
      <c r="C920" s="12"/>
      <c r="D920" s="87"/>
      <c r="F920" s="14"/>
      <c r="G920" s="14"/>
      <c r="H920" s="14"/>
      <c r="I920" s="14"/>
      <c r="J920" s="14"/>
      <c r="K920" s="12"/>
    </row>
    <row r="921" ht="19.5" customHeight="1">
      <c r="A921" s="12"/>
      <c r="C921" s="12"/>
      <c r="D921" s="87"/>
      <c r="F921" s="14"/>
      <c r="G921" s="14"/>
      <c r="H921" s="14"/>
      <c r="I921" s="14"/>
      <c r="J921" s="14"/>
      <c r="K921" s="12"/>
    </row>
    <row r="922" ht="19.5" customHeight="1">
      <c r="A922" s="12"/>
      <c r="C922" s="12"/>
      <c r="D922" s="87"/>
      <c r="F922" s="14"/>
      <c r="G922" s="14"/>
      <c r="H922" s="14"/>
      <c r="I922" s="14"/>
      <c r="J922" s="14"/>
      <c r="K922" s="12"/>
    </row>
    <row r="923" ht="19.5" customHeight="1">
      <c r="A923" s="12"/>
      <c r="C923" s="12"/>
      <c r="D923" s="87"/>
      <c r="F923" s="14"/>
      <c r="G923" s="14"/>
      <c r="H923" s="14"/>
      <c r="I923" s="14"/>
      <c r="J923" s="14"/>
      <c r="K923" s="12"/>
    </row>
    <row r="924" ht="19.5" customHeight="1">
      <c r="A924" s="12"/>
      <c r="C924" s="12"/>
      <c r="D924" s="87"/>
      <c r="F924" s="14"/>
      <c r="G924" s="14"/>
      <c r="H924" s="14"/>
      <c r="I924" s="14"/>
      <c r="J924" s="14"/>
      <c r="K924" s="12"/>
    </row>
    <row r="925" ht="19.5" customHeight="1">
      <c r="A925" s="12"/>
      <c r="C925" s="12"/>
      <c r="D925" s="87"/>
      <c r="F925" s="14"/>
      <c r="G925" s="14"/>
      <c r="H925" s="14"/>
      <c r="I925" s="14"/>
      <c r="J925" s="14"/>
      <c r="K925" s="12"/>
    </row>
    <row r="926" ht="19.5" customHeight="1">
      <c r="A926" s="12"/>
      <c r="C926" s="12"/>
      <c r="D926" s="87"/>
      <c r="F926" s="14"/>
      <c r="G926" s="14"/>
      <c r="H926" s="14"/>
      <c r="I926" s="14"/>
      <c r="J926" s="14"/>
      <c r="K926" s="12"/>
    </row>
    <row r="927" ht="19.5" customHeight="1">
      <c r="A927" s="12"/>
      <c r="C927" s="12"/>
      <c r="D927" s="87"/>
      <c r="F927" s="14"/>
      <c r="G927" s="14"/>
      <c r="H927" s="14"/>
      <c r="I927" s="14"/>
      <c r="J927" s="14"/>
      <c r="K927" s="12"/>
    </row>
    <row r="928" ht="19.5" customHeight="1">
      <c r="A928" s="12"/>
      <c r="C928" s="12"/>
      <c r="D928" s="87"/>
      <c r="F928" s="14"/>
      <c r="G928" s="14"/>
      <c r="H928" s="14"/>
      <c r="I928" s="14"/>
      <c r="J928" s="14"/>
      <c r="K928" s="12"/>
    </row>
    <row r="929" ht="19.5" customHeight="1">
      <c r="A929" s="12"/>
      <c r="C929" s="12"/>
      <c r="D929" s="87"/>
      <c r="F929" s="14"/>
      <c r="G929" s="14"/>
      <c r="H929" s="14"/>
      <c r="I929" s="14"/>
      <c r="J929" s="14"/>
      <c r="K929" s="12"/>
    </row>
    <row r="930" ht="19.5" customHeight="1">
      <c r="A930" s="12"/>
      <c r="C930" s="12"/>
      <c r="D930" s="87"/>
      <c r="F930" s="14"/>
      <c r="G930" s="14"/>
      <c r="H930" s="14"/>
      <c r="I930" s="14"/>
      <c r="J930" s="14"/>
      <c r="K930" s="12"/>
    </row>
    <row r="931" ht="19.5" customHeight="1">
      <c r="A931" s="12"/>
      <c r="C931" s="12"/>
      <c r="D931" s="87"/>
      <c r="F931" s="14"/>
      <c r="G931" s="14"/>
      <c r="H931" s="14"/>
      <c r="I931" s="14"/>
      <c r="J931" s="14"/>
      <c r="K931" s="12"/>
    </row>
    <row r="932" ht="19.5" customHeight="1">
      <c r="A932" s="12"/>
      <c r="C932" s="12"/>
      <c r="D932" s="87"/>
      <c r="F932" s="14"/>
      <c r="G932" s="14"/>
      <c r="H932" s="14"/>
      <c r="I932" s="14"/>
      <c r="J932" s="14"/>
      <c r="K932" s="12"/>
    </row>
    <row r="933" ht="19.5" customHeight="1">
      <c r="A933" s="12"/>
      <c r="C933" s="12"/>
      <c r="D933" s="87"/>
      <c r="F933" s="14"/>
      <c r="G933" s="14"/>
      <c r="H933" s="14"/>
      <c r="I933" s="14"/>
      <c r="J933" s="14"/>
      <c r="K933" s="12"/>
    </row>
    <row r="934" ht="19.5" customHeight="1">
      <c r="A934" s="12"/>
      <c r="C934" s="12"/>
      <c r="D934" s="87"/>
      <c r="F934" s="14"/>
      <c r="G934" s="14"/>
      <c r="H934" s="14"/>
      <c r="I934" s="14"/>
      <c r="J934" s="14"/>
      <c r="K934" s="12"/>
    </row>
    <row r="935" ht="19.5" customHeight="1">
      <c r="A935" s="12"/>
      <c r="C935" s="12"/>
      <c r="D935" s="87"/>
      <c r="F935" s="14"/>
      <c r="G935" s="14"/>
      <c r="H935" s="14"/>
      <c r="I935" s="14"/>
      <c r="J935" s="14"/>
      <c r="K935" s="12"/>
    </row>
    <row r="936" ht="19.5" customHeight="1">
      <c r="A936" s="12"/>
      <c r="C936" s="12"/>
      <c r="D936" s="87"/>
      <c r="F936" s="14"/>
      <c r="G936" s="14"/>
      <c r="H936" s="14"/>
      <c r="I936" s="14"/>
      <c r="J936" s="14"/>
      <c r="K936" s="12"/>
    </row>
    <row r="937" ht="19.5" customHeight="1">
      <c r="A937" s="12"/>
      <c r="C937" s="12"/>
      <c r="D937" s="87"/>
      <c r="F937" s="14"/>
      <c r="G937" s="14"/>
      <c r="H937" s="14"/>
      <c r="I937" s="14"/>
      <c r="J937" s="14"/>
      <c r="K937" s="12"/>
    </row>
    <row r="938" ht="19.5" customHeight="1">
      <c r="A938" s="12"/>
      <c r="C938" s="12"/>
      <c r="D938" s="87"/>
      <c r="F938" s="14"/>
      <c r="G938" s="14"/>
      <c r="H938" s="14"/>
      <c r="I938" s="14"/>
      <c r="J938" s="14"/>
      <c r="K938" s="12"/>
    </row>
    <row r="939" ht="19.5" customHeight="1">
      <c r="A939" s="12"/>
      <c r="C939" s="12"/>
      <c r="D939" s="87"/>
      <c r="F939" s="14"/>
      <c r="G939" s="14"/>
      <c r="H939" s="14"/>
      <c r="I939" s="14"/>
      <c r="J939" s="14"/>
      <c r="K939" s="12"/>
    </row>
    <row r="940" ht="19.5" customHeight="1">
      <c r="A940" s="12"/>
      <c r="C940" s="12"/>
      <c r="D940" s="87"/>
      <c r="F940" s="14"/>
      <c r="G940" s="14"/>
      <c r="H940" s="14"/>
      <c r="I940" s="14"/>
      <c r="J940" s="14"/>
      <c r="K940" s="12"/>
    </row>
    <row r="941" ht="19.5" customHeight="1">
      <c r="A941" s="12"/>
      <c r="C941" s="12"/>
      <c r="D941" s="87"/>
      <c r="F941" s="14"/>
      <c r="G941" s="14"/>
      <c r="H941" s="14"/>
      <c r="I941" s="14"/>
      <c r="J941" s="14"/>
      <c r="K941" s="12"/>
    </row>
    <row r="942" ht="19.5" customHeight="1">
      <c r="A942" s="12"/>
      <c r="C942" s="12"/>
      <c r="D942" s="87"/>
      <c r="F942" s="14"/>
      <c r="G942" s="14"/>
      <c r="H942" s="14"/>
      <c r="I942" s="14"/>
      <c r="J942" s="14"/>
      <c r="K942" s="12"/>
    </row>
    <row r="943" ht="19.5" customHeight="1">
      <c r="A943" s="12"/>
      <c r="C943" s="12"/>
      <c r="D943" s="87"/>
      <c r="F943" s="14"/>
      <c r="G943" s="14"/>
      <c r="H943" s="14"/>
      <c r="I943" s="14"/>
      <c r="J943" s="14"/>
      <c r="K943" s="12"/>
    </row>
    <row r="944" ht="19.5" customHeight="1">
      <c r="A944" s="12"/>
      <c r="C944" s="12"/>
      <c r="D944" s="87"/>
      <c r="F944" s="14"/>
      <c r="G944" s="14"/>
      <c r="H944" s="14"/>
      <c r="I944" s="14"/>
      <c r="J944" s="14"/>
      <c r="K944" s="12"/>
    </row>
    <row r="945" ht="19.5" customHeight="1">
      <c r="A945" s="12"/>
      <c r="C945" s="12"/>
      <c r="D945" s="87"/>
      <c r="F945" s="14"/>
      <c r="G945" s="14"/>
      <c r="H945" s="14"/>
      <c r="I945" s="14"/>
      <c r="J945" s="14"/>
      <c r="K945" s="12"/>
    </row>
    <row r="946" ht="19.5" customHeight="1">
      <c r="A946" s="12"/>
      <c r="C946" s="12"/>
      <c r="D946" s="87"/>
      <c r="F946" s="14"/>
      <c r="G946" s="14"/>
      <c r="H946" s="14"/>
      <c r="I946" s="14"/>
      <c r="J946" s="14"/>
      <c r="K946" s="12"/>
    </row>
    <row r="947" ht="19.5" customHeight="1">
      <c r="A947" s="12"/>
      <c r="C947" s="12"/>
      <c r="D947" s="87"/>
      <c r="F947" s="14"/>
      <c r="G947" s="14"/>
      <c r="H947" s="14"/>
      <c r="I947" s="14"/>
      <c r="J947" s="14"/>
      <c r="K947" s="12"/>
    </row>
    <row r="948" ht="19.5" customHeight="1">
      <c r="A948" s="12"/>
      <c r="C948" s="12"/>
      <c r="D948" s="87"/>
      <c r="F948" s="14"/>
      <c r="G948" s="14"/>
      <c r="H948" s="14"/>
      <c r="I948" s="14"/>
      <c r="J948" s="14"/>
      <c r="K948" s="12"/>
    </row>
    <row r="949" ht="19.5" customHeight="1">
      <c r="A949" s="12"/>
      <c r="C949" s="12"/>
      <c r="D949" s="87"/>
      <c r="F949" s="14"/>
      <c r="G949" s="14"/>
      <c r="H949" s="14"/>
      <c r="I949" s="14"/>
      <c r="J949" s="14"/>
      <c r="K949" s="12"/>
    </row>
    <row r="950" ht="19.5" customHeight="1">
      <c r="A950" s="12"/>
      <c r="C950" s="12"/>
      <c r="D950" s="87"/>
      <c r="F950" s="14"/>
      <c r="G950" s="14"/>
      <c r="H950" s="14"/>
      <c r="I950" s="14"/>
      <c r="J950" s="14"/>
      <c r="K950" s="12"/>
    </row>
    <row r="951" ht="19.5" customHeight="1">
      <c r="A951" s="12"/>
      <c r="C951" s="12"/>
      <c r="D951" s="87"/>
      <c r="F951" s="14"/>
      <c r="G951" s="14"/>
      <c r="H951" s="14"/>
      <c r="I951" s="14"/>
      <c r="J951" s="14"/>
      <c r="K951" s="12"/>
    </row>
    <row r="952" ht="19.5" customHeight="1">
      <c r="A952" s="12"/>
      <c r="C952" s="12"/>
      <c r="D952" s="87"/>
      <c r="F952" s="14"/>
      <c r="G952" s="14"/>
      <c r="H952" s="14"/>
      <c r="I952" s="14"/>
      <c r="J952" s="14"/>
      <c r="K952" s="12"/>
    </row>
    <row r="953" ht="19.5" customHeight="1">
      <c r="A953" s="12"/>
      <c r="C953" s="12"/>
      <c r="D953" s="87"/>
      <c r="F953" s="14"/>
      <c r="G953" s="14"/>
      <c r="H953" s="14"/>
      <c r="I953" s="14"/>
      <c r="J953" s="14"/>
      <c r="K953" s="12"/>
    </row>
    <row r="954" ht="19.5" customHeight="1">
      <c r="A954" s="12"/>
      <c r="C954" s="12"/>
      <c r="D954" s="87"/>
      <c r="F954" s="14"/>
      <c r="G954" s="14"/>
      <c r="H954" s="14"/>
      <c r="I954" s="14"/>
      <c r="J954" s="14"/>
      <c r="K954" s="12"/>
    </row>
    <row r="955" ht="19.5" customHeight="1">
      <c r="A955" s="12"/>
      <c r="C955" s="12"/>
      <c r="D955" s="87"/>
      <c r="F955" s="14"/>
      <c r="G955" s="14"/>
      <c r="H955" s="14"/>
      <c r="I955" s="14"/>
      <c r="J955" s="14"/>
      <c r="K955" s="12"/>
    </row>
    <row r="956" ht="19.5" customHeight="1">
      <c r="A956" s="12"/>
      <c r="C956" s="12"/>
      <c r="D956" s="87"/>
      <c r="F956" s="14"/>
      <c r="G956" s="14"/>
      <c r="H956" s="14"/>
      <c r="I956" s="14"/>
      <c r="J956" s="14"/>
      <c r="K956" s="12"/>
    </row>
    <row r="957" ht="19.5" customHeight="1">
      <c r="A957" s="12"/>
      <c r="C957" s="12"/>
      <c r="D957" s="87"/>
      <c r="F957" s="14"/>
      <c r="G957" s="14"/>
      <c r="H957" s="14"/>
      <c r="I957" s="14"/>
      <c r="J957" s="14"/>
      <c r="K957" s="12"/>
    </row>
    <row r="958" ht="19.5" customHeight="1">
      <c r="A958" s="12"/>
      <c r="C958" s="12"/>
      <c r="D958" s="87"/>
      <c r="F958" s="14"/>
      <c r="G958" s="14"/>
      <c r="H958" s="14"/>
      <c r="I958" s="14"/>
      <c r="J958" s="14"/>
      <c r="K958" s="12"/>
    </row>
    <row r="959" ht="19.5" customHeight="1">
      <c r="A959" s="12"/>
      <c r="C959" s="12"/>
      <c r="D959" s="87"/>
      <c r="F959" s="14"/>
      <c r="G959" s="14"/>
      <c r="H959" s="14"/>
      <c r="I959" s="14"/>
      <c r="J959" s="14"/>
      <c r="K959" s="12"/>
    </row>
    <row r="960" ht="19.5" customHeight="1">
      <c r="A960" s="12"/>
      <c r="C960" s="12"/>
      <c r="D960" s="87"/>
      <c r="F960" s="14"/>
      <c r="G960" s="14"/>
      <c r="H960" s="14"/>
      <c r="I960" s="14"/>
      <c r="J960" s="14"/>
      <c r="K960" s="12"/>
    </row>
    <row r="961" ht="19.5" customHeight="1">
      <c r="A961" s="12"/>
      <c r="C961" s="12"/>
      <c r="D961" s="87"/>
      <c r="F961" s="14"/>
      <c r="G961" s="14"/>
      <c r="H961" s="14"/>
      <c r="I961" s="14"/>
      <c r="J961" s="14"/>
      <c r="K961" s="12"/>
    </row>
    <row r="962" ht="19.5" customHeight="1">
      <c r="A962" s="12"/>
      <c r="C962" s="12"/>
      <c r="D962" s="87"/>
      <c r="F962" s="14"/>
      <c r="G962" s="14"/>
      <c r="H962" s="14"/>
      <c r="I962" s="14"/>
      <c r="J962" s="14"/>
      <c r="K962" s="12"/>
    </row>
    <row r="963" ht="19.5" customHeight="1">
      <c r="A963" s="12"/>
      <c r="C963" s="12"/>
      <c r="D963" s="87"/>
      <c r="F963" s="14"/>
      <c r="G963" s="14"/>
      <c r="H963" s="14"/>
      <c r="I963" s="14"/>
      <c r="J963" s="14"/>
      <c r="K963" s="12"/>
    </row>
    <row r="964" ht="19.5" customHeight="1">
      <c r="A964" s="12"/>
      <c r="C964" s="12"/>
      <c r="D964" s="87"/>
      <c r="F964" s="14"/>
      <c r="G964" s="14"/>
      <c r="H964" s="14"/>
      <c r="I964" s="14"/>
      <c r="J964" s="14"/>
      <c r="K964" s="12"/>
    </row>
    <row r="965" ht="19.5" customHeight="1">
      <c r="A965" s="12"/>
      <c r="C965" s="12"/>
      <c r="D965" s="87"/>
      <c r="F965" s="14"/>
      <c r="G965" s="14"/>
      <c r="H965" s="14"/>
      <c r="I965" s="14"/>
      <c r="J965" s="14"/>
      <c r="K965" s="12"/>
    </row>
    <row r="966" ht="19.5" customHeight="1">
      <c r="A966" s="12"/>
      <c r="C966" s="12"/>
      <c r="D966" s="87"/>
      <c r="F966" s="14"/>
      <c r="G966" s="14"/>
      <c r="H966" s="14"/>
      <c r="I966" s="14"/>
      <c r="J966" s="14"/>
      <c r="K966" s="12"/>
    </row>
    <row r="967" ht="19.5" customHeight="1">
      <c r="A967" s="12"/>
      <c r="C967" s="12"/>
      <c r="D967" s="87"/>
      <c r="F967" s="14"/>
      <c r="G967" s="14"/>
      <c r="H967" s="14"/>
      <c r="I967" s="14"/>
      <c r="J967" s="14"/>
      <c r="K967" s="12"/>
    </row>
    <row r="968" ht="19.5" customHeight="1">
      <c r="A968" s="12"/>
      <c r="C968" s="12"/>
      <c r="D968" s="87"/>
      <c r="F968" s="14"/>
      <c r="G968" s="14"/>
      <c r="H968" s="14"/>
      <c r="I968" s="14"/>
      <c r="J968" s="14"/>
      <c r="K968" s="12"/>
    </row>
    <row r="969" ht="19.5" customHeight="1">
      <c r="A969" s="12"/>
      <c r="C969" s="12"/>
      <c r="D969" s="87"/>
      <c r="F969" s="14"/>
      <c r="G969" s="14"/>
      <c r="H969" s="14"/>
      <c r="I969" s="14"/>
      <c r="J969" s="14"/>
      <c r="K969" s="12"/>
    </row>
    <row r="970" ht="19.5" customHeight="1">
      <c r="A970" s="12"/>
      <c r="C970" s="12"/>
      <c r="D970" s="87"/>
      <c r="F970" s="14"/>
      <c r="G970" s="14"/>
      <c r="H970" s="14"/>
      <c r="I970" s="14"/>
      <c r="J970" s="14"/>
      <c r="K970" s="12"/>
    </row>
    <row r="971" ht="19.5" customHeight="1">
      <c r="A971" s="12"/>
      <c r="C971" s="12"/>
      <c r="D971" s="87"/>
      <c r="F971" s="14"/>
      <c r="G971" s="14"/>
      <c r="H971" s="14"/>
      <c r="I971" s="14"/>
      <c r="J971" s="14"/>
      <c r="K971" s="12"/>
    </row>
    <row r="972" ht="19.5" customHeight="1">
      <c r="A972" s="12"/>
      <c r="C972" s="12"/>
      <c r="D972" s="87"/>
      <c r="F972" s="14"/>
      <c r="G972" s="14"/>
      <c r="H972" s="14"/>
      <c r="I972" s="14"/>
      <c r="J972" s="14"/>
      <c r="K972" s="12"/>
    </row>
    <row r="973" ht="19.5" customHeight="1">
      <c r="A973" s="12"/>
      <c r="C973" s="12"/>
      <c r="D973" s="87"/>
      <c r="F973" s="14"/>
      <c r="G973" s="14"/>
      <c r="H973" s="14"/>
      <c r="I973" s="14"/>
      <c r="J973" s="14"/>
      <c r="K973" s="12"/>
    </row>
    <row r="974" ht="19.5" customHeight="1">
      <c r="A974" s="12"/>
      <c r="C974" s="12"/>
      <c r="D974" s="87"/>
      <c r="F974" s="14"/>
      <c r="G974" s="14"/>
      <c r="H974" s="14"/>
      <c r="I974" s="14"/>
      <c r="J974" s="14"/>
      <c r="K974" s="12"/>
    </row>
    <row r="975" ht="19.5" customHeight="1">
      <c r="A975" s="12"/>
      <c r="C975" s="12"/>
      <c r="D975" s="87"/>
      <c r="F975" s="14"/>
      <c r="G975" s="14"/>
      <c r="H975" s="14"/>
      <c r="I975" s="14"/>
      <c r="J975" s="14"/>
      <c r="K975" s="12"/>
    </row>
    <row r="976" ht="19.5" customHeight="1">
      <c r="A976" s="12"/>
      <c r="C976" s="12"/>
      <c r="D976" s="87"/>
      <c r="F976" s="14"/>
      <c r="G976" s="14"/>
      <c r="H976" s="14"/>
      <c r="I976" s="14"/>
      <c r="J976" s="14"/>
      <c r="K976" s="12"/>
    </row>
    <row r="977" ht="19.5" customHeight="1">
      <c r="A977" s="12"/>
      <c r="C977" s="12"/>
      <c r="D977" s="87"/>
      <c r="F977" s="14"/>
      <c r="G977" s="14"/>
      <c r="H977" s="14"/>
      <c r="I977" s="14"/>
      <c r="J977" s="14"/>
      <c r="K977" s="12"/>
    </row>
    <row r="978" ht="19.5" customHeight="1">
      <c r="A978" s="12"/>
      <c r="C978" s="12"/>
      <c r="D978" s="87"/>
      <c r="F978" s="14"/>
      <c r="G978" s="14"/>
      <c r="H978" s="14"/>
      <c r="I978" s="14"/>
      <c r="J978" s="14"/>
      <c r="K978" s="12"/>
    </row>
    <row r="979" ht="19.5" customHeight="1">
      <c r="A979" s="12"/>
      <c r="C979" s="12"/>
      <c r="D979" s="87"/>
      <c r="F979" s="14"/>
      <c r="G979" s="14"/>
      <c r="H979" s="14"/>
      <c r="I979" s="14"/>
      <c r="J979" s="14"/>
      <c r="K979" s="12"/>
    </row>
    <row r="980" ht="19.5" customHeight="1">
      <c r="A980" s="12"/>
      <c r="C980" s="12"/>
      <c r="D980" s="87"/>
      <c r="F980" s="14"/>
      <c r="G980" s="14"/>
      <c r="H980" s="14"/>
      <c r="I980" s="14"/>
      <c r="J980" s="14"/>
      <c r="K980" s="12"/>
    </row>
    <row r="981" ht="19.5" customHeight="1">
      <c r="A981" s="12"/>
      <c r="C981" s="12"/>
      <c r="D981" s="87"/>
      <c r="F981" s="14"/>
      <c r="G981" s="14"/>
      <c r="H981" s="14"/>
      <c r="I981" s="14"/>
      <c r="J981" s="14"/>
      <c r="K981" s="12"/>
    </row>
    <row r="982" ht="19.5" customHeight="1">
      <c r="A982" s="12"/>
      <c r="C982" s="12"/>
      <c r="D982" s="87"/>
      <c r="F982" s="14"/>
      <c r="G982" s="14"/>
      <c r="H982" s="14"/>
      <c r="I982" s="14"/>
      <c r="J982" s="14"/>
      <c r="K982" s="12"/>
    </row>
    <row r="983" ht="19.5" customHeight="1">
      <c r="A983" s="12"/>
      <c r="C983" s="12"/>
      <c r="D983" s="87"/>
      <c r="F983" s="14"/>
      <c r="G983" s="14"/>
      <c r="H983" s="14"/>
      <c r="I983" s="14"/>
      <c r="J983" s="14"/>
      <c r="K983" s="12"/>
    </row>
    <row r="984" ht="19.5" customHeight="1">
      <c r="A984" s="12"/>
      <c r="C984" s="12"/>
      <c r="D984" s="87"/>
      <c r="F984" s="14"/>
      <c r="G984" s="14"/>
      <c r="H984" s="14"/>
      <c r="I984" s="14"/>
      <c r="J984" s="14"/>
      <c r="K984" s="12"/>
    </row>
    <row r="985" ht="19.5" customHeight="1">
      <c r="A985" s="12"/>
      <c r="C985" s="12"/>
      <c r="D985" s="87"/>
      <c r="F985" s="14"/>
      <c r="G985" s="14"/>
      <c r="H985" s="14"/>
      <c r="I985" s="14"/>
      <c r="J985" s="14"/>
      <c r="K985" s="12"/>
    </row>
    <row r="986" ht="19.5" customHeight="1">
      <c r="A986" s="12"/>
      <c r="C986" s="12"/>
      <c r="D986" s="87"/>
      <c r="F986" s="14"/>
      <c r="G986" s="14"/>
      <c r="H986" s="14"/>
      <c r="I986" s="14"/>
      <c r="J986" s="14"/>
      <c r="K986" s="12"/>
    </row>
    <row r="987" ht="19.5" customHeight="1">
      <c r="A987" s="12"/>
      <c r="C987" s="12"/>
      <c r="D987" s="87"/>
      <c r="F987" s="14"/>
      <c r="G987" s="14"/>
      <c r="H987" s="14"/>
      <c r="I987" s="14"/>
      <c r="J987" s="14"/>
      <c r="K987" s="12"/>
    </row>
    <row r="988" ht="19.5" customHeight="1">
      <c r="A988" s="12"/>
      <c r="C988" s="12"/>
      <c r="D988" s="87"/>
      <c r="F988" s="14"/>
      <c r="G988" s="14"/>
      <c r="H988" s="14"/>
      <c r="I988" s="14"/>
      <c r="J988" s="14"/>
      <c r="K988" s="12"/>
    </row>
    <row r="989" ht="19.5" customHeight="1">
      <c r="A989" s="12"/>
      <c r="C989" s="12"/>
      <c r="D989" s="87"/>
      <c r="F989" s="14"/>
      <c r="G989" s="14"/>
      <c r="H989" s="14"/>
      <c r="I989" s="14"/>
      <c r="J989" s="14"/>
      <c r="K989" s="12"/>
    </row>
    <row r="990" ht="19.5" customHeight="1">
      <c r="A990" s="12"/>
      <c r="C990" s="12"/>
      <c r="D990" s="87"/>
      <c r="F990" s="14"/>
      <c r="G990" s="14"/>
      <c r="H990" s="14"/>
      <c r="I990" s="14"/>
      <c r="J990" s="14"/>
      <c r="K990" s="12"/>
    </row>
    <row r="991" ht="19.5" customHeight="1">
      <c r="A991" s="12"/>
      <c r="C991" s="12"/>
      <c r="D991" s="87"/>
      <c r="F991" s="14"/>
      <c r="G991" s="14"/>
      <c r="H991" s="14"/>
      <c r="I991" s="14"/>
      <c r="J991" s="14"/>
      <c r="K991" s="12"/>
    </row>
    <row r="992" ht="19.5" customHeight="1">
      <c r="A992" s="12"/>
      <c r="C992" s="12"/>
      <c r="D992" s="87"/>
      <c r="F992" s="14"/>
      <c r="G992" s="14"/>
      <c r="H992" s="14"/>
      <c r="I992" s="14"/>
      <c r="J992" s="14"/>
      <c r="K992" s="12"/>
    </row>
    <row r="993" ht="19.5" customHeight="1">
      <c r="A993" s="12"/>
      <c r="C993" s="12"/>
      <c r="D993" s="87"/>
      <c r="F993" s="14"/>
      <c r="G993" s="14"/>
      <c r="H993" s="14"/>
      <c r="I993" s="14"/>
      <c r="J993" s="14"/>
      <c r="K993" s="12"/>
    </row>
    <row r="994" ht="19.5" customHeight="1">
      <c r="A994" s="12"/>
      <c r="C994" s="12"/>
      <c r="D994" s="87"/>
      <c r="F994" s="14"/>
      <c r="G994" s="14"/>
      <c r="H994" s="14"/>
      <c r="I994" s="14"/>
      <c r="J994" s="14"/>
      <c r="K994" s="12"/>
    </row>
    <row r="995" ht="19.5" customHeight="1">
      <c r="A995" s="12"/>
      <c r="C995" s="12"/>
      <c r="D995" s="87"/>
      <c r="F995" s="14"/>
      <c r="G995" s="14"/>
      <c r="H995" s="14"/>
      <c r="I995" s="14"/>
      <c r="J995" s="14"/>
      <c r="K995" s="12"/>
    </row>
    <row r="996" ht="19.5" customHeight="1">
      <c r="A996" s="12"/>
      <c r="C996" s="12"/>
      <c r="D996" s="87"/>
      <c r="F996" s="14"/>
      <c r="G996" s="14"/>
      <c r="H996" s="14"/>
      <c r="I996" s="14"/>
      <c r="J996" s="14"/>
      <c r="K996" s="12"/>
    </row>
    <row r="997" ht="19.5" customHeight="1">
      <c r="A997" s="12"/>
      <c r="C997" s="12"/>
      <c r="D997" s="87"/>
      <c r="F997" s="14"/>
      <c r="G997" s="14"/>
      <c r="H997" s="14"/>
      <c r="I997" s="14"/>
      <c r="J997" s="14"/>
      <c r="K997" s="12"/>
    </row>
    <row r="998" ht="19.5" customHeight="1">
      <c r="A998" s="12"/>
      <c r="C998" s="12"/>
      <c r="D998" s="87"/>
      <c r="F998" s="14"/>
      <c r="G998" s="14"/>
      <c r="H998" s="14"/>
      <c r="I998" s="14"/>
      <c r="J998" s="14"/>
      <c r="K998" s="12"/>
    </row>
    <row r="999" ht="19.5" customHeight="1">
      <c r="A999" s="12"/>
      <c r="C999" s="12"/>
      <c r="D999" s="87"/>
      <c r="F999" s="14"/>
      <c r="G999" s="14"/>
      <c r="H999" s="14"/>
      <c r="I999" s="14"/>
      <c r="J999" s="14"/>
      <c r="K999" s="12"/>
    </row>
    <row r="1000" ht="19.5" customHeight="1">
      <c r="A1000" s="12"/>
      <c r="C1000" s="12"/>
      <c r="D1000" s="87"/>
      <c r="F1000" s="14"/>
      <c r="G1000" s="14"/>
      <c r="H1000" s="14"/>
      <c r="I1000" s="14"/>
      <c r="J1000" s="14"/>
      <c r="K1000" s="12"/>
    </row>
  </sheetData>
  <mergeCells count="11">
    <mergeCell ref="E9:G9"/>
    <mergeCell ref="J9:J10"/>
    <mergeCell ref="K48:K50"/>
    <mergeCell ref="A6:K6"/>
    <mergeCell ref="A7:K7"/>
    <mergeCell ref="A8:K8"/>
    <mergeCell ref="A9:A10"/>
    <mergeCell ref="B9:B10"/>
    <mergeCell ref="C9:C10"/>
    <mergeCell ref="D9:D10"/>
    <mergeCell ref="K9:K10"/>
  </mergeCells>
  <printOptions/>
  <pageMargins bottom="0.787401575" footer="0.0" header="0.0" left="0.511811024" right="0.511811024" top="0.787401575"/>
  <pageSetup orientation="landscape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51.75"/>
    <col customWidth="1" min="3" max="3" width="9.13"/>
    <col customWidth="1" min="4" max="4" width="16.25"/>
    <col customWidth="1" min="5" max="5" width="25.0"/>
    <col customWidth="1" min="6" max="6" width="22.25"/>
    <col customWidth="1" min="7" max="8" width="23.88"/>
    <col customWidth="1" min="9" max="9" width="23.63"/>
    <col customWidth="1" min="10" max="10" width="20.63"/>
    <col customWidth="1" min="11" max="11" width="39.0"/>
    <col customWidth="1" min="12" max="26" width="8.63"/>
  </cols>
  <sheetData>
    <row r="1" ht="19.5" customHeight="1">
      <c r="A1" s="4"/>
      <c r="B1" s="5"/>
      <c r="C1" s="6"/>
      <c r="D1" s="7"/>
      <c r="E1" s="5"/>
      <c r="F1" s="8"/>
      <c r="G1" s="8"/>
      <c r="H1" s="8"/>
      <c r="I1" s="8"/>
      <c r="J1" s="8"/>
      <c r="K1" s="9"/>
    </row>
    <row r="2" ht="19.5" customHeight="1">
      <c r="A2" s="10" t="s">
        <v>83</v>
      </c>
      <c r="B2" s="11" t="s">
        <v>84</v>
      </c>
      <c r="C2" s="12"/>
      <c r="D2" s="13"/>
      <c r="F2" s="14"/>
      <c r="G2" s="14"/>
      <c r="H2" s="14"/>
      <c r="I2" s="14"/>
      <c r="J2" s="17" t="s">
        <v>144</v>
      </c>
      <c r="K2" s="18"/>
    </row>
    <row r="3" ht="19.5" customHeight="1">
      <c r="A3" s="10" t="s">
        <v>86</v>
      </c>
      <c r="B3" s="11" t="s">
        <v>87</v>
      </c>
      <c r="C3" s="12"/>
      <c r="D3" s="13"/>
      <c r="F3" s="14"/>
      <c r="G3" s="14"/>
      <c r="H3" s="14"/>
      <c r="I3" s="14"/>
      <c r="J3" s="14"/>
      <c r="K3" s="18"/>
    </row>
    <row r="4" ht="19.5" customHeight="1">
      <c r="A4" s="19"/>
      <c r="C4" s="12"/>
      <c r="D4" s="13"/>
      <c r="F4" s="14"/>
      <c r="G4" s="14"/>
      <c r="H4" s="14"/>
      <c r="I4" s="14"/>
      <c r="J4" s="14"/>
      <c r="K4" s="18"/>
    </row>
    <row r="5" ht="19.5" customHeight="1">
      <c r="A5" s="19"/>
      <c r="C5" s="12"/>
      <c r="D5" s="13"/>
      <c r="F5" s="14"/>
      <c r="G5" s="14"/>
      <c r="H5" s="14"/>
      <c r="I5" s="14"/>
      <c r="J5" s="14"/>
      <c r="K5" s="18"/>
    </row>
    <row r="6" ht="115.5" customHeight="1">
      <c r="A6" s="20" t="s">
        <v>1873</v>
      </c>
      <c r="K6" s="21"/>
    </row>
    <row r="7" ht="64.5" customHeight="1">
      <c r="A7" s="22" t="s">
        <v>1874</v>
      </c>
      <c r="K7" s="21"/>
    </row>
    <row r="8" ht="42.0" customHeight="1">
      <c r="A8" s="88" t="s">
        <v>90</v>
      </c>
      <c r="B8" s="24"/>
      <c r="C8" s="24"/>
      <c r="D8" s="24"/>
      <c r="E8" s="24"/>
      <c r="F8" s="24"/>
      <c r="G8" s="24"/>
      <c r="H8" s="24"/>
      <c r="I8" s="24"/>
      <c r="J8" s="24"/>
      <c r="K8" s="25"/>
    </row>
    <row r="9" ht="19.5" customHeight="1">
      <c r="A9" s="26" t="s">
        <v>1</v>
      </c>
      <c r="B9" s="26" t="s">
        <v>91</v>
      </c>
      <c r="C9" s="26" t="s">
        <v>92</v>
      </c>
      <c r="D9" s="26" t="s">
        <v>93</v>
      </c>
      <c r="E9" s="27" t="s">
        <v>94</v>
      </c>
      <c r="F9" s="28"/>
      <c r="G9" s="29"/>
      <c r="H9" s="30"/>
      <c r="I9" s="30"/>
      <c r="J9" s="31" t="s">
        <v>95</v>
      </c>
      <c r="K9" s="26" t="s">
        <v>96</v>
      </c>
    </row>
    <row r="10" ht="19.5" customHeight="1">
      <c r="A10" s="32"/>
      <c r="B10" s="32"/>
      <c r="C10" s="32"/>
      <c r="D10" s="32"/>
      <c r="E10" s="33" t="s">
        <v>97</v>
      </c>
      <c r="F10" s="34" t="s">
        <v>121</v>
      </c>
      <c r="G10" s="34" t="s">
        <v>99</v>
      </c>
      <c r="H10" s="35" t="s">
        <v>100</v>
      </c>
      <c r="I10" s="35" t="s">
        <v>101</v>
      </c>
      <c r="J10" s="32"/>
      <c r="K10" s="32"/>
    </row>
    <row r="11" ht="19.5" customHeight="1">
      <c r="A11" s="46">
        <v>1.0</v>
      </c>
      <c r="B11" s="37" t="s">
        <v>147</v>
      </c>
      <c r="C11" s="46" t="s">
        <v>148</v>
      </c>
      <c r="D11" s="78">
        <v>4.0</v>
      </c>
      <c r="E11" s="37">
        <v>2.0</v>
      </c>
      <c r="F11" s="40">
        <v>4.0</v>
      </c>
      <c r="G11" s="40">
        <v>4.0</v>
      </c>
      <c r="H11" s="40">
        <f>G11*F11*E11*D11</f>
        <v>128</v>
      </c>
      <c r="I11" s="42"/>
      <c r="J11" s="43">
        <f t="shared" ref="J11:J13" si="1">H11-I11</f>
        <v>128</v>
      </c>
      <c r="K11" s="46"/>
    </row>
    <row r="12" ht="19.5" customHeight="1">
      <c r="A12" s="46"/>
      <c r="B12" s="37"/>
      <c r="C12" s="46"/>
      <c r="D12" s="78"/>
      <c r="E12" s="37"/>
      <c r="F12" s="40"/>
      <c r="G12" s="40" t="s">
        <v>1858</v>
      </c>
      <c r="H12" s="40"/>
      <c r="I12" s="42"/>
      <c r="J12" s="43">
        <f t="shared" si="1"/>
        <v>0</v>
      </c>
      <c r="K12" s="79"/>
    </row>
    <row r="13" ht="19.5" customHeight="1">
      <c r="A13" s="46"/>
      <c r="B13" s="37"/>
      <c r="C13" s="46"/>
      <c r="D13" s="78"/>
      <c r="E13" s="37"/>
      <c r="F13" s="40"/>
      <c r="G13" s="40"/>
      <c r="H13" s="40"/>
      <c r="I13" s="42"/>
      <c r="J13" s="43">
        <f t="shared" si="1"/>
        <v>0</v>
      </c>
      <c r="K13" s="79"/>
    </row>
    <row r="14" ht="19.5" customHeight="1">
      <c r="A14" s="74" t="s">
        <v>1</v>
      </c>
      <c r="B14" s="74" t="s">
        <v>91</v>
      </c>
      <c r="C14" s="74" t="s">
        <v>92</v>
      </c>
      <c r="D14" s="74" t="s">
        <v>93</v>
      </c>
      <c r="E14" s="50" t="s">
        <v>97</v>
      </c>
      <c r="F14" s="53" t="s">
        <v>121</v>
      </c>
      <c r="G14" s="53" t="s">
        <v>99</v>
      </c>
      <c r="H14" s="75" t="s">
        <v>100</v>
      </c>
      <c r="I14" s="75" t="s">
        <v>101</v>
      </c>
      <c r="J14" s="76" t="s">
        <v>95</v>
      </c>
      <c r="K14" s="74" t="s">
        <v>96</v>
      </c>
    </row>
    <row r="15" ht="19.5" customHeight="1">
      <c r="A15" s="46">
        <v>1.0</v>
      </c>
      <c r="B15" s="37" t="s">
        <v>1320</v>
      </c>
      <c r="C15" s="46" t="s">
        <v>148</v>
      </c>
      <c r="D15" s="78">
        <v>4.0</v>
      </c>
      <c r="E15" s="37">
        <v>0.15</v>
      </c>
      <c r="F15" s="78">
        <v>4.0</v>
      </c>
      <c r="G15" s="40">
        <v>4.0</v>
      </c>
      <c r="H15" s="40">
        <f>G15*F15*E15*D15</f>
        <v>9.6</v>
      </c>
      <c r="I15" s="42"/>
      <c r="J15" s="264">
        <f>SUM(H15:H16)</f>
        <v>9.6</v>
      </c>
      <c r="K15" s="46"/>
    </row>
    <row r="16" ht="19.5" customHeight="1">
      <c r="A16" s="46"/>
      <c r="B16" s="37"/>
      <c r="C16" s="46"/>
      <c r="D16" s="78"/>
      <c r="E16" s="37"/>
      <c r="F16" s="78"/>
      <c r="G16" s="40"/>
      <c r="H16" s="40"/>
      <c r="I16" s="42"/>
      <c r="J16" s="32"/>
      <c r="K16" s="46"/>
    </row>
    <row r="17" ht="19.5" customHeight="1">
      <c r="A17" s="74" t="s">
        <v>1</v>
      </c>
      <c r="B17" s="74" t="s">
        <v>91</v>
      </c>
      <c r="C17" s="74" t="s">
        <v>92</v>
      </c>
      <c r="D17" s="74" t="s">
        <v>93</v>
      </c>
      <c r="E17" s="50" t="s">
        <v>97</v>
      </c>
      <c r="F17" s="53" t="s">
        <v>121</v>
      </c>
      <c r="G17" s="53" t="s">
        <v>99</v>
      </c>
      <c r="H17" s="75" t="s">
        <v>100</v>
      </c>
      <c r="I17" s="75" t="s">
        <v>101</v>
      </c>
      <c r="J17" s="76" t="s">
        <v>95</v>
      </c>
      <c r="K17" s="74" t="s">
        <v>96</v>
      </c>
    </row>
    <row r="18" ht="19.5" customHeight="1">
      <c r="A18" s="46">
        <v>1.0</v>
      </c>
      <c r="B18" s="37" t="s">
        <v>345</v>
      </c>
      <c r="C18" s="46" t="s">
        <v>148</v>
      </c>
      <c r="D18" s="78"/>
      <c r="E18" s="37"/>
      <c r="F18" s="78"/>
      <c r="G18" s="40"/>
      <c r="H18" s="40"/>
      <c r="I18" s="42"/>
      <c r="J18" s="40"/>
      <c r="K18" s="46"/>
    </row>
    <row r="19" ht="19.5" customHeight="1">
      <c r="A19" s="46"/>
      <c r="B19" s="37"/>
      <c r="C19" s="46"/>
      <c r="D19" s="78"/>
      <c r="E19" s="37"/>
      <c r="F19" s="78"/>
      <c r="G19" s="40"/>
      <c r="H19" s="40"/>
      <c r="I19" s="42"/>
      <c r="J19" s="43">
        <f>SUM(H18:H19)</f>
        <v>0</v>
      </c>
      <c r="K19" s="46"/>
    </row>
    <row r="20" ht="19.5" customHeight="1">
      <c r="A20" s="74" t="s">
        <v>1</v>
      </c>
      <c r="B20" s="74" t="s">
        <v>91</v>
      </c>
      <c r="C20" s="74" t="s">
        <v>92</v>
      </c>
      <c r="D20" s="74" t="s">
        <v>93</v>
      </c>
      <c r="E20" s="50" t="s">
        <v>347</v>
      </c>
      <c r="F20" s="53" t="s">
        <v>121</v>
      </c>
      <c r="G20" s="53" t="s">
        <v>99</v>
      </c>
      <c r="H20" s="75" t="s">
        <v>100</v>
      </c>
      <c r="I20" s="75" t="s">
        <v>101</v>
      </c>
      <c r="J20" s="76" t="s">
        <v>95</v>
      </c>
      <c r="K20" s="74" t="s">
        <v>96</v>
      </c>
    </row>
    <row r="21" ht="19.5" customHeight="1">
      <c r="A21" s="46">
        <v>1.0</v>
      </c>
      <c r="B21" s="37" t="s">
        <v>912</v>
      </c>
      <c r="C21" s="46" t="s">
        <v>103</v>
      </c>
      <c r="D21" s="78"/>
      <c r="E21" s="37"/>
      <c r="F21" s="40"/>
      <c r="G21" s="40"/>
      <c r="H21" s="40"/>
      <c r="I21" s="42"/>
      <c r="J21" s="107"/>
      <c r="K21" s="46" t="s">
        <v>1322</v>
      </c>
    </row>
    <row r="22" ht="19.5" customHeight="1">
      <c r="A22" s="74" t="s">
        <v>1</v>
      </c>
      <c r="B22" s="74" t="s">
        <v>91</v>
      </c>
      <c r="C22" s="74" t="s">
        <v>92</v>
      </c>
      <c r="D22" s="74" t="s">
        <v>93</v>
      </c>
      <c r="E22" s="50" t="s">
        <v>187</v>
      </c>
      <c r="F22" s="53"/>
      <c r="G22" s="53"/>
      <c r="H22" s="75" t="s">
        <v>100</v>
      </c>
      <c r="I22" s="75" t="s">
        <v>101</v>
      </c>
      <c r="J22" s="76" t="s">
        <v>95</v>
      </c>
      <c r="K22" s="74" t="s">
        <v>96</v>
      </c>
    </row>
    <row r="23" ht="19.5" customHeight="1">
      <c r="A23" s="46">
        <v>1.0</v>
      </c>
      <c r="B23" s="37" t="s">
        <v>1323</v>
      </c>
      <c r="C23" s="46" t="s">
        <v>158</v>
      </c>
      <c r="D23" s="78" t="str">
        <f>D21</f>
        <v/>
      </c>
      <c r="E23" s="37">
        <v>100.0</v>
      </c>
      <c r="F23" s="40"/>
      <c r="G23" s="40"/>
      <c r="H23" s="40">
        <f>E23*D23</f>
        <v>0</v>
      </c>
      <c r="I23" s="42"/>
      <c r="J23" s="43">
        <f>H23-I23</f>
        <v>0</v>
      </c>
      <c r="K23" s="46" t="s">
        <v>355</v>
      </c>
    </row>
    <row r="24" ht="19.5" customHeight="1">
      <c r="A24" s="50" t="s">
        <v>1</v>
      </c>
      <c r="B24" s="50" t="s">
        <v>91</v>
      </c>
      <c r="C24" s="50" t="s">
        <v>92</v>
      </c>
      <c r="D24" s="50" t="s">
        <v>93</v>
      </c>
      <c r="E24" s="50" t="s">
        <v>97</v>
      </c>
      <c r="F24" s="53" t="s">
        <v>121</v>
      </c>
      <c r="G24" s="53" t="s">
        <v>99</v>
      </c>
      <c r="H24" s="53" t="s">
        <v>100</v>
      </c>
      <c r="I24" s="53" t="s">
        <v>101</v>
      </c>
      <c r="J24" s="53" t="s">
        <v>95</v>
      </c>
      <c r="K24" s="50" t="s">
        <v>96</v>
      </c>
    </row>
    <row r="25" ht="19.5" customHeight="1">
      <c r="A25" s="46">
        <v>1.0</v>
      </c>
      <c r="B25" s="416" t="s">
        <v>1337</v>
      </c>
      <c r="C25" s="46" t="s">
        <v>108</v>
      </c>
      <c r="D25" s="78">
        <v>1.0</v>
      </c>
      <c r="E25" s="37"/>
      <c r="F25" s="78"/>
      <c r="G25" s="40"/>
      <c r="H25" s="40"/>
      <c r="I25" s="42"/>
      <c r="J25" s="43">
        <f t="shared" ref="J25:J29" si="2">D25</f>
        <v>1</v>
      </c>
      <c r="K25" s="46"/>
    </row>
    <row r="26" ht="19.5" customHeight="1">
      <c r="A26" s="46">
        <v>2.0</v>
      </c>
      <c r="B26" s="416" t="s">
        <v>1338</v>
      </c>
      <c r="C26" s="46" t="s">
        <v>108</v>
      </c>
      <c r="D26" s="78">
        <v>1.0</v>
      </c>
      <c r="E26" s="37"/>
      <c r="F26" s="78"/>
      <c r="G26" s="40"/>
      <c r="H26" s="40"/>
      <c r="I26" s="42"/>
      <c r="J26" s="43">
        <f t="shared" si="2"/>
        <v>1</v>
      </c>
      <c r="K26" s="46"/>
    </row>
    <row r="27" ht="19.5" customHeight="1">
      <c r="A27" s="46">
        <v>3.0</v>
      </c>
      <c r="B27" s="416" t="s">
        <v>1339</v>
      </c>
      <c r="C27" s="46" t="s">
        <v>106</v>
      </c>
      <c r="D27" s="78">
        <v>1.0</v>
      </c>
      <c r="E27" s="37"/>
      <c r="F27" s="78"/>
      <c r="G27" s="40"/>
      <c r="H27" s="40"/>
      <c r="I27" s="42"/>
      <c r="J27" s="43">
        <f t="shared" si="2"/>
        <v>1</v>
      </c>
      <c r="K27" s="40"/>
    </row>
    <row r="28" ht="19.5" customHeight="1">
      <c r="A28" s="46">
        <v>3.0</v>
      </c>
      <c r="B28" s="416" t="s">
        <v>1340</v>
      </c>
      <c r="C28" s="46" t="s">
        <v>106</v>
      </c>
      <c r="D28" s="78">
        <v>6.0</v>
      </c>
      <c r="E28" s="37"/>
      <c r="F28" s="78"/>
      <c r="G28" s="40"/>
      <c r="H28" s="40"/>
      <c r="I28" s="42"/>
      <c r="J28" s="43">
        <f t="shared" si="2"/>
        <v>6</v>
      </c>
      <c r="K28" s="40"/>
    </row>
    <row r="29" ht="19.5" customHeight="1">
      <c r="A29" s="46">
        <v>3.0</v>
      </c>
      <c r="B29" s="416" t="s">
        <v>1341</v>
      </c>
      <c r="C29" s="46" t="s">
        <v>1342</v>
      </c>
      <c r="D29" s="78">
        <v>1.0</v>
      </c>
      <c r="E29" s="37"/>
      <c r="F29" s="78"/>
      <c r="G29" s="40"/>
      <c r="H29" s="40"/>
      <c r="I29" s="42"/>
      <c r="J29" s="43">
        <f t="shared" si="2"/>
        <v>1</v>
      </c>
      <c r="K29" s="40"/>
    </row>
    <row r="30" ht="19.5" customHeight="1">
      <c r="A30" s="12"/>
      <c r="C30" s="12"/>
      <c r="D30" s="13"/>
      <c r="F30" s="14"/>
      <c r="G30" s="14"/>
      <c r="H30" s="14"/>
      <c r="I30" s="14"/>
      <c r="J30" s="14"/>
      <c r="K30" s="12"/>
    </row>
    <row r="31" ht="19.5" customHeight="1">
      <c r="A31" s="74" t="s">
        <v>1</v>
      </c>
      <c r="B31" s="74" t="s">
        <v>91</v>
      </c>
      <c r="C31" s="74" t="s">
        <v>92</v>
      </c>
      <c r="D31" s="74" t="s">
        <v>93</v>
      </c>
      <c r="E31" s="50" t="s">
        <v>97</v>
      </c>
      <c r="F31" s="53" t="s">
        <v>121</v>
      </c>
      <c r="G31" s="53" t="s">
        <v>99</v>
      </c>
      <c r="H31" s="53" t="s">
        <v>100</v>
      </c>
      <c r="I31" s="53" t="s">
        <v>101</v>
      </c>
      <c r="J31" s="53" t="s">
        <v>95</v>
      </c>
      <c r="K31" s="50" t="s">
        <v>96</v>
      </c>
    </row>
    <row r="32" ht="19.5" customHeight="1">
      <c r="A32" s="46">
        <v>1.0</v>
      </c>
      <c r="B32" s="37" t="s">
        <v>1343</v>
      </c>
      <c r="C32" s="46" t="s">
        <v>103</v>
      </c>
      <c r="D32" s="78">
        <v>1.0</v>
      </c>
      <c r="E32" s="37">
        <v>1.0</v>
      </c>
      <c r="F32" s="78">
        <v>1.0</v>
      </c>
      <c r="G32" s="40">
        <v>1.0</v>
      </c>
      <c r="H32" s="40">
        <v>1.0</v>
      </c>
      <c r="I32" s="42"/>
      <c r="J32" s="40"/>
      <c r="K32" s="46"/>
    </row>
    <row r="33" ht="19.5" customHeight="1">
      <c r="A33" s="46"/>
      <c r="B33" s="37"/>
      <c r="C33" s="46"/>
      <c r="D33" s="78"/>
      <c r="E33" s="37"/>
      <c r="F33" s="78"/>
      <c r="G33" s="40"/>
      <c r="H33" s="40"/>
      <c r="I33" s="42"/>
      <c r="J33" s="43">
        <f>SUM(H32:H33)</f>
        <v>1</v>
      </c>
      <c r="K33" s="46"/>
    </row>
    <row r="34" ht="19.5" customHeight="1">
      <c r="A34" s="12"/>
      <c r="C34" s="12"/>
      <c r="D34" s="13"/>
      <c r="F34" s="14"/>
      <c r="G34" s="14"/>
      <c r="H34" s="14"/>
      <c r="I34" s="14"/>
      <c r="J34" s="14"/>
      <c r="K34" s="12"/>
    </row>
    <row r="35" ht="19.5" customHeight="1">
      <c r="A35" s="74" t="s">
        <v>1</v>
      </c>
      <c r="B35" s="74" t="s">
        <v>91</v>
      </c>
      <c r="C35" s="74" t="s">
        <v>92</v>
      </c>
      <c r="D35" s="74" t="s">
        <v>93</v>
      </c>
      <c r="E35" s="50" t="s">
        <v>97</v>
      </c>
      <c r="F35" s="53" t="s">
        <v>121</v>
      </c>
      <c r="G35" s="53" t="s">
        <v>99</v>
      </c>
      <c r="H35" s="53" t="s">
        <v>100</v>
      </c>
      <c r="I35" s="53" t="s">
        <v>101</v>
      </c>
      <c r="J35" s="53" t="s">
        <v>95</v>
      </c>
      <c r="K35" s="50" t="s">
        <v>96</v>
      </c>
    </row>
    <row r="36" ht="19.5" customHeight="1">
      <c r="A36" s="46">
        <v>1.0</v>
      </c>
      <c r="B36" s="37" t="s">
        <v>1778</v>
      </c>
      <c r="C36" s="46" t="s">
        <v>103</v>
      </c>
      <c r="D36" s="78">
        <v>4.0</v>
      </c>
      <c r="E36" s="37">
        <v>1.0</v>
      </c>
      <c r="F36" s="78">
        <v>10.0</v>
      </c>
      <c r="G36" s="40">
        <v>10.0</v>
      </c>
      <c r="H36" s="40">
        <f>F36*E36*D36</f>
        <v>40</v>
      </c>
      <c r="I36" s="42"/>
      <c r="J36" s="327">
        <f>SUM(H36:H37)</f>
        <v>40</v>
      </c>
      <c r="K36" s="46"/>
    </row>
    <row r="37" ht="19.5" customHeight="1">
      <c r="A37" s="46"/>
      <c r="B37" s="37"/>
      <c r="C37" s="46"/>
      <c r="D37" s="78"/>
      <c r="E37" s="37"/>
      <c r="F37" s="78"/>
      <c r="G37" s="40"/>
      <c r="H37" s="40"/>
      <c r="I37" s="42"/>
      <c r="J37" s="32"/>
      <c r="K37" s="46"/>
    </row>
    <row r="38" ht="19.5" customHeight="1">
      <c r="A38" s="12"/>
      <c r="C38" s="12"/>
      <c r="D38" s="13"/>
      <c r="F38" s="14"/>
      <c r="G38" s="14"/>
      <c r="H38" s="14"/>
      <c r="I38" s="14"/>
      <c r="J38" s="14"/>
      <c r="K38" s="12"/>
    </row>
    <row r="39" ht="19.5" customHeight="1">
      <c r="A39" s="12"/>
      <c r="C39" s="12"/>
      <c r="D39" s="13"/>
      <c r="F39" s="14"/>
      <c r="G39" s="14"/>
      <c r="H39" s="14"/>
      <c r="I39" s="14"/>
      <c r="J39" s="14"/>
      <c r="K39" s="12"/>
    </row>
    <row r="40" ht="19.5" customHeight="1">
      <c r="A40" s="12"/>
      <c r="C40" s="12"/>
      <c r="D40" s="13"/>
      <c r="F40" s="14"/>
      <c r="G40" s="14"/>
      <c r="H40" s="14"/>
      <c r="I40" s="14"/>
      <c r="J40" s="14"/>
      <c r="K40" s="12"/>
    </row>
    <row r="41" ht="19.5" customHeight="1">
      <c r="A41" s="12"/>
      <c r="C41" s="12"/>
      <c r="D41" s="13"/>
      <c r="F41" s="14"/>
      <c r="G41" s="14"/>
      <c r="H41" s="14"/>
      <c r="I41" s="14"/>
      <c r="J41" s="14"/>
      <c r="K41" s="12"/>
    </row>
    <row r="42" ht="19.5" customHeight="1">
      <c r="A42" s="12"/>
      <c r="C42" s="12"/>
      <c r="D42" s="13"/>
      <c r="F42" s="14"/>
      <c r="G42" s="14"/>
      <c r="H42" s="14"/>
      <c r="I42" s="14"/>
      <c r="J42" s="14"/>
      <c r="K42" s="12"/>
    </row>
    <row r="43" ht="19.5" customHeight="1">
      <c r="A43" s="12"/>
      <c r="C43" s="12"/>
      <c r="D43" s="13"/>
      <c r="F43" s="14"/>
      <c r="G43" s="14"/>
      <c r="H43" s="14"/>
      <c r="I43" s="14"/>
      <c r="J43" s="14"/>
      <c r="K43" s="12"/>
    </row>
    <row r="44" ht="19.5" customHeight="1">
      <c r="A44" s="12"/>
      <c r="C44" s="12"/>
      <c r="D44" s="13"/>
      <c r="F44" s="14"/>
      <c r="G44" s="14"/>
      <c r="H44" s="14"/>
      <c r="I44" s="14"/>
      <c r="J44" s="14"/>
      <c r="K44" s="12"/>
    </row>
    <row r="45" ht="19.5" customHeight="1">
      <c r="A45" s="12"/>
      <c r="C45" s="12"/>
      <c r="D45" s="13"/>
      <c r="F45" s="14"/>
      <c r="G45" s="14"/>
      <c r="H45" s="14"/>
      <c r="I45" s="14"/>
      <c r="J45" s="14"/>
      <c r="K45" s="12"/>
    </row>
    <row r="46" ht="19.5" customHeight="1">
      <c r="A46" s="12"/>
      <c r="C46" s="12"/>
      <c r="D46" s="13"/>
      <c r="F46" s="14"/>
      <c r="G46" s="14"/>
      <c r="H46" s="14"/>
      <c r="I46" s="14"/>
      <c r="J46" s="14"/>
      <c r="K46" s="12"/>
    </row>
    <row r="47" ht="19.5" customHeight="1">
      <c r="A47" s="12"/>
      <c r="C47" s="12"/>
      <c r="D47" s="13"/>
      <c r="F47" s="14"/>
      <c r="G47" s="14"/>
      <c r="H47" s="14"/>
      <c r="I47" s="14"/>
      <c r="J47" s="14"/>
      <c r="K47" s="12"/>
    </row>
    <row r="48" ht="19.5" customHeight="1">
      <c r="A48" s="12"/>
      <c r="C48" s="12"/>
      <c r="D48" s="13"/>
      <c r="F48" s="14"/>
      <c r="G48" s="14"/>
      <c r="H48" s="14"/>
      <c r="I48" s="14"/>
      <c r="J48" s="14"/>
      <c r="K48" s="12"/>
    </row>
    <row r="49" ht="19.5" customHeight="1">
      <c r="A49" s="12"/>
      <c r="C49" s="12"/>
      <c r="D49" s="13"/>
      <c r="F49" s="14"/>
      <c r="G49" s="14"/>
      <c r="H49" s="14"/>
      <c r="I49" s="14"/>
      <c r="J49" s="14"/>
      <c r="K49" s="12"/>
    </row>
    <row r="50" ht="19.5" customHeight="1">
      <c r="A50" s="12"/>
      <c r="C50" s="12"/>
      <c r="D50" s="13"/>
      <c r="F50" s="14"/>
      <c r="G50" s="14"/>
      <c r="H50" s="14"/>
      <c r="I50" s="14"/>
      <c r="J50" s="14"/>
      <c r="K50" s="12"/>
    </row>
    <row r="51" ht="19.5" customHeight="1">
      <c r="A51" s="12"/>
      <c r="C51" s="12"/>
      <c r="D51" s="13"/>
      <c r="F51" s="14"/>
      <c r="G51" s="14"/>
      <c r="H51" s="14"/>
      <c r="I51" s="14"/>
      <c r="J51" s="14"/>
      <c r="K51" s="12"/>
    </row>
    <row r="52" ht="19.5" customHeight="1">
      <c r="A52" s="12"/>
      <c r="C52" s="12"/>
      <c r="D52" s="13"/>
      <c r="F52" s="14"/>
      <c r="G52" s="14"/>
      <c r="H52" s="14"/>
      <c r="I52" s="14"/>
      <c r="J52" s="14"/>
      <c r="K52" s="12"/>
    </row>
    <row r="53" ht="19.5" customHeight="1">
      <c r="A53" s="12"/>
      <c r="C53" s="12"/>
      <c r="D53" s="13"/>
      <c r="F53" s="14"/>
      <c r="G53" s="14"/>
      <c r="H53" s="14"/>
      <c r="I53" s="14"/>
      <c r="J53" s="14"/>
      <c r="K53" s="12"/>
    </row>
    <row r="54" ht="19.5" customHeight="1">
      <c r="A54" s="12"/>
      <c r="C54" s="12"/>
      <c r="D54" s="13"/>
      <c r="F54" s="14"/>
      <c r="G54" s="14"/>
      <c r="H54" s="14"/>
      <c r="I54" s="14"/>
      <c r="J54" s="14"/>
      <c r="K54" s="12"/>
    </row>
    <row r="55" ht="19.5" customHeight="1">
      <c r="A55" s="12"/>
      <c r="C55" s="12"/>
      <c r="D55" s="13"/>
      <c r="F55" s="14"/>
      <c r="G55" s="14"/>
      <c r="H55" s="14"/>
      <c r="I55" s="14"/>
      <c r="J55" s="14"/>
      <c r="K55" s="12"/>
    </row>
    <row r="56" ht="19.5" customHeight="1">
      <c r="A56" s="12"/>
      <c r="C56" s="12"/>
      <c r="D56" s="13"/>
      <c r="F56" s="14"/>
      <c r="G56" s="14"/>
      <c r="H56" s="14"/>
      <c r="I56" s="14"/>
      <c r="J56" s="14"/>
      <c r="K56" s="12"/>
    </row>
    <row r="57" ht="19.5" customHeight="1">
      <c r="A57" s="12"/>
      <c r="C57" s="12"/>
      <c r="D57" s="13"/>
      <c r="F57" s="14"/>
      <c r="G57" s="14"/>
      <c r="H57" s="14"/>
      <c r="I57" s="14"/>
      <c r="J57" s="14"/>
      <c r="K57" s="12"/>
    </row>
    <row r="58" ht="19.5" customHeight="1">
      <c r="A58" s="12"/>
      <c r="C58" s="12"/>
      <c r="D58" s="13"/>
      <c r="F58" s="14"/>
      <c r="G58" s="14"/>
      <c r="H58" s="14"/>
      <c r="I58" s="14"/>
      <c r="J58" s="14"/>
      <c r="K58" s="12"/>
    </row>
    <row r="59" ht="19.5" customHeight="1">
      <c r="A59" s="12"/>
      <c r="C59" s="12"/>
      <c r="D59" s="13"/>
      <c r="F59" s="14"/>
      <c r="G59" s="14"/>
      <c r="H59" s="14"/>
      <c r="I59" s="14"/>
      <c r="J59" s="14"/>
      <c r="K59" s="12"/>
    </row>
    <row r="60" ht="19.5" customHeight="1">
      <c r="A60" s="12"/>
      <c r="C60" s="12"/>
      <c r="D60" s="13"/>
      <c r="F60" s="14"/>
      <c r="G60" s="14"/>
      <c r="H60" s="14"/>
      <c r="I60" s="14"/>
      <c r="J60" s="14"/>
      <c r="K60" s="12"/>
    </row>
    <row r="61" ht="19.5" customHeight="1">
      <c r="A61" s="12"/>
      <c r="C61" s="12"/>
      <c r="D61" s="13"/>
      <c r="F61" s="14"/>
      <c r="G61" s="14"/>
      <c r="H61" s="14"/>
      <c r="I61" s="14"/>
      <c r="J61" s="14"/>
      <c r="K61" s="12"/>
    </row>
    <row r="62" ht="19.5" customHeight="1">
      <c r="A62" s="12"/>
      <c r="C62" s="12"/>
      <c r="D62" s="13"/>
      <c r="F62" s="14"/>
      <c r="G62" s="14"/>
      <c r="H62" s="14"/>
      <c r="I62" s="14"/>
      <c r="J62" s="14"/>
      <c r="K62" s="12"/>
    </row>
    <row r="63" ht="19.5" customHeight="1">
      <c r="A63" s="12"/>
      <c r="C63" s="12"/>
      <c r="D63" s="13"/>
      <c r="F63" s="14"/>
      <c r="G63" s="14"/>
      <c r="H63" s="14"/>
      <c r="I63" s="14"/>
      <c r="J63" s="14"/>
      <c r="K63" s="12"/>
    </row>
    <row r="64" ht="19.5" customHeight="1">
      <c r="A64" s="12"/>
      <c r="C64" s="12"/>
      <c r="D64" s="13"/>
      <c r="F64" s="14"/>
      <c r="G64" s="14"/>
      <c r="H64" s="14"/>
      <c r="I64" s="14"/>
      <c r="J64" s="14"/>
      <c r="K64" s="12"/>
    </row>
    <row r="65" ht="19.5" customHeight="1">
      <c r="A65" s="12"/>
      <c r="C65" s="12"/>
      <c r="D65" s="13"/>
      <c r="F65" s="14"/>
      <c r="G65" s="14"/>
      <c r="H65" s="14"/>
      <c r="I65" s="14"/>
      <c r="J65" s="14"/>
      <c r="K65" s="12"/>
    </row>
    <row r="66" ht="19.5" customHeight="1">
      <c r="A66" s="12"/>
      <c r="C66" s="12"/>
      <c r="D66" s="13"/>
      <c r="F66" s="14"/>
      <c r="G66" s="14"/>
      <c r="H66" s="14"/>
      <c r="I66" s="14"/>
      <c r="J66" s="14"/>
      <c r="K66" s="12"/>
    </row>
    <row r="67" ht="19.5" customHeight="1">
      <c r="A67" s="12"/>
      <c r="C67" s="12"/>
      <c r="D67" s="13"/>
      <c r="F67" s="14"/>
      <c r="G67" s="14"/>
      <c r="H67" s="14"/>
      <c r="I67" s="14"/>
      <c r="J67" s="14"/>
      <c r="K67" s="12"/>
    </row>
    <row r="68" ht="19.5" customHeight="1">
      <c r="A68" s="12"/>
      <c r="C68" s="12"/>
      <c r="D68" s="13"/>
      <c r="F68" s="14"/>
      <c r="G68" s="14"/>
      <c r="H68" s="14"/>
      <c r="I68" s="14"/>
      <c r="J68" s="14"/>
      <c r="K68" s="12"/>
    </row>
    <row r="69" ht="19.5" customHeight="1">
      <c r="A69" s="12"/>
      <c r="C69" s="12"/>
      <c r="D69" s="13"/>
      <c r="F69" s="14"/>
      <c r="G69" s="14"/>
      <c r="H69" s="14"/>
      <c r="I69" s="14"/>
      <c r="J69" s="14"/>
      <c r="K69" s="12"/>
    </row>
    <row r="70" ht="19.5" customHeight="1">
      <c r="A70" s="12"/>
      <c r="C70" s="12"/>
      <c r="D70" s="13"/>
      <c r="F70" s="14"/>
      <c r="G70" s="14"/>
      <c r="H70" s="14"/>
      <c r="I70" s="14"/>
      <c r="J70" s="14"/>
      <c r="K70" s="12"/>
    </row>
    <row r="71" ht="19.5" customHeight="1">
      <c r="A71" s="12"/>
      <c r="C71" s="12"/>
      <c r="D71" s="13"/>
      <c r="F71" s="14"/>
      <c r="G71" s="14"/>
      <c r="H71" s="14"/>
      <c r="I71" s="14"/>
      <c r="J71" s="14"/>
      <c r="K71" s="12"/>
    </row>
    <row r="72" ht="19.5" customHeight="1">
      <c r="A72" s="12"/>
      <c r="C72" s="12"/>
      <c r="D72" s="13"/>
      <c r="F72" s="14"/>
      <c r="G72" s="14"/>
      <c r="H72" s="14"/>
      <c r="I72" s="14"/>
      <c r="J72" s="14"/>
      <c r="K72" s="12"/>
    </row>
    <row r="73" ht="19.5" customHeight="1">
      <c r="A73" s="12"/>
      <c r="C73" s="12"/>
      <c r="D73" s="13"/>
      <c r="F73" s="14"/>
      <c r="G73" s="14"/>
      <c r="H73" s="14"/>
      <c r="I73" s="14"/>
      <c r="J73" s="14"/>
      <c r="K73" s="12"/>
    </row>
    <row r="74" ht="19.5" customHeight="1">
      <c r="A74" s="12"/>
      <c r="C74" s="12"/>
      <c r="D74" s="13"/>
      <c r="F74" s="14"/>
      <c r="G74" s="14"/>
      <c r="H74" s="14"/>
      <c r="I74" s="14"/>
      <c r="J74" s="14"/>
      <c r="K74" s="12"/>
    </row>
    <row r="75" ht="19.5" customHeight="1">
      <c r="A75" s="12"/>
      <c r="C75" s="12"/>
      <c r="D75" s="13"/>
      <c r="F75" s="14"/>
      <c r="G75" s="14"/>
      <c r="H75" s="14"/>
      <c r="I75" s="14"/>
      <c r="J75" s="14"/>
      <c r="K75" s="12"/>
    </row>
    <row r="76" ht="19.5" customHeight="1">
      <c r="A76" s="12"/>
      <c r="C76" s="12"/>
      <c r="D76" s="13"/>
      <c r="F76" s="14"/>
      <c r="G76" s="14"/>
      <c r="H76" s="14"/>
      <c r="I76" s="14"/>
      <c r="J76" s="14"/>
      <c r="K76" s="12"/>
    </row>
    <row r="77" ht="19.5" customHeight="1">
      <c r="A77" s="12"/>
      <c r="C77" s="12"/>
      <c r="D77" s="13"/>
      <c r="F77" s="14"/>
      <c r="G77" s="14"/>
      <c r="H77" s="14"/>
      <c r="I77" s="14"/>
      <c r="J77" s="14"/>
      <c r="K77" s="12"/>
    </row>
    <row r="78" ht="19.5" customHeight="1">
      <c r="A78" s="12"/>
      <c r="C78" s="12"/>
      <c r="D78" s="13"/>
      <c r="F78" s="14"/>
      <c r="G78" s="14"/>
      <c r="H78" s="14"/>
      <c r="I78" s="14"/>
      <c r="J78" s="14"/>
      <c r="K78" s="12"/>
    </row>
    <row r="79" ht="19.5" customHeight="1">
      <c r="A79" s="12"/>
      <c r="C79" s="12"/>
      <c r="D79" s="13"/>
      <c r="F79" s="14"/>
      <c r="G79" s="14"/>
      <c r="H79" s="14"/>
      <c r="I79" s="14"/>
      <c r="J79" s="14"/>
      <c r="K79" s="12"/>
    </row>
    <row r="80" ht="19.5" customHeight="1">
      <c r="A80" s="12"/>
      <c r="C80" s="12"/>
      <c r="D80" s="13"/>
      <c r="F80" s="14"/>
      <c r="G80" s="14"/>
      <c r="H80" s="14"/>
      <c r="I80" s="14"/>
      <c r="J80" s="14"/>
      <c r="K80" s="12"/>
    </row>
    <row r="81" ht="19.5" customHeight="1">
      <c r="A81" s="12"/>
      <c r="C81" s="12"/>
      <c r="D81" s="13"/>
      <c r="F81" s="14"/>
      <c r="G81" s="14"/>
      <c r="H81" s="14"/>
      <c r="I81" s="14"/>
      <c r="J81" s="14"/>
      <c r="K81" s="12"/>
    </row>
    <row r="82" ht="19.5" customHeight="1">
      <c r="A82" s="12"/>
      <c r="C82" s="12"/>
      <c r="D82" s="13"/>
      <c r="F82" s="14"/>
      <c r="G82" s="14"/>
      <c r="H82" s="14"/>
      <c r="I82" s="14"/>
      <c r="J82" s="14"/>
      <c r="K82" s="12"/>
    </row>
    <row r="83" ht="19.5" customHeight="1">
      <c r="A83" s="12"/>
      <c r="C83" s="12"/>
      <c r="D83" s="13"/>
      <c r="F83" s="14"/>
      <c r="G83" s="14"/>
      <c r="H83" s="14"/>
      <c r="I83" s="14"/>
      <c r="J83" s="14"/>
      <c r="K83" s="12"/>
    </row>
    <row r="84" ht="19.5" customHeight="1">
      <c r="A84" s="12"/>
      <c r="C84" s="12"/>
      <c r="D84" s="13"/>
      <c r="F84" s="14"/>
      <c r="G84" s="14"/>
      <c r="H84" s="14"/>
      <c r="I84" s="14"/>
      <c r="J84" s="14"/>
      <c r="K84" s="12"/>
    </row>
    <row r="85" ht="19.5" customHeight="1">
      <c r="A85" s="12"/>
      <c r="C85" s="12"/>
      <c r="D85" s="13"/>
      <c r="F85" s="14"/>
      <c r="G85" s="14"/>
      <c r="H85" s="14"/>
      <c r="I85" s="14"/>
      <c r="J85" s="14"/>
      <c r="K85" s="12"/>
    </row>
    <row r="86" ht="19.5" customHeight="1">
      <c r="A86" s="12"/>
      <c r="C86" s="12"/>
      <c r="D86" s="13"/>
      <c r="F86" s="14"/>
      <c r="G86" s="14"/>
      <c r="H86" s="14"/>
      <c r="I86" s="14"/>
      <c r="J86" s="14"/>
      <c r="K86" s="12"/>
    </row>
    <row r="87" ht="19.5" customHeight="1">
      <c r="A87" s="12"/>
      <c r="C87" s="12"/>
      <c r="D87" s="13"/>
      <c r="F87" s="14"/>
      <c r="G87" s="14"/>
      <c r="H87" s="14"/>
      <c r="I87" s="14"/>
      <c r="J87" s="14"/>
      <c r="K87" s="12"/>
    </row>
    <row r="88" ht="19.5" customHeight="1">
      <c r="A88" s="12"/>
      <c r="C88" s="12"/>
      <c r="D88" s="13"/>
      <c r="F88" s="14"/>
      <c r="G88" s="14"/>
      <c r="H88" s="14"/>
      <c r="I88" s="14"/>
      <c r="J88" s="14"/>
      <c r="K88" s="12"/>
    </row>
    <row r="89" ht="19.5" customHeight="1">
      <c r="A89" s="12"/>
      <c r="C89" s="12"/>
      <c r="D89" s="13"/>
      <c r="F89" s="14"/>
      <c r="G89" s="14"/>
      <c r="H89" s="14"/>
      <c r="I89" s="14"/>
      <c r="J89" s="14"/>
      <c r="K89" s="12"/>
    </row>
    <row r="90" ht="19.5" customHeight="1">
      <c r="A90" s="12"/>
      <c r="C90" s="12"/>
      <c r="D90" s="13"/>
      <c r="F90" s="14"/>
      <c r="G90" s="14"/>
      <c r="H90" s="14"/>
      <c r="I90" s="14"/>
      <c r="J90" s="14"/>
      <c r="K90" s="12"/>
    </row>
    <row r="91" ht="19.5" customHeight="1">
      <c r="A91" s="12"/>
      <c r="C91" s="12"/>
      <c r="D91" s="13"/>
      <c r="F91" s="14"/>
      <c r="G91" s="14"/>
      <c r="H91" s="14"/>
      <c r="I91" s="14"/>
      <c r="J91" s="14"/>
      <c r="K91" s="12"/>
    </row>
    <row r="92" ht="19.5" customHeight="1">
      <c r="A92" s="12"/>
      <c r="C92" s="12"/>
      <c r="D92" s="13"/>
      <c r="F92" s="14"/>
      <c r="G92" s="14"/>
      <c r="H92" s="14"/>
      <c r="I92" s="14"/>
      <c r="J92" s="14"/>
      <c r="K92" s="12"/>
    </row>
    <row r="93" ht="19.5" customHeight="1">
      <c r="A93" s="12"/>
      <c r="C93" s="12"/>
      <c r="D93" s="13"/>
      <c r="F93" s="14"/>
      <c r="G93" s="14"/>
      <c r="H93" s="14"/>
      <c r="I93" s="14"/>
      <c r="J93" s="14"/>
      <c r="K93" s="12"/>
    </row>
    <row r="94" ht="19.5" customHeight="1">
      <c r="A94" s="12"/>
      <c r="C94" s="12"/>
      <c r="D94" s="13"/>
      <c r="F94" s="14"/>
      <c r="G94" s="14"/>
      <c r="H94" s="14"/>
      <c r="I94" s="14"/>
      <c r="J94" s="14"/>
      <c r="K94" s="12"/>
    </row>
    <row r="95" ht="19.5" customHeight="1">
      <c r="A95" s="12"/>
      <c r="C95" s="12"/>
      <c r="D95" s="13"/>
      <c r="F95" s="14"/>
      <c r="G95" s="14"/>
      <c r="H95" s="14"/>
      <c r="I95" s="14"/>
      <c r="J95" s="14"/>
      <c r="K95" s="12"/>
    </row>
    <row r="96" ht="19.5" customHeight="1">
      <c r="A96" s="12"/>
      <c r="C96" s="12"/>
      <c r="D96" s="13"/>
      <c r="F96" s="14"/>
      <c r="G96" s="14"/>
      <c r="H96" s="14"/>
      <c r="I96" s="14"/>
      <c r="J96" s="14"/>
      <c r="K96" s="12"/>
    </row>
    <row r="97" ht="19.5" customHeight="1">
      <c r="A97" s="12"/>
      <c r="C97" s="12"/>
      <c r="D97" s="13"/>
      <c r="F97" s="14"/>
      <c r="G97" s="14"/>
      <c r="H97" s="14"/>
      <c r="I97" s="14"/>
      <c r="J97" s="14"/>
      <c r="K97" s="12"/>
    </row>
    <row r="98" ht="19.5" customHeight="1">
      <c r="A98" s="12"/>
      <c r="C98" s="12"/>
      <c r="D98" s="13"/>
      <c r="F98" s="14"/>
      <c r="G98" s="14"/>
      <c r="H98" s="14"/>
      <c r="I98" s="14"/>
      <c r="J98" s="14"/>
      <c r="K98" s="12"/>
    </row>
    <row r="99" ht="19.5" customHeight="1">
      <c r="A99" s="12"/>
      <c r="C99" s="12"/>
      <c r="D99" s="13"/>
      <c r="F99" s="14"/>
      <c r="G99" s="14"/>
      <c r="H99" s="14"/>
      <c r="I99" s="14"/>
      <c r="J99" s="14"/>
      <c r="K99" s="12"/>
    </row>
    <row r="100" ht="19.5" customHeight="1">
      <c r="A100" s="12"/>
      <c r="C100" s="12"/>
      <c r="D100" s="13"/>
      <c r="F100" s="14"/>
      <c r="G100" s="14"/>
      <c r="H100" s="14"/>
      <c r="I100" s="14"/>
      <c r="J100" s="14"/>
      <c r="K100" s="12"/>
    </row>
    <row r="101" ht="19.5" customHeight="1">
      <c r="A101" s="12"/>
      <c r="C101" s="12"/>
      <c r="D101" s="13"/>
      <c r="F101" s="14"/>
      <c r="G101" s="14"/>
      <c r="H101" s="14"/>
      <c r="I101" s="14"/>
      <c r="J101" s="14"/>
      <c r="K101" s="12"/>
    </row>
    <row r="102" ht="19.5" customHeight="1">
      <c r="A102" s="12"/>
      <c r="C102" s="12"/>
      <c r="D102" s="13"/>
      <c r="F102" s="14"/>
      <c r="G102" s="14"/>
      <c r="H102" s="14"/>
      <c r="I102" s="14"/>
      <c r="J102" s="14"/>
      <c r="K102" s="12"/>
    </row>
    <row r="103" ht="19.5" customHeight="1">
      <c r="A103" s="12"/>
      <c r="C103" s="12"/>
      <c r="D103" s="13"/>
      <c r="F103" s="14"/>
      <c r="G103" s="14"/>
      <c r="H103" s="14"/>
      <c r="I103" s="14"/>
      <c r="J103" s="14"/>
      <c r="K103" s="12"/>
    </row>
    <row r="104" ht="19.5" customHeight="1">
      <c r="A104" s="12"/>
      <c r="C104" s="12"/>
      <c r="D104" s="13"/>
      <c r="F104" s="14"/>
      <c r="G104" s="14"/>
      <c r="H104" s="14"/>
      <c r="I104" s="14"/>
      <c r="J104" s="14"/>
      <c r="K104" s="12"/>
    </row>
    <row r="105" ht="19.5" customHeight="1">
      <c r="A105" s="12"/>
      <c r="C105" s="12"/>
      <c r="D105" s="13"/>
      <c r="F105" s="14"/>
      <c r="G105" s="14"/>
      <c r="H105" s="14"/>
      <c r="I105" s="14"/>
      <c r="J105" s="14"/>
      <c r="K105" s="12"/>
    </row>
    <row r="106" ht="19.5" customHeight="1">
      <c r="A106" s="12"/>
      <c r="C106" s="12"/>
      <c r="D106" s="13"/>
      <c r="F106" s="14"/>
      <c r="G106" s="14"/>
      <c r="H106" s="14"/>
      <c r="I106" s="14"/>
      <c r="J106" s="14"/>
      <c r="K106" s="12"/>
    </row>
    <row r="107" ht="19.5" customHeight="1">
      <c r="A107" s="12"/>
      <c r="C107" s="12"/>
      <c r="D107" s="13"/>
      <c r="F107" s="14"/>
      <c r="G107" s="14"/>
      <c r="H107" s="14"/>
      <c r="I107" s="14"/>
      <c r="J107" s="14"/>
      <c r="K107" s="12"/>
    </row>
    <row r="108" ht="19.5" customHeight="1">
      <c r="A108" s="12"/>
      <c r="C108" s="12"/>
      <c r="D108" s="13"/>
      <c r="F108" s="14"/>
      <c r="G108" s="14"/>
      <c r="H108" s="14"/>
      <c r="I108" s="14"/>
      <c r="J108" s="14"/>
      <c r="K108" s="12"/>
    </row>
    <row r="109" ht="19.5" customHeight="1">
      <c r="A109" s="12"/>
      <c r="C109" s="12"/>
      <c r="D109" s="13"/>
      <c r="F109" s="14"/>
      <c r="G109" s="14"/>
      <c r="H109" s="14"/>
      <c r="I109" s="14"/>
      <c r="J109" s="14"/>
      <c r="K109" s="12"/>
    </row>
    <row r="110" ht="19.5" customHeight="1">
      <c r="A110" s="12"/>
      <c r="C110" s="12"/>
      <c r="D110" s="13"/>
      <c r="F110" s="14"/>
      <c r="G110" s="14"/>
      <c r="H110" s="14"/>
      <c r="I110" s="14"/>
      <c r="J110" s="14"/>
      <c r="K110" s="12"/>
    </row>
    <row r="111" ht="19.5" customHeight="1">
      <c r="A111" s="12"/>
      <c r="C111" s="12"/>
      <c r="D111" s="13"/>
      <c r="F111" s="14"/>
      <c r="G111" s="14"/>
      <c r="H111" s="14"/>
      <c r="I111" s="14"/>
      <c r="J111" s="14"/>
      <c r="K111" s="12"/>
    </row>
    <row r="112" ht="19.5" customHeight="1">
      <c r="A112" s="12"/>
      <c r="C112" s="12"/>
      <c r="D112" s="13"/>
      <c r="F112" s="14"/>
      <c r="G112" s="14"/>
      <c r="H112" s="14"/>
      <c r="I112" s="14"/>
      <c r="J112" s="14"/>
      <c r="K112" s="12"/>
    </row>
    <row r="113" ht="19.5" customHeight="1">
      <c r="A113" s="12"/>
      <c r="C113" s="12"/>
      <c r="D113" s="13"/>
      <c r="F113" s="14"/>
      <c r="G113" s="14"/>
      <c r="H113" s="14"/>
      <c r="I113" s="14"/>
      <c r="J113" s="14"/>
      <c r="K113" s="12"/>
    </row>
    <row r="114" ht="19.5" customHeight="1">
      <c r="A114" s="12"/>
      <c r="C114" s="12"/>
      <c r="D114" s="13"/>
      <c r="F114" s="14"/>
      <c r="G114" s="14"/>
      <c r="H114" s="14"/>
      <c r="I114" s="14"/>
      <c r="J114" s="14"/>
      <c r="K114" s="12"/>
    </row>
    <row r="115" ht="19.5" customHeight="1">
      <c r="A115" s="12"/>
      <c r="C115" s="12"/>
      <c r="D115" s="13"/>
      <c r="F115" s="14"/>
      <c r="G115" s="14"/>
      <c r="H115" s="14"/>
      <c r="I115" s="14"/>
      <c r="J115" s="14"/>
      <c r="K115" s="12"/>
    </row>
    <row r="116" ht="19.5" customHeight="1">
      <c r="A116" s="12"/>
      <c r="C116" s="12"/>
      <c r="D116" s="13"/>
      <c r="F116" s="14"/>
      <c r="G116" s="14"/>
      <c r="H116" s="14"/>
      <c r="I116" s="14"/>
      <c r="J116" s="14"/>
      <c r="K116" s="12"/>
    </row>
    <row r="117" ht="19.5" customHeight="1">
      <c r="A117" s="12"/>
      <c r="C117" s="12"/>
      <c r="D117" s="13"/>
      <c r="F117" s="14"/>
      <c r="G117" s="14"/>
      <c r="H117" s="14"/>
      <c r="I117" s="14"/>
      <c r="J117" s="14"/>
      <c r="K117" s="12"/>
    </row>
    <row r="118" ht="19.5" customHeight="1">
      <c r="A118" s="12"/>
      <c r="C118" s="12"/>
      <c r="D118" s="13"/>
      <c r="F118" s="14"/>
      <c r="G118" s="14"/>
      <c r="H118" s="14"/>
      <c r="I118" s="14"/>
      <c r="J118" s="14"/>
      <c r="K118" s="12"/>
    </row>
    <row r="119" ht="19.5" customHeight="1">
      <c r="A119" s="12"/>
      <c r="C119" s="12"/>
      <c r="D119" s="13"/>
      <c r="F119" s="14"/>
      <c r="G119" s="14"/>
      <c r="H119" s="14"/>
      <c r="I119" s="14"/>
      <c r="J119" s="14"/>
      <c r="K119" s="12"/>
    </row>
    <row r="120" ht="19.5" customHeight="1">
      <c r="A120" s="12"/>
      <c r="C120" s="12"/>
      <c r="D120" s="13"/>
      <c r="F120" s="14"/>
      <c r="G120" s="14"/>
      <c r="H120" s="14"/>
      <c r="I120" s="14"/>
      <c r="J120" s="14"/>
      <c r="K120" s="12"/>
    </row>
    <row r="121" ht="19.5" customHeight="1">
      <c r="A121" s="12"/>
      <c r="C121" s="12"/>
      <c r="D121" s="13"/>
      <c r="F121" s="14"/>
      <c r="G121" s="14"/>
      <c r="H121" s="14"/>
      <c r="I121" s="14"/>
      <c r="J121" s="14"/>
      <c r="K121" s="12"/>
    </row>
    <row r="122" ht="19.5" customHeight="1">
      <c r="A122" s="12"/>
      <c r="C122" s="12"/>
      <c r="D122" s="13"/>
      <c r="F122" s="14"/>
      <c r="G122" s="14"/>
      <c r="H122" s="14"/>
      <c r="I122" s="14"/>
      <c r="J122" s="14"/>
      <c r="K122" s="12"/>
    </row>
    <row r="123" ht="19.5" customHeight="1">
      <c r="A123" s="12"/>
      <c r="C123" s="12"/>
      <c r="D123" s="13"/>
      <c r="F123" s="14"/>
      <c r="G123" s="14"/>
      <c r="H123" s="14"/>
      <c r="I123" s="14"/>
      <c r="J123" s="14"/>
      <c r="K123" s="12"/>
    </row>
    <row r="124" ht="19.5" customHeight="1">
      <c r="A124" s="12"/>
      <c r="C124" s="12"/>
      <c r="D124" s="13"/>
      <c r="F124" s="14"/>
      <c r="G124" s="14"/>
      <c r="H124" s="14"/>
      <c r="I124" s="14"/>
      <c r="J124" s="14"/>
      <c r="K124" s="12"/>
    </row>
    <row r="125" ht="19.5" customHeight="1">
      <c r="A125" s="12"/>
      <c r="C125" s="12"/>
      <c r="D125" s="13"/>
      <c r="F125" s="14"/>
      <c r="G125" s="14"/>
      <c r="H125" s="14"/>
      <c r="I125" s="14"/>
      <c r="J125" s="14"/>
      <c r="K125" s="12"/>
    </row>
    <row r="126" ht="19.5" customHeight="1">
      <c r="A126" s="12"/>
      <c r="C126" s="12"/>
      <c r="D126" s="13"/>
      <c r="F126" s="14"/>
      <c r="G126" s="14"/>
      <c r="H126" s="14"/>
      <c r="I126" s="14"/>
      <c r="J126" s="14"/>
      <c r="K126" s="12"/>
    </row>
    <row r="127" ht="19.5" customHeight="1">
      <c r="A127" s="12"/>
      <c r="C127" s="12"/>
      <c r="D127" s="13"/>
      <c r="F127" s="14"/>
      <c r="G127" s="14"/>
      <c r="H127" s="14"/>
      <c r="I127" s="14"/>
      <c r="J127" s="14"/>
      <c r="K127" s="12"/>
    </row>
    <row r="128" ht="19.5" customHeight="1">
      <c r="A128" s="12"/>
      <c r="C128" s="12"/>
      <c r="D128" s="13"/>
      <c r="F128" s="14"/>
      <c r="G128" s="14"/>
      <c r="H128" s="14"/>
      <c r="I128" s="14"/>
      <c r="J128" s="14"/>
      <c r="K128" s="12"/>
    </row>
    <row r="129" ht="19.5" customHeight="1">
      <c r="A129" s="12"/>
      <c r="C129" s="12"/>
      <c r="D129" s="13"/>
      <c r="F129" s="14"/>
      <c r="G129" s="14"/>
      <c r="H129" s="14"/>
      <c r="I129" s="14"/>
      <c r="J129" s="14"/>
      <c r="K129" s="12"/>
    </row>
    <row r="130" ht="19.5" customHeight="1">
      <c r="A130" s="12"/>
      <c r="C130" s="12"/>
      <c r="D130" s="13"/>
      <c r="F130" s="14"/>
      <c r="G130" s="14"/>
      <c r="H130" s="14"/>
      <c r="I130" s="14"/>
      <c r="J130" s="14"/>
      <c r="K130" s="12"/>
    </row>
    <row r="131" ht="19.5" customHeight="1">
      <c r="A131" s="12"/>
      <c r="C131" s="12"/>
      <c r="D131" s="13"/>
      <c r="F131" s="14"/>
      <c r="G131" s="14"/>
      <c r="H131" s="14"/>
      <c r="I131" s="14"/>
      <c r="J131" s="14"/>
      <c r="K131" s="12"/>
    </row>
    <row r="132" ht="19.5" customHeight="1">
      <c r="A132" s="12"/>
      <c r="C132" s="12"/>
      <c r="D132" s="13"/>
      <c r="F132" s="14"/>
      <c r="G132" s="14"/>
      <c r="H132" s="14"/>
      <c r="I132" s="14"/>
      <c r="J132" s="14"/>
      <c r="K132" s="12"/>
    </row>
    <row r="133" ht="19.5" customHeight="1">
      <c r="A133" s="12"/>
      <c r="C133" s="12"/>
      <c r="D133" s="13"/>
      <c r="F133" s="14"/>
      <c r="G133" s="14"/>
      <c r="H133" s="14"/>
      <c r="I133" s="14"/>
      <c r="J133" s="14"/>
      <c r="K133" s="12"/>
    </row>
    <row r="134" ht="19.5" customHeight="1">
      <c r="A134" s="12"/>
      <c r="C134" s="12"/>
      <c r="D134" s="13"/>
      <c r="F134" s="14"/>
      <c r="G134" s="14"/>
      <c r="H134" s="14"/>
      <c r="I134" s="14"/>
      <c r="J134" s="14"/>
      <c r="K134" s="12"/>
    </row>
    <row r="135" ht="19.5" customHeight="1">
      <c r="A135" s="12"/>
      <c r="C135" s="12"/>
      <c r="D135" s="13"/>
      <c r="F135" s="14"/>
      <c r="G135" s="14"/>
      <c r="H135" s="14"/>
      <c r="I135" s="14"/>
      <c r="J135" s="14"/>
      <c r="K135" s="12"/>
    </row>
    <row r="136" ht="19.5" customHeight="1">
      <c r="A136" s="12"/>
      <c r="C136" s="12"/>
      <c r="D136" s="13"/>
      <c r="F136" s="14"/>
      <c r="G136" s="14"/>
      <c r="H136" s="14"/>
      <c r="I136" s="14"/>
      <c r="J136" s="14"/>
      <c r="K136" s="12"/>
    </row>
    <row r="137" ht="19.5" customHeight="1">
      <c r="A137" s="12"/>
      <c r="C137" s="12"/>
      <c r="D137" s="13"/>
      <c r="F137" s="14"/>
      <c r="G137" s="14"/>
      <c r="H137" s="14"/>
      <c r="I137" s="14"/>
      <c r="J137" s="14"/>
      <c r="K137" s="12"/>
    </row>
    <row r="138" ht="19.5" customHeight="1">
      <c r="A138" s="12"/>
      <c r="C138" s="12"/>
      <c r="D138" s="13"/>
      <c r="F138" s="14"/>
      <c r="G138" s="14"/>
      <c r="H138" s="14"/>
      <c r="I138" s="14"/>
      <c r="J138" s="14"/>
      <c r="K138" s="12"/>
    </row>
    <row r="139" ht="19.5" customHeight="1">
      <c r="A139" s="12"/>
      <c r="C139" s="12"/>
      <c r="D139" s="13"/>
      <c r="F139" s="14"/>
      <c r="G139" s="14"/>
      <c r="H139" s="14"/>
      <c r="I139" s="14"/>
      <c r="J139" s="14"/>
      <c r="K139" s="12"/>
    </row>
    <row r="140" ht="19.5" customHeight="1">
      <c r="A140" s="12"/>
      <c r="C140" s="12"/>
      <c r="D140" s="13"/>
      <c r="F140" s="14"/>
      <c r="G140" s="14"/>
      <c r="H140" s="14"/>
      <c r="I140" s="14"/>
      <c r="J140" s="14"/>
      <c r="K140" s="12"/>
    </row>
    <row r="141" ht="19.5" customHeight="1">
      <c r="A141" s="12"/>
      <c r="C141" s="12"/>
      <c r="D141" s="13"/>
      <c r="F141" s="14"/>
      <c r="G141" s="14"/>
      <c r="H141" s="14"/>
      <c r="I141" s="14"/>
      <c r="J141" s="14"/>
      <c r="K141" s="12"/>
    </row>
    <row r="142" ht="19.5" customHeight="1">
      <c r="A142" s="12"/>
      <c r="C142" s="12"/>
      <c r="D142" s="13"/>
      <c r="F142" s="14"/>
      <c r="G142" s="14"/>
      <c r="H142" s="14"/>
      <c r="I142" s="14"/>
      <c r="J142" s="14"/>
      <c r="K142" s="12"/>
    </row>
    <row r="143" ht="19.5" customHeight="1">
      <c r="A143" s="12"/>
      <c r="C143" s="12"/>
      <c r="D143" s="13"/>
      <c r="F143" s="14"/>
      <c r="G143" s="14"/>
      <c r="H143" s="14"/>
      <c r="I143" s="14"/>
      <c r="J143" s="14"/>
      <c r="K143" s="12"/>
    </row>
    <row r="144" ht="19.5" customHeight="1">
      <c r="A144" s="12"/>
      <c r="C144" s="12"/>
      <c r="D144" s="13"/>
      <c r="F144" s="14"/>
      <c r="G144" s="14"/>
      <c r="H144" s="14"/>
      <c r="I144" s="14"/>
      <c r="J144" s="14"/>
      <c r="K144" s="12"/>
    </row>
    <row r="145" ht="19.5" customHeight="1">
      <c r="A145" s="12"/>
      <c r="C145" s="12"/>
      <c r="D145" s="13"/>
      <c r="F145" s="14"/>
      <c r="G145" s="14"/>
      <c r="H145" s="14"/>
      <c r="I145" s="14"/>
      <c r="J145" s="14"/>
      <c r="K145" s="12"/>
    </row>
    <row r="146" ht="19.5" customHeight="1">
      <c r="A146" s="12"/>
      <c r="C146" s="12"/>
      <c r="D146" s="13"/>
      <c r="F146" s="14"/>
      <c r="G146" s="14"/>
      <c r="H146" s="14"/>
      <c r="I146" s="14"/>
      <c r="J146" s="14"/>
      <c r="K146" s="12"/>
    </row>
    <row r="147" ht="19.5" customHeight="1">
      <c r="A147" s="12"/>
      <c r="C147" s="12"/>
      <c r="D147" s="13"/>
      <c r="F147" s="14"/>
      <c r="G147" s="14"/>
      <c r="H147" s="14"/>
      <c r="I147" s="14"/>
      <c r="J147" s="14"/>
      <c r="K147" s="12"/>
    </row>
    <row r="148" ht="19.5" customHeight="1">
      <c r="A148" s="12"/>
      <c r="C148" s="12"/>
      <c r="D148" s="13"/>
      <c r="F148" s="14"/>
      <c r="G148" s="14"/>
      <c r="H148" s="14"/>
      <c r="I148" s="14"/>
      <c r="J148" s="14"/>
      <c r="K148" s="12"/>
    </row>
    <row r="149" ht="19.5" customHeight="1">
      <c r="A149" s="12"/>
      <c r="C149" s="12"/>
      <c r="D149" s="13"/>
      <c r="F149" s="14"/>
      <c r="G149" s="14"/>
      <c r="H149" s="14"/>
      <c r="I149" s="14"/>
      <c r="J149" s="14"/>
      <c r="K149" s="12"/>
    </row>
    <row r="150" ht="19.5" customHeight="1">
      <c r="A150" s="12"/>
      <c r="C150" s="12"/>
      <c r="D150" s="13"/>
      <c r="F150" s="14"/>
      <c r="G150" s="14"/>
      <c r="H150" s="14"/>
      <c r="I150" s="14"/>
      <c r="J150" s="14"/>
      <c r="K150" s="12"/>
    </row>
    <row r="151" ht="19.5" customHeight="1">
      <c r="A151" s="12"/>
      <c r="C151" s="12"/>
      <c r="D151" s="13"/>
      <c r="F151" s="14"/>
      <c r="G151" s="14"/>
      <c r="H151" s="14"/>
      <c r="I151" s="14"/>
      <c r="J151" s="14"/>
      <c r="K151" s="12"/>
    </row>
    <row r="152" ht="19.5" customHeight="1">
      <c r="A152" s="12"/>
      <c r="C152" s="12"/>
      <c r="D152" s="13"/>
      <c r="F152" s="14"/>
      <c r="G152" s="14"/>
      <c r="H152" s="14"/>
      <c r="I152" s="14"/>
      <c r="J152" s="14"/>
      <c r="K152" s="12"/>
    </row>
    <row r="153" ht="19.5" customHeight="1">
      <c r="A153" s="12"/>
      <c r="C153" s="12"/>
      <c r="D153" s="13"/>
      <c r="F153" s="14"/>
      <c r="G153" s="14"/>
      <c r="H153" s="14"/>
      <c r="I153" s="14"/>
      <c r="J153" s="14"/>
      <c r="K153" s="12"/>
    </row>
    <row r="154" ht="19.5" customHeight="1">
      <c r="A154" s="12"/>
      <c r="C154" s="12"/>
      <c r="D154" s="13"/>
      <c r="F154" s="14"/>
      <c r="G154" s="14"/>
      <c r="H154" s="14"/>
      <c r="I154" s="14"/>
      <c r="J154" s="14"/>
      <c r="K154" s="12"/>
    </row>
    <row r="155" ht="19.5" customHeight="1">
      <c r="A155" s="12"/>
      <c r="C155" s="12"/>
      <c r="D155" s="13"/>
      <c r="F155" s="14"/>
      <c r="G155" s="14"/>
      <c r="H155" s="14"/>
      <c r="I155" s="14"/>
      <c r="J155" s="14"/>
      <c r="K155" s="12"/>
    </row>
    <row r="156" ht="19.5" customHeight="1">
      <c r="A156" s="12"/>
      <c r="C156" s="12"/>
      <c r="D156" s="13"/>
      <c r="F156" s="14"/>
      <c r="G156" s="14"/>
      <c r="H156" s="14"/>
      <c r="I156" s="14"/>
      <c r="J156" s="14"/>
      <c r="K156" s="12"/>
    </row>
    <row r="157" ht="19.5" customHeight="1">
      <c r="A157" s="12"/>
      <c r="C157" s="12"/>
      <c r="D157" s="13"/>
      <c r="F157" s="14"/>
      <c r="G157" s="14"/>
      <c r="H157" s="14"/>
      <c r="I157" s="14"/>
      <c r="J157" s="14"/>
      <c r="K157" s="12"/>
    </row>
    <row r="158" ht="19.5" customHeight="1">
      <c r="A158" s="12"/>
      <c r="C158" s="12"/>
      <c r="D158" s="13"/>
      <c r="F158" s="14"/>
      <c r="G158" s="14"/>
      <c r="H158" s="14"/>
      <c r="I158" s="14"/>
      <c r="J158" s="14"/>
      <c r="K158" s="12"/>
    </row>
    <row r="159" ht="19.5" customHeight="1">
      <c r="A159" s="12"/>
      <c r="C159" s="12"/>
      <c r="D159" s="13"/>
      <c r="F159" s="14"/>
      <c r="G159" s="14"/>
      <c r="H159" s="14"/>
      <c r="I159" s="14"/>
      <c r="J159" s="14"/>
      <c r="K159" s="12"/>
    </row>
    <row r="160" ht="19.5" customHeight="1">
      <c r="A160" s="12"/>
      <c r="C160" s="12"/>
      <c r="D160" s="13"/>
      <c r="F160" s="14"/>
      <c r="G160" s="14"/>
      <c r="H160" s="14"/>
      <c r="I160" s="14"/>
      <c r="J160" s="14"/>
      <c r="K160" s="12"/>
    </row>
    <row r="161" ht="19.5" customHeight="1">
      <c r="A161" s="12"/>
      <c r="C161" s="12"/>
      <c r="D161" s="13"/>
      <c r="F161" s="14"/>
      <c r="G161" s="14"/>
      <c r="H161" s="14"/>
      <c r="I161" s="14"/>
      <c r="J161" s="14"/>
      <c r="K161" s="12"/>
    </row>
    <row r="162" ht="19.5" customHeight="1">
      <c r="A162" s="12"/>
      <c r="C162" s="12"/>
      <c r="D162" s="13"/>
      <c r="F162" s="14"/>
      <c r="G162" s="14"/>
      <c r="H162" s="14"/>
      <c r="I162" s="14"/>
      <c r="J162" s="14"/>
      <c r="K162" s="12"/>
    </row>
    <row r="163" ht="19.5" customHeight="1">
      <c r="A163" s="12"/>
      <c r="C163" s="12"/>
      <c r="D163" s="13"/>
      <c r="F163" s="14"/>
      <c r="G163" s="14"/>
      <c r="H163" s="14"/>
      <c r="I163" s="14"/>
      <c r="J163" s="14"/>
      <c r="K163" s="12"/>
    </row>
    <row r="164" ht="19.5" customHeight="1">
      <c r="A164" s="12"/>
      <c r="C164" s="12"/>
      <c r="D164" s="13"/>
      <c r="F164" s="14"/>
      <c r="G164" s="14"/>
      <c r="H164" s="14"/>
      <c r="I164" s="14"/>
      <c r="J164" s="14"/>
      <c r="K164" s="12"/>
    </row>
    <row r="165" ht="19.5" customHeight="1">
      <c r="A165" s="12"/>
      <c r="C165" s="12"/>
      <c r="D165" s="13"/>
      <c r="F165" s="14"/>
      <c r="G165" s="14"/>
      <c r="H165" s="14"/>
      <c r="I165" s="14"/>
      <c r="J165" s="14"/>
      <c r="K165" s="12"/>
    </row>
    <row r="166" ht="19.5" customHeight="1">
      <c r="A166" s="12"/>
      <c r="C166" s="12"/>
      <c r="D166" s="13"/>
      <c r="F166" s="14"/>
      <c r="G166" s="14"/>
      <c r="H166" s="14"/>
      <c r="I166" s="14"/>
      <c r="J166" s="14"/>
      <c r="K166" s="12"/>
    </row>
    <row r="167" ht="19.5" customHeight="1">
      <c r="A167" s="12"/>
      <c r="C167" s="12"/>
      <c r="D167" s="13"/>
      <c r="F167" s="14"/>
      <c r="G167" s="14"/>
      <c r="H167" s="14"/>
      <c r="I167" s="14"/>
      <c r="J167" s="14"/>
      <c r="K167" s="12"/>
    </row>
    <row r="168" ht="19.5" customHeight="1">
      <c r="A168" s="12"/>
      <c r="C168" s="12"/>
      <c r="D168" s="13"/>
      <c r="F168" s="14"/>
      <c r="G168" s="14"/>
      <c r="H168" s="14"/>
      <c r="I168" s="14"/>
      <c r="J168" s="14"/>
      <c r="K168" s="12"/>
    </row>
    <row r="169" ht="19.5" customHeight="1">
      <c r="A169" s="12"/>
      <c r="C169" s="12"/>
      <c r="D169" s="13"/>
      <c r="F169" s="14"/>
      <c r="G169" s="14"/>
      <c r="H169" s="14"/>
      <c r="I169" s="14"/>
      <c r="J169" s="14"/>
      <c r="K169" s="12"/>
    </row>
    <row r="170" ht="19.5" customHeight="1">
      <c r="A170" s="12"/>
      <c r="C170" s="12"/>
      <c r="D170" s="13"/>
      <c r="F170" s="14"/>
      <c r="G170" s="14"/>
      <c r="H170" s="14"/>
      <c r="I170" s="14"/>
      <c r="J170" s="14"/>
      <c r="K170" s="12"/>
    </row>
    <row r="171" ht="19.5" customHeight="1">
      <c r="A171" s="12"/>
      <c r="C171" s="12"/>
      <c r="D171" s="13"/>
      <c r="F171" s="14"/>
      <c r="G171" s="14"/>
      <c r="H171" s="14"/>
      <c r="I171" s="14"/>
      <c r="J171" s="14"/>
      <c r="K171" s="12"/>
    </row>
    <row r="172" ht="19.5" customHeight="1">
      <c r="A172" s="12"/>
      <c r="C172" s="12"/>
      <c r="D172" s="13"/>
      <c r="F172" s="14"/>
      <c r="G172" s="14"/>
      <c r="H172" s="14"/>
      <c r="I172" s="14"/>
      <c r="J172" s="14"/>
      <c r="K172" s="12"/>
    </row>
    <row r="173" ht="19.5" customHeight="1">
      <c r="A173" s="12"/>
      <c r="C173" s="12"/>
      <c r="D173" s="13"/>
      <c r="F173" s="14"/>
      <c r="G173" s="14"/>
      <c r="H173" s="14"/>
      <c r="I173" s="14"/>
      <c r="J173" s="14"/>
      <c r="K173" s="12"/>
    </row>
    <row r="174" ht="19.5" customHeight="1">
      <c r="A174" s="12"/>
      <c r="C174" s="12"/>
      <c r="D174" s="13"/>
      <c r="F174" s="14"/>
      <c r="G174" s="14"/>
      <c r="H174" s="14"/>
      <c r="I174" s="14"/>
      <c r="J174" s="14"/>
      <c r="K174" s="12"/>
    </row>
    <row r="175" ht="19.5" customHeight="1">
      <c r="A175" s="12"/>
      <c r="C175" s="12"/>
      <c r="D175" s="13"/>
      <c r="F175" s="14"/>
      <c r="G175" s="14"/>
      <c r="H175" s="14"/>
      <c r="I175" s="14"/>
      <c r="J175" s="14"/>
      <c r="K175" s="12"/>
    </row>
    <row r="176" ht="19.5" customHeight="1">
      <c r="A176" s="12"/>
      <c r="C176" s="12"/>
      <c r="D176" s="13"/>
      <c r="F176" s="14"/>
      <c r="G176" s="14"/>
      <c r="H176" s="14"/>
      <c r="I176" s="14"/>
      <c r="J176" s="14"/>
      <c r="K176" s="12"/>
    </row>
    <row r="177" ht="19.5" customHeight="1">
      <c r="A177" s="12"/>
      <c r="C177" s="12"/>
      <c r="D177" s="13"/>
      <c r="F177" s="14"/>
      <c r="G177" s="14"/>
      <c r="H177" s="14"/>
      <c r="I177" s="14"/>
      <c r="J177" s="14"/>
      <c r="K177" s="12"/>
    </row>
    <row r="178" ht="19.5" customHeight="1">
      <c r="A178" s="12"/>
      <c r="C178" s="12"/>
      <c r="D178" s="13"/>
      <c r="F178" s="14"/>
      <c r="G178" s="14"/>
      <c r="H178" s="14"/>
      <c r="I178" s="14"/>
      <c r="J178" s="14"/>
      <c r="K178" s="12"/>
    </row>
    <row r="179" ht="19.5" customHeight="1">
      <c r="A179" s="12"/>
      <c r="C179" s="12"/>
      <c r="D179" s="13"/>
      <c r="F179" s="14"/>
      <c r="G179" s="14"/>
      <c r="H179" s="14"/>
      <c r="I179" s="14"/>
      <c r="J179" s="14"/>
      <c r="K179" s="12"/>
    </row>
    <row r="180" ht="19.5" customHeight="1">
      <c r="A180" s="12"/>
      <c r="C180" s="12"/>
      <c r="D180" s="13"/>
      <c r="F180" s="14"/>
      <c r="G180" s="14"/>
      <c r="H180" s="14"/>
      <c r="I180" s="14"/>
      <c r="J180" s="14"/>
      <c r="K180" s="12"/>
    </row>
    <row r="181" ht="19.5" customHeight="1">
      <c r="A181" s="12"/>
      <c r="C181" s="12"/>
      <c r="D181" s="13"/>
      <c r="F181" s="14"/>
      <c r="G181" s="14"/>
      <c r="H181" s="14"/>
      <c r="I181" s="14"/>
      <c r="J181" s="14"/>
      <c r="K181" s="12"/>
    </row>
    <row r="182" ht="19.5" customHeight="1">
      <c r="A182" s="12"/>
      <c r="C182" s="12"/>
      <c r="D182" s="13"/>
      <c r="F182" s="14"/>
      <c r="G182" s="14"/>
      <c r="H182" s="14"/>
      <c r="I182" s="14"/>
      <c r="J182" s="14"/>
      <c r="K182" s="12"/>
    </row>
    <row r="183" ht="19.5" customHeight="1">
      <c r="A183" s="12"/>
      <c r="C183" s="12"/>
      <c r="D183" s="13"/>
      <c r="F183" s="14"/>
      <c r="G183" s="14"/>
      <c r="H183" s="14"/>
      <c r="I183" s="14"/>
      <c r="J183" s="14"/>
      <c r="K183" s="12"/>
    </row>
    <row r="184" ht="19.5" customHeight="1">
      <c r="A184" s="12"/>
      <c r="C184" s="12"/>
      <c r="D184" s="13"/>
      <c r="F184" s="14"/>
      <c r="G184" s="14"/>
      <c r="H184" s="14"/>
      <c r="I184" s="14"/>
      <c r="J184" s="14"/>
      <c r="K184" s="12"/>
    </row>
    <row r="185" ht="19.5" customHeight="1">
      <c r="A185" s="12"/>
      <c r="C185" s="12"/>
      <c r="D185" s="13"/>
      <c r="F185" s="14"/>
      <c r="G185" s="14"/>
      <c r="H185" s="14"/>
      <c r="I185" s="14"/>
      <c r="J185" s="14"/>
      <c r="K185" s="12"/>
    </row>
    <row r="186" ht="19.5" customHeight="1">
      <c r="A186" s="12"/>
      <c r="C186" s="12"/>
      <c r="D186" s="13"/>
      <c r="F186" s="14"/>
      <c r="G186" s="14"/>
      <c r="H186" s="14"/>
      <c r="I186" s="14"/>
      <c r="J186" s="14"/>
      <c r="K186" s="12"/>
    </row>
    <row r="187" ht="19.5" customHeight="1">
      <c r="A187" s="12"/>
      <c r="C187" s="12"/>
      <c r="D187" s="13"/>
      <c r="F187" s="14"/>
      <c r="G187" s="14"/>
      <c r="H187" s="14"/>
      <c r="I187" s="14"/>
      <c r="J187" s="14"/>
      <c r="K187" s="12"/>
    </row>
    <row r="188" ht="19.5" customHeight="1">
      <c r="A188" s="12"/>
      <c r="C188" s="12"/>
      <c r="D188" s="13"/>
      <c r="F188" s="14"/>
      <c r="G188" s="14"/>
      <c r="H188" s="14"/>
      <c r="I188" s="14"/>
      <c r="J188" s="14"/>
      <c r="K188" s="12"/>
    </row>
    <row r="189" ht="19.5" customHeight="1">
      <c r="A189" s="12"/>
      <c r="C189" s="12"/>
      <c r="D189" s="13"/>
      <c r="F189" s="14"/>
      <c r="G189" s="14"/>
      <c r="H189" s="14"/>
      <c r="I189" s="14"/>
      <c r="J189" s="14"/>
      <c r="K189" s="12"/>
    </row>
    <row r="190" ht="19.5" customHeight="1">
      <c r="A190" s="12"/>
      <c r="C190" s="12"/>
      <c r="D190" s="13"/>
      <c r="F190" s="14"/>
      <c r="G190" s="14"/>
      <c r="H190" s="14"/>
      <c r="I190" s="14"/>
      <c r="J190" s="14"/>
      <c r="K190" s="12"/>
    </row>
    <row r="191" ht="19.5" customHeight="1">
      <c r="A191" s="12"/>
      <c r="C191" s="12"/>
      <c r="D191" s="13"/>
      <c r="F191" s="14"/>
      <c r="G191" s="14"/>
      <c r="H191" s="14"/>
      <c r="I191" s="14"/>
      <c r="J191" s="14"/>
      <c r="K191" s="12"/>
    </row>
    <row r="192" ht="19.5" customHeight="1">
      <c r="A192" s="12"/>
      <c r="C192" s="12"/>
      <c r="D192" s="13"/>
      <c r="F192" s="14"/>
      <c r="G192" s="14"/>
      <c r="H192" s="14"/>
      <c r="I192" s="14"/>
      <c r="J192" s="14"/>
      <c r="K192" s="12"/>
    </row>
    <row r="193" ht="19.5" customHeight="1">
      <c r="A193" s="12"/>
      <c r="C193" s="12"/>
      <c r="D193" s="13"/>
      <c r="F193" s="14"/>
      <c r="G193" s="14"/>
      <c r="H193" s="14"/>
      <c r="I193" s="14"/>
      <c r="J193" s="14"/>
      <c r="K193" s="12"/>
    </row>
    <row r="194" ht="19.5" customHeight="1">
      <c r="A194" s="12"/>
      <c r="C194" s="12"/>
      <c r="D194" s="13"/>
      <c r="F194" s="14"/>
      <c r="G194" s="14"/>
      <c r="H194" s="14"/>
      <c r="I194" s="14"/>
      <c r="J194" s="14"/>
      <c r="K194" s="12"/>
    </row>
    <row r="195" ht="19.5" customHeight="1">
      <c r="A195" s="12"/>
      <c r="C195" s="12"/>
      <c r="D195" s="13"/>
      <c r="F195" s="14"/>
      <c r="G195" s="14"/>
      <c r="H195" s="14"/>
      <c r="I195" s="14"/>
      <c r="J195" s="14"/>
      <c r="K195" s="12"/>
    </row>
    <row r="196" ht="19.5" customHeight="1">
      <c r="A196" s="12"/>
      <c r="C196" s="12"/>
      <c r="D196" s="13"/>
      <c r="F196" s="14"/>
      <c r="G196" s="14"/>
      <c r="H196" s="14"/>
      <c r="I196" s="14"/>
      <c r="J196" s="14"/>
      <c r="K196" s="12"/>
    </row>
    <row r="197" ht="19.5" customHeight="1">
      <c r="A197" s="12"/>
      <c r="C197" s="12"/>
      <c r="D197" s="13"/>
      <c r="F197" s="14"/>
      <c r="G197" s="14"/>
      <c r="H197" s="14"/>
      <c r="I197" s="14"/>
      <c r="J197" s="14"/>
      <c r="K197" s="12"/>
    </row>
    <row r="198" ht="19.5" customHeight="1">
      <c r="A198" s="12"/>
      <c r="C198" s="12"/>
      <c r="D198" s="13"/>
      <c r="F198" s="14"/>
      <c r="G198" s="14"/>
      <c r="H198" s="14"/>
      <c r="I198" s="14"/>
      <c r="J198" s="14"/>
      <c r="K198" s="12"/>
    </row>
    <row r="199" ht="19.5" customHeight="1">
      <c r="A199" s="12"/>
      <c r="C199" s="12"/>
      <c r="D199" s="13"/>
      <c r="F199" s="14"/>
      <c r="G199" s="14"/>
      <c r="H199" s="14"/>
      <c r="I199" s="14"/>
      <c r="J199" s="14"/>
      <c r="K199" s="12"/>
    </row>
    <row r="200" ht="19.5" customHeight="1">
      <c r="A200" s="12"/>
      <c r="C200" s="12"/>
      <c r="D200" s="13"/>
      <c r="F200" s="14"/>
      <c r="G200" s="14"/>
      <c r="H200" s="14"/>
      <c r="I200" s="14"/>
      <c r="J200" s="14"/>
      <c r="K200" s="12"/>
    </row>
    <row r="201" ht="19.5" customHeight="1">
      <c r="A201" s="12"/>
      <c r="C201" s="12"/>
      <c r="D201" s="13"/>
      <c r="F201" s="14"/>
      <c r="G201" s="14"/>
      <c r="H201" s="14"/>
      <c r="I201" s="14"/>
      <c r="J201" s="14"/>
      <c r="K201" s="12"/>
    </row>
    <row r="202" ht="19.5" customHeight="1">
      <c r="A202" s="12"/>
      <c r="C202" s="12"/>
      <c r="D202" s="13"/>
      <c r="F202" s="14"/>
      <c r="G202" s="14"/>
      <c r="H202" s="14"/>
      <c r="I202" s="14"/>
      <c r="J202" s="14"/>
      <c r="K202" s="12"/>
    </row>
    <row r="203" ht="19.5" customHeight="1">
      <c r="A203" s="12"/>
      <c r="C203" s="12"/>
      <c r="D203" s="13"/>
      <c r="F203" s="14"/>
      <c r="G203" s="14"/>
      <c r="H203" s="14"/>
      <c r="I203" s="14"/>
      <c r="J203" s="14"/>
      <c r="K203" s="12"/>
    </row>
    <row r="204" ht="19.5" customHeight="1">
      <c r="A204" s="12"/>
      <c r="C204" s="12"/>
      <c r="D204" s="13"/>
      <c r="F204" s="14"/>
      <c r="G204" s="14"/>
      <c r="H204" s="14"/>
      <c r="I204" s="14"/>
      <c r="J204" s="14"/>
      <c r="K204" s="12"/>
    </row>
    <row r="205" ht="19.5" customHeight="1">
      <c r="A205" s="12"/>
      <c r="C205" s="12"/>
      <c r="D205" s="13"/>
      <c r="F205" s="14"/>
      <c r="G205" s="14"/>
      <c r="H205" s="14"/>
      <c r="I205" s="14"/>
      <c r="J205" s="14"/>
      <c r="K205" s="12"/>
    </row>
    <row r="206" ht="19.5" customHeight="1">
      <c r="A206" s="12"/>
      <c r="C206" s="12"/>
      <c r="D206" s="13"/>
      <c r="F206" s="14"/>
      <c r="G206" s="14"/>
      <c r="H206" s="14"/>
      <c r="I206" s="14"/>
      <c r="J206" s="14"/>
      <c r="K206" s="12"/>
    </row>
    <row r="207" ht="19.5" customHeight="1">
      <c r="A207" s="12"/>
      <c r="C207" s="12"/>
      <c r="D207" s="13"/>
      <c r="F207" s="14"/>
      <c r="G207" s="14"/>
      <c r="H207" s="14"/>
      <c r="I207" s="14"/>
      <c r="J207" s="14"/>
      <c r="K207" s="12"/>
    </row>
    <row r="208" ht="19.5" customHeight="1">
      <c r="A208" s="12"/>
      <c r="C208" s="12"/>
      <c r="D208" s="13"/>
      <c r="F208" s="14"/>
      <c r="G208" s="14"/>
      <c r="H208" s="14"/>
      <c r="I208" s="14"/>
      <c r="J208" s="14"/>
      <c r="K208" s="12"/>
    </row>
    <row r="209" ht="19.5" customHeight="1">
      <c r="A209" s="12"/>
      <c r="C209" s="12"/>
      <c r="D209" s="13"/>
      <c r="F209" s="14"/>
      <c r="G209" s="14"/>
      <c r="H209" s="14"/>
      <c r="I209" s="14"/>
      <c r="J209" s="14"/>
      <c r="K209" s="12"/>
    </row>
    <row r="210" ht="19.5" customHeight="1">
      <c r="A210" s="12"/>
      <c r="C210" s="12"/>
      <c r="D210" s="13"/>
      <c r="F210" s="14"/>
      <c r="G210" s="14"/>
      <c r="H210" s="14"/>
      <c r="I210" s="14"/>
      <c r="J210" s="14"/>
      <c r="K210" s="12"/>
    </row>
    <row r="211" ht="19.5" customHeight="1">
      <c r="A211" s="12"/>
      <c r="C211" s="12"/>
      <c r="D211" s="13"/>
      <c r="F211" s="14"/>
      <c r="G211" s="14"/>
      <c r="H211" s="14"/>
      <c r="I211" s="14"/>
      <c r="J211" s="14"/>
      <c r="K211" s="12"/>
    </row>
    <row r="212" ht="19.5" customHeight="1">
      <c r="A212" s="12"/>
      <c r="C212" s="12"/>
      <c r="D212" s="13"/>
      <c r="F212" s="14"/>
      <c r="G212" s="14"/>
      <c r="H212" s="14"/>
      <c r="I212" s="14"/>
      <c r="J212" s="14"/>
      <c r="K212" s="12"/>
    </row>
    <row r="213" ht="19.5" customHeight="1">
      <c r="A213" s="12"/>
      <c r="C213" s="12"/>
      <c r="D213" s="13"/>
      <c r="F213" s="14"/>
      <c r="G213" s="14"/>
      <c r="H213" s="14"/>
      <c r="I213" s="14"/>
      <c r="J213" s="14"/>
      <c r="K213" s="12"/>
    </row>
    <row r="214" ht="19.5" customHeight="1">
      <c r="A214" s="12"/>
      <c r="C214" s="12"/>
      <c r="D214" s="13"/>
      <c r="F214" s="14"/>
      <c r="G214" s="14"/>
      <c r="H214" s="14"/>
      <c r="I214" s="14"/>
      <c r="J214" s="14"/>
      <c r="K214" s="12"/>
    </row>
    <row r="215" ht="19.5" customHeight="1">
      <c r="A215" s="12"/>
      <c r="C215" s="12"/>
      <c r="D215" s="13"/>
      <c r="F215" s="14"/>
      <c r="G215" s="14"/>
      <c r="H215" s="14"/>
      <c r="I215" s="14"/>
      <c r="J215" s="14"/>
      <c r="K215" s="12"/>
    </row>
    <row r="216" ht="19.5" customHeight="1">
      <c r="A216" s="12"/>
      <c r="C216" s="12"/>
      <c r="D216" s="13"/>
      <c r="F216" s="14"/>
      <c r="G216" s="14"/>
      <c r="H216" s="14"/>
      <c r="I216" s="14"/>
      <c r="J216" s="14"/>
      <c r="K216" s="12"/>
    </row>
    <row r="217" ht="19.5" customHeight="1">
      <c r="A217" s="12"/>
      <c r="C217" s="12"/>
      <c r="D217" s="13"/>
      <c r="F217" s="14"/>
      <c r="G217" s="14"/>
      <c r="H217" s="14"/>
      <c r="I217" s="14"/>
      <c r="J217" s="14"/>
      <c r="K217" s="12"/>
    </row>
    <row r="218" ht="19.5" customHeight="1">
      <c r="A218" s="12"/>
      <c r="C218" s="12"/>
      <c r="D218" s="13"/>
      <c r="F218" s="14"/>
      <c r="G218" s="14"/>
      <c r="H218" s="14"/>
      <c r="I218" s="14"/>
      <c r="J218" s="14"/>
      <c r="K218" s="12"/>
    </row>
    <row r="219" ht="19.5" customHeight="1">
      <c r="A219" s="12"/>
      <c r="C219" s="12"/>
      <c r="D219" s="13"/>
      <c r="F219" s="14"/>
      <c r="G219" s="14"/>
      <c r="H219" s="14"/>
      <c r="I219" s="14"/>
      <c r="J219" s="14"/>
      <c r="K219" s="12"/>
    </row>
    <row r="220" ht="19.5" customHeight="1">
      <c r="A220" s="12"/>
      <c r="C220" s="12"/>
      <c r="D220" s="13"/>
      <c r="F220" s="14"/>
      <c r="G220" s="14"/>
      <c r="H220" s="14"/>
      <c r="I220" s="14"/>
      <c r="J220" s="14"/>
      <c r="K220" s="12"/>
    </row>
    <row r="221" ht="19.5" customHeight="1">
      <c r="A221" s="12"/>
      <c r="C221" s="12"/>
      <c r="D221" s="13"/>
      <c r="F221" s="14"/>
      <c r="G221" s="14"/>
      <c r="H221" s="14"/>
      <c r="I221" s="14"/>
      <c r="J221" s="14"/>
      <c r="K221" s="12"/>
    </row>
    <row r="222" ht="19.5" customHeight="1">
      <c r="A222" s="12"/>
      <c r="C222" s="12"/>
      <c r="D222" s="13"/>
      <c r="F222" s="14"/>
      <c r="G222" s="14"/>
      <c r="H222" s="14"/>
      <c r="I222" s="14"/>
      <c r="J222" s="14"/>
      <c r="K222" s="12"/>
    </row>
    <row r="223" ht="19.5" customHeight="1">
      <c r="A223" s="12"/>
      <c r="C223" s="12"/>
      <c r="D223" s="13"/>
      <c r="F223" s="14"/>
      <c r="G223" s="14"/>
      <c r="H223" s="14"/>
      <c r="I223" s="14"/>
      <c r="J223" s="14"/>
      <c r="K223" s="12"/>
    </row>
    <row r="224" ht="19.5" customHeight="1">
      <c r="A224" s="12"/>
      <c r="C224" s="12"/>
      <c r="D224" s="13"/>
      <c r="F224" s="14"/>
      <c r="G224" s="14"/>
      <c r="H224" s="14"/>
      <c r="I224" s="14"/>
      <c r="J224" s="14"/>
      <c r="K224" s="12"/>
    </row>
    <row r="225" ht="19.5" customHeight="1">
      <c r="A225" s="12"/>
      <c r="C225" s="12"/>
      <c r="D225" s="13"/>
      <c r="F225" s="14"/>
      <c r="G225" s="14"/>
      <c r="H225" s="14"/>
      <c r="I225" s="14"/>
      <c r="J225" s="14"/>
      <c r="K225" s="12"/>
    </row>
    <row r="226" ht="19.5" customHeight="1">
      <c r="A226" s="12"/>
      <c r="C226" s="12"/>
      <c r="D226" s="13"/>
      <c r="F226" s="14"/>
      <c r="G226" s="14"/>
      <c r="H226" s="14"/>
      <c r="I226" s="14"/>
      <c r="J226" s="14"/>
      <c r="K226" s="12"/>
    </row>
    <row r="227" ht="19.5" customHeight="1">
      <c r="A227" s="12"/>
      <c r="C227" s="12"/>
      <c r="D227" s="13"/>
      <c r="F227" s="14"/>
      <c r="G227" s="14"/>
      <c r="H227" s="14"/>
      <c r="I227" s="14"/>
      <c r="J227" s="14"/>
      <c r="K227" s="12"/>
    </row>
    <row r="228" ht="19.5" customHeight="1">
      <c r="A228" s="12"/>
      <c r="C228" s="12"/>
      <c r="D228" s="13"/>
      <c r="F228" s="14"/>
      <c r="G228" s="14"/>
      <c r="H228" s="14"/>
      <c r="I228" s="14"/>
      <c r="J228" s="14"/>
      <c r="K228" s="12"/>
    </row>
    <row r="229" ht="19.5" customHeight="1">
      <c r="A229" s="12"/>
      <c r="C229" s="12"/>
      <c r="D229" s="13"/>
      <c r="F229" s="14"/>
      <c r="G229" s="14"/>
      <c r="H229" s="14"/>
      <c r="I229" s="14"/>
      <c r="J229" s="14"/>
      <c r="K229" s="12"/>
    </row>
    <row r="230" ht="19.5" customHeight="1">
      <c r="A230" s="12"/>
      <c r="C230" s="12"/>
      <c r="D230" s="13"/>
      <c r="F230" s="14"/>
      <c r="G230" s="14"/>
      <c r="H230" s="14"/>
      <c r="I230" s="14"/>
      <c r="J230" s="14"/>
      <c r="K230" s="12"/>
    </row>
    <row r="231" ht="19.5" customHeight="1">
      <c r="A231" s="12"/>
      <c r="C231" s="12"/>
      <c r="D231" s="13"/>
      <c r="F231" s="14"/>
      <c r="G231" s="14"/>
      <c r="H231" s="14"/>
      <c r="I231" s="14"/>
      <c r="J231" s="14"/>
      <c r="K231" s="12"/>
    </row>
    <row r="232" ht="19.5" customHeight="1">
      <c r="A232" s="12"/>
      <c r="C232" s="12"/>
      <c r="D232" s="13"/>
      <c r="F232" s="14"/>
      <c r="G232" s="14"/>
      <c r="H232" s="14"/>
      <c r="I232" s="14"/>
      <c r="J232" s="14"/>
      <c r="K232" s="12"/>
    </row>
    <row r="233" ht="19.5" customHeight="1">
      <c r="A233" s="12"/>
      <c r="C233" s="12"/>
      <c r="D233" s="13"/>
      <c r="F233" s="14"/>
      <c r="G233" s="14"/>
      <c r="H233" s="14"/>
      <c r="I233" s="14"/>
      <c r="J233" s="14"/>
      <c r="K233" s="12"/>
    </row>
    <row r="234" ht="19.5" customHeight="1">
      <c r="A234" s="12"/>
      <c r="C234" s="12"/>
      <c r="D234" s="13"/>
      <c r="F234" s="14"/>
      <c r="G234" s="14"/>
      <c r="H234" s="14"/>
      <c r="I234" s="14"/>
      <c r="J234" s="14"/>
      <c r="K234" s="12"/>
    </row>
    <row r="235" ht="19.5" customHeight="1">
      <c r="A235" s="12"/>
      <c r="C235" s="12"/>
      <c r="D235" s="13"/>
      <c r="F235" s="14"/>
      <c r="G235" s="14"/>
      <c r="H235" s="14"/>
      <c r="I235" s="14"/>
      <c r="J235" s="14"/>
      <c r="K235" s="12"/>
    </row>
    <row r="236" ht="19.5" customHeight="1">
      <c r="A236" s="12"/>
      <c r="C236" s="12"/>
      <c r="D236" s="13"/>
      <c r="F236" s="14"/>
      <c r="G236" s="14"/>
      <c r="H236" s="14"/>
      <c r="I236" s="14"/>
      <c r="J236" s="14"/>
      <c r="K236" s="12"/>
    </row>
    <row r="237" ht="19.5" customHeight="1">
      <c r="A237" s="12"/>
      <c r="C237" s="12"/>
      <c r="D237" s="13"/>
      <c r="F237" s="14"/>
      <c r="G237" s="14"/>
      <c r="H237" s="14"/>
      <c r="I237" s="14"/>
      <c r="J237" s="14"/>
      <c r="K237" s="12"/>
    </row>
    <row r="238" ht="19.5" customHeight="1">
      <c r="A238" s="12"/>
      <c r="C238" s="12"/>
      <c r="D238" s="13"/>
      <c r="F238" s="14"/>
      <c r="G238" s="14"/>
      <c r="H238" s="14"/>
      <c r="I238" s="14"/>
      <c r="J238" s="14"/>
      <c r="K238" s="12"/>
    </row>
    <row r="239" ht="19.5" customHeight="1">
      <c r="A239" s="12"/>
      <c r="C239" s="12"/>
      <c r="D239" s="13"/>
      <c r="F239" s="14"/>
      <c r="G239" s="14"/>
      <c r="H239" s="14"/>
      <c r="I239" s="14"/>
      <c r="J239" s="14"/>
      <c r="K239" s="12"/>
    </row>
    <row r="240" ht="19.5" customHeight="1">
      <c r="A240" s="12"/>
      <c r="C240" s="12"/>
      <c r="D240" s="13"/>
      <c r="F240" s="14"/>
      <c r="G240" s="14"/>
      <c r="H240" s="14"/>
      <c r="I240" s="14"/>
      <c r="J240" s="14"/>
      <c r="K240" s="12"/>
    </row>
    <row r="241" ht="19.5" customHeight="1">
      <c r="A241" s="12"/>
      <c r="C241" s="12"/>
      <c r="D241" s="13"/>
      <c r="F241" s="14"/>
      <c r="G241" s="14"/>
      <c r="H241" s="14"/>
      <c r="I241" s="14"/>
      <c r="J241" s="14"/>
      <c r="K241" s="12"/>
    </row>
    <row r="242" ht="19.5" customHeight="1">
      <c r="A242" s="12"/>
      <c r="C242" s="12"/>
      <c r="D242" s="13"/>
      <c r="F242" s="14"/>
      <c r="G242" s="14"/>
      <c r="H242" s="14"/>
      <c r="I242" s="14"/>
      <c r="J242" s="14"/>
      <c r="K242" s="12"/>
    </row>
    <row r="243" ht="19.5" customHeight="1">
      <c r="A243" s="12"/>
      <c r="C243" s="12"/>
      <c r="D243" s="13"/>
      <c r="F243" s="14"/>
      <c r="G243" s="14"/>
      <c r="H243" s="14"/>
      <c r="I243" s="14"/>
      <c r="J243" s="14"/>
      <c r="K243" s="12"/>
    </row>
    <row r="244" ht="19.5" customHeight="1">
      <c r="A244" s="12"/>
      <c r="C244" s="12"/>
      <c r="D244" s="13"/>
      <c r="F244" s="14"/>
      <c r="G244" s="14"/>
      <c r="H244" s="14"/>
      <c r="I244" s="14"/>
      <c r="J244" s="14"/>
      <c r="K244" s="12"/>
    </row>
    <row r="245" ht="19.5" customHeight="1">
      <c r="A245" s="12"/>
      <c r="C245" s="12"/>
      <c r="D245" s="13"/>
      <c r="F245" s="14"/>
      <c r="G245" s="14"/>
      <c r="H245" s="14"/>
      <c r="I245" s="14"/>
      <c r="J245" s="14"/>
      <c r="K245" s="12"/>
    </row>
    <row r="246" ht="19.5" customHeight="1">
      <c r="A246" s="12"/>
      <c r="C246" s="12"/>
      <c r="D246" s="13"/>
      <c r="F246" s="14"/>
      <c r="G246" s="14"/>
      <c r="H246" s="14"/>
      <c r="I246" s="14"/>
      <c r="J246" s="14"/>
      <c r="K246" s="12"/>
    </row>
    <row r="247" ht="19.5" customHeight="1">
      <c r="A247" s="12"/>
      <c r="C247" s="12"/>
      <c r="D247" s="13"/>
      <c r="F247" s="14"/>
      <c r="G247" s="14"/>
      <c r="H247" s="14"/>
      <c r="I247" s="14"/>
      <c r="J247" s="14"/>
      <c r="K247" s="12"/>
    </row>
    <row r="248" ht="19.5" customHeight="1">
      <c r="A248" s="12"/>
      <c r="C248" s="12"/>
      <c r="D248" s="13"/>
      <c r="F248" s="14"/>
      <c r="G248" s="14"/>
      <c r="H248" s="14"/>
      <c r="I248" s="14"/>
      <c r="J248" s="14"/>
      <c r="K248" s="12"/>
    </row>
    <row r="249" ht="19.5" customHeight="1">
      <c r="A249" s="12"/>
      <c r="C249" s="12"/>
      <c r="D249" s="13"/>
      <c r="F249" s="14"/>
      <c r="G249" s="14"/>
      <c r="H249" s="14"/>
      <c r="I249" s="14"/>
      <c r="J249" s="14"/>
      <c r="K249" s="12"/>
    </row>
    <row r="250" ht="19.5" customHeight="1">
      <c r="A250" s="12"/>
      <c r="C250" s="12"/>
      <c r="D250" s="13"/>
      <c r="F250" s="14"/>
      <c r="G250" s="14"/>
      <c r="H250" s="14"/>
      <c r="I250" s="14"/>
      <c r="J250" s="14"/>
      <c r="K250" s="12"/>
    </row>
    <row r="251" ht="19.5" customHeight="1">
      <c r="A251" s="12"/>
      <c r="C251" s="12"/>
      <c r="D251" s="13"/>
      <c r="F251" s="14"/>
      <c r="G251" s="14"/>
      <c r="H251" s="14"/>
      <c r="I251" s="14"/>
      <c r="J251" s="14"/>
      <c r="K251" s="12"/>
    </row>
    <row r="252" ht="19.5" customHeight="1">
      <c r="A252" s="12"/>
      <c r="C252" s="12"/>
      <c r="D252" s="13"/>
      <c r="F252" s="14"/>
      <c r="G252" s="14"/>
      <c r="H252" s="14"/>
      <c r="I252" s="14"/>
      <c r="J252" s="14"/>
      <c r="K252" s="12"/>
    </row>
    <row r="253" ht="19.5" customHeight="1">
      <c r="A253" s="12"/>
      <c r="C253" s="12"/>
      <c r="D253" s="13"/>
      <c r="F253" s="14"/>
      <c r="G253" s="14"/>
      <c r="H253" s="14"/>
      <c r="I253" s="14"/>
      <c r="J253" s="14"/>
      <c r="K253" s="12"/>
    </row>
    <row r="254" ht="19.5" customHeight="1">
      <c r="A254" s="12"/>
      <c r="C254" s="12"/>
      <c r="D254" s="13"/>
      <c r="F254" s="14"/>
      <c r="G254" s="14"/>
      <c r="H254" s="14"/>
      <c r="I254" s="14"/>
      <c r="J254" s="14"/>
      <c r="K254" s="12"/>
    </row>
    <row r="255" ht="19.5" customHeight="1">
      <c r="A255" s="12"/>
      <c r="C255" s="12"/>
      <c r="D255" s="13"/>
      <c r="F255" s="14"/>
      <c r="G255" s="14"/>
      <c r="H255" s="14"/>
      <c r="I255" s="14"/>
      <c r="J255" s="14"/>
      <c r="K255" s="12"/>
    </row>
    <row r="256" ht="19.5" customHeight="1">
      <c r="A256" s="12"/>
      <c r="C256" s="12"/>
      <c r="D256" s="13"/>
      <c r="F256" s="14"/>
      <c r="G256" s="14"/>
      <c r="H256" s="14"/>
      <c r="I256" s="14"/>
      <c r="J256" s="14"/>
      <c r="K256" s="12"/>
    </row>
    <row r="257" ht="19.5" customHeight="1">
      <c r="A257" s="12"/>
      <c r="C257" s="12"/>
      <c r="D257" s="13"/>
      <c r="F257" s="14"/>
      <c r="G257" s="14"/>
      <c r="H257" s="14"/>
      <c r="I257" s="14"/>
      <c r="J257" s="14"/>
      <c r="K257" s="12"/>
    </row>
    <row r="258" ht="19.5" customHeight="1">
      <c r="A258" s="12"/>
      <c r="C258" s="12"/>
      <c r="D258" s="13"/>
      <c r="F258" s="14"/>
      <c r="G258" s="14"/>
      <c r="H258" s="14"/>
      <c r="I258" s="14"/>
      <c r="J258" s="14"/>
      <c r="K258" s="12"/>
    </row>
    <row r="259" ht="19.5" customHeight="1">
      <c r="A259" s="12"/>
      <c r="C259" s="12"/>
      <c r="D259" s="13"/>
      <c r="F259" s="14"/>
      <c r="G259" s="14"/>
      <c r="H259" s="14"/>
      <c r="I259" s="14"/>
      <c r="J259" s="14"/>
      <c r="K259" s="12"/>
    </row>
    <row r="260" ht="19.5" customHeight="1">
      <c r="A260" s="12"/>
      <c r="C260" s="12"/>
      <c r="D260" s="13"/>
      <c r="F260" s="14"/>
      <c r="G260" s="14"/>
      <c r="H260" s="14"/>
      <c r="I260" s="14"/>
      <c r="J260" s="14"/>
      <c r="K260" s="12"/>
    </row>
    <row r="261" ht="19.5" customHeight="1">
      <c r="A261" s="12"/>
      <c r="C261" s="12"/>
      <c r="D261" s="13"/>
      <c r="F261" s="14"/>
      <c r="G261" s="14"/>
      <c r="H261" s="14"/>
      <c r="I261" s="14"/>
      <c r="J261" s="14"/>
      <c r="K261" s="12"/>
    </row>
    <row r="262" ht="19.5" customHeight="1">
      <c r="A262" s="12"/>
      <c r="C262" s="12"/>
      <c r="D262" s="13"/>
      <c r="F262" s="14"/>
      <c r="G262" s="14"/>
      <c r="H262" s="14"/>
      <c r="I262" s="14"/>
      <c r="J262" s="14"/>
      <c r="K262" s="12"/>
    </row>
    <row r="263" ht="19.5" customHeight="1">
      <c r="A263" s="12"/>
      <c r="C263" s="12"/>
      <c r="D263" s="13"/>
      <c r="F263" s="14"/>
      <c r="G263" s="14"/>
      <c r="H263" s="14"/>
      <c r="I263" s="14"/>
      <c r="J263" s="14"/>
      <c r="K263" s="12"/>
    </row>
    <row r="264" ht="19.5" customHeight="1">
      <c r="A264" s="12"/>
      <c r="C264" s="12"/>
      <c r="D264" s="13"/>
      <c r="F264" s="14"/>
      <c r="G264" s="14"/>
      <c r="H264" s="14"/>
      <c r="I264" s="14"/>
      <c r="J264" s="14"/>
      <c r="K264" s="12"/>
    </row>
    <row r="265" ht="19.5" customHeight="1">
      <c r="A265" s="12"/>
      <c r="C265" s="12"/>
      <c r="D265" s="13"/>
      <c r="F265" s="14"/>
      <c r="G265" s="14"/>
      <c r="H265" s="14"/>
      <c r="I265" s="14"/>
      <c r="J265" s="14"/>
      <c r="K265" s="12"/>
    </row>
    <row r="266" ht="19.5" customHeight="1">
      <c r="A266" s="12"/>
      <c r="C266" s="12"/>
      <c r="D266" s="13"/>
      <c r="F266" s="14"/>
      <c r="G266" s="14"/>
      <c r="H266" s="14"/>
      <c r="I266" s="14"/>
      <c r="J266" s="14"/>
      <c r="K266" s="12"/>
    </row>
    <row r="267" ht="19.5" customHeight="1">
      <c r="A267" s="12"/>
      <c r="C267" s="12"/>
      <c r="D267" s="13"/>
      <c r="F267" s="14"/>
      <c r="G267" s="14"/>
      <c r="H267" s="14"/>
      <c r="I267" s="14"/>
      <c r="J267" s="14"/>
      <c r="K267" s="12"/>
    </row>
    <row r="268" ht="19.5" customHeight="1">
      <c r="A268" s="12"/>
      <c r="C268" s="12"/>
      <c r="D268" s="13"/>
      <c r="F268" s="14"/>
      <c r="G268" s="14"/>
      <c r="H268" s="14"/>
      <c r="I268" s="14"/>
      <c r="J268" s="14"/>
      <c r="K268" s="12"/>
    </row>
    <row r="269" ht="19.5" customHeight="1">
      <c r="A269" s="12"/>
      <c r="C269" s="12"/>
      <c r="D269" s="13"/>
      <c r="F269" s="14"/>
      <c r="G269" s="14"/>
      <c r="H269" s="14"/>
      <c r="I269" s="14"/>
      <c r="J269" s="14"/>
      <c r="K269" s="12"/>
    </row>
    <row r="270" ht="19.5" customHeight="1">
      <c r="A270" s="12"/>
      <c r="C270" s="12"/>
      <c r="D270" s="13"/>
      <c r="F270" s="14"/>
      <c r="G270" s="14"/>
      <c r="H270" s="14"/>
      <c r="I270" s="14"/>
      <c r="J270" s="14"/>
      <c r="K270" s="12"/>
    </row>
    <row r="271" ht="19.5" customHeight="1">
      <c r="A271" s="12"/>
      <c r="C271" s="12"/>
      <c r="D271" s="13"/>
      <c r="F271" s="14"/>
      <c r="G271" s="14"/>
      <c r="H271" s="14"/>
      <c r="I271" s="14"/>
      <c r="J271" s="14"/>
      <c r="K271" s="12"/>
    </row>
    <row r="272" ht="19.5" customHeight="1">
      <c r="A272" s="12"/>
      <c r="C272" s="12"/>
      <c r="D272" s="13"/>
      <c r="F272" s="14"/>
      <c r="G272" s="14"/>
      <c r="H272" s="14"/>
      <c r="I272" s="14"/>
      <c r="J272" s="14"/>
      <c r="K272" s="12"/>
    </row>
    <row r="273" ht="19.5" customHeight="1">
      <c r="A273" s="12"/>
      <c r="C273" s="12"/>
      <c r="D273" s="13"/>
      <c r="F273" s="14"/>
      <c r="G273" s="14"/>
      <c r="H273" s="14"/>
      <c r="I273" s="14"/>
      <c r="J273" s="14"/>
      <c r="K273" s="12"/>
    </row>
    <row r="274" ht="19.5" customHeight="1">
      <c r="A274" s="12"/>
      <c r="C274" s="12"/>
      <c r="D274" s="13"/>
      <c r="F274" s="14"/>
      <c r="G274" s="14"/>
      <c r="H274" s="14"/>
      <c r="I274" s="14"/>
      <c r="J274" s="14"/>
      <c r="K274" s="12"/>
    </row>
    <row r="275" ht="19.5" customHeight="1">
      <c r="A275" s="12"/>
      <c r="C275" s="12"/>
      <c r="D275" s="13"/>
      <c r="F275" s="14"/>
      <c r="G275" s="14"/>
      <c r="H275" s="14"/>
      <c r="I275" s="14"/>
      <c r="J275" s="14"/>
      <c r="K275" s="12"/>
    </row>
    <row r="276" ht="19.5" customHeight="1">
      <c r="A276" s="12"/>
      <c r="C276" s="12"/>
      <c r="D276" s="13"/>
      <c r="F276" s="14"/>
      <c r="G276" s="14"/>
      <c r="H276" s="14"/>
      <c r="I276" s="14"/>
      <c r="J276" s="14"/>
      <c r="K276" s="12"/>
    </row>
    <row r="277" ht="19.5" customHeight="1">
      <c r="A277" s="12"/>
      <c r="C277" s="12"/>
      <c r="D277" s="13"/>
      <c r="F277" s="14"/>
      <c r="G277" s="14"/>
      <c r="H277" s="14"/>
      <c r="I277" s="14"/>
      <c r="J277" s="14"/>
      <c r="K277" s="12"/>
    </row>
    <row r="278" ht="19.5" customHeight="1">
      <c r="A278" s="12"/>
      <c r="C278" s="12"/>
      <c r="D278" s="13"/>
      <c r="F278" s="14"/>
      <c r="G278" s="14"/>
      <c r="H278" s="14"/>
      <c r="I278" s="14"/>
      <c r="J278" s="14"/>
      <c r="K278" s="12"/>
    </row>
    <row r="279" ht="19.5" customHeight="1">
      <c r="A279" s="12"/>
      <c r="C279" s="12"/>
      <c r="D279" s="13"/>
      <c r="F279" s="14"/>
      <c r="G279" s="14"/>
      <c r="H279" s="14"/>
      <c r="I279" s="14"/>
      <c r="J279" s="14"/>
      <c r="K279" s="12"/>
    </row>
    <row r="280" ht="19.5" customHeight="1">
      <c r="A280" s="12"/>
      <c r="C280" s="12"/>
      <c r="D280" s="13"/>
      <c r="F280" s="14"/>
      <c r="G280" s="14"/>
      <c r="H280" s="14"/>
      <c r="I280" s="14"/>
      <c r="J280" s="14"/>
      <c r="K280" s="12"/>
    </row>
    <row r="281" ht="19.5" customHeight="1">
      <c r="A281" s="12"/>
      <c r="C281" s="12"/>
      <c r="D281" s="13"/>
      <c r="F281" s="14"/>
      <c r="G281" s="14"/>
      <c r="H281" s="14"/>
      <c r="I281" s="14"/>
      <c r="J281" s="14"/>
      <c r="K281" s="12"/>
    </row>
    <row r="282" ht="19.5" customHeight="1">
      <c r="A282" s="12"/>
      <c r="C282" s="12"/>
      <c r="D282" s="13"/>
      <c r="F282" s="14"/>
      <c r="G282" s="14"/>
      <c r="H282" s="14"/>
      <c r="I282" s="14"/>
      <c r="J282" s="14"/>
      <c r="K282" s="12"/>
    </row>
    <row r="283" ht="19.5" customHeight="1">
      <c r="A283" s="12"/>
      <c r="C283" s="12"/>
      <c r="D283" s="13"/>
      <c r="F283" s="14"/>
      <c r="G283" s="14"/>
      <c r="H283" s="14"/>
      <c r="I283" s="14"/>
      <c r="J283" s="14"/>
      <c r="K283" s="12"/>
    </row>
    <row r="284" ht="19.5" customHeight="1">
      <c r="A284" s="12"/>
      <c r="C284" s="12"/>
      <c r="D284" s="13"/>
      <c r="F284" s="14"/>
      <c r="G284" s="14"/>
      <c r="H284" s="14"/>
      <c r="I284" s="14"/>
      <c r="J284" s="14"/>
      <c r="K284" s="12"/>
    </row>
    <row r="285" ht="19.5" customHeight="1">
      <c r="A285" s="12"/>
      <c r="C285" s="12"/>
      <c r="D285" s="13"/>
      <c r="F285" s="14"/>
      <c r="G285" s="14"/>
      <c r="H285" s="14"/>
      <c r="I285" s="14"/>
      <c r="J285" s="14"/>
      <c r="K285" s="12"/>
    </row>
    <row r="286" ht="19.5" customHeight="1">
      <c r="A286" s="12"/>
      <c r="C286" s="12"/>
      <c r="D286" s="13"/>
      <c r="F286" s="14"/>
      <c r="G286" s="14"/>
      <c r="H286" s="14"/>
      <c r="I286" s="14"/>
      <c r="J286" s="14"/>
      <c r="K286" s="12"/>
    </row>
    <row r="287" ht="19.5" customHeight="1">
      <c r="A287" s="12"/>
      <c r="C287" s="12"/>
      <c r="D287" s="13"/>
      <c r="F287" s="14"/>
      <c r="G287" s="14"/>
      <c r="H287" s="14"/>
      <c r="I287" s="14"/>
      <c r="J287" s="14"/>
      <c r="K287" s="12"/>
    </row>
    <row r="288" ht="19.5" customHeight="1">
      <c r="A288" s="12"/>
      <c r="C288" s="12"/>
      <c r="D288" s="13"/>
      <c r="F288" s="14"/>
      <c r="G288" s="14"/>
      <c r="H288" s="14"/>
      <c r="I288" s="14"/>
      <c r="J288" s="14"/>
      <c r="K288" s="12"/>
    </row>
    <row r="289" ht="19.5" customHeight="1">
      <c r="A289" s="12"/>
      <c r="C289" s="12"/>
      <c r="D289" s="13"/>
      <c r="F289" s="14"/>
      <c r="G289" s="14"/>
      <c r="H289" s="14"/>
      <c r="I289" s="14"/>
      <c r="J289" s="14"/>
      <c r="K289" s="12"/>
    </row>
    <row r="290" ht="19.5" customHeight="1">
      <c r="A290" s="12"/>
      <c r="C290" s="12"/>
      <c r="D290" s="13"/>
      <c r="F290" s="14"/>
      <c r="G290" s="14"/>
      <c r="H290" s="14"/>
      <c r="I290" s="14"/>
      <c r="J290" s="14"/>
      <c r="K290" s="12"/>
    </row>
    <row r="291" ht="19.5" customHeight="1">
      <c r="A291" s="12"/>
      <c r="C291" s="12"/>
      <c r="D291" s="13"/>
      <c r="F291" s="14"/>
      <c r="G291" s="14"/>
      <c r="H291" s="14"/>
      <c r="I291" s="14"/>
      <c r="J291" s="14"/>
      <c r="K291" s="12"/>
    </row>
    <row r="292" ht="19.5" customHeight="1">
      <c r="A292" s="12"/>
      <c r="C292" s="12"/>
      <c r="D292" s="13"/>
      <c r="F292" s="14"/>
      <c r="G292" s="14"/>
      <c r="H292" s="14"/>
      <c r="I292" s="14"/>
      <c r="J292" s="14"/>
      <c r="K292" s="12"/>
    </row>
    <row r="293" ht="19.5" customHeight="1">
      <c r="A293" s="12"/>
      <c r="C293" s="12"/>
      <c r="D293" s="13"/>
      <c r="F293" s="14"/>
      <c r="G293" s="14"/>
      <c r="H293" s="14"/>
      <c r="I293" s="14"/>
      <c r="J293" s="14"/>
      <c r="K293" s="12"/>
    </row>
    <row r="294" ht="19.5" customHeight="1">
      <c r="A294" s="12"/>
      <c r="C294" s="12"/>
      <c r="D294" s="13"/>
      <c r="F294" s="14"/>
      <c r="G294" s="14"/>
      <c r="H294" s="14"/>
      <c r="I294" s="14"/>
      <c r="J294" s="14"/>
      <c r="K294" s="12"/>
    </row>
    <row r="295" ht="19.5" customHeight="1">
      <c r="A295" s="12"/>
      <c r="C295" s="12"/>
      <c r="D295" s="13"/>
      <c r="F295" s="14"/>
      <c r="G295" s="14"/>
      <c r="H295" s="14"/>
      <c r="I295" s="14"/>
      <c r="J295" s="14"/>
      <c r="K295" s="12"/>
    </row>
    <row r="296" ht="19.5" customHeight="1">
      <c r="A296" s="12"/>
      <c r="C296" s="12"/>
      <c r="D296" s="13"/>
      <c r="F296" s="14"/>
      <c r="G296" s="14"/>
      <c r="H296" s="14"/>
      <c r="I296" s="14"/>
      <c r="J296" s="14"/>
      <c r="K296" s="12"/>
    </row>
    <row r="297" ht="19.5" customHeight="1">
      <c r="A297" s="12"/>
      <c r="C297" s="12"/>
      <c r="D297" s="13"/>
      <c r="F297" s="14"/>
      <c r="G297" s="14"/>
      <c r="H297" s="14"/>
      <c r="I297" s="14"/>
      <c r="J297" s="14"/>
      <c r="K297" s="12"/>
    </row>
    <row r="298" ht="19.5" customHeight="1">
      <c r="A298" s="12"/>
      <c r="C298" s="12"/>
      <c r="D298" s="13"/>
      <c r="F298" s="14"/>
      <c r="G298" s="14"/>
      <c r="H298" s="14"/>
      <c r="I298" s="14"/>
      <c r="J298" s="14"/>
      <c r="K298" s="12"/>
    </row>
    <row r="299" ht="19.5" customHeight="1">
      <c r="A299" s="12"/>
      <c r="C299" s="12"/>
      <c r="D299" s="13"/>
      <c r="F299" s="14"/>
      <c r="G299" s="14"/>
      <c r="H299" s="14"/>
      <c r="I299" s="14"/>
      <c r="J299" s="14"/>
      <c r="K299" s="12"/>
    </row>
    <row r="300" ht="19.5" customHeight="1">
      <c r="A300" s="12"/>
      <c r="C300" s="12"/>
      <c r="D300" s="13"/>
      <c r="F300" s="14"/>
      <c r="G300" s="14"/>
      <c r="H300" s="14"/>
      <c r="I300" s="14"/>
      <c r="J300" s="14"/>
      <c r="K300" s="12"/>
    </row>
    <row r="301" ht="19.5" customHeight="1">
      <c r="A301" s="12"/>
      <c r="C301" s="12"/>
      <c r="D301" s="13"/>
      <c r="F301" s="14"/>
      <c r="G301" s="14"/>
      <c r="H301" s="14"/>
      <c r="I301" s="14"/>
      <c r="J301" s="14"/>
      <c r="K301" s="12"/>
    </row>
    <row r="302" ht="19.5" customHeight="1">
      <c r="A302" s="12"/>
      <c r="C302" s="12"/>
      <c r="D302" s="13"/>
      <c r="F302" s="14"/>
      <c r="G302" s="14"/>
      <c r="H302" s="14"/>
      <c r="I302" s="14"/>
      <c r="J302" s="14"/>
      <c r="K302" s="12"/>
    </row>
    <row r="303" ht="19.5" customHeight="1">
      <c r="A303" s="12"/>
      <c r="C303" s="12"/>
      <c r="D303" s="13"/>
      <c r="F303" s="14"/>
      <c r="G303" s="14"/>
      <c r="H303" s="14"/>
      <c r="I303" s="14"/>
      <c r="J303" s="14"/>
      <c r="K303" s="12"/>
    </row>
    <row r="304" ht="19.5" customHeight="1">
      <c r="A304" s="12"/>
      <c r="C304" s="12"/>
      <c r="D304" s="13"/>
      <c r="F304" s="14"/>
      <c r="G304" s="14"/>
      <c r="H304" s="14"/>
      <c r="I304" s="14"/>
      <c r="J304" s="14"/>
      <c r="K304" s="12"/>
    </row>
    <row r="305" ht="19.5" customHeight="1">
      <c r="A305" s="12"/>
      <c r="C305" s="12"/>
      <c r="D305" s="13"/>
      <c r="F305" s="14"/>
      <c r="G305" s="14"/>
      <c r="H305" s="14"/>
      <c r="I305" s="14"/>
      <c r="J305" s="14"/>
      <c r="K305" s="12"/>
    </row>
    <row r="306" ht="19.5" customHeight="1">
      <c r="A306" s="12"/>
      <c r="C306" s="12"/>
      <c r="D306" s="13"/>
      <c r="F306" s="14"/>
      <c r="G306" s="14"/>
      <c r="H306" s="14"/>
      <c r="I306" s="14"/>
      <c r="J306" s="14"/>
      <c r="K306" s="12"/>
    </row>
    <row r="307" ht="19.5" customHeight="1">
      <c r="A307" s="12"/>
      <c r="C307" s="12"/>
      <c r="D307" s="13"/>
      <c r="F307" s="14"/>
      <c r="G307" s="14"/>
      <c r="H307" s="14"/>
      <c r="I307" s="14"/>
      <c r="J307" s="14"/>
      <c r="K307" s="12"/>
    </row>
    <row r="308" ht="19.5" customHeight="1">
      <c r="A308" s="12"/>
      <c r="C308" s="12"/>
      <c r="D308" s="13"/>
      <c r="F308" s="14"/>
      <c r="G308" s="14"/>
      <c r="H308" s="14"/>
      <c r="I308" s="14"/>
      <c r="J308" s="14"/>
      <c r="K308" s="12"/>
    </row>
    <row r="309" ht="19.5" customHeight="1">
      <c r="A309" s="12"/>
      <c r="C309" s="12"/>
      <c r="D309" s="13"/>
      <c r="F309" s="14"/>
      <c r="G309" s="14"/>
      <c r="H309" s="14"/>
      <c r="I309" s="14"/>
      <c r="J309" s="14"/>
      <c r="K309" s="12"/>
    </row>
    <row r="310" ht="19.5" customHeight="1">
      <c r="A310" s="12"/>
      <c r="C310" s="12"/>
      <c r="D310" s="13"/>
      <c r="F310" s="14"/>
      <c r="G310" s="14"/>
      <c r="H310" s="14"/>
      <c r="I310" s="14"/>
      <c r="J310" s="14"/>
      <c r="K310" s="12"/>
    </row>
    <row r="311" ht="19.5" customHeight="1">
      <c r="A311" s="12"/>
      <c r="C311" s="12"/>
      <c r="D311" s="13"/>
      <c r="F311" s="14"/>
      <c r="G311" s="14"/>
      <c r="H311" s="14"/>
      <c r="I311" s="14"/>
      <c r="J311" s="14"/>
      <c r="K311" s="12"/>
    </row>
    <row r="312" ht="19.5" customHeight="1">
      <c r="A312" s="12"/>
      <c r="C312" s="12"/>
      <c r="D312" s="13"/>
      <c r="F312" s="14"/>
      <c r="G312" s="14"/>
      <c r="H312" s="14"/>
      <c r="I312" s="14"/>
      <c r="J312" s="14"/>
      <c r="K312" s="12"/>
    </row>
    <row r="313" ht="19.5" customHeight="1">
      <c r="A313" s="12"/>
      <c r="C313" s="12"/>
      <c r="D313" s="13"/>
      <c r="F313" s="14"/>
      <c r="G313" s="14"/>
      <c r="H313" s="14"/>
      <c r="I313" s="14"/>
      <c r="J313" s="14"/>
      <c r="K313" s="12"/>
    </row>
    <row r="314" ht="19.5" customHeight="1">
      <c r="A314" s="12"/>
      <c r="C314" s="12"/>
      <c r="D314" s="13"/>
      <c r="F314" s="14"/>
      <c r="G314" s="14"/>
      <c r="H314" s="14"/>
      <c r="I314" s="14"/>
      <c r="J314" s="14"/>
      <c r="K314" s="12"/>
    </row>
    <row r="315" ht="19.5" customHeight="1">
      <c r="A315" s="12"/>
      <c r="C315" s="12"/>
      <c r="D315" s="13"/>
      <c r="F315" s="14"/>
      <c r="G315" s="14"/>
      <c r="H315" s="14"/>
      <c r="I315" s="14"/>
      <c r="J315" s="14"/>
      <c r="K315" s="12"/>
    </row>
    <row r="316" ht="19.5" customHeight="1">
      <c r="A316" s="12"/>
      <c r="C316" s="12"/>
      <c r="D316" s="13"/>
      <c r="F316" s="14"/>
      <c r="G316" s="14"/>
      <c r="H316" s="14"/>
      <c r="I316" s="14"/>
      <c r="J316" s="14"/>
      <c r="K316" s="12"/>
    </row>
    <row r="317" ht="19.5" customHeight="1">
      <c r="A317" s="12"/>
      <c r="C317" s="12"/>
      <c r="D317" s="13"/>
      <c r="F317" s="14"/>
      <c r="G317" s="14"/>
      <c r="H317" s="14"/>
      <c r="I317" s="14"/>
      <c r="J317" s="14"/>
      <c r="K317" s="12"/>
    </row>
    <row r="318" ht="19.5" customHeight="1">
      <c r="A318" s="12"/>
      <c r="C318" s="12"/>
      <c r="D318" s="13"/>
      <c r="F318" s="14"/>
      <c r="G318" s="14"/>
      <c r="H318" s="14"/>
      <c r="I318" s="14"/>
      <c r="J318" s="14"/>
      <c r="K318" s="12"/>
    </row>
    <row r="319" ht="19.5" customHeight="1">
      <c r="A319" s="12"/>
      <c r="C319" s="12"/>
      <c r="D319" s="13"/>
      <c r="F319" s="14"/>
      <c r="G319" s="14"/>
      <c r="H319" s="14"/>
      <c r="I319" s="14"/>
      <c r="J319" s="14"/>
      <c r="K319" s="12"/>
    </row>
    <row r="320" ht="19.5" customHeight="1">
      <c r="A320" s="12"/>
      <c r="C320" s="12"/>
      <c r="D320" s="13"/>
      <c r="F320" s="14"/>
      <c r="G320" s="14"/>
      <c r="H320" s="14"/>
      <c r="I320" s="14"/>
      <c r="J320" s="14"/>
      <c r="K320" s="12"/>
    </row>
    <row r="321" ht="19.5" customHeight="1">
      <c r="A321" s="12"/>
      <c r="C321" s="12"/>
      <c r="D321" s="13"/>
      <c r="F321" s="14"/>
      <c r="G321" s="14"/>
      <c r="H321" s="14"/>
      <c r="I321" s="14"/>
      <c r="J321" s="14"/>
      <c r="K321" s="12"/>
    </row>
    <row r="322" ht="19.5" customHeight="1">
      <c r="A322" s="12"/>
      <c r="C322" s="12"/>
      <c r="D322" s="13"/>
      <c r="F322" s="14"/>
      <c r="G322" s="14"/>
      <c r="H322" s="14"/>
      <c r="I322" s="14"/>
      <c r="J322" s="14"/>
      <c r="K322" s="12"/>
    </row>
    <row r="323" ht="19.5" customHeight="1">
      <c r="A323" s="12"/>
      <c r="C323" s="12"/>
      <c r="D323" s="13"/>
      <c r="F323" s="14"/>
      <c r="G323" s="14"/>
      <c r="H323" s="14"/>
      <c r="I323" s="14"/>
      <c r="J323" s="14"/>
      <c r="K323" s="12"/>
    </row>
    <row r="324" ht="19.5" customHeight="1">
      <c r="A324" s="12"/>
      <c r="C324" s="12"/>
      <c r="D324" s="13"/>
      <c r="F324" s="14"/>
      <c r="G324" s="14"/>
      <c r="H324" s="14"/>
      <c r="I324" s="14"/>
      <c r="J324" s="14"/>
      <c r="K324" s="12"/>
    </row>
    <row r="325" ht="19.5" customHeight="1">
      <c r="A325" s="12"/>
      <c r="C325" s="12"/>
      <c r="D325" s="13"/>
      <c r="F325" s="14"/>
      <c r="G325" s="14"/>
      <c r="H325" s="14"/>
      <c r="I325" s="14"/>
      <c r="J325" s="14"/>
      <c r="K325" s="12"/>
    </row>
    <row r="326" ht="19.5" customHeight="1">
      <c r="A326" s="12"/>
      <c r="C326" s="12"/>
      <c r="D326" s="13"/>
      <c r="F326" s="14"/>
      <c r="G326" s="14"/>
      <c r="H326" s="14"/>
      <c r="I326" s="14"/>
      <c r="J326" s="14"/>
      <c r="K326" s="12"/>
    </row>
    <row r="327" ht="19.5" customHeight="1">
      <c r="A327" s="12"/>
      <c r="C327" s="12"/>
      <c r="D327" s="13"/>
      <c r="F327" s="14"/>
      <c r="G327" s="14"/>
      <c r="H327" s="14"/>
      <c r="I327" s="14"/>
      <c r="J327" s="14"/>
      <c r="K327" s="12"/>
    </row>
    <row r="328" ht="19.5" customHeight="1">
      <c r="A328" s="12"/>
      <c r="C328" s="12"/>
      <c r="D328" s="13"/>
      <c r="F328" s="14"/>
      <c r="G328" s="14"/>
      <c r="H328" s="14"/>
      <c r="I328" s="14"/>
      <c r="J328" s="14"/>
      <c r="K328" s="12"/>
    </row>
    <row r="329" ht="19.5" customHeight="1">
      <c r="A329" s="12"/>
      <c r="C329" s="12"/>
      <c r="D329" s="13"/>
      <c r="F329" s="14"/>
      <c r="G329" s="14"/>
      <c r="H329" s="14"/>
      <c r="I329" s="14"/>
      <c r="J329" s="14"/>
      <c r="K329" s="12"/>
    </row>
    <row r="330" ht="19.5" customHeight="1">
      <c r="A330" s="12"/>
      <c r="C330" s="12"/>
      <c r="D330" s="13"/>
      <c r="F330" s="14"/>
      <c r="G330" s="14"/>
      <c r="H330" s="14"/>
      <c r="I330" s="14"/>
      <c r="J330" s="14"/>
      <c r="K330" s="12"/>
    </row>
    <row r="331" ht="19.5" customHeight="1">
      <c r="A331" s="12"/>
      <c r="C331" s="12"/>
      <c r="D331" s="13"/>
      <c r="F331" s="14"/>
      <c r="G331" s="14"/>
      <c r="H331" s="14"/>
      <c r="I331" s="14"/>
      <c r="J331" s="14"/>
      <c r="K331" s="12"/>
    </row>
    <row r="332" ht="19.5" customHeight="1">
      <c r="A332" s="12"/>
      <c r="C332" s="12"/>
      <c r="D332" s="13"/>
      <c r="F332" s="14"/>
      <c r="G332" s="14"/>
      <c r="H332" s="14"/>
      <c r="I332" s="14"/>
      <c r="J332" s="14"/>
      <c r="K332" s="12"/>
    </row>
    <row r="333" ht="19.5" customHeight="1">
      <c r="A333" s="12"/>
      <c r="C333" s="12"/>
      <c r="D333" s="13"/>
      <c r="F333" s="14"/>
      <c r="G333" s="14"/>
      <c r="H333" s="14"/>
      <c r="I333" s="14"/>
      <c r="J333" s="14"/>
      <c r="K333" s="12"/>
    </row>
    <row r="334" ht="19.5" customHeight="1">
      <c r="A334" s="12"/>
      <c r="C334" s="12"/>
      <c r="D334" s="13"/>
      <c r="F334" s="14"/>
      <c r="G334" s="14"/>
      <c r="H334" s="14"/>
      <c r="I334" s="14"/>
      <c r="J334" s="14"/>
      <c r="K334" s="12"/>
    </row>
    <row r="335" ht="19.5" customHeight="1">
      <c r="A335" s="12"/>
      <c r="C335" s="12"/>
      <c r="D335" s="13"/>
      <c r="F335" s="14"/>
      <c r="G335" s="14"/>
      <c r="H335" s="14"/>
      <c r="I335" s="14"/>
      <c r="J335" s="14"/>
      <c r="K335" s="12"/>
    </row>
    <row r="336" ht="19.5" customHeight="1">
      <c r="A336" s="12"/>
      <c r="C336" s="12"/>
      <c r="D336" s="13"/>
      <c r="F336" s="14"/>
      <c r="G336" s="14"/>
      <c r="H336" s="14"/>
      <c r="I336" s="14"/>
      <c r="J336" s="14"/>
      <c r="K336" s="12"/>
    </row>
    <row r="337" ht="19.5" customHeight="1">
      <c r="A337" s="12"/>
      <c r="C337" s="12"/>
      <c r="D337" s="13"/>
      <c r="F337" s="14"/>
      <c r="G337" s="14"/>
      <c r="H337" s="14"/>
      <c r="I337" s="14"/>
      <c r="J337" s="14"/>
      <c r="K337" s="12"/>
    </row>
    <row r="338" ht="19.5" customHeight="1">
      <c r="A338" s="12"/>
      <c r="C338" s="12"/>
      <c r="D338" s="13"/>
      <c r="F338" s="14"/>
      <c r="G338" s="14"/>
      <c r="H338" s="14"/>
      <c r="I338" s="14"/>
      <c r="J338" s="14"/>
      <c r="K338" s="12"/>
    </row>
    <row r="339" ht="19.5" customHeight="1">
      <c r="A339" s="12"/>
      <c r="C339" s="12"/>
      <c r="D339" s="13"/>
      <c r="F339" s="14"/>
      <c r="G339" s="14"/>
      <c r="H339" s="14"/>
      <c r="I339" s="14"/>
      <c r="J339" s="14"/>
      <c r="K339" s="12"/>
    </row>
    <row r="340" ht="19.5" customHeight="1">
      <c r="A340" s="12"/>
      <c r="C340" s="12"/>
      <c r="D340" s="13"/>
      <c r="F340" s="14"/>
      <c r="G340" s="14"/>
      <c r="H340" s="14"/>
      <c r="I340" s="14"/>
      <c r="J340" s="14"/>
      <c r="K340" s="12"/>
    </row>
    <row r="341" ht="19.5" customHeight="1">
      <c r="A341" s="12"/>
      <c r="C341" s="12"/>
      <c r="D341" s="13"/>
      <c r="F341" s="14"/>
      <c r="G341" s="14"/>
      <c r="H341" s="14"/>
      <c r="I341" s="14"/>
      <c r="J341" s="14"/>
      <c r="K341" s="12"/>
    </row>
    <row r="342" ht="19.5" customHeight="1">
      <c r="A342" s="12"/>
      <c r="C342" s="12"/>
      <c r="D342" s="13"/>
      <c r="F342" s="14"/>
      <c r="G342" s="14"/>
      <c r="H342" s="14"/>
      <c r="I342" s="14"/>
      <c r="J342" s="14"/>
      <c r="K342" s="12"/>
    </row>
    <row r="343" ht="19.5" customHeight="1">
      <c r="A343" s="12"/>
      <c r="C343" s="12"/>
      <c r="D343" s="13"/>
      <c r="F343" s="14"/>
      <c r="G343" s="14"/>
      <c r="H343" s="14"/>
      <c r="I343" s="14"/>
      <c r="J343" s="14"/>
      <c r="K343" s="12"/>
    </row>
    <row r="344" ht="19.5" customHeight="1">
      <c r="A344" s="12"/>
      <c r="C344" s="12"/>
      <c r="D344" s="13"/>
      <c r="F344" s="14"/>
      <c r="G344" s="14"/>
      <c r="H344" s="14"/>
      <c r="I344" s="14"/>
      <c r="J344" s="14"/>
      <c r="K344" s="12"/>
    </row>
    <row r="345" ht="19.5" customHeight="1">
      <c r="A345" s="12"/>
      <c r="C345" s="12"/>
      <c r="D345" s="13"/>
      <c r="F345" s="14"/>
      <c r="G345" s="14"/>
      <c r="H345" s="14"/>
      <c r="I345" s="14"/>
      <c r="J345" s="14"/>
      <c r="K345" s="12"/>
    </row>
    <row r="346" ht="19.5" customHeight="1">
      <c r="A346" s="12"/>
      <c r="C346" s="12"/>
      <c r="D346" s="13"/>
      <c r="F346" s="14"/>
      <c r="G346" s="14"/>
      <c r="H346" s="14"/>
      <c r="I346" s="14"/>
      <c r="J346" s="14"/>
      <c r="K346" s="12"/>
    </row>
    <row r="347" ht="19.5" customHeight="1">
      <c r="A347" s="12"/>
      <c r="C347" s="12"/>
      <c r="D347" s="13"/>
      <c r="F347" s="14"/>
      <c r="G347" s="14"/>
      <c r="H347" s="14"/>
      <c r="I347" s="14"/>
      <c r="J347" s="14"/>
      <c r="K347" s="12"/>
    </row>
    <row r="348" ht="19.5" customHeight="1">
      <c r="A348" s="12"/>
      <c r="C348" s="12"/>
      <c r="D348" s="13"/>
      <c r="F348" s="14"/>
      <c r="G348" s="14"/>
      <c r="H348" s="14"/>
      <c r="I348" s="14"/>
      <c r="J348" s="14"/>
      <c r="K348" s="12"/>
    </row>
    <row r="349" ht="19.5" customHeight="1">
      <c r="A349" s="12"/>
      <c r="C349" s="12"/>
      <c r="D349" s="13"/>
      <c r="F349" s="14"/>
      <c r="G349" s="14"/>
      <c r="H349" s="14"/>
      <c r="I349" s="14"/>
      <c r="J349" s="14"/>
      <c r="K349" s="12"/>
    </row>
    <row r="350" ht="19.5" customHeight="1">
      <c r="A350" s="12"/>
      <c r="C350" s="12"/>
      <c r="D350" s="13"/>
      <c r="F350" s="14"/>
      <c r="G350" s="14"/>
      <c r="H350" s="14"/>
      <c r="I350" s="14"/>
      <c r="J350" s="14"/>
      <c r="K350" s="12"/>
    </row>
    <row r="351" ht="19.5" customHeight="1">
      <c r="A351" s="12"/>
      <c r="C351" s="12"/>
      <c r="D351" s="13"/>
      <c r="F351" s="14"/>
      <c r="G351" s="14"/>
      <c r="H351" s="14"/>
      <c r="I351" s="14"/>
      <c r="J351" s="14"/>
      <c r="K351" s="12"/>
    </row>
    <row r="352" ht="19.5" customHeight="1">
      <c r="A352" s="12"/>
      <c r="C352" s="12"/>
      <c r="D352" s="13"/>
      <c r="F352" s="14"/>
      <c r="G352" s="14"/>
      <c r="H352" s="14"/>
      <c r="I352" s="14"/>
      <c r="J352" s="14"/>
      <c r="K352" s="12"/>
    </row>
    <row r="353" ht="19.5" customHeight="1">
      <c r="A353" s="12"/>
      <c r="C353" s="12"/>
      <c r="D353" s="13"/>
      <c r="F353" s="14"/>
      <c r="G353" s="14"/>
      <c r="H353" s="14"/>
      <c r="I353" s="14"/>
      <c r="J353" s="14"/>
      <c r="K353" s="12"/>
    </row>
    <row r="354" ht="19.5" customHeight="1">
      <c r="A354" s="12"/>
      <c r="C354" s="12"/>
      <c r="D354" s="13"/>
      <c r="F354" s="14"/>
      <c r="G354" s="14"/>
      <c r="H354" s="14"/>
      <c r="I354" s="14"/>
      <c r="J354" s="14"/>
      <c r="K354" s="12"/>
    </row>
    <row r="355" ht="19.5" customHeight="1">
      <c r="A355" s="12"/>
      <c r="C355" s="12"/>
      <c r="D355" s="13"/>
      <c r="F355" s="14"/>
      <c r="G355" s="14"/>
      <c r="H355" s="14"/>
      <c r="I355" s="14"/>
      <c r="J355" s="14"/>
      <c r="K355" s="12"/>
    </row>
    <row r="356" ht="19.5" customHeight="1">
      <c r="A356" s="12"/>
      <c r="C356" s="12"/>
      <c r="D356" s="13"/>
      <c r="F356" s="14"/>
      <c r="G356" s="14"/>
      <c r="H356" s="14"/>
      <c r="I356" s="14"/>
      <c r="J356" s="14"/>
      <c r="K356" s="12"/>
    </row>
    <row r="357" ht="19.5" customHeight="1">
      <c r="A357" s="12"/>
      <c r="C357" s="12"/>
      <c r="D357" s="13"/>
      <c r="F357" s="14"/>
      <c r="G357" s="14"/>
      <c r="H357" s="14"/>
      <c r="I357" s="14"/>
      <c r="J357" s="14"/>
      <c r="K357" s="12"/>
    </row>
    <row r="358" ht="19.5" customHeight="1">
      <c r="A358" s="12"/>
      <c r="C358" s="12"/>
      <c r="D358" s="13"/>
      <c r="F358" s="14"/>
      <c r="G358" s="14"/>
      <c r="H358" s="14"/>
      <c r="I358" s="14"/>
      <c r="J358" s="14"/>
      <c r="K358" s="12"/>
    </row>
    <row r="359" ht="19.5" customHeight="1">
      <c r="A359" s="12"/>
      <c r="C359" s="12"/>
      <c r="D359" s="13"/>
      <c r="F359" s="14"/>
      <c r="G359" s="14"/>
      <c r="H359" s="14"/>
      <c r="I359" s="14"/>
      <c r="J359" s="14"/>
      <c r="K359" s="12"/>
    </row>
    <row r="360" ht="19.5" customHeight="1">
      <c r="A360" s="12"/>
      <c r="C360" s="12"/>
      <c r="D360" s="13"/>
      <c r="F360" s="14"/>
      <c r="G360" s="14"/>
      <c r="H360" s="14"/>
      <c r="I360" s="14"/>
      <c r="J360" s="14"/>
      <c r="K360" s="12"/>
    </row>
    <row r="361" ht="19.5" customHeight="1">
      <c r="A361" s="12"/>
      <c r="C361" s="12"/>
      <c r="D361" s="13"/>
      <c r="F361" s="14"/>
      <c r="G361" s="14"/>
      <c r="H361" s="14"/>
      <c r="I361" s="14"/>
      <c r="J361" s="14"/>
      <c r="K361" s="12"/>
    </row>
    <row r="362" ht="19.5" customHeight="1">
      <c r="A362" s="12"/>
      <c r="C362" s="12"/>
      <c r="D362" s="13"/>
      <c r="F362" s="14"/>
      <c r="G362" s="14"/>
      <c r="H362" s="14"/>
      <c r="I362" s="14"/>
      <c r="J362" s="14"/>
      <c r="K362" s="12"/>
    </row>
    <row r="363" ht="19.5" customHeight="1">
      <c r="A363" s="12"/>
      <c r="C363" s="12"/>
      <c r="D363" s="13"/>
      <c r="F363" s="14"/>
      <c r="G363" s="14"/>
      <c r="H363" s="14"/>
      <c r="I363" s="14"/>
      <c r="J363" s="14"/>
      <c r="K363" s="12"/>
    </row>
    <row r="364" ht="19.5" customHeight="1">
      <c r="A364" s="12"/>
      <c r="C364" s="12"/>
      <c r="D364" s="13"/>
      <c r="F364" s="14"/>
      <c r="G364" s="14"/>
      <c r="H364" s="14"/>
      <c r="I364" s="14"/>
      <c r="J364" s="14"/>
      <c r="K364" s="12"/>
    </row>
    <row r="365" ht="19.5" customHeight="1">
      <c r="A365" s="12"/>
      <c r="C365" s="12"/>
      <c r="D365" s="13"/>
      <c r="F365" s="14"/>
      <c r="G365" s="14"/>
      <c r="H365" s="14"/>
      <c r="I365" s="14"/>
      <c r="J365" s="14"/>
      <c r="K365" s="12"/>
    </row>
    <row r="366" ht="19.5" customHeight="1">
      <c r="A366" s="12"/>
      <c r="C366" s="12"/>
      <c r="D366" s="13"/>
      <c r="F366" s="14"/>
      <c r="G366" s="14"/>
      <c r="H366" s="14"/>
      <c r="I366" s="14"/>
      <c r="J366" s="14"/>
      <c r="K366" s="12"/>
    </row>
    <row r="367" ht="19.5" customHeight="1">
      <c r="A367" s="12"/>
      <c r="C367" s="12"/>
      <c r="D367" s="13"/>
      <c r="F367" s="14"/>
      <c r="G367" s="14"/>
      <c r="H367" s="14"/>
      <c r="I367" s="14"/>
      <c r="J367" s="14"/>
      <c r="K367" s="12"/>
    </row>
    <row r="368" ht="19.5" customHeight="1">
      <c r="A368" s="12"/>
      <c r="C368" s="12"/>
      <c r="D368" s="13"/>
      <c r="F368" s="14"/>
      <c r="G368" s="14"/>
      <c r="H368" s="14"/>
      <c r="I368" s="14"/>
      <c r="J368" s="14"/>
      <c r="K368" s="12"/>
    </row>
    <row r="369" ht="19.5" customHeight="1">
      <c r="A369" s="12"/>
      <c r="C369" s="12"/>
      <c r="D369" s="13"/>
      <c r="F369" s="14"/>
      <c r="G369" s="14"/>
      <c r="H369" s="14"/>
      <c r="I369" s="14"/>
      <c r="J369" s="14"/>
      <c r="K369" s="12"/>
    </row>
    <row r="370" ht="19.5" customHeight="1">
      <c r="A370" s="12"/>
      <c r="C370" s="12"/>
      <c r="D370" s="13"/>
      <c r="F370" s="14"/>
      <c r="G370" s="14"/>
      <c r="H370" s="14"/>
      <c r="I370" s="14"/>
      <c r="J370" s="14"/>
      <c r="K370" s="12"/>
    </row>
    <row r="371" ht="19.5" customHeight="1">
      <c r="A371" s="12"/>
      <c r="C371" s="12"/>
      <c r="D371" s="13"/>
      <c r="F371" s="14"/>
      <c r="G371" s="14"/>
      <c r="H371" s="14"/>
      <c r="I371" s="14"/>
      <c r="J371" s="14"/>
      <c r="K371" s="12"/>
    </row>
    <row r="372" ht="19.5" customHeight="1">
      <c r="A372" s="12"/>
      <c r="C372" s="12"/>
      <c r="D372" s="13"/>
      <c r="F372" s="14"/>
      <c r="G372" s="14"/>
      <c r="H372" s="14"/>
      <c r="I372" s="14"/>
      <c r="J372" s="14"/>
      <c r="K372" s="12"/>
    </row>
    <row r="373" ht="19.5" customHeight="1">
      <c r="A373" s="12"/>
      <c r="C373" s="12"/>
      <c r="D373" s="13"/>
      <c r="F373" s="14"/>
      <c r="G373" s="14"/>
      <c r="H373" s="14"/>
      <c r="I373" s="14"/>
      <c r="J373" s="14"/>
      <c r="K373" s="12"/>
    </row>
    <row r="374" ht="19.5" customHeight="1">
      <c r="A374" s="12"/>
      <c r="C374" s="12"/>
      <c r="D374" s="13"/>
      <c r="F374" s="14"/>
      <c r="G374" s="14"/>
      <c r="H374" s="14"/>
      <c r="I374" s="14"/>
      <c r="J374" s="14"/>
      <c r="K374" s="12"/>
    </row>
    <row r="375" ht="19.5" customHeight="1">
      <c r="A375" s="12"/>
      <c r="C375" s="12"/>
      <c r="D375" s="13"/>
      <c r="F375" s="14"/>
      <c r="G375" s="14"/>
      <c r="H375" s="14"/>
      <c r="I375" s="14"/>
      <c r="J375" s="14"/>
      <c r="K375" s="12"/>
    </row>
    <row r="376" ht="19.5" customHeight="1">
      <c r="A376" s="12"/>
      <c r="C376" s="12"/>
      <c r="D376" s="13"/>
      <c r="F376" s="14"/>
      <c r="G376" s="14"/>
      <c r="H376" s="14"/>
      <c r="I376" s="14"/>
      <c r="J376" s="14"/>
      <c r="K376" s="12"/>
    </row>
    <row r="377" ht="19.5" customHeight="1">
      <c r="A377" s="12"/>
      <c r="C377" s="12"/>
      <c r="D377" s="13"/>
      <c r="F377" s="14"/>
      <c r="G377" s="14"/>
      <c r="H377" s="14"/>
      <c r="I377" s="14"/>
      <c r="J377" s="14"/>
      <c r="K377" s="12"/>
    </row>
    <row r="378" ht="19.5" customHeight="1">
      <c r="A378" s="12"/>
      <c r="C378" s="12"/>
      <c r="D378" s="13"/>
      <c r="F378" s="14"/>
      <c r="G378" s="14"/>
      <c r="H378" s="14"/>
      <c r="I378" s="14"/>
      <c r="J378" s="14"/>
      <c r="K378" s="12"/>
    </row>
    <row r="379" ht="19.5" customHeight="1">
      <c r="A379" s="12"/>
      <c r="C379" s="12"/>
      <c r="D379" s="13"/>
      <c r="F379" s="14"/>
      <c r="G379" s="14"/>
      <c r="H379" s="14"/>
      <c r="I379" s="14"/>
      <c r="J379" s="14"/>
      <c r="K379" s="12"/>
    </row>
    <row r="380" ht="19.5" customHeight="1">
      <c r="A380" s="12"/>
      <c r="C380" s="12"/>
      <c r="D380" s="13"/>
      <c r="F380" s="14"/>
      <c r="G380" s="14"/>
      <c r="H380" s="14"/>
      <c r="I380" s="14"/>
      <c r="J380" s="14"/>
      <c r="K380" s="12"/>
    </row>
    <row r="381" ht="19.5" customHeight="1">
      <c r="A381" s="12"/>
      <c r="C381" s="12"/>
      <c r="D381" s="13"/>
      <c r="F381" s="14"/>
      <c r="G381" s="14"/>
      <c r="H381" s="14"/>
      <c r="I381" s="14"/>
      <c r="J381" s="14"/>
      <c r="K381" s="12"/>
    </row>
    <row r="382" ht="19.5" customHeight="1">
      <c r="A382" s="12"/>
      <c r="C382" s="12"/>
      <c r="D382" s="13"/>
      <c r="F382" s="14"/>
      <c r="G382" s="14"/>
      <c r="H382" s="14"/>
      <c r="I382" s="14"/>
      <c r="J382" s="14"/>
      <c r="K382" s="12"/>
    </row>
    <row r="383" ht="19.5" customHeight="1">
      <c r="A383" s="12"/>
      <c r="C383" s="12"/>
      <c r="D383" s="13"/>
      <c r="F383" s="14"/>
      <c r="G383" s="14"/>
      <c r="H383" s="14"/>
      <c r="I383" s="14"/>
      <c r="J383" s="14"/>
      <c r="K383" s="12"/>
    </row>
    <row r="384" ht="19.5" customHeight="1">
      <c r="A384" s="12"/>
      <c r="C384" s="12"/>
      <c r="D384" s="13"/>
      <c r="F384" s="14"/>
      <c r="G384" s="14"/>
      <c r="H384" s="14"/>
      <c r="I384" s="14"/>
      <c r="J384" s="14"/>
      <c r="K384" s="12"/>
    </row>
    <row r="385" ht="19.5" customHeight="1">
      <c r="A385" s="12"/>
      <c r="C385" s="12"/>
      <c r="D385" s="13"/>
      <c r="F385" s="14"/>
      <c r="G385" s="14"/>
      <c r="H385" s="14"/>
      <c r="I385" s="14"/>
      <c r="J385" s="14"/>
      <c r="K385" s="12"/>
    </row>
    <row r="386" ht="19.5" customHeight="1">
      <c r="A386" s="12"/>
      <c r="C386" s="12"/>
      <c r="D386" s="13"/>
      <c r="F386" s="14"/>
      <c r="G386" s="14"/>
      <c r="H386" s="14"/>
      <c r="I386" s="14"/>
      <c r="J386" s="14"/>
      <c r="K386" s="12"/>
    </row>
    <row r="387" ht="19.5" customHeight="1">
      <c r="A387" s="12"/>
      <c r="C387" s="12"/>
      <c r="D387" s="13"/>
      <c r="F387" s="14"/>
      <c r="G387" s="14"/>
      <c r="H387" s="14"/>
      <c r="I387" s="14"/>
      <c r="J387" s="14"/>
      <c r="K387" s="12"/>
    </row>
    <row r="388" ht="19.5" customHeight="1">
      <c r="A388" s="12"/>
      <c r="C388" s="12"/>
      <c r="D388" s="13"/>
      <c r="F388" s="14"/>
      <c r="G388" s="14"/>
      <c r="H388" s="14"/>
      <c r="I388" s="14"/>
      <c r="J388" s="14"/>
      <c r="K388" s="12"/>
    </row>
    <row r="389" ht="19.5" customHeight="1">
      <c r="A389" s="12"/>
      <c r="C389" s="12"/>
      <c r="D389" s="13"/>
      <c r="F389" s="14"/>
      <c r="G389" s="14"/>
      <c r="H389" s="14"/>
      <c r="I389" s="14"/>
      <c r="J389" s="14"/>
      <c r="K389" s="12"/>
    </row>
    <row r="390" ht="19.5" customHeight="1">
      <c r="A390" s="12"/>
      <c r="C390" s="12"/>
      <c r="D390" s="13"/>
      <c r="F390" s="14"/>
      <c r="G390" s="14"/>
      <c r="H390" s="14"/>
      <c r="I390" s="14"/>
      <c r="J390" s="14"/>
      <c r="K390" s="12"/>
    </row>
    <row r="391" ht="19.5" customHeight="1">
      <c r="A391" s="12"/>
      <c r="C391" s="12"/>
      <c r="D391" s="13"/>
      <c r="F391" s="14"/>
      <c r="G391" s="14"/>
      <c r="H391" s="14"/>
      <c r="I391" s="14"/>
      <c r="J391" s="14"/>
      <c r="K391" s="12"/>
    </row>
    <row r="392" ht="19.5" customHeight="1">
      <c r="A392" s="12"/>
      <c r="C392" s="12"/>
      <c r="D392" s="13"/>
      <c r="F392" s="14"/>
      <c r="G392" s="14"/>
      <c r="H392" s="14"/>
      <c r="I392" s="14"/>
      <c r="J392" s="14"/>
      <c r="K392" s="12"/>
    </row>
    <row r="393" ht="19.5" customHeight="1">
      <c r="A393" s="12"/>
      <c r="C393" s="12"/>
      <c r="D393" s="13"/>
      <c r="F393" s="14"/>
      <c r="G393" s="14"/>
      <c r="H393" s="14"/>
      <c r="I393" s="14"/>
      <c r="J393" s="14"/>
      <c r="K393" s="12"/>
    </row>
    <row r="394" ht="19.5" customHeight="1">
      <c r="A394" s="12"/>
      <c r="C394" s="12"/>
      <c r="D394" s="13"/>
      <c r="F394" s="14"/>
      <c r="G394" s="14"/>
      <c r="H394" s="14"/>
      <c r="I394" s="14"/>
      <c r="J394" s="14"/>
      <c r="K394" s="12"/>
    </row>
    <row r="395" ht="19.5" customHeight="1">
      <c r="A395" s="12"/>
      <c r="C395" s="12"/>
      <c r="D395" s="13"/>
      <c r="F395" s="14"/>
      <c r="G395" s="14"/>
      <c r="H395" s="14"/>
      <c r="I395" s="14"/>
      <c r="J395" s="14"/>
      <c r="K395" s="12"/>
    </row>
    <row r="396" ht="19.5" customHeight="1">
      <c r="A396" s="12"/>
      <c r="C396" s="12"/>
      <c r="D396" s="13"/>
      <c r="F396" s="14"/>
      <c r="G396" s="14"/>
      <c r="H396" s="14"/>
      <c r="I396" s="14"/>
      <c r="J396" s="14"/>
      <c r="K396" s="12"/>
    </row>
    <row r="397" ht="19.5" customHeight="1">
      <c r="A397" s="12"/>
      <c r="C397" s="12"/>
      <c r="D397" s="13"/>
      <c r="F397" s="14"/>
      <c r="G397" s="14"/>
      <c r="H397" s="14"/>
      <c r="I397" s="14"/>
      <c r="J397" s="14"/>
      <c r="K397" s="12"/>
    </row>
    <row r="398" ht="19.5" customHeight="1">
      <c r="A398" s="12"/>
      <c r="C398" s="12"/>
      <c r="D398" s="13"/>
      <c r="F398" s="14"/>
      <c r="G398" s="14"/>
      <c r="H398" s="14"/>
      <c r="I398" s="14"/>
      <c r="J398" s="14"/>
      <c r="K398" s="12"/>
    </row>
    <row r="399" ht="19.5" customHeight="1">
      <c r="A399" s="12"/>
      <c r="C399" s="12"/>
      <c r="D399" s="13"/>
      <c r="F399" s="14"/>
      <c r="G399" s="14"/>
      <c r="H399" s="14"/>
      <c r="I399" s="14"/>
      <c r="J399" s="14"/>
      <c r="K399" s="12"/>
    </row>
    <row r="400" ht="19.5" customHeight="1">
      <c r="A400" s="12"/>
      <c r="C400" s="12"/>
      <c r="D400" s="13"/>
      <c r="F400" s="14"/>
      <c r="G400" s="14"/>
      <c r="H400" s="14"/>
      <c r="I400" s="14"/>
      <c r="J400" s="14"/>
      <c r="K400" s="12"/>
    </row>
    <row r="401" ht="19.5" customHeight="1">
      <c r="A401" s="12"/>
      <c r="C401" s="12"/>
      <c r="D401" s="13"/>
      <c r="F401" s="14"/>
      <c r="G401" s="14"/>
      <c r="H401" s="14"/>
      <c r="I401" s="14"/>
      <c r="J401" s="14"/>
      <c r="K401" s="12"/>
    </row>
    <row r="402" ht="19.5" customHeight="1">
      <c r="A402" s="12"/>
      <c r="C402" s="12"/>
      <c r="D402" s="13"/>
      <c r="F402" s="14"/>
      <c r="G402" s="14"/>
      <c r="H402" s="14"/>
      <c r="I402" s="14"/>
      <c r="J402" s="14"/>
      <c r="K402" s="12"/>
    </row>
    <row r="403" ht="19.5" customHeight="1">
      <c r="A403" s="12"/>
      <c r="C403" s="12"/>
      <c r="D403" s="13"/>
      <c r="F403" s="14"/>
      <c r="G403" s="14"/>
      <c r="H403" s="14"/>
      <c r="I403" s="14"/>
      <c r="J403" s="14"/>
      <c r="K403" s="12"/>
    </row>
    <row r="404" ht="19.5" customHeight="1">
      <c r="A404" s="12"/>
      <c r="C404" s="12"/>
      <c r="D404" s="13"/>
      <c r="F404" s="14"/>
      <c r="G404" s="14"/>
      <c r="H404" s="14"/>
      <c r="I404" s="14"/>
      <c r="J404" s="14"/>
      <c r="K404" s="12"/>
    </row>
    <row r="405" ht="19.5" customHeight="1">
      <c r="A405" s="12"/>
      <c r="C405" s="12"/>
      <c r="D405" s="13"/>
      <c r="F405" s="14"/>
      <c r="G405" s="14"/>
      <c r="H405" s="14"/>
      <c r="I405" s="14"/>
      <c r="J405" s="14"/>
      <c r="K405" s="12"/>
    </row>
    <row r="406" ht="19.5" customHeight="1">
      <c r="A406" s="12"/>
      <c r="C406" s="12"/>
      <c r="D406" s="13"/>
      <c r="F406" s="14"/>
      <c r="G406" s="14"/>
      <c r="H406" s="14"/>
      <c r="I406" s="14"/>
      <c r="J406" s="14"/>
      <c r="K406" s="12"/>
    </row>
    <row r="407" ht="19.5" customHeight="1">
      <c r="A407" s="12"/>
      <c r="C407" s="12"/>
      <c r="D407" s="13"/>
      <c r="F407" s="14"/>
      <c r="G407" s="14"/>
      <c r="H407" s="14"/>
      <c r="I407" s="14"/>
      <c r="J407" s="14"/>
      <c r="K407" s="12"/>
    </row>
    <row r="408" ht="19.5" customHeight="1">
      <c r="A408" s="12"/>
      <c r="C408" s="12"/>
      <c r="D408" s="13"/>
      <c r="F408" s="14"/>
      <c r="G408" s="14"/>
      <c r="H408" s="14"/>
      <c r="I408" s="14"/>
      <c r="J408" s="14"/>
      <c r="K408" s="12"/>
    </row>
    <row r="409" ht="19.5" customHeight="1">
      <c r="A409" s="12"/>
      <c r="C409" s="12"/>
      <c r="D409" s="13"/>
      <c r="F409" s="14"/>
      <c r="G409" s="14"/>
      <c r="H409" s="14"/>
      <c r="I409" s="14"/>
      <c r="J409" s="14"/>
      <c r="K409" s="12"/>
    </row>
    <row r="410" ht="19.5" customHeight="1">
      <c r="A410" s="12"/>
      <c r="C410" s="12"/>
      <c r="D410" s="13"/>
      <c r="F410" s="14"/>
      <c r="G410" s="14"/>
      <c r="H410" s="14"/>
      <c r="I410" s="14"/>
      <c r="J410" s="14"/>
      <c r="K410" s="12"/>
    </row>
    <row r="411" ht="19.5" customHeight="1">
      <c r="A411" s="12"/>
      <c r="C411" s="12"/>
      <c r="D411" s="13"/>
      <c r="F411" s="14"/>
      <c r="G411" s="14"/>
      <c r="H411" s="14"/>
      <c r="I411" s="14"/>
      <c r="J411" s="14"/>
      <c r="K411" s="12"/>
    </row>
    <row r="412" ht="19.5" customHeight="1">
      <c r="A412" s="12"/>
      <c r="C412" s="12"/>
      <c r="D412" s="13"/>
      <c r="F412" s="14"/>
      <c r="G412" s="14"/>
      <c r="H412" s="14"/>
      <c r="I412" s="14"/>
      <c r="J412" s="14"/>
      <c r="K412" s="12"/>
    </row>
    <row r="413" ht="19.5" customHeight="1">
      <c r="A413" s="12"/>
      <c r="C413" s="12"/>
      <c r="D413" s="13"/>
      <c r="F413" s="14"/>
      <c r="G413" s="14"/>
      <c r="H413" s="14"/>
      <c r="I413" s="14"/>
      <c r="J413" s="14"/>
      <c r="K413" s="12"/>
    </row>
    <row r="414" ht="19.5" customHeight="1">
      <c r="A414" s="12"/>
      <c r="C414" s="12"/>
      <c r="D414" s="13"/>
      <c r="F414" s="14"/>
      <c r="G414" s="14"/>
      <c r="H414" s="14"/>
      <c r="I414" s="14"/>
      <c r="J414" s="14"/>
      <c r="K414" s="12"/>
    </row>
    <row r="415" ht="19.5" customHeight="1">
      <c r="A415" s="12"/>
      <c r="C415" s="12"/>
      <c r="D415" s="13"/>
      <c r="F415" s="14"/>
      <c r="G415" s="14"/>
      <c r="H415" s="14"/>
      <c r="I415" s="14"/>
      <c r="J415" s="14"/>
      <c r="K415" s="12"/>
    </row>
    <row r="416" ht="19.5" customHeight="1">
      <c r="A416" s="12"/>
      <c r="C416" s="12"/>
      <c r="D416" s="13"/>
      <c r="F416" s="14"/>
      <c r="G416" s="14"/>
      <c r="H416" s="14"/>
      <c r="I416" s="14"/>
      <c r="J416" s="14"/>
      <c r="K416" s="12"/>
    </row>
    <row r="417" ht="19.5" customHeight="1">
      <c r="A417" s="12"/>
      <c r="C417" s="12"/>
      <c r="D417" s="13"/>
      <c r="F417" s="14"/>
      <c r="G417" s="14"/>
      <c r="H417" s="14"/>
      <c r="I417" s="14"/>
      <c r="J417" s="14"/>
      <c r="K417" s="12"/>
    </row>
    <row r="418" ht="19.5" customHeight="1">
      <c r="A418" s="12"/>
      <c r="C418" s="12"/>
      <c r="D418" s="13"/>
      <c r="F418" s="14"/>
      <c r="G418" s="14"/>
      <c r="H418" s="14"/>
      <c r="I418" s="14"/>
      <c r="J418" s="14"/>
      <c r="K418" s="12"/>
    </row>
    <row r="419" ht="19.5" customHeight="1">
      <c r="A419" s="12"/>
      <c r="C419" s="12"/>
      <c r="D419" s="13"/>
      <c r="F419" s="14"/>
      <c r="G419" s="14"/>
      <c r="H419" s="14"/>
      <c r="I419" s="14"/>
      <c r="J419" s="14"/>
      <c r="K419" s="12"/>
    </row>
    <row r="420" ht="19.5" customHeight="1">
      <c r="A420" s="12"/>
      <c r="C420" s="12"/>
      <c r="D420" s="13"/>
      <c r="F420" s="14"/>
      <c r="G420" s="14"/>
      <c r="H420" s="14"/>
      <c r="I420" s="14"/>
      <c r="J420" s="14"/>
      <c r="K420" s="12"/>
    </row>
    <row r="421" ht="19.5" customHeight="1">
      <c r="A421" s="12"/>
      <c r="C421" s="12"/>
      <c r="D421" s="13"/>
      <c r="F421" s="14"/>
      <c r="G421" s="14"/>
      <c r="H421" s="14"/>
      <c r="I421" s="14"/>
      <c r="J421" s="14"/>
      <c r="K421" s="12"/>
    </row>
    <row r="422" ht="19.5" customHeight="1">
      <c r="A422" s="12"/>
      <c r="C422" s="12"/>
      <c r="D422" s="13"/>
      <c r="F422" s="14"/>
      <c r="G422" s="14"/>
      <c r="H422" s="14"/>
      <c r="I422" s="14"/>
      <c r="J422" s="14"/>
      <c r="K422" s="12"/>
    </row>
    <row r="423" ht="19.5" customHeight="1">
      <c r="A423" s="12"/>
      <c r="C423" s="12"/>
      <c r="D423" s="13"/>
      <c r="F423" s="14"/>
      <c r="G423" s="14"/>
      <c r="H423" s="14"/>
      <c r="I423" s="14"/>
      <c r="J423" s="14"/>
      <c r="K423" s="12"/>
    </row>
    <row r="424" ht="19.5" customHeight="1">
      <c r="A424" s="12"/>
      <c r="C424" s="12"/>
      <c r="D424" s="13"/>
      <c r="F424" s="14"/>
      <c r="G424" s="14"/>
      <c r="H424" s="14"/>
      <c r="I424" s="14"/>
      <c r="J424" s="14"/>
      <c r="K424" s="12"/>
    </row>
    <row r="425" ht="19.5" customHeight="1">
      <c r="A425" s="12"/>
      <c r="C425" s="12"/>
      <c r="D425" s="13"/>
      <c r="F425" s="14"/>
      <c r="G425" s="14"/>
      <c r="H425" s="14"/>
      <c r="I425" s="14"/>
      <c r="J425" s="14"/>
      <c r="K425" s="12"/>
    </row>
    <row r="426" ht="19.5" customHeight="1">
      <c r="A426" s="12"/>
      <c r="C426" s="12"/>
      <c r="D426" s="13"/>
      <c r="F426" s="14"/>
      <c r="G426" s="14"/>
      <c r="H426" s="14"/>
      <c r="I426" s="14"/>
      <c r="J426" s="14"/>
      <c r="K426" s="12"/>
    </row>
    <row r="427" ht="19.5" customHeight="1">
      <c r="A427" s="12"/>
      <c r="C427" s="12"/>
      <c r="D427" s="13"/>
      <c r="F427" s="14"/>
      <c r="G427" s="14"/>
      <c r="H427" s="14"/>
      <c r="I427" s="14"/>
      <c r="J427" s="14"/>
      <c r="K427" s="12"/>
    </row>
    <row r="428" ht="19.5" customHeight="1">
      <c r="A428" s="12"/>
      <c r="C428" s="12"/>
      <c r="D428" s="13"/>
      <c r="F428" s="14"/>
      <c r="G428" s="14"/>
      <c r="H428" s="14"/>
      <c r="I428" s="14"/>
      <c r="J428" s="14"/>
      <c r="K428" s="12"/>
    </row>
    <row r="429" ht="19.5" customHeight="1">
      <c r="A429" s="12"/>
      <c r="C429" s="12"/>
      <c r="D429" s="13"/>
      <c r="F429" s="14"/>
      <c r="G429" s="14"/>
      <c r="H429" s="14"/>
      <c r="I429" s="14"/>
      <c r="J429" s="14"/>
      <c r="K429" s="12"/>
    </row>
    <row r="430" ht="19.5" customHeight="1">
      <c r="A430" s="12"/>
      <c r="C430" s="12"/>
      <c r="D430" s="13"/>
      <c r="F430" s="14"/>
      <c r="G430" s="14"/>
      <c r="H430" s="14"/>
      <c r="I430" s="14"/>
      <c r="J430" s="14"/>
      <c r="K430" s="12"/>
    </row>
    <row r="431" ht="19.5" customHeight="1">
      <c r="A431" s="12"/>
      <c r="C431" s="12"/>
      <c r="D431" s="13"/>
      <c r="F431" s="14"/>
      <c r="G431" s="14"/>
      <c r="H431" s="14"/>
      <c r="I431" s="14"/>
      <c r="J431" s="14"/>
      <c r="K431" s="12"/>
    </row>
    <row r="432" ht="19.5" customHeight="1">
      <c r="A432" s="12"/>
      <c r="C432" s="12"/>
      <c r="D432" s="13"/>
      <c r="F432" s="14"/>
      <c r="G432" s="14"/>
      <c r="H432" s="14"/>
      <c r="I432" s="14"/>
      <c r="J432" s="14"/>
      <c r="K432" s="12"/>
    </row>
    <row r="433" ht="19.5" customHeight="1">
      <c r="A433" s="12"/>
      <c r="C433" s="12"/>
      <c r="D433" s="13"/>
      <c r="F433" s="14"/>
      <c r="G433" s="14"/>
      <c r="H433" s="14"/>
      <c r="I433" s="14"/>
      <c r="J433" s="14"/>
      <c r="K433" s="12"/>
    </row>
    <row r="434" ht="19.5" customHeight="1">
      <c r="A434" s="12"/>
      <c r="C434" s="12"/>
      <c r="D434" s="13"/>
      <c r="F434" s="14"/>
      <c r="G434" s="14"/>
      <c r="H434" s="14"/>
      <c r="I434" s="14"/>
      <c r="J434" s="14"/>
      <c r="K434" s="12"/>
    </row>
    <row r="435" ht="19.5" customHeight="1">
      <c r="A435" s="12"/>
      <c r="C435" s="12"/>
      <c r="D435" s="13"/>
      <c r="F435" s="14"/>
      <c r="G435" s="14"/>
      <c r="H435" s="14"/>
      <c r="I435" s="14"/>
      <c r="J435" s="14"/>
      <c r="K435" s="12"/>
    </row>
    <row r="436" ht="19.5" customHeight="1">
      <c r="A436" s="12"/>
      <c r="C436" s="12"/>
      <c r="D436" s="13"/>
      <c r="F436" s="14"/>
      <c r="G436" s="14"/>
      <c r="H436" s="14"/>
      <c r="I436" s="14"/>
      <c r="J436" s="14"/>
      <c r="K436" s="12"/>
    </row>
    <row r="437" ht="19.5" customHeight="1">
      <c r="A437" s="12"/>
      <c r="C437" s="12"/>
      <c r="D437" s="13"/>
      <c r="F437" s="14"/>
      <c r="G437" s="14"/>
      <c r="H437" s="14"/>
      <c r="I437" s="14"/>
      <c r="J437" s="14"/>
      <c r="K437" s="12"/>
    </row>
    <row r="438" ht="19.5" customHeight="1">
      <c r="A438" s="12"/>
      <c r="C438" s="12"/>
      <c r="D438" s="13"/>
      <c r="F438" s="14"/>
      <c r="G438" s="14"/>
      <c r="H438" s="14"/>
      <c r="I438" s="14"/>
      <c r="J438" s="14"/>
      <c r="K438" s="12"/>
    </row>
    <row r="439" ht="19.5" customHeight="1">
      <c r="A439" s="12"/>
      <c r="C439" s="12"/>
      <c r="D439" s="13"/>
      <c r="F439" s="14"/>
      <c r="G439" s="14"/>
      <c r="H439" s="14"/>
      <c r="I439" s="14"/>
      <c r="J439" s="14"/>
      <c r="K439" s="12"/>
    </row>
    <row r="440" ht="19.5" customHeight="1">
      <c r="A440" s="12"/>
      <c r="C440" s="12"/>
      <c r="D440" s="13"/>
      <c r="F440" s="14"/>
      <c r="G440" s="14"/>
      <c r="H440" s="14"/>
      <c r="I440" s="14"/>
      <c r="J440" s="14"/>
      <c r="K440" s="12"/>
    </row>
    <row r="441" ht="19.5" customHeight="1">
      <c r="A441" s="12"/>
      <c r="C441" s="12"/>
      <c r="D441" s="13"/>
      <c r="F441" s="14"/>
      <c r="G441" s="14"/>
      <c r="H441" s="14"/>
      <c r="I441" s="14"/>
      <c r="J441" s="14"/>
      <c r="K441" s="12"/>
    </row>
    <row r="442" ht="19.5" customHeight="1">
      <c r="A442" s="12"/>
      <c r="C442" s="12"/>
      <c r="D442" s="13"/>
      <c r="F442" s="14"/>
      <c r="G442" s="14"/>
      <c r="H442" s="14"/>
      <c r="I442" s="14"/>
      <c r="J442" s="14"/>
      <c r="K442" s="12"/>
    </row>
    <row r="443" ht="19.5" customHeight="1">
      <c r="A443" s="12"/>
      <c r="C443" s="12"/>
      <c r="D443" s="13"/>
      <c r="F443" s="14"/>
      <c r="G443" s="14"/>
      <c r="H443" s="14"/>
      <c r="I443" s="14"/>
      <c r="J443" s="14"/>
      <c r="K443" s="12"/>
    </row>
    <row r="444" ht="19.5" customHeight="1">
      <c r="A444" s="12"/>
      <c r="C444" s="12"/>
      <c r="D444" s="13"/>
      <c r="F444" s="14"/>
      <c r="G444" s="14"/>
      <c r="H444" s="14"/>
      <c r="I444" s="14"/>
      <c r="J444" s="14"/>
      <c r="K444" s="12"/>
    </row>
    <row r="445" ht="19.5" customHeight="1">
      <c r="A445" s="12"/>
      <c r="C445" s="12"/>
      <c r="D445" s="13"/>
      <c r="F445" s="14"/>
      <c r="G445" s="14"/>
      <c r="H445" s="14"/>
      <c r="I445" s="14"/>
      <c r="J445" s="14"/>
      <c r="K445" s="12"/>
    </row>
    <row r="446" ht="19.5" customHeight="1">
      <c r="A446" s="12"/>
      <c r="C446" s="12"/>
      <c r="D446" s="13"/>
      <c r="F446" s="14"/>
      <c r="G446" s="14"/>
      <c r="H446" s="14"/>
      <c r="I446" s="14"/>
      <c r="J446" s="14"/>
      <c r="K446" s="12"/>
    </row>
    <row r="447" ht="19.5" customHeight="1">
      <c r="A447" s="12"/>
      <c r="C447" s="12"/>
      <c r="D447" s="13"/>
      <c r="F447" s="14"/>
      <c r="G447" s="14"/>
      <c r="H447" s="14"/>
      <c r="I447" s="14"/>
      <c r="J447" s="14"/>
      <c r="K447" s="12"/>
    </row>
    <row r="448" ht="19.5" customHeight="1">
      <c r="A448" s="12"/>
      <c r="C448" s="12"/>
      <c r="D448" s="13"/>
      <c r="F448" s="14"/>
      <c r="G448" s="14"/>
      <c r="H448" s="14"/>
      <c r="I448" s="14"/>
      <c r="J448" s="14"/>
      <c r="K448" s="12"/>
    </row>
    <row r="449" ht="19.5" customHeight="1">
      <c r="A449" s="12"/>
      <c r="C449" s="12"/>
      <c r="D449" s="13"/>
      <c r="F449" s="14"/>
      <c r="G449" s="14"/>
      <c r="H449" s="14"/>
      <c r="I449" s="14"/>
      <c r="J449" s="14"/>
      <c r="K449" s="12"/>
    </row>
    <row r="450" ht="19.5" customHeight="1">
      <c r="A450" s="12"/>
      <c r="C450" s="12"/>
      <c r="D450" s="13"/>
      <c r="F450" s="14"/>
      <c r="G450" s="14"/>
      <c r="H450" s="14"/>
      <c r="I450" s="14"/>
      <c r="J450" s="14"/>
      <c r="K450" s="12"/>
    </row>
    <row r="451" ht="19.5" customHeight="1">
      <c r="A451" s="12"/>
      <c r="C451" s="12"/>
      <c r="D451" s="13"/>
      <c r="F451" s="14"/>
      <c r="G451" s="14"/>
      <c r="H451" s="14"/>
      <c r="I451" s="14"/>
      <c r="J451" s="14"/>
      <c r="K451" s="12"/>
    </row>
    <row r="452" ht="19.5" customHeight="1">
      <c r="A452" s="12"/>
      <c r="C452" s="12"/>
      <c r="D452" s="13"/>
      <c r="F452" s="14"/>
      <c r="G452" s="14"/>
      <c r="H452" s="14"/>
      <c r="I452" s="14"/>
      <c r="J452" s="14"/>
      <c r="K452" s="12"/>
    </row>
    <row r="453" ht="19.5" customHeight="1">
      <c r="A453" s="12"/>
      <c r="C453" s="12"/>
      <c r="D453" s="13"/>
      <c r="F453" s="14"/>
      <c r="G453" s="14"/>
      <c r="H453" s="14"/>
      <c r="I453" s="14"/>
      <c r="J453" s="14"/>
      <c r="K453" s="12"/>
    </row>
    <row r="454" ht="19.5" customHeight="1">
      <c r="A454" s="12"/>
      <c r="C454" s="12"/>
      <c r="D454" s="13"/>
      <c r="F454" s="14"/>
      <c r="G454" s="14"/>
      <c r="H454" s="14"/>
      <c r="I454" s="14"/>
      <c r="J454" s="14"/>
      <c r="K454" s="12"/>
    </row>
    <row r="455" ht="19.5" customHeight="1">
      <c r="A455" s="12"/>
      <c r="C455" s="12"/>
      <c r="D455" s="13"/>
      <c r="F455" s="14"/>
      <c r="G455" s="14"/>
      <c r="H455" s="14"/>
      <c r="I455" s="14"/>
      <c r="J455" s="14"/>
      <c r="K455" s="12"/>
    </row>
    <row r="456" ht="19.5" customHeight="1">
      <c r="A456" s="12"/>
      <c r="C456" s="12"/>
      <c r="D456" s="13"/>
      <c r="F456" s="14"/>
      <c r="G456" s="14"/>
      <c r="H456" s="14"/>
      <c r="I456" s="14"/>
      <c r="J456" s="14"/>
      <c r="K456" s="12"/>
    </row>
    <row r="457" ht="19.5" customHeight="1">
      <c r="A457" s="12"/>
      <c r="C457" s="12"/>
      <c r="D457" s="13"/>
      <c r="F457" s="14"/>
      <c r="G457" s="14"/>
      <c r="H457" s="14"/>
      <c r="I457" s="14"/>
      <c r="J457" s="14"/>
      <c r="K457" s="12"/>
    </row>
    <row r="458" ht="19.5" customHeight="1">
      <c r="A458" s="12"/>
      <c r="C458" s="12"/>
      <c r="D458" s="13"/>
      <c r="F458" s="14"/>
      <c r="G458" s="14"/>
      <c r="H458" s="14"/>
      <c r="I458" s="14"/>
      <c r="J458" s="14"/>
      <c r="K458" s="12"/>
    </row>
    <row r="459" ht="19.5" customHeight="1">
      <c r="A459" s="12"/>
      <c r="C459" s="12"/>
      <c r="D459" s="13"/>
      <c r="F459" s="14"/>
      <c r="G459" s="14"/>
      <c r="H459" s="14"/>
      <c r="I459" s="14"/>
      <c r="J459" s="14"/>
      <c r="K459" s="12"/>
    </row>
    <row r="460" ht="19.5" customHeight="1">
      <c r="A460" s="12"/>
      <c r="C460" s="12"/>
      <c r="D460" s="13"/>
      <c r="F460" s="14"/>
      <c r="G460" s="14"/>
      <c r="H460" s="14"/>
      <c r="I460" s="14"/>
      <c r="J460" s="14"/>
      <c r="K460" s="12"/>
    </row>
    <row r="461" ht="19.5" customHeight="1">
      <c r="A461" s="12"/>
      <c r="C461" s="12"/>
      <c r="D461" s="13"/>
      <c r="F461" s="14"/>
      <c r="G461" s="14"/>
      <c r="H461" s="14"/>
      <c r="I461" s="14"/>
      <c r="J461" s="14"/>
      <c r="K461" s="12"/>
    </row>
    <row r="462" ht="19.5" customHeight="1">
      <c r="A462" s="12"/>
      <c r="C462" s="12"/>
      <c r="D462" s="13"/>
      <c r="F462" s="14"/>
      <c r="G462" s="14"/>
      <c r="H462" s="14"/>
      <c r="I462" s="14"/>
      <c r="J462" s="14"/>
      <c r="K462" s="12"/>
    </row>
    <row r="463" ht="19.5" customHeight="1">
      <c r="A463" s="12"/>
      <c r="C463" s="12"/>
      <c r="D463" s="13"/>
      <c r="F463" s="14"/>
      <c r="G463" s="14"/>
      <c r="H463" s="14"/>
      <c r="I463" s="14"/>
      <c r="J463" s="14"/>
      <c r="K463" s="12"/>
    </row>
    <row r="464" ht="19.5" customHeight="1">
      <c r="A464" s="12"/>
      <c r="C464" s="12"/>
      <c r="D464" s="13"/>
      <c r="F464" s="14"/>
      <c r="G464" s="14"/>
      <c r="H464" s="14"/>
      <c r="I464" s="14"/>
      <c r="J464" s="14"/>
      <c r="K464" s="12"/>
    </row>
    <row r="465" ht="19.5" customHeight="1">
      <c r="A465" s="12"/>
      <c r="C465" s="12"/>
      <c r="D465" s="13"/>
      <c r="F465" s="14"/>
      <c r="G465" s="14"/>
      <c r="H465" s="14"/>
      <c r="I465" s="14"/>
      <c r="J465" s="14"/>
      <c r="K465" s="12"/>
    </row>
    <row r="466" ht="19.5" customHeight="1">
      <c r="A466" s="12"/>
      <c r="C466" s="12"/>
      <c r="D466" s="13"/>
      <c r="F466" s="14"/>
      <c r="G466" s="14"/>
      <c r="H466" s="14"/>
      <c r="I466" s="14"/>
      <c r="J466" s="14"/>
      <c r="K466" s="12"/>
    </row>
    <row r="467" ht="19.5" customHeight="1">
      <c r="A467" s="12"/>
      <c r="C467" s="12"/>
      <c r="D467" s="13"/>
      <c r="F467" s="14"/>
      <c r="G467" s="14"/>
      <c r="H467" s="14"/>
      <c r="I467" s="14"/>
      <c r="J467" s="14"/>
      <c r="K467" s="12"/>
    </row>
    <row r="468" ht="19.5" customHeight="1">
      <c r="A468" s="12"/>
      <c r="C468" s="12"/>
      <c r="D468" s="13"/>
      <c r="F468" s="14"/>
      <c r="G468" s="14"/>
      <c r="H468" s="14"/>
      <c r="I468" s="14"/>
      <c r="J468" s="14"/>
      <c r="K468" s="12"/>
    </row>
    <row r="469" ht="19.5" customHeight="1">
      <c r="A469" s="12"/>
      <c r="C469" s="12"/>
      <c r="D469" s="13"/>
      <c r="F469" s="14"/>
      <c r="G469" s="14"/>
      <c r="H469" s="14"/>
      <c r="I469" s="14"/>
      <c r="J469" s="14"/>
      <c r="K469" s="12"/>
    </row>
    <row r="470" ht="19.5" customHeight="1">
      <c r="A470" s="12"/>
      <c r="C470" s="12"/>
      <c r="D470" s="13"/>
      <c r="F470" s="14"/>
      <c r="G470" s="14"/>
      <c r="H470" s="14"/>
      <c r="I470" s="14"/>
      <c r="J470" s="14"/>
      <c r="K470" s="12"/>
    </row>
    <row r="471" ht="19.5" customHeight="1">
      <c r="A471" s="12"/>
      <c r="C471" s="12"/>
      <c r="D471" s="13"/>
      <c r="F471" s="14"/>
      <c r="G471" s="14"/>
      <c r="H471" s="14"/>
      <c r="I471" s="14"/>
      <c r="J471" s="14"/>
      <c r="K471" s="12"/>
    </row>
    <row r="472" ht="19.5" customHeight="1">
      <c r="A472" s="12"/>
      <c r="C472" s="12"/>
      <c r="D472" s="13"/>
      <c r="F472" s="14"/>
      <c r="G472" s="14"/>
      <c r="H472" s="14"/>
      <c r="I472" s="14"/>
      <c r="J472" s="14"/>
      <c r="K472" s="12"/>
    </row>
    <row r="473" ht="19.5" customHeight="1">
      <c r="A473" s="12"/>
      <c r="C473" s="12"/>
      <c r="D473" s="13"/>
      <c r="F473" s="14"/>
      <c r="G473" s="14"/>
      <c r="H473" s="14"/>
      <c r="I473" s="14"/>
      <c r="J473" s="14"/>
      <c r="K473" s="12"/>
    </row>
    <row r="474" ht="19.5" customHeight="1">
      <c r="A474" s="12"/>
      <c r="C474" s="12"/>
      <c r="D474" s="13"/>
      <c r="F474" s="14"/>
      <c r="G474" s="14"/>
      <c r="H474" s="14"/>
      <c r="I474" s="14"/>
      <c r="J474" s="14"/>
      <c r="K474" s="12"/>
    </row>
    <row r="475" ht="19.5" customHeight="1">
      <c r="A475" s="12"/>
      <c r="C475" s="12"/>
      <c r="D475" s="13"/>
      <c r="F475" s="14"/>
      <c r="G475" s="14"/>
      <c r="H475" s="14"/>
      <c r="I475" s="14"/>
      <c r="J475" s="14"/>
      <c r="K475" s="12"/>
    </row>
    <row r="476" ht="19.5" customHeight="1">
      <c r="A476" s="12"/>
      <c r="C476" s="12"/>
      <c r="D476" s="13"/>
      <c r="F476" s="14"/>
      <c r="G476" s="14"/>
      <c r="H476" s="14"/>
      <c r="I476" s="14"/>
      <c r="J476" s="14"/>
      <c r="K476" s="12"/>
    </row>
    <row r="477" ht="19.5" customHeight="1">
      <c r="A477" s="12"/>
      <c r="C477" s="12"/>
      <c r="D477" s="13"/>
      <c r="F477" s="14"/>
      <c r="G477" s="14"/>
      <c r="H477" s="14"/>
      <c r="I477" s="14"/>
      <c r="J477" s="14"/>
      <c r="K477" s="12"/>
    </row>
    <row r="478" ht="19.5" customHeight="1">
      <c r="A478" s="12"/>
      <c r="C478" s="12"/>
      <c r="D478" s="13"/>
      <c r="F478" s="14"/>
      <c r="G478" s="14"/>
      <c r="H478" s="14"/>
      <c r="I478" s="14"/>
      <c r="J478" s="14"/>
      <c r="K478" s="12"/>
    </row>
    <row r="479" ht="19.5" customHeight="1">
      <c r="A479" s="12"/>
      <c r="C479" s="12"/>
      <c r="D479" s="13"/>
      <c r="F479" s="14"/>
      <c r="G479" s="14"/>
      <c r="H479" s="14"/>
      <c r="I479" s="14"/>
      <c r="J479" s="14"/>
      <c r="K479" s="12"/>
    </row>
    <row r="480" ht="19.5" customHeight="1">
      <c r="A480" s="12"/>
      <c r="C480" s="12"/>
      <c r="D480" s="13"/>
      <c r="F480" s="14"/>
      <c r="G480" s="14"/>
      <c r="H480" s="14"/>
      <c r="I480" s="14"/>
      <c r="J480" s="14"/>
      <c r="K480" s="12"/>
    </row>
    <row r="481" ht="19.5" customHeight="1">
      <c r="A481" s="12"/>
      <c r="C481" s="12"/>
      <c r="D481" s="13"/>
      <c r="F481" s="14"/>
      <c r="G481" s="14"/>
      <c r="H481" s="14"/>
      <c r="I481" s="14"/>
      <c r="J481" s="14"/>
      <c r="K481" s="12"/>
    </row>
    <row r="482" ht="19.5" customHeight="1">
      <c r="A482" s="12"/>
      <c r="C482" s="12"/>
      <c r="D482" s="13"/>
      <c r="F482" s="14"/>
      <c r="G482" s="14"/>
      <c r="H482" s="14"/>
      <c r="I482" s="14"/>
      <c r="J482" s="14"/>
      <c r="K482" s="12"/>
    </row>
    <row r="483" ht="19.5" customHeight="1">
      <c r="A483" s="12"/>
      <c r="C483" s="12"/>
      <c r="D483" s="13"/>
      <c r="F483" s="14"/>
      <c r="G483" s="14"/>
      <c r="H483" s="14"/>
      <c r="I483" s="14"/>
      <c r="J483" s="14"/>
      <c r="K483" s="12"/>
    </row>
    <row r="484" ht="19.5" customHeight="1">
      <c r="A484" s="12"/>
      <c r="C484" s="12"/>
      <c r="D484" s="13"/>
      <c r="F484" s="14"/>
      <c r="G484" s="14"/>
      <c r="H484" s="14"/>
      <c r="I484" s="14"/>
      <c r="J484" s="14"/>
      <c r="K484" s="12"/>
    </row>
    <row r="485" ht="19.5" customHeight="1">
      <c r="A485" s="12"/>
      <c r="C485" s="12"/>
      <c r="D485" s="13"/>
      <c r="F485" s="14"/>
      <c r="G485" s="14"/>
      <c r="H485" s="14"/>
      <c r="I485" s="14"/>
      <c r="J485" s="14"/>
      <c r="K485" s="12"/>
    </row>
    <row r="486" ht="19.5" customHeight="1">
      <c r="A486" s="12"/>
      <c r="C486" s="12"/>
      <c r="D486" s="13"/>
      <c r="F486" s="14"/>
      <c r="G486" s="14"/>
      <c r="H486" s="14"/>
      <c r="I486" s="14"/>
      <c r="J486" s="14"/>
      <c r="K486" s="12"/>
    </row>
    <row r="487" ht="19.5" customHeight="1">
      <c r="A487" s="12"/>
      <c r="C487" s="12"/>
      <c r="D487" s="13"/>
      <c r="F487" s="14"/>
      <c r="G487" s="14"/>
      <c r="H487" s="14"/>
      <c r="I487" s="14"/>
      <c r="J487" s="14"/>
      <c r="K487" s="12"/>
    </row>
    <row r="488" ht="19.5" customHeight="1">
      <c r="A488" s="12"/>
      <c r="C488" s="12"/>
      <c r="D488" s="13"/>
      <c r="F488" s="14"/>
      <c r="G488" s="14"/>
      <c r="H488" s="14"/>
      <c r="I488" s="14"/>
      <c r="J488" s="14"/>
      <c r="K488" s="12"/>
    </row>
    <row r="489" ht="19.5" customHeight="1">
      <c r="A489" s="12"/>
      <c r="C489" s="12"/>
      <c r="D489" s="13"/>
      <c r="F489" s="14"/>
      <c r="G489" s="14"/>
      <c r="H489" s="14"/>
      <c r="I489" s="14"/>
      <c r="J489" s="14"/>
      <c r="K489" s="12"/>
    </row>
    <row r="490" ht="19.5" customHeight="1">
      <c r="A490" s="12"/>
      <c r="C490" s="12"/>
      <c r="D490" s="13"/>
      <c r="F490" s="14"/>
      <c r="G490" s="14"/>
      <c r="H490" s="14"/>
      <c r="I490" s="14"/>
      <c r="J490" s="14"/>
      <c r="K490" s="12"/>
    </row>
    <row r="491" ht="19.5" customHeight="1">
      <c r="A491" s="12"/>
      <c r="C491" s="12"/>
      <c r="D491" s="13"/>
      <c r="F491" s="14"/>
      <c r="G491" s="14"/>
      <c r="H491" s="14"/>
      <c r="I491" s="14"/>
      <c r="J491" s="14"/>
      <c r="K491" s="12"/>
    </row>
    <row r="492" ht="19.5" customHeight="1">
      <c r="A492" s="12"/>
      <c r="C492" s="12"/>
      <c r="D492" s="13"/>
      <c r="F492" s="14"/>
      <c r="G492" s="14"/>
      <c r="H492" s="14"/>
      <c r="I492" s="14"/>
      <c r="J492" s="14"/>
      <c r="K492" s="12"/>
    </row>
    <row r="493" ht="19.5" customHeight="1">
      <c r="A493" s="12"/>
      <c r="C493" s="12"/>
      <c r="D493" s="13"/>
      <c r="F493" s="14"/>
      <c r="G493" s="14"/>
      <c r="H493" s="14"/>
      <c r="I493" s="14"/>
      <c r="J493" s="14"/>
      <c r="K493" s="12"/>
    </row>
    <row r="494" ht="19.5" customHeight="1">
      <c r="A494" s="12"/>
      <c r="C494" s="12"/>
      <c r="D494" s="13"/>
      <c r="F494" s="14"/>
      <c r="G494" s="14"/>
      <c r="H494" s="14"/>
      <c r="I494" s="14"/>
      <c r="J494" s="14"/>
      <c r="K494" s="12"/>
    </row>
    <row r="495" ht="19.5" customHeight="1">
      <c r="A495" s="12"/>
      <c r="C495" s="12"/>
      <c r="D495" s="13"/>
      <c r="F495" s="14"/>
      <c r="G495" s="14"/>
      <c r="H495" s="14"/>
      <c r="I495" s="14"/>
      <c r="J495" s="14"/>
      <c r="K495" s="12"/>
    </row>
    <row r="496" ht="19.5" customHeight="1">
      <c r="A496" s="12"/>
      <c r="C496" s="12"/>
      <c r="D496" s="13"/>
      <c r="F496" s="14"/>
      <c r="G496" s="14"/>
      <c r="H496" s="14"/>
      <c r="I496" s="14"/>
      <c r="J496" s="14"/>
      <c r="K496" s="12"/>
    </row>
    <row r="497" ht="19.5" customHeight="1">
      <c r="A497" s="12"/>
      <c r="C497" s="12"/>
      <c r="D497" s="13"/>
      <c r="F497" s="14"/>
      <c r="G497" s="14"/>
      <c r="H497" s="14"/>
      <c r="I497" s="14"/>
      <c r="J497" s="14"/>
      <c r="K497" s="12"/>
    </row>
    <row r="498" ht="19.5" customHeight="1">
      <c r="A498" s="12"/>
      <c r="C498" s="12"/>
      <c r="D498" s="13"/>
      <c r="F498" s="14"/>
      <c r="G498" s="14"/>
      <c r="H498" s="14"/>
      <c r="I498" s="14"/>
      <c r="J498" s="14"/>
      <c r="K498" s="12"/>
    </row>
    <row r="499" ht="19.5" customHeight="1">
      <c r="A499" s="12"/>
      <c r="C499" s="12"/>
      <c r="D499" s="13"/>
      <c r="F499" s="14"/>
      <c r="G499" s="14"/>
      <c r="H499" s="14"/>
      <c r="I499" s="14"/>
      <c r="J499" s="14"/>
      <c r="K499" s="12"/>
    </row>
    <row r="500" ht="19.5" customHeight="1">
      <c r="A500" s="12"/>
      <c r="C500" s="12"/>
      <c r="D500" s="13"/>
      <c r="F500" s="14"/>
      <c r="G500" s="14"/>
      <c r="H500" s="14"/>
      <c r="I500" s="14"/>
      <c r="J500" s="14"/>
      <c r="K500" s="12"/>
    </row>
    <row r="501" ht="19.5" customHeight="1">
      <c r="A501" s="12"/>
      <c r="C501" s="12"/>
      <c r="D501" s="13"/>
      <c r="F501" s="14"/>
      <c r="G501" s="14"/>
      <c r="H501" s="14"/>
      <c r="I501" s="14"/>
      <c r="J501" s="14"/>
      <c r="K501" s="12"/>
    </row>
    <row r="502" ht="19.5" customHeight="1">
      <c r="A502" s="12"/>
      <c r="C502" s="12"/>
      <c r="D502" s="13"/>
      <c r="F502" s="14"/>
      <c r="G502" s="14"/>
      <c r="H502" s="14"/>
      <c r="I502" s="14"/>
      <c r="J502" s="14"/>
      <c r="K502" s="12"/>
    </row>
    <row r="503" ht="19.5" customHeight="1">
      <c r="A503" s="12"/>
      <c r="C503" s="12"/>
      <c r="D503" s="13"/>
      <c r="F503" s="14"/>
      <c r="G503" s="14"/>
      <c r="H503" s="14"/>
      <c r="I503" s="14"/>
      <c r="J503" s="14"/>
      <c r="K503" s="12"/>
    </row>
    <row r="504" ht="19.5" customHeight="1">
      <c r="A504" s="12"/>
      <c r="C504" s="12"/>
      <c r="D504" s="13"/>
      <c r="F504" s="14"/>
      <c r="G504" s="14"/>
      <c r="H504" s="14"/>
      <c r="I504" s="14"/>
      <c r="J504" s="14"/>
      <c r="K504" s="12"/>
    </row>
    <row r="505" ht="19.5" customHeight="1">
      <c r="A505" s="12"/>
      <c r="C505" s="12"/>
      <c r="D505" s="13"/>
      <c r="F505" s="14"/>
      <c r="G505" s="14"/>
      <c r="H505" s="14"/>
      <c r="I505" s="14"/>
      <c r="J505" s="14"/>
      <c r="K505" s="12"/>
    </row>
    <row r="506" ht="19.5" customHeight="1">
      <c r="A506" s="12"/>
      <c r="C506" s="12"/>
      <c r="D506" s="13"/>
      <c r="F506" s="14"/>
      <c r="G506" s="14"/>
      <c r="H506" s="14"/>
      <c r="I506" s="14"/>
      <c r="J506" s="14"/>
      <c r="K506" s="12"/>
    </row>
    <row r="507" ht="19.5" customHeight="1">
      <c r="A507" s="12"/>
      <c r="C507" s="12"/>
      <c r="D507" s="13"/>
      <c r="F507" s="14"/>
      <c r="G507" s="14"/>
      <c r="H507" s="14"/>
      <c r="I507" s="14"/>
      <c r="J507" s="14"/>
      <c r="K507" s="12"/>
    </row>
    <row r="508" ht="19.5" customHeight="1">
      <c r="A508" s="12"/>
      <c r="C508" s="12"/>
      <c r="D508" s="13"/>
      <c r="F508" s="14"/>
      <c r="G508" s="14"/>
      <c r="H508" s="14"/>
      <c r="I508" s="14"/>
      <c r="J508" s="14"/>
      <c r="K508" s="12"/>
    </row>
    <row r="509" ht="19.5" customHeight="1">
      <c r="A509" s="12"/>
      <c r="C509" s="12"/>
      <c r="D509" s="13"/>
      <c r="F509" s="14"/>
      <c r="G509" s="14"/>
      <c r="H509" s="14"/>
      <c r="I509" s="14"/>
      <c r="J509" s="14"/>
      <c r="K509" s="12"/>
    </row>
    <row r="510" ht="19.5" customHeight="1">
      <c r="A510" s="12"/>
      <c r="C510" s="12"/>
      <c r="D510" s="13"/>
      <c r="F510" s="14"/>
      <c r="G510" s="14"/>
      <c r="H510" s="14"/>
      <c r="I510" s="14"/>
      <c r="J510" s="14"/>
      <c r="K510" s="12"/>
    </row>
    <row r="511" ht="19.5" customHeight="1">
      <c r="A511" s="12"/>
      <c r="C511" s="12"/>
      <c r="D511" s="13"/>
      <c r="F511" s="14"/>
      <c r="G511" s="14"/>
      <c r="H511" s="14"/>
      <c r="I511" s="14"/>
      <c r="J511" s="14"/>
      <c r="K511" s="12"/>
    </row>
    <row r="512" ht="19.5" customHeight="1">
      <c r="A512" s="12"/>
      <c r="C512" s="12"/>
      <c r="D512" s="13"/>
      <c r="F512" s="14"/>
      <c r="G512" s="14"/>
      <c r="H512" s="14"/>
      <c r="I512" s="14"/>
      <c r="J512" s="14"/>
      <c r="K512" s="12"/>
    </row>
    <row r="513" ht="19.5" customHeight="1">
      <c r="A513" s="12"/>
      <c r="C513" s="12"/>
      <c r="D513" s="13"/>
      <c r="F513" s="14"/>
      <c r="G513" s="14"/>
      <c r="H513" s="14"/>
      <c r="I513" s="14"/>
      <c r="J513" s="14"/>
      <c r="K513" s="12"/>
    </row>
    <row r="514" ht="19.5" customHeight="1">
      <c r="A514" s="12"/>
      <c r="C514" s="12"/>
      <c r="D514" s="13"/>
      <c r="F514" s="14"/>
      <c r="G514" s="14"/>
      <c r="H514" s="14"/>
      <c r="I514" s="14"/>
      <c r="J514" s="14"/>
      <c r="K514" s="12"/>
    </row>
    <row r="515" ht="19.5" customHeight="1">
      <c r="A515" s="12"/>
      <c r="C515" s="12"/>
      <c r="D515" s="13"/>
      <c r="F515" s="14"/>
      <c r="G515" s="14"/>
      <c r="H515" s="14"/>
      <c r="I515" s="14"/>
      <c r="J515" s="14"/>
      <c r="K515" s="12"/>
    </row>
    <row r="516" ht="19.5" customHeight="1">
      <c r="A516" s="12"/>
      <c r="C516" s="12"/>
      <c r="D516" s="13"/>
      <c r="F516" s="14"/>
      <c r="G516" s="14"/>
      <c r="H516" s="14"/>
      <c r="I516" s="14"/>
      <c r="J516" s="14"/>
      <c r="K516" s="12"/>
    </row>
    <row r="517" ht="19.5" customHeight="1">
      <c r="A517" s="12"/>
      <c r="C517" s="12"/>
      <c r="D517" s="13"/>
      <c r="F517" s="14"/>
      <c r="G517" s="14"/>
      <c r="H517" s="14"/>
      <c r="I517" s="14"/>
      <c r="J517" s="14"/>
      <c r="K517" s="12"/>
    </row>
    <row r="518" ht="19.5" customHeight="1">
      <c r="A518" s="12"/>
      <c r="C518" s="12"/>
      <c r="D518" s="13"/>
      <c r="F518" s="14"/>
      <c r="G518" s="14"/>
      <c r="H518" s="14"/>
      <c r="I518" s="14"/>
      <c r="J518" s="14"/>
      <c r="K518" s="12"/>
    </row>
    <row r="519" ht="19.5" customHeight="1">
      <c r="A519" s="12"/>
      <c r="C519" s="12"/>
      <c r="D519" s="13"/>
      <c r="F519" s="14"/>
      <c r="G519" s="14"/>
      <c r="H519" s="14"/>
      <c r="I519" s="14"/>
      <c r="J519" s="14"/>
      <c r="K519" s="12"/>
    </row>
    <row r="520" ht="19.5" customHeight="1">
      <c r="A520" s="12"/>
      <c r="C520" s="12"/>
      <c r="D520" s="13"/>
      <c r="F520" s="14"/>
      <c r="G520" s="14"/>
      <c r="H520" s="14"/>
      <c r="I520" s="14"/>
      <c r="J520" s="14"/>
      <c r="K520" s="12"/>
    </row>
    <row r="521" ht="19.5" customHeight="1">
      <c r="A521" s="12"/>
      <c r="C521" s="12"/>
      <c r="D521" s="13"/>
      <c r="F521" s="14"/>
      <c r="G521" s="14"/>
      <c r="H521" s="14"/>
      <c r="I521" s="14"/>
      <c r="J521" s="14"/>
      <c r="K521" s="12"/>
    </row>
    <row r="522" ht="19.5" customHeight="1">
      <c r="A522" s="12"/>
      <c r="C522" s="12"/>
      <c r="D522" s="13"/>
      <c r="F522" s="14"/>
      <c r="G522" s="14"/>
      <c r="H522" s="14"/>
      <c r="I522" s="14"/>
      <c r="J522" s="14"/>
      <c r="K522" s="12"/>
    </row>
    <row r="523" ht="19.5" customHeight="1">
      <c r="A523" s="12"/>
      <c r="C523" s="12"/>
      <c r="D523" s="13"/>
      <c r="F523" s="14"/>
      <c r="G523" s="14"/>
      <c r="H523" s="14"/>
      <c r="I523" s="14"/>
      <c r="J523" s="14"/>
      <c r="K523" s="12"/>
    </row>
    <row r="524" ht="19.5" customHeight="1">
      <c r="A524" s="12"/>
      <c r="C524" s="12"/>
      <c r="D524" s="13"/>
      <c r="F524" s="14"/>
      <c r="G524" s="14"/>
      <c r="H524" s="14"/>
      <c r="I524" s="14"/>
      <c r="J524" s="14"/>
      <c r="K524" s="12"/>
    </row>
    <row r="525" ht="19.5" customHeight="1">
      <c r="A525" s="12"/>
      <c r="C525" s="12"/>
      <c r="D525" s="13"/>
      <c r="F525" s="14"/>
      <c r="G525" s="14"/>
      <c r="H525" s="14"/>
      <c r="I525" s="14"/>
      <c r="J525" s="14"/>
      <c r="K525" s="12"/>
    </row>
    <row r="526" ht="19.5" customHeight="1">
      <c r="A526" s="12"/>
      <c r="C526" s="12"/>
      <c r="D526" s="13"/>
      <c r="F526" s="14"/>
      <c r="G526" s="14"/>
      <c r="H526" s="14"/>
      <c r="I526" s="14"/>
      <c r="J526" s="14"/>
      <c r="K526" s="12"/>
    </row>
    <row r="527" ht="19.5" customHeight="1">
      <c r="A527" s="12"/>
      <c r="C527" s="12"/>
      <c r="D527" s="13"/>
      <c r="F527" s="14"/>
      <c r="G527" s="14"/>
      <c r="H527" s="14"/>
      <c r="I527" s="14"/>
      <c r="J527" s="14"/>
      <c r="K527" s="12"/>
    </row>
    <row r="528" ht="19.5" customHeight="1">
      <c r="A528" s="12"/>
      <c r="C528" s="12"/>
      <c r="D528" s="13"/>
      <c r="F528" s="14"/>
      <c r="G528" s="14"/>
      <c r="H528" s="14"/>
      <c r="I528" s="14"/>
      <c r="J528" s="14"/>
      <c r="K528" s="12"/>
    </row>
    <row r="529" ht="19.5" customHeight="1">
      <c r="A529" s="12"/>
      <c r="C529" s="12"/>
      <c r="D529" s="13"/>
      <c r="F529" s="14"/>
      <c r="G529" s="14"/>
      <c r="H529" s="14"/>
      <c r="I529" s="14"/>
      <c r="J529" s="14"/>
      <c r="K529" s="12"/>
    </row>
    <row r="530" ht="19.5" customHeight="1">
      <c r="A530" s="12"/>
      <c r="C530" s="12"/>
      <c r="D530" s="13"/>
      <c r="F530" s="14"/>
      <c r="G530" s="14"/>
      <c r="H530" s="14"/>
      <c r="I530" s="14"/>
      <c r="J530" s="14"/>
      <c r="K530" s="12"/>
    </row>
    <row r="531" ht="19.5" customHeight="1">
      <c r="A531" s="12"/>
      <c r="C531" s="12"/>
      <c r="D531" s="13"/>
      <c r="F531" s="14"/>
      <c r="G531" s="14"/>
      <c r="H531" s="14"/>
      <c r="I531" s="14"/>
      <c r="J531" s="14"/>
      <c r="K531" s="12"/>
    </row>
    <row r="532" ht="19.5" customHeight="1">
      <c r="A532" s="12"/>
      <c r="C532" s="12"/>
      <c r="D532" s="13"/>
      <c r="F532" s="14"/>
      <c r="G532" s="14"/>
      <c r="H532" s="14"/>
      <c r="I532" s="14"/>
      <c r="J532" s="14"/>
      <c r="K532" s="12"/>
    </row>
    <row r="533" ht="19.5" customHeight="1">
      <c r="A533" s="12"/>
      <c r="C533" s="12"/>
      <c r="D533" s="13"/>
      <c r="F533" s="14"/>
      <c r="G533" s="14"/>
      <c r="H533" s="14"/>
      <c r="I533" s="14"/>
      <c r="J533" s="14"/>
      <c r="K533" s="12"/>
    </row>
    <row r="534" ht="19.5" customHeight="1">
      <c r="A534" s="12"/>
      <c r="C534" s="12"/>
      <c r="D534" s="13"/>
      <c r="F534" s="14"/>
      <c r="G534" s="14"/>
      <c r="H534" s="14"/>
      <c r="I534" s="14"/>
      <c r="J534" s="14"/>
      <c r="K534" s="12"/>
    </row>
    <row r="535" ht="19.5" customHeight="1">
      <c r="A535" s="12"/>
      <c r="C535" s="12"/>
      <c r="D535" s="13"/>
      <c r="F535" s="14"/>
      <c r="G535" s="14"/>
      <c r="H535" s="14"/>
      <c r="I535" s="14"/>
      <c r="J535" s="14"/>
      <c r="K535" s="12"/>
    </row>
    <row r="536" ht="19.5" customHeight="1">
      <c r="A536" s="12"/>
      <c r="C536" s="12"/>
      <c r="D536" s="13"/>
      <c r="F536" s="14"/>
      <c r="G536" s="14"/>
      <c r="H536" s="14"/>
      <c r="I536" s="14"/>
      <c r="J536" s="14"/>
      <c r="K536" s="12"/>
    </row>
    <row r="537" ht="19.5" customHeight="1">
      <c r="A537" s="12"/>
      <c r="C537" s="12"/>
      <c r="D537" s="13"/>
      <c r="F537" s="14"/>
      <c r="G537" s="14"/>
      <c r="H537" s="14"/>
      <c r="I537" s="14"/>
      <c r="J537" s="14"/>
      <c r="K537" s="12"/>
    </row>
    <row r="538" ht="19.5" customHeight="1">
      <c r="A538" s="12"/>
      <c r="C538" s="12"/>
      <c r="D538" s="13"/>
      <c r="F538" s="14"/>
      <c r="G538" s="14"/>
      <c r="H538" s="14"/>
      <c r="I538" s="14"/>
      <c r="J538" s="14"/>
      <c r="K538" s="12"/>
    </row>
    <row r="539" ht="19.5" customHeight="1">
      <c r="A539" s="12"/>
      <c r="C539" s="12"/>
      <c r="D539" s="13"/>
      <c r="F539" s="14"/>
      <c r="G539" s="14"/>
      <c r="H539" s="14"/>
      <c r="I539" s="14"/>
      <c r="J539" s="14"/>
      <c r="K539" s="12"/>
    </row>
    <row r="540" ht="19.5" customHeight="1">
      <c r="A540" s="12"/>
      <c r="C540" s="12"/>
      <c r="D540" s="13"/>
      <c r="F540" s="14"/>
      <c r="G540" s="14"/>
      <c r="H540" s="14"/>
      <c r="I540" s="14"/>
      <c r="J540" s="14"/>
      <c r="K540" s="12"/>
    </row>
    <row r="541" ht="19.5" customHeight="1">
      <c r="A541" s="12"/>
      <c r="C541" s="12"/>
      <c r="D541" s="13"/>
      <c r="F541" s="14"/>
      <c r="G541" s="14"/>
      <c r="H541" s="14"/>
      <c r="I541" s="14"/>
      <c r="J541" s="14"/>
      <c r="K541" s="12"/>
    </row>
    <row r="542" ht="19.5" customHeight="1">
      <c r="A542" s="12"/>
      <c r="C542" s="12"/>
      <c r="D542" s="13"/>
      <c r="F542" s="14"/>
      <c r="G542" s="14"/>
      <c r="H542" s="14"/>
      <c r="I542" s="14"/>
      <c r="J542" s="14"/>
      <c r="K542" s="12"/>
    </row>
    <row r="543" ht="19.5" customHeight="1">
      <c r="A543" s="12"/>
      <c r="C543" s="12"/>
      <c r="D543" s="13"/>
      <c r="F543" s="14"/>
      <c r="G543" s="14"/>
      <c r="H543" s="14"/>
      <c r="I543" s="14"/>
      <c r="J543" s="14"/>
      <c r="K543" s="12"/>
    </row>
    <row r="544" ht="19.5" customHeight="1">
      <c r="A544" s="12"/>
      <c r="C544" s="12"/>
      <c r="D544" s="13"/>
      <c r="F544" s="14"/>
      <c r="G544" s="14"/>
      <c r="H544" s="14"/>
      <c r="I544" s="14"/>
      <c r="J544" s="14"/>
      <c r="K544" s="12"/>
    </row>
    <row r="545" ht="19.5" customHeight="1">
      <c r="A545" s="12"/>
      <c r="C545" s="12"/>
      <c r="D545" s="13"/>
      <c r="F545" s="14"/>
      <c r="G545" s="14"/>
      <c r="H545" s="14"/>
      <c r="I545" s="14"/>
      <c r="J545" s="14"/>
      <c r="K545" s="12"/>
    </row>
    <row r="546" ht="19.5" customHeight="1">
      <c r="A546" s="12"/>
      <c r="C546" s="12"/>
      <c r="D546" s="13"/>
      <c r="F546" s="14"/>
      <c r="G546" s="14"/>
      <c r="H546" s="14"/>
      <c r="I546" s="14"/>
      <c r="J546" s="14"/>
      <c r="K546" s="12"/>
    </row>
    <row r="547" ht="19.5" customHeight="1">
      <c r="A547" s="12"/>
      <c r="C547" s="12"/>
      <c r="D547" s="13"/>
      <c r="F547" s="14"/>
      <c r="G547" s="14"/>
      <c r="H547" s="14"/>
      <c r="I547" s="14"/>
      <c r="J547" s="14"/>
      <c r="K547" s="12"/>
    </row>
    <row r="548" ht="19.5" customHeight="1">
      <c r="A548" s="12"/>
      <c r="C548" s="12"/>
      <c r="D548" s="13"/>
      <c r="F548" s="14"/>
      <c r="G548" s="14"/>
      <c r="H548" s="14"/>
      <c r="I548" s="14"/>
      <c r="J548" s="14"/>
      <c r="K548" s="12"/>
    </row>
    <row r="549" ht="19.5" customHeight="1">
      <c r="A549" s="12"/>
      <c r="C549" s="12"/>
      <c r="D549" s="13"/>
      <c r="F549" s="14"/>
      <c r="G549" s="14"/>
      <c r="H549" s="14"/>
      <c r="I549" s="14"/>
      <c r="J549" s="14"/>
      <c r="K549" s="12"/>
    </row>
    <row r="550" ht="19.5" customHeight="1">
      <c r="A550" s="12"/>
      <c r="C550" s="12"/>
      <c r="D550" s="13"/>
      <c r="F550" s="14"/>
      <c r="G550" s="14"/>
      <c r="H550" s="14"/>
      <c r="I550" s="14"/>
      <c r="J550" s="14"/>
      <c r="K550" s="12"/>
    </row>
    <row r="551" ht="19.5" customHeight="1">
      <c r="A551" s="12"/>
      <c r="C551" s="12"/>
      <c r="D551" s="13"/>
      <c r="F551" s="14"/>
      <c r="G551" s="14"/>
      <c r="H551" s="14"/>
      <c r="I551" s="14"/>
      <c r="J551" s="14"/>
      <c r="K551" s="12"/>
    </row>
    <row r="552" ht="19.5" customHeight="1">
      <c r="A552" s="12"/>
      <c r="C552" s="12"/>
      <c r="D552" s="13"/>
      <c r="F552" s="14"/>
      <c r="G552" s="14"/>
      <c r="H552" s="14"/>
      <c r="I552" s="14"/>
      <c r="J552" s="14"/>
      <c r="K552" s="12"/>
    </row>
    <row r="553" ht="19.5" customHeight="1">
      <c r="A553" s="12"/>
      <c r="C553" s="12"/>
      <c r="D553" s="13"/>
      <c r="F553" s="14"/>
      <c r="G553" s="14"/>
      <c r="H553" s="14"/>
      <c r="I553" s="14"/>
      <c r="J553" s="14"/>
      <c r="K553" s="12"/>
    </row>
    <row r="554" ht="19.5" customHeight="1">
      <c r="A554" s="12"/>
      <c r="C554" s="12"/>
      <c r="D554" s="13"/>
      <c r="F554" s="14"/>
      <c r="G554" s="14"/>
      <c r="H554" s="14"/>
      <c r="I554" s="14"/>
      <c r="J554" s="14"/>
      <c r="K554" s="12"/>
    </row>
    <row r="555" ht="19.5" customHeight="1">
      <c r="A555" s="12"/>
      <c r="C555" s="12"/>
      <c r="D555" s="13"/>
      <c r="F555" s="14"/>
      <c r="G555" s="14"/>
      <c r="H555" s="14"/>
      <c r="I555" s="14"/>
      <c r="J555" s="14"/>
      <c r="K555" s="12"/>
    </row>
    <row r="556" ht="19.5" customHeight="1">
      <c r="A556" s="12"/>
      <c r="C556" s="12"/>
      <c r="D556" s="13"/>
      <c r="F556" s="14"/>
      <c r="G556" s="14"/>
      <c r="H556" s="14"/>
      <c r="I556" s="14"/>
      <c r="J556" s="14"/>
      <c r="K556" s="12"/>
    </row>
    <row r="557" ht="19.5" customHeight="1">
      <c r="A557" s="12"/>
      <c r="C557" s="12"/>
      <c r="D557" s="13"/>
      <c r="F557" s="14"/>
      <c r="G557" s="14"/>
      <c r="H557" s="14"/>
      <c r="I557" s="14"/>
      <c r="J557" s="14"/>
      <c r="K557" s="12"/>
    </row>
    <row r="558" ht="19.5" customHeight="1">
      <c r="A558" s="12"/>
      <c r="C558" s="12"/>
      <c r="D558" s="13"/>
      <c r="F558" s="14"/>
      <c r="G558" s="14"/>
      <c r="H558" s="14"/>
      <c r="I558" s="14"/>
      <c r="J558" s="14"/>
      <c r="K558" s="12"/>
    </row>
    <row r="559" ht="19.5" customHeight="1">
      <c r="A559" s="12"/>
      <c r="C559" s="12"/>
      <c r="D559" s="13"/>
      <c r="F559" s="14"/>
      <c r="G559" s="14"/>
      <c r="H559" s="14"/>
      <c r="I559" s="14"/>
      <c r="J559" s="14"/>
      <c r="K559" s="12"/>
    </row>
    <row r="560" ht="19.5" customHeight="1">
      <c r="A560" s="12"/>
      <c r="C560" s="12"/>
      <c r="D560" s="13"/>
      <c r="F560" s="14"/>
      <c r="G560" s="14"/>
      <c r="H560" s="14"/>
      <c r="I560" s="14"/>
      <c r="J560" s="14"/>
      <c r="K560" s="12"/>
    </row>
    <row r="561" ht="19.5" customHeight="1">
      <c r="A561" s="12"/>
      <c r="C561" s="12"/>
      <c r="D561" s="13"/>
      <c r="F561" s="14"/>
      <c r="G561" s="14"/>
      <c r="H561" s="14"/>
      <c r="I561" s="14"/>
      <c r="J561" s="14"/>
      <c r="K561" s="12"/>
    </row>
    <row r="562" ht="19.5" customHeight="1">
      <c r="A562" s="12"/>
      <c r="C562" s="12"/>
      <c r="D562" s="13"/>
      <c r="F562" s="14"/>
      <c r="G562" s="14"/>
      <c r="H562" s="14"/>
      <c r="I562" s="14"/>
      <c r="J562" s="14"/>
      <c r="K562" s="12"/>
    </row>
    <row r="563" ht="19.5" customHeight="1">
      <c r="A563" s="12"/>
      <c r="C563" s="12"/>
      <c r="D563" s="13"/>
      <c r="F563" s="14"/>
      <c r="G563" s="14"/>
      <c r="H563" s="14"/>
      <c r="I563" s="14"/>
      <c r="J563" s="14"/>
      <c r="K563" s="12"/>
    </row>
    <row r="564" ht="19.5" customHeight="1">
      <c r="A564" s="12"/>
      <c r="C564" s="12"/>
      <c r="D564" s="13"/>
      <c r="F564" s="14"/>
      <c r="G564" s="14"/>
      <c r="H564" s="14"/>
      <c r="I564" s="14"/>
      <c r="J564" s="14"/>
      <c r="K564" s="12"/>
    </row>
    <row r="565" ht="19.5" customHeight="1">
      <c r="A565" s="12"/>
      <c r="C565" s="12"/>
      <c r="D565" s="13"/>
      <c r="F565" s="14"/>
      <c r="G565" s="14"/>
      <c r="H565" s="14"/>
      <c r="I565" s="14"/>
      <c r="J565" s="14"/>
      <c r="K565" s="12"/>
    </row>
    <row r="566" ht="19.5" customHeight="1">
      <c r="A566" s="12"/>
      <c r="C566" s="12"/>
      <c r="D566" s="13"/>
      <c r="F566" s="14"/>
      <c r="G566" s="14"/>
      <c r="H566" s="14"/>
      <c r="I566" s="14"/>
      <c r="J566" s="14"/>
      <c r="K566" s="12"/>
    </row>
    <row r="567" ht="19.5" customHeight="1">
      <c r="A567" s="12"/>
      <c r="C567" s="12"/>
      <c r="D567" s="13"/>
      <c r="F567" s="14"/>
      <c r="G567" s="14"/>
      <c r="H567" s="14"/>
      <c r="I567" s="14"/>
      <c r="J567" s="14"/>
      <c r="K567" s="12"/>
    </row>
    <row r="568" ht="19.5" customHeight="1">
      <c r="A568" s="12"/>
      <c r="C568" s="12"/>
      <c r="D568" s="13"/>
      <c r="F568" s="14"/>
      <c r="G568" s="14"/>
      <c r="H568" s="14"/>
      <c r="I568" s="14"/>
      <c r="J568" s="14"/>
      <c r="K568" s="12"/>
    </row>
    <row r="569" ht="19.5" customHeight="1">
      <c r="A569" s="12"/>
      <c r="C569" s="12"/>
      <c r="D569" s="13"/>
      <c r="F569" s="14"/>
      <c r="G569" s="14"/>
      <c r="H569" s="14"/>
      <c r="I569" s="14"/>
      <c r="J569" s="14"/>
      <c r="K569" s="12"/>
    </row>
    <row r="570" ht="19.5" customHeight="1">
      <c r="A570" s="12"/>
      <c r="C570" s="12"/>
      <c r="D570" s="13"/>
      <c r="F570" s="14"/>
      <c r="G570" s="14"/>
      <c r="H570" s="14"/>
      <c r="I570" s="14"/>
      <c r="J570" s="14"/>
      <c r="K570" s="12"/>
    </row>
    <row r="571" ht="19.5" customHeight="1">
      <c r="A571" s="12"/>
      <c r="C571" s="12"/>
      <c r="D571" s="13"/>
      <c r="F571" s="14"/>
      <c r="G571" s="14"/>
      <c r="H571" s="14"/>
      <c r="I571" s="14"/>
      <c r="J571" s="14"/>
      <c r="K571" s="12"/>
    </row>
    <row r="572" ht="19.5" customHeight="1">
      <c r="A572" s="12"/>
      <c r="C572" s="12"/>
      <c r="D572" s="13"/>
      <c r="F572" s="14"/>
      <c r="G572" s="14"/>
      <c r="H572" s="14"/>
      <c r="I572" s="14"/>
      <c r="J572" s="14"/>
      <c r="K572" s="12"/>
    </row>
    <row r="573" ht="19.5" customHeight="1">
      <c r="A573" s="12"/>
      <c r="C573" s="12"/>
      <c r="D573" s="13"/>
      <c r="F573" s="14"/>
      <c r="G573" s="14"/>
      <c r="H573" s="14"/>
      <c r="I573" s="14"/>
      <c r="J573" s="14"/>
      <c r="K573" s="12"/>
    </row>
    <row r="574" ht="19.5" customHeight="1">
      <c r="A574" s="12"/>
      <c r="C574" s="12"/>
      <c r="D574" s="13"/>
      <c r="F574" s="14"/>
      <c r="G574" s="14"/>
      <c r="H574" s="14"/>
      <c r="I574" s="14"/>
      <c r="J574" s="14"/>
      <c r="K574" s="12"/>
    </row>
    <row r="575" ht="19.5" customHeight="1">
      <c r="A575" s="12"/>
      <c r="C575" s="12"/>
      <c r="D575" s="13"/>
      <c r="F575" s="14"/>
      <c r="G575" s="14"/>
      <c r="H575" s="14"/>
      <c r="I575" s="14"/>
      <c r="J575" s="14"/>
      <c r="K575" s="12"/>
    </row>
    <row r="576" ht="19.5" customHeight="1">
      <c r="A576" s="12"/>
      <c r="C576" s="12"/>
      <c r="D576" s="13"/>
      <c r="F576" s="14"/>
      <c r="G576" s="14"/>
      <c r="H576" s="14"/>
      <c r="I576" s="14"/>
      <c r="J576" s="14"/>
      <c r="K576" s="12"/>
    </row>
    <row r="577" ht="19.5" customHeight="1">
      <c r="A577" s="12"/>
      <c r="C577" s="12"/>
      <c r="D577" s="13"/>
      <c r="F577" s="14"/>
      <c r="G577" s="14"/>
      <c r="H577" s="14"/>
      <c r="I577" s="14"/>
      <c r="J577" s="14"/>
      <c r="K577" s="12"/>
    </row>
    <row r="578" ht="19.5" customHeight="1">
      <c r="A578" s="12"/>
      <c r="C578" s="12"/>
      <c r="D578" s="13"/>
      <c r="F578" s="14"/>
      <c r="G578" s="14"/>
      <c r="H578" s="14"/>
      <c r="I578" s="14"/>
      <c r="J578" s="14"/>
      <c r="K578" s="12"/>
    </row>
    <row r="579" ht="19.5" customHeight="1">
      <c r="A579" s="12"/>
      <c r="C579" s="12"/>
      <c r="D579" s="13"/>
      <c r="F579" s="14"/>
      <c r="G579" s="14"/>
      <c r="H579" s="14"/>
      <c r="I579" s="14"/>
      <c r="J579" s="14"/>
      <c r="K579" s="12"/>
    </row>
    <row r="580" ht="19.5" customHeight="1">
      <c r="A580" s="12"/>
      <c r="C580" s="12"/>
      <c r="D580" s="13"/>
      <c r="F580" s="14"/>
      <c r="G580" s="14"/>
      <c r="H580" s="14"/>
      <c r="I580" s="14"/>
      <c r="J580" s="14"/>
      <c r="K580" s="12"/>
    </row>
    <row r="581" ht="19.5" customHeight="1">
      <c r="A581" s="12"/>
      <c r="C581" s="12"/>
      <c r="D581" s="13"/>
      <c r="F581" s="14"/>
      <c r="G581" s="14"/>
      <c r="H581" s="14"/>
      <c r="I581" s="14"/>
      <c r="J581" s="14"/>
      <c r="K581" s="12"/>
    </row>
    <row r="582" ht="19.5" customHeight="1">
      <c r="A582" s="12"/>
      <c r="C582" s="12"/>
      <c r="D582" s="13"/>
      <c r="F582" s="14"/>
      <c r="G582" s="14"/>
      <c r="H582" s="14"/>
      <c r="I582" s="14"/>
      <c r="J582" s="14"/>
      <c r="K582" s="12"/>
    </row>
    <row r="583" ht="19.5" customHeight="1">
      <c r="A583" s="12"/>
      <c r="C583" s="12"/>
      <c r="D583" s="13"/>
      <c r="F583" s="14"/>
      <c r="G583" s="14"/>
      <c r="H583" s="14"/>
      <c r="I583" s="14"/>
      <c r="J583" s="14"/>
      <c r="K583" s="12"/>
    </row>
    <row r="584" ht="19.5" customHeight="1">
      <c r="A584" s="12"/>
      <c r="C584" s="12"/>
      <c r="D584" s="13"/>
      <c r="F584" s="14"/>
      <c r="G584" s="14"/>
      <c r="H584" s="14"/>
      <c r="I584" s="14"/>
      <c r="J584" s="14"/>
      <c r="K584" s="12"/>
    </row>
    <row r="585" ht="19.5" customHeight="1">
      <c r="A585" s="12"/>
      <c r="C585" s="12"/>
      <c r="D585" s="13"/>
      <c r="F585" s="14"/>
      <c r="G585" s="14"/>
      <c r="H585" s="14"/>
      <c r="I585" s="14"/>
      <c r="J585" s="14"/>
      <c r="K585" s="12"/>
    </row>
    <row r="586" ht="19.5" customHeight="1">
      <c r="A586" s="12"/>
      <c r="C586" s="12"/>
      <c r="D586" s="13"/>
      <c r="F586" s="14"/>
      <c r="G586" s="14"/>
      <c r="H586" s="14"/>
      <c r="I586" s="14"/>
      <c r="J586" s="14"/>
      <c r="K586" s="12"/>
    </row>
    <row r="587" ht="19.5" customHeight="1">
      <c r="A587" s="12"/>
      <c r="C587" s="12"/>
      <c r="D587" s="13"/>
      <c r="F587" s="14"/>
      <c r="G587" s="14"/>
      <c r="H587" s="14"/>
      <c r="I587" s="14"/>
      <c r="J587" s="14"/>
      <c r="K587" s="12"/>
    </row>
    <row r="588" ht="19.5" customHeight="1">
      <c r="A588" s="12"/>
      <c r="C588" s="12"/>
      <c r="D588" s="13"/>
      <c r="F588" s="14"/>
      <c r="G588" s="14"/>
      <c r="H588" s="14"/>
      <c r="I588" s="14"/>
      <c r="J588" s="14"/>
      <c r="K588" s="12"/>
    </row>
    <row r="589" ht="19.5" customHeight="1">
      <c r="A589" s="12"/>
      <c r="C589" s="12"/>
      <c r="D589" s="13"/>
      <c r="F589" s="14"/>
      <c r="G589" s="14"/>
      <c r="H589" s="14"/>
      <c r="I589" s="14"/>
      <c r="J589" s="14"/>
      <c r="K589" s="12"/>
    </row>
    <row r="590" ht="19.5" customHeight="1">
      <c r="A590" s="12"/>
      <c r="C590" s="12"/>
      <c r="D590" s="13"/>
      <c r="F590" s="14"/>
      <c r="G590" s="14"/>
      <c r="H590" s="14"/>
      <c r="I590" s="14"/>
      <c r="J590" s="14"/>
      <c r="K590" s="12"/>
    </row>
    <row r="591" ht="19.5" customHeight="1">
      <c r="A591" s="12"/>
      <c r="C591" s="12"/>
      <c r="D591" s="13"/>
      <c r="F591" s="14"/>
      <c r="G591" s="14"/>
      <c r="H591" s="14"/>
      <c r="I591" s="14"/>
      <c r="J591" s="14"/>
      <c r="K591" s="12"/>
    </row>
    <row r="592" ht="19.5" customHeight="1">
      <c r="A592" s="12"/>
      <c r="C592" s="12"/>
      <c r="D592" s="13"/>
      <c r="F592" s="14"/>
      <c r="G592" s="14"/>
      <c r="H592" s="14"/>
      <c r="I592" s="14"/>
      <c r="J592" s="14"/>
      <c r="K592" s="12"/>
    </row>
    <row r="593" ht="19.5" customHeight="1">
      <c r="A593" s="12"/>
      <c r="C593" s="12"/>
      <c r="D593" s="13"/>
      <c r="F593" s="14"/>
      <c r="G593" s="14"/>
      <c r="H593" s="14"/>
      <c r="I593" s="14"/>
      <c r="J593" s="14"/>
      <c r="K593" s="12"/>
    </row>
    <row r="594" ht="19.5" customHeight="1">
      <c r="A594" s="12"/>
      <c r="C594" s="12"/>
      <c r="D594" s="13"/>
      <c r="F594" s="14"/>
      <c r="G594" s="14"/>
      <c r="H594" s="14"/>
      <c r="I594" s="14"/>
      <c r="J594" s="14"/>
      <c r="K594" s="12"/>
    </row>
    <row r="595" ht="19.5" customHeight="1">
      <c r="A595" s="12"/>
      <c r="C595" s="12"/>
      <c r="D595" s="13"/>
      <c r="F595" s="14"/>
      <c r="G595" s="14"/>
      <c r="H595" s="14"/>
      <c r="I595" s="14"/>
      <c r="J595" s="14"/>
      <c r="K595" s="12"/>
    </row>
    <row r="596" ht="19.5" customHeight="1">
      <c r="A596" s="12"/>
      <c r="C596" s="12"/>
      <c r="D596" s="13"/>
      <c r="F596" s="14"/>
      <c r="G596" s="14"/>
      <c r="H596" s="14"/>
      <c r="I596" s="14"/>
      <c r="J596" s="14"/>
      <c r="K596" s="12"/>
    </row>
    <row r="597" ht="19.5" customHeight="1">
      <c r="A597" s="12"/>
      <c r="C597" s="12"/>
      <c r="D597" s="13"/>
      <c r="F597" s="14"/>
      <c r="G597" s="14"/>
      <c r="H597" s="14"/>
      <c r="I597" s="14"/>
      <c r="J597" s="14"/>
      <c r="K597" s="12"/>
    </row>
    <row r="598" ht="19.5" customHeight="1">
      <c r="A598" s="12"/>
      <c r="C598" s="12"/>
      <c r="D598" s="13"/>
      <c r="F598" s="14"/>
      <c r="G598" s="14"/>
      <c r="H598" s="14"/>
      <c r="I598" s="14"/>
      <c r="J598" s="14"/>
      <c r="K598" s="12"/>
    </row>
    <row r="599" ht="19.5" customHeight="1">
      <c r="A599" s="12"/>
      <c r="C599" s="12"/>
      <c r="D599" s="13"/>
      <c r="F599" s="14"/>
      <c r="G599" s="14"/>
      <c r="H599" s="14"/>
      <c r="I599" s="14"/>
      <c r="J599" s="14"/>
      <c r="K599" s="12"/>
    </row>
    <row r="600" ht="19.5" customHeight="1">
      <c r="A600" s="12"/>
      <c r="C600" s="12"/>
      <c r="D600" s="13"/>
      <c r="F600" s="14"/>
      <c r="G600" s="14"/>
      <c r="H600" s="14"/>
      <c r="I600" s="14"/>
      <c r="J600" s="14"/>
      <c r="K600" s="12"/>
    </row>
    <row r="601" ht="19.5" customHeight="1">
      <c r="A601" s="12"/>
      <c r="C601" s="12"/>
      <c r="D601" s="13"/>
      <c r="F601" s="14"/>
      <c r="G601" s="14"/>
      <c r="H601" s="14"/>
      <c r="I601" s="14"/>
      <c r="J601" s="14"/>
      <c r="K601" s="12"/>
    </row>
    <row r="602" ht="19.5" customHeight="1">
      <c r="A602" s="12"/>
      <c r="C602" s="12"/>
      <c r="D602" s="13"/>
      <c r="F602" s="14"/>
      <c r="G602" s="14"/>
      <c r="H602" s="14"/>
      <c r="I602" s="14"/>
      <c r="J602" s="14"/>
      <c r="K602" s="12"/>
    </row>
    <row r="603" ht="19.5" customHeight="1">
      <c r="A603" s="12"/>
      <c r="C603" s="12"/>
      <c r="D603" s="13"/>
      <c r="F603" s="14"/>
      <c r="G603" s="14"/>
      <c r="H603" s="14"/>
      <c r="I603" s="14"/>
      <c r="J603" s="14"/>
      <c r="K603" s="12"/>
    </row>
    <row r="604" ht="19.5" customHeight="1">
      <c r="A604" s="12"/>
      <c r="C604" s="12"/>
      <c r="D604" s="13"/>
      <c r="F604" s="14"/>
      <c r="G604" s="14"/>
      <c r="H604" s="14"/>
      <c r="I604" s="14"/>
      <c r="J604" s="14"/>
      <c r="K604" s="12"/>
    </row>
    <row r="605" ht="19.5" customHeight="1">
      <c r="A605" s="12"/>
      <c r="C605" s="12"/>
      <c r="D605" s="13"/>
      <c r="F605" s="14"/>
      <c r="G605" s="14"/>
      <c r="H605" s="14"/>
      <c r="I605" s="14"/>
      <c r="J605" s="14"/>
      <c r="K605" s="12"/>
    </row>
    <row r="606" ht="19.5" customHeight="1">
      <c r="A606" s="12"/>
      <c r="C606" s="12"/>
      <c r="D606" s="13"/>
      <c r="F606" s="14"/>
      <c r="G606" s="14"/>
      <c r="H606" s="14"/>
      <c r="I606" s="14"/>
      <c r="J606" s="14"/>
      <c r="K606" s="12"/>
    </row>
    <row r="607" ht="19.5" customHeight="1">
      <c r="A607" s="12"/>
      <c r="C607" s="12"/>
      <c r="D607" s="13"/>
      <c r="F607" s="14"/>
      <c r="G607" s="14"/>
      <c r="H607" s="14"/>
      <c r="I607" s="14"/>
      <c r="J607" s="14"/>
      <c r="K607" s="12"/>
    </row>
    <row r="608" ht="19.5" customHeight="1">
      <c r="A608" s="12"/>
      <c r="C608" s="12"/>
      <c r="D608" s="13"/>
      <c r="F608" s="14"/>
      <c r="G608" s="14"/>
      <c r="H608" s="14"/>
      <c r="I608" s="14"/>
      <c r="J608" s="14"/>
      <c r="K608" s="12"/>
    </row>
    <row r="609" ht="19.5" customHeight="1">
      <c r="A609" s="12"/>
      <c r="C609" s="12"/>
      <c r="D609" s="13"/>
      <c r="F609" s="14"/>
      <c r="G609" s="14"/>
      <c r="H609" s="14"/>
      <c r="I609" s="14"/>
      <c r="J609" s="14"/>
      <c r="K609" s="12"/>
    </row>
    <row r="610" ht="19.5" customHeight="1">
      <c r="A610" s="12"/>
      <c r="C610" s="12"/>
      <c r="D610" s="13"/>
      <c r="F610" s="14"/>
      <c r="G610" s="14"/>
      <c r="H610" s="14"/>
      <c r="I610" s="14"/>
      <c r="J610" s="14"/>
      <c r="K610" s="12"/>
    </row>
    <row r="611" ht="19.5" customHeight="1">
      <c r="A611" s="12"/>
      <c r="C611" s="12"/>
      <c r="D611" s="13"/>
      <c r="F611" s="14"/>
      <c r="G611" s="14"/>
      <c r="H611" s="14"/>
      <c r="I611" s="14"/>
      <c r="J611" s="14"/>
      <c r="K611" s="12"/>
    </row>
    <row r="612" ht="19.5" customHeight="1">
      <c r="A612" s="12"/>
      <c r="C612" s="12"/>
      <c r="D612" s="13"/>
      <c r="F612" s="14"/>
      <c r="G612" s="14"/>
      <c r="H612" s="14"/>
      <c r="I612" s="14"/>
      <c r="J612" s="14"/>
      <c r="K612" s="12"/>
    </row>
    <row r="613" ht="19.5" customHeight="1">
      <c r="A613" s="12"/>
      <c r="C613" s="12"/>
      <c r="D613" s="13"/>
      <c r="F613" s="14"/>
      <c r="G613" s="14"/>
      <c r="H613" s="14"/>
      <c r="I613" s="14"/>
      <c r="J613" s="14"/>
      <c r="K613" s="12"/>
    </row>
    <row r="614" ht="19.5" customHeight="1">
      <c r="A614" s="12"/>
      <c r="C614" s="12"/>
      <c r="D614" s="13"/>
      <c r="F614" s="14"/>
      <c r="G614" s="14"/>
      <c r="H614" s="14"/>
      <c r="I614" s="14"/>
      <c r="J614" s="14"/>
      <c r="K614" s="12"/>
    </row>
    <row r="615" ht="19.5" customHeight="1">
      <c r="A615" s="12"/>
      <c r="C615" s="12"/>
      <c r="D615" s="13"/>
      <c r="F615" s="14"/>
      <c r="G615" s="14"/>
      <c r="H615" s="14"/>
      <c r="I615" s="14"/>
      <c r="J615" s="14"/>
      <c r="K615" s="12"/>
    </row>
    <row r="616" ht="19.5" customHeight="1">
      <c r="A616" s="12"/>
      <c r="C616" s="12"/>
      <c r="D616" s="13"/>
      <c r="F616" s="14"/>
      <c r="G616" s="14"/>
      <c r="H616" s="14"/>
      <c r="I616" s="14"/>
      <c r="J616" s="14"/>
      <c r="K616" s="12"/>
    </row>
    <row r="617" ht="19.5" customHeight="1">
      <c r="A617" s="12"/>
      <c r="C617" s="12"/>
      <c r="D617" s="13"/>
      <c r="F617" s="14"/>
      <c r="G617" s="14"/>
      <c r="H617" s="14"/>
      <c r="I617" s="14"/>
      <c r="J617" s="14"/>
      <c r="K617" s="12"/>
    </row>
    <row r="618" ht="19.5" customHeight="1">
      <c r="A618" s="12"/>
      <c r="C618" s="12"/>
      <c r="D618" s="13"/>
      <c r="F618" s="14"/>
      <c r="G618" s="14"/>
      <c r="H618" s="14"/>
      <c r="I618" s="14"/>
      <c r="J618" s="14"/>
      <c r="K618" s="12"/>
    </row>
    <row r="619" ht="19.5" customHeight="1">
      <c r="A619" s="12"/>
      <c r="C619" s="12"/>
      <c r="D619" s="13"/>
      <c r="F619" s="14"/>
      <c r="G619" s="14"/>
      <c r="H619" s="14"/>
      <c r="I619" s="14"/>
      <c r="J619" s="14"/>
      <c r="K619" s="12"/>
    </row>
    <row r="620" ht="19.5" customHeight="1">
      <c r="A620" s="12"/>
      <c r="C620" s="12"/>
      <c r="D620" s="13"/>
      <c r="F620" s="14"/>
      <c r="G620" s="14"/>
      <c r="H620" s="14"/>
      <c r="I620" s="14"/>
      <c r="J620" s="14"/>
      <c r="K620" s="12"/>
    </row>
    <row r="621" ht="19.5" customHeight="1">
      <c r="A621" s="12"/>
      <c r="C621" s="12"/>
      <c r="D621" s="13"/>
      <c r="F621" s="14"/>
      <c r="G621" s="14"/>
      <c r="H621" s="14"/>
      <c r="I621" s="14"/>
      <c r="J621" s="14"/>
      <c r="K621" s="12"/>
    </row>
    <row r="622" ht="19.5" customHeight="1">
      <c r="A622" s="12"/>
      <c r="C622" s="12"/>
      <c r="D622" s="13"/>
      <c r="F622" s="14"/>
      <c r="G622" s="14"/>
      <c r="H622" s="14"/>
      <c r="I622" s="14"/>
      <c r="J622" s="14"/>
      <c r="K622" s="12"/>
    </row>
    <row r="623" ht="19.5" customHeight="1">
      <c r="A623" s="12"/>
      <c r="C623" s="12"/>
      <c r="D623" s="13"/>
      <c r="F623" s="14"/>
      <c r="G623" s="14"/>
      <c r="H623" s="14"/>
      <c r="I623" s="14"/>
      <c r="J623" s="14"/>
      <c r="K623" s="12"/>
    </row>
    <row r="624" ht="19.5" customHeight="1">
      <c r="A624" s="12"/>
      <c r="C624" s="12"/>
      <c r="D624" s="13"/>
      <c r="F624" s="14"/>
      <c r="G624" s="14"/>
      <c r="H624" s="14"/>
      <c r="I624" s="14"/>
      <c r="J624" s="14"/>
      <c r="K624" s="12"/>
    </row>
    <row r="625" ht="19.5" customHeight="1">
      <c r="A625" s="12"/>
      <c r="C625" s="12"/>
      <c r="D625" s="13"/>
      <c r="F625" s="14"/>
      <c r="G625" s="14"/>
      <c r="H625" s="14"/>
      <c r="I625" s="14"/>
      <c r="J625" s="14"/>
      <c r="K625" s="12"/>
    </row>
    <row r="626" ht="19.5" customHeight="1">
      <c r="A626" s="12"/>
      <c r="C626" s="12"/>
      <c r="D626" s="13"/>
      <c r="F626" s="14"/>
      <c r="G626" s="14"/>
      <c r="H626" s="14"/>
      <c r="I626" s="14"/>
      <c r="J626" s="14"/>
      <c r="K626" s="12"/>
    </row>
    <row r="627" ht="19.5" customHeight="1">
      <c r="A627" s="12"/>
      <c r="C627" s="12"/>
      <c r="D627" s="13"/>
      <c r="F627" s="14"/>
      <c r="G627" s="14"/>
      <c r="H627" s="14"/>
      <c r="I627" s="14"/>
      <c r="J627" s="14"/>
      <c r="K627" s="12"/>
    </row>
    <row r="628" ht="19.5" customHeight="1">
      <c r="A628" s="12"/>
      <c r="C628" s="12"/>
      <c r="D628" s="13"/>
      <c r="F628" s="14"/>
      <c r="G628" s="14"/>
      <c r="H628" s="14"/>
      <c r="I628" s="14"/>
      <c r="J628" s="14"/>
      <c r="K628" s="12"/>
    </row>
    <row r="629" ht="19.5" customHeight="1">
      <c r="A629" s="12"/>
      <c r="C629" s="12"/>
      <c r="D629" s="13"/>
      <c r="F629" s="14"/>
      <c r="G629" s="14"/>
      <c r="H629" s="14"/>
      <c r="I629" s="14"/>
      <c r="J629" s="14"/>
      <c r="K629" s="12"/>
    </row>
    <row r="630" ht="19.5" customHeight="1">
      <c r="A630" s="12"/>
      <c r="C630" s="12"/>
      <c r="D630" s="13"/>
      <c r="F630" s="14"/>
      <c r="G630" s="14"/>
      <c r="H630" s="14"/>
      <c r="I630" s="14"/>
      <c r="J630" s="14"/>
      <c r="K630" s="12"/>
    </row>
    <row r="631" ht="19.5" customHeight="1">
      <c r="A631" s="12"/>
      <c r="C631" s="12"/>
      <c r="D631" s="13"/>
      <c r="F631" s="14"/>
      <c r="G631" s="14"/>
      <c r="H631" s="14"/>
      <c r="I631" s="14"/>
      <c r="J631" s="14"/>
      <c r="K631" s="12"/>
    </row>
    <row r="632" ht="19.5" customHeight="1">
      <c r="A632" s="12"/>
      <c r="C632" s="12"/>
      <c r="D632" s="13"/>
      <c r="F632" s="14"/>
      <c r="G632" s="14"/>
      <c r="H632" s="14"/>
      <c r="I632" s="14"/>
      <c r="J632" s="14"/>
      <c r="K632" s="12"/>
    </row>
    <row r="633" ht="19.5" customHeight="1">
      <c r="A633" s="12"/>
      <c r="C633" s="12"/>
      <c r="D633" s="13"/>
      <c r="F633" s="14"/>
      <c r="G633" s="14"/>
      <c r="H633" s="14"/>
      <c r="I633" s="14"/>
      <c r="J633" s="14"/>
      <c r="K633" s="12"/>
    </row>
    <row r="634" ht="19.5" customHeight="1">
      <c r="A634" s="12"/>
      <c r="C634" s="12"/>
      <c r="D634" s="13"/>
      <c r="F634" s="14"/>
      <c r="G634" s="14"/>
      <c r="H634" s="14"/>
      <c r="I634" s="14"/>
      <c r="J634" s="14"/>
      <c r="K634" s="12"/>
    </row>
    <row r="635" ht="19.5" customHeight="1">
      <c r="A635" s="12"/>
      <c r="C635" s="12"/>
      <c r="D635" s="13"/>
      <c r="F635" s="14"/>
      <c r="G635" s="14"/>
      <c r="H635" s="14"/>
      <c r="I635" s="14"/>
      <c r="J635" s="14"/>
      <c r="K635" s="12"/>
    </row>
    <row r="636" ht="19.5" customHeight="1">
      <c r="A636" s="12"/>
      <c r="C636" s="12"/>
      <c r="D636" s="13"/>
      <c r="F636" s="14"/>
      <c r="G636" s="14"/>
      <c r="H636" s="14"/>
      <c r="I636" s="14"/>
      <c r="J636" s="14"/>
      <c r="K636" s="12"/>
    </row>
    <row r="637" ht="19.5" customHeight="1">
      <c r="A637" s="12"/>
      <c r="C637" s="12"/>
      <c r="D637" s="13"/>
      <c r="F637" s="14"/>
      <c r="G637" s="14"/>
      <c r="H637" s="14"/>
      <c r="I637" s="14"/>
      <c r="J637" s="14"/>
      <c r="K637" s="12"/>
    </row>
    <row r="638" ht="19.5" customHeight="1">
      <c r="A638" s="12"/>
      <c r="C638" s="12"/>
      <c r="D638" s="13"/>
      <c r="F638" s="14"/>
      <c r="G638" s="14"/>
      <c r="H638" s="14"/>
      <c r="I638" s="14"/>
      <c r="J638" s="14"/>
      <c r="K638" s="12"/>
    </row>
    <row r="639" ht="19.5" customHeight="1">
      <c r="A639" s="12"/>
      <c r="C639" s="12"/>
      <c r="D639" s="13"/>
      <c r="F639" s="14"/>
      <c r="G639" s="14"/>
      <c r="H639" s="14"/>
      <c r="I639" s="14"/>
      <c r="J639" s="14"/>
      <c r="K639" s="12"/>
    </row>
    <row r="640" ht="19.5" customHeight="1">
      <c r="A640" s="12"/>
      <c r="C640" s="12"/>
      <c r="D640" s="13"/>
      <c r="F640" s="14"/>
      <c r="G640" s="14"/>
      <c r="H640" s="14"/>
      <c r="I640" s="14"/>
      <c r="J640" s="14"/>
      <c r="K640" s="12"/>
    </row>
    <row r="641" ht="19.5" customHeight="1">
      <c r="A641" s="12"/>
      <c r="C641" s="12"/>
      <c r="D641" s="13"/>
      <c r="F641" s="14"/>
      <c r="G641" s="14"/>
      <c r="H641" s="14"/>
      <c r="I641" s="14"/>
      <c r="J641" s="14"/>
      <c r="K641" s="12"/>
    </row>
    <row r="642" ht="19.5" customHeight="1">
      <c r="A642" s="12"/>
      <c r="C642" s="12"/>
      <c r="D642" s="13"/>
      <c r="F642" s="14"/>
      <c r="G642" s="14"/>
      <c r="H642" s="14"/>
      <c r="I642" s="14"/>
      <c r="J642" s="14"/>
      <c r="K642" s="12"/>
    </row>
    <row r="643" ht="19.5" customHeight="1">
      <c r="A643" s="12"/>
      <c r="C643" s="12"/>
      <c r="D643" s="13"/>
      <c r="F643" s="14"/>
      <c r="G643" s="14"/>
      <c r="H643" s="14"/>
      <c r="I643" s="14"/>
      <c r="J643" s="14"/>
      <c r="K643" s="12"/>
    </row>
    <row r="644" ht="19.5" customHeight="1">
      <c r="A644" s="12"/>
      <c r="C644" s="12"/>
      <c r="D644" s="13"/>
      <c r="F644" s="14"/>
      <c r="G644" s="14"/>
      <c r="H644" s="14"/>
      <c r="I644" s="14"/>
      <c r="J644" s="14"/>
      <c r="K644" s="12"/>
    </row>
    <row r="645" ht="19.5" customHeight="1">
      <c r="A645" s="12"/>
      <c r="C645" s="12"/>
      <c r="D645" s="13"/>
      <c r="F645" s="14"/>
      <c r="G645" s="14"/>
      <c r="H645" s="14"/>
      <c r="I645" s="14"/>
      <c r="J645" s="14"/>
      <c r="K645" s="12"/>
    </row>
    <row r="646" ht="19.5" customHeight="1">
      <c r="A646" s="12"/>
      <c r="C646" s="12"/>
      <c r="D646" s="13"/>
      <c r="F646" s="14"/>
      <c r="G646" s="14"/>
      <c r="H646" s="14"/>
      <c r="I646" s="14"/>
      <c r="J646" s="14"/>
      <c r="K646" s="12"/>
    </row>
    <row r="647" ht="19.5" customHeight="1">
      <c r="A647" s="12"/>
      <c r="C647" s="12"/>
      <c r="D647" s="13"/>
      <c r="F647" s="14"/>
      <c r="G647" s="14"/>
      <c r="H647" s="14"/>
      <c r="I647" s="14"/>
      <c r="J647" s="14"/>
      <c r="K647" s="12"/>
    </row>
    <row r="648" ht="19.5" customHeight="1">
      <c r="A648" s="12"/>
      <c r="C648" s="12"/>
      <c r="D648" s="13"/>
      <c r="F648" s="14"/>
      <c r="G648" s="14"/>
      <c r="H648" s="14"/>
      <c r="I648" s="14"/>
      <c r="J648" s="14"/>
      <c r="K648" s="12"/>
    </row>
    <row r="649" ht="19.5" customHeight="1">
      <c r="A649" s="12"/>
      <c r="C649" s="12"/>
      <c r="D649" s="13"/>
      <c r="F649" s="14"/>
      <c r="G649" s="14"/>
      <c r="H649" s="14"/>
      <c r="I649" s="14"/>
      <c r="J649" s="14"/>
      <c r="K649" s="12"/>
    </row>
    <row r="650" ht="19.5" customHeight="1">
      <c r="A650" s="12"/>
      <c r="C650" s="12"/>
      <c r="D650" s="13"/>
      <c r="F650" s="14"/>
      <c r="G650" s="14"/>
      <c r="H650" s="14"/>
      <c r="I650" s="14"/>
      <c r="J650" s="14"/>
      <c r="K650" s="12"/>
    </row>
    <row r="651" ht="19.5" customHeight="1">
      <c r="A651" s="12"/>
      <c r="C651" s="12"/>
      <c r="D651" s="13"/>
      <c r="F651" s="14"/>
      <c r="G651" s="14"/>
      <c r="H651" s="14"/>
      <c r="I651" s="14"/>
      <c r="J651" s="14"/>
      <c r="K651" s="12"/>
    </row>
    <row r="652" ht="19.5" customHeight="1">
      <c r="A652" s="12"/>
      <c r="C652" s="12"/>
      <c r="D652" s="13"/>
      <c r="F652" s="14"/>
      <c r="G652" s="14"/>
      <c r="H652" s="14"/>
      <c r="I652" s="14"/>
      <c r="J652" s="14"/>
      <c r="K652" s="12"/>
    </row>
    <row r="653" ht="19.5" customHeight="1">
      <c r="A653" s="12"/>
      <c r="C653" s="12"/>
      <c r="D653" s="13"/>
      <c r="F653" s="14"/>
      <c r="G653" s="14"/>
      <c r="H653" s="14"/>
      <c r="I653" s="14"/>
      <c r="J653" s="14"/>
      <c r="K653" s="12"/>
    </row>
    <row r="654" ht="19.5" customHeight="1">
      <c r="A654" s="12"/>
      <c r="C654" s="12"/>
      <c r="D654" s="13"/>
      <c r="F654" s="14"/>
      <c r="G654" s="14"/>
      <c r="H654" s="14"/>
      <c r="I654" s="14"/>
      <c r="J654" s="14"/>
      <c r="K654" s="12"/>
    </row>
    <row r="655" ht="19.5" customHeight="1">
      <c r="A655" s="12"/>
      <c r="C655" s="12"/>
      <c r="D655" s="13"/>
      <c r="F655" s="14"/>
      <c r="G655" s="14"/>
      <c r="H655" s="14"/>
      <c r="I655" s="14"/>
      <c r="J655" s="14"/>
      <c r="K655" s="12"/>
    </row>
    <row r="656" ht="19.5" customHeight="1">
      <c r="A656" s="12"/>
      <c r="C656" s="12"/>
      <c r="D656" s="13"/>
      <c r="F656" s="14"/>
      <c r="G656" s="14"/>
      <c r="H656" s="14"/>
      <c r="I656" s="14"/>
      <c r="J656" s="14"/>
      <c r="K656" s="12"/>
    </row>
    <row r="657" ht="19.5" customHeight="1">
      <c r="A657" s="12"/>
      <c r="C657" s="12"/>
      <c r="D657" s="13"/>
      <c r="F657" s="14"/>
      <c r="G657" s="14"/>
      <c r="H657" s="14"/>
      <c r="I657" s="14"/>
      <c r="J657" s="14"/>
      <c r="K657" s="12"/>
    </row>
    <row r="658" ht="19.5" customHeight="1">
      <c r="A658" s="12"/>
      <c r="C658" s="12"/>
      <c r="D658" s="13"/>
      <c r="F658" s="14"/>
      <c r="G658" s="14"/>
      <c r="H658" s="14"/>
      <c r="I658" s="14"/>
      <c r="J658" s="14"/>
      <c r="K658" s="12"/>
    </row>
    <row r="659" ht="19.5" customHeight="1">
      <c r="A659" s="12"/>
      <c r="C659" s="12"/>
      <c r="D659" s="13"/>
      <c r="F659" s="14"/>
      <c r="G659" s="14"/>
      <c r="H659" s="14"/>
      <c r="I659" s="14"/>
      <c r="J659" s="14"/>
      <c r="K659" s="12"/>
    </row>
    <row r="660" ht="19.5" customHeight="1">
      <c r="A660" s="12"/>
      <c r="C660" s="12"/>
      <c r="D660" s="13"/>
      <c r="F660" s="14"/>
      <c r="G660" s="14"/>
      <c r="H660" s="14"/>
      <c r="I660" s="14"/>
      <c r="J660" s="14"/>
      <c r="K660" s="12"/>
    </row>
    <row r="661" ht="19.5" customHeight="1">
      <c r="A661" s="12"/>
      <c r="C661" s="12"/>
      <c r="D661" s="13"/>
      <c r="F661" s="14"/>
      <c r="G661" s="14"/>
      <c r="H661" s="14"/>
      <c r="I661" s="14"/>
      <c r="J661" s="14"/>
      <c r="K661" s="12"/>
    </row>
    <row r="662" ht="19.5" customHeight="1">
      <c r="A662" s="12"/>
      <c r="C662" s="12"/>
      <c r="D662" s="13"/>
      <c r="F662" s="14"/>
      <c r="G662" s="14"/>
      <c r="H662" s="14"/>
      <c r="I662" s="14"/>
      <c r="J662" s="14"/>
      <c r="K662" s="12"/>
    </row>
    <row r="663" ht="19.5" customHeight="1">
      <c r="A663" s="12"/>
      <c r="C663" s="12"/>
      <c r="D663" s="13"/>
      <c r="F663" s="14"/>
      <c r="G663" s="14"/>
      <c r="H663" s="14"/>
      <c r="I663" s="14"/>
      <c r="J663" s="14"/>
      <c r="K663" s="12"/>
    </row>
    <row r="664" ht="19.5" customHeight="1">
      <c r="A664" s="12"/>
      <c r="C664" s="12"/>
      <c r="D664" s="13"/>
      <c r="F664" s="14"/>
      <c r="G664" s="14"/>
      <c r="H664" s="14"/>
      <c r="I664" s="14"/>
      <c r="J664" s="14"/>
      <c r="K664" s="12"/>
    </row>
    <row r="665" ht="19.5" customHeight="1">
      <c r="A665" s="12"/>
      <c r="C665" s="12"/>
      <c r="D665" s="13"/>
      <c r="F665" s="14"/>
      <c r="G665" s="14"/>
      <c r="H665" s="14"/>
      <c r="I665" s="14"/>
      <c r="J665" s="14"/>
      <c r="K665" s="12"/>
    </row>
    <row r="666" ht="19.5" customHeight="1">
      <c r="A666" s="12"/>
      <c r="C666" s="12"/>
      <c r="D666" s="13"/>
      <c r="F666" s="14"/>
      <c r="G666" s="14"/>
      <c r="H666" s="14"/>
      <c r="I666" s="14"/>
      <c r="J666" s="14"/>
      <c r="K666" s="12"/>
    </row>
    <row r="667" ht="19.5" customHeight="1">
      <c r="A667" s="12"/>
      <c r="C667" s="12"/>
      <c r="D667" s="13"/>
      <c r="F667" s="14"/>
      <c r="G667" s="14"/>
      <c r="H667" s="14"/>
      <c r="I667" s="14"/>
      <c r="J667" s="14"/>
      <c r="K667" s="12"/>
    </row>
    <row r="668" ht="19.5" customHeight="1">
      <c r="A668" s="12"/>
      <c r="C668" s="12"/>
      <c r="D668" s="13"/>
      <c r="F668" s="14"/>
      <c r="G668" s="14"/>
      <c r="H668" s="14"/>
      <c r="I668" s="14"/>
      <c r="J668" s="14"/>
      <c r="K668" s="12"/>
    </row>
    <row r="669" ht="19.5" customHeight="1">
      <c r="A669" s="12"/>
      <c r="C669" s="12"/>
      <c r="D669" s="13"/>
      <c r="F669" s="14"/>
      <c r="G669" s="14"/>
      <c r="H669" s="14"/>
      <c r="I669" s="14"/>
      <c r="J669" s="14"/>
      <c r="K669" s="12"/>
    </row>
    <row r="670" ht="19.5" customHeight="1">
      <c r="A670" s="12"/>
      <c r="C670" s="12"/>
      <c r="D670" s="13"/>
      <c r="F670" s="14"/>
      <c r="G670" s="14"/>
      <c r="H670" s="14"/>
      <c r="I670" s="14"/>
      <c r="J670" s="14"/>
      <c r="K670" s="12"/>
    </row>
    <row r="671" ht="19.5" customHeight="1">
      <c r="A671" s="12"/>
      <c r="C671" s="12"/>
      <c r="D671" s="13"/>
      <c r="F671" s="14"/>
      <c r="G671" s="14"/>
      <c r="H671" s="14"/>
      <c r="I671" s="14"/>
      <c r="J671" s="14"/>
      <c r="K671" s="12"/>
    </row>
    <row r="672" ht="19.5" customHeight="1">
      <c r="A672" s="12"/>
      <c r="C672" s="12"/>
      <c r="D672" s="13"/>
      <c r="F672" s="14"/>
      <c r="G672" s="14"/>
      <c r="H672" s="14"/>
      <c r="I672" s="14"/>
      <c r="J672" s="14"/>
      <c r="K672" s="12"/>
    </row>
    <row r="673" ht="19.5" customHeight="1">
      <c r="A673" s="12"/>
      <c r="C673" s="12"/>
      <c r="D673" s="13"/>
      <c r="F673" s="14"/>
      <c r="G673" s="14"/>
      <c r="H673" s="14"/>
      <c r="I673" s="14"/>
      <c r="J673" s="14"/>
      <c r="K673" s="12"/>
    </row>
    <row r="674" ht="19.5" customHeight="1">
      <c r="A674" s="12"/>
      <c r="C674" s="12"/>
      <c r="D674" s="13"/>
      <c r="F674" s="14"/>
      <c r="G674" s="14"/>
      <c r="H674" s="14"/>
      <c r="I674" s="14"/>
      <c r="J674" s="14"/>
      <c r="K674" s="12"/>
    </row>
    <row r="675" ht="19.5" customHeight="1">
      <c r="A675" s="12"/>
      <c r="C675" s="12"/>
      <c r="D675" s="13"/>
      <c r="F675" s="14"/>
      <c r="G675" s="14"/>
      <c r="H675" s="14"/>
      <c r="I675" s="14"/>
      <c r="J675" s="14"/>
      <c r="K675" s="12"/>
    </row>
    <row r="676" ht="19.5" customHeight="1">
      <c r="A676" s="12"/>
      <c r="C676" s="12"/>
      <c r="D676" s="13"/>
      <c r="F676" s="14"/>
      <c r="G676" s="14"/>
      <c r="H676" s="14"/>
      <c r="I676" s="14"/>
      <c r="J676" s="14"/>
      <c r="K676" s="12"/>
    </row>
    <row r="677" ht="19.5" customHeight="1">
      <c r="A677" s="12"/>
      <c r="C677" s="12"/>
      <c r="D677" s="13"/>
      <c r="F677" s="14"/>
      <c r="G677" s="14"/>
      <c r="H677" s="14"/>
      <c r="I677" s="14"/>
      <c r="J677" s="14"/>
      <c r="K677" s="12"/>
    </row>
    <row r="678" ht="19.5" customHeight="1">
      <c r="A678" s="12"/>
      <c r="C678" s="12"/>
      <c r="D678" s="13"/>
      <c r="F678" s="14"/>
      <c r="G678" s="14"/>
      <c r="H678" s="14"/>
      <c r="I678" s="14"/>
      <c r="J678" s="14"/>
      <c r="K678" s="12"/>
    </row>
    <row r="679" ht="19.5" customHeight="1">
      <c r="A679" s="12"/>
      <c r="C679" s="12"/>
      <c r="D679" s="13"/>
      <c r="F679" s="14"/>
      <c r="G679" s="14"/>
      <c r="H679" s="14"/>
      <c r="I679" s="14"/>
      <c r="J679" s="14"/>
      <c r="K679" s="12"/>
    </row>
    <row r="680" ht="19.5" customHeight="1">
      <c r="A680" s="12"/>
      <c r="C680" s="12"/>
      <c r="D680" s="13"/>
      <c r="F680" s="14"/>
      <c r="G680" s="14"/>
      <c r="H680" s="14"/>
      <c r="I680" s="14"/>
      <c r="J680" s="14"/>
      <c r="K680" s="12"/>
    </row>
    <row r="681" ht="19.5" customHeight="1">
      <c r="A681" s="12"/>
      <c r="C681" s="12"/>
      <c r="D681" s="13"/>
      <c r="F681" s="14"/>
      <c r="G681" s="14"/>
      <c r="H681" s="14"/>
      <c r="I681" s="14"/>
      <c r="J681" s="14"/>
      <c r="K681" s="12"/>
    </row>
    <row r="682" ht="19.5" customHeight="1">
      <c r="A682" s="12"/>
      <c r="C682" s="12"/>
      <c r="D682" s="13"/>
      <c r="F682" s="14"/>
      <c r="G682" s="14"/>
      <c r="H682" s="14"/>
      <c r="I682" s="14"/>
      <c r="J682" s="14"/>
      <c r="K682" s="12"/>
    </row>
    <row r="683" ht="19.5" customHeight="1">
      <c r="A683" s="12"/>
      <c r="C683" s="12"/>
      <c r="D683" s="13"/>
      <c r="F683" s="14"/>
      <c r="G683" s="14"/>
      <c r="H683" s="14"/>
      <c r="I683" s="14"/>
      <c r="J683" s="14"/>
      <c r="K683" s="12"/>
    </row>
    <row r="684" ht="19.5" customHeight="1">
      <c r="A684" s="12"/>
      <c r="C684" s="12"/>
      <c r="D684" s="13"/>
      <c r="F684" s="14"/>
      <c r="G684" s="14"/>
      <c r="H684" s="14"/>
      <c r="I684" s="14"/>
      <c r="J684" s="14"/>
      <c r="K684" s="12"/>
    </row>
    <row r="685" ht="19.5" customHeight="1">
      <c r="A685" s="12"/>
      <c r="C685" s="12"/>
      <c r="D685" s="13"/>
      <c r="F685" s="14"/>
      <c r="G685" s="14"/>
      <c r="H685" s="14"/>
      <c r="I685" s="14"/>
      <c r="J685" s="14"/>
      <c r="K685" s="12"/>
    </row>
    <row r="686" ht="19.5" customHeight="1">
      <c r="A686" s="12"/>
      <c r="C686" s="12"/>
      <c r="D686" s="13"/>
      <c r="F686" s="14"/>
      <c r="G686" s="14"/>
      <c r="H686" s="14"/>
      <c r="I686" s="14"/>
      <c r="J686" s="14"/>
      <c r="K686" s="12"/>
    </row>
    <row r="687" ht="19.5" customHeight="1">
      <c r="A687" s="12"/>
      <c r="C687" s="12"/>
      <c r="D687" s="13"/>
      <c r="F687" s="14"/>
      <c r="G687" s="14"/>
      <c r="H687" s="14"/>
      <c r="I687" s="14"/>
      <c r="J687" s="14"/>
      <c r="K687" s="12"/>
    </row>
    <row r="688" ht="19.5" customHeight="1">
      <c r="A688" s="12"/>
      <c r="C688" s="12"/>
      <c r="D688" s="13"/>
      <c r="F688" s="14"/>
      <c r="G688" s="14"/>
      <c r="H688" s="14"/>
      <c r="I688" s="14"/>
      <c r="J688" s="14"/>
      <c r="K688" s="12"/>
    </row>
    <row r="689" ht="19.5" customHeight="1">
      <c r="A689" s="12"/>
      <c r="C689" s="12"/>
      <c r="D689" s="13"/>
      <c r="F689" s="14"/>
      <c r="G689" s="14"/>
      <c r="H689" s="14"/>
      <c r="I689" s="14"/>
      <c r="J689" s="14"/>
      <c r="K689" s="12"/>
    </row>
    <row r="690" ht="19.5" customHeight="1">
      <c r="A690" s="12"/>
      <c r="C690" s="12"/>
      <c r="D690" s="13"/>
      <c r="F690" s="14"/>
      <c r="G690" s="14"/>
      <c r="H690" s="14"/>
      <c r="I690" s="14"/>
      <c r="J690" s="14"/>
      <c r="K690" s="12"/>
    </row>
    <row r="691" ht="19.5" customHeight="1">
      <c r="A691" s="12"/>
      <c r="C691" s="12"/>
      <c r="D691" s="13"/>
      <c r="F691" s="14"/>
      <c r="G691" s="14"/>
      <c r="H691" s="14"/>
      <c r="I691" s="14"/>
      <c r="J691" s="14"/>
      <c r="K691" s="12"/>
    </row>
    <row r="692" ht="19.5" customHeight="1">
      <c r="A692" s="12"/>
      <c r="C692" s="12"/>
      <c r="D692" s="13"/>
      <c r="F692" s="14"/>
      <c r="G692" s="14"/>
      <c r="H692" s="14"/>
      <c r="I692" s="14"/>
      <c r="J692" s="14"/>
      <c r="K692" s="12"/>
    </row>
    <row r="693" ht="19.5" customHeight="1">
      <c r="A693" s="12"/>
      <c r="C693" s="12"/>
      <c r="D693" s="13"/>
      <c r="F693" s="14"/>
      <c r="G693" s="14"/>
      <c r="H693" s="14"/>
      <c r="I693" s="14"/>
      <c r="J693" s="14"/>
      <c r="K693" s="12"/>
    </row>
    <row r="694" ht="19.5" customHeight="1">
      <c r="A694" s="12"/>
      <c r="C694" s="12"/>
      <c r="D694" s="13"/>
      <c r="F694" s="14"/>
      <c r="G694" s="14"/>
      <c r="H694" s="14"/>
      <c r="I694" s="14"/>
      <c r="J694" s="14"/>
      <c r="K694" s="12"/>
    </row>
    <row r="695" ht="19.5" customHeight="1">
      <c r="A695" s="12"/>
      <c r="C695" s="12"/>
      <c r="D695" s="13"/>
      <c r="F695" s="14"/>
      <c r="G695" s="14"/>
      <c r="H695" s="14"/>
      <c r="I695" s="14"/>
      <c r="J695" s="14"/>
      <c r="K695" s="12"/>
    </row>
    <row r="696" ht="19.5" customHeight="1">
      <c r="A696" s="12"/>
      <c r="C696" s="12"/>
      <c r="D696" s="13"/>
      <c r="F696" s="14"/>
      <c r="G696" s="14"/>
      <c r="H696" s="14"/>
      <c r="I696" s="14"/>
      <c r="J696" s="14"/>
      <c r="K696" s="12"/>
    </row>
    <row r="697" ht="19.5" customHeight="1">
      <c r="A697" s="12"/>
      <c r="C697" s="12"/>
      <c r="D697" s="13"/>
      <c r="F697" s="14"/>
      <c r="G697" s="14"/>
      <c r="H697" s="14"/>
      <c r="I697" s="14"/>
      <c r="J697" s="14"/>
      <c r="K697" s="12"/>
    </row>
    <row r="698" ht="19.5" customHeight="1">
      <c r="A698" s="12"/>
      <c r="C698" s="12"/>
      <c r="D698" s="13"/>
      <c r="F698" s="14"/>
      <c r="G698" s="14"/>
      <c r="H698" s="14"/>
      <c r="I698" s="14"/>
      <c r="J698" s="14"/>
      <c r="K698" s="12"/>
    </row>
    <row r="699" ht="19.5" customHeight="1">
      <c r="A699" s="12"/>
      <c r="C699" s="12"/>
      <c r="D699" s="13"/>
      <c r="F699" s="14"/>
      <c r="G699" s="14"/>
      <c r="H699" s="14"/>
      <c r="I699" s="14"/>
      <c r="J699" s="14"/>
      <c r="K699" s="12"/>
    </row>
    <row r="700" ht="19.5" customHeight="1">
      <c r="A700" s="12"/>
      <c r="C700" s="12"/>
      <c r="D700" s="13"/>
      <c r="F700" s="14"/>
      <c r="G700" s="14"/>
      <c r="H700" s="14"/>
      <c r="I700" s="14"/>
      <c r="J700" s="14"/>
      <c r="K700" s="12"/>
    </row>
    <row r="701" ht="19.5" customHeight="1">
      <c r="A701" s="12"/>
      <c r="C701" s="12"/>
      <c r="D701" s="13"/>
      <c r="F701" s="14"/>
      <c r="G701" s="14"/>
      <c r="H701" s="14"/>
      <c r="I701" s="14"/>
      <c r="J701" s="14"/>
      <c r="K701" s="12"/>
    </row>
    <row r="702" ht="19.5" customHeight="1">
      <c r="A702" s="12"/>
      <c r="C702" s="12"/>
      <c r="D702" s="13"/>
      <c r="F702" s="14"/>
      <c r="G702" s="14"/>
      <c r="H702" s="14"/>
      <c r="I702" s="14"/>
      <c r="J702" s="14"/>
      <c r="K702" s="12"/>
    </row>
    <row r="703" ht="19.5" customHeight="1">
      <c r="A703" s="12"/>
      <c r="C703" s="12"/>
      <c r="D703" s="13"/>
      <c r="F703" s="14"/>
      <c r="G703" s="14"/>
      <c r="H703" s="14"/>
      <c r="I703" s="14"/>
      <c r="J703" s="14"/>
      <c r="K703" s="12"/>
    </row>
    <row r="704" ht="19.5" customHeight="1">
      <c r="A704" s="12"/>
      <c r="C704" s="12"/>
      <c r="D704" s="13"/>
      <c r="F704" s="14"/>
      <c r="G704" s="14"/>
      <c r="H704" s="14"/>
      <c r="I704" s="14"/>
      <c r="J704" s="14"/>
      <c r="K704" s="12"/>
    </row>
    <row r="705" ht="19.5" customHeight="1">
      <c r="A705" s="12"/>
      <c r="C705" s="12"/>
      <c r="D705" s="13"/>
      <c r="F705" s="14"/>
      <c r="G705" s="14"/>
      <c r="H705" s="14"/>
      <c r="I705" s="14"/>
      <c r="J705" s="14"/>
      <c r="K705" s="12"/>
    </row>
    <row r="706" ht="19.5" customHeight="1">
      <c r="A706" s="12"/>
      <c r="C706" s="12"/>
      <c r="D706" s="13"/>
      <c r="F706" s="14"/>
      <c r="G706" s="14"/>
      <c r="H706" s="14"/>
      <c r="I706" s="14"/>
      <c r="J706" s="14"/>
      <c r="K706" s="12"/>
    </row>
    <row r="707" ht="19.5" customHeight="1">
      <c r="A707" s="12"/>
      <c r="C707" s="12"/>
      <c r="D707" s="13"/>
      <c r="F707" s="14"/>
      <c r="G707" s="14"/>
      <c r="H707" s="14"/>
      <c r="I707" s="14"/>
      <c r="J707" s="14"/>
      <c r="K707" s="12"/>
    </row>
    <row r="708" ht="19.5" customHeight="1">
      <c r="A708" s="12"/>
      <c r="C708" s="12"/>
      <c r="D708" s="13"/>
      <c r="F708" s="14"/>
      <c r="G708" s="14"/>
      <c r="H708" s="14"/>
      <c r="I708" s="14"/>
      <c r="J708" s="14"/>
      <c r="K708" s="12"/>
    </row>
    <row r="709" ht="19.5" customHeight="1">
      <c r="A709" s="12"/>
      <c r="C709" s="12"/>
      <c r="D709" s="13"/>
      <c r="F709" s="14"/>
      <c r="G709" s="14"/>
      <c r="H709" s="14"/>
      <c r="I709" s="14"/>
      <c r="J709" s="14"/>
      <c r="K709" s="12"/>
    </row>
    <row r="710" ht="19.5" customHeight="1">
      <c r="A710" s="12"/>
      <c r="C710" s="12"/>
      <c r="D710" s="13"/>
      <c r="F710" s="14"/>
      <c r="G710" s="14"/>
      <c r="H710" s="14"/>
      <c r="I710" s="14"/>
      <c r="J710" s="14"/>
      <c r="K710" s="12"/>
    </row>
    <row r="711" ht="19.5" customHeight="1">
      <c r="A711" s="12"/>
      <c r="C711" s="12"/>
      <c r="D711" s="13"/>
      <c r="F711" s="14"/>
      <c r="G711" s="14"/>
      <c r="H711" s="14"/>
      <c r="I711" s="14"/>
      <c r="J711" s="14"/>
      <c r="K711" s="12"/>
    </row>
    <row r="712" ht="19.5" customHeight="1">
      <c r="A712" s="12"/>
      <c r="C712" s="12"/>
      <c r="D712" s="13"/>
      <c r="F712" s="14"/>
      <c r="G712" s="14"/>
      <c r="H712" s="14"/>
      <c r="I712" s="14"/>
      <c r="J712" s="14"/>
      <c r="K712" s="12"/>
    </row>
    <row r="713" ht="19.5" customHeight="1">
      <c r="A713" s="12"/>
      <c r="C713" s="12"/>
      <c r="D713" s="13"/>
      <c r="F713" s="14"/>
      <c r="G713" s="14"/>
      <c r="H713" s="14"/>
      <c r="I713" s="14"/>
      <c r="J713" s="14"/>
      <c r="K713" s="12"/>
    </row>
    <row r="714" ht="19.5" customHeight="1">
      <c r="A714" s="12"/>
      <c r="C714" s="12"/>
      <c r="D714" s="13"/>
      <c r="F714" s="14"/>
      <c r="G714" s="14"/>
      <c r="H714" s="14"/>
      <c r="I714" s="14"/>
      <c r="J714" s="14"/>
      <c r="K714" s="12"/>
    </row>
    <row r="715" ht="19.5" customHeight="1">
      <c r="A715" s="12"/>
      <c r="C715" s="12"/>
      <c r="D715" s="13"/>
      <c r="F715" s="14"/>
      <c r="G715" s="14"/>
      <c r="H715" s="14"/>
      <c r="I715" s="14"/>
      <c r="J715" s="14"/>
      <c r="K715" s="12"/>
    </row>
    <row r="716" ht="19.5" customHeight="1">
      <c r="A716" s="12"/>
      <c r="C716" s="12"/>
      <c r="D716" s="13"/>
      <c r="F716" s="14"/>
      <c r="G716" s="14"/>
      <c r="H716" s="14"/>
      <c r="I716" s="14"/>
      <c r="J716" s="14"/>
      <c r="K716" s="12"/>
    </row>
    <row r="717" ht="19.5" customHeight="1">
      <c r="A717" s="12"/>
      <c r="C717" s="12"/>
      <c r="D717" s="13"/>
      <c r="F717" s="14"/>
      <c r="G717" s="14"/>
      <c r="H717" s="14"/>
      <c r="I717" s="14"/>
      <c r="J717" s="14"/>
      <c r="K717" s="12"/>
    </row>
    <row r="718" ht="19.5" customHeight="1">
      <c r="A718" s="12"/>
      <c r="C718" s="12"/>
      <c r="D718" s="13"/>
      <c r="F718" s="14"/>
      <c r="G718" s="14"/>
      <c r="H718" s="14"/>
      <c r="I718" s="14"/>
      <c r="J718" s="14"/>
      <c r="K718" s="12"/>
    </row>
    <row r="719" ht="19.5" customHeight="1">
      <c r="A719" s="12"/>
      <c r="C719" s="12"/>
      <c r="D719" s="13"/>
      <c r="F719" s="14"/>
      <c r="G719" s="14"/>
      <c r="H719" s="14"/>
      <c r="I719" s="14"/>
      <c r="J719" s="14"/>
      <c r="K719" s="12"/>
    </row>
    <row r="720" ht="19.5" customHeight="1">
      <c r="A720" s="12"/>
      <c r="C720" s="12"/>
      <c r="D720" s="13"/>
      <c r="F720" s="14"/>
      <c r="G720" s="14"/>
      <c r="H720" s="14"/>
      <c r="I720" s="14"/>
      <c r="J720" s="14"/>
      <c r="K720" s="12"/>
    </row>
    <row r="721" ht="19.5" customHeight="1">
      <c r="A721" s="12"/>
      <c r="C721" s="12"/>
      <c r="D721" s="13"/>
      <c r="F721" s="14"/>
      <c r="G721" s="14"/>
      <c r="H721" s="14"/>
      <c r="I721" s="14"/>
      <c r="J721" s="14"/>
      <c r="K721" s="12"/>
    </row>
    <row r="722" ht="19.5" customHeight="1">
      <c r="A722" s="12"/>
      <c r="C722" s="12"/>
      <c r="D722" s="13"/>
      <c r="F722" s="14"/>
      <c r="G722" s="14"/>
      <c r="H722" s="14"/>
      <c r="I722" s="14"/>
      <c r="J722" s="14"/>
      <c r="K722" s="12"/>
    </row>
    <row r="723" ht="19.5" customHeight="1">
      <c r="A723" s="12"/>
      <c r="C723" s="12"/>
      <c r="D723" s="13"/>
      <c r="F723" s="14"/>
      <c r="G723" s="14"/>
      <c r="H723" s="14"/>
      <c r="I723" s="14"/>
      <c r="J723" s="14"/>
      <c r="K723" s="12"/>
    </row>
    <row r="724" ht="19.5" customHeight="1">
      <c r="A724" s="12"/>
      <c r="C724" s="12"/>
      <c r="D724" s="13"/>
      <c r="F724" s="14"/>
      <c r="G724" s="14"/>
      <c r="H724" s="14"/>
      <c r="I724" s="14"/>
      <c r="J724" s="14"/>
      <c r="K724" s="12"/>
    </row>
    <row r="725" ht="19.5" customHeight="1">
      <c r="A725" s="12"/>
      <c r="C725" s="12"/>
      <c r="D725" s="13"/>
      <c r="F725" s="14"/>
      <c r="G725" s="14"/>
      <c r="H725" s="14"/>
      <c r="I725" s="14"/>
      <c r="J725" s="14"/>
      <c r="K725" s="12"/>
    </row>
    <row r="726" ht="19.5" customHeight="1">
      <c r="A726" s="12"/>
      <c r="C726" s="12"/>
      <c r="D726" s="13"/>
      <c r="F726" s="14"/>
      <c r="G726" s="14"/>
      <c r="H726" s="14"/>
      <c r="I726" s="14"/>
      <c r="J726" s="14"/>
      <c r="K726" s="12"/>
    </row>
    <row r="727" ht="19.5" customHeight="1">
      <c r="A727" s="12"/>
      <c r="C727" s="12"/>
      <c r="D727" s="13"/>
      <c r="F727" s="14"/>
      <c r="G727" s="14"/>
      <c r="H727" s="14"/>
      <c r="I727" s="14"/>
      <c r="J727" s="14"/>
      <c r="K727" s="12"/>
    </row>
    <row r="728" ht="19.5" customHeight="1">
      <c r="A728" s="12"/>
      <c r="C728" s="12"/>
      <c r="D728" s="13"/>
      <c r="F728" s="14"/>
      <c r="G728" s="14"/>
      <c r="H728" s="14"/>
      <c r="I728" s="14"/>
      <c r="J728" s="14"/>
      <c r="K728" s="12"/>
    </row>
    <row r="729" ht="19.5" customHeight="1">
      <c r="A729" s="12"/>
      <c r="C729" s="12"/>
      <c r="D729" s="13"/>
      <c r="F729" s="14"/>
      <c r="G729" s="14"/>
      <c r="H729" s="14"/>
      <c r="I729" s="14"/>
      <c r="J729" s="14"/>
      <c r="K729" s="12"/>
    </row>
    <row r="730" ht="19.5" customHeight="1">
      <c r="A730" s="12"/>
      <c r="C730" s="12"/>
      <c r="D730" s="13"/>
      <c r="F730" s="14"/>
      <c r="G730" s="14"/>
      <c r="H730" s="14"/>
      <c r="I730" s="14"/>
      <c r="J730" s="14"/>
      <c r="K730" s="12"/>
    </row>
    <row r="731" ht="19.5" customHeight="1">
      <c r="A731" s="12"/>
      <c r="C731" s="12"/>
      <c r="D731" s="13"/>
      <c r="F731" s="14"/>
      <c r="G731" s="14"/>
      <c r="H731" s="14"/>
      <c r="I731" s="14"/>
      <c r="J731" s="14"/>
      <c r="K731" s="12"/>
    </row>
    <row r="732" ht="19.5" customHeight="1">
      <c r="A732" s="12"/>
      <c r="C732" s="12"/>
      <c r="D732" s="13"/>
      <c r="F732" s="14"/>
      <c r="G732" s="14"/>
      <c r="H732" s="14"/>
      <c r="I732" s="14"/>
      <c r="J732" s="14"/>
      <c r="K732" s="12"/>
    </row>
    <row r="733" ht="19.5" customHeight="1">
      <c r="A733" s="12"/>
      <c r="C733" s="12"/>
      <c r="D733" s="13"/>
      <c r="F733" s="14"/>
      <c r="G733" s="14"/>
      <c r="H733" s="14"/>
      <c r="I733" s="14"/>
      <c r="J733" s="14"/>
      <c r="K733" s="12"/>
    </row>
    <row r="734" ht="19.5" customHeight="1">
      <c r="A734" s="12"/>
      <c r="C734" s="12"/>
      <c r="D734" s="13"/>
      <c r="F734" s="14"/>
      <c r="G734" s="14"/>
      <c r="H734" s="14"/>
      <c r="I734" s="14"/>
      <c r="J734" s="14"/>
      <c r="K734" s="12"/>
    </row>
    <row r="735" ht="19.5" customHeight="1">
      <c r="A735" s="12"/>
      <c r="C735" s="12"/>
      <c r="D735" s="13"/>
      <c r="F735" s="14"/>
      <c r="G735" s="14"/>
      <c r="H735" s="14"/>
      <c r="I735" s="14"/>
      <c r="J735" s="14"/>
      <c r="K735" s="12"/>
    </row>
    <row r="736" ht="19.5" customHeight="1">
      <c r="A736" s="12"/>
      <c r="C736" s="12"/>
      <c r="D736" s="13"/>
      <c r="F736" s="14"/>
      <c r="G736" s="14"/>
      <c r="H736" s="14"/>
      <c r="I736" s="14"/>
      <c r="J736" s="14"/>
      <c r="K736" s="12"/>
    </row>
    <row r="737" ht="19.5" customHeight="1">
      <c r="A737" s="12"/>
      <c r="C737" s="12"/>
      <c r="D737" s="13"/>
      <c r="F737" s="14"/>
      <c r="G737" s="14"/>
      <c r="H737" s="14"/>
      <c r="I737" s="14"/>
      <c r="J737" s="14"/>
      <c r="K737" s="12"/>
    </row>
    <row r="738" ht="19.5" customHeight="1">
      <c r="A738" s="12"/>
      <c r="C738" s="12"/>
      <c r="D738" s="13"/>
      <c r="F738" s="14"/>
      <c r="G738" s="14"/>
      <c r="H738" s="14"/>
      <c r="I738" s="14"/>
      <c r="J738" s="14"/>
      <c r="K738" s="12"/>
    </row>
    <row r="739" ht="19.5" customHeight="1">
      <c r="A739" s="12"/>
      <c r="C739" s="12"/>
      <c r="D739" s="13"/>
      <c r="F739" s="14"/>
      <c r="G739" s="14"/>
      <c r="H739" s="14"/>
      <c r="I739" s="14"/>
      <c r="J739" s="14"/>
      <c r="K739" s="12"/>
    </row>
    <row r="740" ht="19.5" customHeight="1">
      <c r="A740" s="12"/>
      <c r="C740" s="12"/>
      <c r="D740" s="13"/>
      <c r="F740" s="14"/>
      <c r="G740" s="14"/>
      <c r="H740" s="14"/>
      <c r="I740" s="14"/>
      <c r="J740" s="14"/>
      <c r="K740" s="12"/>
    </row>
    <row r="741" ht="19.5" customHeight="1">
      <c r="A741" s="12"/>
      <c r="C741" s="12"/>
      <c r="D741" s="13"/>
      <c r="F741" s="14"/>
      <c r="G741" s="14"/>
      <c r="H741" s="14"/>
      <c r="I741" s="14"/>
      <c r="J741" s="14"/>
      <c r="K741" s="12"/>
    </row>
    <row r="742" ht="19.5" customHeight="1">
      <c r="A742" s="12"/>
      <c r="C742" s="12"/>
      <c r="D742" s="13"/>
      <c r="F742" s="14"/>
      <c r="G742" s="14"/>
      <c r="H742" s="14"/>
      <c r="I742" s="14"/>
      <c r="J742" s="14"/>
      <c r="K742" s="12"/>
    </row>
    <row r="743" ht="19.5" customHeight="1">
      <c r="A743" s="12"/>
      <c r="C743" s="12"/>
      <c r="D743" s="13"/>
      <c r="F743" s="14"/>
      <c r="G743" s="14"/>
      <c r="H743" s="14"/>
      <c r="I743" s="14"/>
      <c r="J743" s="14"/>
      <c r="K743" s="12"/>
    </row>
    <row r="744" ht="19.5" customHeight="1">
      <c r="A744" s="12"/>
      <c r="C744" s="12"/>
      <c r="D744" s="13"/>
      <c r="F744" s="14"/>
      <c r="G744" s="14"/>
      <c r="H744" s="14"/>
      <c r="I744" s="14"/>
      <c r="J744" s="14"/>
      <c r="K744" s="12"/>
    </row>
    <row r="745" ht="19.5" customHeight="1">
      <c r="A745" s="12"/>
      <c r="C745" s="12"/>
      <c r="D745" s="13"/>
      <c r="F745" s="14"/>
      <c r="G745" s="14"/>
      <c r="H745" s="14"/>
      <c r="I745" s="14"/>
      <c r="J745" s="14"/>
      <c r="K745" s="12"/>
    </row>
    <row r="746" ht="19.5" customHeight="1">
      <c r="A746" s="12"/>
      <c r="C746" s="12"/>
      <c r="D746" s="13"/>
      <c r="F746" s="14"/>
      <c r="G746" s="14"/>
      <c r="H746" s="14"/>
      <c r="I746" s="14"/>
      <c r="J746" s="14"/>
      <c r="K746" s="12"/>
    </row>
    <row r="747" ht="19.5" customHeight="1">
      <c r="A747" s="12"/>
      <c r="C747" s="12"/>
      <c r="D747" s="13"/>
      <c r="F747" s="14"/>
      <c r="G747" s="14"/>
      <c r="H747" s="14"/>
      <c r="I747" s="14"/>
      <c r="J747" s="14"/>
      <c r="K747" s="12"/>
    </row>
    <row r="748" ht="19.5" customHeight="1">
      <c r="A748" s="12"/>
      <c r="C748" s="12"/>
      <c r="D748" s="13"/>
      <c r="F748" s="14"/>
      <c r="G748" s="14"/>
      <c r="H748" s="14"/>
      <c r="I748" s="14"/>
      <c r="J748" s="14"/>
      <c r="K748" s="12"/>
    </row>
    <row r="749" ht="19.5" customHeight="1">
      <c r="A749" s="12"/>
      <c r="C749" s="12"/>
      <c r="D749" s="13"/>
      <c r="F749" s="14"/>
      <c r="G749" s="14"/>
      <c r="H749" s="14"/>
      <c r="I749" s="14"/>
      <c r="J749" s="14"/>
      <c r="K749" s="12"/>
    </row>
    <row r="750" ht="19.5" customHeight="1">
      <c r="A750" s="12"/>
      <c r="C750" s="12"/>
      <c r="D750" s="13"/>
      <c r="F750" s="14"/>
      <c r="G750" s="14"/>
      <c r="H750" s="14"/>
      <c r="I750" s="14"/>
      <c r="J750" s="14"/>
      <c r="K750" s="12"/>
    </row>
    <row r="751" ht="19.5" customHeight="1">
      <c r="A751" s="12"/>
      <c r="C751" s="12"/>
      <c r="D751" s="13"/>
      <c r="F751" s="14"/>
      <c r="G751" s="14"/>
      <c r="H751" s="14"/>
      <c r="I751" s="14"/>
      <c r="J751" s="14"/>
      <c r="K751" s="12"/>
    </row>
    <row r="752" ht="19.5" customHeight="1">
      <c r="A752" s="12"/>
      <c r="C752" s="12"/>
      <c r="D752" s="13"/>
      <c r="F752" s="14"/>
      <c r="G752" s="14"/>
      <c r="H752" s="14"/>
      <c r="I752" s="14"/>
      <c r="J752" s="14"/>
      <c r="K752" s="12"/>
    </row>
    <row r="753" ht="19.5" customHeight="1">
      <c r="A753" s="12"/>
      <c r="C753" s="12"/>
      <c r="D753" s="13"/>
      <c r="F753" s="14"/>
      <c r="G753" s="14"/>
      <c r="H753" s="14"/>
      <c r="I753" s="14"/>
      <c r="J753" s="14"/>
      <c r="K753" s="12"/>
    </row>
    <row r="754" ht="19.5" customHeight="1">
      <c r="A754" s="12"/>
      <c r="C754" s="12"/>
      <c r="D754" s="13"/>
      <c r="F754" s="14"/>
      <c r="G754" s="14"/>
      <c r="H754" s="14"/>
      <c r="I754" s="14"/>
      <c r="J754" s="14"/>
      <c r="K754" s="12"/>
    </row>
    <row r="755" ht="19.5" customHeight="1">
      <c r="A755" s="12"/>
      <c r="C755" s="12"/>
      <c r="D755" s="13"/>
      <c r="F755" s="14"/>
      <c r="G755" s="14"/>
      <c r="H755" s="14"/>
      <c r="I755" s="14"/>
      <c r="J755" s="14"/>
      <c r="K755" s="12"/>
    </row>
    <row r="756" ht="19.5" customHeight="1">
      <c r="A756" s="12"/>
      <c r="C756" s="12"/>
      <c r="D756" s="13"/>
      <c r="F756" s="14"/>
      <c r="G756" s="14"/>
      <c r="H756" s="14"/>
      <c r="I756" s="14"/>
      <c r="J756" s="14"/>
      <c r="K756" s="12"/>
    </row>
    <row r="757" ht="19.5" customHeight="1">
      <c r="A757" s="12"/>
      <c r="C757" s="12"/>
      <c r="D757" s="13"/>
      <c r="F757" s="14"/>
      <c r="G757" s="14"/>
      <c r="H757" s="14"/>
      <c r="I757" s="14"/>
      <c r="J757" s="14"/>
      <c r="K757" s="12"/>
    </row>
    <row r="758" ht="19.5" customHeight="1">
      <c r="A758" s="12"/>
      <c r="C758" s="12"/>
      <c r="D758" s="13"/>
      <c r="F758" s="14"/>
      <c r="G758" s="14"/>
      <c r="H758" s="14"/>
      <c r="I758" s="14"/>
      <c r="J758" s="14"/>
      <c r="K758" s="12"/>
    </row>
    <row r="759" ht="19.5" customHeight="1">
      <c r="A759" s="12"/>
      <c r="C759" s="12"/>
      <c r="D759" s="13"/>
      <c r="F759" s="14"/>
      <c r="G759" s="14"/>
      <c r="H759" s="14"/>
      <c r="I759" s="14"/>
      <c r="J759" s="14"/>
      <c r="K759" s="12"/>
    </row>
    <row r="760" ht="19.5" customHeight="1">
      <c r="A760" s="12"/>
      <c r="C760" s="12"/>
      <c r="D760" s="13"/>
      <c r="F760" s="14"/>
      <c r="G760" s="14"/>
      <c r="H760" s="14"/>
      <c r="I760" s="14"/>
      <c r="J760" s="14"/>
      <c r="K760" s="12"/>
    </row>
    <row r="761" ht="19.5" customHeight="1">
      <c r="A761" s="12"/>
      <c r="C761" s="12"/>
      <c r="D761" s="13"/>
      <c r="F761" s="14"/>
      <c r="G761" s="14"/>
      <c r="H761" s="14"/>
      <c r="I761" s="14"/>
      <c r="J761" s="14"/>
      <c r="K761" s="12"/>
    </row>
    <row r="762" ht="19.5" customHeight="1">
      <c r="A762" s="12"/>
      <c r="C762" s="12"/>
      <c r="D762" s="13"/>
      <c r="F762" s="14"/>
      <c r="G762" s="14"/>
      <c r="H762" s="14"/>
      <c r="I762" s="14"/>
      <c r="J762" s="14"/>
      <c r="K762" s="12"/>
    </row>
    <row r="763" ht="19.5" customHeight="1">
      <c r="A763" s="12"/>
      <c r="C763" s="12"/>
      <c r="D763" s="13"/>
      <c r="F763" s="14"/>
      <c r="G763" s="14"/>
      <c r="H763" s="14"/>
      <c r="I763" s="14"/>
      <c r="J763" s="14"/>
      <c r="K763" s="12"/>
    </row>
    <row r="764" ht="19.5" customHeight="1">
      <c r="A764" s="12"/>
      <c r="C764" s="12"/>
      <c r="D764" s="13"/>
      <c r="F764" s="14"/>
      <c r="G764" s="14"/>
      <c r="H764" s="14"/>
      <c r="I764" s="14"/>
      <c r="J764" s="14"/>
      <c r="K764" s="12"/>
    </row>
    <row r="765" ht="19.5" customHeight="1">
      <c r="A765" s="12"/>
      <c r="C765" s="12"/>
      <c r="D765" s="13"/>
      <c r="F765" s="14"/>
      <c r="G765" s="14"/>
      <c r="H765" s="14"/>
      <c r="I765" s="14"/>
      <c r="J765" s="14"/>
      <c r="K765" s="12"/>
    </row>
    <row r="766" ht="19.5" customHeight="1">
      <c r="A766" s="12"/>
      <c r="C766" s="12"/>
      <c r="D766" s="13"/>
      <c r="F766" s="14"/>
      <c r="G766" s="14"/>
      <c r="H766" s="14"/>
      <c r="I766" s="14"/>
      <c r="J766" s="14"/>
      <c r="K766" s="12"/>
    </row>
    <row r="767" ht="19.5" customHeight="1">
      <c r="A767" s="12"/>
      <c r="C767" s="12"/>
      <c r="D767" s="13"/>
      <c r="F767" s="14"/>
      <c r="G767" s="14"/>
      <c r="H767" s="14"/>
      <c r="I767" s="14"/>
      <c r="J767" s="14"/>
      <c r="K767" s="12"/>
    </row>
    <row r="768" ht="19.5" customHeight="1">
      <c r="A768" s="12"/>
      <c r="C768" s="12"/>
      <c r="D768" s="13"/>
      <c r="F768" s="14"/>
      <c r="G768" s="14"/>
      <c r="H768" s="14"/>
      <c r="I768" s="14"/>
      <c r="J768" s="14"/>
      <c r="K768" s="12"/>
    </row>
    <row r="769" ht="19.5" customHeight="1">
      <c r="A769" s="12"/>
      <c r="C769" s="12"/>
      <c r="D769" s="13"/>
      <c r="F769" s="14"/>
      <c r="G769" s="14"/>
      <c r="H769" s="14"/>
      <c r="I769" s="14"/>
      <c r="J769" s="14"/>
      <c r="K769" s="12"/>
    </row>
    <row r="770" ht="19.5" customHeight="1">
      <c r="A770" s="12"/>
      <c r="C770" s="12"/>
      <c r="D770" s="13"/>
      <c r="F770" s="14"/>
      <c r="G770" s="14"/>
      <c r="H770" s="14"/>
      <c r="I770" s="14"/>
      <c r="J770" s="14"/>
      <c r="K770" s="12"/>
    </row>
    <row r="771" ht="19.5" customHeight="1">
      <c r="A771" s="12"/>
      <c r="C771" s="12"/>
      <c r="D771" s="13"/>
      <c r="F771" s="14"/>
      <c r="G771" s="14"/>
      <c r="H771" s="14"/>
      <c r="I771" s="14"/>
      <c r="J771" s="14"/>
      <c r="K771" s="12"/>
    </row>
    <row r="772" ht="19.5" customHeight="1">
      <c r="A772" s="12"/>
      <c r="C772" s="12"/>
      <c r="D772" s="13"/>
      <c r="F772" s="14"/>
      <c r="G772" s="14"/>
      <c r="H772" s="14"/>
      <c r="I772" s="14"/>
      <c r="J772" s="14"/>
      <c r="K772" s="12"/>
    </row>
    <row r="773" ht="19.5" customHeight="1">
      <c r="A773" s="12"/>
      <c r="C773" s="12"/>
      <c r="D773" s="13"/>
      <c r="F773" s="14"/>
      <c r="G773" s="14"/>
      <c r="H773" s="14"/>
      <c r="I773" s="14"/>
      <c r="J773" s="14"/>
      <c r="K773" s="12"/>
    </row>
    <row r="774" ht="19.5" customHeight="1">
      <c r="A774" s="12"/>
      <c r="C774" s="12"/>
      <c r="D774" s="13"/>
      <c r="F774" s="14"/>
      <c r="G774" s="14"/>
      <c r="H774" s="14"/>
      <c r="I774" s="14"/>
      <c r="J774" s="14"/>
      <c r="K774" s="12"/>
    </row>
    <row r="775" ht="19.5" customHeight="1">
      <c r="A775" s="12"/>
      <c r="C775" s="12"/>
      <c r="D775" s="13"/>
      <c r="F775" s="14"/>
      <c r="G775" s="14"/>
      <c r="H775" s="14"/>
      <c r="I775" s="14"/>
      <c r="J775" s="14"/>
      <c r="K775" s="12"/>
    </row>
    <row r="776" ht="19.5" customHeight="1">
      <c r="A776" s="12"/>
      <c r="C776" s="12"/>
      <c r="D776" s="13"/>
      <c r="F776" s="14"/>
      <c r="G776" s="14"/>
      <c r="H776" s="14"/>
      <c r="I776" s="14"/>
      <c r="J776" s="14"/>
      <c r="K776" s="12"/>
    </row>
    <row r="777" ht="19.5" customHeight="1">
      <c r="A777" s="12"/>
      <c r="C777" s="12"/>
      <c r="D777" s="13"/>
      <c r="F777" s="14"/>
      <c r="G777" s="14"/>
      <c r="H777" s="14"/>
      <c r="I777" s="14"/>
      <c r="J777" s="14"/>
      <c r="K777" s="12"/>
    </row>
    <row r="778" ht="19.5" customHeight="1">
      <c r="A778" s="12"/>
      <c r="C778" s="12"/>
      <c r="D778" s="13"/>
      <c r="F778" s="14"/>
      <c r="G778" s="14"/>
      <c r="H778" s="14"/>
      <c r="I778" s="14"/>
      <c r="J778" s="14"/>
      <c r="K778" s="12"/>
    </row>
    <row r="779" ht="19.5" customHeight="1">
      <c r="A779" s="12"/>
      <c r="C779" s="12"/>
      <c r="D779" s="13"/>
      <c r="F779" s="14"/>
      <c r="G779" s="14"/>
      <c r="H779" s="14"/>
      <c r="I779" s="14"/>
      <c r="J779" s="14"/>
      <c r="K779" s="12"/>
    </row>
    <row r="780" ht="19.5" customHeight="1">
      <c r="A780" s="12"/>
      <c r="C780" s="12"/>
      <c r="D780" s="13"/>
      <c r="F780" s="14"/>
      <c r="G780" s="14"/>
      <c r="H780" s="14"/>
      <c r="I780" s="14"/>
      <c r="J780" s="14"/>
      <c r="K780" s="12"/>
    </row>
    <row r="781" ht="19.5" customHeight="1">
      <c r="A781" s="12"/>
      <c r="C781" s="12"/>
      <c r="D781" s="13"/>
      <c r="F781" s="14"/>
      <c r="G781" s="14"/>
      <c r="H781" s="14"/>
      <c r="I781" s="14"/>
      <c r="J781" s="14"/>
      <c r="K781" s="12"/>
    </row>
    <row r="782" ht="19.5" customHeight="1">
      <c r="A782" s="12"/>
      <c r="C782" s="12"/>
      <c r="D782" s="13"/>
      <c r="F782" s="14"/>
      <c r="G782" s="14"/>
      <c r="H782" s="14"/>
      <c r="I782" s="14"/>
      <c r="J782" s="14"/>
      <c r="K782" s="12"/>
    </row>
    <row r="783" ht="19.5" customHeight="1">
      <c r="A783" s="12"/>
      <c r="C783" s="12"/>
      <c r="D783" s="13"/>
      <c r="F783" s="14"/>
      <c r="G783" s="14"/>
      <c r="H783" s="14"/>
      <c r="I783" s="14"/>
      <c r="J783" s="14"/>
      <c r="K783" s="12"/>
    </row>
    <row r="784" ht="19.5" customHeight="1">
      <c r="A784" s="12"/>
      <c r="C784" s="12"/>
      <c r="D784" s="13"/>
      <c r="F784" s="14"/>
      <c r="G784" s="14"/>
      <c r="H784" s="14"/>
      <c r="I784" s="14"/>
      <c r="J784" s="14"/>
      <c r="K784" s="12"/>
    </row>
    <row r="785" ht="19.5" customHeight="1">
      <c r="A785" s="12"/>
      <c r="C785" s="12"/>
      <c r="D785" s="13"/>
      <c r="F785" s="14"/>
      <c r="G785" s="14"/>
      <c r="H785" s="14"/>
      <c r="I785" s="14"/>
      <c r="J785" s="14"/>
      <c r="K785" s="12"/>
    </row>
    <row r="786" ht="19.5" customHeight="1">
      <c r="A786" s="12"/>
      <c r="C786" s="12"/>
      <c r="D786" s="13"/>
      <c r="F786" s="14"/>
      <c r="G786" s="14"/>
      <c r="H786" s="14"/>
      <c r="I786" s="14"/>
      <c r="J786" s="14"/>
      <c r="K786" s="12"/>
    </row>
    <row r="787" ht="19.5" customHeight="1">
      <c r="A787" s="12"/>
      <c r="C787" s="12"/>
      <c r="D787" s="13"/>
      <c r="F787" s="14"/>
      <c r="G787" s="14"/>
      <c r="H787" s="14"/>
      <c r="I787" s="14"/>
      <c r="J787" s="14"/>
      <c r="K787" s="12"/>
    </row>
    <row r="788" ht="19.5" customHeight="1">
      <c r="A788" s="12"/>
      <c r="C788" s="12"/>
      <c r="D788" s="13"/>
      <c r="F788" s="14"/>
      <c r="G788" s="14"/>
      <c r="H788" s="14"/>
      <c r="I788" s="14"/>
      <c r="J788" s="14"/>
      <c r="K788" s="12"/>
    </row>
    <row r="789" ht="19.5" customHeight="1">
      <c r="A789" s="12"/>
      <c r="C789" s="12"/>
      <c r="D789" s="13"/>
      <c r="F789" s="14"/>
      <c r="G789" s="14"/>
      <c r="H789" s="14"/>
      <c r="I789" s="14"/>
      <c r="J789" s="14"/>
      <c r="K789" s="12"/>
    </row>
    <row r="790" ht="19.5" customHeight="1">
      <c r="A790" s="12"/>
      <c r="C790" s="12"/>
      <c r="D790" s="13"/>
      <c r="F790" s="14"/>
      <c r="G790" s="14"/>
      <c r="H790" s="14"/>
      <c r="I790" s="14"/>
      <c r="J790" s="14"/>
      <c r="K790" s="12"/>
    </row>
    <row r="791" ht="19.5" customHeight="1">
      <c r="A791" s="12"/>
      <c r="C791" s="12"/>
      <c r="D791" s="13"/>
      <c r="F791" s="14"/>
      <c r="G791" s="14"/>
      <c r="H791" s="14"/>
      <c r="I791" s="14"/>
      <c r="J791" s="14"/>
      <c r="K791" s="12"/>
    </row>
    <row r="792" ht="19.5" customHeight="1">
      <c r="A792" s="12"/>
      <c r="C792" s="12"/>
      <c r="D792" s="13"/>
      <c r="F792" s="14"/>
      <c r="G792" s="14"/>
      <c r="H792" s="14"/>
      <c r="I792" s="14"/>
      <c r="J792" s="14"/>
      <c r="K792" s="12"/>
    </row>
    <row r="793" ht="19.5" customHeight="1">
      <c r="A793" s="12"/>
      <c r="C793" s="12"/>
      <c r="D793" s="13"/>
      <c r="F793" s="14"/>
      <c r="G793" s="14"/>
      <c r="H793" s="14"/>
      <c r="I793" s="14"/>
      <c r="J793" s="14"/>
      <c r="K793" s="12"/>
    </row>
    <row r="794" ht="19.5" customHeight="1">
      <c r="A794" s="12"/>
      <c r="C794" s="12"/>
      <c r="D794" s="13"/>
      <c r="F794" s="14"/>
      <c r="G794" s="14"/>
      <c r="H794" s="14"/>
      <c r="I794" s="14"/>
      <c r="J794" s="14"/>
      <c r="K794" s="12"/>
    </row>
    <row r="795" ht="19.5" customHeight="1">
      <c r="A795" s="12"/>
      <c r="C795" s="12"/>
      <c r="D795" s="13"/>
      <c r="F795" s="14"/>
      <c r="G795" s="14"/>
      <c r="H795" s="14"/>
      <c r="I795" s="14"/>
      <c r="J795" s="14"/>
      <c r="K795" s="12"/>
    </row>
    <row r="796" ht="19.5" customHeight="1">
      <c r="A796" s="12"/>
      <c r="C796" s="12"/>
      <c r="D796" s="13"/>
      <c r="F796" s="14"/>
      <c r="G796" s="14"/>
      <c r="H796" s="14"/>
      <c r="I796" s="14"/>
      <c r="J796" s="14"/>
      <c r="K796" s="12"/>
    </row>
    <row r="797" ht="19.5" customHeight="1">
      <c r="A797" s="12"/>
      <c r="C797" s="12"/>
      <c r="D797" s="13"/>
      <c r="F797" s="14"/>
      <c r="G797" s="14"/>
      <c r="H797" s="14"/>
      <c r="I797" s="14"/>
      <c r="J797" s="14"/>
      <c r="K797" s="12"/>
    </row>
    <row r="798" ht="19.5" customHeight="1">
      <c r="A798" s="12"/>
      <c r="C798" s="12"/>
      <c r="D798" s="13"/>
      <c r="F798" s="14"/>
      <c r="G798" s="14"/>
      <c r="H798" s="14"/>
      <c r="I798" s="14"/>
      <c r="J798" s="14"/>
      <c r="K798" s="12"/>
    </row>
    <row r="799" ht="19.5" customHeight="1">
      <c r="A799" s="12"/>
      <c r="C799" s="12"/>
      <c r="D799" s="13"/>
      <c r="F799" s="14"/>
      <c r="G799" s="14"/>
      <c r="H799" s="14"/>
      <c r="I799" s="14"/>
      <c r="J799" s="14"/>
      <c r="K799" s="12"/>
    </row>
    <row r="800" ht="19.5" customHeight="1">
      <c r="A800" s="12"/>
      <c r="C800" s="12"/>
      <c r="D800" s="13"/>
      <c r="F800" s="14"/>
      <c r="G800" s="14"/>
      <c r="H800" s="14"/>
      <c r="I800" s="14"/>
      <c r="J800" s="14"/>
      <c r="K800" s="12"/>
    </row>
    <row r="801" ht="19.5" customHeight="1">
      <c r="A801" s="12"/>
      <c r="C801" s="12"/>
      <c r="D801" s="13"/>
      <c r="F801" s="14"/>
      <c r="G801" s="14"/>
      <c r="H801" s="14"/>
      <c r="I801" s="14"/>
      <c r="J801" s="14"/>
      <c r="K801" s="12"/>
    </row>
    <row r="802" ht="19.5" customHeight="1">
      <c r="A802" s="12"/>
      <c r="C802" s="12"/>
      <c r="D802" s="13"/>
      <c r="F802" s="14"/>
      <c r="G802" s="14"/>
      <c r="H802" s="14"/>
      <c r="I802" s="14"/>
      <c r="J802" s="14"/>
      <c r="K802" s="12"/>
    </row>
    <row r="803" ht="19.5" customHeight="1">
      <c r="A803" s="12"/>
      <c r="C803" s="12"/>
      <c r="D803" s="13"/>
      <c r="F803" s="14"/>
      <c r="G803" s="14"/>
      <c r="H803" s="14"/>
      <c r="I803" s="14"/>
      <c r="J803" s="14"/>
      <c r="K803" s="12"/>
    </row>
    <row r="804" ht="19.5" customHeight="1">
      <c r="A804" s="12"/>
      <c r="C804" s="12"/>
      <c r="D804" s="13"/>
      <c r="F804" s="14"/>
      <c r="G804" s="14"/>
      <c r="H804" s="14"/>
      <c r="I804" s="14"/>
      <c r="J804" s="14"/>
      <c r="K804" s="12"/>
    </row>
    <row r="805" ht="19.5" customHeight="1">
      <c r="A805" s="12"/>
      <c r="C805" s="12"/>
      <c r="D805" s="13"/>
      <c r="F805" s="14"/>
      <c r="G805" s="14"/>
      <c r="H805" s="14"/>
      <c r="I805" s="14"/>
      <c r="J805" s="14"/>
      <c r="K805" s="12"/>
    </row>
    <row r="806" ht="19.5" customHeight="1">
      <c r="A806" s="12"/>
      <c r="C806" s="12"/>
      <c r="D806" s="13"/>
      <c r="F806" s="14"/>
      <c r="G806" s="14"/>
      <c r="H806" s="14"/>
      <c r="I806" s="14"/>
      <c r="J806" s="14"/>
      <c r="K806" s="12"/>
    </row>
    <row r="807" ht="19.5" customHeight="1">
      <c r="A807" s="12"/>
      <c r="C807" s="12"/>
      <c r="D807" s="13"/>
      <c r="F807" s="14"/>
      <c r="G807" s="14"/>
      <c r="H807" s="14"/>
      <c r="I807" s="14"/>
      <c r="J807" s="14"/>
      <c r="K807" s="12"/>
    </row>
    <row r="808" ht="19.5" customHeight="1">
      <c r="A808" s="12"/>
      <c r="C808" s="12"/>
      <c r="D808" s="13"/>
      <c r="F808" s="14"/>
      <c r="G808" s="14"/>
      <c r="H808" s="14"/>
      <c r="I808" s="14"/>
      <c r="J808" s="14"/>
      <c r="K808" s="12"/>
    </row>
    <row r="809" ht="19.5" customHeight="1">
      <c r="A809" s="12"/>
      <c r="C809" s="12"/>
      <c r="D809" s="13"/>
      <c r="F809" s="14"/>
      <c r="G809" s="14"/>
      <c r="H809" s="14"/>
      <c r="I809" s="14"/>
      <c r="J809" s="14"/>
      <c r="K809" s="12"/>
    </row>
    <row r="810" ht="19.5" customHeight="1">
      <c r="A810" s="12"/>
      <c r="C810" s="12"/>
      <c r="D810" s="13"/>
      <c r="F810" s="14"/>
      <c r="G810" s="14"/>
      <c r="H810" s="14"/>
      <c r="I810" s="14"/>
      <c r="J810" s="14"/>
      <c r="K810" s="12"/>
    </row>
    <row r="811" ht="19.5" customHeight="1">
      <c r="A811" s="12"/>
      <c r="C811" s="12"/>
      <c r="D811" s="13"/>
      <c r="F811" s="14"/>
      <c r="G811" s="14"/>
      <c r="H811" s="14"/>
      <c r="I811" s="14"/>
      <c r="J811" s="14"/>
      <c r="K811" s="12"/>
    </row>
    <row r="812" ht="19.5" customHeight="1">
      <c r="A812" s="12"/>
      <c r="C812" s="12"/>
      <c r="D812" s="13"/>
      <c r="F812" s="14"/>
      <c r="G812" s="14"/>
      <c r="H812" s="14"/>
      <c r="I812" s="14"/>
      <c r="J812" s="14"/>
      <c r="K812" s="12"/>
    </row>
    <row r="813" ht="19.5" customHeight="1">
      <c r="A813" s="12"/>
      <c r="C813" s="12"/>
      <c r="D813" s="13"/>
      <c r="F813" s="14"/>
      <c r="G813" s="14"/>
      <c r="H813" s="14"/>
      <c r="I813" s="14"/>
      <c r="J813" s="14"/>
      <c r="K813" s="12"/>
    </row>
    <row r="814" ht="19.5" customHeight="1">
      <c r="A814" s="12"/>
      <c r="C814" s="12"/>
      <c r="D814" s="13"/>
      <c r="F814" s="14"/>
      <c r="G814" s="14"/>
      <c r="H814" s="14"/>
      <c r="I814" s="14"/>
      <c r="J814" s="14"/>
      <c r="K814" s="12"/>
    </row>
    <row r="815" ht="19.5" customHeight="1">
      <c r="A815" s="12"/>
      <c r="C815" s="12"/>
      <c r="D815" s="13"/>
      <c r="F815" s="14"/>
      <c r="G815" s="14"/>
      <c r="H815" s="14"/>
      <c r="I815" s="14"/>
      <c r="J815" s="14"/>
      <c r="K815" s="12"/>
    </row>
    <row r="816" ht="19.5" customHeight="1">
      <c r="A816" s="12"/>
      <c r="C816" s="12"/>
      <c r="D816" s="13"/>
      <c r="F816" s="14"/>
      <c r="G816" s="14"/>
      <c r="H816" s="14"/>
      <c r="I816" s="14"/>
      <c r="J816" s="14"/>
      <c r="K816" s="12"/>
    </row>
    <row r="817" ht="19.5" customHeight="1">
      <c r="A817" s="12"/>
      <c r="C817" s="12"/>
      <c r="D817" s="13"/>
      <c r="F817" s="14"/>
      <c r="G817" s="14"/>
      <c r="H817" s="14"/>
      <c r="I817" s="14"/>
      <c r="J817" s="14"/>
      <c r="K817" s="12"/>
    </row>
    <row r="818" ht="19.5" customHeight="1">
      <c r="A818" s="12"/>
      <c r="C818" s="12"/>
      <c r="D818" s="13"/>
      <c r="F818" s="14"/>
      <c r="G818" s="14"/>
      <c r="H818" s="14"/>
      <c r="I818" s="14"/>
      <c r="J818" s="14"/>
      <c r="K818" s="12"/>
    </row>
    <row r="819" ht="19.5" customHeight="1">
      <c r="A819" s="12"/>
      <c r="C819" s="12"/>
      <c r="D819" s="13"/>
      <c r="F819" s="14"/>
      <c r="G819" s="14"/>
      <c r="H819" s="14"/>
      <c r="I819" s="14"/>
      <c r="J819" s="14"/>
      <c r="K819" s="12"/>
    </row>
    <row r="820" ht="19.5" customHeight="1">
      <c r="A820" s="12"/>
      <c r="C820" s="12"/>
      <c r="D820" s="13"/>
      <c r="F820" s="14"/>
      <c r="G820" s="14"/>
      <c r="H820" s="14"/>
      <c r="I820" s="14"/>
      <c r="J820" s="14"/>
      <c r="K820" s="12"/>
    </row>
    <row r="821" ht="19.5" customHeight="1">
      <c r="A821" s="12"/>
      <c r="C821" s="12"/>
      <c r="D821" s="13"/>
      <c r="F821" s="14"/>
      <c r="G821" s="14"/>
      <c r="H821" s="14"/>
      <c r="I821" s="14"/>
      <c r="J821" s="14"/>
      <c r="K821" s="12"/>
    </row>
    <row r="822" ht="19.5" customHeight="1">
      <c r="A822" s="12"/>
      <c r="C822" s="12"/>
      <c r="D822" s="13"/>
      <c r="F822" s="14"/>
      <c r="G822" s="14"/>
      <c r="H822" s="14"/>
      <c r="I822" s="14"/>
      <c r="J822" s="14"/>
      <c r="K822" s="12"/>
    </row>
    <row r="823" ht="19.5" customHeight="1">
      <c r="A823" s="12"/>
      <c r="C823" s="12"/>
      <c r="D823" s="13"/>
      <c r="F823" s="14"/>
      <c r="G823" s="14"/>
      <c r="H823" s="14"/>
      <c r="I823" s="14"/>
      <c r="J823" s="14"/>
      <c r="K823" s="12"/>
    </row>
    <row r="824" ht="19.5" customHeight="1">
      <c r="A824" s="12"/>
      <c r="C824" s="12"/>
      <c r="D824" s="13"/>
      <c r="F824" s="14"/>
      <c r="G824" s="14"/>
      <c r="H824" s="14"/>
      <c r="I824" s="14"/>
      <c r="J824" s="14"/>
      <c r="K824" s="12"/>
    </row>
    <row r="825" ht="19.5" customHeight="1">
      <c r="A825" s="12"/>
      <c r="C825" s="12"/>
      <c r="D825" s="13"/>
      <c r="F825" s="14"/>
      <c r="G825" s="14"/>
      <c r="H825" s="14"/>
      <c r="I825" s="14"/>
      <c r="J825" s="14"/>
      <c r="K825" s="12"/>
    </row>
    <row r="826" ht="19.5" customHeight="1">
      <c r="A826" s="12"/>
      <c r="C826" s="12"/>
      <c r="D826" s="13"/>
      <c r="F826" s="14"/>
      <c r="G826" s="14"/>
      <c r="H826" s="14"/>
      <c r="I826" s="14"/>
      <c r="J826" s="14"/>
      <c r="K826" s="12"/>
    </row>
    <row r="827" ht="19.5" customHeight="1">
      <c r="A827" s="12"/>
      <c r="C827" s="12"/>
      <c r="D827" s="13"/>
      <c r="F827" s="14"/>
      <c r="G827" s="14"/>
      <c r="H827" s="14"/>
      <c r="I827" s="14"/>
      <c r="J827" s="14"/>
      <c r="K827" s="12"/>
    </row>
    <row r="828" ht="19.5" customHeight="1">
      <c r="A828" s="12"/>
      <c r="C828" s="12"/>
      <c r="D828" s="13"/>
      <c r="F828" s="14"/>
      <c r="G828" s="14"/>
      <c r="H828" s="14"/>
      <c r="I828" s="14"/>
      <c r="J828" s="14"/>
      <c r="K828" s="12"/>
    </row>
    <row r="829" ht="19.5" customHeight="1">
      <c r="A829" s="12"/>
      <c r="C829" s="12"/>
      <c r="D829" s="13"/>
      <c r="F829" s="14"/>
      <c r="G829" s="14"/>
      <c r="H829" s="14"/>
      <c r="I829" s="14"/>
      <c r="J829" s="14"/>
      <c r="K829" s="12"/>
    </row>
    <row r="830" ht="19.5" customHeight="1">
      <c r="A830" s="12"/>
      <c r="C830" s="12"/>
      <c r="D830" s="13"/>
      <c r="F830" s="14"/>
      <c r="G830" s="14"/>
      <c r="H830" s="14"/>
      <c r="I830" s="14"/>
      <c r="J830" s="14"/>
      <c r="K830" s="12"/>
    </row>
    <row r="831" ht="19.5" customHeight="1">
      <c r="A831" s="12"/>
      <c r="C831" s="12"/>
      <c r="D831" s="13"/>
      <c r="F831" s="14"/>
      <c r="G831" s="14"/>
      <c r="H831" s="14"/>
      <c r="I831" s="14"/>
      <c r="J831" s="14"/>
      <c r="K831" s="12"/>
    </row>
    <row r="832" ht="19.5" customHeight="1">
      <c r="A832" s="12"/>
      <c r="C832" s="12"/>
      <c r="D832" s="13"/>
      <c r="F832" s="14"/>
      <c r="G832" s="14"/>
      <c r="H832" s="14"/>
      <c r="I832" s="14"/>
      <c r="J832" s="14"/>
      <c r="K832" s="12"/>
    </row>
    <row r="833" ht="19.5" customHeight="1">
      <c r="A833" s="12"/>
      <c r="C833" s="12"/>
      <c r="D833" s="13"/>
      <c r="F833" s="14"/>
      <c r="G833" s="14"/>
      <c r="H833" s="14"/>
      <c r="I833" s="14"/>
      <c r="J833" s="14"/>
      <c r="K833" s="12"/>
    </row>
    <row r="834" ht="19.5" customHeight="1">
      <c r="A834" s="12"/>
      <c r="C834" s="12"/>
      <c r="D834" s="13"/>
      <c r="F834" s="14"/>
      <c r="G834" s="14"/>
      <c r="H834" s="14"/>
      <c r="I834" s="14"/>
      <c r="J834" s="14"/>
      <c r="K834" s="12"/>
    </row>
    <row r="835" ht="19.5" customHeight="1">
      <c r="A835" s="12"/>
      <c r="C835" s="12"/>
      <c r="D835" s="13"/>
      <c r="F835" s="14"/>
      <c r="G835" s="14"/>
      <c r="H835" s="14"/>
      <c r="I835" s="14"/>
      <c r="J835" s="14"/>
      <c r="K835" s="12"/>
    </row>
    <row r="836" ht="19.5" customHeight="1">
      <c r="A836" s="12"/>
      <c r="C836" s="12"/>
      <c r="D836" s="13"/>
      <c r="F836" s="14"/>
      <c r="G836" s="14"/>
      <c r="H836" s="14"/>
      <c r="I836" s="14"/>
      <c r="J836" s="14"/>
      <c r="K836" s="12"/>
    </row>
    <row r="837" ht="19.5" customHeight="1">
      <c r="A837" s="12"/>
      <c r="C837" s="12"/>
      <c r="D837" s="13"/>
      <c r="F837" s="14"/>
      <c r="G837" s="14"/>
      <c r="H837" s="14"/>
      <c r="I837" s="14"/>
      <c r="J837" s="14"/>
      <c r="K837" s="12"/>
    </row>
    <row r="838" ht="19.5" customHeight="1">
      <c r="A838" s="12"/>
      <c r="C838" s="12"/>
      <c r="D838" s="13"/>
      <c r="F838" s="14"/>
      <c r="G838" s="14"/>
      <c r="H838" s="14"/>
      <c r="I838" s="14"/>
      <c r="J838" s="14"/>
      <c r="K838" s="12"/>
    </row>
    <row r="839" ht="19.5" customHeight="1">
      <c r="A839" s="12"/>
      <c r="C839" s="12"/>
      <c r="D839" s="13"/>
      <c r="F839" s="14"/>
      <c r="G839" s="14"/>
      <c r="H839" s="14"/>
      <c r="I839" s="14"/>
      <c r="J839" s="14"/>
      <c r="K839" s="12"/>
    </row>
    <row r="840" ht="19.5" customHeight="1">
      <c r="A840" s="12"/>
      <c r="C840" s="12"/>
      <c r="D840" s="13"/>
      <c r="F840" s="14"/>
      <c r="G840" s="14"/>
      <c r="H840" s="14"/>
      <c r="I840" s="14"/>
      <c r="J840" s="14"/>
      <c r="K840" s="12"/>
    </row>
    <row r="841" ht="19.5" customHeight="1">
      <c r="A841" s="12"/>
      <c r="C841" s="12"/>
      <c r="D841" s="13"/>
      <c r="F841" s="14"/>
      <c r="G841" s="14"/>
      <c r="H841" s="14"/>
      <c r="I841" s="14"/>
      <c r="J841" s="14"/>
      <c r="K841" s="12"/>
    </row>
    <row r="842" ht="19.5" customHeight="1">
      <c r="A842" s="12"/>
      <c r="C842" s="12"/>
      <c r="D842" s="13"/>
      <c r="F842" s="14"/>
      <c r="G842" s="14"/>
      <c r="H842" s="14"/>
      <c r="I842" s="14"/>
      <c r="J842" s="14"/>
      <c r="K842" s="12"/>
    </row>
    <row r="843" ht="19.5" customHeight="1">
      <c r="A843" s="12"/>
      <c r="C843" s="12"/>
      <c r="D843" s="13"/>
      <c r="F843" s="14"/>
      <c r="G843" s="14"/>
      <c r="H843" s="14"/>
      <c r="I843" s="14"/>
      <c r="J843" s="14"/>
      <c r="K843" s="12"/>
    </row>
    <row r="844" ht="19.5" customHeight="1">
      <c r="A844" s="12"/>
      <c r="C844" s="12"/>
      <c r="D844" s="13"/>
      <c r="F844" s="14"/>
      <c r="G844" s="14"/>
      <c r="H844" s="14"/>
      <c r="I844" s="14"/>
      <c r="J844" s="14"/>
      <c r="K844" s="12"/>
    </row>
    <row r="845" ht="19.5" customHeight="1">
      <c r="A845" s="12"/>
      <c r="C845" s="12"/>
      <c r="D845" s="13"/>
      <c r="F845" s="14"/>
      <c r="G845" s="14"/>
      <c r="H845" s="14"/>
      <c r="I845" s="14"/>
      <c r="J845" s="14"/>
      <c r="K845" s="12"/>
    </row>
    <row r="846" ht="19.5" customHeight="1">
      <c r="A846" s="12"/>
      <c r="C846" s="12"/>
      <c r="D846" s="13"/>
      <c r="F846" s="14"/>
      <c r="G846" s="14"/>
      <c r="H846" s="14"/>
      <c r="I846" s="14"/>
      <c r="J846" s="14"/>
      <c r="K846" s="12"/>
    </row>
    <row r="847" ht="19.5" customHeight="1">
      <c r="A847" s="12"/>
      <c r="C847" s="12"/>
      <c r="D847" s="13"/>
      <c r="F847" s="14"/>
      <c r="G847" s="14"/>
      <c r="H847" s="14"/>
      <c r="I847" s="14"/>
      <c r="J847" s="14"/>
      <c r="K847" s="12"/>
    </row>
    <row r="848" ht="19.5" customHeight="1">
      <c r="A848" s="12"/>
      <c r="C848" s="12"/>
      <c r="D848" s="13"/>
      <c r="F848" s="14"/>
      <c r="G848" s="14"/>
      <c r="H848" s="14"/>
      <c r="I848" s="14"/>
      <c r="J848" s="14"/>
      <c r="K848" s="12"/>
    </row>
    <row r="849" ht="19.5" customHeight="1">
      <c r="A849" s="12"/>
      <c r="C849" s="12"/>
      <c r="D849" s="13"/>
      <c r="F849" s="14"/>
      <c r="G849" s="14"/>
      <c r="H849" s="14"/>
      <c r="I849" s="14"/>
      <c r="J849" s="14"/>
      <c r="K849" s="12"/>
    </row>
    <row r="850" ht="19.5" customHeight="1">
      <c r="A850" s="12"/>
      <c r="C850" s="12"/>
      <c r="D850" s="13"/>
      <c r="F850" s="14"/>
      <c r="G850" s="14"/>
      <c r="H850" s="14"/>
      <c r="I850" s="14"/>
      <c r="J850" s="14"/>
      <c r="K850" s="12"/>
    </row>
    <row r="851" ht="19.5" customHeight="1">
      <c r="A851" s="12"/>
      <c r="C851" s="12"/>
      <c r="D851" s="13"/>
      <c r="F851" s="14"/>
      <c r="G851" s="14"/>
      <c r="H851" s="14"/>
      <c r="I851" s="14"/>
      <c r="J851" s="14"/>
      <c r="K851" s="12"/>
    </row>
    <row r="852" ht="19.5" customHeight="1">
      <c r="A852" s="12"/>
      <c r="C852" s="12"/>
      <c r="D852" s="13"/>
      <c r="F852" s="14"/>
      <c r="G852" s="14"/>
      <c r="H852" s="14"/>
      <c r="I852" s="14"/>
      <c r="J852" s="14"/>
      <c r="K852" s="12"/>
    </row>
    <row r="853" ht="19.5" customHeight="1">
      <c r="A853" s="12"/>
      <c r="C853" s="12"/>
      <c r="D853" s="13"/>
      <c r="F853" s="14"/>
      <c r="G853" s="14"/>
      <c r="H853" s="14"/>
      <c r="I853" s="14"/>
      <c r="J853" s="14"/>
      <c r="K853" s="12"/>
    </row>
    <row r="854" ht="19.5" customHeight="1">
      <c r="A854" s="12"/>
      <c r="C854" s="12"/>
      <c r="D854" s="13"/>
      <c r="F854" s="14"/>
      <c r="G854" s="14"/>
      <c r="H854" s="14"/>
      <c r="I854" s="14"/>
      <c r="J854" s="14"/>
      <c r="K854" s="12"/>
    </row>
    <row r="855" ht="19.5" customHeight="1">
      <c r="A855" s="12"/>
      <c r="C855" s="12"/>
      <c r="D855" s="13"/>
      <c r="F855" s="14"/>
      <c r="G855" s="14"/>
      <c r="H855" s="14"/>
      <c r="I855" s="14"/>
      <c r="J855" s="14"/>
      <c r="K855" s="12"/>
    </row>
    <row r="856" ht="19.5" customHeight="1">
      <c r="A856" s="12"/>
      <c r="C856" s="12"/>
      <c r="D856" s="13"/>
      <c r="F856" s="14"/>
      <c r="G856" s="14"/>
      <c r="H856" s="14"/>
      <c r="I856" s="14"/>
      <c r="J856" s="14"/>
      <c r="K856" s="12"/>
    </row>
    <row r="857" ht="19.5" customHeight="1">
      <c r="A857" s="12"/>
      <c r="C857" s="12"/>
      <c r="D857" s="13"/>
      <c r="F857" s="14"/>
      <c r="G857" s="14"/>
      <c r="H857" s="14"/>
      <c r="I857" s="14"/>
      <c r="J857" s="14"/>
      <c r="K857" s="12"/>
    </row>
    <row r="858" ht="19.5" customHeight="1">
      <c r="A858" s="12"/>
      <c r="C858" s="12"/>
      <c r="D858" s="13"/>
      <c r="F858" s="14"/>
      <c r="G858" s="14"/>
      <c r="H858" s="14"/>
      <c r="I858" s="14"/>
      <c r="J858" s="14"/>
      <c r="K858" s="12"/>
    </row>
    <row r="859" ht="19.5" customHeight="1">
      <c r="A859" s="12"/>
      <c r="C859" s="12"/>
      <c r="D859" s="13"/>
      <c r="F859" s="14"/>
      <c r="G859" s="14"/>
      <c r="H859" s="14"/>
      <c r="I859" s="14"/>
      <c r="J859" s="14"/>
      <c r="K859" s="12"/>
    </row>
    <row r="860" ht="19.5" customHeight="1">
      <c r="A860" s="12"/>
      <c r="C860" s="12"/>
      <c r="D860" s="13"/>
      <c r="F860" s="14"/>
      <c r="G860" s="14"/>
      <c r="H860" s="14"/>
      <c r="I860" s="14"/>
      <c r="J860" s="14"/>
      <c r="K860" s="12"/>
    </row>
    <row r="861" ht="19.5" customHeight="1">
      <c r="A861" s="12"/>
      <c r="C861" s="12"/>
      <c r="D861" s="13"/>
      <c r="F861" s="14"/>
      <c r="G861" s="14"/>
      <c r="H861" s="14"/>
      <c r="I861" s="14"/>
      <c r="J861" s="14"/>
      <c r="K861" s="12"/>
    </row>
    <row r="862" ht="19.5" customHeight="1">
      <c r="A862" s="12"/>
      <c r="C862" s="12"/>
      <c r="D862" s="13"/>
      <c r="F862" s="14"/>
      <c r="G862" s="14"/>
      <c r="H862" s="14"/>
      <c r="I862" s="14"/>
      <c r="J862" s="14"/>
      <c r="K862" s="12"/>
    </row>
    <row r="863" ht="19.5" customHeight="1">
      <c r="A863" s="12"/>
      <c r="C863" s="12"/>
      <c r="D863" s="13"/>
      <c r="F863" s="14"/>
      <c r="G863" s="14"/>
      <c r="H863" s="14"/>
      <c r="I863" s="14"/>
      <c r="J863" s="14"/>
      <c r="K863" s="12"/>
    </row>
    <row r="864" ht="19.5" customHeight="1">
      <c r="A864" s="12"/>
      <c r="C864" s="12"/>
      <c r="D864" s="13"/>
      <c r="F864" s="14"/>
      <c r="G864" s="14"/>
      <c r="H864" s="14"/>
      <c r="I864" s="14"/>
      <c r="J864" s="14"/>
      <c r="K864" s="12"/>
    </row>
    <row r="865" ht="19.5" customHeight="1">
      <c r="A865" s="12"/>
      <c r="C865" s="12"/>
      <c r="D865" s="13"/>
      <c r="F865" s="14"/>
      <c r="G865" s="14"/>
      <c r="H865" s="14"/>
      <c r="I865" s="14"/>
      <c r="J865" s="14"/>
      <c r="K865" s="12"/>
    </row>
    <row r="866" ht="19.5" customHeight="1">
      <c r="A866" s="12"/>
      <c r="C866" s="12"/>
      <c r="D866" s="13"/>
      <c r="F866" s="14"/>
      <c r="G866" s="14"/>
      <c r="H866" s="14"/>
      <c r="I866" s="14"/>
      <c r="J866" s="14"/>
      <c r="K866" s="12"/>
    </row>
    <row r="867" ht="19.5" customHeight="1">
      <c r="A867" s="12"/>
      <c r="C867" s="12"/>
      <c r="D867" s="13"/>
      <c r="F867" s="14"/>
      <c r="G867" s="14"/>
      <c r="H867" s="14"/>
      <c r="I867" s="14"/>
      <c r="J867" s="14"/>
      <c r="K867" s="12"/>
    </row>
    <row r="868" ht="19.5" customHeight="1">
      <c r="A868" s="12"/>
      <c r="C868" s="12"/>
      <c r="D868" s="13"/>
      <c r="F868" s="14"/>
      <c r="G868" s="14"/>
      <c r="H868" s="14"/>
      <c r="I868" s="14"/>
      <c r="J868" s="14"/>
      <c r="K868" s="12"/>
    </row>
    <row r="869" ht="19.5" customHeight="1">
      <c r="A869" s="12"/>
      <c r="C869" s="12"/>
      <c r="D869" s="13"/>
      <c r="F869" s="14"/>
      <c r="G869" s="14"/>
      <c r="H869" s="14"/>
      <c r="I869" s="14"/>
      <c r="J869" s="14"/>
      <c r="K869" s="12"/>
    </row>
    <row r="870" ht="19.5" customHeight="1">
      <c r="A870" s="12"/>
      <c r="C870" s="12"/>
      <c r="D870" s="13"/>
      <c r="F870" s="14"/>
      <c r="G870" s="14"/>
      <c r="H870" s="14"/>
      <c r="I870" s="14"/>
      <c r="J870" s="14"/>
      <c r="K870" s="12"/>
    </row>
    <row r="871" ht="19.5" customHeight="1">
      <c r="A871" s="12"/>
      <c r="C871" s="12"/>
      <c r="D871" s="13"/>
      <c r="F871" s="14"/>
      <c r="G871" s="14"/>
      <c r="H871" s="14"/>
      <c r="I871" s="14"/>
      <c r="J871" s="14"/>
      <c r="K871" s="12"/>
    </row>
    <row r="872" ht="19.5" customHeight="1">
      <c r="A872" s="12"/>
      <c r="C872" s="12"/>
      <c r="D872" s="13"/>
      <c r="F872" s="14"/>
      <c r="G872" s="14"/>
      <c r="H872" s="14"/>
      <c r="I872" s="14"/>
      <c r="J872" s="14"/>
      <c r="K872" s="12"/>
    </row>
    <row r="873" ht="19.5" customHeight="1">
      <c r="A873" s="12"/>
      <c r="C873" s="12"/>
      <c r="D873" s="13"/>
      <c r="F873" s="14"/>
      <c r="G873" s="14"/>
      <c r="H873" s="14"/>
      <c r="I873" s="14"/>
      <c r="J873" s="14"/>
      <c r="K873" s="12"/>
    </row>
    <row r="874" ht="19.5" customHeight="1">
      <c r="A874" s="12"/>
      <c r="C874" s="12"/>
      <c r="D874" s="13"/>
      <c r="F874" s="14"/>
      <c r="G874" s="14"/>
      <c r="H874" s="14"/>
      <c r="I874" s="14"/>
      <c r="J874" s="14"/>
      <c r="K874" s="12"/>
    </row>
    <row r="875" ht="19.5" customHeight="1">
      <c r="A875" s="12"/>
      <c r="C875" s="12"/>
      <c r="D875" s="13"/>
      <c r="F875" s="14"/>
      <c r="G875" s="14"/>
      <c r="H875" s="14"/>
      <c r="I875" s="14"/>
      <c r="J875" s="14"/>
      <c r="K875" s="12"/>
    </row>
    <row r="876" ht="19.5" customHeight="1">
      <c r="A876" s="12"/>
      <c r="C876" s="12"/>
      <c r="D876" s="13"/>
      <c r="F876" s="14"/>
      <c r="G876" s="14"/>
      <c r="H876" s="14"/>
      <c r="I876" s="14"/>
      <c r="J876" s="14"/>
      <c r="K876" s="12"/>
    </row>
    <row r="877" ht="19.5" customHeight="1">
      <c r="A877" s="12"/>
      <c r="C877" s="12"/>
      <c r="D877" s="13"/>
      <c r="F877" s="14"/>
      <c r="G877" s="14"/>
      <c r="H877" s="14"/>
      <c r="I877" s="14"/>
      <c r="J877" s="14"/>
      <c r="K877" s="12"/>
    </row>
    <row r="878" ht="19.5" customHeight="1">
      <c r="A878" s="12"/>
      <c r="C878" s="12"/>
      <c r="D878" s="13"/>
      <c r="F878" s="14"/>
      <c r="G878" s="14"/>
      <c r="H878" s="14"/>
      <c r="I878" s="14"/>
      <c r="J878" s="14"/>
      <c r="K878" s="12"/>
    </row>
    <row r="879" ht="19.5" customHeight="1">
      <c r="A879" s="12"/>
      <c r="C879" s="12"/>
      <c r="D879" s="13"/>
      <c r="F879" s="14"/>
      <c r="G879" s="14"/>
      <c r="H879" s="14"/>
      <c r="I879" s="14"/>
      <c r="J879" s="14"/>
      <c r="K879" s="12"/>
    </row>
    <row r="880" ht="19.5" customHeight="1">
      <c r="A880" s="12"/>
      <c r="C880" s="12"/>
      <c r="D880" s="13"/>
      <c r="F880" s="14"/>
      <c r="G880" s="14"/>
      <c r="H880" s="14"/>
      <c r="I880" s="14"/>
      <c r="J880" s="14"/>
      <c r="K880" s="12"/>
    </row>
    <row r="881" ht="19.5" customHeight="1">
      <c r="A881" s="12"/>
      <c r="C881" s="12"/>
      <c r="D881" s="13"/>
      <c r="F881" s="14"/>
      <c r="G881" s="14"/>
      <c r="H881" s="14"/>
      <c r="I881" s="14"/>
      <c r="J881" s="14"/>
      <c r="K881" s="12"/>
    </row>
    <row r="882" ht="19.5" customHeight="1">
      <c r="A882" s="12"/>
      <c r="C882" s="12"/>
      <c r="D882" s="13"/>
      <c r="F882" s="14"/>
      <c r="G882" s="14"/>
      <c r="H882" s="14"/>
      <c r="I882" s="14"/>
      <c r="J882" s="14"/>
      <c r="K882" s="12"/>
    </row>
    <row r="883" ht="19.5" customHeight="1">
      <c r="A883" s="12"/>
      <c r="C883" s="12"/>
      <c r="D883" s="13"/>
      <c r="F883" s="14"/>
      <c r="G883" s="14"/>
      <c r="H883" s="14"/>
      <c r="I883" s="14"/>
      <c r="J883" s="14"/>
      <c r="K883" s="12"/>
    </row>
    <row r="884" ht="19.5" customHeight="1">
      <c r="A884" s="12"/>
      <c r="C884" s="12"/>
      <c r="D884" s="13"/>
      <c r="F884" s="14"/>
      <c r="G884" s="14"/>
      <c r="H884" s="14"/>
      <c r="I884" s="14"/>
      <c r="J884" s="14"/>
      <c r="K884" s="12"/>
    </row>
    <row r="885" ht="19.5" customHeight="1">
      <c r="A885" s="12"/>
      <c r="C885" s="12"/>
      <c r="D885" s="13"/>
      <c r="F885" s="14"/>
      <c r="G885" s="14"/>
      <c r="H885" s="14"/>
      <c r="I885" s="14"/>
      <c r="J885" s="14"/>
      <c r="K885" s="12"/>
    </row>
    <row r="886" ht="19.5" customHeight="1">
      <c r="A886" s="12"/>
      <c r="C886" s="12"/>
      <c r="D886" s="13"/>
      <c r="F886" s="14"/>
      <c r="G886" s="14"/>
      <c r="H886" s="14"/>
      <c r="I886" s="14"/>
      <c r="J886" s="14"/>
      <c r="K886" s="12"/>
    </row>
    <row r="887" ht="19.5" customHeight="1">
      <c r="A887" s="12"/>
      <c r="C887" s="12"/>
      <c r="D887" s="13"/>
      <c r="F887" s="14"/>
      <c r="G887" s="14"/>
      <c r="H887" s="14"/>
      <c r="I887" s="14"/>
      <c r="J887" s="14"/>
      <c r="K887" s="12"/>
    </row>
    <row r="888" ht="19.5" customHeight="1">
      <c r="A888" s="12"/>
      <c r="C888" s="12"/>
      <c r="D888" s="13"/>
      <c r="F888" s="14"/>
      <c r="G888" s="14"/>
      <c r="H888" s="14"/>
      <c r="I888" s="14"/>
      <c r="J888" s="14"/>
      <c r="K888" s="12"/>
    </row>
    <row r="889" ht="19.5" customHeight="1">
      <c r="A889" s="12"/>
      <c r="C889" s="12"/>
      <c r="D889" s="13"/>
      <c r="F889" s="14"/>
      <c r="G889" s="14"/>
      <c r="H889" s="14"/>
      <c r="I889" s="14"/>
      <c r="J889" s="14"/>
      <c r="K889" s="12"/>
    </row>
    <row r="890" ht="19.5" customHeight="1">
      <c r="A890" s="12"/>
      <c r="C890" s="12"/>
      <c r="D890" s="13"/>
      <c r="F890" s="14"/>
      <c r="G890" s="14"/>
      <c r="H890" s="14"/>
      <c r="I890" s="14"/>
      <c r="J890" s="14"/>
      <c r="K890" s="12"/>
    </row>
    <row r="891" ht="19.5" customHeight="1">
      <c r="A891" s="12"/>
      <c r="C891" s="12"/>
      <c r="D891" s="13"/>
      <c r="F891" s="14"/>
      <c r="G891" s="14"/>
      <c r="H891" s="14"/>
      <c r="I891" s="14"/>
      <c r="J891" s="14"/>
      <c r="K891" s="12"/>
    </row>
    <row r="892" ht="19.5" customHeight="1">
      <c r="A892" s="12"/>
      <c r="C892" s="12"/>
      <c r="D892" s="13"/>
      <c r="F892" s="14"/>
      <c r="G892" s="14"/>
      <c r="H892" s="14"/>
      <c r="I892" s="14"/>
      <c r="J892" s="14"/>
      <c r="K892" s="12"/>
    </row>
    <row r="893" ht="19.5" customHeight="1">
      <c r="A893" s="12"/>
      <c r="C893" s="12"/>
      <c r="D893" s="13"/>
      <c r="F893" s="14"/>
      <c r="G893" s="14"/>
      <c r="H893" s="14"/>
      <c r="I893" s="14"/>
      <c r="J893" s="14"/>
      <c r="K893" s="12"/>
    </row>
    <row r="894" ht="19.5" customHeight="1">
      <c r="A894" s="12"/>
      <c r="C894" s="12"/>
      <c r="D894" s="13"/>
      <c r="F894" s="14"/>
      <c r="G894" s="14"/>
      <c r="H894" s="14"/>
      <c r="I894" s="14"/>
      <c r="J894" s="14"/>
      <c r="K894" s="12"/>
    </row>
    <row r="895" ht="19.5" customHeight="1">
      <c r="A895" s="12"/>
      <c r="C895" s="12"/>
      <c r="D895" s="13"/>
      <c r="F895" s="14"/>
      <c r="G895" s="14"/>
      <c r="H895" s="14"/>
      <c r="I895" s="14"/>
      <c r="J895" s="14"/>
      <c r="K895" s="12"/>
    </row>
    <row r="896" ht="19.5" customHeight="1">
      <c r="A896" s="12"/>
      <c r="C896" s="12"/>
      <c r="D896" s="13"/>
      <c r="F896" s="14"/>
      <c r="G896" s="14"/>
      <c r="H896" s="14"/>
      <c r="I896" s="14"/>
      <c r="J896" s="14"/>
      <c r="K896" s="12"/>
    </row>
    <row r="897" ht="19.5" customHeight="1">
      <c r="A897" s="12"/>
      <c r="C897" s="12"/>
      <c r="D897" s="13"/>
      <c r="F897" s="14"/>
      <c r="G897" s="14"/>
      <c r="H897" s="14"/>
      <c r="I897" s="14"/>
      <c r="J897" s="14"/>
      <c r="K897" s="12"/>
    </row>
    <row r="898" ht="19.5" customHeight="1">
      <c r="A898" s="12"/>
      <c r="C898" s="12"/>
      <c r="D898" s="13"/>
      <c r="F898" s="14"/>
      <c r="G898" s="14"/>
      <c r="H898" s="14"/>
      <c r="I898" s="14"/>
      <c r="J898" s="14"/>
      <c r="K898" s="12"/>
    </row>
    <row r="899" ht="19.5" customHeight="1">
      <c r="A899" s="12"/>
      <c r="C899" s="12"/>
      <c r="D899" s="13"/>
      <c r="F899" s="14"/>
      <c r="G899" s="14"/>
      <c r="H899" s="14"/>
      <c r="I899" s="14"/>
      <c r="J899" s="14"/>
      <c r="K899" s="12"/>
    </row>
    <row r="900" ht="19.5" customHeight="1">
      <c r="A900" s="12"/>
      <c r="C900" s="12"/>
      <c r="D900" s="13"/>
      <c r="F900" s="14"/>
      <c r="G900" s="14"/>
      <c r="H900" s="14"/>
      <c r="I900" s="14"/>
      <c r="J900" s="14"/>
      <c r="K900" s="12"/>
    </row>
    <row r="901" ht="19.5" customHeight="1">
      <c r="A901" s="12"/>
      <c r="C901" s="12"/>
      <c r="D901" s="13"/>
      <c r="F901" s="14"/>
      <c r="G901" s="14"/>
      <c r="H901" s="14"/>
      <c r="I901" s="14"/>
      <c r="J901" s="14"/>
      <c r="K901" s="12"/>
    </row>
    <row r="902" ht="19.5" customHeight="1">
      <c r="A902" s="12"/>
      <c r="C902" s="12"/>
      <c r="D902" s="13"/>
      <c r="F902" s="14"/>
      <c r="G902" s="14"/>
      <c r="H902" s="14"/>
      <c r="I902" s="14"/>
      <c r="J902" s="14"/>
      <c r="K902" s="12"/>
    </row>
    <row r="903" ht="19.5" customHeight="1">
      <c r="A903" s="12"/>
      <c r="C903" s="12"/>
      <c r="D903" s="13"/>
      <c r="F903" s="14"/>
      <c r="G903" s="14"/>
      <c r="H903" s="14"/>
      <c r="I903" s="14"/>
      <c r="J903" s="14"/>
      <c r="K903" s="12"/>
    </row>
    <row r="904" ht="19.5" customHeight="1">
      <c r="A904" s="12"/>
      <c r="C904" s="12"/>
      <c r="D904" s="13"/>
      <c r="F904" s="14"/>
      <c r="G904" s="14"/>
      <c r="H904" s="14"/>
      <c r="I904" s="14"/>
      <c r="J904" s="14"/>
      <c r="K904" s="12"/>
    </row>
    <row r="905" ht="19.5" customHeight="1">
      <c r="A905" s="12"/>
      <c r="C905" s="12"/>
      <c r="D905" s="13"/>
      <c r="F905" s="14"/>
      <c r="G905" s="14"/>
      <c r="H905" s="14"/>
      <c r="I905" s="14"/>
      <c r="J905" s="14"/>
      <c r="K905" s="12"/>
    </row>
    <row r="906" ht="19.5" customHeight="1">
      <c r="A906" s="12"/>
      <c r="C906" s="12"/>
      <c r="D906" s="13"/>
      <c r="F906" s="14"/>
      <c r="G906" s="14"/>
      <c r="H906" s="14"/>
      <c r="I906" s="14"/>
      <c r="J906" s="14"/>
      <c r="K906" s="12"/>
    </row>
    <row r="907" ht="19.5" customHeight="1">
      <c r="A907" s="12"/>
      <c r="C907" s="12"/>
      <c r="D907" s="13"/>
      <c r="F907" s="14"/>
      <c r="G907" s="14"/>
      <c r="H907" s="14"/>
      <c r="I907" s="14"/>
      <c r="J907" s="14"/>
      <c r="K907" s="12"/>
    </row>
    <row r="908" ht="19.5" customHeight="1">
      <c r="A908" s="12"/>
      <c r="C908" s="12"/>
      <c r="D908" s="13"/>
      <c r="F908" s="14"/>
      <c r="G908" s="14"/>
      <c r="H908" s="14"/>
      <c r="I908" s="14"/>
      <c r="J908" s="14"/>
      <c r="K908" s="12"/>
    </row>
    <row r="909" ht="19.5" customHeight="1">
      <c r="A909" s="12"/>
      <c r="C909" s="12"/>
      <c r="D909" s="13"/>
      <c r="F909" s="14"/>
      <c r="G909" s="14"/>
      <c r="H909" s="14"/>
      <c r="I909" s="14"/>
      <c r="J909" s="14"/>
      <c r="K909" s="12"/>
    </row>
    <row r="910" ht="19.5" customHeight="1">
      <c r="A910" s="12"/>
      <c r="C910" s="12"/>
      <c r="D910" s="13"/>
      <c r="F910" s="14"/>
      <c r="G910" s="14"/>
      <c r="H910" s="14"/>
      <c r="I910" s="14"/>
      <c r="J910" s="14"/>
      <c r="K910" s="12"/>
    </row>
    <row r="911" ht="19.5" customHeight="1">
      <c r="A911" s="12"/>
      <c r="C911" s="12"/>
      <c r="D911" s="13"/>
      <c r="F911" s="14"/>
      <c r="G911" s="14"/>
      <c r="H911" s="14"/>
      <c r="I911" s="14"/>
      <c r="J911" s="14"/>
      <c r="K911" s="12"/>
    </row>
    <row r="912" ht="19.5" customHeight="1">
      <c r="A912" s="12"/>
      <c r="C912" s="12"/>
      <c r="D912" s="13"/>
      <c r="F912" s="14"/>
      <c r="G912" s="14"/>
      <c r="H912" s="14"/>
      <c r="I912" s="14"/>
      <c r="J912" s="14"/>
      <c r="K912" s="12"/>
    </row>
    <row r="913" ht="19.5" customHeight="1">
      <c r="A913" s="12"/>
      <c r="C913" s="12"/>
      <c r="D913" s="13"/>
      <c r="F913" s="14"/>
      <c r="G913" s="14"/>
      <c r="H913" s="14"/>
      <c r="I913" s="14"/>
      <c r="J913" s="14"/>
      <c r="K913" s="12"/>
    </row>
    <row r="914" ht="19.5" customHeight="1">
      <c r="A914" s="12"/>
      <c r="C914" s="12"/>
      <c r="D914" s="13"/>
      <c r="F914" s="14"/>
      <c r="G914" s="14"/>
      <c r="H914" s="14"/>
      <c r="I914" s="14"/>
      <c r="J914" s="14"/>
      <c r="K914" s="12"/>
    </row>
    <row r="915" ht="19.5" customHeight="1">
      <c r="A915" s="12"/>
      <c r="C915" s="12"/>
      <c r="D915" s="13"/>
      <c r="F915" s="14"/>
      <c r="G915" s="14"/>
      <c r="H915" s="14"/>
      <c r="I915" s="14"/>
      <c r="J915" s="14"/>
      <c r="K915" s="12"/>
    </row>
    <row r="916" ht="19.5" customHeight="1">
      <c r="A916" s="12"/>
      <c r="C916" s="12"/>
      <c r="D916" s="13"/>
      <c r="F916" s="14"/>
      <c r="G916" s="14"/>
      <c r="H916" s="14"/>
      <c r="I916" s="14"/>
      <c r="J916" s="14"/>
      <c r="K916" s="12"/>
    </row>
    <row r="917" ht="19.5" customHeight="1">
      <c r="A917" s="12"/>
      <c r="C917" s="12"/>
      <c r="D917" s="13"/>
      <c r="F917" s="14"/>
      <c r="G917" s="14"/>
      <c r="H917" s="14"/>
      <c r="I917" s="14"/>
      <c r="J917" s="14"/>
      <c r="K917" s="12"/>
    </row>
    <row r="918" ht="19.5" customHeight="1">
      <c r="A918" s="12"/>
      <c r="C918" s="12"/>
      <c r="D918" s="13"/>
      <c r="F918" s="14"/>
      <c r="G918" s="14"/>
      <c r="H918" s="14"/>
      <c r="I918" s="14"/>
      <c r="J918" s="14"/>
      <c r="K918" s="12"/>
    </row>
    <row r="919" ht="19.5" customHeight="1">
      <c r="A919" s="12"/>
      <c r="C919" s="12"/>
      <c r="D919" s="13"/>
      <c r="F919" s="14"/>
      <c r="G919" s="14"/>
      <c r="H919" s="14"/>
      <c r="I919" s="14"/>
      <c r="J919" s="14"/>
      <c r="K919" s="12"/>
    </row>
    <row r="920" ht="19.5" customHeight="1">
      <c r="A920" s="12"/>
      <c r="C920" s="12"/>
      <c r="D920" s="13"/>
      <c r="F920" s="14"/>
      <c r="G920" s="14"/>
      <c r="H920" s="14"/>
      <c r="I920" s="14"/>
      <c r="J920" s="14"/>
      <c r="K920" s="12"/>
    </row>
    <row r="921" ht="19.5" customHeight="1">
      <c r="A921" s="12"/>
      <c r="C921" s="12"/>
      <c r="D921" s="13"/>
      <c r="F921" s="14"/>
      <c r="G921" s="14"/>
      <c r="H921" s="14"/>
      <c r="I921" s="14"/>
      <c r="J921" s="14"/>
      <c r="K921" s="12"/>
    </row>
    <row r="922" ht="19.5" customHeight="1">
      <c r="A922" s="12"/>
      <c r="C922" s="12"/>
      <c r="D922" s="13"/>
      <c r="F922" s="14"/>
      <c r="G922" s="14"/>
      <c r="H922" s="14"/>
      <c r="I922" s="14"/>
      <c r="J922" s="14"/>
      <c r="K922" s="12"/>
    </row>
    <row r="923" ht="19.5" customHeight="1">
      <c r="A923" s="12"/>
      <c r="C923" s="12"/>
      <c r="D923" s="13"/>
      <c r="F923" s="14"/>
      <c r="G923" s="14"/>
      <c r="H923" s="14"/>
      <c r="I923" s="14"/>
      <c r="J923" s="14"/>
      <c r="K923" s="12"/>
    </row>
    <row r="924" ht="19.5" customHeight="1">
      <c r="A924" s="12"/>
      <c r="C924" s="12"/>
      <c r="D924" s="13"/>
      <c r="F924" s="14"/>
      <c r="G924" s="14"/>
      <c r="H924" s="14"/>
      <c r="I924" s="14"/>
      <c r="J924" s="14"/>
      <c r="K924" s="12"/>
    </row>
    <row r="925" ht="19.5" customHeight="1">
      <c r="A925" s="12"/>
      <c r="C925" s="12"/>
      <c r="D925" s="13"/>
      <c r="F925" s="14"/>
      <c r="G925" s="14"/>
      <c r="H925" s="14"/>
      <c r="I925" s="14"/>
      <c r="J925" s="14"/>
      <c r="K925" s="12"/>
    </row>
    <row r="926" ht="19.5" customHeight="1">
      <c r="A926" s="12"/>
      <c r="C926" s="12"/>
      <c r="D926" s="13"/>
      <c r="F926" s="14"/>
      <c r="G926" s="14"/>
      <c r="H926" s="14"/>
      <c r="I926" s="14"/>
      <c r="J926" s="14"/>
      <c r="K926" s="12"/>
    </row>
    <row r="927" ht="19.5" customHeight="1">
      <c r="A927" s="12"/>
      <c r="C927" s="12"/>
      <c r="D927" s="13"/>
      <c r="F927" s="14"/>
      <c r="G927" s="14"/>
      <c r="H927" s="14"/>
      <c r="I927" s="14"/>
      <c r="J927" s="14"/>
      <c r="K927" s="12"/>
    </row>
    <row r="928" ht="19.5" customHeight="1">
      <c r="A928" s="12"/>
      <c r="C928" s="12"/>
      <c r="D928" s="13"/>
      <c r="F928" s="14"/>
      <c r="G928" s="14"/>
      <c r="H928" s="14"/>
      <c r="I928" s="14"/>
      <c r="J928" s="14"/>
      <c r="K928" s="12"/>
    </row>
    <row r="929" ht="19.5" customHeight="1">
      <c r="A929" s="12"/>
      <c r="C929" s="12"/>
      <c r="D929" s="13"/>
      <c r="F929" s="14"/>
      <c r="G929" s="14"/>
      <c r="H929" s="14"/>
      <c r="I929" s="14"/>
      <c r="J929" s="14"/>
      <c r="K929" s="12"/>
    </row>
    <row r="930" ht="19.5" customHeight="1">
      <c r="A930" s="12"/>
      <c r="C930" s="12"/>
      <c r="D930" s="13"/>
      <c r="F930" s="14"/>
      <c r="G930" s="14"/>
      <c r="H930" s="14"/>
      <c r="I930" s="14"/>
      <c r="J930" s="14"/>
      <c r="K930" s="12"/>
    </row>
    <row r="931" ht="19.5" customHeight="1">
      <c r="A931" s="12"/>
      <c r="C931" s="12"/>
      <c r="D931" s="13"/>
      <c r="F931" s="14"/>
      <c r="G931" s="14"/>
      <c r="H931" s="14"/>
      <c r="I931" s="14"/>
      <c r="J931" s="14"/>
      <c r="K931" s="12"/>
    </row>
    <row r="932" ht="19.5" customHeight="1">
      <c r="A932" s="12"/>
      <c r="C932" s="12"/>
      <c r="D932" s="13"/>
      <c r="F932" s="14"/>
      <c r="G932" s="14"/>
      <c r="H932" s="14"/>
      <c r="I932" s="14"/>
      <c r="J932" s="14"/>
      <c r="K932" s="12"/>
    </row>
    <row r="933" ht="19.5" customHeight="1">
      <c r="A933" s="12"/>
      <c r="C933" s="12"/>
      <c r="D933" s="13"/>
      <c r="F933" s="14"/>
      <c r="G933" s="14"/>
      <c r="H933" s="14"/>
      <c r="I933" s="14"/>
      <c r="J933" s="14"/>
      <c r="K933" s="12"/>
    </row>
    <row r="934" ht="19.5" customHeight="1">
      <c r="A934" s="12"/>
      <c r="C934" s="12"/>
      <c r="D934" s="13"/>
      <c r="F934" s="14"/>
      <c r="G934" s="14"/>
      <c r="H934" s="14"/>
      <c r="I934" s="14"/>
      <c r="J934" s="14"/>
      <c r="K934" s="12"/>
    </row>
    <row r="935" ht="19.5" customHeight="1">
      <c r="A935" s="12"/>
      <c r="C935" s="12"/>
      <c r="D935" s="13"/>
      <c r="F935" s="14"/>
      <c r="G935" s="14"/>
      <c r="H935" s="14"/>
      <c r="I935" s="14"/>
      <c r="J935" s="14"/>
      <c r="K935" s="12"/>
    </row>
    <row r="936" ht="19.5" customHeight="1">
      <c r="A936" s="12"/>
      <c r="C936" s="12"/>
      <c r="D936" s="13"/>
      <c r="F936" s="14"/>
      <c r="G936" s="14"/>
      <c r="H936" s="14"/>
      <c r="I936" s="14"/>
      <c r="J936" s="14"/>
      <c r="K936" s="12"/>
    </row>
    <row r="937" ht="19.5" customHeight="1">
      <c r="A937" s="12"/>
      <c r="C937" s="12"/>
      <c r="D937" s="13"/>
      <c r="F937" s="14"/>
      <c r="G937" s="14"/>
      <c r="H937" s="14"/>
      <c r="I937" s="14"/>
      <c r="J937" s="14"/>
      <c r="K937" s="12"/>
    </row>
    <row r="938" ht="19.5" customHeight="1">
      <c r="A938" s="12"/>
      <c r="C938" s="12"/>
      <c r="D938" s="13"/>
      <c r="F938" s="14"/>
      <c r="G938" s="14"/>
      <c r="H938" s="14"/>
      <c r="I938" s="14"/>
      <c r="J938" s="14"/>
      <c r="K938" s="12"/>
    </row>
    <row r="939" ht="19.5" customHeight="1">
      <c r="A939" s="12"/>
      <c r="C939" s="12"/>
      <c r="D939" s="13"/>
      <c r="F939" s="14"/>
      <c r="G939" s="14"/>
      <c r="H939" s="14"/>
      <c r="I939" s="14"/>
      <c r="J939" s="14"/>
      <c r="K939" s="12"/>
    </row>
    <row r="940" ht="19.5" customHeight="1">
      <c r="A940" s="12"/>
      <c r="C940" s="12"/>
      <c r="D940" s="13"/>
      <c r="F940" s="14"/>
      <c r="G940" s="14"/>
      <c r="H940" s="14"/>
      <c r="I940" s="14"/>
      <c r="J940" s="14"/>
      <c r="K940" s="12"/>
    </row>
    <row r="941" ht="19.5" customHeight="1">
      <c r="A941" s="12"/>
      <c r="C941" s="12"/>
      <c r="D941" s="13"/>
      <c r="F941" s="14"/>
      <c r="G941" s="14"/>
      <c r="H941" s="14"/>
      <c r="I941" s="14"/>
      <c r="J941" s="14"/>
      <c r="K941" s="12"/>
    </row>
    <row r="942" ht="19.5" customHeight="1">
      <c r="A942" s="12"/>
      <c r="C942" s="12"/>
      <c r="D942" s="13"/>
      <c r="F942" s="14"/>
      <c r="G942" s="14"/>
      <c r="H942" s="14"/>
      <c r="I942" s="14"/>
      <c r="J942" s="14"/>
      <c r="K942" s="12"/>
    </row>
    <row r="943" ht="19.5" customHeight="1">
      <c r="A943" s="12"/>
      <c r="C943" s="12"/>
      <c r="D943" s="13"/>
      <c r="F943" s="14"/>
      <c r="G943" s="14"/>
      <c r="H943" s="14"/>
      <c r="I943" s="14"/>
      <c r="J943" s="14"/>
      <c r="K943" s="12"/>
    </row>
    <row r="944" ht="19.5" customHeight="1">
      <c r="A944" s="12"/>
      <c r="C944" s="12"/>
      <c r="D944" s="13"/>
      <c r="F944" s="14"/>
      <c r="G944" s="14"/>
      <c r="H944" s="14"/>
      <c r="I944" s="14"/>
      <c r="J944" s="14"/>
      <c r="K944" s="12"/>
    </row>
    <row r="945" ht="19.5" customHeight="1">
      <c r="A945" s="12"/>
      <c r="C945" s="12"/>
      <c r="D945" s="13"/>
      <c r="F945" s="14"/>
      <c r="G945" s="14"/>
      <c r="H945" s="14"/>
      <c r="I945" s="14"/>
      <c r="J945" s="14"/>
      <c r="K945" s="12"/>
    </row>
    <row r="946" ht="19.5" customHeight="1">
      <c r="A946" s="12"/>
      <c r="C946" s="12"/>
      <c r="D946" s="13"/>
      <c r="F946" s="14"/>
      <c r="G946" s="14"/>
      <c r="H946" s="14"/>
      <c r="I946" s="14"/>
      <c r="J946" s="14"/>
      <c r="K946" s="12"/>
    </row>
    <row r="947" ht="19.5" customHeight="1">
      <c r="A947" s="12"/>
      <c r="C947" s="12"/>
      <c r="D947" s="13"/>
      <c r="F947" s="14"/>
      <c r="G947" s="14"/>
      <c r="H947" s="14"/>
      <c r="I947" s="14"/>
      <c r="J947" s="14"/>
      <c r="K947" s="12"/>
    </row>
    <row r="948" ht="19.5" customHeight="1">
      <c r="A948" s="12"/>
      <c r="C948" s="12"/>
      <c r="D948" s="13"/>
      <c r="F948" s="14"/>
      <c r="G948" s="14"/>
      <c r="H948" s="14"/>
      <c r="I948" s="14"/>
      <c r="J948" s="14"/>
      <c r="K948" s="12"/>
    </row>
    <row r="949" ht="19.5" customHeight="1">
      <c r="A949" s="12"/>
      <c r="C949" s="12"/>
      <c r="D949" s="13"/>
      <c r="F949" s="14"/>
      <c r="G949" s="14"/>
      <c r="H949" s="14"/>
      <c r="I949" s="14"/>
      <c r="J949" s="14"/>
      <c r="K949" s="12"/>
    </row>
    <row r="950" ht="19.5" customHeight="1">
      <c r="A950" s="12"/>
      <c r="C950" s="12"/>
      <c r="D950" s="13"/>
      <c r="F950" s="14"/>
      <c r="G950" s="14"/>
      <c r="H950" s="14"/>
      <c r="I950" s="14"/>
      <c r="J950" s="14"/>
      <c r="K950" s="12"/>
    </row>
    <row r="951" ht="19.5" customHeight="1">
      <c r="A951" s="12"/>
      <c r="C951" s="12"/>
      <c r="D951" s="13"/>
      <c r="F951" s="14"/>
      <c r="G951" s="14"/>
      <c r="H951" s="14"/>
      <c r="I951" s="14"/>
      <c r="J951" s="14"/>
      <c r="K951" s="12"/>
    </row>
    <row r="952" ht="19.5" customHeight="1">
      <c r="A952" s="12"/>
      <c r="C952" s="12"/>
      <c r="D952" s="13"/>
      <c r="F952" s="14"/>
      <c r="G952" s="14"/>
      <c r="H952" s="14"/>
      <c r="I952" s="14"/>
      <c r="J952" s="14"/>
      <c r="K952" s="12"/>
    </row>
    <row r="953" ht="19.5" customHeight="1">
      <c r="A953" s="12"/>
      <c r="C953" s="12"/>
      <c r="D953" s="13"/>
      <c r="F953" s="14"/>
      <c r="G953" s="14"/>
      <c r="H953" s="14"/>
      <c r="I953" s="14"/>
      <c r="J953" s="14"/>
      <c r="K953" s="12"/>
    </row>
    <row r="954" ht="19.5" customHeight="1">
      <c r="A954" s="12"/>
      <c r="C954" s="12"/>
      <c r="D954" s="13"/>
      <c r="F954" s="14"/>
      <c r="G954" s="14"/>
      <c r="H954" s="14"/>
      <c r="I954" s="14"/>
      <c r="J954" s="14"/>
      <c r="K954" s="12"/>
    </row>
    <row r="955" ht="19.5" customHeight="1">
      <c r="A955" s="12"/>
      <c r="C955" s="12"/>
      <c r="D955" s="13"/>
      <c r="F955" s="14"/>
      <c r="G955" s="14"/>
      <c r="H955" s="14"/>
      <c r="I955" s="14"/>
      <c r="J955" s="14"/>
      <c r="K955" s="12"/>
    </row>
    <row r="956" ht="19.5" customHeight="1">
      <c r="A956" s="12"/>
      <c r="C956" s="12"/>
      <c r="D956" s="13"/>
      <c r="F956" s="14"/>
      <c r="G956" s="14"/>
      <c r="H956" s="14"/>
      <c r="I956" s="14"/>
      <c r="J956" s="14"/>
      <c r="K956" s="12"/>
    </row>
    <row r="957" ht="19.5" customHeight="1">
      <c r="A957" s="12"/>
      <c r="C957" s="12"/>
      <c r="D957" s="13"/>
      <c r="F957" s="14"/>
      <c r="G957" s="14"/>
      <c r="H957" s="14"/>
      <c r="I957" s="14"/>
      <c r="J957" s="14"/>
      <c r="K957" s="12"/>
    </row>
    <row r="958" ht="19.5" customHeight="1">
      <c r="A958" s="12"/>
      <c r="C958" s="12"/>
      <c r="D958" s="13"/>
      <c r="F958" s="14"/>
      <c r="G958" s="14"/>
      <c r="H958" s="14"/>
      <c r="I958" s="14"/>
      <c r="J958" s="14"/>
      <c r="K958" s="12"/>
    </row>
    <row r="959" ht="19.5" customHeight="1">
      <c r="A959" s="12"/>
      <c r="C959" s="12"/>
      <c r="D959" s="13"/>
      <c r="F959" s="14"/>
      <c r="G959" s="14"/>
      <c r="H959" s="14"/>
      <c r="I959" s="14"/>
      <c r="J959" s="14"/>
      <c r="K959" s="12"/>
    </row>
    <row r="960" ht="19.5" customHeight="1">
      <c r="A960" s="12"/>
      <c r="C960" s="12"/>
      <c r="D960" s="13"/>
      <c r="F960" s="14"/>
      <c r="G960" s="14"/>
      <c r="H960" s="14"/>
      <c r="I960" s="14"/>
      <c r="J960" s="14"/>
      <c r="K960" s="12"/>
    </row>
    <row r="961" ht="19.5" customHeight="1">
      <c r="A961" s="12"/>
      <c r="C961" s="12"/>
      <c r="D961" s="13"/>
      <c r="F961" s="14"/>
      <c r="G961" s="14"/>
      <c r="H961" s="14"/>
      <c r="I961" s="14"/>
      <c r="J961" s="14"/>
      <c r="K961" s="12"/>
    </row>
    <row r="962" ht="19.5" customHeight="1">
      <c r="A962" s="12"/>
      <c r="C962" s="12"/>
      <c r="D962" s="13"/>
      <c r="F962" s="14"/>
      <c r="G962" s="14"/>
      <c r="H962" s="14"/>
      <c r="I962" s="14"/>
      <c r="J962" s="14"/>
      <c r="K962" s="12"/>
    </row>
    <row r="963" ht="19.5" customHeight="1">
      <c r="A963" s="12"/>
      <c r="C963" s="12"/>
      <c r="D963" s="13"/>
      <c r="F963" s="14"/>
      <c r="G963" s="14"/>
      <c r="H963" s="14"/>
      <c r="I963" s="14"/>
      <c r="J963" s="14"/>
      <c r="K963" s="12"/>
    </row>
    <row r="964" ht="19.5" customHeight="1">
      <c r="A964" s="12"/>
      <c r="C964" s="12"/>
      <c r="D964" s="13"/>
      <c r="F964" s="14"/>
      <c r="G964" s="14"/>
      <c r="H964" s="14"/>
      <c r="I964" s="14"/>
      <c r="J964" s="14"/>
      <c r="K964" s="12"/>
    </row>
    <row r="965" ht="19.5" customHeight="1">
      <c r="A965" s="12"/>
      <c r="C965" s="12"/>
      <c r="D965" s="13"/>
      <c r="F965" s="14"/>
      <c r="G965" s="14"/>
      <c r="H965" s="14"/>
      <c r="I965" s="14"/>
      <c r="J965" s="14"/>
      <c r="K965" s="12"/>
    </row>
    <row r="966" ht="19.5" customHeight="1">
      <c r="A966" s="12"/>
      <c r="C966" s="12"/>
      <c r="D966" s="13"/>
      <c r="F966" s="14"/>
      <c r="G966" s="14"/>
      <c r="H966" s="14"/>
      <c r="I966" s="14"/>
      <c r="J966" s="14"/>
      <c r="K966" s="12"/>
    </row>
    <row r="967" ht="19.5" customHeight="1">
      <c r="A967" s="12"/>
      <c r="C967" s="12"/>
      <c r="D967" s="13"/>
      <c r="F967" s="14"/>
      <c r="G967" s="14"/>
      <c r="H967" s="14"/>
      <c r="I967" s="14"/>
      <c r="J967" s="14"/>
      <c r="K967" s="12"/>
    </row>
    <row r="968" ht="19.5" customHeight="1">
      <c r="A968" s="12"/>
      <c r="C968" s="12"/>
      <c r="D968" s="13"/>
      <c r="F968" s="14"/>
      <c r="G968" s="14"/>
      <c r="H968" s="14"/>
      <c r="I968" s="14"/>
      <c r="J968" s="14"/>
      <c r="K968" s="12"/>
    </row>
    <row r="969" ht="19.5" customHeight="1">
      <c r="A969" s="12"/>
      <c r="C969" s="12"/>
      <c r="D969" s="13"/>
      <c r="F969" s="14"/>
      <c r="G969" s="14"/>
      <c r="H969" s="14"/>
      <c r="I969" s="14"/>
      <c r="J969" s="14"/>
      <c r="K969" s="12"/>
    </row>
    <row r="970" ht="19.5" customHeight="1">
      <c r="A970" s="12"/>
      <c r="C970" s="12"/>
      <c r="D970" s="13"/>
      <c r="F970" s="14"/>
      <c r="G970" s="14"/>
      <c r="H970" s="14"/>
      <c r="I970" s="14"/>
      <c r="J970" s="14"/>
      <c r="K970" s="12"/>
    </row>
    <row r="971" ht="19.5" customHeight="1">
      <c r="A971" s="12"/>
      <c r="C971" s="12"/>
      <c r="D971" s="13"/>
      <c r="F971" s="14"/>
      <c r="G971" s="14"/>
      <c r="H971" s="14"/>
      <c r="I971" s="14"/>
      <c r="J971" s="14"/>
      <c r="K971" s="12"/>
    </row>
    <row r="972" ht="19.5" customHeight="1">
      <c r="A972" s="12"/>
      <c r="C972" s="12"/>
      <c r="D972" s="13"/>
      <c r="F972" s="14"/>
      <c r="G972" s="14"/>
      <c r="H972" s="14"/>
      <c r="I972" s="14"/>
      <c r="J972" s="14"/>
      <c r="K972" s="12"/>
    </row>
    <row r="973" ht="19.5" customHeight="1">
      <c r="A973" s="12"/>
      <c r="C973" s="12"/>
      <c r="D973" s="13"/>
      <c r="F973" s="14"/>
      <c r="G973" s="14"/>
      <c r="H973" s="14"/>
      <c r="I973" s="14"/>
      <c r="J973" s="14"/>
      <c r="K973" s="12"/>
    </row>
    <row r="974" ht="19.5" customHeight="1">
      <c r="A974" s="12"/>
      <c r="C974" s="12"/>
      <c r="D974" s="13"/>
      <c r="F974" s="14"/>
      <c r="G974" s="14"/>
      <c r="H974" s="14"/>
      <c r="I974" s="14"/>
      <c r="J974" s="14"/>
      <c r="K974" s="12"/>
    </row>
    <row r="975" ht="19.5" customHeight="1">
      <c r="A975" s="12"/>
      <c r="C975" s="12"/>
      <c r="D975" s="13"/>
      <c r="F975" s="14"/>
      <c r="G975" s="14"/>
      <c r="H975" s="14"/>
      <c r="I975" s="14"/>
      <c r="J975" s="14"/>
      <c r="K975" s="12"/>
    </row>
    <row r="976" ht="19.5" customHeight="1">
      <c r="A976" s="12"/>
      <c r="C976" s="12"/>
      <c r="D976" s="13"/>
      <c r="F976" s="14"/>
      <c r="G976" s="14"/>
      <c r="H976" s="14"/>
      <c r="I976" s="14"/>
      <c r="J976" s="14"/>
      <c r="K976" s="12"/>
    </row>
    <row r="977" ht="19.5" customHeight="1">
      <c r="A977" s="12"/>
      <c r="C977" s="12"/>
      <c r="D977" s="13"/>
      <c r="F977" s="14"/>
      <c r="G977" s="14"/>
      <c r="H977" s="14"/>
      <c r="I977" s="14"/>
      <c r="J977" s="14"/>
      <c r="K977" s="12"/>
    </row>
    <row r="978" ht="19.5" customHeight="1">
      <c r="A978" s="12"/>
      <c r="C978" s="12"/>
      <c r="D978" s="13"/>
      <c r="F978" s="14"/>
      <c r="G978" s="14"/>
      <c r="H978" s="14"/>
      <c r="I978" s="14"/>
      <c r="J978" s="14"/>
      <c r="K978" s="12"/>
    </row>
    <row r="979" ht="19.5" customHeight="1">
      <c r="A979" s="12"/>
      <c r="C979" s="12"/>
      <c r="D979" s="13"/>
      <c r="F979" s="14"/>
      <c r="G979" s="14"/>
      <c r="H979" s="14"/>
      <c r="I979" s="14"/>
      <c r="J979" s="14"/>
      <c r="K979" s="12"/>
    </row>
    <row r="980" ht="19.5" customHeight="1">
      <c r="A980" s="12"/>
      <c r="C980" s="12"/>
      <c r="D980" s="13"/>
      <c r="F980" s="14"/>
      <c r="G980" s="14"/>
      <c r="H980" s="14"/>
      <c r="I980" s="14"/>
      <c r="J980" s="14"/>
      <c r="K980" s="12"/>
    </row>
    <row r="981" ht="19.5" customHeight="1">
      <c r="A981" s="12"/>
      <c r="C981" s="12"/>
      <c r="D981" s="13"/>
      <c r="F981" s="14"/>
      <c r="G981" s="14"/>
      <c r="H981" s="14"/>
      <c r="I981" s="14"/>
      <c r="J981" s="14"/>
      <c r="K981" s="12"/>
    </row>
    <row r="982" ht="19.5" customHeight="1">
      <c r="A982" s="12"/>
      <c r="C982" s="12"/>
      <c r="D982" s="13"/>
      <c r="F982" s="14"/>
      <c r="G982" s="14"/>
      <c r="H982" s="14"/>
      <c r="I982" s="14"/>
      <c r="J982" s="14"/>
      <c r="K982" s="12"/>
    </row>
    <row r="983" ht="19.5" customHeight="1">
      <c r="A983" s="12"/>
      <c r="C983" s="12"/>
      <c r="D983" s="13"/>
      <c r="F983" s="14"/>
      <c r="G983" s="14"/>
      <c r="H983" s="14"/>
      <c r="I983" s="14"/>
      <c r="J983" s="14"/>
      <c r="K983" s="12"/>
    </row>
    <row r="984" ht="19.5" customHeight="1">
      <c r="A984" s="12"/>
      <c r="C984" s="12"/>
      <c r="D984" s="13"/>
      <c r="F984" s="14"/>
      <c r="G984" s="14"/>
      <c r="H984" s="14"/>
      <c r="I984" s="14"/>
      <c r="J984" s="14"/>
      <c r="K984" s="12"/>
    </row>
    <row r="985" ht="19.5" customHeight="1">
      <c r="A985" s="12"/>
      <c r="C985" s="12"/>
      <c r="D985" s="13"/>
      <c r="F985" s="14"/>
      <c r="G985" s="14"/>
      <c r="H985" s="14"/>
      <c r="I985" s="14"/>
      <c r="J985" s="14"/>
      <c r="K985" s="12"/>
    </row>
    <row r="986" ht="19.5" customHeight="1">
      <c r="A986" s="12"/>
      <c r="C986" s="12"/>
      <c r="D986" s="13"/>
      <c r="F986" s="14"/>
      <c r="G986" s="14"/>
      <c r="H986" s="14"/>
      <c r="I986" s="14"/>
      <c r="J986" s="14"/>
      <c r="K986" s="12"/>
    </row>
    <row r="987" ht="19.5" customHeight="1">
      <c r="A987" s="12"/>
      <c r="C987" s="12"/>
      <c r="D987" s="13"/>
      <c r="F987" s="14"/>
      <c r="G987" s="14"/>
      <c r="H987" s="14"/>
      <c r="I987" s="14"/>
      <c r="J987" s="14"/>
      <c r="K987" s="12"/>
    </row>
    <row r="988" ht="19.5" customHeight="1">
      <c r="A988" s="12"/>
      <c r="C988" s="12"/>
      <c r="D988" s="13"/>
      <c r="F988" s="14"/>
      <c r="G988" s="14"/>
      <c r="H988" s="14"/>
      <c r="I988" s="14"/>
      <c r="J988" s="14"/>
      <c r="K988" s="12"/>
    </row>
    <row r="989" ht="19.5" customHeight="1">
      <c r="A989" s="12"/>
      <c r="C989" s="12"/>
      <c r="D989" s="13"/>
      <c r="F989" s="14"/>
      <c r="G989" s="14"/>
      <c r="H989" s="14"/>
      <c r="I989" s="14"/>
      <c r="J989" s="14"/>
      <c r="K989" s="12"/>
    </row>
    <row r="990" ht="19.5" customHeight="1">
      <c r="A990" s="12"/>
      <c r="C990" s="12"/>
      <c r="D990" s="13"/>
      <c r="F990" s="14"/>
      <c r="G990" s="14"/>
      <c r="H990" s="14"/>
      <c r="I990" s="14"/>
      <c r="J990" s="14"/>
      <c r="K990" s="12"/>
    </row>
    <row r="991" ht="19.5" customHeight="1">
      <c r="A991" s="12"/>
      <c r="C991" s="12"/>
      <c r="D991" s="13"/>
      <c r="F991" s="14"/>
      <c r="G991" s="14"/>
      <c r="H991" s="14"/>
      <c r="I991" s="14"/>
      <c r="J991" s="14"/>
      <c r="K991" s="12"/>
    </row>
    <row r="992" ht="19.5" customHeight="1">
      <c r="A992" s="12"/>
      <c r="C992" s="12"/>
      <c r="D992" s="13"/>
      <c r="F992" s="14"/>
      <c r="G992" s="14"/>
      <c r="H992" s="14"/>
      <c r="I992" s="14"/>
      <c r="J992" s="14"/>
      <c r="K992" s="12"/>
    </row>
    <row r="993" ht="19.5" customHeight="1">
      <c r="A993" s="12"/>
      <c r="C993" s="12"/>
      <c r="D993" s="13"/>
      <c r="F993" s="14"/>
      <c r="G993" s="14"/>
      <c r="H993" s="14"/>
      <c r="I993" s="14"/>
      <c r="J993" s="14"/>
      <c r="K993" s="12"/>
    </row>
    <row r="994" ht="19.5" customHeight="1">
      <c r="A994" s="12"/>
      <c r="C994" s="12"/>
      <c r="D994" s="13"/>
      <c r="F994" s="14"/>
      <c r="G994" s="14"/>
      <c r="H994" s="14"/>
      <c r="I994" s="14"/>
      <c r="J994" s="14"/>
      <c r="K994" s="12"/>
    </row>
    <row r="995" ht="19.5" customHeight="1">
      <c r="A995" s="12"/>
      <c r="C995" s="12"/>
      <c r="D995" s="13"/>
      <c r="F995" s="14"/>
      <c r="G995" s="14"/>
      <c r="H995" s="14"/>
      <c r="I995" s="14"/>
      <c r="J995" s="14"/>
      <c r="K995" s="12"/>
    </row>
    <row r="996" ht="19.5" customHeight="1">
      <c r="A996" s="12"/>
      <c r="C996" s="12"/>
      <c r="D996" s="13"/>
      <c r="F996" s="14"/>
      <c r="G996" s="14"/>
      <c r="H996" s="14"/>
      <c r="I996" s="14"/>
      <c r="J996" s="14"/>
      <c r="K996" s="12"/>
    </row>
    <row r="997" ht="19.5" customHeight="1">
      <c r="A997" s="12"/>
      <c r="C997" s="12"/>
      <c r="D997" s="13"/>
      <c r="F997" s="14"/>
      <c r="G997" s="14"/>
      <c r="H997" s="14"/>
      <c r="I997" s="14"/>
      <c r="J997" s="14"/>
      <c r="K997" s="12"/>
    </row>
    <row r="998" ht="19.5" customHeight="1">
      <c r="A998" s="12"/>
      <c r="C998" s="12"/>
      <c r="D998" s="13"/>
      <c r="F998" s="14"/>
      <c r="G998" s="14"/>
      <c r="H998" s="14"/>
      <c r="I998" s="14"/>
      <c r="J998" s="14"/>
      <c r="K998" s="12"/>
    </row>
    <row r="999" ht="19.5" customHeight="1">
      <c r="A999" s="12"/>
      <c r="C999" s="12"/>
      <c r="D999" s="13"/>
      <c r="F999" s="14"/>
      <c r="G999" s="14"/>
      <c r="H999" s="14"/>
      <c r="I999" s="14"/>
      <c r="J999" s="14"/>
      <c r="K999" s="12"/>
    </row>
    <row r="1000" ht="19.5" customHeight="1">
      <c r="A1000" s="12"/>
      <c r="C1000" s="12"/>
      <c r="D1000" s="13"/>
      <c r="F1000" s="14"/>
      <c r="G1000" s="14"/>
      <c r="H1000" s="14"/>
      <c r="I1000" s="14"/>
      <c r="J1000" s="14"/>
      <c r="K1000" s="12"/>
    </row>
  </sheetData>
  <mergeCells count="12">
    <mergeCell ref="E9:G9"/>
    <mergeCell ref="J9:J10"/>
    <mergeCell ref="J15:J16"/>
    <mergeCell ref="J36:J37"/>
    <mergeCell ref="A6:K6"/>
    <mergeCell ref="A7:K7"/>
    <mergeCell ref="A8:K8"/>
    <mergeCell ref="A9:A10"/>
    <mergeCell ref="B9:B10"/>
    <mergeCell ref="C9:C10"/>
    <mergeCell ref="D9:D10"/>
    <mergeCell ref="K9:K10"/>
  </mergeCells>
  <printOptions/>
  <pageMargins bottom="0.787401575" footer="0.0" header="0.0" left="0.511811024" right="0.511811024" top="0.787401575"/>
  <pageSetup paperSize="9" scale="50" orientation="landscape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57.13"/>
    <col customWidth="1" min="3" max="3" width="9.13"/>
    <col customWidth="1" min="4" max="4" width="16.25"/>
    <col customWidth="1" min="5" max="5" width="25.0"/>
    <col customWidth="1" min="6" max="6" width="22.25"/>
    <col customWidth="1" min="7" max="8" width="23.88"/>
    <col customWidth="1" min="9" max="9" width="23.63"/>
    <col customWidth="1" min="10" max="10" width="20.63"/>
    <col customWidth="1" min="11" max="11" width="39.0"/>
    <col customWidth="1" min="12" max="26" width="8.63"/>
  </cols>
  <sheetData>
    <row r="1" ht="19.5" customHeight="1">
      <c r="A1" s="4"/>
      <c r="B1" s="5"/>
      <c r="C1" s="6"/>
      <c r="D1" s="7"/>
      <c r="E1" s="5"/>
      <c r="F1" s="8"/>
      <c r="G1" s="8"/>
      <c r="H1" s="8"/>
      <c r="I1" s="8"/>
      <c r="J1" s="8"/>
      <c r="K1" s="9"/>
    </row>
    <row r="2" ht="19.5" customHeight="1">
      <c r="A2" s="10" t="s">
        <v>83</v>
      </c>
      <c r="B2" s="11" t="s">
        <v>84</v>
      </c>
      <c r="C2" s="12"/>
      <c r="D2" s="13"/>
      <c r="F2" s="14"/>
      <c r="G2" s="14"/>
      <c r="H2" s="14"/>
      <c r="I2" s="14"/>
      <c r="J2" s="17" t="s">
        <v>144</v>
      </c>
      <c r="K2" s="18"/>
    </row>
    <row r="3" ht="19.5" customHeight="1">
      <c r="A3" s="10" t="s">
        <v>86</v>
      </c>
      <c r="B3" s="11" t="s">
        <v>87</v>
      </c>
      <c r="C3" s="12"/>
      <c r="D3" s="13"/>
      <c r="F3" s="14"/>
      <c r="G3" s="14"/>
      <c r="H3" s="14"/>
      <c r="I3" s="14"/>
      <c r="J3" s="14"/>
      <c r="K3" s="18"/>
    </row>
    <row r="4" ht="19.5" customHeight="1">
      <c r="A4" s="19"/>
      <c r="C4" s="12"/>
      <c r="D4" s="13"/>
      <c r="F4" s="14"/>
      <c r="G4" s="14"/>
      <c r="H4" s="14"/>
      <c r="I4" s="14"/>
      <c r="J4" s="14"/>
      <c r="K4" s="18"/>
    </row>
    <row r="5" ht="19.5" customHeight="1">
      <c r="A5" s="19"/>
      <c r="C5" s="12"/>
      <c r="D5" s="13"/>
      <c r="F5" s="14"/>
      <c r="G5" s="14"/>
      <c r="H5" s="14"/>
      <c r="I5" s="14"/>
      <c r="J5" s="14"/>
      <c r="K5" s="18"/>
    </row>
    <row r="6" ht="159.0" customHeight="1">
      <c r="A6" s="20" t="s">
        <v>1875</v>
      </c>
      <c r="K6" s="21"/>
    </row>
    <row r="7" ht="64.5" customHeight="1">
      <c r="A7" s="22" t="s">
        <v>1876</v>
      </c>
      <c r="K7" s="21"/>
    </row>
    <row r="8" ht="42.0" customHeight="1">
      <c r="A8" s="88" t="s">
        <v>90</v>
      </c>
      <c r="B8" s="24"/>
      <c r="C8" s="24"/>
      <c r="D8" s="24"/>
      <c r="E8" s="24"/>
      <c r="F8" s="24"/>
      <c r="G8" s="24"/>
      <c r="H8" s="24"/>
      <c r="I8" s="24"/>
      <c r="J8" s="24"/>
      <c r="K8" s="25"/>
    </row>
    <row r="9" ht="19.5" customHeight="1">
      <c r="A9" s="26" t="s">
        <v>1</v>
      </c>
      <c r="B9" s="26" t="s">
        <v>91</v>
      </c>
      <c r="C9" s="26" t="s">
        <v>92</v>
      </c>
      <c r="D9" s="26" t="s">
        <v>93</v>
      </c>
      <c r="E9" s="27" t="s">
        <v>94</v>
      </c>
      <c r="F9" s="28"/>
      <c r="G9" s="29"/>
      <c r="H9" s="30"/>
      <c r="I9" s="30"/>
      <c r="J9" s="31" t="s">
        <v>95</v>
      </c>
      <c r="K9" s="26" t="s">
        <v>96</v>
      </c>
    </row>
    <row r="10" ht="19.5" customHeight="1">
      <c r="A10" s="32"/>
      <c r="B10" s="32"/>
      <c r="C10" s="32"/>
      <c r="D10" s="32"/>
      <c r="E10" s="33" t="s">
        <v>97</v>
      </c>
      <c r="F10" s="34" t="s">
        <v>121</v>
      </c>
      <c r="G10" s="34" t="s">
        <v>99</v>
      </c>
      <c r="H10" s="35" t="s">
        <v>100</v>
      </c>
      <c r="I10" s="35" t="s">
        <v>101</v>
      </c>
      <c r="J10" s="32"/>
      <c r="K10" s="32"/>
    </row>
    <row r="11" ht="19.5" customHeight="1">
      <c r="A11" s="46">
        <v>1.0</v>
      </c>
      <c r="B11" s="37" t="s">
        <v>147</v>
      </c>
      <c r="C11" s="46" t="s">
        <v>148</v>
      </c>
      <c r="D11" s="78">
        <v>4.0</v>
      </c>
      <c r="E11" s="37">
        <v>2.0</v>
      </c>
      <c r="F11" s="40">
        <v>4.0</v>
      </c>
      <c r="G11" s="40">
        <v>4.0</v>
      </c>
      <c r="H11" s="40">
        <f>G11*F11*E11*D11</f>
        <v>128</v>
      </c>
      <c r="I11" s="42"/>
      <c r="J11" s="43">
        <f t="shared" ref="J11:J13" si="1">H11-I11</f>
        <v>128</v>
      </c>
      <c r="K11" s="46"/>
    </row>
    <row r="12" ht="19.5" customHeight="1">
      <c r="A12" s="46"/>
      <c r="B12" s="37"/>
      <c r="C12" s="46"/>
      <c r="D12" s="78"/>
      <c r="E12" s="37"/>
      <c r="F12" s="40"/>
      <c r="G12" s="40" t="s">
        <v>1858</v>
      </c>
      <c r="H12" s="40"/>
      <c r="I12" s="42"/>
      <c r="J12" s="43">
        <f t="shared" si="1"/>
        <v>0</v>
      </c>
      <c r="K12" s="79"/>
    </row>
    <row r="13" ht="19.5" customHeight="1">
      <c r="A13" s="46"/>
      <c r="B13" s="37"/>
      <c r="C13" s="46"/>
      <c r="D13" s="78"/>
      <c r="E13" s="37"/>
      <c r="F13" s="40"/>
      <c r="G13" s="40"/>
      <c r="H13" s="40"/>
      <c r="I13" s="42"/>
      <c r="J13" s="43">
        <f t="shared" si="1"/>
        <v>0</v>
      </c>
      <c r="K13" s="79"/>
    </row>
    <row r="14" ht="19.5" customHeight="1">
      <c r="A14" s="74" t="s">
        <v>1</v>
      </c>
      <c r="B14" s="74" t="s">
        <v>91</v>
      </c>
      <c r="C14" s="74" t="s">
        <v>92</v>
      </c>
      <c r="D14" s="74" t="s">
        <v>93</v>
      </c>
      <c r="E14" s="50" t="s">
        <v>97</v>
      </c>
      <c r="F14" s="53" t="s">
        <v>121</v>
      </c>
      <c r="G14" s="53" t="s">
        <v>99</v>
      </c>
      <c r="H14" s="75" t="s">
        <v>100</v>
      </c>
      <c r="I14" s="75" t="s">
        <v>101</v>
      </c>
      <c r="J14" s="76" t="s">
        <v>95</v>
      </c>
      <c r="K14" s="74" t="s">
        <v>96</v>
      </c>
    </row>
    <row r="15" ht="19.5" customHeight="1">
      <c r="A15" s="46">
        <v>1.0</v>
      </c>
      <c r="B15" s="37" t="s">
        <v>1320</v>
      </c>
      <c r="C15" s="46" t="s">
        <v>148</v>
      </c>
      <c r="D15" s="78">
        <v>4.0</v>
      </c>
      <c r="E15" s="37">
        <v>0.15</v>
      </c>
      <c r="F15" s="78">
        <v>4.0</v>
      </c>
      <c r="G15" s="40">
        <v>4.0</v>
      </c>
      <c r="H15" s="40">
        <f>G15*F15*E15*D15</f>
        <v>9.6</v>
      </c>
      <c r="I15" s="42"/>
      <c r="J15" s="264">
        <f>SUM(H15:H16)</f>
        <v>9.6</v>
      </c>
      <c r="K15" s="46"/>
    </row>
    <row r="16" ht="19.5" customHeight="1">
      <c r="A16" s="46"/>
      <c r="B16" s="37"/>
      <c r="C16" s="46"/>
      <c r="D16" s="78"/>
      <c r="E16" s="37"/>
      <c r="F16" s="78"/>
      <c r="G16" s="40"/>
      <c r="H16" s="40"/>
      <c r="I16" s="42"/>
      <c r="J16" s="32"/>
      <c r="K16" s="46"/>
    </row>
    <row r="17" ht="19.5" customHeight="1">
      <c r="A17" s="74" t="s">
        <v>1</v>
      </c>
      <c r="B17" s="74" t="s">
        <v>91</v>
      </c>
      <c r="C17" s="74" t="s">
        <v>92</v>
      </c>
      <c r="D17" s="74" t="s">
        <v>93</v>
      </c>
      <c r="E17" s="50" t="s">
        <v>97</v>
      </c>
      <c r="F17" s="53" t="s">
        <v>121</v>
      </c>
      <c r="G17" s="53" t="s">
        <v>99</v>
      </c>
      <c r="H17" s="75" t="s">
        <v>100</v>
      </c>
      <c r="I17" s="75" t="s">
        <v>101</v>
      </c>
      <c r="J17" s="76" t="s">
        <v>95</v>
      </c>
      <c r="K17" s="74" t="s">
        <v>96</v>
      </c>
    </row>
    <row r="18" ht="19.5" customHeight="1">
      <c r="A18" s="46">
        <v>1.0</v>
      </c>
      <c r="B18" s="37" t="s">
        <v>345</v>
      </c>
      <c r="C18" s="46" t="s">
        <v>148</v>
      </c>
      <c r="D18" s="78"/>
      <c r="E18" s="37"/>
      <c r="F18" s="78"/>
      <c r="G18" s="40"/>
      <c r="H18" s="40"/>
      <c r="I18" s="42"/>
      <c r="J18" s="40"/>
      <c r="K18" s="46"/>
    </row>
    <row r="19" ht="19.5" customHeight="1">
      <c r="A19" s="46"/>
      <c r="B19" s="37"/>
      <c r="C19" s="46"/>
      <c r="D19" s="78"/>
      <c r="E19" s="37"/>
      <c r="F19" s="78"/>
      <c r="G19" s="40"/>
      <c r="H19" s="40"/>
      <c r="I19" s="42"/>
      <c r="J19" s="43">
        <f>SUM(H18:H19)</f>
        <v>0</v>
      </c>
      <c r="K19" s="46"/>
    </row>
    <row r="20" ht="19.5" customHeight="1">
      <c r="A20" s="74" t="s">
        <v>1</v>
      </c>
      <c r="B20" s="74" t="s">
        <v>91</v>
      </c>
      <c r="C20" s="74" t="s">
        <v>92</v>
      </c>
      <c r="D20" s="74" t="s">
        <v>93</v>
      </c>
      <c r="E20" s="50" t="s">
        <v>347</v>
      </c>
      <c r="F20" s="53" t="s">
        <v>121</v>
      </c>
      <c r="G20" s="53" t="s">
        <v>99</v>
      </c>
      <c r="H20" s="75" t="s">
        <v>100</v>
      </c>
      <c r="I20" s="75" t="s">
        <v>101</v>
      </c>
      <c r="J20" s="76" t="s">
        <v>95</v>
      </c>
      <c r="K20" s="74" t="s">
        <v>96</v>
      </c>
    </row>
    <row r="21" ht="19.5" customHeight="1">
      <c r="A21" s="46">
        <v>1.0</v>
      </c>
      <c r="B21" s="37" t="s">
        <v>912</v>
      </c>
      <c r="C21" s="46" t="s">
        <v>103</v>
      </c>
      <c r="D21" s="78"/>
      <c r="E21" s="37"/>
      <c r="F21" s="40"/>
      <c r="G21" s="40"/>
      <c r="H21" s="40"/>
      <c r="I21" s="42"/>
      <c r="J21" s="107"/>
      <c r="K21" s="46" t="s">
        <v>1322</v>
      </c>
    </row>
    <row r="22" ht="19.5" customHeight="1">
      <c r="A22" s="74" t="s">
        <v>1</v>
      </c>
      <c r="B22" s="74" t="s">
        <v>91</v>
      </c>
      <c r="C22" s="74" t="s">
        <v>92</v>
      </c>
      <c r="D22" s="74" t="s">
        <v>93</v>
      </c>
      <c r="E22" s="50" t="s">
        <v>187</v>
      </c>
      <c r="F22" s="53"/>
      <c r="G22" s="53"/>
      <c r="H22" s="75" t="s">
        <v>100</v>
      </c>
      <c r="I22" s="75" t="s">
        <v>101</v>
      </c>
      <c r="J22" s="76" t="s">
        <v>95</v>
      </c>
      <c r="K22" s="74" t="s">
        <v>96</v>
      </c>
    </row>
    <row r="23" ht="19.5" customHeight="1">
      <c r="A23" s="46">
        <v>1.0</v>
      </c>
      <c r="B23" s="37" t="s">
        <v>1323</v>
      </c>
      <c r="C23" s="46" t="s">
        <v>158</v>
      </c>
      <c r="D23" s="78" t="str">
        <f>D21</f>
        <v/>
      </c>
      <c r="E23" s="37">
        <v>100.0</v>
      </c>
      <c r="F23" s="40"/>
      <c r="G23" s="40"/>
      <c r="H23" s="40">
        <f>E23*D23</f>
        <v>0</v>
      </c>
      <c r="I23" s="42"/>
      <c r="J23" s="43">
        <f>H23-I23</f>
        <v>0</v>
      </c>
      <c r="K23" s="46" t="s">
        <v>355</v>
      </c>
    </row>
    <row r="24" ht="19.5" customHeight="1">
      <c r="A24" s="50" t="s">
        <v>1</v>
      </c>
      <c r="B24" s="50" t="s">
        <v>91</v>
      </c>
      <c r="C24" s="50" t="s">
        <v>92</v>
      </c>
      <c r="D24" s="50" t="s">
        <v>93</v>
      </c>
      <c r="E24" s="50" t="s">
        <v>97</v>
      </c>
      <c r="F24" s="53" t="s">
        <v>121</v>
      </c>
      <c r="G24" s="53" t="s">
        <v>99</v>
      </c>
      <c r="H24" s="53" t="s">
        <v>100</v>
      </c>
      <c r="I24" s="53" t="s">
        <v>101</v>
      </c>
      <c r="J24" s="53" t="s">
        <v>95</v>
      </c>
      <c r="K24" s="50" t="s">
        <v>96</v>
      </c>
    </row>
    <row r="25" ht="19.5" customHeight="1">
      <c r="A25" s="46">
        <v>1.0</v>
      </c>
      <c r="B25" s="416" t="s">
        <v>1337</v>
      </c>
      <c r="C25" s="46" t="s">
        <v>108</v>
      </c>
      <c r="D25" s="78">
        <v>1.0</v>
      </c>
      <c r="E25" s="37"/>
      <c r="F25" s="78"/>
      <c r="G25" s="40"/>
      <c r="H25" s="40"/>
      <c r="I25" s="42"/>
      <c r="J25" s="43">
        <f t="shared" ref="J25:J29" si="2">D25</f>
        <v>1</v>
      </c>
      <c r="K25" s="46"/>
    </row>
    <row r="26" ht="19.5" customHeight="1">
      <c r="A26" s="46">
        <v>2.0</v>
      </c>
      <c r="B26" s="416" t="s">
        <v>1338</v>
      </c>
      <c r="C26" s="46" t="s">
        <v>108</v>
      </c>
      <c r="D26" s="78">
        <v>1.0</v>
      </c>
      <c r="E26" s="37"/>
      <c r="F26" s="78"/>
      <c r="G26" s="40"/>
      <c r="H26" s="40"/>
      <c r="I26" s="42"/>
      <c r="J26" s="43">
        <f t="shared" si="2"/>
        <v>1</v>
      </c>
      <c r="K26" s="46"/>
    </row>
    <row r="27" ht="19.5" customHeight="1">
      <c r="A27" s="46">
        <v>3.0</v>
      </c>
      <c r="B27" s="416" t="s">
        <v>1339</v>
      </c>
      <c r="C27" s="46" t="s">
        <v>106</v>
      </c>
      <c r="D27" s="78">
        <v>1.0</v>
      </c>
      <c r="E27" s="37"/>
      <c r="F27" s="78"/>
      <c r="G27" s="40"/>
      <c r="H27" s="40"/>
      <c r="I27" s="42"/>
      <c r="J27" s="43">
        <f t="shared" si="2"/>
        <v>1</v>
      </c>
      <c r="K27" s="40"/>
    </row>
    <row r="28" ht="19.5" customHeight="1">
      <c r="A28" s="46">
        <v>3.0</v>
      </c>
      <c r="B28" s="416" t="s">
        <v>1340</v>
      </c>
      <c r="C28" s="46" t="s">
        <v>106</v>
      </c>
      <c r="D28" s="78">
        <v>6.0</v>
      </c>
      <c r="E28" s="37"/>
      <c r="F28" s="78"/>
      <c r="G28" s="40"/>
      <c r="H28" s="40"/>
      <c r="I28" s="42"/>
      <c r="J28" s="43">
        <f t="shared" si="2"/>
        <v>6</v>
      </c>
      <c r="K28" s="40"/>
    </row>
    <row r="29" ht="19.5" customHeight="1">
      <c r="A29" s="46">
        <v>3.0</v>
      </c>
      <c r="B29" s="416" t="s">
        <v>1341</v>
      </c>
      <c r="C29" s="46" t="s">
        <v>1342</v>
      </c>
      <c r="D29" s="78">
        <v>1.0</v>
      </c>
      <c r="E29" s="37"/>
      <c r="F29" s="78"/>
      <c r="G29" s="40"/>
      <c r="H29" s="40"/>
      <c r="I29" s="42"/>
      <c r="J29" s="43">
        <f t="shared" si="2"/>
        <v>1</v>
      </c>
      <c r="K29" s="40"/>
    </row>
    <row r="30" ht="19.5" customHeight="1">
      <c r="A30" s="12"/>
      <c r="C30" s="12"/>
      <c r="D30" s="13"/>
      <c r="F30" s="14"/>
      <c r="G30" s="14"/>
      <c r="H30" s="14"/>
      <c r="I30" s="14"/>
      <c r="J30" s="14"/>
      <c r="K30" s="12"/>
    </row>
    <row r="31" ht="19.5" customHeight="1">
      <c r="A31" s="74" t="s">
        <v>1</v>
      </c>
      <c r="B31" s="74" t="s">
        <v>91</v>
      </c>
      <c r="C31" s="74" t="s">
        <v>92</v>
      </c>
      <c r="D31" s="74" t="s">
        <v>93</v>
      </c>
      <c r="E31" s="50" t="s">
        <v>97</v>
      </c>
      <c r="F31" s="53" t="s">
        <v>121</v>
      </c>
      <c r="G31" s="53" t="s">
        <v>99</v>
      </c>
      <c r="H31" s="53" t="s">
        <v>100</v>
      </c>
      <c r="I31" s="53" t="s">
        <v>101</v>
      </c>
      <c r="J31" s="53" t="s">
        <v>95</v>
      </c>
      <c r="K31" s="50" t="s">
        <v>96</v>
      </c>
    </row>
    <row r="32" ht="19.5" customHeight="1">
      <c r="A32" s="46">
        <v>1.0</v>
      </c>
      <c r="B32" s="37" t="s">
        <v>1343</v>
      </c>
      <c r="C32" s="46" t="s">
        <v>103</v>
      </c>
      <c r="D32" s="78">
        <v>1.0</v>
      </c>
      <c r="E32" s="37">
        <v>1.0</v>
      </c>
      <c r="F32" s="78">
        <v>1.0</v>
      </c>
      <c r="G32" s="40">
        <v>1.0</v>
      </c>
      <c r="H32" s="40">
        <v>1.0</v>
      </c>
      <c r="I32" s="42"/>
      <c r="J32" s="40"/>
      <c r="K32" s="46"/>
    </row>
    <row r="33" ht="19.5" customHeight="1">
      <c r="A33" s="46"/>
      <c r="B33" s="37"/>
      <c r="C33" s="46"/>
      <c r="D33" s="78"/>
      <c r="E33" s="37"/>
      <c r="F33" s="78"/>
      <c r="G33" s="40"/>
      <c r="H33" s="40"/>
      <c r="I33" s="42"/>
      <c r="J33" s="43">
        <f>SUM(H32:H33)</f>
        <v>1</v>
      </c>
      <c r="K33" s="46"/>
    </row>
    <row r="34" ht="19.5" customHeight="1">
      <c r="A34" s="12"/>
      <c r="C34" s="12"/>
      <c r="D34" s="13"/>
      <c r="F34" s="14"/>
      <c r="G34" s="14"/>
      <c r="H34" s="14"/>
      <c r="I34" s="14"/>
      <c r="J34" s="14"/>
      <c r="K34" s="12"/>
    </row>
    <row r="35" ht="19.5" customHeight="1">
      <c r="A35" s="74" t="s">
        <v>1</v>
      </c>
      <c r="B35" s="74" t="s">
        <v>91</v>
      </c>
      <c r="C35" s="74" t="s">
        <v>92</v>
      </c>
      <c r="D35" s="74" t="s">
        <v>93</v>
      </c>
      <c r="E35" s="50" t="s">
        <v>97</v>
      </c>
      <c r="F35" s="53" t="s">
        <v>121</v>
      </c>
      <c r="G35" s="53" t="s">
        <v>99</v>
      </c>
      <c r="H35" s="53" t="s">
        <v>100</v>
      </c>
      <c r="I35" s="53" t="s">
        <v>101</v>
      </c>
      <c r="J35" s="53" t="s">
        <v>95</v>
      </c>
      <c r="K35" s="50" t="s">
        <v>96</v>
      </c>
    </row>
    <row r="36" ht="19.5" customHeight="1">
      <c r="A36" s="46">
        <v>1.0</v>
      </c>
      <c r="B36" s="37" t="s">
        <v>1778</v>
      </c>
      <c r="C36" s="46" t="s">
        <v>103</v>
      </c>
      <c r="D36" s="78">
        <v>4.0</v>
      </c>
      <c r="E36" s="37">
        <v>1.0</v>
      </c>
      <c r="F36" s="78">
        <v>10.0</v>
      </c>
      <c r="G36" s="40">
        <v>10.0</v>
      </c>
      <c r="H36" s="40">
        <f>F36*E36*D36</f>
        <v>40</v>
      </c>
      <c r="I36" s="42"/>
      <c r="J36" s="327">
        <f>SUM(H36:H37)</f>
        <v>40</v>
      </c>
      <c r="K36" s="46"/>
    </row>
    <row r="37" ht="19.5" customHeight="1">
      <c r="A37" s="46"/>
      <c r="B37" s="37"/>
      <c r="C37" s="46"/>
      <c r="D37" s="78"/>
      <c r="E37" s="37"/>
      <c r="F37" s="78"/>
      <c r="G37" s="40"/>
      <c r="H37" s="40"/>
      <c r="I37" s="42"/>
      <c r="J37" s="32"/>
      <c r="K37" s="46"/>
    </row>
    <row r="38" ht="19.5" customHeight="1">
      <c r="A38" s="12"/>
      <c r="C38" s="12"/>
      <c r="D38" s="13"/>
      <c r="F38" s="14"/>
      <c r="G38" s="14"/>
      <c r="H38" s="14"/>
      <c r="I38" s="14"/>
      <c r="J38" s="14"/>
      <c r="K38" s="12"/>
    </row>
    <row r="39" ht="19.5" customHeight="1">
      <c r="A39" s="12"/>
      <c r="C39" s="12"/>
      <c r="D39" s="13"/>
      <c r="F39" s="14"/>
      <c r="G39" s="14"/>
      <c r="H39" s="14"/>
      <c r="I39" s="14"/>
      <c r="J39" s="14"/>
      <c r="K39" s="12"/>
    </row>
    <row r="40" ht="19.5" customHeight="1">
      <c r="A40" s="12"/>
      <c r="C40" s="12"/>
      <c r="D40" s="13"/>
      <c r="F40" s="14"/>
      <c r="G40" s="14"/>
      <c r="H40" s="14"/>
      <c r="I40" s="14"/>
      <c r="J40" s="14"/>
      <c r="K40" s="12"/>
    </row>
    <row r="41" ht="19.5" customHeight="1">
      <c r="A41" s="12"/>
      <c r="C41" s="12"/>
      <c r="D41" s="13"/>
      <c r="F41" s="14"/>
      <c r="G41" s="14"/>
      <c r="H41" s="14"/>
      <c r="I41" s="14"/>
      <c r="J41" s="14"/>
      <c r="K41" s="12"/>
    </row>
    <row r="42" ht="19.5" customHeight="1">
      <c r="A42" s="12"/>
      <c r="C42" s="12"/>
      <c r="D42" s="13"/>
      <c r="F42" s="14"/>
      <c r="G42" s="14"/>
      <c r="H42" s="14"/>
      <c r="I42" s="14"/>
      <c r="J42" s="14"/>
      <c r="K42" s="12"/>
    </row>
    <row r="43" ht="19.5" customHeight="1">
      <c r="A43" s="12"/>
      <c r="C43" s="12"/>
      <c r="D43" s="13"/>
      <c r="F43" s="14"/>
      <c r="G43" s="14"/>
      <c r="H43" s="14"/>
      <c r="I43" s="14"/>
      <c r="J43" s="14"/>
      <c r="K43" s="12"/>
    </row>
    <row r="44" ht="19.5" customHeight="1">
      <c r="A44" s="12"/>
      <c r="C44" s="12"/>
      <c r="D44" s="13"/>
      <c r="F44" s="14"/>
      <c r="G44" s="14"/>
      <c r="H44" s="14"/>
      <c r="I44" s="14"/>
      <c r="J44" s="14"/>
      <c r="K44" s="12"/>
    </row>
    <row r="45" ht="19.5" customHeight="1">
      <c r="A45" s="12"/>
      <c r="C45" s="12"/>
      <c r="D45" s="13"/>
      <c r="F45" s="14"/>
      <c r="G45" s="14"/>
      <c r="H45" s="14"/>
      <c r="I45" s="14"/>
      <c r="J45" s="14"/>
      <c r="K45" s="12"/>
    </row>
    <row r="46" ht="19.5" customHeight="1">
      <c r="A46" s="12"/>
      <c r="C46" s="12"/>
      <c r="D46" s="13"/>
      <c r="F46" s="14"/>
      <c r="G46" s="14"/>
      <c r="H46" s="14"/>
      <c r="I46" s="14"/>
      <c r="J46" s="14"/>
      <c r="K46" s="12"/>
    </row>
    <row r="47" ht="19.5" customHeight="1">
      <c r="A47" s="12"/>
      <c r="C47" s="12"/>
      <c r="D47" s="13"/>
      <c r="F47" s="14"/>
      <c r="G47" s="14"/>
      <c r="H47" s="14"/>
      <c r="I47" s="14"/>
      <c r="J47" s="14"/>
      <c r="K47" s="12"/>
    </row>
    <row r="48" ht="19.5" customHeight="1">
      <c r="A48" s="12"/>
      <c r="C48" s="12"/>
      <c r="D48" s="13"/>
      <c r="F48" s="14"/>
      <c r="G48" s="14"/>
      <c r="H48" s="14"/>
      <c r="I48" s="14"/>
      <c r="J48" s="14"/>
      <c r="K48" s="12"/>
    </row>
    <row r="49" ht="19.5" customHeight="1">
      <c r="A49" s="12"/>
      <c r="C49" s="12"/>
      <c r="D49" s="13"/>
      <c r="F49" s="14"/>
      <c r="G49" s="14"/>
      <c r="H49" s="14"/>
      <c r="I49" s="14"/>
      <c r="J49" s="14"/>
      <c r="K49" s="12"/>
    </row>
    <row r="50" ht="19.5" customHeight="1">
      <c r="A50" s="12"/>
      <c r="C50" s="12"/>
      <c r="D50" s="13"/>
      <c r="F50" s="14"/>
      <c r="G50" s="14"/>
      <c r="H50" s="14"/>
      <c r="I50" s="14"/>
      <c r="J50" s="14"/>
      <c r="K50" s="12"/>
    </row>
    <row r="51" ht="19.5" customHeight="1">
      <c r="A51" s="12"/>
      <c r="C51" s="12"/>
      <c r="D51" s="13"/>
      <c r="F51" s="14"/>
      <c r="G51" s="14"/>
      <c r="H51" s="14"/>
      <c r="I51" s="14"/>
      <c r="J51" s="14"/>
      <c r="K51" s="12"/>
    </row>
    <row r="52" ht="19.5" customHeight="1">
      <c r="A52" s="12"/>
      <c r="C52" s="12"/>
      <c r="D52" s="13"/>
      <c r="F52" s="14"/>
      <c r="G52" s="14"/>
      <c r="H52" s="14"/>
      <c r="I52" s="14"/>
      <c r="J52" s="14"/>
      <c r="K52" s="12"/>
    </row>
    <row r="53" ht="19.5" customHeight="1">
      <c r="A53" s="12"/>
      <c r="C53" s="12"/>
      <c r="D53" s="13"/>
      <c r="F53" s="14"/>
      <c r="G53" s="14"/>
      <c r="H53" s="14"/>
      <c r="I53" s="14"/>
      <c r="J53" s="14"/>
      <c r="K53" s="12"/>
    </row>
    <row r="54" ht="19.5" customHeight="1">
      <c r="A54" s="12"/>
      <c r="C54" s="12"/>
      <c r="D54" s="13"/>
      <c r="F54" s="14"/>
      <c r="G54" s="14"/>
      <c r="H54" s="14"/>
      <c r="I54" s="14"/>
      <c r="J54" s="14"/>
      <c r="K54" s="12"/>
    </row>
    <row r="55" ht="19.5" customHeight="1">
      <c r="A55" s="12"/>
      <c r="C55" s="12"/>
      <c r="D55" s="13"/>
      <c r="F55" s="14"/>
      <c r="G55" s="14"/>
      <c r="H55" s="14"/>
      <c r="I55" s="14"/>
      <c r="J55" s="14"/>
      <c r="K55" s="12"/>
    </row>
    <row r="56" ht="19.5" customHeight="1">
      <c r="A56" s="12"/>
      <c r="C56" s="12"/>
      <c r="D56" s="13"/>
      <c r="F56" s="14"/>
      <c r="G56" s="14"/>
      <c r="H56" s="14"/>
      <c r="I56" s="14"/>
      <c r="J56" s="14"/>
      <c r="K56" s="12"/>
    </row>
    <row r="57" ht="19.5" customHeight="1">
      <c r="A57" s="12"/>
      <c r="C57" s="12"/>
      <c r="D57" s="13"/>
      <c r="F57" s="14"/>
      <c r="G57" s="14"/>
      <c r="H57" s="14"/>
      <c r="I57" s="14"/>
      <c r="J57" s="14"/>
      <c r="K57" s="12"/>
    </row>
    <row r="58" ht="19.5" customHeight="1">
      <c r="A58" s="12"/>
      <c r="C58" s="12"/>
      <c r="D58" s="13"/>
      <c r="F58" s="14"/>
      <c r="G58" s="14"/>
      <c r="H58" s="14"/>
      <c r="I58" s="14"/>
      <c r="J58" s="14"/>
      <c r="K58" s="12"/>
    </row>
    <row r="59" ht="19.5" customHeight="1">
      <c r="A59" s="12"/>
      <c r="C59" s="12"/>
      <c r="D59" s="13"/>
      <c r="F59" s="14"/>
      <c r="G59" s="14"/>
      <c r="H59" s="14"/>
      <c r="I59" s="14"/>
      <c r="J59" s="14"/>
      <c r="K59" s="12"/>
    </row>
    <row r="60" ht="19.5" customHeight="1">
      <c r="A60" s="12"/>
      <c r="C60" s="12"/>
      <c r="D60" s="13"/>
      <c r="F60" s="14"/>
      <c r="G60" s="14"/>
      <c r="H60" s="14"/>
      <c r="I60" s="14"/>
      <c r="J60" s="14"/>
      <c r="K60" s="12"/>
    </row>
    <row r="61" ht="19.5" customHeight="1">
      <c r="A61" s="12"/>
      <c r="C61" s="12"/>
      <c r="D61" s="13"/>
      <c r="F61" s="14"/>
      <c r="G61" s="14"/>
      <c r="H61" s="14"/>
      <c r="I61" s="14"/>
      <c r="J61" s="14"/>
      <c r="K61" s="12"/>
    </row>
    <row r="62" ht="19.5" customHeight="1">
      <c r="A62" s="12"/>
      <c r="C62" s="12"/>
      <c r="D62" s="13"/>
      <c r="F62" s="14"/>
      <c r="G62" s="14"/>
      <c r="H62" s="14"/>
      <c r="I62" s="14"/>
      <c r="J62" s="14"/>
      <c r="K62" s="12"/>
    </row>
    <row r="63" ht="19.5" customHeight="1">
      <c r="A63" s="12"/>
      <c r="C63" s="12"/>
      <c r="D63" s="13"/>
      <c r="F63" s="14"/>
      <c r="G63" s="14"/>
      <c r="H63" s="14"/>
      <c r="I63" s="14"/>
      <c r="J63" s="14"/>
      <c r="K63" s="12"/>
    </row>
    <row r="64" ht="19.5" customHeight="1">
      <c r="A64" s="12"/>
      <c r="C64" s="12"/>
      <c r="D64" s="13"/>
      <c r="F64" s="14"/>
      <c r="G64" s="14"/>
      <c r="H64" s="14"/>
      <c r="I64" s="14"/>
      <c r="J64" s="14"/>
      <c r="K64" s="12"/>
    </row>
    <row r="65" ht="19.5" customHeight="1">
      <c r="A65" s="12"/>
      <c r="C65" s="12"/>
      <c r="D65" s="13"/>
      <c r="F65" s="14"/>
      <c r="G65" s="14"/>
      <c r="H65" s="14"/>
      <c r="I65" s="14"/>
      <c r="J65" s="14"/>
      <c r="K65" s="12"/>
    </row>
    <row r="66" ht="19.5" customHeight="1">
      <c r="A66" s="12"/>
      <c r="C66" s="12"/>
      <c r="D66" s="13"/>
      <c r="F66" s="14"/>
      <c r="G66" s="14"/>
      <c r="H66" s="14"/>
      <c r="I66" s="14"/>
      <c r="J66" s="14"/>
      <c r="K66" s="12"/>
    </row>
    <row r="67" ht="19.5" customHeight="1">
      <c r="A67" s="12"/>
      <c r="C67" s="12"/>
      <c r="D67" s="13"/>
      <c r="F67" s="14"/>
      <c r="G67" s="14"/>
      <c r="H67" s="14"/>
      <c r="I67" s="14"/>
      <c r="J67" s="14"/>
      <c r="K67" s="12"/>
    </row>
    <row r="68" ht="19.5" customHeight="1">
      <c r="A68" s="12"/>
      <c r="C68" s="12"/>
      <c r="D68" s="13"/>
      <c r="F68" s="14"/>
      <c r="G68" s="14"/>
      <c r="H68" s="14"/>
      <c r="I68" s="14"/>
      <c r="J68" s="14"/>
      <c r="K68" s="12"/>
    </row>
    <row r="69" ht="19.5" customHeight="1">
      <c r="A69" s="12"/>
      <c r="C69" s="12"/>
      <c r="D69" s="13"/>
      <c r="F69" s="14"/>
      <c r="G69" s="14"/>
      <c r="H69" s="14"/>
      <c r="I69" s="14"/>
      <c r="J69" s="14"/>
      <c r="K69" s="12"/>
    </row>
    <row r="70" ht="19.5" customHeight="1">
      <c r="A70" s="12"/>
      <c r="C70" s="12"/>
      <c r="D70" s="13"/>
      <c r="F70" s="14"/>
      <c r="G70" s="14"/>
      <c r="H70" s="14"/>
      <c r="I70" s="14"/>
      <c r="J70" s="14"/>
      <c r="K70" s="12"/>
    </row>
    <row r="71" ht="19.5" customHeight="1">
      <c r="A71" s="12"/>
      <c r="C71" s="12"/>
      <c r="D71" s="13"/>
      <c r="F71" s="14"/>
      <c r="G71" s="14"/>
      <c r="H71" s="14"/>
      <c r="I71" s="14"/>
      <c r="J71" s="14"/>
      <c r="K71" s="12"/>
    </row>
    <row r="72" ht="19.5" customHeight="1">
      <c r="A72" s="12"/>
      <c r="C72" s="12"/>
      <c r="D72" s="13"/>
      <c r="F72" s="14"/>
      <c r="G72" s="14"/>
      <c r="H72" s="14"/>
      <c r="I72" s="14"/>
      <c r="J72" s="14"/>
      <c r="K72" s="12"/>
    </row>
    <row r="73" ht="19.5" customHeight="1">
      <c r="A73" s="12"/>
      <c r="C73" s="12"/>
      <c r="D73" s="13"/>
      <c r="F73" s="14"/>
      <c r="G73" s="14"/>
      <c r="H73" s="14"/>
      <c r="I73" s="14"/>
      <c r="J73" s="14"/>
      <c r="K73" s="12"/>
    </row>
    <row r="74" ht="19.5" customHeight="1">
      <c r="A74" s="12"/>
      <c r="C74" s="12"/>
      <c r="D74" s="13"/>
      <c r="F74" s="14"/>
      <c r="G74" s="14"/>
      <c r="H74" s="14"/>
      <c r="I74" s="14"/>
      <c r="J74" s="14"/>
      <c r="K74" s="12"/>
    </row>
    <row r="75" ht="19.5" customHeight="1">
      <c r="A75" s="12"/>
      <c r="C75" s="12"/>
      <c r="D75" s="13"/>
      <c r="F75" s="14"/>
      <c r="G75" s="14"/>
      <c r="H75" s="14"/>
      <c r="I75" s="14"/>
      <c r="J75" s="14"/>
      <c r="K75" s="12"/>
    </row>
    <row r="76" ht="19.5" customHeight="1">
      <c r="A76" s="12"/>
      <c r="C76" s="12"/>
      <c r="D76" s="13"/>
      <c r="F76" s="14"/>
      <c r="G76" s="14"/>
      <c r="H76" s="14"/>
      <c r="I76" s="14"/>
      <c r="J76" s="14"/>
      <c r="K76" s="12"/>
    </row>
    <row r="77" ht="19.5" customHeight="1">
      <c r="A77" s="12"/>
      <c r="C77" s="12"/>
      <c r="D77" s="13"/>
      <c r="F77" s="14"/>
      <c r="G77" s="14"/>
      <c r="H77" s="14"/>
      <c r="I77" s="14"/>
      <c r="J77" s="14"/>
      <c r="K77" s="12"/>
    </row>
    <row r="78" ht="19.5" customHeight="1">
      <c r="A78" s="12"/>
      <c r="C78" s="12"/>
      <c r="D78" s="13"/>
      <c r="F78" s="14"/>
      <c r="G78" s="14"/>
      <c r="H78" s="14"/>
      <c r="I78" s="14"/>
      <c r="J78" s="14"/>
      <c r="K78" s="12"/>
    </row>
    <row r="79" ht="19.5" customHeight="1">
      <c r="A79" s="12"/>
      <c r="C79" s="12"/>
      <c r="D79" s="13"/>
      <c r="F79" s="14"/>
      <c r="G79" s="14"/>
      <c r="H79" s="14"/>
      <c r="I79" s="14"/>
      <c r="J79" s="14"/>
      <c r="K79" s="12"/>
    </row>
    <row r="80" ht="19.5" customHeight="1">
      <c r="A80" s="12"/>
      <c r="C80" s="12"/>
      <c r="D80" s="13"/>
      <c r="F80" s="14"/>
      <c r="G80" s="14"/>
      <c r="H80" s="14"/>
      <c r="I80" s="14"/>
      <c r="J80" s="14"/>
      <c r="K80" s="12"/>
    </row>
    <row r="81" ht="19.5" customHeight="1">
      <c r="A81" s="12"/>
      <c r="C81" s="12"/>
      <c r="D81" s="13"/>
      <c r="F81" s="14"/>
      <c r="G81" s="14"/>
      <c r="H81" s="14"/>
      <c r="I81" s="14"/>
      <c r="J81" s="14"/>
      <c r="K81" s="12"/>
    </row>
    <row r="82" ht="19.5" customHeight="1">
      <c r="A82" s="12"/>
      <c r="C82" s="12"/>
      <c r="D82" s="13"/>
      <c r="F82" s="14"/>
      <c r="G82" s="14"/>
      <c r="H82" s="14"/>
      <c r="I82" s="14"/>
      <c r="J82" s="14"/>
      <c r="K82" s="12"/>
    </row>
    <row r="83" ht="19.5" customHeight="1">
      <c r="A83" s="12"/>
      <c r="C83" s="12"/>
      <c r="D83" s="13"/>
      <c r="F83" s="14"/>
      <c r="G83" s="14"/>
      <c r="H83" s="14"/>
      <c r="I83" s="14"/>
      <c r="J83" s="14"/>
      <c r="K83" s="12"/>
    </row>
    <row r="84" ht="19.5" customHeight="1">
      <c r="A84" s="12"/>
      <c r="C84" s="12"/>
      <c r="D84" s="13"/>
      <c r="F84" s="14"/>
      <c r="G84" s="14"/>
      <c r="H84" s="14"/>
      <c r="I84" s="14"/>
      <c r="J84" s="14"/>
      <c r="K84" s="12"/>
    </row>
    <row r="85" ht="19.5" customHeight="1">
      <c r="A85" s="12"/>
      <c r="C85" s="12"/>
      <c r="D85" s="13"/>
      <c r="F85" s="14"/>
      <c r="G85" s="14"/>
      <c r="H85" s="14"/>
      <c r="I85" s="14"/>
      <c r="J85" s="14"/>
      <c r="K85" s="12"/>
    </row>
    <row r="86" ht="19.5" customHeight="1">
      <c r="A86" s="12"/>
      <c r="C86" s="12"/>
      <c r="D86" s="13"/>
      <c r="F86" s="14"/>
      <c r="G86" s="14"/>
      <c r="H86" s="14"/>
      <c r="I86" s="14"/>
      <c r="J86" s="14"/>
      <c r="K86" s="12"/>
    </row>
    <row r="87" ht="19.5" customHeight="1">
      <c r="A87" s="12"/>
      <c r="C87" s="12"/>
      <c r="D87" s="13"/>
      <c r="F87" s="14"/>
      <c r="G87" s="14"/>
      <c r="H87" s="14"/>
      <c r="I87" s="14"/>
      <c r="J87" s="14"/>
      <c r="K87" s="12"/>
    </row>
    <row r="88" ht="19.5" customHeight="1">
      <c r="A88" s="12"/>
      <c r="C88" s="12"/>
      <c r="D88" s="13"/>
      <c r="F88" s="14"/>
      <c r="G88" s="14"/>
      <c r="H88" s="14"/>
      <c r="I88" s="14"/>
      <c r="J88" s="14"/>
      <c r="K88" s="12"/>
    </row>
    <row r="89" ht="19.5" customHeight="1">
      <c r="A89" s="12"/>
      <c r="C89" s="12"/>
      <c r="D89" s="13"/>
      <c r="F89" s="14"/>
      <c r="G89" s="14"/>
      <c r="H89" s="14"/>
      <c r="I89" s="14"/>
      <c r="J89" s="14"/>
      <c r="K89" s="12"/>
    </row>
    <row r="90" ht="19.5" customHeight="1">
      <c r="A90" s="12"/>
      <c r="C90" s="12"/>
      <c r="D90" s="13"/>
      <c r="F90" s="14"/>
      <c r="G90" s="14"/>
      <c r="H90" s="14"/>
      <c r="I90" s="14"/>
      <c r="J90" s="14"/>
      <c r="K90" s="12"/>
    </row>
    <row r="91" ht="19.5" customHeight="1">
      <c r="A91" s="12"/>
      <c r="C91" s="12"/>
      <c r="D91" s="13"/>
      <c r="F91" s="14"/>
      <c r="G91" s="14"/>
      <c r="H91" s="14"/>
      <c r="I91" s="14"/>
      <c r="J91" s="14"/>
      <c r="K91" s="12"/>
    </row>
    <row r="92" ht="19.5" customHeight="1">
      <c r="A92" s="12"/>
      <c r="C92" s="12"/>
      <c r="D92" s="13"/>
      <c r="F92" s="14"/>
      <c r="G92" s="14"/>
      <c r="H92" s="14"/>
      <c r="I92" s="14"/>
      <c r="J92" s="14"/>
      <c r="K92" s="12"/>
    </row>
    <row r="93" ht="19.5" customHeight="1">
      <c r="A93" s="12"/>
      <c r="C93" s="12"/>
      <c r="D93" s="13"/>
      <c r="F93" s="14"/>
      <c r="G93" s="14"/>
      <c r="H93" s="14"/>
      <c r="I93" s="14"/>
      <c r="J93" s="14"/>
      <c r="K93" s="12"/>
    </row>
    <row r="94" ht="19.5" customHeight="1">
      <c r="A94" s="12"/>
      <c r="C94" s="12"/>
      <c r="D94" s="13"/>
      <c r="F94" s="14"/>
      <c r="G94" s="14"/>
      <c r="H94" s="14"/>
      <c r="I94" s="14"/>
      <c r="J94" s="14"/>
      <c r="K94" s="12"/>
    </row>
    <row r="95" ht="19.5" customHeight="1">
      <c r="A95" s="12"/>
      <c r="C95" s="12"/>
      <c r="D95" s="13"/>
      <c r="F95" s="14"/>
      <c r="G95" s="14"/>
      <c r="H95" s="14"/>
      <c r="I95" s="14"/>
      <c r="J95" s="14"/>
      <c r="K95" s="12"/>
    </row>
    <row r="96" ht="19.5" customHeight="1">
      <c r="A96" s="12"/>
      <c r="C96" s="12"/>
      <c r="D96" s="13"/>
      <c r="F96" s="14"/>
      <c r="G96" s="14"/>
      <c r="H96" s="14"/>
      <c r="I96" s="14"/>
      <c r="J96" s="14"/>
      <c r="K96" s="12"/>
    </row>
    <row r="97" ht="19.5" customHeight="1">
      <c r="A97" s="12"/>
      <c r="C97" s="12"/>
      <c r="D97" s="13"/>
      <c r="F97" s="14"/>
      <c r="G97" s="14"/>
      <c r="H97" s="14"/>
      <c r="I97" s="14"/>
      <c r="J97" s="14"/>
      <c r="K97" s="12"/>
    </row>
    <row r="98" ht="19.5" customHeight="1">
      <c r="A98" s="12"/>
      <c r="C98" s="12"/>
      <c r="D98" s="13"/>
      <c r="F98" s="14"/>
      <c r="G98" s="14"/>
      <c r="H98" s="14"/>
      <c r="I98" s="14"/>
      <c r="J98" s="14"/>
      <c r="K98" s="12"/>
    </row>
    <row r="99" ht="19.5" customHeight="1">
      <c r="A99" s="12"/>
      <c r="C99" s="12"/>
      <c r="D99" s="13"/>
      <c r="F99" s="14"/>
      <c r="G99" s="14"/>
      <c r="H99" s="14"/>
      <c r="I99" s="14"/>
      <c r="J99" s="14"/>
      <c r="K99" s="12"/>
    </row>
    <row r="100" ht="19.5" customHeight="1">
      <c r="A100" s="12"/>
      <c r="C100" s="12"/>
      <c r="D100" s="13"/>
      <c r="F100" s="14"/>
      <c r="G100" s="14"/>
      <c r="H100" s="14"/>
      <c r="I100" s="14"/>
      <c r="J100" s="14"/>
      <c r="K100" s="12"/>
    </row>
    <row r="101" ht="19.5" customHeight="1">
      <c r="A101" s="12"/>
      <c r="C101" s="12"/>
      <c r="D101" s="13"/>
      <c r="F101" s="14"/>
      <c r="G101" s="14"/>
      <c r="H101" s="14"/>
      <c r="I101" s="14"/>
      <c r="J101" s="14"/>
      <c r="K101" s="12"/>
    </row>
    <row r="102" ht="19.5" customHeight="1">
      <c r="A102" s="12"/>
      <c r="C102" s="12"/>
      <c r="D102" s="13"/>
      <c r="F102" s="14"/>
      <c r="G102" s="14"/>
      <c r="H102" s="14"/>
      <c r="I102" s="14"/>
      <c r="J102" s="14"/>
      <c r="K102" s="12"/>
    </row>
    <row r="103" ht="19.5" customHeight="1">
      <c r="A103" s="12"/>
      <c r="C103" s="12"/>
      <c r="D103" s="13"/>
      <c r="F103" s="14"/>
      <c r="G103" s="14"/>
      <c r="H103" s="14"/>
      <c r="I103" s="14"/>
      <c r="J103" s="14"/>
      <c r="K103" s="12"/>
    </row>
    <row r="104" ht="19.5" customHeight="1">
      <c r="A104" s="12"/>
      <c r="C104" s="12"/>
      <c r="D104" s="13"/>
      <c r="F104" s="14"/>
      <c r="G104" s="14"/>
      <c r="H104" s="14"/>
      <c r="I104" s="14"/>
      <c r="J104" s="14"/>
      <c r="K104" s="12"/>
    </row>
    <row r="105" ht="19.5" customHeight="1">
      <c r="A105" s="12"/>
      <c r="C105" s="12"/>
      <c r="D105" s="13"/>
      <c r="F105" s="14"/>
      <c r="G105" s="14"/>
      <c r="H105" s="14"/>
      <c r="I105" s="14"/>
      <c r="J105" s="14"/>
      <c r="K105" s="12"/>
    </row>
    <row r="106" ht="19.5" customHeight="1">
      <c r="A106" s="12"/>
      <c r="C106" s="12"/>
      <c r="D106" s="13"/>
      <c r="F106" s="14"/>
      <c r="G106" s="14"/>
      <c r="H106" s="14"/>
      <c r="I106" s="14"/>
      <c r="J106" s="14"/>
      <c r="K106" s="12"/>
    </row>
    <row r="107" ht="19.5" customHeight="1">
      <c r="A107" s="12"/>
      <c r="C107" s="12"/>
      <c r="D107" s="13"/>
      <c r="F107" s="14"/>
      <c r="G107" s="14"/>
      <c r="H107" s="14"/>
      <c r="I107" s="14"/>
      <c r="J107" s="14"/>
      <c r="K107" s="12"/>
    </row>
    <row r="108" ht="19.5" customHeight="1">
      <c r="A108" s="12"/>
      <c r="C108" s="12"/>
      <c r="D108" s="13"/>
      <c r="F108" s="14"/>
      <c r="G108" s="14"/>
      <c r="H108" s="14"/>
      <c r="I108" s="14"/>
      <c r="J108" s="14"/>
      <c r="K108" s="12"/>
    </row>
    <row r="109" ht="19.5" customHeight="1">
      <c r="A109" s="12"/>
      <c r="C109" s="12"/>
      <c r="D109" s="13"/>
      <c r="F109" s="14"/>
      <c r="G109" s="14"/>
      <c r="H109" s="14"/>
      <c r="I109" s="14"/>
      <c r="J109" s="14"/>
      <c r="K109" s="12"/>
    </row>
    <row r="110" ht="19.5" customHeight="1">
      <c r="A110" s="12"/>
      <c r="C110" s="12"/>
      <c r="D110" s="13"/>
      <c r="F110" s="14"/>
      <c r="G110" s="14"/>
      <c r="H110" s="14"/>
      <c r="I110" s="14"/>
      <c r="J110" s="14"/>
      <c r="K110" s="12"/>
    </row>
    <row r="111" ht="19.5" customHeight="1">
      <c r="A111" s="12"/>
      <c r="C111" s="12"/>
      <c r="D111" s="13"/>
      <c r="F111" s="14"/>
      <c r="G111" s="14"/>
      <c r="H111" s="14"/>
      <c r="I111" s="14"/>
      <c r="J111" s="14"/>
      <c r="K111" s="12"/>
    </row>
    <row r="112" ht="19.5" customHeight="1">
      <c r="A112" s="12"/>
      <c r="C112" s="12"/>
      <c r="D112" s="13"/>
      <c r="F112" s="14"/>
      <c r="G112" s="14"/>
      <c r="H112" s="14"/>
      <c r="I112" s="14"/>
      <c r="J112" s="14"/>
      <c r="K112" s="12"/>
    </row>
    <row r="113" ht="19.5" customHeight="1">
      <c r="A113" s="12"/>
      <c r="C113" s="12"/>
      <c r="D113" s="13"/>
      <c r="F113" s="14"/>
      <c r="G113" s="14"/>
      <c r="H113" s="14"/>
      <c r="I113" s="14"/>
      <c r="J113" s="14"/>
      <c r="K113" s="12"/>
    </row>
    <row r="114" ht="19.5" customHeight="1">
      <c r="A114" s="12"/>
      <c r="C114" s="12"/>
      <c r="D114" s="13"/>
      <c r="F114" s="14"/>
      <c r="G114" s="14"/>
      <c r="H114" s="14"/>
      <c r="I114" s="14"/>
      <c r="J114" s="14"/>
      <c r="K114" s="12"/>
    </row>
    <row r="115" ht="19.5" customHeight="1">
      <c r="A115" s="12"/>
      <c r="C115" s="12"/>
      <c r="D115" s="13"/>
      <c r="F115" s="14"/>
      <c r="G115" s="14"/>
      <c r="H115" s="14"/>
      <c r="I115" s="14"/>
      <c r="J115" s="14"/>
      <c r="K115" s="12"/>
    </row>
    <row r="116" ht="19.5" customHeight="1">
      <c r="A116" s="12"/>
      <c r="C116" s="12"/>
      <c r="D116" s="13"/>
      <c r="F116" s="14"/>
      <c r="G116" s="14"/>
      <c r="H116" s="14"/>
      <c r="I116" s="14"/>
      <c r="J116" s="14"/>
      <c r="K116" s="12"/>
    </row>
    <row r="117" ht="19.5" customHeight="1">
      <c r="A117" s="12"/>
      <c r="C117" s="12"/>
      <c r="D117" s="13"/>
      <c r="F117" s="14"/>
      <c r="G117" s="14"/>
      <c r="H117" s="14"/>
      <c r="I117" s="14"/>
      <c r="J117" s="14"/>
      <c r="K117" s="12"/>
    </row>
    <row r="118" ht="19.5" customHeight="1">
      <c r="A118" s="12"/>
      <c r="C118" s="12"/>
      <c r="D118" s="13"/>
      <c r="F118" s="14"/>
      <c r="G118" s="14"/>
      <c r="H118" s="14"/>
      <c r="I118" s="14"/>
      <c r="J118" s="14"/>
      <c r="K118" s="12"/>
    </row>
    <row r="119" ht="19.5" customHeight="1">
      <c r="A119" s="12"/>
      <c r="C119" s="12"/>
      <c r="D119" s="13"/>
      <c r="F119" s="14"/>
      <c r="G119" s="14"/>
      <c r="H119" s="14"/>
      <c r="I119" s="14"/>
      <c r="J119" s="14"/>
      <c r="K119" s="12"/>
    </row>
    <row r="120" ht="19.5" customHeight="1">
      <c r="A120" s="12"/>
      <c r="C120" s="12"/>
      <c r="D120" s="13"/>
      <c r="F120" s="14"/>
      <c r="G120" s="14"/>
      <c r="H120" s="14"/>
      <c r="I120" s="14"/>
      <c r="J120" s="14"/>
      <c r="K120" s="12"/>
    </row>
    <row r="121" ht="19.5" customHeight="1">
      <c r="A121" s="12"/>
      <c r="C121" s="12"/>
      <c r="D121" s="13"/>
      <c r="F121" s="14"/>
      <c r="G121" s="14"/>
      <c r="H121" s="14"/>
      <c r="I121" s="14"/>
      <c r="J121" s="14"/>
      <c r="K121" s="12"/>
    </row>
    <row r="122" ht="19.5" customHeight="1">
      <c r="A122" s="12"/>
      <c r="C122" s="12"/>
      <c r="D122" s="13"/>
      <c r="F122" s="14"/>
      <c r="G122" s="14"/>
      <c r="H122" s="14"/>
      <c r="I122" s="14"/>
      <c r="J122" s="14"/>
      <c r="K122" s="12"/>
    </row>
    <row r="123" ht="19.5" customHeight="1">
      <c r="A123" s="12"/>
      <c r="C123" s="12"/>
      <c r="D123" s="13"/>
      <c r="F123" s="14"/>
      <c r="G123" s="14"/>
      <c r="H123" s="14"/>
      <c r="I123" s="14"/>
      <c r="J123" s="14"/>
      <c r="K123" s="12"/>
    </row>
    <row r="124" ht="19.5" customHeight="1">
      <c r="A124" s="12"/>
      <c r="C124" s="12"/>
      <c r="D124" s="13"/>
      <c r="F124" s="14"/>
      <c r="G124" s="14"/>
      <c r="H124" s="14"/>
      <c r="I124" s="14"/>
      <c r="J124" s="14"/>
      <c r="K124" s="12"/>
    </row>
    <row r="125" ht="19.5" customHeight="1">
      <c r="A125" s="12"/>
      <c r="C125" s="12"/>
      <c r="D125" s="13"/>
      <c r="F125" s="14"/>
      <c r="G125" s="14"/>
      <c r="H125" s="14"/>
      <c r="I125" s="14"/>
      <c r="J125" s="14"/>
      <c r="K125" s="12"/>
    </row>
    <row r="126" ht="19.5" customHeight="1">
      <c r="A126" s="12"/>
      <c r="C126" s="12"/>
      <c r="D126" s="13"/>
      <c r="F126" s="14"/>
      <c r="G126" s="14"/>
      <c r="H126" s="14"/>
      <c r="I126" s="14"/>
      <c r="J126" s="14"/>
      <c r="K126" s="12"/>
    </row>
    <row r="127" ht="19.5" customHeight="1">
      <c r="A127" s="12"/>
      <c r="C127" s="12"/>
      <c r="D127" s="13"/>
      <c r="F127" s="14"/>
      <c r="G127" s="14"/>
      <c r="H127" s="14"/>
      <c r="I127" s="14"/>
      <c r="J127" s="14"/>
      <c r="K127" s="12"/>
    </row>
    <row r="128" ht="19.5" customHeight="1">
      <c r="A128" s="12"/>
      <c r="C128" s="12"/>
      <c r="D128" s="13"/>
      <c r="F128" s="14"/>
      <c r="G128" s="14"/>
      <c r="H128" s="14"/>
      <c r="I128" s="14"/>
      <c r="J128" s="14"/>
      <c r="K128" s="12"/>
    </row>
    <row r="129" ht="19.5" customHeight="1">
      <c r="A129" s="12"/>
      <c r="C129" s="12"/>
      <c r="D129" s="13"/>
      <c r="F129" s="14"/>
      <c r="G129" s="14"/>
      <c r="H129" s="14"/>
      <c r="I129" s="14"/>
      <c r="J129" s="14"/>
      <c r="K129" s="12"/>
    </row>
    <row r="130" ht="19.5" customHeight="1">
      <c r="A130" s="12"/>
      <c r="C130" s="12"/>
      <c r="D130" s="13"/>
      <c r="F130" s="14"/>
      <c r="G130" s="14"/>
      <c r="H130" s="14"/>
      <c r="I130" s="14"/>
      <c r="J130" s="14"/>
      <c r="K130" s="12"/>
    </row>
    <row r="131" ht="19.5" customHeight="1">
      <c r="A131" s="12"/>
      <c r="C131" s="12"/>
      <c r="D131" s="13"/>
      <c r="F131" s="14"/>
      <c r="G131" s="14"/>
      <c r="H131" s="14"/>
      <c r="I131" s="14"/>
      <c r="J131" s="14"/>
      <c r="K131" s="12"/>
    </row>
    <row r="132" ht="19.5" customHeight="1">
      <c r="A132" s="12"/>
      <c r="C132" s="12"/>
      <c r="D132" s="13"/>
      <c r="F132" s="14"/>
      <c r="G132" s="14"/>
      <c r="H132" s="14"/>
      <c r="I132" s="14"/>
      <c r="J132" s="14"/>
      <c r="K132" s="12"/>
    </row>
    <row r="133" ht="19.5" customHeight="1">
      <c r="A133" s="12"/>
      <c r="C133" s="12"/>
      <c r="D133" s="13"/>
      <c r="F133" s="14"/>
      <c r="G133" s="14"/>
      <c r="H133" s="14"/>
      <c r="I133" s="14"/>
      <c r="J133" s="14"/>
      <c r="K133" s="12"/>
    </row>
    <row r="134" ht="19.5" customHeight="1">
      <c r="A134" s="12"/>
      <c r="C134" s="12"/>
      <c r="D134" s="13"/>
      <c r="F134" s="14"/>
      <c r="G134" s="14"/>
      <c r="H134" s="14"/>
      <c r="I134" s="14"/>
      <c r="J134" s="14"/>
      <c r="K134" s="12"/>
    </row>
    <row r="135" ht="19.5" customHeight="1">
      <c r="A135" s="12"/>
      <c r="C135" s="12"/>
      <c r="D135" s="13"/>
      <c r="F135" s="14"/>
      <c r="G135" s="14"/>
      <c r="H135" s="14"/>
      <c r="I135" s="14"/>
      <c r="J135" s="14"/>
      <c r="K135" s="12"/>
    </row>
    <row r="136" ht="19.5" customHeight="1">
      <c r="A136" s="12"/>
      <c r="C136" s="12"/>
      <c r="D136" s="13"/>
      <c r="F136" s="14"/>
      <c r="G136" s="14"/>
      <c r="H136" s="14"/>
      <c r="I136" s="14"/>
      <c r="J136" s="14"/>
      <c r="K136" s="12"/>
    </row>
    <row r="137" ht="19.5" customHeight="1">
      <c r="A137" s="12"/>
      <c r="C137" s="12"/>
      <c r="D137" s="13"/>
      <c r="F137" s="14"/>
      <c r="G137" s="14"/>
      <c r="H137" s="14"/>
      <c r="I137" s="14"/>
      <c r="J137" s="14"/>
      <c r="K137" s="12"/>
    </row>
    <row r="138" ht="19.5" customHeight="1">
      <c r="A138" s="12"/>
      <c r="C138" s="12"/>
      <c r="D138" s="13"/>
      <c r="F138" s="14"/>
      <c r="G138" s="14"/>
      <c r="H138" s="14"/>
      <c r="I138" s="14"/>
      <c r="J138" s="14"/>
      <c r="K138" s="12"/>
    </row>
    <row r="139" ht="19.5" customHeight="1">
      <c r="A139" s="12"/>
      <c r="C139" s="12"/>
      <c r="D139" s="13"/>
      <c r="F139" s="14"/>
      <c r="G139" s="14"/>
      <c r="H139" s="14"/>
      <c r="I139" s="14"/>
      <c r="J139" s="14"/>
      <c r="K139" s="12"/>
    </row>
    <row r="140" ht="19.5" customHeight="1">
      <c r="A140" s="12"/>
      <c r="C140" s="12"/>
      <c r="D140" s="13"/>
      <c r="F140" s="14"/>
      <c r="G140" s="14"/>
      <c r="H140" s="14"/>
      <c r="I140" s="14"/>
      <c r="J140" s="14"/>
      <c r="K140" s="12"/>
    </row>
    <row r="141" ht="19.5" customHeight="1">
      <c r="A141" s="12"/>
      <c r="C141" s="12"/>
      <c r="D141" s="13"/>
      <c r="F141" s="14"/>
      <c r="G141" s="14"/>
      <c r="H141" s="14"/>
      <c r="I141" s="14"/>
      <c r="J141" s="14"/>
      <c r="K141" s="12"/>
    </row>
    <row r="142" ht="19.5" customHeight="1">
      <c r="A142" s="12"/>
      <c r="C142" s="12"/>
      <c r="D142" s="13"/>
      <c r="F142" s="14"/>
      <c r="G142" s="14"/>
      <c r="H142" s="14"/>
      <c r="I142" s="14"/>
      <c r="J142" s="14"/>
      <c r="K142" s="12"/>
    </row>
    <row r="143" ht="19.5" customHeight="1">
      <c r="A143" s="12"/>
      <c r="C143" s="12"/>
      <c r="D143" s="13"/>
      <c r="F143" s="14"/>
      <c r="G143" s="14"/>
      <c r="H143" s="14"/>
      <c r="I143" s="14"/>
      <c r="J143" s="14"/>
      <c r="K143" s="12"/>
    </row>
    <row r="144" ht="19.5" customHeight="1">
      <c r="A144" s="12"/>
      <c r="C144" s="12"/>
      <c r="D144" s="13"/>
      <c r="F144" s="14"/>
      <c r="G144" s="14"/>
      <c r="H144" s="14"/>
      <c r="I144" s="14"/>
      <c r="J144" s="14"/>
      <c r="K144" s="12"/>
    </row>
    <row r="145" ht="19.5" customHeight="1">
      <c r="A145" s="12"/>
      <c r="C145" s="12"/>
      <c r="D145" s="13"/>
      <c r="F145" s="14"/>
      <c r="G145" s="14"/>
      <c r="H145" s="14"/>
      <c r="I145" s="14"/>
      <c r="J145" s="14"/>
      <c r="K145" s="12"/>
    </row>
    <row r="146" ht="19.5" customHeight="1">
      <c r="A146" s="12"/>
      <c r="C146" s="12"/>
      <c r="D146" s="13"/>
      <c r="F146" s="14"/>
      <c r="G146" s="14"/>
      <c r="H146" s="14"/>
      <c r="I146" s="14"/>
      <c r="J146" s="14"/>
      <c r="K146" s="12"/>
    </row>
    <row r="147" ht="19.5" customHeight="1">
      <c r="A147" s="12"/>
      <c r="C147" s="12"/>
      <c r="D147" s="13"/>
      <c r="F147" s="14"/>
      <c r="G147" s="14"/>
      <c r="H147" s="14"/>
      <c r="I147" s="14"/>
      <c r="J147" s="14"/>
      <c r="K147" s="12"/>
    </row>
    <row r="148" ht="19.5" customHeight="1">
      <c r="A148" s="12"/>
      <c r="C148" s="12"/>
      <c r="D148" s="13"/>
      <c r="F148" s="14"/>
      <c r="G148" s="14"/>
      <c r="H148" s="14"/>
      <c r="I148" s="14"/>
      <c r="J148" s="14"/>
      <c r="K148" s="12"/>
    </row>
    <row r="149" ht="19.5" customHeight="1">
      <c r="A149" s="12"/>
      <c r="C149" s="12"/>
      <c r="D149" s="13"/>
      <c r="F149" s="14"/>
      <c r="G149" s="14"/>
      <c r="H149" s="14"/>
      <c r="I149" s="14"/>
      <c r="J149" s="14"/>
      <c r="K149" s="12"/>
    </row>
    <row r="150" ht="19.5" customHeight="1">
      <c r="A150" s="12"/>
      <c r="C150" s="12"/>
      <c r="D150" s="13"/>
      <c r="F150" s="14"/>
      <c r="G150" s="14"/>
      <c r="H150" s="14"/>
      <c r="I150" s="14"/>
      <c r="J150" s="14"/>
      <c r="K150" s="12"/>
    </row>
    <row r="151" ht="19.5" customHeight="1">
      <c r="A151" s="12"/>
      <c r="C151" s="12"/>
      <c r="D151" s="13"/>
      <c r="F151" s="14"/>
      <c r="G151" s="14"/>
      <c r="H151" s="14"/>
      <c r="I151" s="14"/>
      <c r="J151" s="14"/>
      <c r="K151" s="12"/>
    </row>
    <row r="152" ht="19.5" customHeight="1">
      <c r="A152" s="12"/>
      <c r="C152" s="12"/>
      <c r="D152" s="13"/>
      <c r="F152" s="14"/>
      <c r="G152" s="14"/>
      <c r="H152" s="14"/>
      <c r="I152" s="14"/>
      <c r="J152" s="14"/>
      <c r="K152" s="12"/>
    </row>
    <row r="153" ht="19.5" customHeight="1">
      <c r="A153" s="12"/>
      <c r="C153" s="12"/>
      <c r="D153" s="13"/>
      <c r="F153" s="14"/>
      <c r="G153" s="14"/>
      <c r="H153" s="14"/>
      <c r="I153" s="14"/>
      <c r="J153" s="14"/>
      <c r="K153" s="12"/>
    </row>
    <row r="154" ht="19.5" customHeight="1">
      <c r="A154" s="12"/>
      <c r="C154" s="12"/>
      <c r="D154" s="13"/>
      <c r="F154" s="14"/>
      <c r="G154" s="14"/>
      <c r="H154" s="14"/>
      <c r="I154" s="14"/>
      <c r="J154" s="14"/>
      <c r="K154" s="12"/>
    </row>
    <row r="155" ht="19.5" customHeight="1">
      <c r="A155" s="12"/>
      <c r="C155" s="12"/>
      <c r="D155" s="13"/>
      <c r="F155" s="14"/>
      <c r="G155" s="14"/>
      <c r="H155" s="14"/>
      <c r="I155" s="14"/>
      <c r="J155" s="14"/>
      <c r="K155" s="12"/>
    </row>
    <row r="156" ht="19.5" customHeight="1">
      <c r="A156" s="12"/>
      <c r="C156" s="12"/>
      <c r="D156" s="13"/>
      <c r="F156" s="14"/>
      <c r="G156" s="14"/>
      <c r="H156" s="14"/>
      <c r="I156" s="14"/>
      <c r="J156" s="14"/>
      <c r="K156" s="12"/>
    </row>
    <row r="157" ht="19.5" customHeight="1">
      <c r="A157" s="12"/>
      <c r="C157" s="12"/>
      <c r="D157" s="13"/>
      <c r="F157" s="14"/>
      <c r="G157" s="14"/>
      <c r="H157" s="14"/>
      <c r="I157" s="14"/>
      <c r="J157" s="14"/>
      <c r="K157" s="12"/>
    </row>
    <row r="158" ht="19.5" customHeight="1">
      <c r="A158" s="12"/>
      <c r="C158" s="12"/>
      <c r="D158" s="13"/>
      <c r="F158" s="14"/>
      <c r="G158" s="14"/>
      <c r="H158" s="14"/>
      <c r="I158" s="14"/>
      <c r="J158" s="14"/>
      <c r="K158" s="12"/>
    </row>
    <row r="159" ht="19.5" customHeight="1">
      <c r="A159" s="12"/>
      <c r="C159" s="12"/>
      <c r="D159" s="13"/>
      <c r="F159" s="14"/>
      <c r="G159" s="14"/>
      <c r="H159" s="14"/>
      <c r="I159" s="14"/>
      <c r="J159" s="14"/>
      <c r="K159" s="12"/>
    </row>
    <row r="160" ht="19.5" customHeight="1">
      <c r="A160" s="12"/>
      <c r="C160" s="12"/>
      <c r="D160" s="13"/>
      <c r="F160" s="14"/>
      <c r="G160" s="14"/>
      <c r="H160" s="14"/>
      <c r="I160" s="14"/>
      <c r="J160" s="14"/>
      <c r="K160" s="12"/>
    </row>
    <row r="161" ht="19.5" customHeight="1">
      <c r="A161" s="12"/>
      <c r="C161" s="12"/>
      <c r="D161" s="13"/>
      <c r="F161" s="14"/>
      <c r="G161" s="14"/>
      <c r="H161" s="14"/>
      <c r="I161" s="14"/>
      <c r="J161" s="14"/>
      <c r="K161" s="12"/>
    </row>
    <row r="162" ht="19.5" customHeight="1">
      <c r="A162" s="12"/>
      <c r="C162" s="12"/>
      <c r="D162" s="13"/>
      <c r="F162" s="14"/>
      <c r="G162" s="14"/>
      <c r="H162" s="14"/>
      <c r="I162" s="14"/>
      <c r="J162" s="14"/>
      <c r="K162" s="12"/>
    </row>
    <row r="163" ht="19.5" customHeight="1">
      <c r="A163" s="12"/>
      <c r="C163" s="12"/>
      <c r="D163" s="13"/>
      <c r="F163" s="14"/>
      <c r="G163" s="14"/>
      <c r="H163" s="14"/>
      <c r="I163" s="14"/>
      <c r="J163" s="14"/>
      <c r="K163" s="12"/>
    </row>
    <row r="164" ht="19.5" customHeight="1">
      <c r="A164" s="12"/>
      <c r="C164" s="12"/>
      <c r="D164" s="13"/>
      <c r="F164" s="14"/>
      <c r="G164" s="14"/>
      <c r="H164" s="14"/>
      <c r="I164" s="14"/>
      <c r="J164" s="14"/>
      <c r="K164" s="12"/>
    </row>
    <row r="165" ht="19.5" customHeight="1">
      <c r="A165" s="12"/>
      <c r="C165" s="12"/>
      <c r="D165" s="13"/>
      <c r="F165" s="14"/>
      <c r="G165" s="14"/>
      <c r="H165" s="14"/>
      <c r="I165" s="14"/>
      <c r="J165" s="14"/>
      <c r="K165" s="12"/>
    </row>
    <row r="166" ht="19.5" customHeight="1">
      <c r="A166" s="12"/>
      <c r="C166" s="12"/>
      <c r="D166" s="13"/>
      <c r="F166" s="14"/>
      <c r="G166" s="14"/>
      <c r="H166" s="14"/>
      <c r="I166" s="14"/>
      <c r="J166" s="14"/>
      <c r="K166" s="12"/>
    </row>
    <row r="167" ht="19.5" customHeight="1">
      <c r="A167" s="12"/>
      <c r="C167" s="12"/>
      <c r="D167" s="13"/>
      <c r="F167" s="14"/>
      <c r="G167" s="14"/>
      <c r="H167" s="14"/>
      <c r="I167" s="14"/>
      <c r="J167" s="14"/>
      <c r="K167" s="12"/>
    </row>
    <row r="168" ht="19.5" customHeight="1">
      <c r="A168" s="12"/>
      <c r="C168" s="12"/>
      <c r="D168" s="13"/>
      <c r="F168" s="14"/>
      <c r="G168" s="14"/>
      <c r="H168" s="14"/>
      <c r="I168" s="14"/>
      <c r="J168" s="14"/>
      <c r="K168" s="12"/>
    </row>
    <row r="169" ht="19.5" customHeight="1">
      <c r="A169" s="12"/>
      <c r="C169" s="12"/>
      <c r="D169" s="13"/>
      <c r="F169" s="14"/>
      <c r="G169" s="14"/>
      <c r="H169" s="14"/>
      <c r="I169" s="14"/>
      <c r="J169" s="14"/>
      <c r="K169" s="12"/>
    </row>
    <row r="170" ht="19.5" customHeight="1">
      <c r="A170" s="12"/>
      <c r="C170" s="12"/>
      <c r="D170" s="13"/>
      <c r="F170" s="14"/>
      <c r="G170" s="14"/>
      <c r="H170" s="14"/>
      <c r="I170" s="14"/>
      <c r="J170" s="14"/>
      <c r="K170" s="12"/>
    </row>
    <row r="171" ht="19.5" customHeight="1">
      <c r="A171" s="12"/>
      <c r="C171" s="12"/>
      <c r="D171" s="13"/>
      <c r="F171" s="14"/>
      <c r="G171" s="14"/>
      <c r="H171" s="14"/>
      <c r="I171" s="14"/>
      <c r="J171" s="14"/>
      <c r="K171" s="12"/>
    </row>
    <row r="172" ht="19.5" customHeight="1">
      <c r="A172" s="12"/>
      <c r="C172" s="12"/>
      <c r="D172" s="13"/>
      <c r="F172" s="14"/>
      <c r="G172" s="14"/>
      <c r="H172" s="14"/>
      <c r="I172" s="14"/>
      <c r="J172" s="14"/>
      <c r="K172" s="12"/>
    </row>
    <row r="173" ht="19.5" customHeight="1">
      <c r="A173" s="12"/>
      <c r="C173" s="12"/>
      <c r="D173" s="13"/>
      <c r="F173" s="14"/>
      <c r="G173" s="14"/>
      <c r="H173" s="14"/>
      <c r="I173" s="14"/>
      <c r="J173" s="14"/>
      <c r="K173" s="12"/>
    </row>
    <row r="174" ht="19.5" customHeight="1">
      <c r="A174" s="12"/>
      <c r="C174" s="12"/>
      <c r="D174" s="13"/>
      <c r="F174" s="14"/>
      <c r="G174" s="14"/>
      <c r="H174" s="14"/>
      <c r="I174" s="14"/>
      <c r="J174" s="14"/>
      <c r="K174" s="12"/>
    </row>
    <row r="175" ht="19.5" customHeight="1">
      <c r="A175" s="12"/>
      <c r="C175" s="12"/>
      <c r="D175" s="13"/>
      <c r="F175" s="14"/>
      <c r="G175" s="14"/>
      <c r="H175" s="14"/>
      <c r="I175" s="14"/>
      <c r="J175" s="14"/>
      <c r="K175" s="12"/>
    </row>
    <row r="176" ht="19.5" customHeight="1">
      <c r="A176" s="12"/>
      <c r="C176" s="12"/>
      <c r="D176" s="13"/>
      <c r="F176" s="14"/>
      <c r="G176" s="14"/>
      <c r="H176" s="14"/>
      <c r="I176" s="14"/>
      <c r="J176" s="14"/>
      <c r="K176" s="12"/>
    </row>
    <row r="177" ht="19.5" customHeight="1">
      <c r="A177" s="12"/>
      <c r="C177" s="12"/>
      <c r="D177" s="13"/>
      <c r="F177" s="14"/>
      <c r="G177" s="14"/>
      <c r="H177" s="14"/>
      <c r="I177" s="14"/>
      <c r="J177" s="14"/>
      <c r="K177" s="12"/>
    </row>
    <row r="178" ht="19.5" customHeight="1">
      <c r="A178" s="12"/>
      <c r="C178" s="12"/>
      <c r="D178" s="13"/>
      <c r="F178" s="14"/>
      <c r="G178" s="14"/>
      <c r="H178" s="14"/>
      <c r="I178" s="14"/>
      <c r="J178" s="14"/>
      <c r="K178" s="12"/>
    </row>
    <row r="179" ht="19.5" customHeight="1">
      <c r="A179" s="12"/>
      <c r="C179" s="12"/>
      <c r="D179" s="13"/>
      <c r="F179" s="14"/>
      <c r="G179" s="14"/>
      <c r="H179" s="14"/>
      <c r="I179" s="14"/>
      <c r="J179" s="14"/>
      <c r="K179" s="12"/>
    </row>
    <row r="180" ht="19.5" customHeight="1">
      <c r="A180" s="12"/>
      <c r="C180" s="12"/>
      <c r="D180" s="13"/>
      <c r="F180" s="14"/>
      <c r="G180" s="14"/>
      <c r="H180" s="14"/>
      <c r="I180" s="14"/>
      <c r="J180" s="14"/>
      <c r="K180" s="12"/>
    </row>
    <row r="181" ht="19.5" customHeight="1">
      <c r="A181" s="12"/>
      <c r="C181" s="12"/>
      <c r="D181" s="13"/>
      <c r="F181" s="14"/>
      <c r="G181" s="14"/>
      <c r="H181" s="14"/>
      <c r="I181" s="14"/>
      <c r="J181" s="14"/>
      <c r="K181" s="12"/>
    </row>
    <row r="182" ht="19.5" customHeight="1">
      <c r="A182" s="12"/>
      <c r="C182" s="12"/>
      <c r="D182" s="13"/>
      <c r="F182" s="14"/>
      <c r="G182" s="14"/>
      <c r="H182" s="14"/>
      <c r="I182" s="14"/>
      <c r="J182" s="14"/>
      <c r="K182" s="12"/>
    </row>
    <row r="183" ht="19.5" customHeight="1">
      <c r="A183" s="12"/>
      <c r="C183" s="12"/>
      <c r="D183" s="13"/>
      <c r="F183" s="14"/>
      <c r="G183" s="14"/>
      <c r="H183" s="14"/>
      <c r="I183" s="14"/>
      <c r="J183" s="14"/>
      <c r="K183" s="12"/>
    </row>
    <row r="184" ht="19.5" customHeight="1">
      <c r="A184" s="12"/>
      <c r="C184" s="12"/>
      <c r="D184" s="13"/>
      <c r="F184" s="14"/>
      <c r="G184" s="14"/>
      <c r="H184" s="14"/>
      <c r="I184" s="14"/>
      <c r="J184" s="14"/>
      <c r="K184" s="12"/>
    </row>
    <row r="185" ht="19.5" customHeight="1">
      <c r="A185" s="12"/>
      <c r="C185" s="12"/>
      <c r="D185" s="13"/>
      <c r="F185" s="14"/>
      <c r="G185" s="14"/>
      <c r="H185" s="14"/>
      <c r="I185" s="14"/>
      <c r="J185" s="14"/>
      <c r="K185" s="12"/>
    </row>
    <row r="186" ht="19.5" customHeight="1">
      <c r="A186" s="12"/>
      <c r="C186" s="12"/>
      <c r="D186" s="13"/>
      <c r="F186" s="14"/>
      <c r="G186" s="14"/>
      <c r="H186" s="14"/>
      <c r="I186" s="14"/>
      <c r="J186" s="14"/>
      <c r="K186" s="12"/>
    </row>
    <row r="187" ht="19.5" customHeight="1">
      <c r="A187" s="12"/>
      <c r="C187" s="12"/>
      <c r="D187" s="13"/>
      <c r="F187" s="14"/>
      <c r="G187" s="14"/>
      <c r="H187" s="14"/>
      <c r="I187" s="14"/>
      <c r="J187" s="14"/>
      <c r="K187" s="12"/>
    </row>
    <row r="188" ht="19.5" customHeight="1">
      <c r="A188" s="12"/>
      <c r="C188" s="12"/>
      <c r="D188" s="13"/>
      <c r="F188" s="14"/>
      <c r="G188" s="14"/>
      <c r="H188" s="14"/>
      <c r="I188" s="14"/>
      <c r="J188" s="14"/>
      <c r="K188" s="12"/>
    </row>
    <row r="189" ht="19.5" customHeight="1">
      <c r="A189" s="12"/>
      <c r="C189" s="12"/>
      <c r="D189" s="13"/>
      <c r="F189" s="14"/>
      <c r="G189" s="14"/>
      <c r="H189" s="14"/>
      <c r="I189" s="14"/>
      <c r="J189" s="14"/>
      <c r="K189" s="12"/>
    </row>
    <row r="190" ht="19.5" customHeight="1">
      <c r="A190" s="12"/>
      <c r="C190" s="12"/>
      <c r="D190" s="13"/>
      <c r="F190" s="14"/>
      <c r="G190" s="14"/>
      <c r="H190" s="14"/>
      <c r="I190" s="14"/>
      <c r="J190" s="14"/>
      <c r="K190" s="12"/>
    </row>
    <row r="191" ht="19.5" customHeight="1">
      <c r="A191" s="12"/>
      <c r="C191" s="12"/>
      <c r="D191" s="13"/>
      <c r="F191" s="14"/>
      <c r="G191" s="14"/>
      <c r="H191" s="14"/>
      <c r="I191" s="14"/>
      <c r="J191" s="14"/>
      <c r="K191" s="12"/>
    </row>
    <row r="192" ht="19.5" customHeight="1">
      <c r="A192" s="12"/>
      <c r="C192" s="12"/>
      <c r="D192" s="13"/>
      <c r="F192" s="14"/>
      <c r="G192" s="14"/>
      <c r="H192" s="14"/>
      <c r="I192" s="14"/>
      <c r="J192" s="14"/>
      <c r="K192" s="12"/>
    </row>
    <row r="193" ht="19.5" customHeight="1">
      <c r="A193" s="12"/>
      <c r="C193" s="12"/>
      <c r="D193" s="13"/>
      <c r="F193" s="14"/>
      <c r="G193" s="14"/>
      <c r="H193" s="14"/>
      <c r="I193" s="14"/>
      <c r="J193" s="14"/>
      <c r="K193" s="12"/>
    </row>
    <row r="194" ht="19.5" customHeight="1">
      <c r="A194" s="12"/>
      <c r="C194" s="12"/>
      <c r="D194" s="13"/>
      <c r="F194" s="14"/>
      <c r="G194" s="14"/>
      <c r="H194" s="14"/>
      <c r="I194" s="14"/>
      <c r="J194" s="14"/>
      <c r="K194" s="12"/>
    </row>
    <row r="195" ht="19.5" customHeight="1">
      <c r="A195" s="12"/>
      <c r="C195" s="12"/>
      <c r="D195" s="13"/>
      <c r="F195" s="14"/>
      <c r="G195" s="14"/>
      <c r="H195" s="14"/>
      <c r="I195" s="14"/>
      <c r="J195" s="14"/>
      <c r="K195" s="12"/>
    </row>
    <row r="196" ht="19.5" customHeight="1">
      <c r="A196" s="12"/>
      <c r="C196" s="12"/>
      <c r="D196" s="13"/>
      <c r="F196" s="14"/>
      <c r="G196" s="14"/>
      <c r="H196" s="14"/>
      <c r="I196" s="14"/>
      <c r="J196" s="14"/>
      <c r="K196" s="12"/>
    </row>
    <row r="197" ht="19.5" customHeight="1">
      <c r="A197" s="12"/>
      <c r="C197" s="12"/>
      <c r="D197" s="13"/>
      <c r="F197" s="14"/>
      <c r="G197" s="14"/>
      <c r="H197" s="14"/>
      <c r="I197" s="14"/>
      <c r="J197" s="14"/>
      <c r="K197" s="12"/>
    </row>
    <row r="198" ht="19.5" customHeight="1">
      <c r="A198" s="12"/>
      <c r="C198" s="12"/>
      <c r="D198" s="13"/>
      <c r="F198" s="14"/>
      <c r="G198" s="14"/>
      <c r="H198" s="14"/>
      <c r="I198" s="14"/>
      <c r="J198" s="14"/>
      <c r="K198" s="12"/>
    </row>
    <row r="199" ht="19.5" customHeight="1">
      <c r="A199" s="12"/>
      <c r="C199" s="12"/>
      <c r="D199" s="13"/>
      <c r="F199" s="14"/>
      <c r="G199" s="14"/>
      <c r="H199" s="14"/>
      <c r="I199" s="14"/>
      <c r="J199" s="14"/>
      <c r="K199" s="12"/>
    </row>
    <row r="200" ht="19.5" customHeight="1">
      <c r="A200" s="12"/>
      <c r="C200" s="12"/>
      <c r="D200" s="13"/>
      <c r="F200" s="14"/>
      <c r="G200" s="14"/>
      <c r="H200" s="14"/>
      <c r="I200" s="14"/>
      <c r="J200" s="14"/>
      <c r="K200" s="12"/>
    </row>
    <row r="201" ht="19.5" customHeight="1">
      <c r="A201" s="12"/>
      <c r="C201" s="12"/>
      <c r="D201" s="13"/>
      <c r="F201" s="14"/>
      <c r="G201" s="14"/>
      <c r="H201" s="14"/>
      <c r="I201" s="14"/>
      <c r="J201" s="14"/>
      <c r="K201" s="12"/>
    </row>
    <row r="202" ht="19.5" customHeight="1">
      <c r="A202" s="12"/>
      <c r="C202" s="12"/>
      <c r="D202" s="13"/>
      <c r="F202" s="14"/>
      <c r="G202" s="14"/>
      <c r="H202" s="14"/>
      <c r="I202" s="14"/>
      <c r="J202" s="14"/>
      <c r="K202" s="12"/>
    </row>
    <row r="203" ht="19.5" customHeight="1">
      <c r="A203" s="12"/>
      <c r="C203" s="12"/>
      <c r="D203" s="13"/>
      <c r="F203" s="14"/>
      <c r="G203" s="14"/>
      <c r="H203" s="14"/>
      <c r="I203" s="14"/>
      <c r="J203" s="14"/>
      <c r="K203" s="12"/>
    </row>
    <row r="204" ht="19.5" customHeight="1">
      <c r="A204" s="12"/>
      <c r="C204" s="12"/>
      <c r="D204" s="13"/>
      <c r="F204" s="14"/>
      <c r="G204" s="14"/>
      <c r="H204" s="14"/>
      <c r="I204" s="14"/>
      <c r="J204" s="14"/>
      <c r="K204" s="12"/>
    </row>
    <row r="205" ht="19.5" customHeight="1">
      <c r="A205" s="12"/>
      <c r="C205" s="12"/>
      <c r="D205" s="13"/>
      <c r="F205" s="14"/>
      <c r="G205" s="14"/>
      <c r="H205" s="14"/>
      <c r="I205" s="14"/>
      <c r="J205" s="14"/>
      <c r="K205" s="12"/>
    </row>
    <row r="206" ht="19.5" customHeight="1">
      <c r="A206" s="12"/>
      <c r="C206" s="12"/>
      <c r="D206" s="13"/>
      <c r="F206" s="14"/>
      <c r="G206" s="14"/>
      <c r="H206" s="14"/>
      <c r="I206" s="14"/>
      <c r="J206" s="14"/>
      <c r="K206" s="12"/>
    </row>
    <row r="207" ht="19.5" customHeight="1">
      <c r="A207" s="12"/>
      <c r="C207" s="12"/>
      <c r="D207" s="13"/>
      <c r="F207" s="14"/>
      <c r="G207" s="14"/>
      <c r="H207" s="14"/>
      <c r="I207" s="14"/>
      <c r="J207" s="14"/>
      <c r="K207" s="12"/>
    </row>
    <row r="208" ht="19.5" customHeight="1">
      <c r="A208" s="12"/>
      <c r="C208" s="12"/>
      <c r="D208" s="13"/>
      <c r="F208" s="14"/>
      <c r="G208" s="14"/>
      <c r="H208" s="14"/>
      <c r="I208" s="14"/>
      <c r="J208" s="14"/>
      <c r="K208" s="12"/>
    </row>
    <row r="209" ht="19.5" customHeight="1">
      <c r="A209" s="12"/>
      <c r="C209" s="12"/>
      <c r="D209" s="13"/>
      <c r="F209" s="14"/>
      <c r="G209" s="14"/>
      <c r="H209" s="14"/>
      <c r="I209" s="14"/>
      <c r="J209" s="14"/>
      <c r="K209" s="12"/>
    </row>
    <row r="210" ht="19.5" customHeight="1">
      <c r="A210" s="12"/>
      <c r="C210" s="12"/>
      <c r="D210" s="13"/>
      <c r="F210" s="14"/>
      <c r="G210" s="14"/>
      <c r="H210" s="14"/>
      <c r="I210" s="14"/>
      <c r="J210" s="14"/>
      <c r="K210" s="12"/>
    </row>
    <row r="211" ht="19.5" customHeight="1">
      <c r="A211" s="12"/>
      <c r="C211" s="12"/>
      <c r="D211" s="13"/>
      <c r="F211" s="14"/>
      <c r="G211" s="14"/>
      <c r="H211" s="14"/>
      <c r="I211" s="14"/>
      <c r="J211" s="14"/>
      <c r="K211" s="12"/>
    </row>
    <row r="212" ht="19.5" customHeight="1">
      <c r="A212" s="12"/>
      <c r="C212" s="12"/>
      <c r="D212" s="13"/>
      <c r="F212" s="14"/>
      <c r="G212" s="14"/>
      <c r="H212" s="14"/>
      <c r="I212" s="14"/>
      <c r="J212" s="14"/>
      <c r="K212" s="12"/>
    </row>
    <row r="213" ht="19.5" customHeight="1">
      <c r="A213" s="12"/>
      <c r="C213" s="12"/>
      <c r="D213" s="13"/>
      <c r="F213" s="14"/>
      <c r="G213" s="14"/>
      <c r="H213" s="14"/>
      <c r="I213" s="14"/>
      <c r="J213" s="14"/>
      <c r="K213" s="12"/>
    </row>
    <row r="214" ht="19.5" customHeight="1">
      <c r="A214" s="12"/>
      <c r="C214" s="12"/>
      <c r="D214" s="13"/>
      <c r="F214" s="14"/>
      <c r="G214" s="14"/>
      <c r="H214" s="14"/>
      <c r="I214" s="14"/>
      <c r="J214" s="14"/>
      <c r="K214" s="12"/>
    </row>
    <row r="215" ht="19.5" customHeight="1">
      <c r="A215" s="12"/>
      <c r="C215" s="12"/>
      <c r="D215" s="13"/>
      <c r="F215" s="14"/>
      <c r="G215" s="14"/>
      <c r="H215" s="14"/>
      <c r="I215" s="14"/>
      <c r="J215" s="14"/>
      <c r="K215" s="12"/>
    </row>
    <row r="216" ht="19.5" customHeight="1">
      <c r="A216" s="12"/>
      <c r="C216" s="12"/>
      <c r="D216" s="13"/>
      <c r="F216" s="14"/>
      <c r="G216" s="14"/>
      <c r="H216" s="14"/>
      <c r="I216" s="14"/>
      <c r="J216" s="14"/>
      <c r="K216" s="12"/>
    </row>
    <row r="217" ht="19.5" customHeight="1">
      <c r="A217" s="12"/>
      <c r="C217" s="12"/>
      <c r="D217" s="13"/>
      <c r="F217" s="14"/>
      <c r="G217" s="14"/>
      <c r="H217" s="14"/>
      <c r="I217" s="14"/>
      <c r="J217" s="14"/>
      <c r="K217" s="12"/>
    </row>
    <row r="218" ht="19.5" customHeight="1">
      <c r="A218" s="12"/>
      <c r="C218" s="12"/>
      <c r="D218" s="13"/>
      <c r="F218" s="14"/>
      <c r="G218" s="14"/>
      <c r="H218" s="14"/>
      <c r="I218" s="14"/>
      <c r="J218" s="14"/>
      <c r="K218" s="12"/>
    </row>
    <row r="219" ht="19.5" customHeight="1">
      <c r="A219" s="12"/>
      <c r="C219" s="12"/>
      <c r="D219" s="13"/>
      <c r="F219" s="14"/>
      <c r="G219" s="14"/>
      <c r="H219" s="14"/>
      <c r="I219" s="14"/>
      <c r="J219" s="14"/>
      <c r="K219" s="12"/>
    </row>
    <row r="220" ht="19.5" customHeight="1">
      <c r="A220" s="12"/>
      <c r="C220" s="12"/>
      <c r="D220" s="13"/>
      <c r="F220" s="14"/>
      <c r="G220" s="14"/>
      <c r="H220" s="14"/>
      <c r="I220" s="14"/>
      <c r="J220" s="14"/>
      <c r="K220" s="12"/>
    </row>
    <row r="221" ht="19.5" customHeight="1">
      <c r="A221" s="12"/>
      <c r="C221" s="12"/>
      <c r="D221" s="13"/>
      <c r="F221" s="14"/>
      <c r="G221" s="14"/>
      <c r="H221" s="14"/>
      <c r="I221" s="14"/>
      <c r="J221" s="14"/>
      <c r="K221" s="12"/>
    </row>
    <row r="222" ht="19.5" customHeight="1">
      <c r="A222" s="12"/>
      <c r="C222" s="12"/>
      <c r="D222" s="13"/>
      <c r="F222" s="14"/>
      <c r="G222" s="14"/>
      <c r="H222" s="14"/>
      <c r="I222" s="14"/>
      <c r="J222" s="14"/>
      <c r="K222" s="12"/>
    </row>
    <row r="223" ht="19.5" customHeight="1">
      <c r="A223" s="12"/>
      <c r="C223" s="12"/>
      <c r="D223" s="13"/>
      <c r="F223" s="14"/>
      <c r="G223" s="14"/>
      <c r="H223" s="14"/>
      <c r="I223" s="14"/>
      <c r="J223" s="14"/>
      <c r="K223" s="12"/>
    </row>
    <row r="224" ht="19.5" customHeight="1">
      <c r="A224" s="12"/>
      <c r="C224" s="12"/>
      <c r="D224" s="13"/>
      <c r="F224" s="14"/>
      <c r="G224" s="14"/>
      <c r="H224" s="14"/>
      <c r="I224" s="14"/>
      <c r="J224" s="14"/>
      <c r="K224" s="12"/>
    </row>
    <row r="225" ht="19.5" customHeight="1">
      <c r="A225" s="12"/>
      <c r="C225" s="12"/>
      <c r="D225" s="13"/>
      <c r="F225" s="14"/>
      <c r="G225" s="14"/>
      <c r="H225" s="14"/>
      <c r="I225" s="14"/>
      <c r="J225" s="14"/>
      <c r="K225" s="12"/>
    </row>
    <row r="226" ht="19.5" customHeight="1">
      <c r="A226" s="12"/>
      <c r="C226" s="12"/>
      <c r="D226" s="13"/>
      <c r="F226" s="14"/>
      <c r="G226" s="14"/>
      <c r="H226" s="14"/>
      <c r="I226" s="14"/>
      <c r="J226" s="14"/>
      <c r="K226" s="12"/>
    </row>
    <row r="227" ht="19.5" customHeight="1">
      <c r="A227" s="12"/>
      <c r="C227" s="12"/>
      <c r="D227" s="13"/>
      <c r="F227" s="14"/>
      <c r="G227" s="14"/>
      <c r="H227" s="14"/>
      <c r="I227" s="14"/>
      <c r="J227" s="14"/>
      <c r="K227" s="12"/>
    </row>
    <row r="228" ht="19.5" customHeight="1">
      <c r="A228" s="12"/>
      <c r="C228" s="12"/>
      <c r="D228" s="13"/>
      <c r="F228" s="14"/>
      <c r="G228" s="14"/>
      <c r="H228" s="14"/>
      <c r="I228" s="14"/>
      <c r="J228" s="14"/>
      <c r="K228" s="12"/>
    </row>
    <row r="229" ht="19.5" customHeight="1">
      <c r="A229" s="12"/>
      <c r="C229" s="12"/>
      <c r="D229" s="13"/>
      <c r="F229" s="14"/>
      <c r="G229" s="14"/>
      <c r="H229" s="14"/>
      <c r="I229" s="14"/>
      <c r="J229" s="14"/>
      <c r="K229" s="12"/>
    </row>
    <row r="230" ht="19.5" customHeight="1">
      <c r="A230" s="12"/>
      <c r="C230" s="12"/>
      <c r="D230" s="13"/>
      <c r="F230" s="14"/>
      <c r="G230" s="14"/>
      <c r="H230" s="14"/>
      <c r="I230" s="14"/>
      <c r="J230" s="14"/>
      <c r="K230" s="12"/>
    </row>
    <row r="231" ht="19.5" customHeight="1">
      <c r="A231" s="12"/>
      <c r="C231" s="12"/>
      <c r="D231" s="13"/>
      <c r="F231" s="14"/>
      <c r="G231" s="14"/>
      <c r="H231" s="14"/>
      <c r="I231" s="14"/>
      <c r="J231" s="14"/>
      <c r="K231" s="12"/>
    </row>
    <row r="232" ht="19.5" customHeight="1">
      <c r="A232" s="12"/>
      <c r="C232" s="12"/>
      <c r="D232" s="13"/>
      <c r="F232" s="14"/>
      <c r="G232" s="14"/>
      <c r="H232" s="14"/>
      <c r="I232" s="14"/>
      <c r="J232" s="14"/>
      <c r="K232" s="12"/>
    </row>
    <row r="233" ht="19.5" customHeight="1">
      <c r="A233" s="12"/>
      <c r="C233" s="12"/>
      <c r="D233" s="13"/>
      <c r="F233" s="14"/>
      <c r="G233" s="14"/>
      <c r="H233" s="14"/>
      <c r="I233" s="14"/>
      <c r="J233" s="14"/>
      <c r="K233" s="12"/>
    </row>
    <row r="234" ht="19.5" customHeight="1">
      <c r="A234" s="12"/>
      <c r="C234" s="12"/>
      <c r="D234" s="13"/>
      <c r="F234" s="14"/>
      <c r="G234" s="14"/>
      <c r="H234" s="14"/>
      <c r="I234" s="14"/>
      <c r="J234" s="14"/>
      <c r="K234" s="12"/>
    </row>
    <row r="235" ht="19.5" customHeight="1">
      <c r="A235" s="12"/>
      <c r="C235" s="12"/>
      <c r="D235" s="13"/>
      <c r="F235" s="14"/>
      <c r="G235" s="14"/>
      <c r="H235" s="14"/>
      <c r="I235" s="14"/>
      <c r="J235" s="14"/>
      <c r="K235" s="12"/>
    </row>
    <row r="236" ht="19.5" customHeight="1">
      <c r="A236" s="12"/>
      <c r="C236" s="12"/>
      <c r="D236" s="13"/>
      <c r="F236" s="14"/>
      <c r="G236" s="14"/>
      <c r="H236" s="14"/>
      <c r="I236" s="14"/>
      <c r="J236" s="14"/>
      <c r="K236" s="12"/>
    </row>
    <row r="237" ht="19.5" customHeight="1">
      <c r="A237" s="12"/>
      <c r="C237" s="12"/>
      <c r="D237" s="13"/>
      <c r="F237" s="14"/>
      <c r="G237" s="14"/>
      <c r="H237" s="14"/>
      <c r="I237" s="14"/>
      <c r="J237" s="14"/>
      <c r="K237" s="12"/>
    </row>
    <row r="238" ht="19.5" customHeight="1">
      <c r="A238" s="12"/>
      <c r="C238" s="12"/>
      <c r="D238" s="13"/>
      <c r="F238" s="14"/>
      <c r="G238" s="14"/>
      <c r="H238" s="14"/>
      <c r="I238" s="14"/>
      <c r="J238" s="14"/>
      <c r="K238" s="12"/>
    </row>
    <row r="239" ht="19.5" customHeight="1">
      <c r="A239" s="12"/>
      <c r="C239" s="12"/>
      <c r="D239" s="13"/>
      <c r="F239" s="14"/>
      <c r="G239" s="14"/>
      <c r="H239" s="14"/>
      <c r="I239" s="14"/>
      <c r="J239" s="14"/>
      <c r="K239" s="12"/>
    </row>
    <row r="240" ht="19.5" customHeight="1">
      <c r="A240" s="12"/>
      <c r="C240" s="12"/>
      <c r="D240" s="13"/>
      <c r="F240" s="14"/>
      <c r="G240" s="14"/>
      <c r="H240" s="14"/>
      <c r="I240" s="14"/>
      <c r="J240" s="14"/>
      <c r="K240" s="12"/>
    </row>
    <row r="241" ht="19.5" customHeight="1">
      <c r="A241" s="12"/>
      <c r="C241" s="12"/>
      <c r="D241" s="13"/>
      <c r="F241" s="14"/>
      <c r="G241" s="14"/>
      <c r="H241" s="14"/>
      <c r="I241" s="14"/>
      <c r="J241" s="14"/>
      <c r="K241" s="12"/>
    </row>
    <row r="242" ht="19.5" customHeight="1">
      <c r="A242" s="12"/>
      <c r="C242" s="12"/>
      <c r="D242" s="13"/>
      <c r="F242" s="14"/>
      <c r="G242" s="14"/>
      <c r="H242" s="14"/>
      <c r="I242" s="14"/>
      <c r="J242" s="14"/>
      <c r="K242" s="12"/>
    </row>
    <row r="243" ht="19.5" customHeight="1">
      <c r="A243" s="12"/>
      <c r="C243" s="12"/>
      <c r="D243" s="13"/>
      <c r="F243" s="14"/>
      <c r="G243" s="14"/>
      <c r="H243" s="14"/>
      <c r="I243" s="14"/>
      <c r="J243" s="14"/>
      <c r="K243" s="12"/>
    </row>
    <row r="244" ht="19.5" customHeight="1">
      <c r="A244" s="12"/>
      <c r="C244" s="12"/>
      <c r="D244" s="13"/>
      <c r="F244" s="14"/>
      <c r="G244" s="14"/>
      <c r="H244" s="14"/>
      <c r="I244" s="14"/>
      <c r="J244" s="14"/>
      <c r="K244" s="12"/>
    </row>
    <row r="245" ht="19.5" customHeight="1">
      <c r="A245" s="12"/>
      <c r="C245" s="12"/>
      <c r="D245" s="13"/>
      <c r="F245" s="14"/>
      <c r="G245" s="14"/>
      <c r="H245" s="14"/>
      <c r="I245" s="14"/>
      <c r="J245" s="14"/>
      <c r="K245" s="12"/>
    </row>
    <row r="246" ht="19.5" customHeight="1">
      <c r="A246" s="12"/>
      <c r="C246" s="12"/>
      <c r="D246" s="13"/>
      <c r="F246" s="14"/>
      <c r="G246" s="14"/>
      <c r="H246" s="14"/>
      <c r="I246" s="14"/>
      <c r="J246" s="14"/>
      <c r="K246" s="12"/>
    </row>
    <row r="247" ht="19.5" customHeight="1">
      <c r="A247" s="12"/>
      <c r="C247" s="12"/>
      <c r="D247" s="13"/>
      <c r="F247" s="14"/>
      <c r="G247" s="14"/>
      <c r="H247" s="14"/>
      <c r="I247" s="14"/>
      <c r="J247" s="14"/>
      <c r="K247" s="12"/>
    </row>
    <row r="248" ht="19.5" customHeight="1">
      <c r="A248" s="12"/>
      <c r="C248" s="12"/>
      <c r="D248" s="13"/>
      <c r="F248" s="14"/>
      <c r="G248" s="14"/>
      <c r="H248" s="14"/>
      <c r="I248" s="14"/>
      <c r="J248" s="14"/>
      <c r="K248" s="12"/>
    </row>
    <row r="249" ht="19.5" customHeight="1">
      <c r="A249" s="12"/>
      <c r="C249" s="12"/>
      <c r="D249" s="13"/>
      <c r="F249" s="14"/>
      <c r="G249" s="14"/>
      <c r="H249" s="14"/>
      <c r="I249" s="14"/>
      <c r="J249" s="14"/>
      <c r="K249" s="12"/>
    </row>
    <row r="250" ht="19.5" customHeight="1">
      <c r="A250" s="12"/>
      <c r="C250" s="12"/>
      <c r="D250" s="13"/>
      <c r="F250" s="14"/>
      <c r="G250" s="14"/>
      <c r="H250" s="14"/>
      <c r="I250" s="14"/>
      <c r="J250" s="14"/>
      <c r="K250" s="12"/>
    </row>
    <row r="251" ht="19.5" customHeight="1">
      <c r="A251" s="12"/>
      <c r="C251" s="12"/>
      <c r="D251" s="13"/>
      <c r="F251" s="14"/>
      <c r="G251" s="14"/>
      <c r="H251" s="14"/>
      <c r="I251" s="14"/>
      <c r="J251" s="14"/>
      <c r="K251" s="12"/>
    </row>
    <row r="252" ht="19.5" customHeight="1">
      <c r="A252" s="12"/>
      <c r="C252" s="12"/>
      <c r="D252" s="13"/>
      <c r="F252" s="14"/>
      <c r="G252" s="14"/>
      <c r="H252" s="14"/>
      <c r="I252" s="14"/>
      <c r="J252" s="14"/>
      <c r="K252" s="12"/>
    </row>
    <row r="253" ht="19.5" customHeight="1">
      <c r="A253" s="12"/>
      <c r="C253" s="12"/>
      <c r="D253" s="13"/>
      <c r="F253" s="14"/>
      <c r="G253" s="14"/>
      <c r="H253" s="14"/>
      <c r="I253" s="14"/>
      <c r="J253" s="14"/>
      <c r="K253" s="12"/>
    </row>
    <row r="254" ht="19.5" customHeight="1">
      <c r="A254" s="12"/>
      <c r="C254" s="12"/>
      <c r="D254" s="13"/>
      <c r="F254" s="14"/>
      <c r="G254" s="14"/>
      <c r="H254" s="14"/>
      <c r="I254" s="14"/>
      <c r="J254" s="14"/>
      <c r="K254" s="12"/>
    </row>
    <row r="255" ht="19.5" customHeight="1">
      <c r="A255" s="12"/>
      <c r="C255" s="12"/>
      <c r="D255" s="13"/>
      <c r="F255" s="14"/>
      <c r="G255" s="14"/>
      <c r="H255" s="14"/>
      <c r="I255" s="14"/>
      <c r="J255" s="14"/>
      <c r="K255" s="12"/>
    </row>
    <row r="256" ht="19.5" customHeight="1">
      <c r="A256" s="12"/>
      <c r="C256" s="12"/>
      <c r="D256" s="13"/>
      <c r="F256" s="14"/>
      <c r="G256" s="14"/>
      <c r="H256" s="14"/>
      <c r="I256" s="14"/>
      <c r="J256" s="14"/>
      <c r="K256" s="12"/>
    </row>
    <row r="257" ht="19.5" customHeight="1">
      <c r="A257" s="12"/>
      <c r="C257" s="12"/>
      <c r="D257" s="13"/>
      <c r="F257" s="14"/>
      <c r="G257" s="14"/>
      <c r="H257" s="14"/>
      <c r="I257" s="14"/>
      <c r="J257" s="14"/>
      <c r="K257" s="12"/>
    </row>
    <row r="258" ht="19.5" customHeight="1">
      <c r="A258" s="12"/>
      <c r="C258" s="12"/>
      <c r="D258" s="13"/>
      <c r="F258" s="14"/>
      <c r="G258" s="14"/>
      <c r="H258" s="14"/>
      <c r="I258" s="14"/>
      <c r="J258" s="14"/>
      <c r="K258" s="12"/>
    </row>
    <row r="259" ht="19.5" customHeight="1">
      <c r="A259" s="12"/>
      <c r="C259" s="12"/>
      <c r="D259" s="13"/>
      <c r="F259" s="14"/>
      <c r="G259" s="14"/>
      <c r="H259" s="14"/>
      <c r="I259" s="14"/>
      <c r="J259" s="14"/>
      <c r="K259" s="12"/>
    </row>
    <row r="260" ht="19.5" customHeight="1">
      <c r="A260" s="12"/>
      <c r="C260" s="12"/>
      <c r="D260" s="13"/>
      <c r="F260" s="14"/>
      <c r="G260" s="14"/>
      <c r="H260" s="14"/>
      <c r="I260" s="14"/>
      <c r="J260" s="14"/>
      <c r="K260" s="12"/>
    </row>
    <row r="261" ht="19.5" customHeight="1">
      <c r="A261" s="12"/>
      <c r="C261" s="12"/>
      <c r="D261" s="13"/>
      <c r="F261" s="14"/>
      <c r="G261" s="14"/>
      <c r="H261" s="14"/>
      <c r="I261" s="14"/>
      <c r="J261" s="14"/>
      <c r="K261" s="12"/>
    </row>
    <row r="262" ht="19.5" customHeight="1">
      <c r="A262" s="12"/>
      <c r="C262" s="12"/>
      <c r="D262" s="13"/>
      <c r="F262" s="14"/>
      <c r="G262" s="14"/>
      <c r="H262" s="14"/>
      <c r="I262" s="14"/>
      <c r="J262" s="14"/>
      <c r="K262" s="12"/>
    </row>
    <row r="263" ht="19.5" customHeight="1">
      <c r="A263" s="12"/>
      <c r="C263" s="12"/>
      <c r="D263" s="13"/>
      <c r="F263" s="14"/>
      <c r="G263" s="14"/>
      <c r="H263" s="14"/>
      <c r="I263" s="14"/>
      <c r="J263" s="14"/>
      <c r="K263" s="12"/>
    </row>
    <row r="264" ht="19.5" customHeight="1">
      <c r="A264" s="12"/>
      <c r="C264" s="12"/>
      <c r="D264" s="13"/>
      <c r="F264" s="14"/>
      <c r="G264" s="14"/>
      <c r="H264" s="14"/>
      <c r="I264" s="14"/>
      <c r="J264" s="14"/>
      <c r="K264" s="12"/>
    </row>
    <row r="265" ht="19.5" customHeight="1">
      <c r="A265" s="12"/>
      <c r="C265" s="12"/>
      <c r="D265" s="13"/>
      <c r="F265" s="14"/>
      <c r="G265" s="14"/>
      <c r="H265" s="14"/>
      <c r="I265" s="14"/>
      <c r="J265" s="14"/>
      <c r="K265" s="12"/>
    </row>
    <row r="266" ht="19.5" customHeight="1">
      <c r="A266" s="12"/>
      <c r="C266" s="12"/>
      <c r="D266" s="13"/>
      <c r="F266" s="14"/>
      <c r="G266" s="14"/>
      <c r="H266" s="14"/>
      <c r="I266" s="14"/>
      <c r="J266" s="14"/>
      <c r="K266" s="12"/>
    </row>
    <row r="267" ht="19.5" customHeight="1">
      <c r="A267" s="12"/>
      <c r="C267" s="12"/>
      <c r="D267" s="13"/>
      <c r="F267" s="14"/>
      <c r="G267" s="14"/>
      <c r="H267" s="14"/>
      <c r="I267" s="14"/>
      <c r="J267" s="14"/>
      <c r="K267" s="12"/>
    </row>
    <row r="268" ht="19.5" customHeight="1">
      <c r="A268" s="12"/>
      <c r="C268" s="12"/>
      <c r="D268" s="13"/>
      <c r="F268" s="14"/>
      <c r="G268" s="14"/>
      <c r="H268" s="14"/>
      <c r="I268" s="14"/>
      <c r="J268" s="14"/>
      <c r="K268" s="12"/>
    </row>
    <row r="269" ht="19.5" customHeight="1">
      <c r="A269" s="12"/>
      <c r="C269" s="12"/>
      <c r="D269" s="13"/>
      <c r="F269" s="14"/>
      <c r="G269" s="14"/>
      <c r="H269" s="14"/>
      <c r="I269" s="14"/>
      <c r="J269" s="14"/>
      <c r="K269" s="12"/>
    </row>
    <row r="270" ht="19.5" customHeight="1">
      <c r="A270" s="12"/>
      <c r="C270" s="12"/>
      <c r="D270" s="13"/>
      <c r="F270" s="14"/>
      <c r="G270" s="14"/>
      <c r="H270" s="14"/>
      <c r="I270" s="14"/>
      <c r="J270" s="14"/>
      <c r="K270" s="12"/>
    </row>
    <row r="271" ht="19.5" customHeight="1">
      <c r="A271" s="12"/>
      <c r="C271" s="12"/>
      <c r="D271" s="13"/>
      <c r="F271" s="14"/>
      <c r="G271" s="14"/>
      <c r="H271" s="14"/>
      <c r="I271" s="14"/>
      <c r="J271" s="14"/>
      <c r="K271" s="12"/>
    </row>
    <row r="272" ht="19.5" customHeight="1">
      <c r="A272" s="12"/>
      <c r="C272" s="12"/>
      <c r="D272" s="13"/>
      <c r="F272" s="14"/>
      <c r="G272" s="14"/>
      <c r="H272" s="14"/>
      <c r="I272" s="14"/>
      <c r="J272" s="14"/>
      <c r="K272" s="12"/>
    </row>
    <row r="273" ht="19.5" customHeight="1">
      <c r="A273" s="12"/>
      <c r="C273" s="12"/>
      <c r="D273" s="13"/>
      <c r="F273" s="14"/>
      <c r="G273" s="14"/>
      <c r="H273" s="14"/>
      <c r="I273" s="14"/>
      <c r="J273" s="14"/>
      <c r="K273" s="12"/>
    </row>
    <row r="274" ht="19.5" customHeight="1">
      <c r="A274" s="12"/>
      <c r="C274" s="12"/>
      <c r="D274" s="13"/>
      <c r="F274" s="14"/>
      <c r="G274" s="14"/>
      <c r="H274" s="14"/>
      <c r="I274" s="14"/>
      <c r="J274" s="14"/>
      <c r="K274" s="12"/>
    </row>
    <row r="275" ht="19.5" customHeight="1">
      <c r="A275" s="12"/>
      <c r="C275" s="12"/>
      <c r="D275" s="13"/>
      <c r="F275" s="14"/>
      <c r="G275" s="14"/>
      <c r="H275" s="14"/>
      <c r="I275" s="14"/>
      <c r="J275" s="14"/>
      <c r="K275" s="12"/>
    </row>
    <row r="276" ht="19.5" customHeight="1">
      <c r="A276" s="12"/>
      <c r="C276" s="12"/>
      <c r="D276" s="13"/>
      <c r="F276" s="14"/>
      <c r="G276" s="14"/>
      <c r="H276" s="14"/>
      <c r="I276" s="14"/>
      <c r="J276" s="14"/>
      <c r="K276" s="12"/>
    </row>
    <row r="277" ht="19.5" customHeight="1">
      <c r="A277" s="12"/>
      <c r="C277" s="12"/>
      <c r="D277" s="13"/>
      <c r="F277" s="14"/>
      <c r="G277" s="14"/>
      <c r="H277" s="14"/>
      <c r="I277" s="14"/>
      <c r="J277" s="14"/>
      <c r="K277" s="12"/>
    </row>
    <row r="278" ht="19.5" customHeight="1">
      <c r="A278" s="12"/>
      <c r="C278" s="12"/>
      <c r="D278" s="13"/>
      <c r="F278" s="14"/>
      <c r="G278" s="14"/>
      <c r="H278" s="14"/>
      <c r="I278" s="14"/>
      <c r="J278" s="14"/>
      <c r="K278" s="12"/>
    </row>
    <row r="279" ht="19.5" customHeight="1">
      <c r="A279" s="12"/>
      <c r="C279" s="12"/>
      <c r="D279" s="13"/>
      <c r="F279" s="14"/>
      <c r="G279" s="14"/>
      <c r="H279" s="14"/>
      <c r="I279" s="14"/>
      <c r="J279" s="14"/>
      <c r="K279" s="12"/>
    </row>
    <row r="280" ht="19.5" customHeight="1">
      <c r="A280" s="12"/>
      <c r="C280" s="12"/>
      <c r="D280" s="13"/>
      <c r="F280" s="14"/>
      <c r="G280" s="14"/>
      <c r="H280" s="14"/>
      <c r="I280" s="14"/>
      <c r="J280" s="14"/>
      <c r="K280" s="12"/>
    </row>
    <row r="281" ht="19.5" customHeight="1">
      <c r="A281" s="12"/>
      <c r="C281" s="12"/>
      <c r="D281" s="13"/>
      <c r="F281" s="14"/>
      <c r="G281" s="14"/>
      <c r="H281" s="14"/>
      <c r="I281" s="14"/>
      <c r="J281" s="14"/>
      <c r="K281" s="12"/>
    </row>
    <row r="282" ht="19.5" customHeight="1">
      <c r="A282" s="12"/>
      <c r="C282" s="12"/>
      <c r="D282" s="13"/>
      <c r="F282" s="14"/>
      <c r="G282" s="14"/>
      <c r="H282" s="14"/>
      <c r="I282" s="14"/>
      <c r="J282" s="14"/>
      <c r="K282" s="12"/>
    </row>
    <row r="283" ht="19.5" customHeight="1">
      <c r="A283" s="12"/>
      <c r="C283" s="12"/>
      <c r="D283" s="13"/>
      <c r="F283" s="14"/>
      <c r="G283" s="14"/>
      <c r="H283" s="14"/>
      <c r="I283" s="14"/>
      <c r="J283" s="14"/>
      <c r="K283" s="12"/>
    </row>
    <row r="284" ht="19.5" customHeight="1">
      <c r="A284" s="12"/>
      <c r="C284" s="12"/>
      <c r="D284" s="13"/>
      <c r="F284" s="14"/>
      <c r="G284" s="14"/>
      <c r="H284" s="14"/>
      <c r="I284" s="14"/>
      <c r="J284" s="14"/>
      <c r="K284" s="12"/>
    </row>
    <row r="285" ht="19.5" customHeight="1">
      <c r="A285" s="12"/>
      <c r="C285" s="12"/>
      <c r="D285" s="13"/>
      <c r="F285" s="14"/>
      <c r="G285" s="14"/>
      <c r="H285" s="14"/>
      <c r="I285" s="14"/>
      <c r="J285" s="14"/>
      <c r="K285" s="12"/>
    </row>
    <row r="286" ht="19.5" customHeight="1">
      <c r="A286" s="12"/>
      <c r="C286" s="12"/>
      <c r="D286" s="13"/>
      <c r="F286" s="14"/>
      <c r="G286" s="14"/>
      <c r="H286" s="14"/>
      <c r="I286" s="14"/>
      <c r="J286" s="14"/>
      <c r="K286" s="12"/>
    </row>
    <row r="287" ht="19.5" customHeight="1">
      <c r="A287" s="12"/>
      <c r="C287" s="12"/>
      <c r="D287" s="13"/>
      <c r="F287" s="14"/>
      <c r="G287" s="14"/>
      <c r="H287" s="14"/>
      <c r="I287" s="14"/>
      <c r="J287" s="14"/>
      <c r="K287" s="12"/>
    </row>
    <row r="288" ht="19.5" customHeight="1">
      <c r="A288" s="12"/>
      <c r="C288" s="12"/>
      <c r="D288" s="13"/>
      <c r="F288" s="14"/>
      <c r="G288" s="14"/>
      <c r="H288" s="14"/>
      <c r="I288" s="14"/>
      <c r="J288" s="14"/>
      <c r="K288" s="12"/>
    </row>
    <row r="289" ht="19.5" customHeight="1">
      <c r="A289" s="12"/>
      <c r="C289" s="12"/>
      <c r="D289" s="13"/>
      <c r="F289" s="14"/>
      <c r="G289" s="14"/>
      <c r="H289" s="14"/>
      <c r="I289" s="14"/>
      <c r="J289" s="14"/>
      <c r="K289" s="12"/>
    </row>
    <row r="290" ht="19.5" customHeight="1">
      <c r="A290" s="12"/>
      <c r="C290" s="12"/>
      <c r="D290" s="13"/>
      <c r="F290" s="14"/>
      <c r="G290" s="14"/>
      <c r="H290" s="14"/>
      <c r="I290" s="14"/>
      <c r="J290" s="14"/>
      <c r="K290" s="12"/>
    </row>
    <row r="291" ht="19.5" customHeight="1">
      <c r="A291" s="12"/>
      <c r="C291" s="12"/>
      <c r="D291" s="13"/>
      <c r="F291" s="14"/>
      <c r="G291" s="14"/>
      <c r="H291" s="14"/>
      <c r="I291" s="14"/>
      <c r="J291" s="14"/>
      <c r="K291" s="12"/>
    </row>
    <row r="292" ht="19.5" customHeight="1">
      <c r="A292" s="12"/>
      <c r="C292" s="12"/>
      <c r="D292" s="13"/>
      <c r="F292" s="14"/>
      <c r="G292" s="14"/>
      <c r="H292" s="14"/>
      <c r="I292" s="14"/>
      <c r="J292" s="14"/>
      <c r="K292" s="12"/>
    </row>
    <row r="293" ht="19.5" customHeight="1">
      <c r="A293" s="12"/>
      <c r="C293" s="12"/>
      <c r="D293" s="13"/>
      <c r="F293" s="14"/>
      <c r="G293" s="14"/>
      <c r="H293" s="14"/>
      <c r="I293" s="14"/>
      <c r="J293" s="14"/>
      <c r="K293" s="12"/>
    </row>
    <row r="294" ht="19.5" customHeight="1">
      <c r="A294" s="12"/>
      <c r="C294" s="12"/>
      <c r="D294" s="13"/>
      <c r="F294" s="14"/>
      <c r="G294" s="14"/>
      <c r="H294" s="14"/>
      <c r="I294" s="14"/>
      <c r="J294" s="14"/>
      <c r="K294" s="12"/>
    </row>
    <row r="295" ht="19.5" customHeight="1">
      <c r="A295" s="12"/>
      <c r="C295" s="12"/>
      <c r="D295" s="13"/>
      <c r="F295" s="14"/>
      <c r="G295" s="14"/>
      <c r="H295" s="14"/>
      <c r="I295" s="14"/>
      <c r="J295" s="14"/>
      <c r="K295" s="12"/>
    </row>
    <row r="296" ht="19.5" customHeight="1">
      <c r="A296" s="12"/>
      <c r="C296" s="12"/>
      <c r="D296" s="13"/>
      <c r="F296" s="14"/>
      <c r="G296" s="14"/>
      <c r="H296" s="14"/>
      <c r="I296" s="14"/>
      <c r="J296" s="14"/>
      <c r="K296" s="12"/>
    </row>
    <row r="297" ht="19.5" customHeight="1">
      <c r="A297" s="12"/>
      <c r="C297" s="12"/>
      <c r="D297" s="13"/>
      <c r="F297" s="14"/>
      <c r="G297" s="14"/>
      <c r="H297" s="14"/>
      <c r="I297" s="14"/>
      <c r="J297" s="14"/>
      <c r="K297" s="12"/>
    </row>
    <row r="298" ht="19.5" customHeight="1">
      <c r="A298" s="12"/>
      <c r="C298" s="12"/>
      <c r="D298" s="13"/>
      <c r="F298" s="14"/>
      <c r="G298" s="14"/>
      <c r="H298" s="14"/>
      <c r="I298" s="14"/>
      <c r="J298" s="14"/>
      <c r="K298" s="12"/>
    </row>
    <row r="299" ht="19.5" customHeight="1">
      <c r="A299" s="12"/>
      <c r="C299" s="12"/>
      <c r="D299" s="13"/>
      <c r="F299" s="14"/>
      <c r="G299" s="14"/>
      <c r="H299" s="14"/>
      <c r="I299" s="14"/>
      <c r="J299" s="14"/>
      <c r="K299" s="12"/>
    </row>
    <row r="300" ht="19.5" customHeight="1">
      <c r="A300" s="12"/>
      <c r="C300" s="12"/>
      <c r="D300" s="13"/>
      <c r="F300" s="14"/>
      <c r="G300" s="14"/>
      <c r="H300" s="14"/>
      <c r="I300" s="14"/>
      <c r="J300" s="14"/>
      <c r="K300" s="12"/>
    </row>
    <row r="301" ht="19.5" customHeight="1">
      <c r="A301" s="12"/>
      <c r="C301" s="12"/>
      <c r="D301" s="13"/>
      <c r="F301" s="14"/>
      <c r="G301" s="14"/>
      <c r="H301" s="14"/>
      <c r="I301" s="14"/>
      <c r="J301" s="14"/>
      <c r="K301" s="12"/>
    </row>
    <row r="302" ht="19.5" customHeight="1">
      <c r="A302" s="12"/>
      <c r="C302" s="12"/>
      <c r="D302" s="13"/>
      <c r="F302" s="14"/>
      <c r="G302" s="14"/>
      <c r="H302" s="14"/>
      <c r="I302" s="14"/>
      <c r="J302" s="14"/>
      <c r="K302" s="12"/>
    </row>
    <row r="303" ht="19.5" customHeight="1">
      <c r="A303" s="12"/>
      <c r="C303" s="12"/>
      <c r="D303" s="13"/>
      <c r="F303" s="14"/>
      <c r="G303" s="14"/>
      <c r="H303" s="14"/>
      <c r="I303" s="14"/>
      <c r="J303" s="14"/>
      <c r="K303" s="12"/>
    </row>
    <row r="304" ht="19.5" customHeight="1">
      <c r="A304" s="12"/>
      <c r="C304" s="12"/>
      <c r="D304" s="13"/>
      <c r="F304" s="14"/>
      <c r="G304" s="14"/>
      <c r="H304" s="14"/>
      <c r="I304" s="14"/>
      <c r="J304" s="14"/>
      <c r="K304" s="12"/>
    </row>
    <row r="305" ht="19.5" customHeight="1">
      <c r="A305" s="12"/>
      <c r="C305" s="12"/>
      <c r="D305" s="13"/>
      <c r="F305" s="14"/>
      <c r="G305" s="14"/>
      <c r="H305" s="14"/>
      <c r="I305" s="14"/>
      <c r="J305" s="14"/>
      <c r="K305" s="12"/>
    </row>
    <row r="306" ht="19.5" customHeight="1">
      <c r="A306" s="12"/>
      <c r="C306" s="12"/>
      <c r="D306" s="13"/>
      <c r="F306" s="14"/>
      <c r="G306" s="14"/>
      <c r="H306" s="14"/>
      <c r="I306" s="14"/>
      <c r="J306" s="14"/>
      <c r="K306" s="12"/>
    </row>
    <row r="307" ht="19.5" customHeight="1">
      <c r="A307" s="12"/>
      <c r="C307" s="12"/>
      <c r="D307" s="13"/>
      <c r="F307" s="14"/>
      <c r="G307" s="14"/>
      <c r="H307" s="14"/>
      <c r="I307" s="14"/>
      <c r="J307" s="14"/>
      <c r="K307" s="12"/>
    </row>
    <row r="308" ht="19.5" customHeight="1">
      <c r="A308" s="12"/>
      <c r="C308" s="12"/>
      <c r="D308" s="13"/>
      <c r="F308" s="14"/>
      <c r="G308" s="14"/>
      <c r="H308" s="14"/>
      <c r="I308" s="14"/>
      <c r="J308" s="14"/>
      <c r="K308" s="12"/>
    </row>
    <row r="309" ht="19.5" customHeight="1">
      <c r="A309" s="12"/>
      <c r="C309" s="12"/>
      <c r="D309" s="13"/>
      <c r="F309" s="14"/>
      <c r="G309" s="14"/>
      <c r="H309" s="14"/>
      <c r="I309" s="14"/>
      <c r="J309" s="14"/>
      <c r="K309" s="12"/>
    </row>
    <row r="310" ht="19.5" customHeight="1">
      <c r="A310" s="12"/>
      <c r="C310" s="12"/>
      <c r="D310" s="13"/>
      <c r="F310" s="14"/>
      <c r="G310" s="14"/>
      <c r="H310" s="14"/>
      <c r="I310" s="14"/>
      <c r="J310" s="14"/>
      <c r="K310" s="12"/>
    </row>
    <row r="311" ht="19.5" customHeight="1">
      <c r="A311" s="12"/>
      <c r="C311" s="12"/>
      <c r="D311" s="13"/>
      <c r="F311" s="14"/>
      <c r="G311" s="14"/>
      <c r="H311" s="14"/>
      <c r="I311" s="14"/>
      <c r="J311" s="14"/>
      <c r="K311" s="12"/>
    </row>
    <row r="312" ht="19.5" customHeight="1">
      <c r="A312" s="12"/>
      <c r="C312" s="12"/>
      <c r="D312" s="13"/>
      <c r="F312" s="14"/>
      <c r="G312" s="14"/>
      <c r="H312" s="14"/>
      <c r="I312" s="14"/>
      <c r="J312" s="14"/>
      <c r="K312" s="12"/>
    </row>
    <row r="313" ht="19.5" customHeight="1">
      <c r="A313" s="12"/>
      <c r="C313" s="12"/>
      <c r="D313" s="13"/>
      <c r="F313" s="14"/>
      <c r="G313" s="14"/>
      <c r="H313" s="14"/>
      <c r="I313" s="14"/>
      <c r="J313" s="14"/>
      <c r="K313" s="12"/>
    </row>
    <row r="314" ht="19.5" customHeight="1">
      <c r="A314" s="12"/>
      <c r="C314" s="12"/>
      <c r="D314" s="13"/>
      <c r="F314" s="14"/>
      <c r="G314" s="14"/>
      <c r="H314" s="14"/>
      <c r="I314" s="14"/>
      <c r="J314" s="14"/>
      <c r="K314" s="12"/>
    </row>
    <row r="315" ht="19.5" customHeight="1">
      <c r="A315" s="12"/>
      <c r="C315" s="12"/>
      <c r="D315" s="13"/>
      <c r="F315" s="14"/>
      <c r="G315" s="14"/>
      <c r="H315" s="14"/>
      <c r="I315" s="14"/>
      <c r="J315" s="14"/>
      <c r="K315" s="12"/>
    </row>
    <row r="316" ht="19.5" customHeight="1">
      <c r="A316" s="12"/>
      <c r="C316" s="12"/>
      <c r="D316" s="13"/>
      <c r="F316" s="14"/>
      <c r="G316" s="14"/>
      <c r="H316" s="14"/>
      <c r="I316" s="14"/>
      <c r="J316" s="14"/>
      <c r="K316" s="12"/>
    </row>
    <row r="317" ht="19.5" customHeight="1">
      <c r="A317" s="12"/>
      <c r="C317" s="12"/>
      <c r="D317" s="13"/>
      <c r="F317" s="14"/>
      <c r="G317" s="14"/>
      <c r="H317" s="14"/>
      <c r="I317" s="14"/>
      <c r="J317" s="14"/>
      <c r="K317" s="12"/>
    </row>
    <row r="318" ht="19.5" customHeight="1">
      <c r="A318" s="12"/>
      <c r="C318" s="12"/>
      <c r="D318" s="13"/>
      <c r="F318" s="14"/>
      <c r="G318" s="14"/>
      <c r="H318" s="14"/>
      <c r="I318" s="14"/>
      <c r="J318" s="14"/>
      <c r="K318" s="12"/>
    </row>
    <row r="319" ht="19.5" customHeight="1">
      <c r="A319" s="12"/>
      <c r="C319" s="12"/>
      <c r="D319" s="13"/>
      <c r="F319" s="14"/>
      <c r="G319" s="14"/>
      <c r="H319" s="14"/>
      <c r="I319" s="14"/>
      <c r="J319" s="14"/>
      <c r="K319" s="12"/>
    </row>
    <row r="320" ht="19.5" customHeight="1">
      <c r="A320" s="12"/>
      <c r="C320" s="12"/>
      <c r="D320" s="13"/>
      <c r="F320" s="14"/>
      <c r="G320" s="14"/>
      <c r="H320" s="14"/>
      <c r="I320" s="14"/>
      <c r="J320" s="14"/>
      <c r="K320" s="12"/>
    </row>
    <row r="321" ht="19.5" customHeight="1">
      <c r="A321" s="12"/>
      <c r="C321" s="12"/>
      <c r="D321" s="13"/>
      <c r="F321" s="14"/>
      <c r="G321" s="14"/>
      <c r="H321" s="14"/>
      <c r="I321" s="14"/>
      <c r="J321" s="14"/>
      <c r="K321" s="12"/>
    </row>
    <row r="322" ht="19.5" customHeight="1">
      <c r="A322" s="12"/>
      <c r="C322" s="12"/>
      <c r="D322" s="13"/>
      <c r="F322" s="14"/>
      <c r="G322" s="14"/>
      <c r="H322" s="14"/>
      <c r="I322" s="14"/>
      <c r="J322" s="14"/>
      <c r="K322" s="12"/>
    </row>
    <row r="323" ht="19.5" customHeight="1">
      <c r="A323" s="12"/>
      <c r="C323" s="12"/>
      <c r="D323" s="13"/>
      <c r="F323" s="14"/>
      <c r="G323" s="14"/>
      <c r="H323" s="14"/>
      <c r="I323" s="14"/>
      <c r="J323" s="14"/>
      <c r="K323" s="12"/>
    </row>
    <row r="324" ht="19.5" customHeight="1">
      <c r="A324" s="12"/>
      <c r="C324" s="12"/>
      <c r="D324" s="13"/>
      <c r="F324" s="14"/>
      <c r="G324" s="14"/>
      <c r="H324" s="14"/>
      <c r="I324" s="14"/>
      <c r="J324" s="14"/>
      <c r="K324" s="12"/>
    </row>
    <row r="325" ht="19.5" customHeight="1">
      <c r="A325" s="12"/>
      <c r="C325" s="12"/>
      <c r="D325" s="13"/>
      <c r="F325" s="14"/>
      <c r="G325" s="14"/>
      <c r="H325" s="14"/>
      <c r="I325" s="14"/>
      <c r="J325" s="14"/>
      <c r="K325" s="12"/>
    </row>
    <row r="326" ht="19.5" customHeight="1">
      <c r="A326" s="12"/>
      <c r="C326" s="12"/>
      <c r="D326" s="13"/>
      <c r="F326" s="14"/>
      <c r="G326" s="14"/>
      <c r="H326" s="14"/>
      <c r="I326" s="14"/>
      <c r="J326" s="14"/>
      <c r="K326" s="12"/>
    </row>
    <row r="327" ht="19.5" customHeight="1">
      <c r="A327" s="12"/>
      <c r="C327" s="12"/>
      <c r="D327" s="13"/>
      <c r="F327" s="14"/>
      <c r="G327" s="14"/>
      <c r="H327" s="14"/>
      <c r="I327" s="14"/>
      <c r="J327" s="14"/>
      <c r="K327" s="12"/>
    </row>
    <row r="328" ht="19.5" customHeight="1">
      <c r="A328" s="12"/>
      <c r="C328" s="12"/>
      <c r="D328" s="13"/>
      <c r="F328" s="14"/>
      <c r="G328" s="14"/>
      <c r="H328" s="14"/>
      <c r="I328" s="14"/>
      <c r="J328" s="14"/>
      <c r="K328" s="12"/>
    </row>
    <row r="329" ht="19.5" customHeight="1">
      <c r="A329" s="12"/>
      <c r="C329" s="12"/>
      <c r="D329" s="13"/>
      <c r="F329" s="14"/>
      <c r="G329" s="14"/>
      <c r="H329" s="14"/>
      <c r="I329" s="14"/>
      <c r="J329" s="14"/>
      <c r="K329" s="12"/>
    </row>
    <row r="330" ht="19.5" customHeight="1">
      <c r="A330" s="12"/>
      <c r="C330" s="12"/>
      <c r="D330" s="13"/>
      <c r="F330" s="14"/>
      <c r="G330" s="14"/>
      <c r="H330" s="14"/>
      <c r="I330" s="14"/>
      <c r="J330" s="14"/>
      <c r="K330" s="12"/>
    </row>
    <row r="331" ht="19.5" customHeight="1">
      <c r="A331" s="12"/>
      <c r="C331" s="12"/>
      <c r="D331" s="13"/>
      <c r="F331" s="14"/>
      <c r="G331" s="14"/>
      <c r="H331" s="14"/>
      <c r="I331" s="14"/>
      <c r="J331" s="14"/>
      <c r="K331" s="12"/>
    </row>
    <row r="332" ht="19.5" customHeight="1">
      <c r="A332" s="12"/>
      <c r="C332" s="12"/>
      <c r="D332" s="13"/>
      <c r="F332" s="14"/>
      <c r="G332" s="14"/>
      <c r="H332" s="14"/>
      <c r="I332" s="14"/>
      <c r="J332" s="14"/>
      <c r="K332" s="12"/>
    </row>
    <row r="333" ht="19.5" customHeight="1">
      <c r="A333" s="12"/>
      <c r="C333" s="12"/>
      <c r="D333" s="13"/>
      <c r="F333" s="14"/>
      <c r="G333" s="14"/>
      <c r="H333" s="14"/>
      <c r="I333" s="14"/>
      <c r="J333" s="14"/>
      <c r="K333" s="12"/>
    </row>
    <row r="334" ht="19.5" customHeight="1">
      <c r="A334" s="12"/>
      <c r="C334" s="12"/>
      <c r="D334" s="13"/>
      <c r="F334" s="14"/>
      <c r="G334" s="14"/>
      <c r="H334" s="14"/>
      <c r="I334" s="14"/>
      <c r="J334" s="14"/>
      <c r="K334" s="12"/>
    </row>
    <row r="335" ht="19.5" customHeight="1">
      <c r="A335" s="12"/>
      <c r="C335" s="12"/>
      <c r="D335" s="13"/>
      <c r="F335" s="14"/>
      <c r="G335" s="14"/>
      <c r="H335" s="14"/>
      <c r="I335" s="14"/>
      <c r="J335" s="14"/>
      <c r="K335" s="12"/>
    </row>
    <row r="336" ht="19.5" customHeight="1">
      <c r="A336" s="12"/>
      <c r="C336" s="12"/>
      <c r="D336" s="13"/>
      <c r="F336" s="14"/>
      <c r="G336" s="14"/>
      <c r="H336" s="14"/>
      <c r="I336" s="14"/>
      <c r="J336" s="14"/>
      <c r="K336" s="12"/>
    </row>
    <row r="337" ht="19.5" customHeight="1">
      <c r="A337" s="12"/>
      <c r="C337" s="12"/>
      <c r="D337" s="13"/>
      <c r="F337" s="14"/>
      <c r="G337" s="14"/>
      <c r="H337" s="14"/>
      <c r="I337" s="14"/>
      <c r="J337" s="14"/>
      <c r="K337" s="12"/>
    </row>
    <row r="338" ht="19.5" customHeight="1">
      <c r="A338" s="12"/>
      <c r="C338" s="12"/>
      <c r="D338" s="13"/>
      <c r="F338" s="14"/>
      <c r="G338" s="14"/>
      <c r="H338" s="14"/>
      <c r="I338" s="14"/>
      <c r="J338" s="14"/>
      <c r="K338" s="12"/>
    </row>
    <row r="339" ht="19.5" customHeight="1">
      <c r="A339" s="12"/>
      <c r="C339" s="12"/>
      <c r="D339" s="13"/>
      <c r="F339" s="14"/>
      <c r="G339" s="14"/>
      <c r="H339" s="14"/>
      <c r="I339" s="14"/>
      <c r="J339" s="14"/>
      <c r="K339" s="12"/>
    </row>
    <row r="340" ht="19.5" customHeight="1">
      <c r="A340" s="12"/>
      <c r="C340" s="12"/>
      <c r="D340" s="13"/>
      <c r="F340" s="14"/>
      <c r="G340" s="14"/>
      <c r="H340" s="14"/>
      <c r="I340" s="14"/>
      <c r="J340" s="14"/>
      <c r="K340" s="12"/>
    </row>
    <row r="341" ht="19.5" customHeight="1">
      <c r="A341" s="12"/>
      <c r="C341" s="12"/>
      <c r="D341" s="13"/>
      <c r="F341" s="14"/>
      <c r="G341" s="14"/>
      <c r="H341" s="14"/>
      <c r="I341" s="14"/>
      <c r="J341" s="14"/>
      <c r="K341" s="12"/>
    </row>
    <row r="342" ht="19.5" customHeight="1">
      <c r="A342" s="12"/>
      <c r="C342" s="12"/>
      <c r="D342" s="13"/>
      <c r="F342" s="14"/>
      <c r="G342" s="14"/>
      <c r="H342" s="14"/>
      <c r="I342" s="14"/>
      <c r="J342" s="14"/>
      <c r="K342" s="12"/>
    </row>
    <row r="343" ht="19.5" customHeight="1">
      <c r="A343" s="12"/>
      <c r="C343" s="12"/>
      <c r="D343" s="13"/>
      <c r="F343" s="14"/>
      <c r="G343" s="14"/>
      <c r="H343" s="14"/>
      <c r="I343" s="14"/>
      <c r="J343" s="14"/>
      <c r="K343" s="12"/>
    </row>
    <row r="344" ht="19.5" customHeight="1">
      <c r="A344" s="12"/>
      <c r="C344" s="12"/>
      <c r="D344" s="13"/>
      <c r="F344" s="14"/>
      <c r="G344" s="14"/>
      <c r="H344" s="14"/>
      <c r="I344" s="14"/>
      <c r="J344" s="14"/>
      <c r="K344" s="12"/>
    </row>
    <row r="345" ht="19.5" customHeight="1">
      <c r="A345" s="12"/>
      <c r="C345" s="12"/>
      <c r="D345" s="13"/>
      <c r="F345" s="14"/>
      <c r="G345" s="14"/>
      <c r="H345" s="14"/>
      <c r="I345" s="14"/>
      <c r="J345" s="14"/>
      <c r="K345" s="12"/>
    </row>
    <row r="346" ht="19.5" customHeight="1">
      <c r="A346" s="12"/>
      <c r="C346" s="12"/>
      <c r="D346" s="13"/>
      <c r="F346" s="14"/>
      <c r="G346" s="14"/>
      <c r="H346" s="14"/>
      <c r="I346" s="14"/>
      <c r="J346" s="14"/>
      <c r="K346" s="12"/>
    </row>
    <row r="347" ht="19.5" customHeight="1">
      <c r="A347" s="12"/>
      <c r="C347" s="12"/>
      <c r="D347" s="13"/>
      <c r="F347" s="14"/>
      <c r="G347" s="14"/>
      <c r="H347" s="14"/>
      <c r="I347" s="14"/>
      <c r="J347" s="14"/>
      <c r="K347" s="12"/>
    </row>
    <row r="348" ht="19.5" customHeight="1">
      <c r="A348" s="12"/>
      <c r="C348" s="12"/>
      <c r="D348" s="13"/>
      <c r="F348" s="14"/>
      <c r="G348" s="14"/>
      <c r="H348" s="14"/>
      <c r="I348" s="14"/>
      <c r="J348" s="14"/>
      <c r="K348" s="12"/>
    </row>
    <row r="349" ht="19.5" customHeight="1">
      <c r="A349" s="12"/>
      <c r="C349" s="12"/>
      <c r="D349" s="13"/>
      <c r="F349" s="14"/>
      <c r="G349" s="14"/>
      <c r="H349" s="14"/>
      <c r="I349" s="14"/>
      <c r="J349" s="14"/>
      <c r="K349" s="12"/>
    </row>
    <row r="350" ht="19.5" customHeight="1">
      <c r="A350" s="12"/>
      <c r="C350" s="12"/>
      <c r="D350" s="13"/>
      <c r="F350" s="14"/>
      <c r="G350" s="14"/>
      <c r="H350" s="14"/>
      <c r="I350" s="14"/>
      <c r="J350" s="14"/>
      <c r="K350" s="12"/>
    </row>
    <row r="351" ht="19.5" customHeight="1">
      <c r="A351" s="12"/>
      <c r="C351" s="12"/>
      <c r="D351" s="13"/>
      <c r="F351" s="14"/>
      <c r="G351" s="14"/>
      <c r="H351" s="14"/>
      <c r="I351" s="14"/>
      <c r="J351" s="14"/>
      <c r="K351" s="12"/>
    </row>
    <row r="352" ht="19.5" customHeight="1">
      <c r="A352" s="12"/>
      <c r="C352" s="12"/>
      <c r="D352" s="13"/>
      <c r="F352" s="14"/>
      <c r="G352" s="14"/>
      <c r="H352" s="14"/>
      <c r="I352" s="14"/>
      <c r="J352" s="14"/>
      <c r="K352" s="12"/>
    </row>
    <row r="353" ht="19.5" customHeight="1">
      <c r="A353" s="12"/>
      <c r="C353" s="12"/>
      <c r="D353" s="13"/>
      <c r="F353" s="14"/>
      <c r="G353" s="14"/>
      <c r="H353" s="14"/>
      <c r="I353" s="14"/>
      <c r="J353" s="14"/>
      <c r="K353" s="12"/>
    </row>
    <row r="354" ht="19.5" customHeight="1">
      <c r="A354" s="12"/>
      <c r="C354" s="12"/>
      <c r="D354" s="13"/>
      <c r="F354" s="14"/>
      <c r="G354" s="14"/>
      <c r="H354" s="14"/>
      <c r="I354" s="14"/>
      <c r="J354" s="14"/>
      <c r="K354" s="12"/>
    </row>
    <row r="355" ht="19.5" customHeight="1">
      <c r="A355" s="12"/>
      <c r="C355" s="12"/>
      <c r="D355" s="13"/>
      <c r="F355" s="14"/>
      <c r="G355" s="14"/>
      <c r="H355" s="14"/>
      <c r="I355" s="14"/>
      <c r="J355" s="14"/>
      <c r="K355" s="12"/>
    </row>
    <row r="356" ht="19.5" customHeight="1">
      <c r="A356" s="12"/>
      <c r="C356" s="12"/>
      <c r="D356" s="13"/>
      <c r="F356" s="14"/>
      <c r="G356" s="14"/>
      <c r="H356" s="14"/>
      <c r="I356" s="14"/>
      <c r="J356" s="14"/>
      <c r="K356" s="12"/>
    </row>
    <row r="357" ht="19.5" customHeight="1">
      <c r="A357" s="12"/>
      <c r="C357" s="12"/>
      <c r="D357" s="13"/>
      <c r="F357" s="14"/>
      <c r="G357" s="14"/>
      <c r="H357" s="14"/>
      <c r="I357" s="14"/>
      <c r="J357" s="14"/>
      <c r="K357" s="12"/>
    </row>
    <row r="358" ht="19.5" customHeight="1">
      <c r="A358" s="12"/>
      <c r="C358" s="12"/>
      <c r="D358" s="13"/>
      <c r="F358" s="14"/>
      <c r="G358" s="14"/>
      <c r="H358" s="14"/>
      <c r="I358" s="14"/>
      <c r="J358" s="14"/>
      <c r="K358" s="12"/>
    </row>
    <row r="359" ht="19.5" customHeight="1">
      <c r="A359" s="12"/>
      <c r="C359" s="12"/>
      <c r="D359" s="13"/>
      <c r="F359" s="14"/>
      <c r="G359" s="14"/>
      <c r="H359" s="14"/>
      <c r="I359" s="14"/>
      <c r="J359" s="14"/>
      <c r="K359" s="12"/>
    </row>
    <row r="360" ht="19.5" customHeight="1">
      <c r="A360" s="12"/>
      <c r="C360" s="12"/>
      <c r="D360" s="13"/>
      <c r="F360" s="14"/>
      <c r="G360" s="14"/>
      <c r="H360" s="14"/>
      <c r="I360" s="14"/>
      <c r="J360" s="14"/>
      <c r="K360" s="12"/>
    </row>
    <row r="361" ht="19.5" customHeight="1">
      <c r="A361" s="12"/>
      <c r="C361" s="12"/>
      <c r="D361" s="13"/>
      <c r="F361" s="14"/>
      <c r="G361" s="14"/>
      <c r="H361" s="14"/>
      <c r="I361" s="14"/>
      <c r="J361" s="14"/>
      <c r="K361" s="12"/>
    </row>
    <row r="362" ht="19.5" customHeight="1">
      <c r="A362" s="12"/>
      <c r="C362" s="12"/>
      <c r="D362" s="13"/>
      <c r="F362" s="14"/>
      <c r="G362" s="14"/>
      <c r="H362" s="14"/>
      <c r="I362" s="14"/>
      <c r="J362" s="14"/>
      <c r="K362" s="12"/>
    </row>
    <row r="363" ht="19.5" customHeight="1">
      <c r="A363" s="12"/>
      <c r="C363" s="12"/>
      <c r="D363" s="13"/>
      <c r="F363" s="14"/>
      <c r="G363" s="14"/>
      <c r="H363" s="14"/>
      <c r="I363" s="14"/>
      <c r="J363" s="14"/>
      <c r="K363" s="12"/>
    </row>
    <row r="364" ht="19.5" customHeight="1">
      <c r="A364" s="12"/>
      <c r="C364" s="12"/>
      <c r="D364" s="13"/>
      <c r="F364" s="14"/>
      <c r="G364" s="14"/>
      <c r="H364" s="14"/>
      <c r="I364" s="14"/>
      <c r="J364" s="14"/>
      <c r="K364" s="12"/>
    </row>
    <row r="365" ht="19.5" customHeight="1">
      <c r="A365" s="12"/>
      <c r="C365" s="12"/>
      <c r="D365" s="13"/>
      <c r="F365" s="14"/>
      <c r="G365" s="14"/>
      <c r="H365" s="14"/>
      <c r="I365" s="14"/>
      <c r="J365" s="14"/>
      <c r="K365" s="12"/>
    </row>
    <row r="366" ht="19.5" customHeight="1">
      <c r="A366" s="12"/>
      <c r="C366" s="12"/>
      <c r="D366" s="13"/>
      <c r="F366" s="14"/>
      <c r="G366" s="14"/>
      <c r="H366" s="14"/>
      <c r="I366" s="14"/>
      <c r="J366" s="14"/>
      <c r="K366" s="12"/>
    </row>
    <row r="367" ht="19.5" customHeight="1">
      <c r="A367" s="12"/>
      <c r="C367" s="12"/>
      <c r="D367" s="13"/>
      <c r="F367" s="14"/>
      <c r="G367" s="14"/>
      <c r="H367" s="14"/>
      <c r="I367" s="14"/>
      <c r="J367" s="14"/>
      <c r="K367" s="12"/>
    </row>
    <row r="368" ht="19.5" customHeight="1">
      <c r="A368" s="12"/>
      <c r="C368" s="12"/>
      <c r="D368" s="13"/>
      <c r="F368" s="14"/>
      <c r="G368" s="14"/>
      <c r="H368" s="14"/>
      <c r="I368" s="14"/>
      <c r="J368" s="14"/>
      <c r="K368" s="12"/>
    </row>
    <row r="369" ht="19.5" customHeight="1">
      <c r="A369" s="12"/>
      <c r="C369" s="12"/>
      <c r="D369" s="13"/>
      <c r="F369" s="14"/>
      <c r="G369" s="14"/>
      <c r="H369" s="14"/>
      <c r="I369" s="14"/>
      <c r="J369" s="14"/>
      <c r="K369" s="12"/>
    </row>
    <row r="370" ht="19.5" customHeight="1">
      <c r="A370" s="12"/>
      <c r="C370" s="12"/>
      <c r="D370" s="13"/>
      <c r="F370" s="14"/>
      <c r="G370" s="14"/>
      <c r="H370" s="14"/>
      <c r="I370" s="14"/>
      <c r="J370" s="14"/>
      <c r="K370" s="12"/>
    </row>
    <row r="371" ht="19.5" customHeight="1">
      <c r="A371" s="12"/>
      <c r="C371" s="12"/>
      <c r="D371" s="13"/>
      <c r="F371" s="14"/>
      <c r="G371" s="14"/>
      <c r="H371" s="14"/>
      <c r="I371" s="14"/>
      <c r="J371" s="14"/>
      <c r="K371" s="12"/>
    </row>
    <row r="372" ht="19.5" customHeight="1">
      <c r="A372" s="12"/>
      <c r="C372" s="12"/>
      <c r="D372" s="13"/>
      <c r="F372" s="14"/>
      <c r="G372" s="14"/>
      <c r="H372" s="14"/>
      <c r="I372" s="14"/>
      <c r="J372" s="14"/>
      <c r="K372" s="12"/>
    </row>
    <row r="373" ht="19.5" customHeight="1">
      <c r="A373" s="12"/>
      <c r="C373" s="12"/>
      <c r="D373" s="13"/>
      <c r="F373" s="14"/>
      <c r="G373" s="14"/>
      <c r="H373" s="14"/>
      <c r="I373" s="14"/>
      <c r="J373" s="14"/>
      <c r="K373" s="12"/>
    </row>
    <row r="374" ht="19.5" customHeight="1">
      <c r="A374" s="12"/>
      <c r="C374" s="12"/>
      <c r="D374" s="13"/>
      <c r="F374" s="14"/>
      <c r="G374" s="14"/>
      <c r="H374" s="14"/>
      <c r="I374" s="14"/>
      <c r="J374" s="14"/>
      <c r="K374" s="12"/>
    </row>
    <row r="375" ht="19.5" customHeight="1">
      <c r="A375" s="12"/>
      <c r="C375" s="12"/>
      <c r="D375" s="13"/>
      <c r="F375" s="14"/>
      <c r="G375" s="14"/>
      <c r="H375" s="14"/>
      <c r="I375" s="14"/>
      <c r="J375" s="14"/>
      <c r="K375" s="12"/>
    </row>
    <row r="376" ht="19.5" customHeight="1">
      <c r="A376" s="12"/>
      <c r="C376" s="12"/>
      <c r="D376" s="13"/>
      <c r="F376" s="14"/>
      <c r="G376" s="14"/>
      <c r="H376" s="14"/>
      <c r="I376" s="14"/>
      <c r="J376" s="14"/>
      <c r="K376" s="12"/>
    </row>
    <row r="377" ht="19.5" customHeight="1">
      <c r="A377" s="12"/>
      <c r="C377" s="12"/>
      <c r="D377" s="13"/>
      <c r="F377" s="14"/>
      <c r="G377" s="14"/>
      <c r="H377" s="14"/>
      <c r="I377" s="14"/>
      <c r="J377" s="14"/>
      <c r="K377" s="12"/>
    </row>
    <row r="378" ht="19.5" customHeight="1">
      <c r="A378" s="12"/>
      <c r="C378" s="12"/>
      <c r="D378" s="13"/>
      <c r="F378" s="14"/>
      <c r="G378" s="14"/>
      <c r="H378" s="14"/>
      <c r="I378" s="14"/>
      <c r="J378" s="14"/>
      <c r="K378" s="12"/>
    </row>
    <row r="379" ht="19.5" customHeight="1">
      <c r="A379" s="12"/>
      <c r="C379" s="12"/>
      <c r="D379" s="13"/>
      <c r="F379" s="14"/>
      <c r="G379" s="14"/>
      <c r="H379" s="14"/>
      <c r="I379" s="14"/>
      <c r="J379" s="14"/>
      <c r="K379" s="12"/>
    </row>
    <row r="380" ht="19.5" customHeight="1">
      <c r="A380" s="12"/>
      <c r="C380" s="12"/>
      <c r="D380" s="13"/>
      <c r="F380" s="14"/>
      <c r="G380" s="14"/>
      <c r="H380" s="14"/>
      <c r="I380" s="14"/>
      <c r="J380" s="14"/>
      <c r="K380" s="12"/>
    </row>
    <row r="381" ht="19.5" customHeight="1">
      <c r="A381" s="12"/>
      <c r="C381" s="12"/>
      <c r="D381" s="13"/>
      <c r="F381" s="14"/>
      <c r="G381" s="14"/>
      <c r="H381" s="14"/>
      <c r="I381" s="14"/>
      <c r="J381" s="14"/>
      <c r="K381" s="12"/>
    </row>
    <row r="382" ht="19.5" customHeight="1">
      <c r="A382" s="12"/>
      <c r="C382" s="12"/>
      <c r="D382" s="13"/>
      <c r="F382" s="14"/>
      <c r="G382" s="14"/>
      <c r="H382" s="14"/>
      <c r="I382" s="14"/>
      <c r="J382" s="14"/>
      <c r="K382" s="12"/>
    </row>
    <row r="383" ht="19.5" customHeight="1">
      <c r="A383" s="12"/>
      <c r="C383" s="12"/>
      <c r="D383" s="13"/>
      <c r="F383" s="14"/>
      <c r="G383" s="14"/>
      <c r="H383" s="14"/>
      <c r="I383" s="14"/>
      <c r="J383" s="14"/>
      <c r="K383" s="12"/>
    </row>
    <row r="384" ht="19.5" customHeight="1">
      <c r="A384" s="12"/>
      <c r="C384" s="12"/>
      <c r="D384" s="13"/>
      <c r="F384" s="14"/>
      <c r="G384" s="14"/>
      <c r="H384" s="14"/>
      <c r="I384" s="14"/>
      <c r="J384" s="14"/>
      <c r="K384" s="12"/>
    </row>
    <row r="385" ht="19.5" customHeight="1">
      <c r="A385" s="12"/>
      <c r="C385" s="12"/>
      <c r="D385" s="13"/>
      <c r="F385" s="14"/>
      <c r="G385" s="14"/>
      <c r="H385" s="14"/>
      <c r="I385" s="14"/>
      <c r="J385" s="14"/>
      <c r="K385" s="12"/>
    </row>
    <row r="386" ht="19.5" customHeight="1">
      <c r="A386" s="12"/>
      <c r="C386" s="12"/>
      <c r="D386" s="13"/>
      <c r="F386" s="14"/>
      <c r="G386" s="14"/>
      <c r="H386" s="14"/>
      <c r="I386" s="14"/>
      <c r="J386" s="14"/>
      <c r="K386" s="12"/>
    </row>
    <row r="387" ht="19.5" customHeight="1">
      <c r="A387" s="12"/>
      <c r="C387" s="12"/>
      <c r="D387" s="13"/>
      <c r="F387" s="14"/>
      <c r="G387" s="14"/>
      <c r="H387" s="14"/>
      <c r="I387" s="14"/>
      <c r="J387" s="14"/>
      <c r="K387" s="12"/>
    </row>
    <row r="388" ht="19.5" customHeight="1">
      <c r="A388" s="12"/>
      <c r="C388" s="12"/>
      <c r="D388" s="13"/>
      <c r="F388" s="14"/>
      <c r="G388" s="14"/>
      <c r="H388" s="14"/>
      <c r="I388" s="14"/>
      <c r="J388" s="14"/>
      <c r="K388" s="12"/>
    </row>
    <row r="389" ht="19.5" customHeight="1">
      <c r="A389" s="12"/>
      <c r="C389" s="12"/>
      <c r="D389" s="13"/>
      <c r="F389" s="14"/>
      <c r="G389" s="14"/>
      <c r="H389" s="14"/>
      <c r="I389" s="14"/>
      <c r="J389" s="14"/>
      <c r="K389" s="12"/>
    </row>
    <row r="390" ht="19.5" customHeight="1">
      <c r="A390" s="12"/>
      <c r="C390" s="12"/>
      <c r="D390" s="13"/>
      <c r="F390" s="14"/>
      <c r="G390" s="14"/>
      <c r="H390" s="14"/>
      <c r="I390" s="14"/>
      <c r="J390" s="14"/>
      <c r="K390" s="12"/>
    </row>
    <row r="391" ht="19.5" customHeight="1">
      <c r="A391" s="12"/>
      <c r="C391" s="12"/>
      <c r="D391" s="13"/>
      <c r="F391" s="14"/>
      <c r="G391" s="14"/>
      <c r="H391" s="14"/>
      <c r="I391" s="14"/>
      <c r="J391" s="14"/>
      <c r="K391" s="12"/>
    </row>
    <row r="392" ht="19.5" customHeight="1">
      <c r="A392" s="12"/>
      <c r="C392" s="12"/>
      <c r="D392" s="13"/>
      <c r="F392" s="14"/>
      <c r="G392" s="14"/>
      <c r="H392" s="14"/>
      <c r="I392" s="14"/>
      <c r="J392" s="14"/>
      <c r="K392" s="12"/>
    </row>
    <row r="393" ht="19.5" customHeight="1">
      <c r="A393" s="12"/>
      <c r="C393" s="12"/>
      <c r="D393" s="13"/>
      <c r="F393" s="14"/>
      <c r="G393" s="14"/>
      <c r="H393" s="14"/>
      <c r="I393" s="14"/>
      <c r="J393" s="14"/>
      <c r="K393" s="12"/>
    </row>
    <row r="394" ht="19.5" customHeight="1">
      <c r="A394" s="12"/>
      <c r="C394" s="12"/>
      <c r="D394" s="13"/>
      <c r="F394" s="14"/>
      <c r="G394" s="14"/>
      <c r="H394" s="14"/>
      <c r="I394" s="14"/>
      <c r="J394" s="14"/>
      <c r="K394" s="12"/>
    </row>
    <row r="395" ht="19.5" customHeight="1">
      <c r="A395" s="12"/>
      <c r="C395" s="12"/>
      <c r="D395" s="13"/>
      <c r="F395" s="14"/>
      <c r="G395" s="14"/>
      <c r="H395" s="14"/>
      <c r="I395" s="14"/>
      <c r="J395" s="14"/>
      <c r="K395" s="12"/>
    </row>
    <row r="396" ht="19.5" customHeight="1">
      <c r="A396" s="12"/>
      <c r="C396" s="12"/>
      <c r="D396" s="13"/>
      <c r="F396" s="14"/>
      <c r="G396" s="14"/>
      <c r="H396" s="14"/>
      <c r="I396" s="14"/>
      <c r="J396" s="14"/>
      <c r="K396" s="12"/>
    </row>
    <row r="397" ht="19.5" customHeight="1">
      <c r="A397" s="12"/>
      <c r="C397" s="12"/>
      <c r="D397" s="13"/>
      <c r="F397" s="14"/>
      <c r="G397" s="14"/>
      <c r="H397" s="14"/>
      <c r="I397" s="14"/>
      <c r="J397" s="14"/>
      <c r="K397" s="12"/>
    </row>
    <row r="398" ht="19.5" customHeight="1">
      <c r="A398" s="12"/>
      <c r="C398" s="12"/>
      <c r="D398" s="13"/>
      <c r="F398" s="14"/>
      <c r="G398" s="14"/>
      <c r="H398" s="14"/>
      <c r="I398" s="14"/>
      <c r="J398" s="14"/>
      <c r="K398" s="12"/>
    </row>
    <row r="399" ht="19.5" customHeight="1">
      <c r="A399" s="12"/>
      <c r="C399" s="12"/>
      <c r="D399" s="13"/>
      <c r="F399" s="14"/>
      <c r="G399" s="14"/>
      <c r="H399" s="14"/>
      <c r="I399" s="14"/>
      <c r="J399" s="14"/>
      <c r="K399" s="12"/>
    </row>
    <row r="400" ht="19.5" customHeight="1">
      <c r="A400" s="12"/>
      <c r="C400" s="12"/>
      <c r="D400" s="13"/>
      <c r="F400" s="14"/>
      <c r="G400" s="14"/>
      <c r="H400" s="14"/>
      <c r="I400" s="14"/>
      <c r="J400" s="14"/>
      <c r="K400" s="12"/>
    </row>
    <row r="401" ht="19.5" customHeight="1">
      <c r="A401" s="12"/>
      <c r="C401" s="12"/>
      <c r="D401" s="13"/>
      <c r="F401" s="14"/>
      <c r="G401" s="14"/>
      <c r="H401" s="14"/>
      <c r="I401" s="14"/>
      <c r="J401" s="14"/>
      <c r="K401" s="12"/>
    </row>
    <row r="402" ht="19.5" customHeight="1">
      <c r="A402" s="12"/>
      <c r="C402" s="12"/>
      <c r="D402" s="13"/>
      <c r="F402" s="14"/>
      <c r="G402" s="14"/>
      <c r="H402" s="14"/>
      <c r="I402" s="14"/>
      <c r="J402" s="14"/>
      <c r="K402" s="12"/>
    </row>
    <row r="403" ht="19.5" customHeight="1">
      <c r="A403" s="12"/>
      <c r="C403" s="12"/>
      <c r="D403" s="13"/>
      <c r="F403" s="14"/>
      <c r="G403" s="14"/>
      <c r="H403" s="14"/>
      <c r="I403" s="14"/>
      <c r="J403" s="14"/>
      <c r="K403" s="12"/>
    </row>
    <row r="404" ht="19.5" customHeight="1">
      <c r="A404" s="12"/>
      <c r="C404" s="12"/>
      <c r="D404" s="13"/>
      <c r="F404" s="14"/>
      <c r="G404" s="14"/>
      <c r="H404" s="14"/>
      <c r="I404" s="14"/>
      <c r="J404" s="14"/>
      <c r="K404" s="12"/>
    </row>
    <row r="405" ht="19.5" customHeight="1">
      <c r="A405" s="12"/>
      <c r="C405" s="12"/>
      <c r="D405" s="13"/>
      <c r="F405" s="14"/>
      <c r="G405" s="14"/>
      <c r="H405" s="14"/>
      <c r="I405" s="14"/>
      <c r="J405" s="14"/>
      <c r="K405" s="12"/>
    </row>
    <row r="406" ht="19.5" customHeight="1">
      <c r="A406" s="12"/>
      <c r="C406" s="12"/>
      <c r="D406" s="13"/>
      <c r="F406" s="14"/>
      <c r="G406" s="14"/>
      <c r="H406" s="14"/>
      <c r="I406" s="14"/>
      <c r="J406" s="14"/>
      <c r="K406" s="12"/>
    </row>
    <row r="407" ht="19.5" customHeight="1">
      <c r="A407" s="12"/>
      <c r="C407" s="12"/>
      <c r="D407" s="13"/>
      <c r="F407" s="14"/>
      <c r="G407" s="14"/>
      <c r="H407" s="14"/>
      <c r="I407" s="14"/>
      <c r="J407" s="14"/>
      <c r="K407" s="12"/>
    </row>
    <row r="408" ht="19.5" customHeight="1">
      <c r="A408" s="12"/>
      <c r="C408" s="12"/>
      <c r="D408" s="13"/>
      <c r="F408" s="14"/>
      <c r="G408" s="14"/>
      <c r="H408" s="14"/>
      <c r="I408" s="14"/>
      <c r="J408" s="14"/>
      <c r="K408" s="12"/>
    </row>
    <row r="409" ht="19.5" customHeight="1">
      <c r="A409" s="12"/>
      <c r="C409" s="12"/>
      <c r="D409" s="13"/>
      <c r="F409" s="14"/>
      <c r="G409" s="14"/>
      <c r="H409" s="14"/>
      <c r="I409" s="14"/>
      <c r="J409" s="14"/>
      <c r="K409" s="12"/>
    </row>
    <row r="410" ht="19.5" customHeight="1">
      <c r="A410" s="12"/>
      <c r="C410" s="12"/>
      <c r="D410" s="13"/>
      <c r="F410" s="14"/>
      <c r="G410" s="14"/>
      <c r="H410" s="14"/>
      <c r="I410" s="14"/>
      <c r="J410" s="14"/>
      <c r="K410" s="12"/>
    </row>
    <row r="411" ht="19.5" customHeight="1">
      <c r="A411" s="12"/>
      <c r="C411" s="12"/>
      <c r="D411" s="13"/>
      <c r="F411" s="14"/>
      <c r="G411" s="14"/>
      <c r="H411" s="14"/>
      <c r="I411" s="14"/>
      <c r="J411" s="14"/>
      <c r="K411" s="12"/>
    </row>
    <row r="412" ht="19.5" customHeight="1">
      <c r="A412" s="12"/>
      <c r="C412" s="12"/>
      <c r="D412" s="13"/>
      <c r="F412" s="14"/>
      <c r="G412" s="14"/>
      <c r="H412" s="14"/>
      <c r="I412" s="14"/>
      <c r="J412" s="14"/>
      <c r="K412" s="12"/>
    </row>
    <row r="413" ht="19.5" customHeight="1">
      <c r="A413" s="12"/>
      <c r="C413" s="12"/>
      <c r="D413" s="13"/>
      <c r="F413" s="14"/>
      <c r="G413" s="14"/>
      <c r="H413" s="14"/>
      <c r="I413" s="14"/>
      <c r="J413" s="14"/>
      <c r="K413" s="12"/>
    </row>
    <row r="414" ht="19.5" customHeight="1">
      <c r="A414" s="12"/>
      <c r="C414" s="12"/>
      <c r="D414" s="13"/>
      <c r="F414" s="14"/>
      <c r="G414" s="14"/>
      <c r="H414" s="14"/>
      <c r="I414" s="14"/>
      <c r="J414" s="14"/>
      <c r="K414" s="12"/>
    </row>
    <row r="415" ht="19.5" customHeight="1">
      <c r="A415" s="12"/>
      <c r="C415" s="12"/>
      <c r="D415" s="13"/>
      <c r="F415" s="14"/>
      <c r="G415" s="14"/>
      <c r="H415" s="14"/>
      <c r="I415" s="14"/>
      <c r="J415" s="14"/>
      <c r="K415" s="12"/>
    </row>
    <row r="416" ht="19.5" customHeight="1">
      <c r="A416" s="12"/>
      <c r="C416" s="12"/>
      <c r="D416" s="13"/>
      <c r="F416" s="14"/>
      <c r="G416" s="14"/>
      <c r="H416" s="14"/>
      <c r="I416" s="14"/>
      <c r="J416" s="14"/>
      <c r="K416" s="12"/>
    </row>
    <row r="417" ht="19.5" customHeight="1">
      <c r="A417" s="12"/>
      <c r="C417" s="12"/>
      <c r="D417" s="13"/>
      <c r="F417" s="14"/>
      <c r="G417" s="14"/>
      <c r="H417" s="14"/>
      <c r="I417" s="14"/>
      <c r="J417" s="14"/>
      <c r="K417" s="12"/>
    </row>
    <row r="418" ht="19.5" customHeight="1">
      <c r="A418" s="12"/>
      <c r="C418" s="12"/>
      <c r="D418" s="13"/>
      <c r="F418" s="14"/>
      <c r="G418" s="14"/>
      <c r="H418" s="14"/>
      <c r="I418" s="14"/>
      <c r="J418" s="14"/>
      <c r="K418" s="12"/>
    </row>
    <row r="419" ht="19.5" customHeight="1">
      <c r="A419" s="12"/>
      <c r="C419" s="12"/>
      <c r="D419" s="13"/>
      <c r="F419" s="14"/>
      <c r="G419" s="14"/>
      <c r="H419" s="14"/>
      <c r="I419" s="14"/>
      <c r="J419" s="14"/>
      <c r="K419" s="12"/>
    </row>
    <row r="420" ht="19.5" customHeight="1">
      <c r="A420" s="12"/>
      <c r="C420" s="12"/>
      <c r="D420" s="13"/>
      <c r="F420" s="14"/>
      <c r="G420" s="14"/>
      <c r="H420" s="14"/>
      <c r="I420" s="14"/>
      <c r="J420" s="14"/>
      <c r="K420" s="12"/>
    </row>
    <row r="421" ht="19.5" customHeight="1">
      <c r="A421" s="12"/>
      <c r="C421" s="12"/>
      <c r="D421" s="13"/>
      <c r="F421" s="14"/>
      <c r="G421" s="14"/>
      <c r="H421" s="14"/>
      <c r="I421" s="14"/>
      <c r="J421" s="14"/>
      <c r="K421" s="12"/>
    </row>
    <row r="422" ht="19.5" customHeight="1">
      <c r="A422" s="12"/>
      <c r="C422" s="12"/>
      <c r="D422" s="13"/>
      <c r="F422" s="14"/>
      <c r="G422" s="14"/>
      <c r="H422" s="14"/>
      <c r="I422" s="14"/>
      <c r="J422" s="14"/>
      <c r="K422" s="12"/>
    </row>
    <row r="423" ht="19.5" customHeight="1">
      <c r="A423" s="12"/>
      <c r="C423" s="12"/>
      <c r="D423" s="13"/>
      <c r="F423" s="14"/>
      <c r="G423" s="14"/>
      <c r="H423" s="14"/>
      <c r="I423" s="14"/>
      <c r="J423" s="14"/>
      <c r="K423" s="12"/>
    </row>
    <row r="424" ht="19.5" customHeight="1">
      <c r="A424" s="12"/>
      <c r="C424" s="12"/>
      <c r="D424" s="13"/>
      <c r="F424" s="14"/>
      <c r="G424" s="14"/>
      <c r="H424" s="14"/>
      <c r="I424" s="14"/>
      <c r="J424" s="14"/>
      <c r="K424" s="12"/>
    </row>
    <row r="425" ht="19.5" customHeight="1">
      <c r="A425" s="12"/>
      <c r="C425" s="12"/>
      <c r="D425" s="13"/>
      <c r="F425" s="14"/>
      <c r="G425" s="14"/>
      <c r="H425" s="14"/>
      <c r="I425" s="14"/>
      <c r="J425" s="14"/>
      <c r="K425" s="12"/>
    </row>
    <row r="426" ht="19.5" customHeight="1">
      <c r="A426" s="12"/>
      <c r="C426" s="12"/>
      <c r="D426" s="13"/>
      <c r="F426" s="14"/>
      <c r="G426" s="14"/>
      <c r="H426" s="14"/>
      <c r="I426" s="14"/>
      <c r="J426" s="14"/>
      <c r="K426" s="12"/>
    </row>
    <row r="427" ht="19.5" customHeight="1">
      <c r="A427" s="12"/>
      <c r="C427" s="12"/>
      <c r="D427" s="13"/>
      <c r="F427" s="14"/>
      <c r="G427" s="14"/>
      <c r="H427" s="14"/>
      <c r="I427" s="14"/>
      <c r="J427" s="14"/>
      <c r="K427" s="12"/>
    </row>
    <row r="428" ht="19.5" customHeight="1">
      <c r="A428" s="12"/>
      <c r="C428" s="12"/>
      <c r="D428" s="13"/>
      <c r="F428" s="14"/>
      <c r="G428" s="14"/>
      <c r="H428" s="14"/>
      <c r="I428" s="14"/>
      <c r="J428" s="14"/>
      <c r="K428" s="12"/>
    </row>
    <row r="429" ht="19.5" customHeight="1">
      <c r="A429" s="12"/>
      <c r="C429" s="12"/>
      <c r="D429" s="13"/>
      <c r="F429" s="14"/>
      <c r="G429" s="14"/>
      <c r="H429" s="14"/>
      <c r="I429" s="14"/>
      <c r="J429" s="14"/>
      <c r="K429" s="12"/>
    </row>
    <row r="430" ht="19.5" customHeight="1">
      <c r="A430" s="12"/>
      <c r="C430" s="12"/>
      <c r="D430" s="13"/>
      <c r="F430" s="14"/>
      <c r="G430" s="14"/>
      <c r="H430" s="14"/>
      <c r="I430" s="14"/>
      <c r="J430" s="14"/>
      <c r="K430" s="12"/>
    </row>
    <row r="431" ht="19.5" customHeight="1">
      <c r="A431" s="12"/>
      <c r="C431" s="12"/>
      <c r="D431" s="13"/>
      <c r="F431" s="14"/>
      <c r="G431" s="14"/>
      <c r="H431" s="14"/>
      <c r="I431" s="14"/>
      <c r="J431" s="14"/>
      <c r="K431" s="12"/>
    </row>
    <row r="432" ht="19.5" customHeight="1">
      <c r="A432" s="12"/>
      <c r="C432" s="12"/>
      <c r="D432" s="13"/>
      <c r="F432" s="14"/>
      <c r="G432" s="14"/>
      <c r="H432" s="14"/>
      <c r="I432" s="14"/>
      <c r="J432" s="14"/>
      <c r="K432" s="12"/>
    </row>
    <row r="433" ht="19.5" customHeight="1">
      <c r="A433" s="12"/>
      <c r="C433" s="12"/>
      <c r="D433" s="13"/>
      <c r="F433" s="14"/>
      <c r="G433" s="14"/>
      <c r="H433" s="14"/>
      <c r="I433" s="14"/>
      <c r="J433" s="14"/>
      <c r="K433" s="12"/>
    </row>
    <row r="434" ht="19.5" customHeight="1">
      <c r="A434" s="12"/>
      <c r="C434" s="12"/>
      <c r="D434" s="13"/>
      <c r="F434" s="14"/>
      <c r="G434" s="14"/>
      <c r="H434" s="14"/>
      <c r="I434" s="14"/>
      <c r="J434" s="14"/>
      <c r="K434" s="12"/>
    </row>
    <row r="435" ht="19.5" customHeight="1">
      <c r="A435" s="12"/>
      <c r="C435" s="12"/>
      <c r="D435" s="13"/>
      <c r="F435" s="14"/>
      <c r="G435" s="14"/>
      <c r="H435" s="14"/>
      <c r="I435" s="14"/>
      <c r="J435" s="14"/>
      <c r="K435" s="12"/>
    </row>
    <row r="436" ht="19.5" customHeight="1">
      <c r="A436" s="12"/>
      <c r="C436" s="12"/>
      <c r="D436" s="13"/>
      <c r="F436" s="14"/>
      <c r="G436" s="14"/>
      <c r="H436" s="14"/>
      <c r="I436" s="14"/>
      <c r="J436" s="14"/>
      <c r="K436" s="12"/>
    </row>
    <row r="437" ht="19.5" customHeight="1">
      <c r="A437" s="12"/>
      <c r="C437" s="12"/>
      <c r="D437" s="13"/>
      <c r="F437" s="14"/>
      <c r="G437" s="14"/>
      <c r="H437" s="14"/>
      <c r="I437" s="14"/>
      <c r="J437" s="14"/>
      <c r="K437" s="12"/>
    </row>
    <row r="438" ht="19.5" customHeight="1">
      <c r="A438" s="12"/>
      <c r="C438" s="12"/>
      <c r="D438" s="13"/>
      <c r="F438" s="14"/>
      <c r="G438" s="14"/>
      <c r="H438" s="14"/>
      <c r="I438" s="14"/>
      <c r="J438" s="14"/>
      <c r="K438" s="12"/>
    </row>
    <row r="439" ht="19.5" customHeight="1">
      <c r="A439" s="12"/>
      <c r="C439" s="12"/>
      <c r="D439" s="13"/>
      <c r="F439" s="14"/>
      <c r="G439" s="14"/>
      <c r="H439" s="14"/>
      <c r="I439" s="14"/>
      <c r="J439" s="14"/>
      <c r="K439" s="12"/>
    </row>
    <row r="440" ht="19.5" customHeight="1">
      <c r="A440" s="12"/>
      <c r="C440" s="12"/>
      <c r="D440" s="13"/>
      <c r="F440" s="14"/>
      <c r="G440" s="14"/>
      <c r="H440" s="14"/>
      <c r="I440" s="14"/>
      <c r="J440" s="14"/>
      <c r="K440" s="12"/>
    </row>
    <row r="441" ht="19.5" customHeight="1">
      <c r="A441" s="12"/>
      <c r="C441" s="12"/>
      <c r="D441" s="13"/>
      <c r="F441" s="14"/>
      <c r="G441" s="14"/>
      <c r="H441" s="14"/>
      <c r="I441" s="14"/>
      <c r="J441" s="14"/>
      <c r="K441" s="12"/>
    </row>
    <row r="442" ht="19.5" customHeight="1">
      <c r="A442" s="12"/>
      <c r="C442" s="12"/>
      <c r="D442" s="13"/>
      <c r="F442" s="14"/>
      <c r="G442" s="14"/>
      <c r="H442" s="14"/>
      <c r="I442" s="14"/>
      <c r="J442" s="14"/>
      <c r="K442" s="12"/>
    </row>
    <row r="443" ht="19.5" customHeight="1">
      <c r="A443" s="12"/>
      <c r="C443" s="12"/>
      <c r="D443" s="13"/>
      <c r="F443" s="14"/>
      <c r="G443" s="14"/>
      <c r="H443" s="14"/>
      <c r="I443" s="14"/>
      <c r="J443" s="14"/>
      <c r="K443" s="12"/>
    </row>
    <row r="444" ht="19.5" customHeight="1">
      <c r="A444" s="12"/>
      <c r="C444" s="12"/>
      <c r="D444" s="13"/>
      <c r="F444" s="14"/>
      <c r="G444" s="14"/>
      <c r="H444" s="14"/>
      <c r="I444" s="14"/>
      <c r="J444" s="14"/>
      <c r="K444" s="12"/>
    </row>
    <row r="445" ht="19.5" customHeight="1">
      <c r="A445" s="12"/>
      <c r="C445" s="12"/>
      <c r="D445" s="13"/>
      <c r="F445" s="14"/>
      <c r="G445" s="14"/>
      <c r="H445" s="14"/>
      <c r="I445" s="14"/>
      <c r="J445" s="14"/>
      <c r="K445" s="12"/>
    </row>
    <row r="446" ht="19.5" customHeight="1">
      <c r="A446" s="12"/>
      <c r="C446" s="12"/>
      <c r="D446" s="13"/>
      <c r="F446" s="14"/>
      <c r="G446" s="14"/>
      <c r="H446" s="14"/>
      <c r="I446" s="14"/>
      <c r="J446" s="14"/>
      <c r="K446" s="12"/>
    </row>
    <row r="447" ht="19.5" customHeight="1">
      <c r="A447" s="12"/>
      <c r="C447" s="12"/>
      <c r="D447" s="13"/>
      <c r="F447" s="14"/>
      <c r="G447" s="14"/>
      <c r="H447" s="14"/>
      <c r="I447" s="14"/>
      <c r="J447" s="14"/>
      <c r="K447" s="12"/>
    </row>
    <row r="448" ht="19.5" customHeight="1">
      <c r="A448" s="12"/>
      <c r="C448" s="12"/>
      <c r="D448" s="13"/>
      <c r="F448" s="14"/>
      <c r="G448" s="14"/>
      <c r="H448" s="14"/>
      <c r="I448" s="14"/>
      <c r="J448" s="14"/>
      <c r="K448" s="12"/>
    </row>
    <row r="449" ht="19.5" customHeight="1">
      <c r="A449" s="12"/>
      <c r="C449" s="12"/>
      <c r="D449" s="13"/>
      <c r="F449" s="14"/>
      <c r="G449" s="14"/>
      <c r="H449" s="14"/>
      <c r="I449" s="14"/>
      <c r="J449" s="14"/>
      <c r="K449" s="12"/>
    </row>
    <row r="450" ht="19.5" customHeight="1">
      <c r="A450" s="12"/>
      <c r="C450" s="12"/>
      <c r="D450" s="13"/>
      <c r="F450" s="14"/>
      <c r="G450" s="14"/>
      <c r="H450" s="14"/>
      <c r="I450" s="14"/>
      <c r="J450" s="14"/>
      <c r="K450" s="12"/>
    </row>
    <row r="451" ht="19.5" customHeight="1">
      <c r="A451" s="12"/>
      <c r="C451" s="12"/>
      <c r="D451" s="13"/>
      <c r="F451" s="14"/>
      <c r="G451" s="14"/>
      <c r="H451" s="14"/>
      <c r="I451" s="14"/>
      <c r="J451" s="14"/>
      <c r="K451" s="12"/>
    </row>
    <row r="452" ht="19.5" customHeight="1">
      <c r="A452" s="12"/>
      <c r="C452" s="12"/>
      <c r="D452" s="13"/>
      <c r="F452" s="14"/>
      <c r="G452" s="14"/>
      <c r="H452" s="14"/>
      <c r="I452" s="14"/>
      <c r="J452" s="14"/>
      <c r="K452" s="12"/>
    </row>
    <row r="453" ht="19.5" customHeight="1">
      <c r="A453" s="12"/>
      <c r="C453" s="12"/>
      <c r="D453" s="13"/>
      <c r="F453" s="14"/>
      <c r="G453" s="14"/>
      <c r="H453" s="14"/>
      <c r="I453" s="14"/>
      <c r="J453" s="14"/>
      <c r="K453" s="12"/>
    </row>
    <row r="454" ht="19.5" customHeight="1">
      <c r="A454" s="12"/>
      <c r="C454" s="12"/>
      <c r="D454" s="13"/>
      <c r="F454" s="14"/>
      <c r="G454" s="14"/>
      <c r="H454" s="14"/>
      <c r="I454" s="14"/>
      <c r="J454" s="14"/>
      <c r="K454" s="12"/>
    </row>
    <row r="455" ht="19.5" customHeight="1">
      <c r="A455" s="12"/>
      <c r="C455" s="12"/>
      <c r="D455" s="13"/>
      <c r="F455" s="14"/>
      <c r="G455" s="14"/>
      <c r="H455" s="14"/>
      <c r="I455" s="14"/>
      <c r="J455" s="14"/>
      <c r="K455" s="12"/>
    </row>
    <row r="456" ht="19.5" customHeight="1">
      <c r="A456" s="12"/>
      <c r="C456" s="12"/>
      <c r="D456" s="13"/>
      <c r="F456" s="14"/>
      <c r="G456" s="14"/>
      <c r="H456" s="14"/>
      <c r="I456" s="14"/>
      <c r="J456" s="14"/>
      <c r="K456" s="12"/>
    </row>
    <row r="457" ht="19.5" customHeight="1">
      <c r="A457" s="12"/>
      <c r="C457" s="12"/>
      <c r="D457" s="13"/>
      <c r="F457" s="14"/>
      <c r="G457" s="14"/>
      <c r="H457" s="14"/>
      <c r="I457" s="14"/>
      <c r="J457" s="14"/>
      <c r="K457" s="12"/>
    </row>
    <row r="458" ht="19.5" customHeight="1">
      <c r="A458" s="12"/>
      <c r="C458" s="12"/>
      <c r="D458" s="13"/>
      <c r="F458" s="14"/>
      <c r="G458" s="14"/>
      <c r="H458" s="14"/>
      <c r="I458" s="14"/>
      <c r="J458" s="14"/>
      <c r="K458" s="12"/>
    </row>
    <row r="459" ht="19.5" customHeight="1">
      <c r="A459" s="12"/>
      <c r="C459" s="12"/>
      <c r="D459" s="13"/>
      <c r="F459" s="14"/>
      <c r="G459" s="14"/>
      <c r="H459" s="14"/>
      <c r="I459" s="14"/>
      <c r="J459" s="14"/>
      <c r="K459" s="12"/>
    </row>
    <row r="460" ht="19.5" customHeight="1">
      <c r="A460" s="12"/>
      <c r="C460" s="12"/>
      <c r="D460" s="13"/>
      <c r="F460" s="14"/>
      <c r="G460" s="14"/>
      <c r="H460" s="14"/>
      <c r="I460" s="14"/>
      <c r="J460" s="14"/>
      <c r="K460" s="12"/>
    </row>
    <row r="461" ht="19.5" customHeight="1">
      <c r="A461" s="12"/>
      <c r="C461" s="12"/>
      <c r="D461" s="13"/>
      <c r="F461" s="14"/>
      <c r="G461" s="14"/>
      <c r="H461" s="14"/>
      <c r="I461" s="14"/>
      <c r="J461" s="14"/>
      <c r="K461" s="12"/>
    </row>
    <row r="462" ht="19.5" customHeight="1">
      <c r="A462" s="12"/>
      <c r="C462" s="12"/>
      <c r="D462" s="13"/>
      <c r="F462" s="14"/>
      <c r="G462" s="14"/>
      <c r="H462" s="14"/>
      <c r="I462" s="14"/>
      <c r="J462" s="14"/>
      <c r="K462" s="12"/>
    </row>
    <row r="463" ht="19.5" customHeight="1">
      <c r="A463" s="12"/>
      <c r="C463" s="12"/>
      <c r="D463" s="13"/>
      <c r="F463" s="14"/>
      <c r="G463" s="14"/>
      <c r="H463" s="14"/>
      <c r="I463" s="14"/>
      <c r="J463" s="14"/>
      <c r="K463" s="12"/>
    </row>
    <row r="464" ht="19.5" customHeight="1">
      <c r="A464" s="12"/>
      <c r="C464" s="12"/>
      <c r="D464" s="13"/>
      <c r="F464" s="14"/>
      <c r="G464" s="14"/>
      <c r="H464" s="14"/>
      <c r="I464" s="14"/>
      <c r="J464" s="14"/>
      <c r="K464" s="12"/>
    </row>
    <row r="465" ht="19.5" customHeight="1">
      <c r="A465" s="12"/>
      <c r="C465" s="12"/>
      <c r="D465" s="13"/>
      <c r="F465" s="14"/>
      <c r="G465" s="14"/>
      <c r="H465" s="14"/>
      <c r="I465" s="14"/>
      <c r="J465" s="14"/>
      <c r="K465" s="12"/>
    </row>
    <row r="466" ht="19.5" customHeight="1">
      <c r="A466" s="12"/>
      <c r="C466" s="12"/>
      <c r="D466" s="13"/>
      <c r="F466" s="14"/>
      <c r="G466" s="14"/>
      <c r="H466" s="14"/>
      <c r="I466" s="14"/>
      <c r="J466" s="14"/>
      <c r="K466" s="12"/>
    </row>
    <row r="467" ht="19.5" customHeight="1">
      <c r="A467" s="12"/>
      <c r="C467" s="12"/>
      <c r="D467" s="13"/>
      <c r="F467" s="14"/>
      <c r="G467" s="14"/>
      <c r="H467" s="14"/>
      <c r="I467" s="14"/>
      <c r="J467" s="14"/>
      <c r="K467" s="12"/>
    </row>
    <row r="468" ht="19.5" customHeight="1">
      <c r="A468" s="12"/>
      <c r="C468" s="12"/>
      <c r="D468" s="13"/>
      <c r="F468" s="14"/>
      <c r="G468" s="14"/>
      <c r="H468" s="14"/>
      <c r="I468" s="14"/>
      <c r="J468" s="14"/>
      <c r="K468" s="12"/>
    </row>
    <row r="469" ht="19.5" customHeight="1">
      <c r="A469" s="12"/>
      <c r="C469" s="12"/>
      <c r="D469" s="13"/>
      <c r="F469" s="14"/>
      <c r="G469" s="14"/>
      <c r="H469" s="14"/>
      <c r="I469" s="14"/>
      <c r="J469" s="14"/>
      <c r="K469" s="12"/>
    </row>
    <row r="470" ht="19.5" customHeight="1">
      <c r="A470" s="12"/>
      <c r="C470" s="12"/>
      <c r="D470" s="13"/>
      <c r="F470" s="14"/>
      <c r="G470" s="14"/>
      <c r="H470" s="14"/>
      <c r="I470" s="14"/>
      <c r="J470" s="14"/>
      <c r="K470" s="12"/>
    </row>
    <row r="471" ht="19.5" customHeight="1">
      <c r="A471" s="12"/>
      <c r="C471" s="12"/>
      <c r="D471" s="13"/>
      <c r="F471" s="14"/>
      <c r="G471" s="14"/>
      <c r="H471" s="14"/>
      <c r="I471" s="14"/>
      <c r="J471" s="14"/>
      <c r="K471" s="12"/>
    </row>
    <row r="472" ht="19.5" customHeight="1">
      <c r="A472" s="12"/>
      <c r="C472" s="12"/>
      <c r="D472" s="13"/>
      <c r="F472" s="14"/>
      <c r="G472" s="14"/>
      <c r="H472" s="14"/>
      <c r="I472" s="14"/>
      <c r="J472" s="14"/>
      <c r="K472" s="12"/>
    </row>
    <row r="473" ht="19.5" customHeight="1">
      <c r="A473" s="12"/>
      <c r="C473" s="12"/>
      <c r="D473" s="13"/>
      <c r="F473" s="14"/>
      <c r="G473" s="14"/>
      <c r="H473" s="14"/>
      <c r="I473" s="14"/>
      <c r="J473" s="14"/>
      <c r="K473" s="12"/>
    </row>
    <row r="474" ht="19.5" customHeight="1">
      <c r="A474" s="12"/>
      <c r="C474" s="12"/>
      <c r="D474" s="13"/>
      <c r="F474" s="14"/>
      <c r="G474" s="14"/>
      <c r="H474" s="14"/>
      <c r="I474" s="14"/>
      <c r="J474" s="14"/>
      <c r="K474" s="12"/>
    </row>
    <row r="475" ht="19.5" customHeight="1">
      <c r="A475" s="12"/>
      <c r="C475" s="12"/>
      <c r="D475" s="13"/>
      <c r="F475" s="14"/>
      <c r="G475" s="14"/>
      <c r="H475" s="14"/>
      <c r="I475" s="14"/>
      <c r="J475" s="14"/>
      <c r="K475" s="12"/>
    </row>
    <row r="476" ht="19.5" customHeight="1">
      <c r="A476" s="12"/>
      <c r="C476" s="12"/>
      <c r="D476" s="13"/>
      <c r="F476" s="14"/>
      <c r="G476" s="14"/>
      <c r="H476" s="14"/>
      <c r="I476" s="14"/>
      <c r="J476" s="14"/>
      <c r="K476" s="12"/>
    </row>
    <row r="477" ht="19.5" customHeight="1">
      <c r="A477" s="12"/>
      <c r="C477" s="12"/>
      <c r="D477" s="13"/>
      <c r="F477" s="14"/>
      <c r="G477" s="14"/>
      <c r="H477" s="14"/>
      <c r="I477" s="14"/>
      <c r="J477" s="14"/>
      <c r="K477" s="12"/>
    </row>
    <row r="478" ht="19.5" customHeight="1">
      <c r="A478" s="12"/>
      <c r="C478" s="12"/>
      <c r="D478" s="13"/>
      <c r="F478" s="14"/>
      <c r="G478" s="14"/>
      <c r="H478" s="14"/>
      <c r="I478" s="14"/>
      <c r="J478" s="14"/>
      <c r="K478" s="12"/>
    </row>
    <row r="479" ht="19.5" customHeight="1">
      <c r="A479" s="12"/>
      <c r="C479" s="12"/>
      <c r="D479" s="13"/>
      <c r="F479" s="14"/>
      <c r="G479" s="14"/>
      <c r="H479" s="14"/>
      <c r="I479" s="14"/>
      <c r="J479" s="14"/>
      <c r="K479" s="12"/>
    </row>
    <row r="480" ht="19.5" customHeight="1">
      <c r="A480" s="12"/>
      <c r="C480" s="12"/>
      <c r="D480" s="13"/>
      <c r="F480" s="14"/>
      <c r="G480" s="14"/>
      <c r="H480" s="14"/>
      <c r="I480" s="14"/>
      <c r="J480" s="14"/>
      <c r="K480" s="12"/>
    </row>
    <row r="481" ht="19.5" customHeight="1">
      <c r="A481" s="12"/>
      <c r="C481" s="12"/>
      <c r="D481" s="13"/>
      <c r="F481" s="14"/>
      <c r="G481" s="14"/>
      <c r="H481" s="14"/>
      <c r="I481" s="14"/>
      <c r="J481" s="14"/>
      <c r="K481" s="12"/>
    </row>
    <row r="482" ht="19.5" customHeight="1">
      <c r="A482" s="12"/>
      <c r="C482" s="12"/>
      <c r="D482" s="13"/>
      <c r="F482" s="14"/>
      <c r="G482" s="14"/>
      <c r="H482" s="14"/>
      <c r="I482" s="14"/>
      <c r="J482" s="14"/>
      <c r="K482" s="12"/>
    </row>
    <row r="483" ht="19.5" customHeight="1">
      <c r="A483" s="12"/>
      <c r="C483" s="12"/>
      <c r="D483" s="13"/>
      <c r="F483" s="14"/>
      <c r="G483" s="14"/>
      <c r="H483" s="14"/>
      <c r="I483" s="14"/>
      <c r="J483" s="14"/>
      <c r="K483" s="12"/>
    </row>
    <row r="484" ht="19.5" customHeight="1">
      <c r="A484" s="12"/>
      <c r="C484" s="12"/>
      <c r="D484" s="13"/>
      <c r="F484" s="14"/>
      <c r="G484" s="14"/>
      <c r="H484" s="14"/>
      <c r="I484" s="14"/>
      <c r="J484" s="14"/>
      <c r="K484" s="12"/>
    </row>
    <row r="485" ht="19.5" customHeight="1">
      <c r="A485" s="12"/>
      <c r="C485" s="12"/>
      <c r="D485" s="13"/>
      <c r="F485" s="14"/>
      <c r="G485" s="14"/>
      <c r="H485" s="14"/>
      <c r="I485" s="14"/>
      <c r="J485" s="14"/>
      <c r="K485" s="12"/>
    </row>
    <row r="486" ht="19.5" customHeight="1">
      <c r="A486" s="12"/>
      <c r="C486" s="12"/>
      <c r="D486" s="13"/>
      <c r="F486" s="14"/>
      <c r="G486" s="14"/>
      <c r="H486" s="14"/>
      <c r="I486" s="14"/>
      <c r="J486" s="14"/>
      <c r="K486" s="12"/>
    </row>
    <row r="487" ht="19.5" customHeight="1">
      <c r="A487" s="12"/>
      <c r="C487" s="12"/>
      <c r="D487" s="13"/>
      <c r="F487" s="14"/>
      <c r="G487" s="14"/>
      <c r="H487" s="14"/>
      <c r="I487" s="14"/>
      <c r="J487" s="14"/>
      <c r="K487" s="12"/>
    </row>
    <row r="488" ht="19.5" customHeight="1">
      <c r="A488" s="12"/>
      <c r="C488" s="12"/>
      <c r="D488" s="13"/>
      <c r="F488" s="14"/>
      <c r="G488" s="14"/>
      <c r="H488" s="14"/>
      <c r="I488" s="14"/>
      <c r="J488" s="14"/>
      <c r="K488" s="12"/>
    </row>
    <row r="489" ht="19.5" customHeight="1">
      <c r="A489" s="12"/>
      <c r="C489" s="12"/>
      <c r="D489" s="13"/>
      <c r="F489" s="14"/>
      <c r="G489" s="14"/>
      <c r="H489" s="14"/>
      <c r="I489" s="14"/>
      <c r="J489" s="14"/>
      <c r="K489" s="12"/>
    </row>
    <row r="490" ht="19.5" customHeight="1">
      <c r="A490" s="12"/>
      <c r="C490" s="12"/>
      <c r="D490" s="13"/>
      <c r="F490" s="14"/>
      <c r="G490" s="14"/>
      <c r="H490" s="14"/>
      <c r="I490" s="14"/>
      <c r="J490" s="14"/>
      <c r="K490" s="12"/>
    </row>
    <row r="491" ht="19.5" customHeight="1">
      <c r="A491" s="12"/>
      <c r="C491" s="12"/>
      <c r="D491" s="13"/>
      <c r="F491" s="14"/>
      <c r="G491" s="14"/>
      <c r="H491" s="14"/>
      <c r="I491" s="14"/>
      <c r="J491" s="14"/>
      <c r="K491" s="12"/>
    </row>
    <row r="492" ht="19.5" customHeight="1">
      <c r="A492" s="12"/>
      <c r="C492" s="12"/>
      <c r="D492" s="13"/>
      <c r="F492" s="14"/>
      <c r="G492" s="14"/>
      <c r="H492" s="14"/>
      <c r="I492" s="14"/>
      <c r="J492" s="14"/>
      <c r="K492" s="12"/>
    </row>
    <row r="493" ht="19.5" customHeight="1">
      <c r="A493" s="12"/>
      <c r="C493" s="12"/>
      <c r="D493" s="13"/>
      <c r="F493" s="14"/>
      <c r="G493" s="14"/>
      <c r="H493" s="14"/>
      <c r="I493" s="14"/>
      <c r="J493" s="14"/>
      <c r="K493" s="12"/>
    </row>
    <row r="494" ht="19.5" customHeight="1">
      <c r="A494" s="12"/>
      <c r="C494" s="12"/>
      <c r="D494" s="13"/>
      <c r="F494" s="14"/>
      <c r="G494" s="14"/>
      <c r="H494" s="14"/>
      <c r="I494" s="14"/>
      <c r="J494" s="14"/>
      <c r="K494" s="12"/>
    </row>
    <row r="495" ht="19.5" customHeight="1">
      <c r="A495" s="12"/>
      <c r="C495" s="12"/>
      <c r="D495" s="13"/>
      <c r="F495" s="14"/>
      <c r="G495" s="14"/>
      <c r="H495" s="14"/>
      <c r="I495" s="14"/>
      <c r="J495" s="14"/>
      <c r="K495" s="12"/>
    </row>
    <row r="496" ht="19.5" customHeight="1">
      <c r="A496" s="12"/>
      <c r="C496" s="12"/>
      <c r="D496" s="13"/>
      <c r="F496" s="14"/>
      <c r="G496" s="14"/>
      <c r="H496" s="14"/>
      <c r="I496" s="14"/>
      <c r="J496" s="14"/>
      <c r="K496" s="12"/>
    </row>
    <row r="497" ht="19.5" customHeight="1">
      <c r="A497" s="12"/>
      <c r="C497" s="12"/>
      <c r="D497" s="13"/>
      <c r="F497" s="14"/>
      <c r="G497" s="14"/>
      <c r="H497" s="14"/>
      <c r="I497" s="14"/>
      <c r="J497" s="14"/>
      <c r="K497" s="12"/>
    </row>
    <row r="498" ht="19.5" customHeight="1">
      <c r="A498" s="12"/>
      <c r="C498" s="12"/>
      <c r="D498" s="13"/>
      <c r="F498" s="14"/>
      <c r="G498" s="14"/>
      <c r="H498" s="14"/>
      <c r="I498" s="14"/>
      <c r="J498" s="14"/>
      <c r="K498" s="12"/>
    </row>
    <row r="499" ht="19.5" customHeight="1">
      <c r="A499" s="12"/>
      <c r="C499" s="12"/>
      <c r="D499" s="13"/>
      <c r="F499" s="14"/>
      <c r="G499" s="14"/>
      <c r="H499" s="14"/>
      <c r="I499" s="14"/>
      <c r="J499" s="14"/>
      <c r="K499" s="12"/>
    </row>
    <row r="500" ht="19.5" customHeight="1">
      <c r="A500" s="12"/>
      <c r="C500" s="12"/>
      <c r="D500" s="13"/>
      <c r="F500" s="14"/>
      <c r="G500" s="14"/>
      <c r="H500" s="14"/>
      <c r="I500" s="14"/>
      <c r="J500" s="14"/>
      <c r="K500" s="12"/>
    </row>
    <row r="501" ht="19.5" customHeight="1">
      <c r="A501" s="12"/>
      <c r="C501" s="12"/>
      <c r="D501" s="13"/>
      <c r="F501" s="14"/>
      <c r="G501" s="14"/>
      <c r="H501" s="14"/>
      <c r="I501" s="14"/>
      <c r="J501" s="14"/>
      <c r="K501" s="12"/>
    </row>
    <row r="502" ht="19.5" customHeight="1">
      <c r="A502" s="12"/>
      <c r="C502" s="12"/>
      <c r="D502" s="13"/>
      <c r="F502" s="14"/>
      <c r="G502" s="14"/>
      <c r="H502" s="14"/>
      <c r="I502" s="14"/>
      <c r="J502" s="14"/>
      <c r="K502" s="12"/>
    </row>
    <row r="503" ht="19.5" customHeight="1">
      <c r="A503" s="12"/>
      <c r="C503" s="12"/>
      <c r="D503" s="13"/>
      <c r="F503" s="14"/>
      <c r="G503" s="14"/>
      <c r="H503" s="14"/>
      <c r="I503" s="14"/>
      <c r="J503" s="14"/>
      <c r="K503" s="12"/>
    </row>
    <row r="504" ht="19.5" customHeight="1">
      <c r="A504" s="12"/>
      <c r="C504" s="12"/>
      <c r="D504" s="13"/>
      <c r="F504" s="14"/>
      <c r="G504" s="14"/>
      <c r="H504" s="14"/>
      <c r="I504" s="14"/>
      <c r="J504" s="14"/>
      <c r="K504" s="12"/>
    </row>
    <row r="505" ht="19.5" customHeight="1">
      <c r="A505" s="12"/>
      <c r="C505" s="12"/>
      <c r="D505" s="13"/>
      <c r="F505" s="14"/>
      <c r="G505" s="14"/>
      <c r="H505" s="14"/>
      <c r="I505" s="14"/>
      <c r="J505" s="14"/>
      <c r="K505" s="12"/>
    </row>
    <row r="506" ht="19.5" customHeight="1">
      <c r="A506" s="12"/>
      <c r="C506" s="12"/>
      <c r="D506" s="13"/>
      <c r="F506" s="14"/>
      <c r="G506" s="14"/>
      <c r="H506" s="14"/>
      <c r="I506" s="14"/>
      <c r="J506" s="14"/>
      <c r="K506" s="12"/>
    </row>
    <row r="507" ht="19.5" customHeight="1">
      <c r="A507" s="12"/>
      <c r="C507" s="12"/>
      <c r="D507" s="13"/>
      <c r="F507" s="14"/>
      <c r="G507" s="14"/>
      <c r="H507" s="14"/>
      <c r="I507" s="14"/>
      <c r="J507" s="14"/>
      <c r="K507" s="12"/>
    </row>
    <row r="508" ht="19.5" customHeight="1">
      <c r="A508" s="12"/>
      <c r="C508" s="12"/>
      <c r="D508" s="13"/>
      <c r="F508" s="14"/>
      <c r="G508" s="14"/>
      <c r="H508" s="14"/>
      <c r="I508" s="14"/>
      <c r="J508" s="14"/>
      <c r="K508" s="12"/>
    </row>
    <row r="509" ht="19.5" customHeight="1">
      <c r="A509" s="12"/>
      <c r="C509" s="12"/>
      <c r="D509" s="13"/>
      <c r="F509" s="14"/>
      <c r="G509" s="14"/>
      <c r="H509" s="14"/>
      <c r="I509" s="14"/>
      <c r="J509" s="14"/>
      <c r="K509" s="12"/>
    </row>
    <row r="510" ht="19.5" customHeight="1">
      <c r="A510" s="12"/>
      <c r="C510" s="12"/>
      <c r="D510" s="13"/>
      <c r="F510" s="14"/>
      <c r="G510" s="14"/>
      <c r="H510" s="14"/>
      <c r="I510" s="14"/>
      <c r="J510" s="14"/>
      <c r="K510" s="12"/>
    </row>
    <row r="511" ht="19.5" customHeight="1">
      <c r="A511" s="12"/>
      <c r="C511" s="12"/>
      <c r="D511" s="13"/>
      <c r="F511" s="14"/>
      <c r="G511" s="14"/>
      <c r="H511" s="14"/>
      <c r="I511" s="14"/>
      <c r="J511" s="14"/>
      <c r="K511" s="12"/>
    </row>
    <row r="512" ht="19.5" customHeight="1">
      <c r="A512" s="12"/>
      <c r="C512" s="12"/>
      <c r="D512" s="13"/>
      <c r="F512" s="14"/>
      <c r="G512" s="14"/>
      <c r="H512" s="14"/>
      <c r="I512" s="14"/>
      <c r="J512" s="14"/>
      <c r="K512" s="12"/>
    </row>
    <row r="513" ht="19.5" customHeight="1">
      <c r="A513" s="12"/>
      <c r="C513" s="12"/>
      <c r="D513" s="13"/>
      <c r="F513" s="14"/>
      <c r="G513" s="14"/>
      <c r="H513" s="14"/>
      <c r="I513" s="14"/>
      <c r="J513" s="14"/>
      <c r="K513" s="12"/>
    </row>
    <row r="514" ht="19.5" customHeight="1">
      <c r="A514" s="12"/>
      <c r="C514" s="12"/>
      <c r="D514" s="13"/>
      <c r="F514" s="14"/>
      <c r="G514" s="14"/>
      <c r="H514" s="14"/>
      <c r="I514" s="14"/>
      <c r="J514" s="14"/>
      <c r="K514" s="12"/>
    </row>
    <row r="515" ht="19.5" customHeight="1">
      <c r="A515" s="12"/>
      <c r="C515" s="12"/>
      <c r="D515" s="13"/>
      <c r="F515" s="14"/>
      <c r="G515" s="14"/>
      <c r="H515" s="14"/>
      <c r="I515" s="14"/>
      <c r="J515" s="14"/>
      <c r="K515" s="12"/>
    </row>
    <row r="516" ht="19.5" customHeight="1">
      <c r="A516" s="12"/>
      <c r="C516" s="12"/>
      <c r="D516" s="13"/>
      <c r="F516" s="14"/>
      <c r="G516" s="14"/>
      <c r="H516" s="14"/>
      <c r="I516" s="14"/>
      <c r="J516" s="14"/>
      <c r="K516" s="12"/>
    </row>
    <row r="517" ht="19.5" customHeight="1">
      <c r="A517" s="12"/>
      <c r="C517" s="12"/>
      <c r="D517" s="13"/>
      <c r="F517" s="14"/>
      <c r="G517" s="14"/>
      <c r="H517" s="14"/>
      <c r="I517" s="14"/>
      <c r="J517" s="14"/>
      <c r="K517" s="12"/>
    </row>
    <row r="518" ht="19.5" customHeight="1">
      <c r="A518" s="12"/>
      <c r="C518" s="12"/>
      <c r="D518" s="13"/>
      <c r="F518" s="14"/>
      <c r="G518" s="14"/>
      <c r="H518" s="14"/>
      <c r="I518" s="14"/>
      <c r="J518" s="14"/>
      <c r="K518" s="12"/>
    </row>
    <row r="519" ht="19.5" customHeight="1">
      <c r="A519" s="12"/>
      <c r="C519" s="12"/>
      <c r="D519" s="13"/>
      <c r="F519" s="14"/>
      <c r="G519" s="14"/>
      <c r="H519" s="14"/>
      <c r="I519" s="14"/>
      <c r="J519" s="14"/>
      <c r="K519" s="12"/>
    </row>
    <row r="520" ht="19.5" customHeight="1">
      <c r="A520" s="12"/>
      <c r="C520" s="12"/>
      <c r="D520" s="13"/>
      <c r="F520" s="14"/>
      <c r="G520" s="14"/>
      <c r="H520" s="14"/>
      <c r="I520" s="14"/>
      <c r="J520" s="14"/>
      <c r="K520" s="12"/>
    </row>
    <row r="521" ht="19.5" customHeight="1">
      <c r="A521" s="12"/>
      <c r="C521" s="12"/>
      <c r="D521" s="13"/>
      <c r="F521" s="14"/>
      <c r="G521" s="14"/>
      <c r="H521" s="14"/>
      <c r="I521" s="14"/>
      <c r="J521" s="14"/>
      <c r="K521" s="12"/>
    </row>
    <row r="522" ht="19.5" customHeight="1">
      <c r="A522" s="12"/>
      <c r="C522" s="12"/>
      <c r="D522" s="13"/>
      <c r="F522" s="14"/>
      <c r="G522" s="14"/>
      <c r="H522" s="14"/>
      <c r="I522" s="14"/>
      <c r="J522" s="14"/>
      <c r="K522" s="12"/>
    </row>
    <row r="523" ht="19.5" customHeight="1">
      <c r="A523" s="12"/>
      <c r="C523" s="12"/>
      <c r="D523" s="13"/>
      <c r="F523" s="14"/>
      <c r="G523" s="14"/>
      <c r="H523" s="14"/>
      <c r="I523" s="14"/>
      <c r="J523" s="14"/>
      <c r="K523" s="12"/>
    </row>
    <row r="524" ht="19.5" customHeight="1">
      <c r="A524" s="12"/>
      <c r="C524" s="12"/>
      <c r="D524" s="13"/>
      <c r="F524" s="14"/>
      <c r="G524" s="14"/>
      <c r="H524" s="14"/>
      <c r="I524" s="14"/>
      <c r="J524" s="14"/>
      <c r="K524" s="12"/>
    </row>
    <row r="525" ht="19.5" customHeight="1">
      <c r="A525" s="12"/>
      <c r="C525" s="12"/>
      <c r="D525" s="13"/>
      <c r="F525" s="14"/>
      <c r="G525" s="14"/>
      <c r="H525" s="14"/>
      <c r="I525" s="14"/>
      <c r="J525" s="14"/>
      <c r="K525" s="12"/>
    </row>
    <row r="526" ht="19.5" customHeight="1">
      <c r="A526" s="12"/>
      <c r="C526" s="12"/>
      <c r="D526" s="13"/>
      <c r="F526" s="14"/>
      <c r="G526" s="14"/>
      <c r="H526" s="14"/>
      <c r="I526" s="14"/>
      <c r="J526" s="14"/>
      <c r="K526" s="12"/>
    </row>
    <row r="527" ht="19.5" customHeight="1">
      <c r="A527" s="12"/>
      <c r="C527" s="12"/>
      <c r="D527" s="13"/>
      <c r="F527" s="14"/>
      <c r="G527" s="14"/>
      <c r="H527" s="14"/>
      <c r="I527" s="14"/>
      <c r="J527" s="14"/>
      <c r="K527" s="12"/>
    </row>
    <row r="528" ht="19.5" customHeight="1">
      <c r="A528" s="12"/>
      <c r="C528" s="12"/>
      <c r="D528" s="13"/>
      <c r="F528" s="14"/>
      <c r="G528" s="14"/>
      <c r="H528" s="14"/>
      <c r="I528" s="14"/>
      <c r="J528" s="14"/>
      <c r="K528" s="12"/>
    </row>
    <row r="529" ht="19.5" customHeight="1">
      <c r="A529" s="12"/>
      <c r="C529" s="12"/>
      <c r="D529" s="13"/>
      <c r="F529" s="14"/>
      <c r="G529" s="14"/>
      <c r="H529" s="14"/>
      <c r="I529" s="14"/>
      <c r="J529" s="14"/>
      <c r="K529" s="12"/>
    </row>
    <row r="530" ht="19.5" customHeight="1">
      <c r="A530" s="12"/>
      <c r="C530" s="12"/>
      <c r="D530" s="13"/>
      <c r="F530" s="14"/>
      <c r="G530" s="14"/>
      <c r="H530" s="14"/>
      <c r="I530" s="14"/>
      <c r="J530" s="14"/>
      <c r="K530" s="12"/>
    </row>
    <row r="531" ht="19.5" customHeight="1">
      <c r="A531" s="12"/>
      <c r="C531" s="12"/>
      <c r="D531" s="13"/>
      <c r="F531" s="14"/>
      <c r="G531" s="14"/>
      <c r="H531" s="14"/>
      <c r="I531" s="14"/>
      <c r="J531" s="14"/>
      <c r="K531" s="12"/>
    </row>
    <row r="532" ht="19.5" customHeight="1">
      <c r="A532" s="12"/>
      <c r="C532" s="12"/>
      <c r="D532" s="13"/>
      <c r="F532" s="14"/>
      <c r="G532" s="14"/>
      <c r="H532" s="14"/>
      <c r="I532" s="14"/>
      <c r="J532" s="14"/>
      <c r="K532" s="12"/>
    </row>
    <row r="533" ht="19.5" customHeight="1">
      <c r="A533" s="12"/>
      <c r="C533" s="12"/>
      <c r="D533" s="13"/>
      <c r="F533" s="14"/>
      <c r="G533" s="14"/>
      <c r="H533" s="14"/>
      <c r="I533" s="14"/>
      <c r="J533" s="14"/>
      <c r="K533" s="12"/>
    </row>
    <row r="534" ht="19.5" customHeight="1">
      <c r="A534" s="12"/>
      <c r="C534" s="12"/>
      <c r="D534" s="13"/>
      <c r="F534" s="14"/>
      <c r="G534" s="14"/>
      <c r="H534" s="14"/>
      <c r="I534" s="14"/>
      <c r="J534" s="14"/>
      <c r="K534" s="12"/>
    </row>
    <row r="535" ht="19.5" customHeight="1">
      <c r="A535" s="12"/>
      <c r="C535" s="12"/>
      <c r="D535" s="13"/>
      <c r="F535" s="14"/>
      <c r="G535" s="14"/>
      <c r="H535" s="14"/>
      <c r="I535" s="14"/>
      <c r="J535" s="14"/>
      <c r="K535" s="12"/>
    </row>
    <row r="536" ht="19.5" customHeight="1">
      <c r="A536" s="12"/>
      <c r="C536" s="12"/>
      <c r="D536" s="13"/>
      <c r="F536" s="14"/>
      <c r="G536" s="14"/>
      <c r="H536" s="14"/>
      <c r="I536" s="14"/>
      <c r="J536" s="14"/>
      <c r="K536" s="12"/>
    </row>
    <row r="537" ht="19.5" customHeight="1">
      <c r="A537" s="12"/>
      <c r="C537" s="12"/>
      <c r="D537" s="13"/>
      <c r="F537" s="14"/>
      <c r="G537" s="14"/>
      <c r="H537" s="14"/>
      <c r="I537" s="14"/>
      <c r="J537" s="14"/>
      <c r="K537" s="12"/>
    </row>
    <row r="538" ht="19.5" customHeight="1">
      <c r="A538" s="12"/>
      <c r="C538" s="12"/>
      <c r="D538" s="13"/>
      <c r="F538" s="14"/>
      <c r="G538" s="14"/>
      <c r="H538" s="14"/>
      <c r="I538" s="14"/>
      <c r="J538" s="14"/>
      <c r="K538" s="12"/>
    </row>
    <row r="539" ht="19.5" customHeight="1">
      <c r="A539" s="12"/>
      <c r="C539" s="12"/>
      <c r="D539" s="13"/>
      <c r="F539" s="14"/>
      <c r="G539" s="14"/>
      <c r="H539" s="14"/>
      <c r="I539" s="14"/>
      <c r="J539" s="14"/>
      <c r="K539" s="12"/>
    </row>
    <row r="540" ht="19.5" customHeight="1">
      <c r="A540" s="12"/>
      <c r="C540" s="12"/>
      <c r="D540" s="13"/>
      <c r="F540" s="14"/>
      <c r="G540" s="14"/>
      <c r="H540" s="14"/>
      <c r="I540" s="14"/>
      <c r="J540" s="14"/>
      <c r="K540" s="12"/>
    </row>
    <row r="541" ht="19.5" customHeight="1">
      <c r="A541" s="12"/>
      <c r="C541" s="12"/>
      <c r="D541" s="13"/>
      <c r="F541" s="14"/>
      <c r="G541" s="14"/>
      <c r="H541" s="14"/>
      <c r="I541" s="14"/>
      <c r="J541" s="14"/>
      <c r="K541" s="12"/>
    </row>
    <row r="542" ht="19.5" customHeight="1">
      <c r="A542" s="12"/>
      <c r="C542" s="12"/>
      <c r="D542" s="13"/>
      <c r="F542" s="14"/>
      <c r="G542" s="14"/>
      <c r="H542" s="14"/>
      <c r="I542" s="14"/>
      <c r="J542" s="14"/>
      <c r="K542" s="12"/>
    </row>
    <row r="543" ht="19.5" customHeight="1">
      <c r="A543" s="12"/>
      <c r="C543" s="12"/>
      <c r="D543" s="13"/>
      <c r="F543" s="14"/>
      <c r="G543" s="14"/>
      <c r="H543" s="14"/>
      <c r="I543" s="14"/>
      <c r="J543" s="14"/>
      <c r="K543" s="12"/>
    </row>
    <row r="544" ht="19.5" customHeight="1">
      <c r="A544" s="12"/>
      <c r="C544" s="12"/>
      <c r="D544" s="13"/>
      <c r="F544" s="14"/>
      <c r="G544" s="14"/>
      <c r="H544" s="14"/>
      <c r="I544" s="14"/>
      <c r="J544" s="14"/>
      <c r="K544" s="12"/>
    </row>
    <row r="545" ht="19.5" customHeight="1">
      <c r="A545" s="12"/>
      <c r="C545" s="12"/>
      <c r="D545" s="13"/>
      <c r="F545" s="14"/>
      <c r="G545" s="14"/>
      <c r="H545" s="14"/>
      <c r="I545" s="14"/>
      <c r="J545" s="14"/>
      <c r="K545" s="12"/>
    </row>
    <row r="546" ht="19.5" customHeight="1">
      <c r="A546" s="12"/>
      <c r="C546" s="12"/>
      <c r="D546" s="13"/>
      <c r="F546" s="14"/>
      <c r="G546" s="14"/>
      <c r="H546" s="14"/>
      <c r="I546" s="14"/>
      <c r="J546" s="14"/>
      <c r="K546" s="12"/>
    </row>
    <row r="547" ht="19.5" customHeight="1">
      <c r="A547" s="12"/>
      <c r="C547" s="12"/>
      <c r="D547" s="13"/>
      <c r="F547" s="14"/>
      <c r="G547" s="14"/>
      <c r="H547" s="14"/>
      <c r="I547" s="14"/>
      <c r="J547" s="14"/>
      <c r="K547" s="12"/>
    </row>
    <row r="548" ht="19.5" customHeight="1">
      <c r="A548" s="12"/>
      <c r="C548" s="12"/>
      <c r="D548" s="13"/>
      <c r="F548" s="14"/>
      <c r="G548" s="14"/>
      <c r="H548" s="14"/>
      <c r="I548" s="14"/>
      <c r="J548" s="14"/>
      <c r="K548" s="12"/>
    </row>
    <row r="549" ht="19.5" customHeight="1">
      <c r="A549" s="12"/>
      <c r="C549" s="12"/>
      <c r="D549" s="13"/>
      <c r="F549" s="14"/>
      <c r="G549" s="14"/>
      <c r="H549" s="14"/>
      <c r="I549" s="14"/>
      <c r="J549" s="14"/>
      <c r="K549" s="12"/>
    </row>
    <row r="550" ht="19.5" customHeight="1">
      <c r="A550" s="12"/>
      <c r="C550" s="12"/>
      <c r="D550" s="13"/>
      <c r="F550" s="14"/>
      <c r="G550" s="14"/>
      <c r="H550" s="14"/>
      <c r="I550" s="14"/>
      <c r="J550" s="14"/>
      <c r="K550" s="12"/>
    </row>
    <row r="551" ht="19.5" customHeight="1">
      <c r="A551" s="12"/>
      <c r="C551" s="12"/>
      <c r="D551" s="13"/>
      <c r="F551" s="14"/>
      <c r="G551" s="14"/>
      <c r="H551" s="14"/>
      <c r="I551" s="14"/>
      <c r="J551" s="14"/>
      <c r="K551" s="12"/>
    </row>
    <row r="552" ht="19.5" customHeight="1">
      <c r="A552" s="12"/>
      <c r="C552" s="12"/>
      <c r="D552" s="13"/>
      <c r="F552" s="14"/>
      <c r="G552" s="14"/>
      <c r="H552" s="14"/>
      <c r="I552" s="14"/>
      <c r="J552" s="14"/>
      <c r="K552" s="12"/>
    </row>
    <row r="553" ht="19.5" customHeight="1">
      <c r="A553" s="12"/>
      <c r="C553" s="12"/>
      <c r="D553" s="13"/>
      <c r="F553" s="14"/>
      <c r="G553" s="14"/>
      <c r="H553" s="14"/>
      <c r="I553" s="14"/>
      <c r="J553" s="14"/>
      <c r="K553" s="12"/>
    </row>
    <row r="554" ht="19.5" customHeight="1">
      <c r="A554" s="12"/>
      <c r="C554" s="12"/>
      <c r="D554" s="13"/>
      <c r="F554" s="14"/>
      <c r="G554" s="14"/>
      <c r="H554" s="14"/>
      <c r="I554" s="14"/>
      <c r="J554" s="14"/>
      <c r="K554" s="12"/>
    </row>
    <row r="555" ht="19.5" customHeight="1">
      <c r="A555" s="12"/>
      <c r="C555" s="12"/>
      <c r="D555" s="13"/>
      <c r="F555" s="14"/>
      <c r="G555" s="14"/>
      <c r="H555" s="14"/>
      <c r="I555" s="14"/>
      <c r="J555" s="14"/>
      <c r="K555" s="12"/>
    </row>
    <row r="556" ht="19.5" customHeight="1">
      <c r="A556" s="12"/>
      <c r="C556" s="12"/>
      <c r="D556" s="13"/>
      <c r="F556" s="14"/>
      <c r="G556" s="14"/>
      <c r="H556" s="14"/>
      <c r="I556" s="14"/>
      <c r="J556" s="14"/>
      <c r="K556" s="12"/>
    </row>
    <row r="557" ht="19.5" customHeight="1">
      <c r="A557" s="12"/>
      <c r="C557" s="12"/>
      <c r="D557" s="13"/>
      <c r="F557" s="14"/>
      <c r="G557" s="14"/>
      <c r="H557" s="14"/>
      <c r="I557" s="14"/>
      <c r="J557" s="14"/>
      <c r="K557" s="12"/>
    </row>
    <row r="558" ht="19.5" customHeight="1">
      <c r="A558" s="12"/>
      <c r="C558" s="12"/>
      <c r="D558" s="13"/>
      <c r="F558" s="14"/>
      <c r="G558" s="14"/>
      <c r="H558" s="14"/>
      <c r="I558" s="14"/>
      <c r="J558" s="14"/>
      <c r="K558" s="12"/>
    </row>
    <row r="559" ht="19.5" customHeight="1">
      <c r="A559" s="12"/>
      <c r="C559" s="12"/>
      <c r="D559" s="13"/>
      <c r="F559" s="14"/>
      <c r="G559" s="14"/>
      <c r="H559" s="14"/>
      <c r="I559" s="14"/>
      <c r="J559" s="14"/>
      <c r="K559" s="12"/>
    </row>
    <row r="560" ht="19.5" customHeight="1">
      <c r="A560" s="12"/>
      <c r="C560" s="12"/>
      <c r="D560" s="13"/>
      <c r="F560" s="14"/>
      <c r="G560" s="14"/>
      <c r="H560" s="14"/>
      <c r="I560" s="14"/>
      <c r="J560" s="14"/>
      <c r="K560" s="12"/>
    </row>
    <row r="561" ht="19.5" customHeight="1">
      <c r="A561" s="12"/>
      <c r="C561" s="12"/>
      <c r="D561" s="13"/>
      <c r="F561" s="14"/>
      <c r="G561" s="14"/>
      <c r="H561" s="14"/>
      <c r="I561" s="14"/>
      <c r="J561" s="14"/>
      <c r="K561" s="12"/>
    </row>
    <row r="562" ht="19.5" customHeight="1">
      <c r="A562" s="12"/>
      <c r="C562" s="12"/>
      <c r="D562" s="13"/>
      <c r="F562" s="14"/>
      <c r="G562" s="14"/>
      <c r="H562" s="14"/>
      <c r="I562" s="14"/>
      <c r="J562" s="14"/>
      <c r="K562" s="12"/>
    </row>
    <row r="563" ht="19.5" customHeight="1">
      <c r="A563" s="12"/>
      <c r="C563" s="12"/>
      <c r="D563" s="13"/>
      <c r="F563" s="14"/>
      <c r="G563" s="14"/>
      <c r="H563" s="14"/>
      <c r="I563" s="14"/>
      <c r="J563" s="14"/>
      <c r="K563" s="12"/>
    </row>
    <row r="564" ht="19.5" customHeight="1">
      <c r="A564" s="12"/>
      <c r="C564" s="12"/>
      <c r="D564" s="13"/>
      <c r="F564" s="14"/>
      <c r="G564" s="14"/>
      <c r="H564" s="14"/>
      <c r="I564" s="14"/>
      <c r="J564" s="14"/>
      <c r="K564" s="12"/>
    </row>
    <row r="565" ht="19.5" customHeight="1">
      <c r="A565" s="12"/>
      <c r="C565" s="12"/>
      <c r="D565" s="13"/>
      <c r="F565" s="14"/>
      <c r="G565" s="14"/>
      <c r="H565" s="14"/>
      <c r="I565" s="14"/>
      <c r="J565" s="14"/>
      <c r="K565" s="12"/>
    </row>
    <row r="566" ht="19.5" customHeight="1">
      <c r="A566" s="12"/>
      <c r="C566" s="12"/>
      <c r="D566" s="13"/>
      <c r="F566" s="14"/>
      <c r="G566" s="14"/>
      <c r="H566" s="14"/>
      <c r="I566" s="14"/>
      <c r="J566" s="14"/>
      <c r="K566" s="12"/>
    </row>
    <row r="567" ht="19.5" customHeight="1">
      <c r="A567" s="12"/>
      <c r="C567" s="12"/>
      <c r="D567" s="13"/>
      <c r="F567" s="14"/>
      <c r="G567" s="14"/>
      <c r="H567" s="14"/>
      <c r="I567" s="14"/>
      <c r="J567" s="14"/>
      <c r="K567" s="12"/>
    </row>
    <row r="568" ht="19.5" customHeight="1">
      <c r="A568" s="12"/>
      <c r="C568" s="12"/>
      <c r="D568" s="13"/>
      <c r="F568" s="14"/>
      <c r="G568" s="14"/>
      <c r="H568" s="14"/>
      <c r="I568" s="14"/>
      <c r="J568" s="14"/>
      <c r="K568" s="12"/>
    </row>
    <row r="569" ht="19.5" customHeight="1">
      <c r="A569" s="12"/>
      <c r="C569" s="12"/>
      <c r="D569" s="13"/>
      <c r="F569" s="14"/>
      <c r="G569" s="14"/>
      <c r="H569" s="14"/>
      <c r="I569" s="14"/>
      <c r="J569" s="14"/>
      <c r="K569" s="12"/>
    </row>
    <row r="570" ht="19.5" customHeight="1">
      <c r="A570" s="12"/>
      <c r="C570" s="12"/>
      <c r="D570" s="13"/>
      <c r="F570" s="14"/>
      <c r="G570" s="14"/>
      <c r="H570" s="14"/>
      <c r="I570" s="14"/>
      <c r="J570" s="14"/>
      <c r="K570" s="12"/>
    </row>
    <row r="571" ht="19.5" customHeight="1">
      <c r="A571" s="12"/>
      <c r="C571" s="12"/>
      <c r="D571" s="13"/>
      <c r="F571" s="14"/>
      <c r="G571" s="14"/>
      <c r="H571" s="14"/>
      <c r="I571" s="14"/>
      <c r="J571" s="14"/>
      <c r="K571" s="12"/>
    </row>
    <row r="572" ht="19.5" customHeight="1">
      <c r="A572" s="12"/>
      <c r="C572" s="12"/>
      <c r="D572" s="13"/>
      <c r="F572" s="14"/>
      <c r="G572" s="14"/>
      <c r="H572" s="14"/>
      <c r="I572" s="14"/>
      <c r="J572" s="14"/>
      <c r="K572" s="12"/>
    </row>
    <row r="573" ht="19.5" customHeight="1">
      <c r="A573" s="12"/>
      <c r="C573" s="12"/>
      <c r="D573" s="13"/>
      <c r="F573" s="14"/>
      <c r="G573" s="14"/>
      <c r="H573" s="14"/>
      <c r="I573" s="14"/>
      <c r="J573" s="14"/>
      <c r="K573" s="12"/>
    </row>
    <row r="574" ht="19.5" customHeight="1">
      <c r="A574" s="12"/>
      <c r="C574" s="12"/>
      <c r="D574" s="13"/>
      <c r="F574" s="14"/>
      <c r="G574" s="14"/>
      <c r="H574" s="14"/>
      <c r="I574" s="14"/>
      <c r="J574" s="14"/>
      <c r="K574" s="12"/>
    </row>
    <row r="575" ht="19.5" customHeight="1">
      <c r="A575" s="12"/>
      <c r="C575" s="12"/>
      <c r="D575" s="13"/>
      <c r="F575" s="14"/>
      <c r="G575" s="14"/>
      <c r="H575" s="14"/>
      <c r="I575" s="14"/>
      <c r="J575" s="14"/>
      <c r="K575" s="12"/>
    </row>
    <row r="576" ht="19.5" customHeight="1">
      <c r="A576" s="12"/>
      <c r="C576" s="12"/>
      <c r="D576" s="13"/>
      <c r="F576" s="14"/>
      <c r="G576" s="14"/>
      <c r="H576" s="14"/>
      <c r="I576" s="14"/>
      <c r="J576" s="14"/>
      <c r="K576" s="12"/>
    </row>
    <row r="577" ht="19.5" customHeight="1">
      <c r="A577" s="12"/>
      <c r="C577" s="12"/>
      <c r="D577" s="13"/>
      <c r="F577" s="14"/>
      <c r="G577" s="14"/>
      <c r="H577" s="14"/>
      <c r="I577" s="14"/>
      <c r="J577" s="14"/>
      <c r="K577" s="12"/>
    </row>
    <row r="578" ht="19.5" customHeight="1">
      <c r="A578" s="12"/>
      <c r="C578" s="12"/>
      <c r="D578" s="13"/>
      <c r="F578" s="14"/>
      <c r="G578" s="14"/>
      <c r="H578" s="14"/>
      <c r="I578" s="14"/>
      <c r="J578" s="14"/>
      <c r="K578" s="12"/>
    </row>
    <row r="579" ht="19.5" customHeight="1">
      <c r="A579" s="12"/>
      <c r="C579" s="12"/>
      <c r="D579" s="13"/>
      <c r="F579" s="14"/>
      <c r="G579" s="14"/>
      <c r="H579" s="14"/>
      <c r="I579" s="14"/>
      <c r="J579" s="14"/>
      <c r="K579" s="12"/>
    </row>
    <row r="580" ht="19.5" customHeight="1">
      <c r="A580" s="12"/>
      <c r="C580" s="12"/>
      <c r="D580" s="13"/>
      <c r="F580" s="14"/>
      <c r="G580" s="14"/>
      <c r="H580" s="14"/>
      <c r="I580" s="14"/>
      <c r="J580" s="14"/>
      <c r="K580" s="12"/>
    </row>
    <row r="581" ht="19.5" customHeight="1">
      <c r="A581" s="12"/>
      <c r="C581" s="12"/>
      <c r="D581" s="13"/>
      <c r="F581" s="14"/>
      <c r="G581" s="14"/>
      <c r="H581" s="14"/>
      <c r="I581" s="14"/>
      <c r="J581" s="14"/>
      <c r="K581" s="12"/>
    </row>
    <row r="582" ht="19.5" customHeight="1">
      <c r="A582" s="12"/>
      <c r="C582" s="12"/>
      <c r="D582" s="13"/>
      <c r="F582" s="14"/>
      <c r="G582" s="14"/>
      <c r="H582" s="14"/>
      <c r="I582" s="14"/>
      <c r="J582" s="14"/>
      <c r="K582" s="12"/>
    </row>
    <row r="583" ht="19.5" customHeight="1">
      <c r="A583" s="12"/>
      <c r="C583" s="12"/>
      <c r="D583" s="13"/>
      <c r="F583" s="14"/>
      <c r="G583" s="14"/>
      <c r="H583" s="14"/>
      <c r="I583" s="14"/>
      <c r="J583" s="14"/>
      <c r="K583" s="12"/>
    </row>
    <row r="584" ht="19.5" customHeight="1">
      <c r="A584" s="12"/>
      <c r="C584" s="12"/>
      <c r="D584" s="13"/>
      <c r="F584" s="14"/>
      <c r="G584" s="14"/>
      <c r="H584" s="14"/>
      <c r="I584" s="14"/>
      <c r="J584" s="14"/>
      <c r="K584" s="12"/>
    </row>
    <row r="585" ht="19.5" customHeight="1">
      <c r="A585" s="12"/>
      <c r="C585" s="12"/>
      <c r="D585" s="13"/>
      <c r="F585" s="14"/>
      <c r="G585" s="14"/>
      <c r="H585" s="14"/>
      <c r="I585" s="14"/>
      <c r="J585" s="14"/>
      <c r="K585" s="12"/>
    </row>
    <row r="586" ht="19.5" customHeight="1">
      <c r="A586" s="12"/>
      <c r="C586" s="12"/>
      <c r="D586" s="13"/>
      <c r="F586" s="14"/>
      <c r="G586" s="14"/>
      <c r="H586" s="14"/>
      <c r="I586" s="14"/>
      <c r="J586" s="14"/>
      <c r="K586" s="12"/>
    </row>
    <row r="587" ht="19.5" customHeight="1">
      <c r="A587" s="12"/>
      <c r="C587" s="12"/>
      <c r="D587" s="13"/>
      <c r="F587" s="14"/>
      <c r="G587" s="14"/>
      <c r="H587" s="14"/>
      <c r="I587" s="14"/>
      <c r="J587" s="14"/>
      <c r="K587" s="12"/>
    </row>
    <row r="588" ht="19.5" customHeight="1">
      <c r="A588" s="12"/>
      <c r="C588" s="12"/>
      <c r="D588" s="13"/>
      <c r="F588" s="14"/>
      <c r="G588" s="14"/>
      <c r="H588" s="14"/>
      <c r="I588" s="14"/>
      <c r="J588" s="14"/>
      <c r="K588" s="12"/>
    </row>
    <row r="589" ht="19.5" customHeight="1">
      <c r="A589" s="12"/>
      <c r="C589" s="12"/>
      <c r="D589" s="13"/>
      <c r="F589" s="14"/>
      <c r="G589" s="14"/>
      <c r="H589" s="14"/>
      <c r="I589" s="14"/>
      <c r="J589" s="14"/>
      <c r="K589" s="12"/>
    </row>
    <row r="590" ht="19.5" customHeight="1">
      <c r="A590" s="12"/>
      <c r="C590" s="12"/>
      <c r="D590" s="13"/>
      <c r="F590" s="14"/>
      <c r="G590" s="14"/>
      <c r="H590" s="14"/>
      <c r="I590" s="14"/>
      <c r="J590" s="14"/>
      <c r="K590" s="12"/>
    </row>
    <row r="591" ht="19.5" customHeight="1">
      <c r="A591" s="12"/>
      <c r="C591" s="12"/>
      <c r="D591" s="13"/>
      <c r="F591" s="14"/>
      <c r="G591" s="14"/>
      <c r="H591" s="14"/>
      <c r="I591" s="14"/>
      <c r="J591" s="14"/>
      <c r="K591" s="12"/>
    </row>
    <row r="592" ht="19.5" customHeight="1">
      <c r="A592" s="12"/>
      <c r="C592" s="12"/>
      <c r="D592" s="13"/>
      <c r="F592" s="14"/>
      <c r="G592" s="14"/>
      <c r="H592" s="14"/>
      <c r="I592" s="14"/>
      <c r="J592" s="14"/>
      <c r="K592" s="12"/>
    </row>
    <row r="593" ht="19.5" customHeight="1">
      <c r="A593" s="12"/>
      <c r="C593" s="12"/>
      <c r="D593" s="13"/>
      <c r="F593" s="14"/>
      <c r="G593" s="14"/>
      <c r="H593" s="14"/>
      <c r="I593" s="14"/>
      <c r="J593" s="14"/>
      <c r="K593" s="12"/>
    </row>
    <row r="594" ht="19.5" customHeight="1">
      <c r="A594" s="12"/>
      <c r="C594" s="12"/>
      <c r="D594" s="13"/>
      <c r="F594" s="14"/>
      <c r="G594" s="14"/>
      <c r="H594" s="14"/>
      <c r="I594" s="14"/>
      <c r="J594" s="14"/>
      <c r="K594" s="12"/>
    </row>
    <row r="595" ht="19.5" customHeight="1">
      <c r="A595" s="12"/>
      <c r="C595" s="12"/>
      <c r="D595" s="13"/>
      <c r="F595" s="14"/>
      <c r="G595" s="14"/>
      <c r="H595" s="14"/>
      <c r="I595" s="14"/>
      <c r="J595" s="14"/>
      <c r="K595" s="12"/>
    </row>
    <row r="596" ht="19.5" customHeight="1">
      <c r="A596" s="12"/>
      <c r="C596" s="12"/>
      <c r="D596" s="13"/>
      <c r="F596" s="14"/>
      <c r="G596" s="14"/>
      <c r="H596" s="14"/>
      <c r="I596" s="14"/>
      <c r="J596" s="14"/>
      <c r="K596" s="12"/>
    </row>
    <row r="597" ht="19.5" customHeight="1">
      <c r="A597" s="12"/>
      <c r="C597" s="12"/>
      <c r="D597" s="13"/>
      <c r="F597" s="14"/>
      <c r="G597" s="14"/>
      <c r="H597" s="14"/>
      <c r="I597" s="14"/>
      <c r="J597" s="14"/>
      <c r="K597" s="12"/>
    </row>
    <row r="598" ht="19.5" customHeight="1">
      <c r="A598" s="12"/>
      <c r="C598" s="12"/>
      <c r="D598" s="13"/>
      <c r="F598" s="14"/>
      <c r="G598" s="14"/>
      <c r="H598" s="14"/>
      <c r="I598" s="14"/>
      <c r="J598" s="14"/>
      <c r="K598" s="12"/>
    </row>
    <row r="599" ht="19.5" customHeight="1">
      <c r="A599" s="12"/>
      <c r="C599" s="12"/>
      <c r="D599" s="13"/>
      <c r="F599" s="14"/>
      <c r="G599" s="14"/>
      <c r="H599" s="14"/>
      <c r="I599" s="14"/>
      <c r="J599" s="14"/>
      <c r="K599" s="12"/>
    </row>
    <row r="600" ht="19.5" customHeight="1">
      <c r="A600" s="12"/>
      <c r="C600" s="12"/>
      <c r="D600" s="13"/>
      <c r="F600" s="14"/>
      <c r="G600" s="14"/>
      <c r="H600" s="14"/>
      <c r="I600" s="14"/>
      <c r="J600" s="14"/>
      <c r="K600" s="12"/>
    </row>
    <row r="601" ht="19.5" customHeight="1">
      <c r="A601" s="12"/>
      <c r="C601" s="12"/>
      <c r="D601" s="13"/>
      <c r="F601" s="14"/>
      <c r="G601" s="14"/>
      <c r="H601" s="14"/>
      <c r="I601" s="14"/>
      <c r="J601" s="14"/>
      <c r="K601" s="12"/>
    </row>
    <row r="602" ht="19.5" customHeight="1">
      <c r="A602" s="12"/>
      <c r="C602" s="12"/>
      <c r="D602" s="13"/>
      <c r="F602" s="14"/>
      <c r="G602" s="14"/>
      <c r="H602" s="14"/>
      <c r="I602" s="14"/>
      <c r="J602" s="14"/>
      <c r="K602" s="12"/>
    </row>
    <row r="603" ht="19.5" customHeight="1">
      <c r="A603" s="12"/>
      <c r="C603" s="12"/>
      <c r="D603" s="13"/>
      <c r="F603" s="14"/>
      <c r="G603" s="14"/>
      <c r="H603" s="14"/>
      <c r="I603" s="14"/>
      <c r="J603" s="14"/>
      <c r="K603" s="12"/>
    </row>
    <row r="604" ht="19.5" customHeight="1">
      <c r="A604" s="12"/>
      <c r="C604" s="12"/>
      <c r="D604" s="13"/>
      <c r="F604" s="14"/>
      <c r="G604" s="14"/>
      <c r="H604" s="14"/>
      <c r="I604" s="14"/>
      <c r="J604" s="14"/>
      <c r="K604" s="12"/>
    </row>
    <row r="605" ht="19.5" customHeight="1">
      <c r="A605" s="12"/>
      <c r="C605" s="12"/>
      <c r="D605" s="13"/>
      <c r="F605" s="14"/>
      <c r="G605" s="14"/>
      <c r="H605" s="14"/>
      <c r="I605" s="14"/>
      <c r="J605" s="14"/>
      <c r="K605" s="12"/>
    </row>
    <row r="606" ht="19.5" customHeight="1">
      <c r="A606" s="12"/>
      <c r="C606" s="12"/>
      <c r="D606" s="13"/>
      <c r="F606" s="14"/>
      <c r="G606" s="14"/>
      <c r="H606" s="14"/>
      <c r="I606" s="14"/>
      <c r="J606" s="14"/>
      <c r="K606" s="12"/>
    </row>
    <row r="607" ht="19.5" customHeight="1">
      <c r="A607" s="12"/>
      <c r="C607" s="12"/>
      <c r="D607" s="13"/>
      <c r="F607" s="14"/>
      <c r="G607" s="14"/>
      <c r="H607" s="14"/>
      <c r="I607" s="14"/>
      <c r="J607" s="14"/>
      <c r="K607" s="12"/>
    </row>
    <row r="608" ht="19.5" customHeight="1">
      <c r="A608" s="12"/>
      <c r="C608" s="12"/>
      <c r="D608" s="13"/>
      <c r="F608" s="14"/>
      <c r="G608" s="14"/>
      <c r="H608" s="14"/>
      <c r="I608" s="14"/>
      <c r="J608" s="14"/>
      <c r="K608" s="12"/>
    </row>
    <row r="609" ht="19.5" customHeight="1">
      <c r="A609" s="12"/>
      <c r="C609" s="12"/>
      <c r="D609" s="13"/>
      <c r="F609" s="14"/>
      <c r="G609" s="14"/>
      <c r="H609" s="14"/>
      <c r="I609" s="14"/>
      <c r="J609" s="14"/>
      <c r="K609" s="12"/>
    </row>
    <row r="610" ht="19.5" customHeight="1">
      <c r="A610" s="12"/>
      <c r="C610" s="12"/>
      <c r="D610" s="13"/>
      <c r="F610" s="14"/>
      <c r="G610" s="14"/>
      <c r="H610" s="14"/>
      <c r="I610" s="14"/>
      <c r="J610" s="14"/>
      <c r="K610" s="12"/>
    </row>
    <row r="611" ht="19.5" customHeight="1">
      <c r="A611" s="12"/>
      <c r="C611" s="12"/>
      <c r="D611" s="13"/>
      <c r="F611" s="14"/>
      <c r="G611" s="14"/>
      <c r="H611" s="14"/>
      <c r="I611" s="14"/>
      <c r="J611" s="14"/>
      <c r="K611" s="12"/>
    </row>
    <row r="612" ht="19.5" customHeight="1">
      <c r="A612" s="12"/>
      <c r="C612" s="12"/>
      <c r="D612" s="13"/>
      <c r="F612" s="14"/>
      <c r="G612" s="14"/>
      <c r="H612" s="14"/>
      <c r="I612" s="14"/>
      <c r="J612" s="14"/>
      <c r="K612" s="12"/>
    </row>
    <row r="613" ht="19.5" customHeight="1">
      <c r="A613" s="12"/>
      <c r="C613" s="12"/>
      <c r="D613" s="13"/>
      <c r="F613" s="14"/>
      <c r="G613" s="14"/>
      <c r="H613" s="14"/>
      <c r="I613" s="14"/>
      <c r="J613" s="14"/>
      <c r="K613" s="12"/>
    </row>
    <row r="614" ht="19.5" customHeight="1">
      <c r="A614" s="12"/>
      <c r="C614" s="12"/>
      <c r="D614" s="13"/>
      <c r="F614" s="14"/>
      <c r="G614" s="14"/>
      <c r="H614" s="14"/>
      <c r="I614" s="14"/>
      <c r="J614" s="14"/>
      <c r="K614" s="12"/>
    </row>
    <row r="615" ht="19.5" customHeight="1">
      <c r="A615" s="12"/>
      <c r="C615" s="12"/>
      <c r="D615" s="13"/>
      <c r="F615" s="14"/>
      <c r="G615" s="14"/>
      <c r="H615" s="14"/>
      <c r="I615" s="14"/>
      <c r="J615" s="14"/>
      <c r="K615" s="12"/>
    </row>
    <row r="616" ht="19.5" customHeight="1">
      <c r="A616" s="12"/>
      <c r="C616" s="12"/>
      <c r="D616" s="13"/>
      <c r="F616" s="14"/>
      <c r="G616" s="14"/>
      <c r="H616" s="14"/>
      <c r="I616" s="14"/>
      <c r="J616" s="14"/>
      <c r="K616" s="12"/>
    </row>
    <row r="617" ht="19.5" customHeight="1">
      <c r="A617" s="12"/>
      <c r="C617" s="12"/>
      <c r="D617" s="13"/>
      <c r="F617" s="14"/>
      <c r="G617" s="14"/>
      <c r="H617" s="14"/>
      <c r="I617" s="14"/>
      <c r="J617" s="14"/>
      <c r="K617" s="12"/>
    </row>
    <row r="618" ht="19.5" customHeight="1">
      <c r="A618" s="12"/>
      <c r="C618" s="12"/>
      <c r="D618" s="13"/>
      <c r="F618" s="14"/>
      <c r="G618" s="14"/>
      <c r="H618" s="14"/>
      <c r="I618" s="14"/>
      <c r="J618" s="14"/>
      <c r="K618" s="12"/>
    </row>
    <row r="619" ht="19.5" customHeight="1">
      <c r="A619" s="12"/>
      <c r="C619" s="12"/>
      <c r="D619" s="13"/>
      <c r="F619" s="14"/>
      <c r="G619" s="14"/>
      <c r="H619" s="14"/>
      <c r="I619" s="14"/>
      <c r="J619" s="14"/>
      <c r="K619" s="12"/>
    </row>
    <row r="620" ht="19.5" customHeight="1">
      <c r="A620" s="12"/>
      <c r="C620" s="12"/>
      <c r="D620" s="13"/>
      <c r="F620" s="14"/>
      <c r="G620" s="14"/>
      <c r="H620" s="14"/>
      <c r="I620" s="14"/>
      <c r="J620" s="14"/>
      <c r="K620" s="12"/>
    </row>
    <row r="621" ht="19.5" customHeight="1">
      <c r="A621" s="12"/>
      <c r="C621" s="12"/>
      <c r="D621" s="13"/>
      <c r="F621" s="14"/>
      <c r="G621" s="14"/>
      <c r="H621" s="14"/>
      <c r="I621" s="14"/>
      <c r="J621" s="14"/>
      <c r="K621" s="12"/>
    </row>
    <row r="622" ht="19.5" customHeight="1">
      <c r="A622" s="12"/>
      <c r="C622" s="12"/>
      <c r="D622" s="13"/>
      <c r="F622" s="14"/>
      <c r="G622" s="14"/>
      <c r="H622" s="14"/>
      <c r="I622" s="14"/>
      <c r="J622" s="14"/>
      <c r="K622" s="12"/>
    </row>
    <row r="623" ht="19.5" customHeight="1">
      <c r="A623" s="12"/>
      <c r="C623" s="12"/>
      <c r="D623" s="13"/>
      <c r="F623" s="14"/>
      <c r="G623" s="14"/>
      <c r="H623" s="14"/>
      <c r="I623" s="14"/>
      <c r="J623" s="14"/>
      <c r="K623" s="12"/>
    </row>
    <row r="624" ht="19.5" customHeight="1">
      <c r="A624" s="12"/>
      <c r="C624" s="12"/>
      <c r="D624" s="13"/>
      <c r="F624" s="14"/>
      <c r="G624" s="14"/>
      <c r="H624" s="14"/>
      <c r="I624" s="14"/>
      <c r="J624" s="14"/>
      <c r="K624" s="12"/>
    </row>
    <row r="625" ht="19.5" customHeight="1">
      <c r="A625" s="12"/>
      <c r="C625" s="12"/>
      <c r="D625" s="13"/>
      <c r="F625" s="14"/>
      <c r="G625" s="14"/>
      <c r="H625" s="14"/>
      <c r="I625" s="14"/>
      <c r="J625" s="14"/>
      <c r="K625" s="12"/>
    </row>
    <row r="626" ht="19.5" customHeight="1">
      <c r="A626" s="12"/>
      <c r="C626" s="12"/>
      <c r="D626" s="13"/>
      <c r="F626" s="14"/>
      <c r="G626" s="14"/>
      <c r="H626" s="14"/>
      <c r="I626" s="14"/>
      <c r="J626" s="14"/>
      <c r="K626" s="12"/>
    </row>
    <row r="627" ht="19.5" customHeight="1">
      <c r="A627" s="12"/>
      <c r="C627" s="12"/>
      <c r="D627" s="13"/>
      <c r="F627" s="14"/>
      <c r="G627" s="14"/>
      <c r="H627" s="14"/>
      <c r="I627" s="14"/>
      <c r="J627" s="14"/>
      <c r="K627" s="12"/>
    </row>
    <row r="628" ht="19.5" customHeight="1">
      <c r="A628" s="12"/>
      <c r="C628" s="12"/>
      <c r="D628" s="13"/>
      <c r="F628" s="14"/>
      <c r="G628" s="14"/>
      <c r="H628" s="14"/>
      <c r="I628" s="14"/>
      <c r="J628" s="14"/>
      <c r="K628" s="12"/>
    </row>
    <row r="629" ht="19.5" customHeight="1">
      <c r="A629" s="12"/>
      <c r="C629" s="12"/>
      <c r="D629" s="13"/>
      <c r="F629" s="14"/>
      <c r="G629" s="14"/>
      <c r="H629" s="14"/>
      <c r="I629" s="14"/>
      <c r="J629" s="14"/>
      <c r="K629" s="12"/>
    </row>
    <row r="630" ht="19.5" customHeight="1">
      <c r="A630" s="12"/>
      <c r="C630" s="12"/>
      <c r="D630" s="13"/>
      <c r="F630" s="14"/>
      <c r="G630" s="14"/>
      <c r="H630" s="14"/>
      <c r="I630" s="14"/>
      <c r="J630" s="14"/>
      <c r="K630" s="12"/>
    </row>
    <row r="631" ht="19.5" customHeight="1">
      <c r="A631" s="12"/>
      <c r="C631" s="12"/>
      <c r="D631" s="13"/>
      <c r="F631" s="14"/>
      <c r="G631" s="14"/>
      <c r="H631" s="14"/>
      <c r="I631" s="14"/>
      <c r="J631" s="14"/>
      <c r="K631" s="12"/>
    </row>
    <row r="632" ht="19.5" customHeight="1">
      <c r="A632" s="12"/>
      <c r="C632" s="12"/>
      <c r="D632" s="13"/>
      <c r="F632" s="14"/>
      <c r="G632" s="14"/>
      <c r="H632" s="14"/>
      <c r="I632" s="14"/>
      <c r="J632" s="14"/>
      <c r="K632" s="12"/>
    </row>
    <row r="633" ht="19.5" customHeight="1">
      <c r="A633" s="12"/>
      <c r="C633" s="12"/>
      <c r="D633" s="13"/>
      <c r="F633" s="14"/>
      <c r="G633" s="14"/>
      <c r="H633" s="14"/>
      <c r="I633" s="14"/>
      <c r="J633" s="14"/>
      <c r="K633" s="12"/>
    </row>
    <row r="634" ht="19.5" customHeight="1">
      <c r="A634" s="12"/>
      <c r="C634" s="12"/>
      <c r="D634" s="13"/>
      <c r="F634" s="14"/>
      <c r="G634" s="14"/>
      <c r="H634" s="14"/>
      <c r="I634" s="14"/>
      <c r="J634" s="14"/>
      <c r="K634" s="12"/>
    </row>
    <row r="635" ht="19.5" customHeight="1">
      <c r="A635" s="12"/>
      <c r="C635" s="12"/>
      <c r="D635" s="13"/>
      <c r="F635" s="14"/>
      <c r="G635" s="14"/>
      <c r="H635" s="14"/>
      <c r="I635" s="14"/>
      <c r="J635" s="14"/>
      <c r="K635" s="12"/>
    </row>
    <row r="636" ht="19.5" customHeight="1">
      <c r="A636" s="12"/>
      <c r="C636" s="12"/>
      <c r="D636" s="13"/>
      <c r="F636" s="14"/>
      <c r="G636" s="14"/>
      <c r="H636" s="14"/>
      <c r="I636" s="14"/>
      <c r="J636" s="14"/>
      <c r="K636" s="12"/>
    </row>
    <row r="637" ht="19.5" customHeight="1">
      <c r="A637" s="12"/>
      <c r="C637" s="12"/>
      <c r="D637" s="13"/>
      <c r="F637" s="14"/>
      <c r="G637" s="14"/>
      <c r="H637" s="14"/>
      <c r="I637" s="14"/>
      <c r="J637" s="14"/>
      <c r="K637" s="12"/>
    </row>
    <row r="638" ht="19.5" customHeight="1">
      <c r="A638" s="12"/>
      <c r="C638" s="12"/>
      <c r="D638" s="13"/>
      <c r="F638" s="14"/>
      <c r="G638" s="14"/>
      <c r="H638" s="14"/>
      <c r="I638" s="14"/>
      <c r="J638" s="14"/>
      <c r="K638" s="12"/>
    </row>
    <row r="639" ht="19.5" customHeight="1">
      <c r="A639" s="12"/>
      <c r="C639" s="12"/>
      <c r="D639" s="13"/>
      <c r="F639" s="14"/>
      <c r="G639" s="14"/>
      <c r="H639" s="14"/>
      <c r="I639" s="14"/>
      <c r="J639" s="14"/>
      <c r="K639" s="12"/>
    </row>
    <row r="640" ht="19.5" customHeight="1">
      <c r="A640" s="12"/>
      <c r="C640" s="12"/>
      <c r="D640" s="13"/>
      <c r="F640" s="14"/>
      <c r="G640" s="14"/>
      <c r="H640" s="14"/>
      <c r="I640" s="14"/>
      <c r="J640" s="14"/>
      <c r="K640" s="12"/>
    </row>
    <row r="641" ht="19.5" customHeight="1">
      <c r="A641" s="12"/>
      <c r="C641" s="12"/>
      <c r="D641" s="13"/>
      <c r="F641" s="14"/>
      <c r="G641" s="14"/>
      <c r="H641" s="14"/>
      <c r="I641" s="14"/>
      <c r="J641" s="14"/>
      <c r="K641" s="12"/>
    </row>
    <row r="642" ht="19.5" customHeight="1">
      <c r="A642" s="12"/>
      <c r="C642" s="12"/>
      <c r="D642" s="13"/>
      <c r="F642" s="14"/>
      <c r="G642" s="14"/>
      <c r="H642" s="14"/>
      <c r="I642" s="14"/>
      <c r="J642" s="14"/>
      <c r="K642" s="12"/>
    </row>
    <row r="643" ht="19.5" customHeight="1">
      <c r="A643" s="12"/>
      <c r="C643" s="12"/>
      <c r="D643" s="13"/>
      <c r="F643" s="14"/>
      <c r="G643" s="14"/>
      <c r="H643" s="14"/>
      <c r="I643" s="14"/>
      <c r="J643" s="14"/>
      <c r="K643" s="12"/>
    </row>
    <row r="644" ht="19.5" customHeight="1">
      <c r="A644" s="12"/>
      <c r="C644" s="12"/>
      <c r="D644" s="13"/>
      <c r="F644" s="14"/>
      <c r="G644" s="14"/>
      <c r="H644" s="14"/>
      <c r="I644" s="14"/>
      <c r="J644" s="14"/>
      <c r="K644" s="12"/>
    </row>
    <row r="645" ht="19.5" customHeight="1">
      <c r="A645" s="12"/>
      <c r="C645" s="12"/>
      <c r="D645" s="13"/>
      <c r="F645" s="14"/>
      <c r="G645" s="14"/>
      <c r="H645" s="14"/>
      <c r="I645" s="14"/>
      <c r="J645" s="14"/>
      <c r="K645" s="12"/>
    </row>
    <row r="646" ht="19.5" customHeight="1">
      <c r="A646" s="12"/>
      <c r="C646" s="12"/>
      <c r="D646" s="13"/>
      <c r="F646" s="14"/>
      <c r="G646" s="14"/>
      <c r="H646" s="14"/>
      <c r="I646" s="14"/>
      <c r="J646" s="14"/>
      <c r="K646" s="12"/>
    </row>
    <row r="647" ht="19.5" customHeight="1">
      <c r="A647" s="12"/>
      <c r="C647" s="12"/>
      <c r="D647" s="13"/>
      <c r="F647" s="14"/>
      <c r="G647" s="14"/>
      <c r="H647" s="14"/>
      <c r="I647" s="14"/>
      <c r="J647" s="14"/>
      <c r="K647" s="12"/>
    </row>
    <row r="648" ht="19.5" customHeight="1">
      <c r="A648" s="12"/>
      <c r="C648" s="12"/>
      <c r="D648" s="13"/>
      <c r="F648" s="14"/>
      <c r="G648" s="14"/>
      <c r="H648" s="14"/>
      <c r="I648" s="14"/>
      <c r="J648" s="14"/>
      <c r="K648" s="12"/>
    </row>
    <row r="649" ht="19.5" customHeight="1">
      <c r="A649" s="12"/>
      <c r="C649" s="12"/>
      <c r="D649" s="13"/>
      <c r="F649" s="14"/>
      <c r="G649" s="14"/>
      <c r="H649" s="14"/>
      <c r="I649" s="14"/>
      <c r="J649" s="14"/>
      <c r="K649" s="12"/>
    </row>
    <row r="650" ht="19.5" customHeight="1">
      <c r="A650" s="12"/>
      <c r="C650" s="12"/>
      <c r="D650" s="13"/>
      <c r="F650" s="14"/>
      <c r="G650" s="14"/>
      <c r="H650" s="14"/>
      <c r="I650" s="14"/>
      <c r="J650" s="14"/>
      <c r="K650" s="12"/>
    </row>
    <row r="651" ht="19.5" customHeight="1">
      <c r="A651" s="12"/>
      <c r="C651" s="12"/>
      <c r="D651" s="13"/>
      <c r="F651" s="14"/>
      <c r="G651" s="14"/>
      <c r="H651" s="14"/>
      <c r="I651" s="14"/>
      <c r="J651" s="14"/>
      <c r="K651" s="12"/>
    </row>
    <row r="652" ht="19.5" customHeight="1">
      <c r="A652" s="12"/>
      <c r="C652" s="12"/>
      <c r="D652" s="13"/>
      <c r="F652" s="14"/>
      <c r="G652" s="14"/>
      <c r="H652" s="14"/>
      <c r="I652" s="14"/>
      <c r="J652" s="14"/>
      <c r="K652" s="12"/>
    </row>
    <row r="653" ht="19.5" customHeight="1">
      <c r="A653" s="12"/>
      <c r="C653" s="12"/>
      <c r="D653" s="13"/>
      <c r="F653" s="14"/>
      <c r="G653" s="14"/>
      <c r="H653" s="14"/>
      <c r="I653" s="14"/>
      <c r="J653" s="14"/>
      <c r="K653" s="12"/>
    </row>
    <row r="654" ht="19.5" customHeight="1">
      <c r="A654" s="12"/>
      <c r="C654" s="12"/>
      <c r="D654" s="13"/>
      <c r="F654" s="14"/>
      <c r="G654" s="14"/>
      <c r="H654" s="14"/>
      <c r="I654" s="14"/>
      <c r="J654" s="14"/>
      <c r="K654" s="12"/>
    </row>
    <row r="655" ht="19.5" customHeight="1">
      <c r="A655" s="12"/>
      <c r="C655" s="12"/>
      <c r="D655" s="13"/>
      <c r="F655" s="14"/>
      <c r="G655" s="14"/>
      <c r="H655" s="14"/>
      <c r="I655" s="14"/>
      <c r="J655" s="14"/>
      <c r="K655" s="12"/>
    </row>
    <row r="656" ht="19.5" customHeight="1">
      <c r="A656" s="12"/>
      <c r="C656" s="12"/>
      <c r="D656" s="13"/>
      <c r="F656" s="14"/>
      <c r="G656" s="14"/>
      <c r="H656" s="14"/>
      <c r="I656" s="14"/>
      <c r="J656" s="14"/>
      <c r="K656" s="12"/>
    </row>
    <row r="657" ht="19.5" customHeight="1">
      <c r="A657" s="12"/>
      <c r="C657" s="12"/>
      <c r="D657" s="13"/>
      <c r="F657" s="14"/>
      <c r="G657" s="14"/>
      <c r="H657" s="14"/>
      <c r="I657" s="14"/>
      <c r="J657" s="14"/>
      <c r="K657" s="12"/>
    </row>
    <row r="658" ht="19.5" customHeight="1">
      <c r="A658" s="12"/>
      <c r="C658" s="12"/>
      <c r="D658" s="13"/>
      <c r="F658" s="14"/>
      <c r="G658" s="14"/>
      <c r="H658" s="14"/>
      <c r="I658" s="14"/>
      <c r="J658" s="14"/>
      <c r="K658" s="12"/>
    </row>
    <row r="659" ht="19.5" customHeight="1">
      <c r="A659" s="12"/>
      <c r="C659" s="12"/>
      <c r="D659" s="13"/>
      <c r="F659" s="14"/>
      <c r="G659" s="14"/>
      <c r="H659" s="14"/>
      <c r="I659" s="14"/>
      <c r="J659" s="14"/>
      <c r="K659" s="12"/>
    </row>
    <row r="660" ht="19.5" customHeight="1">
      <c r="A660" s="12"/>
      <c r="C660" s="12"/>
      <c r="D660" s="13"/>
      <c r="F660" s="14"/>
      <c r="G660" s="14"/>
      <c r="H660" s="14"/>
      <c r="I660" s="14"/>
      <c r="J660" s="14"/>
      <c r="K660" s="12"/>
    </row>
    <row r="661" ht="19.5" customHeight="1">
      <c r="A661" s="12"/>
      <c r="C661" s="12"/>
      <c r="D661" s="13"/>
      <c r="F661" s="14"/>
      <c r="G661" s="14"/>
      <c r="H661" s="14"/>
      <c r="I661" s="14"/>
      <c r="J661" s="14"/>
      <c r="K661" s="12"/>
    </row>
    <row r="662" ht="19.5" customHeight="1">
      <c r="A662" s="12"/>
      <c r="C662" s="12"/>
      <c r="D662" s="13"/>
      <c r="F662" s="14"/>
      <c r="G662" s="14"/>
      <c r="H662" s="14"/>
      <c r="I662" s="14"/>
      <c r="J662" s="14"/>
      <c r="K662" s="12"/>
    </row>
    <row r="663" ht="19.5" customHeight="1">
      <c r="A663" s="12"/>
      <c r="C663" s="12"/>
      <c r="D663" s="13"/>
      <c r="F663" s="14"/>
      <c r="G663" s="14"/>
      <c r="H663" s="14"/>
      <c r="I663" s="14"/>
      <c r="J663" s="14"/>
      <c r="K663" s="12"/>
    </row>
    <row r="664" ht="19.5" customHeight="1">
      <c r="A664" s="12"/>
      <c r="C664" s="12"/>
      <c r="D664" s="13"/>
      <c r="F664" s="14"/>
      <c r="G664" s="14"/>
      <c r="H664" s="14"/>
      <c r="I664" s="14"/>
      <c r="J664" s="14"/>
      <c r="K664" s="12"/>
    </row>
    <row r="665" ht="19.5" customHeight="1">
      <c r="A665" s="12"/>
      <c r="C665" s="12"/>
      <c r="D665" s="13"/>
      <c r="F665" s="14"/>
      <c r="G665" s="14"/>
      <c r="H665" s="14"/>
      <c r="I665" s="14"/>
      <c r="J665" s="14"/>
      <c r="K665" s="12"/>
    </row>
    <row r="666" ht="19.5" customHeight="1">
      <c r="A666" s="12"/>
      <c r="C666" s="12"/>
      <c r="D666" s="13"/>
      <c r="F666" s="14"/>
      <c r="G666" s="14"/>
      <c r="H666" s="14"/>
      <c r="I666" s="14"/>
      <c r="J666" s="14"/>
      <c r="K666" s="12"/>
    </row>
    <row r="667" ht="19.5" customHeight="1">
      <c r="A667" s="12"/>
      <c r="C667" s="12"/>
      <c r="D667" s="13"/>
      <c r="F667" s="14"/>
      <c r="G667" s="14"/>
      <c r="H667" s="14"/>
      <c r="I667" s="14"/>
      <c r="J667" s="14"/>
      <c r="K667" s="12"/>
    </row>
    <row r="668" ht="19.5" customHeight="1">
      <c r="A668" s="12"/>
      <c r="C668" s="12"/>
      <c r="D668" s="13"/>
      <c r="F668" s="14"/>
      <c r="G668" s="14"/>
      <c r="H668" s="14"/>
      <c r="I668" s="14"/>
      <c r="J668" s="14"/>
      <c r="K668" s="12"/>
    </row>
    <row r="669" ht="19.5" customHeight="1">
      <c r="A669" s="12"/>
      <c r="C669" s="12"/>
      <c r="D669" s="13"/>
      <c r="F669" s="14"/>
      <c r="G669" s="14"/>
      <c r="H669" s="14"/>
      <c r="I669" s="14"/>
      <c r="J669" s="14"/>
      <c r="K669" s="12"/>
    </row>
    <row r="670" ht="19.5" customHeight="1">
      <c r="A670" s="12"/>
      <c r="C670" s="12"/>
      <c r="D670" s="13"/>
      <c r="F670" s="14"/>
      <c r="G670" s="14"/>
      <c r="H670" s="14"/>
      <c r="I670" s="14"/>
      <c r="J670" s="14"/>
      <c r="K670" s="12"/>
    </row>
    <row r="671" ht="19.5" customHeight="1">
      <c r="A671" s="12"/>
      <c r="C671" s="12"/>
      <c r="D671" s="13"/>
      <c r="F671" s="14"/>
      <c r="G671" s="14"/>
      <c r="H671" s="14"/>
      <c r="I671" s="14"/>
      <c r="J671" s="14"/>
      <c r="K671" s="12"/>
    </row>
    <row r="672" ht="19.5" customHeight="1">
      <c r="A672" s="12"/>
      <c r="C672" s="12"/>
      <c r="D672" s="13"/>
      <c r="F672" s="14"/>
      <c r="G672" s="14"/>
      <c r="H672" s="14"/>
      <c r="I672" s="14"/>
      <c r="J672" s="14"/>
      <c r="K672" s="12"/>
    </row>
    <row r="673" ht="19.5" customHeight="1">
      <c r="A673" s="12"/>
      <c r="C673" s="12"/>
      <c r="D673" s="13"/>
      <c r="F673" s="14"/>
      <c r="G673" s="14"/>
      <c r="H673" s="14"/>
      <c r="I673" s="14"/>
      <c r="J673" s="14"/>
      <c r="K673" s="12"/>
    </row>
    <row r="674" ht="19.5" customHeight="1">
      <c r="A674" s="12"/>
      <c r="C674" s="12"/>
      <c r="D674" s="13"/>
      <c r="F674" s="14"/>
      <c r="G674" s="14"/>
      <c r="H674" s="14"/>
      <c r="I674" s="14"/>
      <c r="J674" s="14"/>
      <c r="K674" s="12"/>
    </row>
    <row r="675" ht="19.5" customHeight="1">
      <c r="A675" s="12"/>
      <c r="C675" s="12"/>
      <c r="D675" s="13"/>
      <c r="F675" s="14"/>
      <c r="G675" s="14"/>
      <c r="H675" s="14"/>
      <c r="I675" s="14"/>
      <c r="J675" s="14"/>
      <c r="K675" s="12"/>
    </row>
    <row r="676" ht="19.5" customHeight="1">
      <c r="A676" s="12"/>
      <c r="C676" s="12"/>
      <c r="D676" s="13"/>
      <c r="F676" s="14"/>
      <c r="G676" s="14"/>
      <c r="H676" s="14"/>
      <c r="I676" s="14"/>
      <c r="J676" s="14"/>
      <c r="K676" s="12"/>
    </row>
    <row r="677" ht="19.5" customHeight="1">
      <c r="A677" s="12"/>
      <c r="C677" s="12"/>
      <c r="D677" s="13"/>
      <c r="F677" s="14"/>
      <c r="G677" s="14"/>
      <c r="H677" s="14"/>
      <c r="I677" s="14"/>
      <c r="J677" s="14"/>
      <c r="K677" s="12"/>
    </row>
    <row r="678" ht="19.5" customHeight="1">
      <c r="A678" s="12"/>
      <c r="C678" s="12"/>
      <c r="D678" s="13"/>
      <c r="F678" s="14"/>
      <c r="G678" s="14"/>
      <c r="H678" s="14"/>
      <c r="I678" s="14"/>
      <c r="J678" s="14"/>
      <c r="K678" s="12"/>
    </row>
    <row r="679" ht="19.5" customHeight="1">
      <c r="A679" s="12"/>
      <c r="C679" s="12"/>
      <c r="D679" s="13"/>
      <c r="F679" s="14"/>
      <c r="G679" s="14"/>
      <c r="H679" s="14"/>
      <c r="I679" s="14"/>
      <c r="J679" s="14"/>
      <c r="K679" s="12"/>
    </row>
    <row r="680" ht="19.5" customHeight="1">
      <c r="A680" s="12"/>
      <c r="C680" s="12"/>
      <c r="D680" s="13"/>
      <c r="F680" s="14"/>
      <c r="G680" s="14"/>
      <c r="H680" s="14"/>
      <c r="I680" s="14"/>
      <c r="J680" s="14"/>
      <c r="K680" s="12"/>
    </row>
    <row r="681" ht="19.5" customHeight="1">
      <c r="A681" s="12"/>
      <c r="C681" s="12"/>
      <c r="D681" s="13"/>
      <c r="F681" s="14"/>
      <c r="G681" s="14"/>
      <c r="H681" s="14"/>
      <c r="I681" s="14"/>
      <c r="J681" s="14"/>
      <c r="K681" s="12"/>
    </row>
    <row r="682" ht="19.5" customHeight="1">
      <c r="A682" s="12"/>
      <c r="C682" s="12"/>
      <c r="D682" s="13"/>
      <c r="F682" s="14"/>
      <c r="G682" s="14"/>
      <c r="H682" s="14"/>
      <c r="I682" s="14"/>
      <c r="J682" s="14"/>
      <c r="K682" s="12"/>
    </row>
    <row r="683" ht="19.5" customHeight="1">
      <c r="A683" s="12"/>
      <c r="C683" s="12"/>
      <c r="D683" s="13"/>
      <c r="F683" s="14"/>
      <c r="G683" s="14"/>
      <c r="H683" s="14"/>
      <c r="I683" s="14"/>
      <c r="J683" s="14"/>
      <c r="K683" s="12"/>
    </row>
    <row r="684" ht="19.5" customHeight="1">
      <c r="A684" s="12"/>
      <c r="C684" s="12"/>
      <c r="D684" s="13"/>
      <c r="F684" s="14"/>
      <c r="G684" s="14"/>
      <c r="H684" s="14"/>
      <c r="I684" s="14"/>
      <c r="J684" s="14"/>
      <c r="K684" s="12"/>
    </row>
    <row r="685" ht="19.5" customHeight="1">
      <c r="A685" s="12"/>
      <c r="C685" s="12"/>
      <c r="D685" s="13"/>
      <c r="F685" s="14"/>
      <c r="G685" s="14"/>
      <c r="H685" s="14"/>
      <c r="I685" s="14"/>
      <c r="J685" s="14"/>
      <c r="K685" s="12"/>
    </row>
    <row r="686" ht="19.5" customHeight="1">
      <c r="A686" s="12"/>
      <c r="C686" s="12"/>
      <c r="D686" s="13"/>
      <c r="F686" s="14"/>
      <c r="G686" s="14"/>
      <c r="H686" s="14"/>
      <c r="I686" s="14"/>
      <c r="J686" s="14"/>
      <c r="K686" s="12"/>
    </row>
    <row r="687" ht="19.5" customHeight="1">
      <c r="A687" s="12"/>
      <c r="C687" s="12"/>
      <c r="D687" s="13"/>
      <c r="F687" s="14"/>
      <c r="G687" s="14"/>
      <c r="H687" s="14"/>
      <c r="I687" s="14"/>
      <c r="J687" s="14"/>
      <c r="K687" s="12"/>
    </row>
    <row r="688" ht="19.5" customHeight="1">
      <c r="A688" s="12"/>
      <c r="C688" s="12"/>
      <c r="D688" s="13"/>
      <c r="F688" s="14"/>
      <c r="G688" s="14"/>
      <c r="H688" s="14"/>
      <c r="I688" s="14"/>
      <c r="J688" s="14"/>
      <c r="K688" s="12"/>
    </row>
    <row r="689" ht="19.5" customHeight="1">
      <c r="A689" s="12"/>
      <c r="C689" s="12"/>
      <c r="D689" s="13"/>
      <c r="F689" s="14"/>
      <c r="G689" s="14"/>
      <c r="H689" s="14"/>
      <c r="I689" s="14"/>
      <c r="J689" s="14"/>
      <c r="K689" s="12"/>
    </row>
    <row r="690" ht="19.5" customHeight="1">
      <c r="A690" s="12"/>
      <c r="C690" s="12"/>
      <c r="D690" s="13"/>
      <c r="F690" s="14"/>
      <c r="G690" s="14"/>
      <c r="H690" s="14"/>
      <c r="I690" s="14"/>
      <c r="J690" s="14"/>
      <c r="K690" s="12"/>
    </row>
    <row r="691" ht="19.5" customHeight="1">
      <c r="A691" s="12"/>
      <c r="C691" s="12"/>
      <c r="D691" s="13"/>
      <c r="F691" s="14"/>
      <c r="G691" s="14"/>
      <c r="H691" s="14"/>
      <c r="I691" s="14"/>
      <c r="J691" s="14"/>
      <c r="K691" s="12"/>
    </row>
    <row r="692" ht="19.5" customHeight="1">
      <c r="A692" s="12"/>
      <c r="C692" s="12"/>
      <c r="D692" s="13"/>
      <c r="F692" s="14"/>
      <c r="G692" s="14"/>
      <c r="H692" s="14"/>
      <c r="I692" s="14"/>
      <c r="J692" s="14"/>
      <c r="K692" s="12"/>
    </row>
    <row r="693" ht="19.5" customHeight="1">
      <c r="A693" s="12"/>
      <c r="C693" s="12"/>
      <c r="D693" s="13"/>
      <c r="F693" s="14"/>
      <c r="G693" s="14"/>
      <c r="H693" s="14"/>
      <c r="I693" s="14"/>
      <c r="J693" s="14"/>
      <c r="K693" s="12"/>
    </row>
    <row r="694" ht="19.5" customHeight="1">
      <c r="A694" s="12"/>
      <c r="C694" s="12"/>
      <c r="D694" s="13"/>
      <c r="F694" s="14"/>
      <c r="G694" s="14"/>
      <c r="H694" s="14"/>
      <c r="I694" s="14"/>
      <c r="J694" s="14"/>
      <c r="K694" s="12"/>
    </row>
    <row r="695" ht="19.5" customHeight="1">
      <c r="A695" s="12"/>
      <c r="C695" s="12"/>
      <c r="D695" s="13"/>
      <c r="F695" s="14"/>
      <c r="G695" s="14"/>
      <c r="H695" s="14"/>
      <c r="I695" s="14"/>
      <c r="J695" s="14"/>
      <c r="K695" s="12"/>
    </row>
    <row r="696" ht="19.5" customHeight="1">
      <c r="A696" s="12"/>
      <c r="C696" s="12"/>
      <c r="D696" s="13"/>
      <c r="F696" s="14"/>
      <c r="G696" s="14"/>
      <c r="H696" s="14"/>
      <c r="I696" s="14"/>
      <c r="J696" s="14"/>
      <c r="K696" s="12"/>
    </row>
    <row r="697" ht="19.5" customHeight="1">
      <c r="A697" s="12"/>
      <c r="C697" s="12"/>
      <c r="D697" s="13"/>
      <c r="F697" s="14"/>
      <c r="G697" s="14"/>
      <c r="H697" s="14"/>
      <c r="I697" s="14"/>
      <c r="J697" s="14"/>
      <c r="K697" s="12"/>
    </row>
    <row r="698" ht="19.5" customHeight="1">
      <c r="A698" s="12"/>
      <c r="C698" s="12"/>
      <c r="D698" s="13"/>
      <c r="F698" s="14"/>
      <c r="G698" s="14"/>
      <c r="H698" s="14"/>
      <c r="I698" s="14"/>
      <c r="J698" s="14"/>
      <c r="K698" s="12"/>
    </row>
    <row r="699" ht="19.5" customHeight="1">
      <c r="A699" s="12"/>
      <c r="C699" s="12"/>
      <c r="D699" s="13"/>
      <c r="F699" s="14"/>
      <c r="G699" s="14"/>
      <c r="H699" s="14"/>
      <c r="I699" s="14"/>
      <c r="J699" s="14"/>
      <c r="K699" s="12"/>
    </row>
    <row r="700" ht="19.5" customHeight="1">
      <c r="A700" s="12"/>
      <c r="C700" s="12"/>
      <c r="D700" s="13"/>
      <c r="F700" s="14"/>
      <c r="G700" s="14"/>
      <c r="H700" s="14"/>
      <c r="I700" s="14"/>
      <c r="J700" s="14"/>
      <c r="K700" s="12"/>
    </row>
    <row r="701" ht="19.5" customHeight="1">
      <c r="A701" s="12"/>
      <c r="C701" s="12"/>
      <c r="D701" s="13"/>
      <c r="F701" s="14"/>
      <c r="G701" s="14"/>
      <c r="H701" s="14"/>
      <c r="I701" s="14"/>
      <c r="J701" s="14"/>
      <c r="K701" s="12"/>
    </row>
    <row r="702" ht="19.5" customHeight="1">
      <c r="A702" s="12"/>
      <c r="C702" s="12"/>
      <c r="D702" s="13"/>
      <c r="F702" s="14"/>
      <c r="G702" s="14"/>
      <c r="H702" s="14"/>
      <c r="I702" s="14"/>
      <c r="J702" s="14"/>
      <c r="K702" s="12"/>
    </row>
    <row r="703" ht="19.5" customHeight="1">
      <c r="A703" s="12"/>
      <c r="C703" s="12"/>
      <c r="D703" s="13"/>
      <c r="F703" s="14"/>
      <c r="G703" s="14"/>
      <c r="H703" s="14"/>
      <c r="I703" s="14"/>
      <c r="J703" s="14"/>
      <c r="K703" s="12"/>
    </row>
    <row r="704" ht="19.5" customHeight="1">
      <c r="A704" s="12"/>
      <c r="C704" s="12"/>
      <c r="D704" s="13"/>
      <c r="F704" s="14"/>
      <c r="G704" s="14"/>
      <c r="H704" s="14"/>
      <c r="I704" s="14"/>
      <c r="J704" s="14"/>
      <c r="K704" s="12"/>
    </row>
    <row r="705" ht="19.5" customHeight="1">
      <c r="A705" s="12"/>
      <c r="C705" s="12"/>
      <c r="D705" s="13"/>
      <c r="F705" s="14"/>
      <c r="G705" s="14"/>
      <c r="H705" s="14"/>
      <c r="I705" s="14"/>
      <c r="J705" s="14"/>
      <c r="K705" s="12"/>
    </row>
    <row r="706" ht="19.5" customHeight="1">
      <c r="A706" s="12"/>
      <c r="C706" s="12"/>
      <c r="D706" s="13"/>
      <c r="F706" s="14"/>
      <c r="G706" s="14"/>
      <c r="H706" s="14"/>
      <c r="I706" s="14"/>
      <c r="J706" s="14"/>
      <c r="K706" s="12"/>
    </row>
    <row r="707" ht="19.5" customHeight="1">
      <c r="A707" s="12"/>
      <c r="C707" s="12"/>
      <c r="D707" s="13"/>
      <c r="F707" s="14"/>
      <c r="G707" s="14"/>
      <c r="H707" s="14"/>
      <c r="I707" s="14"/>
      <c r="J707" s="14"/>
      <c r="K707" s="12"/>
    </row>
    <row r="708" ht="19.5" customHeight="1">
      <c r="A708" s="12"/>
      <c r="C708" s="12"/>
      <c r="D708" s="13"/>
      <c r="F708" s="14"/>
      <c r="G708" s="14"/>
      <c r="H708" s="14"/>
      <c r="I708" s="14"/>
      <c r="J708" s="14"/>
      <c r="K708" s="12"/>
    </row>
    <row r="709" ht="19.5" customHeight="1">
      <c r="A709" s="12"/>
      <c r="C709" s="12"/>
      <c r="D709" s="13"/>
      <c r="F709" s="14"/>
      <c r="G709" s="14"/>
      <c r="H709" s="14"/>
      <c r="I709" s="14"/>
      <c r="J709" s="14"/>
      <c r="K709" s="12"/>
    </row>
    <row r="710" ht="19.5" customHeight="1">
      <c r="A710" s="12"/>
      <c r="C710" s="12"/>
      <c r="D710" s="13"/>
      <c r="F710" s="14"/>
      <c r="G710" s="14"/>
      <c r="H710" s="14"/>
      <c r="I710" s="14"/>
      <c r="J710" s="14"/>
      <c r="K710" s="12"/>
    </row>
    <row r="711" ht="19.5" customHeight="1">
      <c r="A711" s="12"/>
      <c r="C711" s="12"/>
      <c r="D711" s="13"/>
      <c r="F711" s="14"/>
      <c r="G711" s="14"/>
      <c r="H711" s="14"/>
      <c r="I711" s="14"/>
      <c r="J711" s="14"/>
      <c r="K711" s="12"/>
    </row>
    <row r="712" ht="19.5" customHeight="1">
      <c r="A712" s="12"/>
      <c r="C712" s="12"/>
      <c r="D712" s="13"/>
      <c r="F712" s="14"/>
      <c r="G712" s="14"/>
      <c r="H712" s="14"/>
      <c r="I712" s="14"/>
      <c r="J712" s="14"/>
      <c r="K712" s="12"/>
    </row>
    <row r="713" ht="19.5" customHeight="1">
      <c r="A713" s="12"/>
      <c r="C713" s="12"/>
      <c r="D713" s="13"/>
      <c r="F713" s="14"/>
      <c r="G713" s="14"/>
      <c r="H713" s="14"/>
      <c r="I713" s="14"/>
      <c r="J713" s="14"/>
      <c r="K713" s="12"/>
    </row>
    <row r="714" ht="19.5" customHeight="1">
      <c r="A714" s="12"/>
      <c r="C714" s="12"/>
      <c r="D714" s="13"/>
      <c r="F714" s="14"/>
      <c r="G714" s="14"/>
      <c r="H714" s="14"/>
      <c r="I714" s="14"/>
      <c r="J714" s="14"/>
      <c r="K714" s="12"/>
    </row>
    <row r="715" ht="19.5" customHeight="1">
      <c r="A715" s="12"/>
      <c r="C715" s="12"/>
      <c r="D715" s="13"/>
      <c r="F715" s="14"/>
      <c r="G715" s="14"/>
      <c r="H715" s="14"/>
      <c r="I715" s="14"/>
      <c r="J715" s="14"/>
      <c r="K715" s="12"/>
    </row>
    <row r="716" ht="19.5" customHeight="1">
      <c r="A716" s="12"/>
      <c r="C716" s="12"/>
      <c r="D716" s="13"/>
      <c r="F716" s="14"/>
      <c r="G716" s="14"/>
      <c r="H716" s="14"/>
      <c r="I716" s="14"/>
      <c r="J716" s="14"/>
      <c r="K716" s="12"/>
    </row>
    <row r="717" ht="19.5" customHeight="1">
      <c r="A717" s="12"/>
      <c r="C717" s="12"/>
      <c r="D717" s="13"/>
      <c r="F717" s="14"/>
      <c r="G717" s="14"/>
      <c r="H717" s="14"/>
      <c r="I717" s="14"/>
      <c r="J717" s="14"/>
      <c r="K717" s="12"/>
    </row>
    <row r="718" ht="19.5" customHeight="1">
      <c r="A718" s="12"/>
      <c r="C718" s="12"/>
      <c r="D718" s="13"/>
      <c r="F718" s="14"/>
      <c r="G718" s="14"/>
      <c r="H718" s="14"/>
      <c r="I718" s="14"/>
      <c r="J718" s="14"/>
      <c r="K718" s="12"/>
    </row>
    <row r="719" ht="19.5" customHeight="1">
      <c r="A719" s="12"/>
      <c r="C719" s="12"/>
      <c r="D719" s="13"/>
      <c r="F719" s="14"/>
      <c r="G719" s="14"/>
      <c r="H719" s="14"/>
      <c r="I719" s="14"/>
      <c r="J719" s="14"/>
      <c r="K719" s="12"/>
    </row>
    <row r="720" ht="19.5" customHeight="1">
      <c r="A720" s="12"/>
      <c r="C720" s="12"/>
      <c r="D720" s="13"/>
      <c r="F720" s="14"/>
      <c r="G720" s="14"/>
      <c r="H720" s="14"/>
      <c r="I720" s="14"/>
      <c r="J720" s="14"/>
      <c r="K720" s="12"/>
    </row>
    <row r="721" ht="19.5" customHeight="1">
      <c r="A721" s="12"/>
      <c r="C721" s="12"/>
      <c r="D721" s="13"/>
      <c r="F721" s="14"/>
      <c r="G721" s="14"/>
      <c r="H721" s="14"/>
      <c r="I721" s="14"/>
      <c r="J721" s="14"/>
      <c r="K721" s="12"/>
    </row>
    <row r="722" ht="19.5" customHeight="1">
      <c r="A722" s="12"/>
      <c r="C722" s="12"/>
      <c r="D722" s="13"/>
      <c r="F722" s="14"/>
      <c r="G722" s="14"/>
      <c r="H722" s="14"/>
      <c r="I722" s="14"/>
      <c r="J722" s="14"/>
      <c r="K722" s="12"/>
    </row>
    <row r="723" ht="19.5" customHeight="1">
      <c r="A723" s="12"/>
      <c r="C723" s="12"/>
      <c r="D723" s="13"/>
      <c r="F723" s="14"/>
      <c r="G723" s="14"/>
      <c r="H723" s="14"/>
      <c r="I723" s="14"/>
      <c r="J723" s="14"/>
      <c r="K723" s="12"/>
    </row>
    <row r="724" ht="19.5" customHeight="1">
      <c r="A724" s="12"/>
      <c r="C724" s="12"/>
      <c r="D724" s="13"/>
      <c r="F724" s="14"/>
      <c r="G724" s="14"/>
      <c r="H724" s="14"/>
      <c r="I724" s="14"/>
      <c r="J724" s="14"/>
      <c r="K724" s="12"/>
    </row>
    <row r="725" ht="19.5" customHeight="1">
      <c r="A725" s="12"/>
      <c r="C725" s="12"/>
      <c r="D725" s="13"/>
      <c r="F725" s="14"/>
      <c r="G725" s="14"/>
      <c r="H725" s="14"/>
      <c r="I725" s="14"/>
      <c r="J725" s="14"/>
      <c r="K725" s="12"/>
    </row>
    <row r="726" ht="19.5" customHeight="1">
      <c r="A726" s="12"/>
      <c r="C726" s="12"/>
      <c r="D726" s="13"/>
      <c r="F726" s="14"/>
      <c r="G726" s="14"/>
      <c r="H726" s="14"/>
      <c r="I726" s="14"/>
      <c r="J726" s="14"/>
      <c r="K726" s="12"/>
    </row>
    <row r="727" ht="19.5" customHeight="1">
      <c r="A727" s="12"/>
      <c r="C727" s="12"/>
      <c r="D727" s="13"/>
      <c r="F727" s="14"/>
      <c r="G727" s="14"/>
      <c r="H727" s="14"/>
      <c r="I727" s="14"/>
      <c r="J727" s="14"/>
      <c r="K727" s="12"/>
    </row>
    <row r="728" ht="19.5" customHeight="1">
      <c r="A728" s="12"/>
      <c r="C728" s="12"/>
      <c r="D728" s="13"/>
      <c r="F728" s="14"/>
      <c r="G728" s="14"/>
      <c r="H728" s="14"/>
      <c r="I728" s="14"/>
      <c r="J728" s="14"/>
      <c r="K728" s="12"/>
    </row>
    <row r="729" ht="19.5" customHeight="1">
      <c r="A729" s="12"/>
      <c r="C729" s="12"/>
      <c r="D729" s="13"/>
      <c r="F729" s="14"/>
      <c r="G729" s="14"/>
      <c r="H729" s="14"/>
      <c r="I729" s="14"/>
      <c r="J729" s="14"/>
      <c r="K729" s="12"/>
    </row>
    <row r="730" ht="19.5" customHeight="1">
      <c r="A730" s="12"/>
      <c r="C730" s="12"/>
      <c r="D730" s="13"/>
      <c r="F730" s="14"/>
      <c r="G730" s="14"/>
      <c r="H730" s="14"/>
      <c r="I730" s="14"/>
      <c r="J730" s="14"/>
      <c r="K730" s="12"/>
    </row>
    <row r="731" ht="19.5" customHeight="1">
      <c r="A731" s="12"/>
      <c r="C731" s="12"/>
      <c r="D731" s="13"/>
      <c r="F731" s="14"/>
      <c r="G731" s="14"/>
      <c r="H731" s="14"/>
      <c r="I731" s="14"/>
      <c r="J731" s="14"/>
      <c r="K731" s="12"/>
    </row>
    <row r="732" ht="19.5" customHeight="1">
      <c r="A732" s="12"/>
      <c r="C732" s="12"/>
      <c r="D732" s="13"/>
      <c r="F732" s="14"/>
      <c r="G732" s="14"/>
      <c r="H732" s="14"/>
      <c r="I732" s="14"/>
      <c r="J732" s="14"/>
      <c r="K732" s="12"/>
    </row>
    <row r="733" ht="19.5" customHeight="1">
      <c r="A733" s="12"/>
      <c r="C733" s="12"/>
      <c r="D733" s="13"/>
      <c r="F733" s="14"/>
      <c r="G733" s="14"/>
      <c r="H733" s="14"/>
      <c r="I733" s="14"/>
      <c r="J733" s="14"/>
      <c r="K733" s="12"/>
    </row>
    <row r="734" ht="19.5" customHeight="1">
      <c r="A734" s="12"/>
      <c r="C734" s="12"/>
      <c r="D734" s="13"/>
      <c r="F734" s="14"/>
      <c r="G734" s="14"/>
      <c r="H734" s="14"/>
      <c r="I734" s="14"/>
      <c r="J734" s="14"/>
      <c r="K734" s="12"/>
    </row>
    <row r="735" ht="19.5" customHeight="1">
      <c r="A735" s="12"/>
      <c r="C735" s="12"/>
      <c r="D735" s="13"/>
      <c r="F735" s="14"/>
      <c r="G735" s="14"/>
      <c r="H735" s="14"/>
      <c r="I735" s="14"/>
      <c r="J735" s="14"/>
      <c r="K735" s="12"/>
    </row>
    <row r="736" ht="19.5" customHeight="1">
      <c r="A736" s="12"/>
      <c r="C736" s="12"/>
      <c r="D736" s="13"/>
      <c r="F736" s="14"/>
      <c r="G736" s="14"/>
      <c r="H736" s="14"/>
      <c r="I736" s="14"/>
      <c r="J736" s="14"/>
      <c r="K736" s="12"/>
    </row>
    <row r="737" ht="19.5" customHeight="1">
      <c r="A737" s="12"/>
      <c r="C737" s="12"/>
      <c r="D737" s="13"/>
      <c r="F737" s="14"/>
      <c r="G737" s="14"/>
      <c r="H737" s="14"/>
      <c r="I737" s="14"/>
      <c r="J737" s="14"/>
      <c r="K737" s="12"/>
    </row>
    <row r="738" ht="19.5" customHeight="1">
      <c r="A738" s="12"/>
      <c r="C738" s="12"/>
      <c r="D738" s="13"/>
      <c r="F738" s="14"/>
      <c r="G738" s="14"/>
      <c r="H738" s="14"/>
      <c r="I738" s="14"/>
      <c r="J738" s="14"/>
      <c r="K738" s="12"/>
    </row>
    <row r="739" ht="19.5" customHeight="1">
      <c r="A739" s="12"/>
      <c r="C739" s="12"/>
      <c r="D739" s="13"/>
      <c r="F739" s="14"/>
      <c r="G739" s="14"/>
      <c r="H739" s="14"/>
      <c r="I739" s="14"/>
      <c r="J739" s="14"/>
      <c r="K739" s="12"/>
    </row>
    <row r="740" ht="19.5" customHeight="1">
      <c r="A740" s="12"/>
      <c r="C740" s="12"/>
      <c r="D740" s="13"/>
      <c r="F740" s="14"/>
      <c r="G740" s="14"/>
      <c r="H740" s="14"/>
      <c r="I740" s="14"/>
      <c r="J740" s="14"/>
      <c r="K740" s="12"/>
    </row>
    <row r="741" ht="19.5" customHeight="1">
      <c r="A741" s="12"/>
      <c r="C741" s="12"/>
      <c r="D741" s="13"/>
      <c r="F741" s="14"/>
      <c r="G741" s="14"/>
      <c r="H741" s="14"/>
      <c r="I741" s="14"/>
      <c r="J741" s="14"/>
      <c r="K741" s="12"/>
    </row>
    <row r="742" ht="19.5" customHeight="1">
      <c r="A742" s="12"/>
      <c r="C742" s="12"/>
      <c r="D742" s="13"/>
      <c r="F742" s="14"/>
      <c r="G742" s="14"/>
      <c r="H742" s="14"/>
      <c r="I742" s="14"/>
      <c r="J742" s="14"/>
      <c r="K742" s="12"/>
    </row>
    <row r="743" ht="19.5" customHeight="1">
      <c r="A743" s="12"/>
      <c r="C743" s="12"/>
      <c r="D743" s="13"/>
      <c r="F743" s="14"/>
      <c r="G743" s="14"/>
      <c r="H743" s="14"/>
      <c r="I743" s="14"/>
      <c r="J743" s="14"/>
      <c r="K743" s="12"/>
    </row>
    <row r="744" ht="19.5" customHeight="1">
      <c r="A744" s="12"/>
      <c r="C744" s="12"/>
      <c r="D744" s="13"/>
      <c r="F744" s="14"/>
      <c r="G744" s="14"/>
      <c r="H744" s="14"/>
      <c r="I744" s="14"/>
      <c r="J744" s="14"/>
      <c r="K744" s="12"/>
    </row>
    <row r="745" ht="19.5" customHeight="1">
      <c r="A745" s="12"/>
      <c r="C745" s="12"/>
      <c r="D745" s="13"/>
      <c r="F745" s="14"/>
      <c r="G745" s="14"/>
      <c r="H745" s="14"/>
      <c r="I745" s="14"/>
      <c r="J745" s="14"/>
      <c r="K745" s="12"/>
    </row>
    <row r="746" ht="19.5" customHeight="1">
      <c r="A746" s="12"/>
      <c r="C746" s="12"/>
      <c r="D746" s="13"/>
      <c r="F746" s="14"/>
      <c r="G746" s="14"/>
      <c r="H746" s="14"/>
      <c r="I746" s="14"/>
      <c r="J746" s="14"/>
      <c r="K746" s="12"/>
    </row>
    <row r="747" ht="19.5" customHeight="1">
      <c r="A747" s="12"/>
      <c r="C747" s="12"/>
      <c r="D747" s="13"/>
      <c r="F747" s="14"/>
      <c r="G747" s="14"/>
      <c r="H747" s="14"/>
      <c r="I747" s="14"/>
      <c r="J747" s="14"/>
      <c r="K747" s="12"/>
    </row>
    <row r="748" ht="19.5" customHeight="1">
      <c r="A748" s="12"/>
      <c r="C748" s="12"/>
      <c r="D748" s="13"/>
      <c r="F748" s="14"/>
      <c r="G748" s="14"/>
      <c r="H748" s="14"/>
      <c r="I748" s="14"/>
      <c r="J748" s="14"/>
      <c r="K748" s="12"/>
    </row>
    <row r="749" ht="19.5" customHeight="1">
      <c r="A749" s="12"/>
      <c r="C749" s="12"/>
      <c r="D749" s="13"/>
      <c r="F749" s="14"/>
      <c r="G749" s="14"/>
      <c r="H749" s="14"/>
      <c r="I749" s="14"/>
      <c r="J749" s="14"/>
      <c r="K749" s="12"/>
    </row>
    <row r="750" ht="19.5" customHeight="1">
      <c r="A750" s="12"/>
      <c r="C750" s="12"/>
      <c r="D750" s="13"/>
      <c r="F750" s="14"/>
      <c r="G750" s="14"/>
      <c r="H750" s="14"/>
      <c r="I750" s="14"/>
      <c r="J750" s="14"/>
      <c r="K750" s="12"/>
    </row>
    <row r="751" ht="19.5" customHeight="1">
      <c r="A751" s="12"/>
      <c r="C751" s="12"/>
      <c r="D751" s="13"/>
      <c r="F751" s="14"/>
      <c r="G751" s="14"/>
      <c r="H751" s="14"/>
      <c r="I751" s="14"/>
      <c r="J751" s="14"/>
      <c r="K751" s="12"/>
    </row>
    <row r="752" ht="19.5" customHeight="1">
      <c r="A752" s="12"/>
      <c r="C752" s="12"/>
      <c r="D752" s="13"/>
      <c r="F752" s="14"/>
      <c r="G752" s="14"/>
      <c r="H752" s="14"/>
      <c r="I752" s="14"/>
      <c r="J752" s="14"/>
      <c r="K752" s="12"/>
    </row>
    <row r="753" ht="19.5" customHeight="1">
      <c r="A753" s="12"/>
      <c r="C753" s="12"/>
      <c r="D753" s="13"/>
      <c r="F753" s="14"/>
      <c r="G753" s="14"/>
      <c r="H753" s="14"/>
      <c r="I753" s="14"/>
      <c r="J753" s="14"/>
      <c r="K753" s="12"/>
    </row>
    <row r="754" ht="19.5" customHeight="1">
      <c r="A754" s="12"/>
      <c r="C754" s="12"/>
      <c r="D754" s="13"/>
      <c r="F754" s="14"/>
      <c r="G754" s="14"/>
      <c r="H754" s="14"/>
      <c r="I754" s="14"/>
      <c r="J754" s="14"/>
      <c r="K754" s="12"/>
    </row>
    <row r="755" ht="19.5" customHeight="1">
      <c r="A755" s="12"/>
      <c r="C755" s="12"/>
      <c r="D755" s="13"/>
      <c r="F755" s="14"/>
      <c r="G755" s="14"/>
      <c r="H755" s="14"/>
      <c r="I755" s="14"/>
      <c r="J755" s="14"/>
      <c r="K755" s="12"/>
    </row>
    <row r="756" ht="19.5" customHeight="1">
      <c r="A756" s="12"/>
      <c r="C756" s="12"/>
      <c r="D756" s="13"/>
      <c r="F756" s="14"/>
      <c r="G756" s="14"/>
      <c r="H756" s="14"/>
      <c r="I756" s="14"/>
      <c r="J756" s="14"/>
      <c r="K756" s="12"/>
    </row>
    <row r="757" ht="19.5" customHeight="1">
      <c r="A757" s="12"/>
      <c r="C757" s="12"/>
      <c r="D757" s="13"/>
      <c r="F757" s="14"/>
      <c r="G757" s="14"/>
      <c r="H757" s="14"/>
      <c r="I757" s="14"/>
      <c r="J757" s="14"/>
      <c r="K757" s="12"/>
    </row>
    <row r="758" ht="19.5" customHeight="1">
      <c r="A758" s="12"/>
      <c r="C758" s="12"/>
      <c r="D758" s="13"/>
      <c r="F758" s="14"/>
      <c r="G758" s="14"/>
      <c r="H758" s="14"/>
      <c r="I758" s="14"/>
      <c r="J758" s="14"/>
      <c r="K758" s="12"/>
    </row>
    <row r="759" ht="19.5" customHeight="1">
      <c r="A759" s="12"/>
      <c r="C759" s="12"/>
      <c r="D759" s="13"/>
      <c r="F759" s="14"/>
      <c r="G759" s="14"/>
      <c r="H759" s="14"/>
      <c r="I759" s="14"/>
      <c r="J759" s="14"/>
      <c r="K759" s="12"/>
    </row>
    <row r="760" ht="19.5" customHeight="1">
      <c r="A760" s="12"/>
      <c r="C760" s="12"/>
      <c r="D760" s="13"/>
      <c r="F760" s="14"/>
      <c r="G760" s="14"/>
      <c r="H760" s="14"/>
      <c r="I760" s="14"/>
      <c r="J760" s="14"/>
      <c r="K760" s="12"/>
    </row>
    <row r="761" ht="19.5" customHeight="1">
      <c r="A761" s="12"/>
      <c r="C761" s="12"/>
      <c r="D761" s="13"/>
      <c r="F761" s="14"/>
      <c r="G761" s="14"/>
      <c r="H761" s="14"/>
      <c r="I761" s="14"/>
      <c r="J761" s="14"/>
      <c r="K761" s="12"/>
    </row>
    <row r="762" ht="19.5" customHeight="1">
      <c r="A762" s="12"/>
      <c r="C762" s="12"/>
      <c r="D762" s="13"/>
      <c r="F762" s="14"/>
      <c r="G762" s="14"/>
      <c r="H762" s="14"/>
      <c r="I762" s="14"/>
      <c r="J762" s="14"/>
      <c r="K762" s="12"/>
    </row>
    <row r="763" ht="19.5" customHeight="1">
      <c r="A763" s="12"/>
      <c r="C763" s="12"/>
      <c r="D763" s="13"/>
      <c r="F763" s="14"/>
      <c r="G763" s="14"/>
      <c r="H763" s="14"/>
      <c r="I763" s="14"/>
      <c r="J763" s="14"/>
      <c r="K763" s="12"/>
    </row>
    <row r="764" ht="19.5" customHeight="1">
      <c r="A764" s="12"/>
      <c r="C764" s="12"/>
      <c r="D764" s="13"/>
      <c r="F764" s="14"/>
      <c r="G764" s="14"/>
      <c r="H764" s="14"/>
      <c r="I764" s="14"/>
      <c r="J764" s="14"/>
      <c r="K764" s="12"/>
    </row>
    <row r="765" ht="19.5" customHeight="1">
      <c r="A765" s="12"/>
      <c r="C765" s="12"/>
      <c r="D765" s="13"/>
      <c r="F765" s="14"/>
      <c r="G765" s="14"/>
      <c r="H765" s="14"/>
      <c r="I765" s="14"/>
      <c r="J765" s="14"/>
      <c r="K765" s="12"/>
    </row>
    <row r="766" ht="19.5" customHeight="1">
      <c r="A766" s="12"/>
      <c r="C766" s="12"/>
      <c r="D766" s="13"/>
      <c r="F766" s="14"/>
      <c r="G766" s="14"/>
      <c r="H766" s="14"/>
      <c r="I766" s="14"/>
      <c r="J766" s="14"/>
      <c r="K766" s="12"/>
    </row>
    <row r="767" ht="19.5" customHeight="1">
      <c r="A767" s="12"/>
      <c r="C767" s="12"/>
      <c r="D767" s="13"/>
      <c r="F767" s="14"/>
      <c r="G767" s="14"/>
      <c r="H767" s="14"/>
      <c r="I767" s="14"/>
      <c r="J767" s="14"/>
      <c r="K767" s="12"/>
    </row>
    <row r="768" ht="19.5" customHeight="1">
      <c r="A768" s="12"/>
      <c r="C768" s="12"/>
      <c r="D768" s="13"/>
      <c r="F768" s="14"/>
      <c r="G768" s="14"/>
      <c r="H768" s="14"/>
      <c r="I768" s="14"/>
      <c r="J768" s="14"/>
      <c r="K768" s="12"/>
    </row>
    <row r="769" ht="19.5" customHeight="1">
      <c r="A769" s="12"/>
      <c r="C769" s="12"/>
      <c r="D769" s="13"/>
      <c r="F769" s="14"/>
      <c r="G769" s="14"/>
      <c r="H769" s="14"/>
      <c r="I769" s="14"/>
      <c r="J769" s="14"/>
      <c r="K769" s="12"/>
    </row>
    <row r="770" ht="19.5" customHeight="1">
      <c r="A770" s="12"/>
      <c r="C770" s="12"/>
      <c r="D770" s="13"/>
      <c r="F770" s="14"/>
      <c r="G770" s="14"/>
      <c r="H770" s="14"/>
      <c r="I770" s="14"/>
      <c r="J770" s="14"/>
      <c r="K770" s="12"/>
    </row>
    <row r="771" ht="19.5" customHeight="1">
      <c r="A771" s="12"/>
      <c r="C771" s="12"/>
      <c r="D771" s="13"/>
      <c r="F771" s="14"/>
      <c r="G771" s="14"/>
      <c r="H771" s="14"/>
      <c r="I771" s="14"/>
      <c r="J771" s="14"/>
      <c r="K771" s="12"/>
    </row>
    <row r="772" ht="19.5" customHeight="1">
      <c r="A772" s="12"/>
      <c r="C772" s="12"/>
      <c r="D772" s="13"/>
      <c r="F772" s="14"/>
      <c r="G772" s="14"/>
      <c r="H772" s="14"/>
      <c r="I772" s="14"/>
      <c r="J772" s="14"/>
      <c r="K772" s="12"/>
    </row>
    <row r="773" ht="19.5" customHeight="1">
      <c r="A773" s="12"/>
      <c r="C773" s="12"/>
      <c r="D773" s="13"/>
      <c r="F773" s="14"/>
      <c r="G773" s="14"/>
      <c r="H773" s="14"/>
      <c r="I773" s="14"/>
      <c r="J773" s="14"/>
      <c r="K773" s="12"/>
    </row>
    <row r="774" ht="19.5" customHeight="1">
      <c r="A774" s="12"/>
      <c r="C774" s="12"/>
      <c r="D774" s="13"/>
      <c r="F774" s="14"/>
      <c r="G774" s="14"/>
      <c r="H774" s="14"/>
      <c r="I774" s="14"/>
      <c r="J774" s="14"/>
      <c r="K774" s="12"/>
    </row>
    <row r="775" ht="19.5" customHeight="1">
      <c r="A775" s="12"/>
      <c r="C775" s="12"/>
      <c r="D775" s="13"/>
      <c r="F775" s="14"/>
      <c r="G775" s="14"/>
      <c r="H775" s="14"/>
      <c r="I775" s="14"/>
      <c r="J775" s="14"/>
      <c r="K775" s="12"/>
    </row>
    <row r="776" ht="19.5" customHeight="1">
      <c r="A776" s="12"/>
      <c r="C776" s="12"/>
      <c r="D776" s="13"/>
      <c r="F776" s="14"/>
      <c r="G776" s="14"/>
      <c r="H776" s="14"/>
      <c r="I776" s="14"/>
      <c r="J776" s="14"/>
      <c r="K776" s="12"/>
    </row>
    <row r="777" ht="19.5" customHeight="1">
      <c r="A777" s="12"/>
      <c r="C777" s="12"/>
      <c r="D777" s="13"/>
      <c r="F777" s="14"/>
      <c r="G777" s="14"/>
      <c r="H777" s="14"/>
      <c r="I777" s="14"/>
      <c r="J777" s="14"/>
      <c r="K777" s="12"/>
    </row>
    <row r="778" ht="19.5" customHeight="1">
      <c r="A778" s="12"/>
      <c r="C778" s="12"/>
      <c r="D778" s="13"/>
      <c r="F778" s="14"/>
      <c r="G778" s="14"/>
      <c r="H778" s="14"/>
      <c r="I778" s="14"/>
      <c r="J778" s="14"/>
      <c r="K778" s="12"/>
    </row>
    <row r="779" ht="19.5" customHeight="1">
      <c r="A779" s="12"/>
      <c r="C779" s="12"/>
      <c r="D779" s="13"/>
      <c r="F779" s="14"/>
      <c r="G779" s="14"/>
      <c r="H779" s="14"/>
      <c r="I779" s="14"/>
      <c r="J779" s="14"/>
      <c r="K779" s="12"/>
    </row>
    <row r="780" ht="19.5" customHeight="1">
      <c r="A780" s="12"/>
      <c r="C780" s="12"/>
      <c r="D780" s="13"/>
      <c r="F780" s="14"/>
      <c r="G780" s="14"/>
      <c r="H780" s="14"/>
      <c r="I780" s="14"/>
      <c r="J780" s="14"/>
      <c r="K780" s="12"/>
    </row>
    <row r="781" ht="19.5" customHeight="1">
      <c r="A781" s="12"/>
      <c r="C781" s="12"/>
      <c r="D781" s="13"/>
      <c r="F781" s="14"/>
      <c r="G781" s="14"/>
      <c r="H781" s="14"/>
      <c r="I781" s="14"/>
      <c r="J781" s="14"/>
      <c r="K781" s="12"/>
    </row>
    <row r="782" ht="19.5" customHeight="1">
      <c r="A782" s="12"/>
      <c r="C782" s="12"/>
      <c r="D782" s="13"/>
      <c r="F782" s="14"/>
      <c r="G782" s="14"/>
      <c r="H782" s="14"/>
      <c r="I782" s="14"/>
      <c r="J782" s="14"/>
      <c r="K782" s="12"/>
    </row>
    <row r="783" ht="19.5" customHeight="1">
      <c r="A783" s="12"/>
      <c r="C783" s="12"/>
      <c r="D783" s="13"/>
      <c r="F783" s="14"/>
      <c r="G783" s="14"/>
      <c r="H783" s="14"/>
      <c r="I783" s="14"/>
      <c r="J783" s="14"/>
      <c r="K783" s="12"/>
    </row>
    <row r="784" ht="19.5" customHeight="1">
      <c r="A784" s="12"/>
      <c r="C784" s="12"/>
      <c r="D784" s="13"/>
      <c r="F784" s="14"/>
      <c r="G784" s="14"/>
      <c r="H784" s="14"/>
      <c r="I784" s="14"/>
      <c r="J784" s="14"/>
      <c r="K784" s="12"/>
    </row>
    <row r="785" ht="19.5" customHeight="1">
      <c r="A785" s="12"/>
      <c r="C785" s="12"/>
      <c r="D785" s="13"/>
      <c r="F785" s="14"/>
      <c r="G785" s="14"/>
      <c r="H785" s="14"/>
      <c r="I785" s="14"/>
      <c r="J785" s="14"/>
      <c r="K785" s="12"/>
    </row>
    <row r="786" ht="19.5" customHeight="1">
      <c r="A786" s="12"/>
      <c r="C786" s="12"/>
      <c r="D786" s="13"/>
      <c r="F786" s="14"/>
      <c r="G786" s="14"/>
      <c r="H786" s="14"/>
      <c r="I786" s="14"/>
      <c r="J786" s="14"/>
      <c r="K786" s="12"/>
    </row>
    <row r="787" ht="19.5" customHeight="1">
      <c r="A787" s="12"/>
      <c r="C787" s="12"/>
      <c r="D787" s="13"/>
      <c r="F787" s="14"/>
      <c r="G787" s="14"/>
      <c r="H787" s="14"/>
      <c r="I787" s="14"/>
      <c r="J787" s="14"/>
      <c r="K787" s="12"/>
    </row>
    <row r="788" ht="19.5" customHeight="1">
      <c r="A788" s="12"/>
      <c r="C788" s="12"/>
      <c r="D788" s="13"/>
      <c r="F788" s="14"/>
      <c r="G788" s="14"/>
      <c r="H788" s="14"/>
      <c r="I788" s="14"/>
      <c r="J788" s="14"/>
      <c r="K788" s="12"/>
    </row>
    <row r="789" ht="19.5" customHeight="1">
      <c r="A789" s="12"/>
      <c r="C789" s="12"/>
      <c r="D789" s="13"/>
      <c r="F789" s="14"/>
      <c r="G789" s="14"/>
      <c r="H789" s="14"/>
      <c r="I789" s="14"/>
      <c r="J789" s="14"/>
      <c r="K789" s="12"/>
    </row>
    <row r="790" ht="19.5" customHeight="1">
      <c r="A790" s="12"/>
      <c r="C790" s="12"/>
      <c r="D790" s="13"/>
      <c r="F790" s="14"/>
      <c r="G790" s="14"/>
      <c r="H790" s="14"/>
      <c r="I790" s="14"/>
      <c r="J790" s="14"/>
      <c r="K790" s="12"/>
    </row>
    <row r="791" ht="19.5" customHeight="1">
      <c r="A791" s="12"/>
      <c r="C791" s="12"/>
      <c r="D791" s="13"/>
      <c r="F791" s="14"/>
      <c r="G791" s="14"/>
      <c r="H791" s="14"/>
      <c r="I791" s="14"/>
      <c r="J791" s="14"/>
      <c r="K791" s="12"/>
    </row>
    <row r="792" ht="19.5" customHeight="1">
      <c r="A792" s="12"/>
      <c r="C792" s="12"/>
      <c r="D792" s="13"/>
      <c r="F792" s="14"/>
      <c r="G792" s="14"/>
      <c r="H792" s="14"/>
      <c r="I792" s="14"/>
      <c r="J792" s="14"/>
      <c r="K792" s="12"/>
    </row>
    <row r="793" ht="19.5" customHeight="1">
      <c r="A793" s="12"/>
      <c r="C793" s="12"/>
      <c r="D793" s="13"/>
      <c r="F793" s="14"/>
      <c r="G793" s="14"/>
      <c r="H793" s="14"/>
      <c r="I793" s="14"/>
      <c r="J793" s="14"/>
      <c r="K793" s="12"/>
    </row>
    <row r="794" ht="19.5" customHeight="1">
      <c r="A794" s="12"/>
      <c r="C794" s="12"/>
      <c r="D794" s="13"/>
      <c r="F794" s="14"/>
      <c r="G794" s="14"/>
      <c r="H794" s="14"/>
      <c r="I794" s="14"/>
      <c r="J794" s="14"/>
      <c r="K794" s="12"/>
    </row>
    <row r="795" ht="19.5" customHeight="1">
      <c r="A795" s="12"/>
      <c r="C795" s="12"/>
      <c r="D795" s="13"/>
      <c r="F795" s="14"/>
      <c r="G795" s="14"/>
      <c r="H795" s="14"/>
      <c r="I795" s="14"/>
      <c r="J795" s="14"/>
      <c r="K795" s="12"/>
    </row>
    <row r="796" ht="19.5" customHeight="1">
      <c r="A796" s="12"/>
      <c r="C796" s="12"/>
      <c r="D796" s="13"/>
      <c r="F796" s="14"/>
      <c r="G796" s="14"/>
      <c r="H796" s="14"/>
      <c r="I796" s="14"/>
      <c r="J796" s="14"/>
      <c r="K796" s="12"/>
    </row>
    <row r="797" ht="19.5" customHeight="1">
      <c r="A797" s="12"/>
      <c r="C797" s="12"/>
      <c r="D797" s="13"/>
      <c r="F797" s="14"/>
      <c r="G797" s="14"/>
      <c r="H797" s="14"/>
      <c r="I797" s="14"/>
      <c r="J797" s="14"/>
      <c r="K797" s="12"/>
    </row>
    <row r="798" ht="19.5" customHeight="1">
      <c r="A798" s="12"/>
      <c r="C798" s="12"/>
      <c r="D798" s="13"/>
      <c r="F798" s="14"/>
      <c r="G798" s="14"/>
      <c r="H798" s="14"/>
      <c r="I798" s="14"/>
      <c r="J798" s="14"/>
      <c r="K798" s="12"/>
    </row>
    <row r="799" ht="19.5" customHeight="1">
      <c r="A799" s="12"/>
      <c r="C799" s="12"/>
      <c r="D799" s="13"/>
      <c r="F799" s="14"/>
      <c r="G799" s="14"/>
      <c r="H799" s="14"/>
      <c r="I799" s="14"/>
      <c r="J799" s="14"/>
      <c r="K799" s="12"/>
    </row>
    <row r="800" ht="19.5" customHeight="1">
      <c r="A800" s="12"/>
      <c r="C800" s="12"/>
      <c r="D800" s="13"/>
      <c r="F800" s="14"/>
      <c r="G800" s="14"/>
      <c r="H800" s="14"/>
      <c r="I800" s="14"/>
      <c r="J800" s="14"/>
      <c r="K800" s="12"/>
    </row>
    <row r="801" ht="19.5" customHeight="1">
      <c r="A801" s="12"/>
      <c r="C801" s="12"/>
      <c r="D801" s="13"/>
      <c r="F801" s="14"/>
      <c r="G801" s="14"/>
      <c r="H801" s="14"/>
      <c r="I801" s="14"/>
      <c r="J801" s="14"/>
      <c r="K801" s="12"/>
    </row>
    <row r="802" ht="19.5" customHeight="1">
      <c r="A802" s="12"/>
      <c r="C802" s="12"/>
      <c r="D802" s="13"/>
      <c r="F802" s="14"/>
      <c r="G802" s="14"/>
      <c r="H802" s="14"/>
      <c r="I802" s="14"/>
      <c r="J802" s="14"/>
      <c r="K802" s="12"/>
    </row>
    <row r="803" ht="19.5" customHeight="1">
      <c r="A803" s="12"/>
      <c r="C803" s="12"/>
      <c r="D803" s="13"/>
      <c r="F803" s="14"/>
      <c r="G803" s="14"/>
      <c r="H803" s="14"/>
      <c r="I803" s="14"/>
      <c r="J803" s="14"/>
      <c r="K803" s="12"/>
    </row>
    <row r="804" ht="19.5" customHeight="1">
      <c r="A804" s="12"/>
      <c r="C804" s="12"/>
      <c r="D804" s="13"/>
      <c r="F804" s="14"/>
      <c r="G804" s="14"/>
      <c r="H804" s="14"/>
      <c r="I804" s="14"/>
      <c r="J804" s="14"/>
      <c r="K804" s="12"/>
    </row>
    <row r="805" ht="19.5" customHeight="1">
      <c r="A805" s="12"/>
      <c r="C805" s="12"/>
      <c r="D805" s="13"/>
      <c r="F805" s="14"/>
      <c r="G805" s="14"/>
      <c r="H805" s="14"/>
      <c r="I805" s="14"/>
      <c r="J805" s="14"/>
      <c r="K805" s="12"/>
    </row>
    <row r="806" ht="19.5" customHeight="1">
      <c r="A806" s="12"/>
      <c r="C806" s="12"/>
      <c r="D806" s="13"/>
      <c r="F806" s="14"/>
      <c r="G806" s="14"/>
      <c r="H806" s="14"/>
      <c r="I806" s="14"/>
      <c r="J806" s="14"/>
      <c r="K806" s="12"/>
    </row>
    <row r="807" ht="19.5" customHeight="1">
      <c r="A807" s="12"/>
      <c r="C807" s="12"/>
      <c r="D807" s="13"/>
      <c r="F807" s="14"/>
      <c r="G807" s="14"/>
      <c r="H807" s="14"/>
      <c r="I807" s="14"/>
      <c r="J807" s="14"/>
      <c r="K807" s="12"/>
    </row>
    <row r="808" ht="19.5" customHeight="1">
      <c r="A808" s="12"/>
      <c r="C808" s="12"/>
      <c r="D808" s="13"/>
      <c r="F808" s="14"/>
      <c r="G808" s="14"/>
      <c r="H808" s="14"/>
      <c r="I808" s="14"/>
      <c r="J808" s="14"/>
      <c r="K808" s="12"/>
    </row>
    <row r="809" ht="19.5" customHeight="1">
      <c r="A809" s="12"/>
      <c r="C809" s="12"/>
      <c r="D809" s="13"/>
      <c r="F809" s="14"/>
      <c r="G809" s="14"/>
      <c r="H809" s="14"/>
      <c r="I809" s="14"/>
      <c r="J809" s="14"/>
      <c r="K809" s="12"/>
    </row>
    <row r="810" ht="19.5" customHeight="1">
      <c r="A810" s="12"/>
      <c r="C810" s="12"/>
      <c r="D810" s="13"/>
      <c r="F810" s="14"/>
      <c r="G810" s="14"/>
      <c r="H810" s="14"/>
      <c r="I810" s="14"/>
      <c r="J810" s="14"/>
      <c r="K810" s="12"/>
    </row>
    <row r="811" ht="19.5" customHeight="1">
      <c r="A811" s="12"/>
      <c r="C811" s="12"/>
      <c r="D811" s="13"/>
      <c r="F811" s="14"/>
      <c r="G811" s="14"/>
      <c r="H811" s="14"/>
      <c r="I811" s="14"/>
      <c r="J811" s="14"/>
      <c r="K811" s="12"/>
    </row>
    <row r="812" ht="19.5" customHeight="1">
      <c r="A812" s="12"/>
      <c r="C812" s="12"/>
      <c r="D812" s="13"/>
      <c r="F812" s="14"/>
      <c r="G812" s="14"/>
      <c r="H812" s="14"/>
      <c r="I812" s="14"/>
      <c r="J812" s="14"/>
      <c r="K812" s="12"/>
    </row>
    <row r="813" ht="19.5" customHeight="1">
      <c r="A813" s="12"/>
      <c r="C813" s="12"/>
      <c r="D813" s="13"/>
      <c r="F813" s="14"/>
      <c r="G813" s="14"/>
      <c r="H813" s="14"/>
      <c r="I813" s="14"/>
      <c r="J813" s="14"/>
      <c r="K813" s="12"/>
    </row>
    <row r="814" ht="19.5" customHeight="1">
      <c r="A814" s="12"/>
      <c r="C814" s="12"/>
      <c r="D814" s="13"/>
      <c r="F814" s="14"/>
      <c r="G814" s="14"/>
      <c r="H814" s="14"/>
      <c r="I814" s="14"/>
      <c r="J814" s="14"/>
      <c r="K814" s="12"/>
    </row>
    <row r="815" ht="19.5" customHeight="1">
      <c r="A815" s="12"/>
      <c r="C815" s="12"/>
      <c r="D815" s="13"/>
      <c r="F815" s="14"/>
      <c r="G815" s="14"/>
      <c r="H815" s="14"/>
      <c r="I815" s="14"/>
      <c r="J815" s="14"/>
      <c r="K815" s="12"/>
    </row>
    <row r="816" ht="19.5" customHeight="1">
      <c r="A816" s="12"/>
      <c r="C816" s="12"/>
      <c r="D816" s="13"/>
      <c r="F816" s="14"/>
      <c r="G816" s="14"/>
      <c r="H816" s="14"/>
      <c r="I816" s="14"/>
      <c r="J816" s="14"/>
      <c r="K816" s="12"/>
    </row>
    <row r="817" ht="19.5" customHeight="1">
      <c r="A817" s="12"/>
      <c r="C817" s="12"/>
      <c r="D817" s="13"/>
      <c r="F817" s="14"/>
      <c r="G817" s="14"/>
      <c r="H817" s="14"/>
      <c r="I817" s="14"/>
      <c r="J817" s="14"/>
      <c r="K817" s="12"/>
    </row>
    <row r="818" ht="19.5" customHeight="1">
      <c r="A818" s="12"/>
      <c r="C818" s="12"/>
      <c r="D818" s="13"/>
      <c r="F818" s="14"/>
      <c r="G818" s="14"/>
      <c r="H818" s="14"/>
      <c r="I818" s="14"/>
      <c r="J818" s="14"/>
      <c r="K818" s="12"/>
    </row>
    <row r="819" ht="19.5" customHeight="1">
      <c r="A819" s="12"/>
      <c r="C819" s="12"/>
      <c r="D819" s="13"/>
      <c r="F819" s="14"/>
      <c r="G819" s="14"/>
      <c r="H819" s="14"/>
      <c r="I819" s="14"/>
      <c r="J819" s="14"/>
      <c r="K819" s="12"/>
    </row>
    <row r="820" ht="19.5" customHeight="1">
      <c r="A820" s="12"/>
      <c r="C820" s="12"/>
      <c r="D820" s="13"/>
      <c r="F820" s="14"/>
      <c r="G820" s="14"/>
      <c r="H820" s="14"/>
      <c r="I820" s="14"/>
      <c r="J820" s="14"/>
      <c r="K820" s="12"/>
    </row>
    <row r="821" ht="19.5" customHeight="1">
      <c r="A821" s="12"/>
      <c r="C821" s="12"/>
      <c r="D821" s="13"/>
      <c r="F821" s="14"/>
      <c r="G821" s="14"/>
      <c r="H821" s="14"/>
      <c r="I821" s="14"/>
      <c r="J821" s="14"/>
      <c r="K821" s="12"/>
    </row>
    <row r="822" ht="19.5" customHeight="1">
      <c r="A822" s="12"/>
      <c r="C822" s="12"/>
      <c r="D822" s="13"/>
      <c r="F822" s="14"/>
      <c r="G822" s="14"/>
      <c r="H822" s="14"/>
      <c r="I822" s="14"/>
      <c r="J822" s="14"/>
      <c r="K822" s="12"/>
    </row>
    <row r="823" ht="19.5" customHeight="1">
      <c r="A823" s="12"/>
      <c r="C823" s="12"/>
      <c r="D823" s="13"/>
      <c r="F823" s="14"/>
      <c r="G823" s="14"/>
      <c r="H823" s="14"/>
      <c r="I823" s="14"/>
      <c r="J823" s="14"/>
      <c r="K823" s="12"/>
    </row>
    <row r="824" ht="19.5" customHeight="1">
      <c r="A824" s="12"/>
      <c r="C824" s="12"/>
      <c r="D824" s="13"/>
      <c r="F824" s="14"/>
      <c r="G824" s="14"/>
      <c r="H824" s="14"/>
      <c r="I824" s="14"/>
      <c r="J824" s="14"/>
      <c r="K824" s="12"/>
    </row>
    <row r="825" ht="19.5" customHeight="1">
      <c r="A825" s="12"/>
      <c r="C825" s="12"/>
      <c r="D825" s="13"/>
      <c r="F825" s="14"/>
      <c r="G825" s="14"/>
      <c r="H825" s="14"/>
      <c r="I825" s="14"/>
      <c r="J825" s="14"/>
      <c r="K825" s="12"/>
    </row>
    <row r="826" ht="19.5" customHeight="1">
      <c r="A826" s="12"/>
      <c r="C826" s="12"/>
      <c r="D826" s="13"/>
      <c r="F826" s="14"/>
      <c r="G826" s="14"/>
      <c r="H826" s="14"/>
      <c r="I826" s="14"/>
      <c r="J826" s="14"/>
      <c r="K826" s="12"/>
    </row>
    <row r="827" ht="19.5" customHeight="1">
      <c r="A827" s="12"/>
      <c r="C827" s="12"/>
      <c r="D827" s="13"/>
      <c r="F827" s="14"/>
      <c r="G827" s="14"/>
      <c r="H827" s="14"/>
      <c r="I827" s="14"/>
      <c r="J827" s="14"/>
      <c r="K827" s="12"/>
    </row>
    <row r="828" ht="19.5" customHeight="1">
      <c r="A828" s="12"/>
      <c r="C828" s="12"/>
      <c r="D828" s="13"/>
      <c r="F828" s="14"/>
      <c r="G828" s="14"/>
      <c r="H828" s="14"/>
      <c r="I828" s="14"/>
      <c r="J828" s="14"/>
      <c r="K828" s="12"/>
    </row>
    <row r="829" ht="19.5" customHeight="1">
      <c r="A829" s="12"/>
      <c r="C829" s="12"/>
      <c r="D829" s="13"/>
      <c r="F829" s="14"/>
      <c r="G829" s="14"/>
      <c r="H829" s="14"/>
      <c r="I829" s="14"/>
      <c r="J829" s="14"/>
      <c r="K829" s="12"/>
    </row>
    <row r="830" ht="19.5" customHeight="1">
      <c r="A830" s="12"/>
      <c r="C830" s="12"/>
      <c r="D830" s="13"/>
      <c r="F830" s="14"/>
      <c r="G830" s="14"/>
      <c r="H830" s="14"/>
      <c r="I830" s="14"/>
      <c r="J830" s="14"/>
      <c r="K830" s="12"/>
    </row>
    <row r="831" ht="19.5" customHeight="1">
      <c r="A831" s="12"/>
      <c r="C831" s="12"/>
      <c r="D831" s="13"/>
      <c r="F831" s="14"/>
      <c r="G831" s="14"/>
      <c r="H831" s="14"/>
      <c r="I831" s="14"/>
      <c r="J831" s="14"/>
      <c r="K831" s="12"/>
    </row>
    <row r="832" ht="19.5" customHeight="1">
      <c r="A832" s="12"/>
      <c r="C832" s="12"/>
      <c r="D832" s="13"/>
      <c r="F832" s="14"/>
      <c r="G832" s="14"/>
      <c r="H832" s="14"/>
      <c r="I832" s="14"/>
      <c r="J832" s="14"/>
      <c r="K832" s="12"/>
    </row>
    <row r="833" ht="19.5" customHeight="1">
      <c r="A833" s="12"/>
      <c r="C833" s="12"/>
      <c r="D833" s="13"/>
      <c r="F833" s="14"/>
      <c r="G833" s="14"/>
      <c r="H833" s="14"/>
      <c r="I833" s="14"/>
      <c r="J833" s="14"/>
      <c r="K833" s="12"/>
    </row>
    <row r="834" ht="19.5" customHeight="1">
      <c r="A834" s="12"/>
      <c r="C834" s="12"/>
      <c r="D834" s="13"/>
      <c r="F834" s="14"/>
      <c r="G834" s="14"/>
      <c r="H834" s="14"/>
      <c r="I834" s="14"/>
      <c r="J834" s="14"/>
      <c r="K834" s="12"/>
    </row>
    <row r="835" ht="19.5" customHeight="1">
      <c r="A835" s="12"/>
      <c r="C835" s="12"/>
      <c r="D835" s="13"/>
      <c r="F835" s="14"/>
      <c r="G835" s="14"/>
      <c r="H835" s="14"/>
      <c r="I835" s="14"/>
      <c r="J835" s="14"/>
      <c r="K835" s="12"/>
    </row>
    <row r="836" ht="19.5" customHeight="1">
      <c r="A836" s="12"/>
      <c r="C836" s="12"/>
      <c r="D836" s="13"/>
      <c r="F836" s="14"/>
      <c r="G836" s="14"/>
      <c r="H836" s="14"/>
      <c r="I836" s="14"/>
      <c r="J836" s="14"/>
      <c r="K836" s="12"/>
    </row>
    <row r="837" ht="19.5" customHeight="1">
      <c r="A837" s="12"/>
      <c r="C837" s="12"/>
      <c r="D837" s="13"/>
      <c r="F837" s="14"/>
      <c r="G837" s="14"/>
      <c r="H837" s="14"/>
      <c r="I837" s="14"/>
      <c r="J837" s="14"/>
      <c r="K837" s="12"/>
    </row>
    <row r="838" ht="19.5" customHeight="1">
      <c r="A838" s="12"/>
      <c r="C838" s="12"/>
      <c r="D838" s="13"/>
      <c r="F838" s="14"/>
      <c r="G838" s="14"/>
      <c r="H838" s="14"/>
      <c r="I838" s="14"/>
      <c r="J838" s="14"/>
      <c r="K838" s="12"/>
    </row>
    <row r="839" ht="19.5" customHeight="1">
      <c r="A839" s="12"/>
      <c r="C839" s="12"/>
      <c r="D839" s="13"/>
      <c r="F839" s="14"/>
      <c r="G839" s="14"/>
      <c r="H839" s="14"/>
      <c r="I839" s="14"/>
      <c r="J839" s="14"/>
      <c r="K839" s="12"/>
    </row>
    <row r="840" ht="19.5" customHeight="1">
      <c r="A840" s="12"/>
      <c r="C840" s="12"/>
      <c r="D840" s="13"/>
      <c r="F840" s="14"/>
      <c r="G840" s="14"/>
      <c r="H840" s="14"/>
      <c r="I840" s="14"/>
      <c r="J840" s="14"/>
      <c r="K840" s="12"/>
    </row>
    <row r="841" ht="19.5" customHeight="1">
      <c r="A841" s="12"/>
      <c r="C841" s="12"/>
      <c r="D841" s="13"/>
      <c r="F841" s="14"/>
      <c r="G841" s="14"/>
      <c r="H841" s="14"/>
      <c r="I841" s="14"/>
      <c r="J841" s="14"/>
      <c r="K841" s="12"/>
    </row>
    <row r="842" ht="19.5" customHeight="1">
      <c r="A842" s="12"/>
      <c r="C842" s="12"/>
      <c r="D842" s="13"/>
      <c r="F842" s="14"/>
      <c r="G842" s="14"/>
      <c r="H842" s="14"/>
      <c r="I842" s="14"/>
      <c r="J842" s="14"/>
      <c r="K842" s="12"/>
    </row>
    <row r="843" ht="19.5" customHeight="1">
      <c r="A843" s="12"/>
      <c r="C843" s="12"/>
      <c r="D843" s="13"/>
      <c r="F843" s="14"/>
      <c r="G843" s="14"/>
      <c r="H843" s="14"/>
      <c r="I843" s="14"/>
      <c r="J843" s="14"/>
      <c r="K843" s="12"/>
    </row>
    <row r="844" ht="19.5" customHeight="1">
      <c r="A844" s="12"/>
      <c r="C844" s="12"/>
      <c r="D844" s="13"/>
      <c r="F844" s="14"/>
      <c r="G844" s="14"/>
      <c r="H844" s="14"/>
      <c r="I844" s="14"/>
      <c r="J844" s="14"/>
      <c r="K844" s="12"/>
    </row>
    <row r="845" ht="19.5" customHeight="1">
      <c r="A845" s="12"/>
      <c r="C845" s="12"/>
      <c r="D845" s="13"/>
      <c r="F845" s="14"/>
      <c r="G845" s="14"/>
      <c r="H845" s="14"/>
      <c r="I845" s="14"/>
      <c r="J845" s="14"/>
      <c r="K845" s="12"/>
    </row>
    <row r="846" ht="19.5" customHeight="1">
      <c r="A846" s="12"/>
      <c r="C846" s="12"/>
      <c r="D846" s="13"/>
      <c r="F846" s="14"/>
      <c r="G846" s="14"/>
      <c r="H846" s="14"/>
      <c r="I846" s="14"/>
      <c r="J846" s="14"/>
      <c r="K846" s="12"/>
    </row>
    <row r="847" ht="19.5" customHeight="1">
      <c r="A847" s="12"/>
      <c r="C847" s="12"/>
      <c r="D847" s="13"/>
      <c r="F847" s="14"/>
      <c r="G847" s="14"/>
      <c r="H847" s="14"/>
      <c r="I847" s="14"/>
      <c r="J847" s="14"/>
      <c r="K847" s="12"/>
    </row>
    <row r="848" ht="19.5" customHeight="1">
      <c r="A848" s="12"/>
      <c r="C848" s="12"/>
      <c r="D848" s="13"/>
      <c r="F848" s="14"/>
      <c r="G848" s="14"/>
      <c r="H848" s="14"/>
      <c r="I848" s="14"/>
      <c r="J848" s="14"/>
      <c r="K848" s="12"/>
    </row>
    <row r="849" ht="19.5" customHeight="1">
      <c r="A849" s="12"/>
      <c r="C849" s="12"/>
      <c r="D849" s="13"/>
      <c r="F849" s="14"/>
      <c r="G849" s="14"/>
      <c r="H849" s="14"/>
      <c r="I849" s="14"/>
      <c r="J849" s="14"/>
      <c r="K849" s="12"/>
    </row>
    <row r="850" ht="19.5" customHeight="1">
      <c r="A850" s="12"/>
      <c r="C850" s="12"/>
      <c r="D850" s="13"/>
      <c r="F850" s="14"/>
      <c r="G850" s="14"/>
      <c r="H850" s="14"/>
      <c r="I850" s="14"/>
      <c r="J850" s="14"/>
      <c r="K850" s="12"/>
    </row>
    <row r="851" ht="19.5" customHeight="1">
      <c r="A851" s="12"/>
      <c r="C851" s="12"/>
      <c r="D851" s="13"/>
      <c r="F851" s="14"/>
      <c r="G851" s="14"/>
      <c r="H851" s="14"/>
      <c r="I851" s="14"/>
      <c r="J851" s="14"/>
      <c r="K851" s="12"/>
    </row>
    <row r="852" ht="19.5" customHeight="1">
      <c r="A852" s="12"/>
      <c r="C852" s="12"/>
      <c r="D852" s="13"/>
      <c r="F852" s="14"/>
      <c r="G852" s="14"/>
      <c r="H852" s="14"/>
      <c r="I852" s="14"/>
      <c r="J852" s="14"/>
      <c r="K852" s="12"/>
    </row>
    <row r="853" ht="19.5" customHeight="1">
      <c r="A853" s="12"/>
      <c r="C853" s="12"/>
      <c r="D853" s="13"/>
      <c r="F853" s="14"/>
      <c r="G853" s="14"/>
      <c r="H853" s="14"/>
      <c r="I853" s="14"/>
      <c r="J853" s="14"/>
      <c r="K853" s="12"/>
    </row>
    <row r="854" ht="19.5" customHeight="1">
      <c r="A854" s="12"/>
      <c r="C854" s="12"/>
      <c r="D854" s="13"/>
      <c r="F854" s="14"/>
      <c r="G854" s="14"/>
      <c r="H854" s="14"/>
      <c r="I854" s="14"/>
      <c r="J854" s="14"/>
      <c r="K854" s="12"/>
    </row>
    <row r="855" ht="19.5" customHeight="1">
      <c r="A855" s="12"/>
      <c r="C855" s="12"/>
      <c r="D855" s="13"/>
      <c r="F855" s="14"/>
      <c r="G855" s="14"/>
      <c r="H855" s="14"/>
      <c r="I855" s="14"/>
      <c r="J855" s="14"/>
      <c r="K855" s="12"/>
    </row>
    <row r="856" ht="19.5" customHeight="1">
      <c r="A856" s="12"/>
      <c r="C856" s="12"/>
      <c r="D856" s="13"/>
      <c r="F856" s="14"/>
      <c r="G856" s="14"/>
      <c r="H856" s="14"/>
      <c r="I856" s="14"/>
      <c r="J856" s="14"/>
      <c r="K856" s="12"/>
    </row>
    <row r="857" ht="19.5" customHeight="1">
      <c r="A857" s="12"/>
      <c r="C857" s="12"/>
      <c r="D857" s="13"/>
      <c r="F857" s="14"/>
      <c r="G857" s="14"/>
      <c r="H857" s="14"/>
      <c r="I857" s="14"/>
      <c r="J857" s="14"/>
      <c r="K857" s="12"/>
    </row>
    <row r="858" ht="19.5" customHeight="1">
      <c r="A858" s="12"/>
      <c r="C858" s="12"/>
      <c r="D858" s="13"/>
      <c r="F858" s="14"/>
      <c r="G858" s="14"/>
      <c r="H858" s="14"/>
      <c r="I858" s="14"/>
      <c r="J858" s="14"/>
      <c r="K858" s="12"/>
    </row>
    <row r="859" ht="19.5" customHeight="1">
      <c r="A859" s="12"/>
      <c r="C859" s="12"/>
      <c r="D859" s="13"/>
      <c r="F859" s="14"/>
      <c r="G859" s="14"/>
      <c r="H859" s="14"/>
      <c r="I859" s="14"/>
      <c r="J859" s="14"/>
      <c r="K859" s="12"/>
    </row>
    <row r="860" ht="19.5" customHeight="1">
      <c r="A860" s="12"/>
      <c r="C860" s="12"/>
      <c r="D860" s="13"/>
      <c r="F860" s="14"/>
      <c r="G860" s="14"/>
      <c r="H860" s="14"/>
      <c r="I860" s="14"/>
      <c r="J860" s="14"/>
      <c r="K860" s="12"/>
    </row>
    <row r="861" ht="19.5" customHeight="1">
      <c r="A861" s="12"/>
      <c r="C861" s="12"/>
      <c r="D861" s="13"/>
      <c r="F861" s="14"/>
      <c r="G861" s="14"/>
      <c r="H861" s="14"/>
      <c r="I861" s="14"/>
      <c r="J861" s="14"/>
      <c r="K861" s="12"/>
    </row>
    <row r="862" ht="19.5" customHeight="1">
      <c r="A862" s="12"/>
      <c r="C862" s="12"/>
      <c r="D862" s="13"/>
      <c r="F862" s="14"/>
      <c r="G862" s="14"/>
      <c r="H862" s="14"/>
      <c r="I862" s="14"/>
      <c r="J862" s="14"/>
      <c r="K862" s="12"/>
    </row>
    <row r="863" ht="19.5" customHeight="1">
      <c r="A863" s="12"/>
      <c r="C863" s="12"/>
      <c r="D863" s="13"/>
      <c r="F863" s="14"/>
      <c r="G863" s="14"/>
      <c r="H863" s="14"/>
      <c r="I863" s="14"/>
      <c r="J863" s="14"/>
      <c r="K863" s="12"/>
    </row>
    <row r="864" ht="19.5" customHeight="1">
      <c r="A864" s="12"/>
      <c r="C864" s="12"/>
      <c r="D864" s="13"/>
      <c r="F864" s="14"/>
      <c r="G864" s="14"/>
      <c r="H864" s="14"/>
      <c r="I864" s="14"/>
      <c r="J864" s="14"/>
      <c r="K864" s="12"/>
    </row>
    <row r="865" ht="19.5" customHeight="1">
      <c r="A865" s="12"/>
      <c r="C865" s="12"/>
      <c r="D865" s="13"/>
      <c r="F865" s="14"/>
      <c r="G865" s="14"/>
      <c r="H865" s="14"/>
      <c r="I865" s="14"/>
      <c r="J865" s="14"/>
      <c r="K865" s="12"/>
    </row>
    <row r="866" ht="19.5" customHeight="1">
      <c r="A866" s="12"/>
      <c r="C866" s="12"/>
      <c r="D866" s="13"/>
      <c r="F866" s="14"/>
      <c r="G866" s="14"/>
      <c r="H866" s="14"/>
      <c r="I866" s="14"/>
      <c r="J866" s="14"/>
      <c r="K866" s="12"/>
    </row>
    <row r="867" ht="19.5" customHeight="1">
      <c r="A867" s="12"/>
      <c r="C867" s="12"/>
      <c r="D867" s="13"/>
      <c r="F867" s="14"/>
      <c r="G867" s="14"/>
      <c r="H867" s="14"/>
      <c r="I867" s="14"/>
      <c r="J867" s="14"/>
      <c r="K867" s="12"/>
    </row>
    <row r="868" ht="19.5" customHeight="1">
      <c r="A868" s="12"/>
      <c r="C868" s="12"/>
      <c r="D868" s="13"/>
      <c r="F868" s="14"/>
      <c r="G868" s="14"/>
      <c r="H868" s="14"/>
      <c r="I868" s="14"/>
      <c r="J868" s="14"/>
      <c r="K868" s="12"/>
    </row>
    <row r="869" ht="19.5" customHeight="1">
      <c r="A869" s="12"/>
      <c r="C869" s="12"/>
      <c r="D869" s="13"/>
      <c r="F869" s="14"/>
      <c r="G869" s="14"/>
      <c r="H869" s="14"/>
      <c r="I869" s="14"/>
      <c r="J869" s="14"/>
      <c r="K869" s="12"/>
    </row>
    <row r="870" ht="19.5" customHeight="1">
      <c r="A870" s="12"/>
      <c r="C870" s="12"/>
      <c r="D870" s="13"/>
      <c r="F870" s="14"/>
      <c r="G870" s="14"/>
      <c r="H870" s="14"/>
      <c r="I870" s="14"/>
      <c r="J870" s="14"/>
      <c r="K870" s="12"/>
    </row>
    <row r="871" ht="19.5" customHeight="1">
      <c r="A871" s="12"/>
      <c r="C871" s="12"/>
      <c r="D871" s="13"/>
      <c r="F871" s="14"/>
      <c r="G871" s="14"/>
      <c r="H871" s="14"/>
      <c r="I871" s="14"/>
      <c r="J871" s="14"/>
      <c r="K871" s="12"/>
    </row>
    <row r="872" ht="19.5" customHeight="1">
      <c r="A872" s="12"/>
      <c r="C872" s="12"/>
      <c r="D872" s="13"/>
      <c r="F872" s="14"/>
      <c r="G872" s="14"/>
      <c r="H872" s="14"/>
      <c r="I872" s="14"/>
      <c r="J872" s="14"/>
      <c r="K872" s="12"/>
    </row>
    <row r="873" ht="19.5" customHeight="1">
      <c r="A873" s="12"/>
      <c r="C873" s="12"/>
      <c r="D873" s="13"/>
      <c r="F873" s="14"/>
      <c r="G873" s="14"/>
      <c r="H873" s="14"/>
      <c r="I873" s="14"/>
      <c r="J873" s="14"/>
      <c r="K873" s="12"/>
    </row>
    <row r="874" ht="19.5" customHeight="1">
      <c r="A874" s="12"/>
      <c r="C874" s="12"/>
      <c r="D874" s="13"/>
      <c r="F874" s="14"/>
      <c r="G874" s="14"/>
      <c r="H874" s="14"/>
      <c r="I874" s="14"/>
      <c r="J874" s="14"/>
      <c r="K874" s="12"/>
    </row>
    <row r="875" ht="19.5" customHeight="1">
      <c r="A875" s="12"/>
      <c r="C875" s="12"/>
      <c r="D875" s="13"/>
      <c r="F875" s="14"/>
      <c r="G875" s="14"/>
      <c r="H875" s="14"/>
      <c r="I875" s="14"/>
      <c r="J875" s="14"/>
      <c r="K875" s="12"/>
    </row>
    <row r="876" ht="19.5" customHeight="1">
      <c r="A876" s="12"/>
      <c r="C876" s="12"/>
      <c r="D876" s="13"/>
      <c r="F876" s="14"/>
      <c r="G876" s="14"/>
      <c r="H876" s="14"/>
      <c r="I876" s="14"/>
      <c r="J876" s="14"/>
      <c r="K876" s="12"/>
    </row>
    <row r="877" ht="19.5" customHeight="1">
      <c r="A877" s="12"/>
      <c r="C877" s="12"/>
      <c r="D877" s="13"/>
      <c r="F877" s="14"/>
      <c r="G877" s="14"/>
      <c r="H877" s="14"/>
      <c r="I877" s="14"/>
      <c r="J877" s="14"/>
      <c r="K877" s="12"/>
    </row>
    <row r="878" ht="19.5" customHeight="1">
      <c r="A878" s="12"/>
      <c r="C878" s="12"/>
      <c r="D878" s="13"/>
      <c r="F878" s="14"/>
      <c r="G878" s="14"/>
      <c r="H878" s="14"/>
      <c r="I878" s="14"/>
      <c r="J878" s="14"/>
      <c r="K878" s="12"/>
    </row>
    <row r="879" ht="19.5" customHeight="1">
      <c r="A879" s="12"/>
      <c r="C879" s="12"/>
      <c r="D879" s="13"/>
      <c r="F879" s="14"/>
      <c r="G879" s="14"/>
      <c r="H879" s="14"/>
      <c r="I879" s="14"/>
      <c r="J879" s="14"/>
      <c r="K879" s="12"/>
    </row>
    <row r="880" ht="19.5" customHeight="1">
      <c r="A880" s="12"/>
      <c r="C880" s="12"/>
      <c r="D880" s="13"/>
      <c r="F880" s="14"/>
      <c r="G880" s="14"/>
      <c r="H880" s="14"/>
      <c r="I880" s="14"/>
      <c r="J880" s="14"/>
      <c r="K880" s="12"/>
    </row>
    <row r="881" ht="19.5" customHeight="1">
      <c r="A881" s="12"/>
      <c r="C881" s="12"/>
      <c r="D881" s="13"/>
      <c r="F881" s="14"/>
      <c r="G881" s="14"/>
      <c r="H881" s="14"/>
      <c r="I881" s="14"/>
      <c r="J881" s="14"/>
      <c r="K881" s="12"/>
    </row>
    <row r="882" ht="19.5" customHeight="1">
      <c r="A882" s="12"/>
      <c r="C882" s="12"/>
      <c r="D882" s="13"/>
      <c r="F882" s="14"/>
      <c r="G882" s="14"/>
      <c r="H882" s="14"/>
      <c r="I882" s="14"/>
      <c r="J882" s="14"/>
      <c r="K882" s="12"/>
    </row>
    <row r="883" ht="19.5" customHeight="1">
      <c r="A883" s="12"/>
      <c r="C883" s="12"/>
      <c r="D883" s="13"/>
      <c r="F883" s="14"/>
      <c r="G883" s="14"/>
      <c r="H883" s="14"/>
      <c r="I883" s="14"/>
      <c r="J883" s="14"/>
      <c r="K883" s="12"/>
    </row>
    <row r="884" ht="19.5" customHeight="1">
      <c r="A884" s="12"/>
      <c r="C884" s="12"/>
      <c r="D884" s="13"/>
      <c r="F884" s="14"/>
      <c r="G884" s="14"/>
      <c r="H884" s="14"/>
      <c r="I884" s="14"/>
      <c r="J884" s="14"/>
      <c r="K884" s="12"/>
    </row>
    <row r="885" ht="19.5" customHeight="1">
      <c r="A885" s="12"/>
      <c r="C885" s="12"/>
      <c r="D885" s="13"/>
      <c r="F885" s="14"/>
      <c r="G885" s="14"/>
      <c r="H885" s="14"/>
      <c r="I885" s="14"/>
      <c r="J885" s="14"/>
      <c r="K885" s="12"/>
    </row>
    <row r="886" ht="19.5" customHeight="1">
      <c r="A886" s="12"/>
      <c r="C886" s="12"/>
      <c r="D886" s="13"/>
      <c r="F886" s="14"/>
      <c r="G886" s="14"/>
      <c r="H886" s="14"/>
      <c r="I886" s="14"/>
      <c r="J886" s="14"/>
      <c r="K886" s="12"/>
    </row>
    <row r="887" ht="19.5" customHeight="1">
      <c r="A887" s="12"/>
      <c r="C887" s="12"/>
      <c r="D887" s="13"/>
      <c r="F887" s="14"/>
      <c r="G887" s="14"/>
      <c r="H887" s="14"/>
      <c r="I887" s="14"/>
      <c r="J887" s="14"/>
      <c r="K887" s="12"/>
    </row>
    <row r="888" ht="19.5" customHeight="1">
      <c r="A888" s="12"/>
      <c r="C888" s="12"/>
      <c r="D888" s="13"/>
      <c r="F888" s="14"/>
      <c r="G888" s="14"/>
      <c r="H888" s="14"/>
      <c r="I888" s="14"/>
      <c r="J888" s="14"/>
      <c r="K888" s="12"/>
    </row>
    <row r="889" ht="19.5" customHeight="1">
      <c r="A889" s="12"/>
      <c r="C889" s="12"/>
      <c r="D889" s="13"/>
      <c r="F889" s="14"/>
      <c r="G889" s="14"/>
      <c r="H889" s="14"/>
      <c r="I889" s="14"/>
      <c r="J889" s="14"/>
      <c r="K889" s="12"/>
    </row>
    <row r="890" ht="19.5" customHeight="1">
      <c r="A890" s="12"/>
      <c r="C890" s="12"/>
      <c r="D890" s="13"/>
      <c r="F890" s="14"/>
      <c r="G890" s="14"/>
      <c r="H890" s="14"/>
      <c r="I890" s="14"/>
      <c r="J890" s="14"/>
      <c r="K890" s="12"/>
    </row>
    <row r="891" ht="19.5" customHeight="1">
      <c r="A891" s="12"/>
      <c r="C891" s="12"/>
      <c r="D891" s="13"/>
      <c r="F891" s="14"/>
      <c r="G891" s="14"/>
      <c r="H891" s="14"/>
      <c r="I891" s="14"/>
      <c r="J891" s="14"/>
      <c r="K891" s="12"/>
    </row>
    <row r="892" ht="19.5" customHeight="1">
      <c r="A892" s="12"/>
      <c r="C892" s="12"/>
      <c r="D892" s="13"/>
      <c r="F892" s="14"/>
      <c r="G892" s="14"/>
      <c r="H892" s="14"/>
      <c r="I892" s="14"/>
      <c r="J892" s="14"/>
      <c r="K892" s="12"/>
    </row>
    <row r="893" ht="19.5" customHeight="1">
      <c r="A893" s="12"/>
      <c r="C893" s="12"/>
      <c r="D893" s="13"/>
      <c r="F893" s="14"/>
      <c r="G893" s="14"/>
      <c r="H893" s="14"/>
      <c r="I893" s="14"/>
      <c r="J893" s="14"/>
      <c r="K893" s="12"/>
    </row>
    <row r="894" ht="19.5" customHeight="1">
      <c r="A894" s="12"/>
      <c r="C894" s="12"/>
      <c r="D894" s="13"/>
      <c r="F894" s="14"/>
      <c r="G894" s="14"/>
      <c r="H894" s="14"/>
      <c r="I894" s="14"/>
      <c r="J894" s="14"/>
      <c r="K894" s="12"/>
    </row>
    <row r="895" ht="19.5" customHeight="1">
      <c r="A895" s="12"/>
      <c r="C895" s="12"/>
      <c r="D895" s="13"/>
      <c r="F895" s="14"/>
      <c r="G895" s="14"/>
      <c r="H895" s="14"/>
      <c r="I895" s="14"/>
      <c r="J895" s="14"/>
      <c r="K895" s="12"/>
    </row>
    <row r="896" ht="19.5" customHeight="1">
      <c r="A896" s="12"/>
      <c r="C896" s="12"/>
      <c r="D896" s="13"/>
      <c r="F896" s="14"/>
      <c r="G896" s="14"/>
      <c r="H896" s="14"/>
      <c r="I896" s="14"/>
      <c r="J896" s="14"/>
      <c r="K896" s="12"/>
    </row>
    <row r="897" ht="19.5" customHeight="1">
      <c r="A897" s="12"/>
      <c r="C897" s="12"/>
      <c r="D897" s="13"/>
      <c r="F897" s="14"/>
      <c r="G897" s="14"/>
      <c r="H897" s="14"/>
      <c r="I897" s="14"/>
      <c r="J897" s="14"/>
      <c r="K897" s="12"/>
    </row>
    <row r="898" ht="19.5" customHeight="1">
      <c r="A898" s="12"/>
      <c r="C898" s="12"/>
      <c r="D898" s="13"/>
      <c r="F898" s="14"/>
      <c r="G898" s="14"/>
      <c r="H898" s="14"/>
      <c r="I898" s="14"/>
      <c r="J898" s="14"/>
      <c r="K898" s="12"/>
    </row>
    <row r="899" ht="19.5" customHeight="1">
      <c r="A899" s="12"/>
      <c r="C899" s="12"/>
      <c r="D899" s="13"/>
      <c r="F899" s="14"/>
      <c r="G899" s="14"/>
      <c r="H899" s="14"/>
      <c r="I899" s="14"/>
      <c r="J899" s="14"/>
      <c r="K899" s="12"/>
    </row>
    <row r="900" ht="19.5" customHeight="1">
      <c r="A900" s="12"/>
      <c r="C900" s="12"/>
      <c r="D900" s="13"/>
      <c r="F900" s="14"/>
      <c r="G900" s="14"/>
      <c r="H900" s="14"/>
      <c r="I900" s="14"/>
      <c r="J900" s="14"/>
      <c r="K900" s="12"/>
    </row>
    <row r="901" ht="19.5" customHeight="1">
      <c r="A901" s="12"/>
      <c r="C901" s="12"/>
      <c r="D901" s="13"/>
      <c r="F901" s="14"/>
      <c r="G901" s="14"/>
      <c r="H901" s="14"/>
      <c r="I901" s="14"/>
      <c r="J901" s="14"/>
      <c r="K901" s="12"/>
    </row>
    <row r="902" ht="19.5" customHeight="1">
      <c r="A902" s="12"/>
      <c r="C902" s="12"/>
      <c r="D902" s="13"/>
      <c r="F902" s="14"/>
      <c r="G902" s="14"/>
      <c r="H902" s="14"/>
      <c r="I902" s="14"/>
      <c r="J902" s="14"/>
      <c r="K902" s="12"/>
    </row>
    <row r="903" ht="19.5" customHeight="1">
      <c r="A903" s="12"/>
      <c r="C903" s="12"/>
      <c r="D903" s="13"/>
      <c r="F903" s="14"/>
      <c r="G903" s="14"/>
      <c r="H903" s="14"/>
      <c r="I903" s="14"/>
      <c r="J903" s="14"/>
      <c r="K903" s="12"/>
    </row>
    <row r="904" ht="19.5" customHeight="1">
      <c r="A904" s="12"/>
      <c r="C904" s="12"/>
      <c r="D904" s="13"/>
      <c r="F904" s="14"/>
      <c r="G904" s="14"/>
      <c r="H904" s="14"/>
      <c r="I904" s="14"/>
      <c r="J904" s="14"/>
      <c r="K904" s="12"/>
    </row>
    <row r="905" ht="19.5" customHeight="1">
      <c r="A905" s="12"/>
      <c r="C905" s="12"/>
      <c r="D905" s="13"/>
      <c r="F905" s="14"/>
      <c r="G905" s="14"/>
      <c r="H905" s="14"/>
      <c r="I905" s="14"/>
      <c r="J905" s="14"/>
      <c r="K905" s="12"/>
    </row>
    <row r="906" ht="19.5" customHeight="1">
      <c r="A906" s="12"/>
      <c r="C906" s="12"/>
      <c r="D906" s="13"/>
      <c r="F906" s="14"/>
      <c r="G906" s="14"/>
      <c r="H906" s="14"/>
      <c r="I906" s="14"/>
      <c r="J906" s="14"/>
      <c r="K906" s="12"/>
    </row>
    <row r="907" ht="19.5" customHeight="1">
      <c r="A907" s="12"/>
      <c r="C907" s="12"/>
      <c r="D907" s="13"/>
      <c r="F907" s="14"/>
      <c r="G907" s="14"/>
      <c r="H907" s="14"/>
      <c r="I907" s="14"/>
      <c r="J907" s="14"/>
      <c r="K907" s="12"/>
    </row>
    <row r="908" ht="19.5" customHeight="1">
      <c r="A908" s="12"/>
      <c r="C908" s="12"/>
      <c r="D908" s="13"/>
      <c r="F908" s="14"/>
      <c r="G908" s="14"/>
      <c r="H908" s="14"/>
      <c r="I908" s="14"/>
      <c r="J908" s="14"/>
      <c r="K908" s="12"/>
    </row>
    <row r="909" ht="19.5" customHeight="1">
      <c r="A909" s="12"/>
      <c r="C909" s="12"/>
      <c r="D909" s="13"/>
      <c r="F909" s="14"/>
      <c r="G909" s="14"/>
      <c r="H909" s="14"/>
      <c r="I909" s="14"/>
      <c r="J909" s="14"/>
      <c r="K909" s="12"/>
    </row>
    <row r="910" ht="19.5" customHeight="1">
      <c r="A910" s="12"/>
      <c r="C910" s="12"/>
      <c r="D910" s="13"/>
      <c r="F910" s="14"/>
      <c r="G910" s="14"/>
      <c r="H910" s="14"/>
      <c r="I910" s="14"/>
      <c r="J910" s="14"/>
      <c r="K910" s="12"/>
    </row>
    <row r="911" ht="19.5" customHeight="1">
      <c r="A911" s="12"/>
      <c r="C911" s="12"/>
      <c r="D911" s="13"/>
      <c r="F911" s="14"/>
      <c r="G911" s="14"/>
      <c r="H911" s="14"/>
      <c r="I911" s="14"/>
      <c r="J911" s="14"/>
      <c r="K911" s="12"/>
    </row>
    <row r="912" ht="19.5" customHeight="1">
      <c r="A912" s="12"/>
      <c r="C912" s="12"/>
      <c r="D912" s="13"/>
      <c r="F912" s="14"/>
      <c r="G912" s="14"/>
      <c r="H912" s="14"/>
      <c r="I912" s="14"/>
      <c r="J912" s="14"/>
      <c r="K912" s="12"/>
    </row>
    <row r="913" ht="19.5" customHeight="1">
      <c r="A913" s="12"/>
      <c r="C913" s="12"/>
      <c r="D913" s="13"/>
      <c r="F913" s="14"/>
      <c r="G913" s="14"/>
      <c r="H913" s="14"/>
      <c r="I913" s="14"/>
      <c r="J913" s="14"/>
      <c r="K913" s="12"/>
    </row>
    <row r="914" ht="19.5" customHeight="1">
      <c r="A914" s="12"/>
      <c r="C914" s="12"/>
      <c r="D914" s="13"/>
      <c r="F914" s="14"/>
      <c r="G914" s="14"/>
      <c r="H914" s="14"/>
      <c r="I914" s="14"/>
      <c r="J914" s="14"/>
      <c r="K914" s="12"/>
    </row>
    <row r="915" ht="19.5" customHeight="1">
      <c r="A915" s="12"/>
      <c r="C915" s="12"/>
      <c r="D915" s="13"/>
      <c r="F915" s="14"/>
      <c r="G915" s="14"/>
      <c r="H915" s="14"/>
      <c r="I915" s="14"/>
      <c r="J915" s="14"/>
      <c r="K915" s="12"/>
    </row>
    <row r="916" ht="19.5" customHeight="1">
      <c r="A916" s="12"/>
      <c r="C916" s="12"/>
      <c r="D916" s="13"/>
      <c r="F916" s="14"/>
      <c r="G916" s="14"/>
      <c r="H916" s="14"/>
      <c r="I916" s="14"/>
      <c r="J916" s="14"/>
      <c r="K916" s="12"/>
    </row>
    <row r="917" ht="19.5" customHeight="1">
      <c r="A917" s="12"/>
      <c r="C917" s="12"/>
      <c r="D917" s="13"/>
      <c r="F917" s="14"/>
      <c r="G917" s="14"/>
      <c r="H917" s="14"/>
      <c r="I917" s="14"/>
      <c r="J917" s="14"/>
      <c r="K917" s="12"/>
    </row>
    <row r="918" ht="19.5" customHeight="1">
      <c r="A918" s="12"/>
      <c r="C918" s="12"/>
      <c r="D918" s="13"/>
      <c r="F918" s="14"/>
      <c r="G918" s="14"/>
      <c r="H918" s="14"/>
      <c r="I918" s="14"/>
      <c r="J918" s="14"/>
      <c r="K918" s="12"/>
    </row>
    <row r="919" ht="19.5" customHeight="1">
      <c r="A919" s="12"/>
      <c r="C919" s="12"/>
      <c r="D919" s="13"/>
      <c r="F919" s="14"/>
      <c r="G919" s="14"/>
      <c r="H919" s="14"/>
      <c r="I919" s="14"/>
      <c r="J919" s="14"/>
      <c r="K919" s="12"/>
    </row>
    <row r="920" ht="19.5" customHeight="1">
      <c r="A920" s="12"/>
      <c r="C920" s="12"/>
      <c r="D920" s="13"/>
      <c r="F920" s="14"/>
      <c r="G920" s="14"/>
      <c r="H920" s="14"/>
      <c r="I920" s="14"/>
      <c r="J920" s="14"/>
      <c r="K920" s="12"/>
    </row>
    <row r="921" ht="19.5" customHeight="1">
      <c r="A921" s="12"/>
      <c r="C921" s="12"/>
      <c r="D921" s="13"/>
      <c r="F921" s="14"/>
      <c r="G921" s="14"/>
      <c r="H921" s="14"/>
      <c r="I921" s="14"/>
      <c r="J921" s="14"/>
      <c r="K921" s="12"/>
    </row>
    <row r="922" ht="19.5" customHeight="1">
      <c r="A922" s="12"/>
      <c r="C922" s="12"/>
      <c r="D922" s="13"/>
      <c r="F922" s="14"/>
      <c r="G922" s="14"/>
      <c r="H922" s="14"/>
      <c r="I922" s="14"/>
      <c r="J922" s="14"/>
      <c r="K922" s="12"/>
    </row>
    <row r="923" ht="19.5" customHeight="1">
      <c r="A923" s="12"/>
      <c r="C923" s="12"/>
      <c r="D923" s="13"/>
      <c r="F923" s="14"/>
      <c r="G923" s="14"/>
      <c r="H923" s="14"/>
      <c r="I923" s="14"/>
      <c r="J923" s="14"/>
      <c r="K923" s="12"/>
    </row>
    <row r="924" ht="19.5" customHeight="1">
      <c r="A924" s="12"/>
      <c r="C924" s="12"/>
      <c r="D924" s="13"/>
      <c r="F924" s="14"/>
      <c r="G924" s="14"/>
      <c r="H924" s="14"/>
      <c r="I924" s="14"/>
      <c r="J924" s="14"/>
      <c r="K924" s="12"/>
    </row>
    <row r="925" ht="19.5" customHeight="1">
      <c r="A925" s="12"/>
      <c r="C925" s="12"/>
      <c r="D925" s="13"/>
      <c r="F925" s="14"/>
      <c r="G925" s="14"/>
      <c r="H925" s="14"/>
      <c r="I925" s="14"/>
      <c r="J925" s="14"/>
      <c r="K925" s="12"/>
    </row>
    <row r="926" ht="19.5" customHeight="1">
      <c r="A926" s="12"/>
      <c r="C926" s="12"/>
      <c r="D926" s="13"/>
      <c r="F926" s="14"/>
      <c r="G926" s="14"/>
      <c r="H926" s="14"/>
      <c r="I926" s="14"/>
      <c r="J926" s="14"/>
      <c r="K926" s="12"/>
    </row>
    <row r="927" ht="19.5" customHeight="1">
      <c r="A927" s="12"/>
      <c r="C927" s="12"/>
      <c r="D927" s="13"/>
      <c r="F927" s="14"/>
      <c r="G927" s="14"/>
      <c r="H927" s="14"/>
      <c r="I927" s="14"/>
      <c r="J927" s="14"/>
      <c r="K927" s="12"/>
    </row>
    <row r="928" ht="19.5" customHeight="1">
      <c r="A928" s="12"/>
      <c r="C928" s="12"/>
      <c r="D928" s="13"/>
      <c r="F928" s="14"/>
      <c r="G928" s="14"/>
      <c r="H928" s="14"/>
      <c r="I928" s="14"/>
      <c r="J928" s="14"/>
      <c r="K928" s="12"/>
    </row>
    <row r="929" ht="19.5" customHeight="1">
      <c r="A929" s="12"/>
      <c r="C929" s="12"/>
      <c r="D929" s="13"/>
      <c r="F929" s="14"/>
      <c r="G929" s="14"/>
      <c r="H929" s="14"/>
      <c r="I929" s="14"/>
      <c r="J929" s="14"/>
      <c r="K929" s="12"/>
    </row>
    <row r="930" ht="19.5" customHeight="1">
      <c r="A930" s="12"/>
      <c r="C930" s="12"/>
      <c r="D930" s="13"/>
      <c r="F930" s="14"/>
      <c r="G930" s="14"/>
      <c r="H930" s="14"/>
      <c r="I930" s="14"/>
      <c r="J930" s="14"/>
      <c r="K930" s="12"/>
    </row>
    <row r="931" ht="19.5" customHeight="1">
      <c r="A931" s="12"/>
      <c r="C931" s="12"/>
      <c r="D931" s="13"/>
      <c r="F931" s="14"/>
      <c r="G931" s="14"/>
      <c r="H931" s="14"/>
      <c r="I931" s="14"/>
      <c r="J931" s="14"/>
      <c r="K931" s="12"/>
    </row>
    <row r="932" ht="19.5" customHeight="1">
      <c r="A932" s="12"/>
      <c r="C932" s="12"/>
      <c r="D932" s="13"/>
      <c r="F932" s="14"/>
      <c r="G932" s="14"/>
      <c r="H932" s="14"/>
      <c r="I932" s="14"/>
      <c r="J932" s="14"/>
      <c r="K932" s="12"/>
    </row>
    <row r="933" ht="19.5" customHeight="1">
      <c r="A933" s="12"/>
      <c r="C933" s="12"/>
      <c r="D933" s="13"/>
      <c r="F933" s="14"/>
      <c r="G933" s="14"/>
      <c r="H933" s="14"/>
      <c r="I933" s="14"/>
      <c r="J933" s="14"/>
      <c r="K933" s="12"/>
    </row>
    <row r="934" ht="19.5" customHeight="1">
      <c r="A934" s="12"/>
      <c r="C934" s="12"/>
      <c r="D934" s="13"/>
      <c r="F934" s="14"/>
      <c r="G934" s="14"/>
      <c r="H934" s="14"/>
      <c r="I934" s="14"/>
      <c r="J934" s="14"/>
      <c r="K934" s="12"/>
    </row>
    <row r="935" ht="19.5" customHeight="1">
      <c r="A935" s="12"/>
      <c r="C935" s="12"/>
      <c r="D935" s="13"/>
      <c r="F935" s="14"/>
      <c r="G935" s="14"/>
      <c r="H935" s="14"/>
      <c r="I935" s="14"/>
      <c r="J935" s="14"/>
      <c r="K935" s="12"/>
    </row>
    <row r="936" ht="19.5" customHeight="1">
      <c r="A936" s="12"/>
      <c r="C936" s="12"/>
      <c r="D936" s="13"/>
      <c r="F936" s="14"/>
      <c r="G936" s="14"/>
      <c r="H936" s="14"/>
      <c r="I936" s="14"/>
      <c r="J936" s="14"/>
      <c r="K936" s="12"/>
    </row>
    <row r="937" ht="19.5" customHeight="1">
      <c r="A937" s="12"/>
      <c r="C937" s="12"/>
      <c r="D937" s="13"/>
      <c r="F937" s="14"/>
      <c r="G937" s="14"/>
      <c r="H937" s="14"/>
      <c r="I937" s="14"/>
      <c r="J937" s="14"/>
      <c r="K937" s="12"/>
    </row>
    <row r="938" ht="19.5" customHeight="1">
      <c r="A938" s="12"/>
      <c r="C938" s="12"/>
      <c r="D938" s="13"/>
      <c r="F938" s="14"/>
      <c r="G938" s="14"/>
      <c r="H938" s="14"/>
      <c r="I938" s="14"/>
      <c r="J938" s="14"/>
      <c r="K938" s="12"/>
    </row>
    <row r="939" ht="19.5" customHeight="1">
      <c r="A939" s="12"/>
      <c r="C939" s="12"/>
      <c r="D939" s="13"/>
      <c r="F939" s="14"/>
      <c r="G939" s="14"/>
      <c r="H939" s="14"/>
      <c r="I939" s="14"/>
      <c r="J939" s="14"/>
      <c r="K939" s="12"/>
    </row>
    <row r="940" ht="19.5" customHeight="1">
      <c r="A940" s="12"/>
      <c r="C940" s="12"/>
      <c r="D940" s="13"/>
      <c r="F940" s="14"/>
      <c r="G940" s="14"/>
      <c r="H940" s="14"/>
      <c r="I940" s="14"/>
      <c r="J940" s="14"/>
      <c r="K940" s="12"/>
    </row>
    <row r="941" ht="19.5" customHeight="1">
      <c r="A941" s="12"/>
      <c r="C941" s="12"/>
      <c r="D941" s="13"/>
      <c r="F941" s="14"/>
      <c r="G941" s="14"/>
      <c r="H941" s="14"/>
      <c r="I941" s="14"/>
      <c r="J941" s="14"/>
      <c r="K941" s="12"/>
    </row>
    <row r="942" ht="19.5" customHeight="1">
      <c r="A942" s="12"/>
      <c r="C942" s="12"/>
      <c r="D942" s="13"/>
      <c r="F942" s="14"/>
      <c r="G942" s="14"/>
      <c r="H942" s="14"/>
      <c r="I942" s="14"/>
      <c r="J942" s="14"/>
      <c r="K942" s="12"/>
    </row>
    <row r="943" ht="19.5" customHeight="1">
      <c r="A943" s="12"/>
      <c r="C943" s="12"/>
      <c r="D943" s="13"/>
      <c r="F943" s="14"/>
      <c r="G943" s="14"/>
      <c r="H943" s="14"/>
      <c r="I943" s="14"/>
      <c r="J943" s="14"/>
      <c r="K943" s="12"/>
    </row>
    <row r="944" ht="19.5" customHeight="1">
      <c r="A944" s="12"/>
      <c r="C944" s="12"/>
      <c r="D944" s="13"/>
      <c r="F944" s="14"/>
      <c r="G944" s="14"/>
      <c r="H944" s="14"/>
      <c r="I944" s="14"/>
      <c r="J944" s="14"/>
      <c r="K944" s="12"/>
    </row>
    <row r="945" ht="19.5" customHeight="1">
      <c r="A945" s="12"/>
      <c r="C945" s="12"/>
      <c r="D945" s="13"/>
      <c r="F945" s="14"/>
      <c r="G945" s="14"/>
      <c r="H945" s="14"/>
      <c r="I945" s="14"/>
      <c r="J945" s="14"/>
      <c r="K945" s="12"/>
    </row>
    <row r="946" ht="19.5" customHeight="1">
      <c r="A946" s="12"/>
      <c r="C946" s="12"/>
      <c r="D946" s="13"/>
      <c r="F946" s="14"/>
      <c r="G946" s="14"/>
      <c r="H946" s="14"/>
      <c r="I946" s="14"/>
      <c r="J946" s="14"/>
      <c r="K946" s="12"/>
    </row>
    <row r="947" ht="19.5" customHeight="1">
      <c r="A947" s="12"/>
      <c r="C947" s="12"/>
      <c r="D947" s="13"/>
      <c r="F947" s="14"/>
      <c r="G947" s="14"/>
      <c r="H947" s="14"/>
      <c r="I947" s="14"/>
      <c r="J947" s="14"/>
      <c r="K947" s="12"/>
    </row>
    <row r="948" ht="19.5" customHeight="1">
      <c r="A948" s="12"/>
      <c r="C948" s="12"/>
      <c r="D948" s="13"/>
      <c r="F948" s="14"/>
      <c r="G948" s="14"/>
      <c r="H948" s="14"/>
      <c r="I948" s="14"/>
      <c r="J948" s="14"/>
      <c r="K948" s="12"/>
    </row>
    <row r="949" ht="19.5" customHeight="1">
      <c r="A949" s="12"/>
      <c r="C949" s="12"/>
      <c r="D949" s="13"/>
      <c r="F949" s="14"/>
      <c r="G949" s="14"/>
      <c r="H949" s="14"/>
      <c r="I949" s="14"/>
      <c r="J949" s="14"/>
      <c r="K949" s="12"/>
    </row>
    <row r="950" ht="19.5" customHeight="1">
      <c r="A950" s="12"/>
      <c r="C950" s="12"/>
      <c r="D950" s="13"/>
      <c r="F950" s="14"/>
      <c r="G950" s="14"/>
      <c r="H950" s="14"/>
      <c r="I950" s="14"/>
      <c r="J950" s="14"/>
      <c r="K950" s="12"/>
    </row>
    <row r="951" ht="19.5" customHeight="1">
      <c r="A951" s="12"/>
      <c r="C951" s="12"/>
      <c r="D951" s="13"/>
      <c r="F951" s="14"/>
      <c r="G951" s="14"/>
      <c r="H951" s="14"/>
      <c r="I951" s="14"/>
      <c r="J951" s="14"/>
      <c r="K951" s="12"/>
    </row>
    <row r="952" ht="19.5" customHeight="1">
      <c r="A952" s="12"/>
      <c r="C952" s="12"/>
      <c r="D952" s="13"/>
      <c r="F952" s="14"/>
      <c r="G952" s="14"/>
      <c r="H952" s="14"/>
      <c r="I952" s="14"/>
      <c r="J952" s="14"/>
      <c r="K952" s="12"/>
    </row>
    <row r="953" ht="19.5" customHeight="1">
      <c r="A953" s="12"/>
      <c r="C953" s="12"/>
      <c r="D953" s="13"/>
      <c r="F953" s="14"/>
      <c r="G953" s="14"/>
      <c r="H953" s="14"/>
      <c r="I953" s="14"/>
      <c r="J953" s="14"/>
      <c r="K953" s="12"/>
    </row>
    <row r="954" ht="19.5" customHeight="1">
      <c r="A954" s="12"/>
      <c r="C954" s="12"/>
      <c r="D954" s="13"/>
      <c r="F954" s="14"/>
      <c r="G954" s="14"/>
      <c r="H954" s="14"/>
      <c r="I954" s="14"/>
      <c r="J954" s="14"/>
      <c r="K954" s="12"/>
    </row>
    <row r="955" ht="19.5" customHeight="1">
      <c r="A955" s="12"/>
      <c r="C955" s="12"/>
      <c r="D955" s="13"/>
      <c r="F955" s="14"/>
      <c r="G955" s="14"/>
      <c r="H955" s="14"/>
      <c r="I955" s="14"/>
      <c r="J955" s="14"/>
      <c r="K955" s="12"/>
    </row>
    <row r="956" ht="19.5" customHeight="1">
      <c r="A956" s="12"/>
      <c r="C956" s="12"/>
      <c r="D956" s="13"/>
      <c r="F956" s="14"/>
      <c r="G956" s="14"/>
      <c r="H956" s="14"/>
      <c r="I956" s="14"/>
      <c r="J956" s="14"/>
      <c r="K956" s="12"/>
    </row>
    <row r="957" ht="19.5" customHeight="1">
      <c r="A957" s="12"/>
      <c r="C957" s="12"/>
      <c r="D957" s="13"/>
      <c r="F957" s="14"/>
      <c r="G957" s="14"/>
      <c r="H957" s="14"/>
      <c r="I957" s="14"/>
      <c r="J957" s="14"/>
      <c r="K957" s="12"/>
    </row>
    <row r="958" ht="19.5" customHeight="1">
      <c r="A958" s="12"/>
      <c r="C958" s="12"/>
      <c r="D958" s="13"/>
      <c r="F958" s="14"/>
      <c r="G958" s="14"/>
      <c r="H958" s="14"/>
      <c r="I958" s="14"/>
      <c r="J958" s="14"/>
      <c r="K958" s="12"/>
    </row>
    <row r="959" ht="19.5" customHeight="1">
      <c r="A959" s="12"/>
      <c r="C959" s="12"/>
      <c r="D959" s="13"/>
      <c r="F959" s="14"/>
      <c r="G959" s="14"/>
      <c r="H959" s="14"/>
      <c r="I959" s="14"/>
      <c r="J959" s="14"/>
      <c r="K959" s="12"/>
    </row>
    <row r="960" ht="19.5" customHeight="1">
      <c r="A960" s="12"/>
      <c r="C960" s="12"/>
      <c r="D960" s="13"/>
      <c r="F960" s="14"/>
      <c r="G960" s="14"/>
      <c r="H960" s="14"/>
      <c r="I960" s="14"/>
      <c r="J960" s="14"/>
      <c r="K960" s="12"/>
    </row>
    <row r="961" ht="19.5" customHeight="1">
      <c r="A961" s="12"/>
      <c r="C961" s="12"/>
      <c r="D961" s="13"/>
      <c r="F961" s="14"/>
      <c r="G961" s="14"/>
      <c r="H961" s="14"/>
      <c r="I961" s="14"/>
      <c r="J961" s="14"/>
      <c r="K961" s="12"/>
    </row>
    <row r="962" ht="19.5" customHeight="1">
      <c r="A962" s="12"/>
      <c r="C962" s="12"/>
      <c r="D962" s="13"/>
      <c r="F962" s="14"/>
      <c r="G962" s="14"/>
      <c r="H962" s="14"/>
      <c r="I962" s="14"/>
      <c r="J962" s="14"/>
      <c r="K962" s="12"/>
    </row>
    <row r="963" ht="19.5" customHeight="1">
      <c r="A963" s="12"/>
      <c r="C963" s="12"/>
      <c r="D963" s="13"/>
      <c r="F963" s="14"/>
      <c r="G963" s="14"/>
      <c r="H963" s="14"/>
      <c r="I963" s="14"/>
      <c r="J963" s="14"/>
      <c r="K963" s="12"/>
    </row>
    <row r="964" ht="19.5" customHeight="1">
      <c r="A964" s="12"/>
      <c r="C964" s="12"/>
      <c r="D964" s="13"/>
      <c r="F964" s="14"/>
      <c r="G964" s="14"/>
      <c r="H964" s="14"/>
      <c r="I964" s="14"/>
      <c r="J964" s="14"/>
      <c r="K964" s="12"/>
    </row>
    <row r="965" ht="19.5" customHeight="1">
      <c r="A965" s="12"/>
      <c r="C965" s="12"/>
      <c r="D965" s="13"/>
      <c r="F965" s="14"/>
      <c r="G965" s="14"/>
      <c r="H965" s="14"/>
      <c r="I965" s="14"/>
      <c r="J965" s="14"/>
      <c r="K965" s="12"/>
    </row>
    <row r="966" ht="19.5" customHeight="1">
      <c r="A966" s="12"/>
      <c r="C966" s="12"/>
      <c r="D966" s="13"/>
      <c r="F966" s="14"/>
      <c r="G966" s="14"/>
      <c r="H966" s="14"/>
      <c r="I966" s="14"/>
      <c r="J966" s="14"/>
      <c r="K966" s="12"/>
    </row>
    <row r="967" ht="19.5" customHeight="1">
      <c r="A967" s="12"/>
      <c r="C967" s="12"/>
      <c r="D967" s="13"/>
      <c r="F967" s="14"/>
      <c r="G967" s="14"/>
      <c r="H967" s="14"/>
      <c r="I967" s="14"/>
      <c r="J967" s="14"/>
      <c r="K967" s="12"/>
    </row>
    <row r="968" ht="19.5" customHeight="1">
      <c r="A968" s="12"/>
      <c r="C968" s="12"/>
      <c r="D968" s="13"/>
      <c r="F968" s="14"/>
      <c r="G968" s="14"/>
      <c r="H968" s="14"/>
      <c r="I968" s="14"/>
      <c r="J968" s="14"/>
      <c r="K968" s="12"/>
    </row>
    <row r="969" ht="19.5" customHeight="1">
      <c r="A969" s="12"/>
      <c r="C969" s="12"/>
      <c r="D969" s="13"/>
      <c r="F969" s="14"/>
      <c r="G969" s="14"/>
      <c r="H969" s="14"/>
      <c r="I969" s="14"/>
      <c r="J969" s="14"/>
      <c r="K969" s="12"/>
    </row>
    <row r="970" ht="19.5" customHeight="1">
      <c r="A970" s="12"/>
      <c r="C970" s="12"/>
      <c r="D970" s="13"/>
      <c r="F970" s="14"/>
      <c r="G970" s="14"/>
      <c r="H970" s="14"/>
      <c r="I970" s="14"/>
      <c r="J970" s="14"/>
      <c r="K970" s="12"/>
    </row>
    <row r="971" ht="19.5" customHeight="1">
      <c r="A971" s="12"/>
      <c r="C971" s="12"/>
      <c r="D971" s="13"/>
      <c r="F971" s="14"/>
      <c r="G971" s="14"/>
      <c r="H971" s="14"/>
      <c r="I971" s="14"/>
      <c r="J971" s="14"/>
      <c r="K971" s="12"/>
    </row>
    <row r="972" ht="19.5" customHeight="1">
      <c r="A972" s="12"/>
      <c r="C972" s="12"/>
      <c r="D972" s="13"/>
      <c r="F972" s="14"/>
      <c r="G972" s="14"/>
      <c r="H972" s="14"/>
      <c r="I972" s="14"/>
      <c r="J972" s="14"/>
      <c r="K972" s="12"/>
    </row>
    <row r="973" ht="19.5" customHeight="1">
      <c r="A973" s="12"/>
      <c r="C973" s="12"/>
      <c r="D973" s="13"/>
      <c r="F973" s="14"/>
      <c r="G973" s="14"/>
      <c r="H973" s="14"/>
      <c r="I973" s="14"/>
      <c r="J973" s="14"/>
      <c r="K973" s="12"/>
    </row>
    <row r="974" ht="19.5" customHeight="1">
      <c r="A974" s="12"/>
      <c r="C974" s="12"/>
      <c r="D974" s="13"/>
      <c r="F974" s="14"/>
      <c r="G974" s="14"/>
      <c r="H974" s="14"/>
      <c r="I974" s="14"/>
      <c r="J974" s="14"/>
      <c r="K974" s="12"/>
    </row>
    <row r="975" ht="19.5" customHeight="1">
      <c r="A975" s="12"/>
      <c r="C975" s="12"/>
      <c r="D975" s="13"/>
      <c r="F975" s="14"/>
      <c r="G975" s="14"/>
      <c r="H975" s="14"/>
      <c r="I975" s="14"/>
      <c r="J975" s="14"/>
      <c r="K975" s="12"/>
    </row>
    <row r="976" ht="19.5" customHeight="1">
      <c r="A976" s="12"/>
      <c r="C976" s="12"/>
      <c r="D976" s="13"/>
      <c r="F976" s="14"/>
      <c r="G976" s="14"/>
      <c r="H976" s="14"/>
      <c r="I976" s="14"/>
      <c r="J976" s="14"/>
      <c r="K976" s="12"/>
    </row>
    <row r="977" ht="19.5" customHeight="1">
      <c r="A977" s="12"/>
      <c r="C977" s="12"/>
      <c r="D977" s="13"/>
      <c r="F977" s="14"/>
      <c r="G977" s="14"/>
      <c r="H977" s="14"/>
      <c r="I977" s="14"/>
      <c r="J977" s="14"/>
      <c r="K977" s="12"/>
    </row>
    <row r="978" ht="19.5" customHeight="1">
      <c r="A978" s="12"/>
      <c r="C978" s="12"/>
      <c r="D978" s="13"/>
      <c r="F978" s="14"/>
      <c r="G978" s="14"/>
      <c r="H978" s="14"/>
      <c r="I978" s="14"/>
      <c r="J978" s="14"/>
      <c r="K978" s="12"/>
    </row>
    <row r="979" ht="19.5" customHeight="1">
      <c r="A979" s="12"/>
      <c r="C979" s="12"/>
      <c r="D979" s="13"/>
      <c r="F979" s="14"/>
      <c r="G979" s="14"/>
      <c r="H979" s="14"/>
      <c r="I979" s="14"/>
      <c r="J979" s="14"/>
      <c r="K979" s="12"/>
    </row>
    <row r="980" ht="19.5" customHeight="1">
      <c r="A980" s="12"/>
      <c r="C980" s="12"/>
      <c r="D980" s="13"/>
      <c r="F980" s="14"/>
      <c r="G980" s="14"/>
      <c r="H980" s="14"/>
      <c r="I980" s="14"/>
      <c r="J980" s="14"/>
      <c r="K980" s="12"/>
    </row>
    <row r="981" ht="19.5" customHeight="1">
      <c r="A981" s="12"/>
      <c r="C981" s="12"/>
      <c r="D981" s="13"/>
      <c r="F981" s="14"/>
      <c r="G981" s="14"/>
      <c r="H981" s="14"/>
      <c r="I981" s="14"/>
      <c r="J981" s="14"/>
      <c r="K981" s="12"/>
    </row>
    <row r="982" ht="19.5" customHeight="1">
      <c r="A982" s="12"/>
      <c r="C982" s="12"/>
      <c r="D982" s="13"/>
      <c r="F982" s="14"/>
      <c r="G982" s="14"/>
      <c r="H982" s="14"/>
      <c r="I982" s="14"/>
      <c r="J982" s="14"/>
      <c r="K982" s="12"/>
    </row>
    <row r="983" ht="19.5" customHeight="1">
      <c r="A983" s="12"/>
      <c r="C983" s="12"/>
      <c r="D983" s="13"/>
      <c r="F983" s="14"/>
      <c r="G983" s="14"/>
      <c r="H983" s="14"/>
      <c r="I983" s="14"/>
      <c r="J983" s="14"/>
      <c r="K983" s="12"/>
    </row>
    <row r="984" ht="19.5" customHeight="1">
      <c r="A984" s="12"/>
      <c r="C984" s="12"/>
      <c r="D984" s="13"/>
      <c r="F984" s="14"/>
      <c r="G984" s="14"/>
      <c r="H984" s="14"/>
      <c r="I984" s="14"/>
      <c r="J984" s="14"/>
      <c r="K984" s="12"/>
    </row>
    <row r="985" ht="19.5" customHeight="1">
      <c r="A985" s="12"/>
      <c r="C985" s="12"/>
      <c r="D985" s="13"/>
      <c r="F985" s="14"/>
      <c r="G985" s="14"/>
      <c r="H985" s="14"/>
      <c r="I985" s="14"/>
      <c r="J985" s="14"/>
      <c r="K985" s="12"/>
    </row>
    <row r="986" ht="19.5" customHeight="1">
      <c r="A986" s="12"/>
      <c r="C986" s="12"/>
      <c r="D986" s="13"/>
      <c r="F986" s="14"/>
      <c r="G986" s="14"/>
      <c r="H986" s="14"/>
      <c r="I986" s="14"/>
      <c r="J986" s="14"/>
      <c r="K986" s="12"/>
    </row>
    <row r="987" ht="19.5" customHeight="1">
      <c r="A987" s="12"/>
      <c r="C987" s="12"/>
      <c r="D987" s="13"/>
      <c r="F987" s="14"/>
      <c r="G987" s="14"/>
      <c r="H987" s="14"/>
      <c r="I987" s="14"/>
      <c r="J987" s="14"/>
      <c r="K987" s="12"/>
    </row>
    <row r="988" ht="19.5" customHeight="1">
      <c r="A988" s="12"/>
      <c r="C988" s="12"/>
      <c r="D988" s="13"/>
      <c r="F988" s="14"/>
      <c r="G988" s="14"/>
      <c r="H988" s="14"/>
      <c r="I988" s="14"/>
      <c r="J988" s="14"/>
      <c r="K988" s="12"/>
    </row>
    <row r="989" ht="19.5" customHeight="1">
      <c r="A989" s="12"/>
      <c r="C989" s="12"/>
      <c r="D989" s="13"/>
      <c r="F989" s="14"/>
      <c r="G989" s="14"/>
      <c r="H989" s="14"/>
      <c r="I989" s="14"/>
      <c r="J989" s="14"/>
      <c r="K989" s="12"/>
    </row>
    <row r="990" ht="19.5" customHeight="1">
      <c r="A990" s="12"/>
      <c r="C990" s="12"/>
      <c r="D990" s="13"/>
      <c r="F990" s="14"/>
      <c r="G990" s="14"/>
      <c r="H990" s="14"/>
      <c r="I990" s="14"/>
      <c r="J990" s="14"/>
      <c r="K990" s="12"/>
    </row>
    <row r="991" ht="19.5" customHeight="1">
      <c r="A991" s="12"/>
      <c r="C991" s="12"/>
      <c r="D991" s="13"/>
      <c r="F991" s="14"/>
      <c r="G991" s="14"/>
      <c r="H991" s="14"/>
      <c r="I991" s="14"/>
      <c r="J991" s="14"/>
      <c r="K991" s="12"/>
    </row>
    <row r="992" ht="19.5" customHeight="1">
      <c r="A992" s="12"/>
      <c r="C992" s="12"/>
      <c r="D992" s="13"/>
      <c r="F992" s="14"/>
      <c r="G992" s="14"/>
      <c r="H992" s="14"/>
      <c r="I992" s="14"/>
      <c r="J992" s="14"/>
      <c r="K992" s="12"/>
    </row>
    <row r="993" ht="19.5" customHeight="1">
      <c r="A993" s="12"/>
      <c r="C993" s="12"/>
      <c r="D993" s="13"/>
      <c r="F993" s="14"/>
      <c r="G993" s="14"/>
      <c r="H993" s="14"/>
      <c r="I993" s="14"/>
      <c r="J993" s="14"/>
      <c r="K993" s="12"/>
    </row>
    <row r="994" ht="19.5" customHeight="1">
      <c r="A994" s="12"/>
      <c r="C994" s="12"/>
      <c r="D994" s="13"/>
      <c r="F994" s="14"/>
      <c r="G994" s="14"/>
      <c r="H994" s="14"/>
      <c r="I994" s="14"/>
      <c r="J994" s="14"/>
      <c r="K994" s="12"/>
    </row>
    <row r="995" ht="19.5" customHeight="1">
      <c r="A995" s="12"/>
      <c r="C995" s="12"/>
      <c r="D995" s="13"/>
      <c r="F995" s="14"/>
      <c r="G995" s="14"/>
      <c r="H995" s="14"/>
      <c r="I995" s="14"/>
      <c r="J995" s="14"/>
      <c r="K995" s="12"/>
    </row>
    <row r="996" ht="19.5" customHeight="1">
      <c r="A996" s="12"/>
      <c r="C996" s="12"/>
      <c r="D996" s="13"/>
      <c r="F996" s="14"/>
      <c r="G996" s="14"/>
      <c r="H996" s="14"/>
      <c r="I996" s="14"/>
      <c r="J996" s="14"/>
      <c r="K996" s="12"/>
    </row>
    <row r="997" ht="19.5" customHeight="1">
      <c r="A997" s="12"/>
      <c r="C997" s="12"/>
      <c r="D997" s="13"/>
      <c r="F997" s="14"/>
      <c r="G997" s="14"/>
      <c r="H997" s="14"/>
      <c r="I997" s="14"/>
      <c r="J997" s="14"/>
      <c r="K997" s="12"/>
    </row>
    <row r="998" ht="19.5" customHeight="1">
      <c r="A998" s="12"/>
      <c r="C998" s="12"/>
      <c r="D998" s="13"/>
      <c r="F998" s="14"/>
      <c r="G998" s="14"/>
      <c r="H998" s="14"/>
      <c r="I998" s="14"/>
      <c r="J998" s="14"/>
      <c r="K998" s="12"/>
    </row>
    <row r="999" ht="19.5" customHeight="1">
      <c r="A999" s="12"/>
      <c r="C999" s="12"/>
      <c r="D999" s="13"/>
      <c r="F999" s="14"/>
      <c r="G999" s="14"/>
      <c r="H999" s="14"/>
      <c r="I999" s="14"/>
      <c r="J999" s="14"/>
      <c r="K999" s="12"/>
    </row>
    <row r="1000" ht="19.5" customHeight="1">
      <c r="A1000" s="12"/>
      <c r="C1000" s="12"/>
      <c r="D1000" s="13"/>
      <c r="F1000" s="14"/>
      <c r="G1000" s="14"/>
      <c r="H1000" s="14"/>
      <c r="I1000" s="14"/>
      <c r="J1000" s="14"/>
      <c r="K1000" s="12"/>
    </row>
  </sheetData>
  <mergeCells count="12">
    <mergeCell ref="E9:G9"/>
    <mergeCell ref="J9:J10"/>
    <mergeCell ref="J15:J16"/>
    <mergeCell ref="J36:J37"/>
    <mergeCell ref="A6:K6"/>
    <mergeCell ref="A7:K7"/>
    <mergeCell ref="A8:K8"/>
    <mergeCell ref="A9:A10"/>
    <mergeCell ref="B9:B10"/>
    <mergeCell ref="C9:C10"/>
    <mergeCell ref="D9:D10"/>
    <mergeCell ref="K9:K10"/>
  </mergeCells>
  <printOptions/>
  <pageMargins bottom="0.787401575" footer="0.0" header="0.0" left="0.511811024" right="0.511811024" top="0.787401575"/>
  <pageSetup orientation="landscape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57.13"/>
    <col customWidth="1" min="3" max="3" width="9.13"/>
    <col customWidth="1" min="4" max="4" width="16.25"/>
    <col customWidth="1" min="5" max="5" width="25.0"/>
    <col customWidth="1" min="6" max="6" width="22.25"/>
    <col customWidth="1" min="7" max="8" width="23.88"/>
    <col customWidth="1" min="9" max="9" width="23.63"/>
    <col customWidth="1" min="10" max="10" width="20.63"/>
    <col customWidth="1" min="11" max="11" width="39.0"/>
    <col customWidth="1" min="12" max="26" width="8.63"/>
  </cols>
  <sheetData>
    <row r="1" ht="19.5" customHeight="1">
      <c r="A1" s="4"/>
      <c r="B1" s="5"/>
      <c r="C1" s="6"/>
      <c r="D1" s="7"/>
      <c r="E1" s="5"/>
      <c r="F1" s="8"/>
      <c r="G1" s="8"/>
      <c r="H1" s="8"/>
      <c r="I1" s="8"/>
      <c r="J1" s="8"/>
      <c r="K1" s="9"/>
    </row>
    <row r="2" ht="19.5" customHeight="1">
      <c r="A2" s="10" t="s">
        <v>83</v>
      </c>
      <c r="B2" s="11" t="s">
        <v>84</v>
      </c>
      <c r="C2" s="12"/>
      <c r="D2" s="13"/>
      <c r="F2" s="14"/>
      <c r="G2" s="14"/>
      <c r="H2" s="14"/>
      <c r="I2" s="14"/>
      <c r="J2" s="17" t="s">
        <v>144</v>
      </c>
      <c r="K2" s="18"/>
    </row>
    <row r="3" ht="19.5" customHeight="1">
      <c r="A3" s="10" t="s">
        <v>86</v>
      </c>
      <c r="B3" s="11" t="s">
        <v>87</v>
      </c>
      <c r="C3" s="12"/>
      <c r="D3" s="13"/>
      <c r="F3" s="14"/>
      <c r="G3" s="14"/>
      <c r="H3" s="14"/>
      <c r="I3" s="14"/>
      <c r="J3" s="14"/>
      <c r="K3" s="18"/>
    </row>
    <row r="4" ht="19.5" customHeight="1">
      <c r="A4" s="19"/>
      <c r="C4" s="12"/>
      <c r="D4" s="13"/>
      <c r="F4" s="14"/>
      <c r="G4" s="14"/>
      <c r="H4" s="14"/>
      <c r="I4" s="14"/>
      <c r="J4" s="14"/>
      <c r="K4" s="18"/>
    </row>
    <row r="5" ht="19.5" customHeight="1">
      <c r="A5" s="19"/>
      <c r="C5" s="12"/>
      <c r="D5" s="13"/>
      <c r="F5" s="14"/>
      <c r="G5" s="14"/>
      <c r="H5" s="14"/>
      <c r="I5" s="14"/>
      <c r="J5" s="14"/>
      <c r="K5" s="18"/>
    </row>
    <row r="6" ht="159.0" customHeight="1">
      <c r="A6" s="20" t="s">
        <v>1877</v>
      </c>
      <c r="K6" s="21"/>
    </row>
    <row r="7" ht="64.5" customHeight="1">
      <c r="A7" s="22" t="s">
        <v>1878</v>
      </c>
      <c r="K7" s="21"/>
    </row>
    <row r="8" ht="42.0" customHeight="1">
      <c r="A8" s="88" t="s">
        <v>90</v>
      </c>
      <c r="B8" s="24"/>
      <c r="C8" s="24"/>
      <c r="D8" s="24"/>
      <c r="E8" s="24"/>
      <c r="F8" s="24"/>
      <c r="G8" s="24"/>
      <c r="H8" s="24"/>
      <c r="I8" s="24"/>
      <c r="J8" s="24"/>
      <c r="K8" s="25"/>
    </row>
    <row r="9" ht="19.5" customHeight="1">
      <c r="A9" s="26" t="s">
        <v>1</v>
      </c>
      <c r="B9" s="26" t="s">
        <v>91</v>
      </c>
      <c r="C9" s="26" t="s">
        <v>92</v>
      </c>
      <c r="D9" s="26" t="s">
        <v>93</v>
      </c>
      <c r="E9" s="27" t="s">
        <v>94</v>
      </c>
      <c r="F9" s="28"/>
      <c r="G9" s="29"/>
      <c r="H9" s="30"/>
      <c r="I9" s="30"/>
      <c r="J9" s="31" t="s">
        <v>95</v>
      </c>
      <c r="K9" s="26" t="s">
        <v>96</v>
      </c>
    </row>
    <row r="10" ht="19.5" customHeight="1">
      <c r="A10" s="32"/>
      <c r="B10" s="32"/>
      <c r="C10" s="32"/>
      <c r="D10" s="32"/>
      <c r="E10" s="33" t="s">
        <v>97</v>
      </c>
      <c r="F10" s="34" t="s">
        <v>121</v>
      </c>
      <c r="G10" s="34" t="s">
        <v>99</v>
      </c>
      <c r="H10" s="35" t="s">
        <v>100</v>
      </c>
      <c r="I10" s="35" t="s">
        <v>101</v>
      </c>
      <c r="J10" s="32"/>
      <c r="K10" s="32"/>
    </row>
    <row r="11" ht="19.5" customHeight="1">
      <c r="A11" s="46">
        <v>1.0</v>
      </c>
      <c r="B11" s="37" t="s">
        <v>147</v>
      </c>
      <c r="C11" s="46" t="s">
        <v>148</v>
      </c>
      <c r="D11" s="78">
        <v>4.0</v>
      </c>
      <c r="E11" s="37">
        <v>2.0</v>
      </c>
      <c r="F11" s="40">
        <v>4.0</v>
      </c>
      <c r="G11" s="40">
        <v>4.0</v>
      </c>
      <c r="H11" s="40">
        <f>G11*F11*E11*D11</f>
        <v>128</v>
      </c>
      <c r="I11" s="42"/>
      <c r="J11" s="43">
        <f t="shared" ref="J11:J13" si="1">H11-I11</f>
        <v>128</v>
      </c>
      <c r="K11" s="46"/>
    </row>
    <row r="12" ht="19.5" customHeight="1">
      <c r="A12" s="46"/>
      <c r="B12" s="37"/>
      <c r="C12" s="46"/>
      <c r="D12" s="78"/>
      <c r="E12" s="37"/>
      <c r="F12" s="40"/>
      <c r="G12" s="40" t="s">
        <v>1858</v>
      </c>
      <c r="H12" s="40"/>
      <c r="I12" s="42"/>
      <c r="J12" s="43">
        <f t="shared" si="1"/>
        <v>0</v>
      </c>
      <c r="K12" s="79"/>
    </row>
    <row r="13" ht="19.5" customHeight="1">
      <c r="A13" s="46"/>
      <c r="B13" s="37"/>
      <c r="C13" s="46"/>
      <c r="D13" s="78"/>
      <c r="E13" s="37"/>
      <c r="F13" s="40"/>
      <c r="G13" s="40"/>
      <c r="H13" s="40"/>
      <c r="I13" s="42"/>
      <c r="J13" s="43">
        <f t="shared" si="1"/>
        <v>0</v>
      </c>
      <c r="K13" s="79"/>
    </row>
    <row r="14" ht="19.5" customHeight="1">
      <c r="A14" s="74" t="s">
        <v>1</v>
      </c>
      <c r="B14" s="74" t="s">
        <v>91</v>
      </c>
      <c r="C14" s="74" t="s">
        <v>92</v>
      </c>
      <c r="D14" s="74" t="s">
        <v>93</v>
      </c>
      <c r="E14" s="50" t="s">
        <v>97</v>
      </c>
      <c r="F14" s="53" t="s">
        <v>121</v>
      </c>
      <c r="G14" s="53" t="s">
        <v>99</v>
      </c>
      <c r="H14" s="75" t="s">
        <v>100</v>
      </c>
      <c r="I14" s="75" t="s">
        <v>101</v>
      </c>
      <c r="J14" s="76" t="s">
        <v>95</v>
      </c>
      <c r="K14" s="74" t="s">
        <v>96</v>
      </c>
    </row>
    <row r="15" ht="19.5" customHeight="1">
      <c r="A15" s="46">
        <v>1.0</v>
      </c>
      <c r="B15" s="37" t="s">
        <v>1320</v>
      </c>
      <c r="C15" s="46" t="s">
        <v>148</v>
      </c>
      <c r="D15" s="78">
        <v>4.0</v>
      </c>
      <c r="E15" s="37">
        <v>0.15</v>
      </c>
      <c r="F15" s="78">
        <v>4.0</v>
      </c>
      <c r="G15" s="40">
        <v>4.0</v>
      </c>
      <c r="H15" s="40">
        <f>G15*F15*E15*D15</f>
        <v>9.6</v>
      </c>
      <c r="I15" s="42"/>
      <c r="J15" s="264">
        <f>SUM(H15:H16)</f>
        <v>9.6</v>
      </c>
      <c r="K15" s="46"/>
    </row>
    <row r="16" ht="19.5" customHeight="1">
      <c r="A16" s="46"/>
      <c r="B16" s="37"/>
      <c r="C16" s="46"/>
      <c r="D16" s="78"/>
      <c r="E16" s="37"/>
      <c r="F16" s="78"/>
      <c r="G16" s="40"/>
      <c r="H16" s="40"/>
      <c r="I16" s="42"/>
      <c r="J16" s="32"/>
      <c r="K16" s="46"/>
    </row>
    <row r="17" ht="19.5" customHeight="1">
      <c r="A17" s="74" t="s">
        <v>1</v>
      </c>
      <c r="B17" s="74" t="s">
        <v>91</v>
      </c>
      <c r="C17" s="74" t="s">
        <v>92</v>
      </c>
      <c r="D17" s="74" t="s">
        <v>93</v>
      </c>
      <c r="E17" s="50" t="s">
        <v>97</v>
      </c>
      <c r="F17" s="53" t="s">
        <v>121</v>
      </c>
      <c r="G17" s="53" t="s">
        <v>99</v>
      </c>
      <c r="H17" s="75" t="s">
        <v>100</v>
      </c>
      <c r="I17" s="75" t="s">
        <v>101</v>
      </c>
      <c r="J17" s="76" t="s">
        <v>95</v>
      </c>
      <c r="K17" s="74" t="s">
        <v>96</v>
      </c>
    </row>
    <row r="18" ht="19.5" customHeight="1">
      <c r="A18" s="46">
        <v>1.0</v>
      </c>
      <c r="B18" s="37" t="s">
        <v>345</v>
      </c>
      <c r="C18" s="46" t="s">
        <v>148</v>
      </c>
      <c r="D18" s="78"/>
      <c r="E18" s="37"/>
      <c r="F18" s="78"/>
      <c r="G18" s="40"/>
      <c r="H18" s="40"/>
      <c r="I18" s="42"/>
      <c r="J18" s="40"/>
      <c r="K18" s="46"/>
    </row>
    <row r="19" ht="19.5" customHeight="1">
      <c r="A19" s="46"/>
      <c r="B19" s="37"/>
      <c r="C19" s="46"/>
      <c r="D19" s="78"/>
      <c r="E19" s="37"/>
      <c r="F19" s="78"/>
      <c r="G19" s="40"/>
      <c r="H19" s="40"/>
      <c r="I19" s="42"/>
      <c r="J19" s="43">
        <f>SUM(H18:H19)</f>
        <v>0</v>
      </c>
      <c r="K19" s="46"/>
    </row>
    <row r="20" ht="19.5" customHeight="1">
      <c r="A20" s="74" t="s">
        <v>1</v>
      </c>
      <c r="B20" s="74" t="s">
        <v>91</v>
      </c>
      <c r="C20" s="74" t="s">
        <v>92</v>
      </c>
      <c r="D20" s="74" t="s">
        <v>93</v>
      </c>
      <c r="E20" s="50" t="s">
        <v>347</v>
      </c>
      <c r="F20" s="53" t="s">
        <v>121</v>
      </c>
      <c r="G20" s="53" t="s">
        <v>99</v>
      </c>
      <c r="H20" s="75" t="s">
        <v>100</v>
      </c>
      <c r="I20" s="75" t="s">
        <v>101</v>
      </c>
      <c r="J20" s="76" t="s">
        <v>95</v>
      </c>
      <c r="K20" s="74" t="s">
        <v>96</v>
      </c>
    </row>
    <row r="21" ht="19.5" customHeight="1">
      <c r="A21" s="46">
        <v>1.0</v>
      </c>
      <c r="B21" s="37" t="s">
        <v>912</v>
      </c>
      <c r="C21" s="46" t="s">
        <v>103</v>
      </c>
      <c r="D21" s="78"/>
      <c r="E21" s="37"/>
      <c r="F21" s="40"/>
      <c r="G21" s="40"/>
      <c r="H21" s="40"/>
      <c r="I21" s="42"/>
      <c r="J21" s="107"/>
      <c r="K21" s="46" t="s">
        <v>1322</v>
      </c>
    </row>
    <row r="22" ht="19.5" customHeight="1">
      <c r="A22" s="74" t="s">
        <v>1</v>
      </c>
      <c r="B22" s="74" t="s">
        <v>91</v>
      </c>
      <c r="C22" s="74" t="s">
        <v>92</v>
      </c>
      <c r="D22" s="74" t="s">
        <v>93</v>
      </c>
      <c r="E22" s="50" t="s">
        <v>187</v>
      </c>
      <c r="F22" s="53"/>
      <c r="G22" s="53"/>
      <c r="H22" s="75" t="s">
        <v>100</v>
      </c>
      <c r="I22" s="75" t="s">
        <v>101</v>
      </c>
      <c r="J22" s="76" t="s">
        <v>95</v>
      </c>
      <c r="K22" s="74" t="s">
        <v>96</v>
      </c>
    </row>
    <row r="23" ht="19.5" customHeight="1">
      <c r="A23" s="46">
        <v>1.0</v>
      </c>
      <c r="B23" s="37" t="s">
        <v>1323</v>
      </c>
      <c r="C23" s="46" t="s">
        <v>158</v>
      </c>
      <c r="D23" s="78" t="str">
        <f>D21</f>
        <v/>
      </c>
      <c r="E23" s="37">
        <v>100.0</v>
      </c>
      <c r="F23" s="40"/>
      <c r="G23" s="40"/>
      <c r="H23" s="40">
        <f>E23*D23</f>
        <v>0</v>
      </c>
      <c r="I23" s="42"/>
      <c r="J23" s="43">
        <f>H23-I23</f>
        <v>0</v>
      </c>
      <c r="K23" s="46" t="s">
        <v>355</v>
      </c>
    </row>
    <row r="24" ht="19.5" customHeight="1">
      <c r="A24" s="50" t="s">
        <v>1</v>
      </c>
      <c r="B24" s="50" t="s">
        <v>91</v>
      </c>
      <c r="C24" s="50" t="s">
        <v>92</v>
      </c>
      <c r="D24" s="50" t="s">
        <v>93</v>
      </c>
      <c r="E24" s="50" t="s">
        <v>97</v>
      </c>
      <c r="F24" s="53" t="s">
        <v>121</v>
      </c>
      <c r="G24" s="53" t="s">
        <v>99</v>
      </c>
      <c r="H24" s="53" t="s">
        <v>100</v>
      </c>
      <c r="I24" s="53" t="s">
        <v>101</v>
      </c>
      <c r="J24" s="53" t="s">
        <v>95</v>
      </c>
      <c r="K24" s="50" t="s">
        <v>96</v>
      </c>
    </row>
    <row r="25" ht="19.5" customHeight="1">
      <c r="A25" s="46">
        <v>1.0</v>
      </c>
      <c r="B25" s="416" t="s">
        <v>1337</v>
      </c>
      <c r="C25" s="46" t="s">
        <v>108</v>
      </c>
      <c r="D25" s="78">
        <v>1.0</v>
      </c>
      <c r="E25" s="37"/>
      <c r="F25" s="78"/>
      <c r="G25" s="40"/>
      <c r="H25" s="40"/>
      <c r="I25" s="42"/>
      <c r="J25" s="43">
        <f t="shared" ref="J25:J29" si="2">D25</f>
        <v>1</v>
      </c>
      <c r="K25" s="46"/>
    </row>
    <row r="26" ht="19.5" customHeight="1">
      <c r="A26" s="46">
        <v>2.0</v>
      </c>
      <c r="B26" s="416" t="s">
        <v>1338</v>
      </c>
      <c r="C26" s="46" t="s">
        <v>108</v>
      </c>
      <c r="D26" s="78">
        <v>1.0</v>
      </c>
      <c r="E26" s="37"/>
      <c r="F26" s="78"/>
      <c r="G26" s="40"/>
      <c r="H26" s="40"/>
      <c r="I26" s="42"/>
      <c r="J26" s="43">
        <f t="shared" si="2"/>
        <v>1</v>
      </c>
      <c r="K26" s="46"/>
    </row>
    <row r="27" ht="19.5" customHeight="1">
      <c r="A27" s="46">
        <v>3.0</v>
      </c>
      <c r="B27" s="416" t="s">
        <v>1339</v>
      </c>
      <c r="C27" s="46" t="s">
        <v>106</v>
      </c>
      <c r="D27" s="78">
        <v>1.0</v>
      </c>
      <c r="E27" s="37"/>
      <c r="F27" s="78"/>
      <c r="G27" s="40"/>
      <c r="H27" s="40"/>
      <c r="I27" s="42"/>
      <c r="J27" s="43">
        <f t="shared" si="2"/>
        <v>1</v>
      </c>
      <c r="K27" s="40"/>
    </row>
    <row r="28" ht="19.5" customHeight="1">
      <c r="A28" s="46">
        <v>3.0</v>
      </c>
      <c r="B28" s="416" t="s">
        <v>1340</v>
      </c>
      <c r="C28" s="46" t="s">
        <v>106</v>
      </c>
      <c r="D28" s="78">
        <v>6.0</v>
      </c>
      <c r="E28" s="37"/>
      <c r="F28" s="78"/>
      <c r="G28" s="40"/>
      <c r="H28" s="40"/>
      <c r="I28" s="42"/>
      <c r="J28" s="43">
        <f t="shared" si="2"/>
        <v>6</v>
      </c>
      <c r="K28" s="40"/>
    </row>
    <row r="29" ht="19.5" customHeight="1">
      <c r="A29" s="46">
        <v>3.0</v>
      </c>
      <c r="B29" s="416" t="s">
        <v>1341</v>
      </c>
      <c r="C29" s="46" t="s">
        <v>1342</v>
      </c>
      <c r="D29" s="78">
        <v>1.0</v>
      </c>
      <c r="E29" s="37"/>
      <c r="F29" s="78"/>
      <c r="G29" s="40"/>
      <c r="H29" s="40"/>
      <c r="I29" s="42"/>
      <c r="J29" s="43">
        <f t="shared" si="2"/>
        <v>1</v>
      </c>
      <c r="K29" s="40"/>
    </row>
    <row r="30" ht="19.5" customHeight="1">
      <c r="A30" s="12"/>
      <c r="C30" s="12"/>
      <c r="D30" s="13"/>
      <c r="F30" s="14"/>
      <c r="G30" s="14"/>
      <c r="H30" s="14"/>
      <c r="I30" s="14"/>
      <c r="J30" s="14"/>
      <c r="K30" s="12"/>
    </row>
    <row r="31" ht="19.5" customHeight="1">
      <c r="A31" s="74" t="s">
        <v>1</v>
      </c>
      <c r="B31" s="74" t="s">
        <v>91</v>
      </c>
      <c r="C31" s="74" t="s">
        <v>92</v>
      </c>
      <c r="D31" s="74" t="s">
        <v>93</v>
      </c>
      <c r="E31" s="50" t="s">
        <v>97</v>
      </c>
      <c r="F31" s="53" t="s">
        <v>121</v>
      </c>
      <c r="G31" s="53" t="s">
        <v>99</v>
      </c>
      <c r="H31" s="53" t="s">
        <v>100</v>
      </c>
      <c r="I31" s="53" t="s">
        <v>101</v>
      </c>
      <c r="J31" s="53" t="s">
        <v>95</v>
      </c>
      <c r="K31" s="50" t="s">
        <v>96</v>
      </c>
    </row>
    <row r="32" ht="19.5" customHeight="1">
      <c r="A32" s="46">
        <v>1.0</v>
      </c>
      <c r="B32" s="37" t="s">
        <v>1343</v>
      </c>
      <c r="C32" s="46" t="s">
        <v>103</v>
      </c>
      <c r="D32" s="78">
        <v>1.0</v>
      </c>
      <c r="E32" s="37">
        <v>1.0</v>
      </c>
      <c r="F32" s="78">
        <v>1.0</v>
      </c>
      <c r="G32" s="40">
        <v>1.0</v>
      </c>
      <c r="H32" s="40">
        <v>1.0</v>
      </c>
      <c r="I32" s="42"/>
      <c r="J32" s="40"/>
      <c r="K32" s="46"/>
    </row>
    <row r="33" ht="19.5" customHeight="1">
      <c r="A33" s="46"/>
      <c r="B33" s="37"/>
      <c r="C33" s="46"/>
      <c r="D33" s="78"/>
      <c r="E33" s="37"/>
      <c r="F33" s="78"/>
      <c r="G33" s="40"/>
      <c r="H33" s="40"/>
      <c r="I33" s="42"/>
      <c r="J33" s="43">
        <f>SUM(H32:H33)</f>
        <v>1</v>
      </c>
      <c r="K33" s="46"/>
    </row>
    <row r="34" ht="19.5" customHeight="1">
      <c r="A34" s="12"/>
      <c r="C34" s="12"/>
      <c r="D34" s="13"/>
      <c r="F34" s="14"/>
      <c r="G34" s="14"/>
      <c r="H34" s="14"/>
      <c r="I34" s="14"/>
      <c r="J34" s="14"/>
      <c r="K34" s="12"/>
    </row>
    <row r="35" ht="19.5" customHeight="1">
      <c r="A35" s="74" t="s">
        <v>1</v>
      </c>
      <c r="B35" s="74" t="s">
        <v>91</v>
      </c>
      <c r="C35" s="74" t="s">
        <v>92</v>
      </c>
      <c r="D35" s="74" t="s">
        <v>93</v>
      </c>
      <c r="E35" s="50" t="s">
        <v>97</v>
      </c>
      <c r="F35" s="53" t="s">
        <v>121</v>
      </c>
      <c r="G35" s="53" t="s">
        <v>99</v>
      </c>
      <c r="H35" s="53" t="s">
        <v>100</v>
      </c>
      <c r="I35" s="53" t="s">
        <v>101</v>
      </c>
      <c r="J35" s="53" t="s">
        <v>95</v>
      </c>
      <c r="K35" s="50" t="s">
        <v>96</v>
      </c>
    </row>
    <row r="36" ht="19.5" customHeight="1">
      <c r="A36" s="46">
        <v>1.0</v>
      </c>
      <c r="B36" s="37" t="s">
        <v>1778</v>
      </c>
      <c r="C36" s="46" t="s">
        <v>103</v>
      </c>
      <c r="D36" s="78">
        <v>4.0</v>
      </c>
      <c r="E36" s="37">
        <v>1.0</v>
      </c>
      <c r="F36" s="78">
        <v>10.0</v>
      </c>
      <c r="G36" s="40">
        <v>10.0</v>
      </c>
      <c r="H36" s="40">
        <f>F36*E36*D36</f>
        <v>40</v>
      </c>
      <c r="I36" s="42"/>
      <c r="J36" s="327">
        <f>SUM(H36:H37)</f>
        <v>40</v>
      </c>
      <c r="K36" s="46"/>
    </row>
    <row r="37" ht="19.5" customHeight="1">
      <c r="A37" s="46"/>
      <c r="B37" s="37"/>
      <c r="C37" s="46"/>
      <c r="D37" s="78"/>
      <c r="E37" s="37"/>
      <c r="F37" s="78"/>
      <c r="G37" s="40"/>
      <c r="H37" s="40"/>
      <c r="I37" s="42"/>
      <c r="J37" s="32"/>
      <c r="K37" s="46"/>
    </row>
    <row r="38" ht="19.5" customHeight="1">
      <c r="A38" s="12"/>
      <c r="C38" s="12"/>
      <c r="D38" s="13"/>
      <c r="F38" s="14"/>
      <c r="G38" s="14"/>
      <c r="H38" s="14"/>
      <c r="I38" s="14"/>
      <c r="J38" s="14"/>
      <c r="K38" s="12"/>
    </row>
    <row r="39" ht="19.5" customHeight="1">
      <c r="A39" s="12"/>
      <c r="C39" s="12"/>
      <c r="D39" s="13"/>
      <c r="F39" s="14"/>
      <c r="G39" s="14"/>
      <c r="H39" s="14"/>
      <c r="I39" s="14"/>
      <c r="J39" s="14"/>
      <c r="K39" s="12"/>
    </row>
    <row r="40" ht="19.5" customHeight="1">
      <c r="A40" s="12"/>
      <c r="C40" s="12"/>
      <c r="D40" s="13"/>
      <c r="F40" s="14"/>
      <c r="G40" s="14"/>
      <c r="H40" s="14"/>
      <c r="I40" s="14"/>
      <c r="J40" s="14"/>
      <c r="K40" s="12"/>
    </row>
    <row r="41" ht="19.5" customHeight="1">
      <c r="A41" s="12"/>
      <c r="C41" s="12"/>
      <c r="D41" s="13"/>
      <c r="F41" s="14"/>
      <c r="G41" s="14"/>
      <c r="H41" s="14"/>
      <c r="I41" s="14"/>
      <c r="J41" s="14"/>
      <c r="K41" s="12"/>
    </row>
    <row r="42" ht="19.5" customHeight="1">
      <c r="A42" s="12"/>
      <c r="C42" s="12"/>
      <c r="D42" s="13"/>
      <c r="F42" s="14"/>
      <c r="G42" s="14"/>
      <c r="H42" s="14"/>
      <c r="I42" s="14"/>
      <c r="J42" s="14"/>
      <c r="K42" s="12"/>
    </row>
    <row r="43" ht="19.5" customHeight="1">
      <c r="A43" s="12"/>
      <c r="C43" s="12"/>
      <c r="D43" s="13"/>
      <c r="F43" s="14"/>
      <c r="G43" s="14"/>
      <c r="H43" s="14"/>
      <c r="I43" s="14"/>
      <c r="J43" s="14"/>
      <c r="K43" s="12"/>
    </row>
    <row r="44" ht="19.5" customHeight="1">
      <c r="A44" s="12"/>
      <c r="C44" s="12"/>
      <c r="D44" s="13"/>
      <c r="F44" s="14"/>
      <c r="G44" s="14"/>
      <c r="H44" s="14"/>
      <c r="I44" s="14"/>
      <c r="J44" s="14"/>
      <c r="K44" s="12"/>
    </row>
    <row r="45" ht="19.5" customHeight="1">
      <c r="A45" s="12"/>
      <c r="C45" s="12"/>
      <c r="D45" s="13"/>
      <c r="F45" s="14"/>
      <c r="G45" s="14"/>
      <c r="H45" s="14"/>
      <c r="I45" s="14"/>
      <c r="J45" s="14"/>
      <c r="K45" s="12"/>
    </row>
    <row r="46" ht="19.5" customHeight="1">
      <c r="A46" s="12"/>
      <c r="C46" s="12"/>
      <c r="D46" s="13"/>
      <c r="F46" s="14"/>
      <c r="G46" s="14"/>
      <c r="H46" s="14"/>
      <c r="I46" s="14"/>
      <c r="J46" s="14"/>
      <c r="K46" s="12"/>
    </row>
    <row r="47" ht="19.5" customHeight="1">
      <c r="A47" s="12"/>
      <c r="C47" s="12"/>
      <c r="D47" s="13"/>
      <c r="F47" s="14"/>
      <c r="G47" s="14"/>
      <c r="H47" s="14"/>
      <c r="I47" s="14"/>
      <c r="J47" s="14"/>
      <c r="K47" s="12"/>
    </row>
    <row r="48" ht="19.5" customHeight="1">
      <c r="A48" s="12"/>
      <c r="C48" s="12"/>
      <c r="D48" s="13"/>
      <c r="F48" s="14"/>
      <c r="G48" s="14"/>
      <c r="H48" s="14"/>
      <c r="I48" s="14"/>
      <c r="J48" s="14"/>
      <c r="K48" s="12"/>
    </row>
    <row r="49" ht="19.5" customHeight="1">
      <c r="A49" s="12"/>
      <c r="C49" s="12"/>
      <c r="D49" s="13"/>
      <c r="F49" s="14"/>
      <c r="G49" s="14"/>
      <c r="H49" s="14"/>
      <c r="I49" s="14"/>
      <c r="J49" s="14"/>
      <c r="K49" s="12"/>
    </row>
    <row r="50" ht="19.5" customHeight="1">
      <c r="A50" s="12"/>
      <c r="C50" s="12"/>
      <c r="D50" s="13"/>
      <c r="F50" s="14"/>
      <c r="G50" s="14"/>
      <c r="H50" s="14"/>
      <c r="I50" s="14"/>
      <c r="J50" s="14"/>
      <c r="K50" s="12"/>
    </row>
    <row r="51" ht="19.5" customHeight="1">
      <c r="A51" s="12"/>
      <c r="C51" s="12"/>
      <c r="D51" s="13"/>
      <c r="F51" s="14"/>
      <c r="G51" s="14"/>
      <c r="H51" s="14"/>
      <c r="I51" s="14"/>
      <c r="J51" s="14"/>
      <c r="K51" s="12"/>
    </row>
    <row r="52" ht="19.5" customHeight="1">
      <c r="A52" s="12"/>
      <c r="C52" s="12"/>
      <c r="D52" s="13"/>
      <c r="F52" s="14"/>
      <c r="G52" s="14"/>
      <c r="H52" s="14"/>
      <c r="I52" s="14"/>
      <c r="J52" s="14"/>
      <c r="K52" s="12"/>
    </row>
    <row r="53" ht="19.5" customHeight="1">
      <c r="A53" s="12"/>
      <c r="C53" s="12"/>
      <c r="D53" s="13"/>
      <c r="F53" s="14"/>
      <c r="G53" s="14"/>
      <c r="H53" s="14"/>
      <c r="I53" s="14"/>
      <c r="J53" s="14"/>
      <c r="K53" s="12"/>
    </row>
    <row r="54" ht="19.5" customHeight="1">
      <c r="A54" s="12"/>
      <c r="C54" s="12"/>
      <c r="D54" s="13"/>
      <c r="F54" s="14"/>
      <c r="G54" s="14"/>
      <c r="H54" s="14"/>
      <c r="I54" s="14"/>
      <c r="J54" s="14"/>
      <c r="K54" s="12"/>
    </row>
    <row r="55" ht="19.5" customHeight="1">
      <c r="A55" s="12"/>
      <c r="C55" s="12"/>
      <c r="D55" s="13"/>
      <c r="F55" s="14"/>
      <c r="G55" s="14"/>
      <c r="H55" s="14"/>
      <c r="I55" s="14"/>
      <c r="J55" s="14"/>
      <c r="K55" s="12"/>
    </row>
    <row r="56" ht="19.5" customHeight="1">
      <c r="A56" s="12"/>
      <c r="C56" s="12"/>
      <c r="D56" s="13"/>
      <c r="F56" s="14"/>
      <c r="G56" s="14"/>
      <c r="H56" s="14"/>
      <c r="I56" s="14"/>
      <c r="J56" s="14"/>
      <c r="K56" s="12"/>
    </row>
    <row r="57" ht="19.5" customHeight="1">
      <c r="A57" s="12"/>
      <c r="C57" s="12"/>
      <c r="D57" s="13"/>
      <c r="F57" s="14"/>
      <c r="G57" s="14"/>
      <c r="H57" s="14"/>
      <c r="I57" s="14"/>
      <c r="J57" s="14"/>
      <c r="K57" s="12"/>
    </row>
    <row r="58" ht="19.5" customHeight="1">
      <c r="A58" s="12"/>
      <c r="C58" s="12"/>
      <c r="D58" s="13"/>
      <c r="F58" s="14"/>
      <c r="G58" s="14"/>
      <c r="H58" s="14"/>
      <c r="I58" s="14"/>
      <c r="J58" s="14"/>
      <c r="K58" s="12"/>
    </row>
    <row r="59" ht="19.5" customHeight="1">
      <c r="A59" s="12"/>
      <c r="C59" s="12"/>
      <c r="D59" s="13"/>
      <c r="F59" s="14"/>
      <c r="G59" s="14"/>
      <c r="H59" s="14"/>
      <c r="I59" s="14"/>
      <c r="J59" s="14"/>
      <c r="K59" s="12"/>
    </row>
    <row r="60" ht="19.5" customHeight="1">
      <c r="A60" s="12"/>
      <c r="C60" s="12"/>
      <c r="D60" s="13"/>
      <c r="F60" s="14"/>
      <c r="G60" s="14"/>
      <c r="H60" s="14"/>
      <c r="I60" s="14"/>
      <c r="J60" s="14"/>
      <c r="K60" s="12"/>
    </row>
    <row r="61" ht="19.5" customHeight="1">
      <c r="A61" s="12"/>
      <c r="C61" s="12"/>
      <c r="D61" s="13"/>
      <c r="F61" s="14"/>
      <c r="G61" s="14"/>
      <c r="H61" s="14"/>
      <c r="I61" s="14"/>
      <c r="J61" s="14"/>
      <c r="K61" s="12"/>
    </row>
    <row r="62" ht="19.5" customHeight="1">
      <c r="A62" s="12"/>
      <c r="C62" s="12"/>
      <c r="D62" s="13"/>
      <c r="F62" s="14"/>
      <c r="G62" s="14"/>
      <c r="H62" s="14"/>
      <c r="I62" s="14"/>
      <c r="J62" s="14"/>
      <c r="K62" s="12"/>
    </row>
    <row r="63" ht="19.5" customHeight="1">
      <c r="A63" s="12"/>
      <c r="C63" s="12"/>
      <c r="D63" s="13"/>
      <c r="F63" s="14"/>
      <c r="G63" s="14"/>
      <c r="H63" s="14"/>
      <c r="I63" s="14"/>
      <c r="J63" s="14"/>
      <c r="K63" s="12"/>
    </row>
    <row r="64" ht="19.5" customHeight="1">
      <c r="A64" s="12"/>
      <c r="C64" s="12"/>
      <c r="D64" s="13"/>
      <c r="F64" s="14"/>
      <c r="G64" s="14"/>
      <c r="H64" s="14"/>
      <c r="I64" s="14"/>
      <c r="J64" s="14"/>
      <c r="K64" s="12"/>
    </row>
    <row r="65" ht="19.5" customHeight="1">
      <c r="A65" s="12"/>
      <c r="C65" s="12"/>
      <c r="D65" s="13"/>
      <c r="F65" s="14"/>
      <c r="G65" s="14"/>
      <c r="H65" s="14"/>
      <c r="I65" s="14"/>
      <c r="J65" s="14"/>
      <c r="K65" s="12"/>
    </row>
    <row r="66" ht="19.5" customHeight="1">
      <c r="A66" s="12"/>
      <c r="C66" s="12"/>
      <c r="D66" s="13"/>
      <c r="F66" s="14"/>
      <c r="G66" s="14"/>
      <c r="H66" s="14"/>
      <c r="I66" s="14"/>
      <c r="J66" s="14"/>
      <c r="K66" s="12"/>
    </row>
    <row r="67" ht="19.5" customHeight="1">
      <c r="A67" s="12"/>
      <c r="C67" s="12"/>
      <c r="D67" s="13"/>
      <c r="F67" s="14"/>
      <c r="G67" s="14"/>
      <c r="H67" s="14"/>
      <c r="I67" s="14"/>
      <c r="J67" s="14"/>
      <c r="K67" s="12"/>
    </row>
    <row r="68" ht="19.5" customHeight="1">
      <c r="A68" s="12"/>
      <c r="C68" s="12"/>
      <c r="D68" s="13"/>
      <c r="F68" s="14"/>
      <c r="G68" s="14"/>
      <c r="H68" s="14"/>
      <c r="I68" s="14"/>
      <c r="J68" s="14"/>
      <c r="K68" s="12"/>
    </row>
    <row r="69" ht="19.5" customHeight="1">
      <c r="A69" s="12"/>
      <c r="C69" s="12"/>
      <c r="D69" s="13"/>
      <c r="F69" s="14"/>
      <c r="G69" s="14"/>
      <c r="H69" s="14"/>
      <c r="I69" s="14"/>
      <c r="J69" s="14"/>
      <c r="K69" s="12"/>
    </row>
    <row r="70" ht="19.5" customHeight="1">
      <c r="A70" s="12"/>
      <c r="C70" s="12"/>
      <c r="D70" s="13"/>
      <c r="F70" s="14"/>
      <c r="G70" s="14"/>
      <c r="H70" s="14"/>
      <c r="I70" s="14"/>
      <c r="J70" s="14"/>
      <c r="K70" s="12"/>
    </row>
    <row r="71" ht="19.5" customHeight="1">
      <c r="A71" s="12"/>
      <c r="C71" s="12"/>
      <c r="D71" s="13"/>
      <c r="F71" s="14"/>
      <c r="G71" s="14"/>
      <c r="H71" s="14"/>
      <c r="I71" s="14"/>
      <c r="J71" s="14"/>
      <c r="K71" s="12"/>
    </row>
    <row r="72" ht="19.5" customHeight="1">
      <c r="A72" s="12"/>
      <c r="C72" s="12"/>
      <c r="D72" s="13"/>
      <c r="F72" s="14"/>
      <c r="G72" s="14"/>
      <c r="H72" s="14"/>
      <c r="I72" s="14"/>
      <c r="J72" s="14"/>
      <c r="K72" s="12"/>
    </row>
    <row r="73" ht="19.5" customHeight="1">
      <c r="A73" s="12"/>
      <c r="C73" s="12"/>
      <c r="D73" s="13"/>
      <c r="F73" s="14"/>
      <c r="G73" s="14"/>
      <c r="H73" s="14"/>
      <c r="I73" s="14"/>
      <c r="J73" s="14"/>
      <c r="K73" s="12"/>
    </row>
    <row r="74" ht="19.5" customHeight="1">
      <c r="A74" s="12"/>
      <c r="C74" s="12"/>
      <c r="D74" s="13"/>
      <c r="F74" s="14"/>
      <c r="G74" s="14"/>
      <c r="H74" s="14"/>
      <c r="I74" s="14"/>
      <c r="J74" s="14"/>
      <c r="K74" s="12"/>
    </row>
    <row r="75" ht="19.5" customHeight="1">
      <c r="A75" s="12"/>
      <c r="C75" s="12"/>
      <c r="D75" s="13"/>
      <c r="F75" s="14"/>
      <c r="G75" s="14"/>
      <c r="H75" s="14"/>
      <c r="I75" s="14"/>
      <c r="J75" s="14"/>
      <c r="K75" s="12"/>
    </row>
    <row r="76" ht="19.5" customHeight="1">
      <c r="A76" s="12"/>
      <c r="C76" s="12"/>
      <c r="D76" s="13"/>
      <c r="F76" s="14"/>
      <c r="G76" s="14"/>
      <c r="H76" s="14"/>
      <c r="I76" s="14"/>
      <c r="J76" s="14"/>
      <c r="K76" s="12"/>
    </row>
    <row r="77" ht="19.5" customHeight="1">
      <c r="A77" s="12"/>
      <c r="C77" s="12"/>
      <c r="D77" s="13"/>
      <c r="F77" s="14"/>
      <c r="G77" s="14"/>
      <c r="H77" s="14"/>
      <c r="I77" s="14"/>
      <c r="J77" s="14"/>
      <c r="K77" s="12"/>
    </row>
    <row r="78" ht="19.5" customHeight="1">
      <c r="A78" s="12"/>
      <c r="C78" s="12"/>
      <c r="D78" s="13"/>
      <c r="F78" s="14"/>
      <c r="G78" s="14"/>
      <c r="H78" s="14"/>
      <c r="I78" s="14"/>
      <c r="J78" s="14"/>
      <c r="K78" s="12"/>
    </row>
    <row r="79" ht="19.5" customHeight="1">
      <c r="A79" s="12"/>
      <c r="C79" s="12"/>
      <c r="D79" s="13"/>
      <c r="F79" s="14"/>
      <c r="G79" s="14"/>
      <c r="H79" s="14"/>
      <c r="I79" s="14"/>
      <c r="J79" s="14"/>
      <c r="K79" s="12"/>
    </row>
    <row r="80" ht="19.5" customHeight="1">
      <c r="A80" s="12"/>
      <c r="C80" s="12"/>
      <c r="D80" s="13"/>
      <c r="F80" s="14"/>
      <c r="G80" s="14"/>
      <c r="H80" s="14"/>
      <c r="I80" s="14"/>
      <c r="J80" s="14"/>
      <c r="K80" s="12"/>
    </row>
    <row r="81" ht="19.5" customHeight="1">
      <c r="A81" s="12"/>
      <c r="C81" s="12"/>
      <c r="D81" s="13"/>
      <c r="F81" s="14"/>
      <c r="G81" s="14"/>
      <c r="H81" s="14"/>
      <c r="I81" s="14"/>
      <c r="J81" s="14"/>
      <c r="K81" s="12"/>
    </row>
    <row r="82" ht="19.5" customHeight="1">
      <c r="A82" s="12"/>
      <c r="C82" s="12"/>
      <c r="D82" s="13"/>
      <c r="F82" s="14"/>
      <c r="G82" s="14"/>
      <c r="H82" s="14"/>
      <c r="I82" s="14"/>
      <c r="J82" s="14"/>
      <c r="K82" s="12"/>
    </row>
    <row r="83" ht="19.5" customHeight="1">
      <c r="A83" s="12"/>
      <c r="C83" s="12"/>
      <c r="D83" s="13"/>
      <c r="F83" s="14"/>
      <c r="G83" s="14"/>
      <c r="H83" s="14"/>
      <c r="I83" s="14"/>
      <c r="J83" s="14"/>
      <c r="K83" s="12"/>
    </row>
    <row r="84" ht="19.5" customHeight="1">
      <c r="A84" s="12"/>
      <c r="C84" s="12"/>
      <c r="D84" s="13"/>
      <c r="F84" s="14"/>
      <c r="G84" s="14"/>
      <c r="H84" s="14"/>
      <c r="I84" s="14"/>
      <c r="J84" s="14"/>
      <c r="K84" s="12"/>
    </row>
    <row r="85" ht="19.5" customHeight="1">
      <c r="A85" s="12"/>
      <c r="C85" s="12"/>
      <c r="D85" s="13"/>
      <c r="F85" s="14"/>
      <c r="G85" s="14"/>
      <c r="H85" s="14"/>
      <c r="I85" s="14"/>
      <c r="J85" s="14"/>
      <c r="K85" s="12"/>
    </row>
    <row r="86" ht="19.5" customHeight="1">
      <c r="A86" s="12"/>
      <c r="C86" s="12"/>
      <c r="D86" s="13"/>
      <c r="F86" s="14"/>
      <c r="G86" s="14"/>
      <c r="H86" s="14"/>
      <c r="I86" s="14"/>
      <c r="J86" s="14"/>
      <c r="K86" s="12"/>
    </row>
    <row r="87" ht="19.5" customHeight="1">
      <c r="A87" s="12"/>
      <c r="C87" s="12"/>
      <c r="D87" s="13"/>
      <c r="F87" s="14"/>
      <c r="G87" s="14"/>
      <c r="H87" s="14"/>
      <c r="I87" s="14"/>
      <c r="J87" s="14"/>
      <c r="K87" s="12"/>
    </row>
    <row r="88" ht="19.5" customHeight="1">
      <c r="A88" s="12"/>
      <c r="C88" s="12"/>
      <c r="D88" s="13"/>
      <c r="F88" s="14"/>
      <c r="G88" s="14"/>
      <c r="H88" s="14"/>
      <c r="I88" s="14"/>
      <c r="J88" s="14"/>
      <c r="K88" s="12"/>
    </row>
    <row r="89" ht="19.5" customHeight="1">
      <c r="A89" s="12"/>
      <c r="C89" s="12"/>
      <c r="D89" s="13"/>
      <c r="F89" s="14"/>
      <c r="G89" s="14"/>
      <c r="H89" s="14"/>
      <c r="I89" s="14"/>
      <c r="J89" s="14"/>
      <c r="K89" s="12"/>
    </row>
    <row r="90" ht="19.5" customHeight="1">
      <c r="A90" s="12"/>
      <c r="C90" s="12"/>
      <c r="D90" s="13"/>
      <c r="F90" s="14"/>
      <c r="G90" s="14"/>
      <c r="H90" s="14"/>
      <c r="I90" s="14"/>
      <c r="J90" s="14"/>
      <c r="K90" s="12"/>
    </row>
    <row r="91" ht="19.5" customHeight="1">
      <c r="A91" s="12"/>
      <c r="C91" s="12"/>
      <c r="D91" s="13"/>
      <c r="F91" s="14"/>
      <c r="G91" s="14"/>
      <c r="H91" s="14"/>
      <c r="I91" s="14"/>
      <c r="J91" s="14"/>
      <c r="K91" s="12"/>
    </row>
    <row r="92" ht="19.5" customHeight="1">
      <c r="A92" s="12"/>
      <c r="C92" s="12"/>
      <c r="D92" s="13"/>
      <c r="F92" s="14"/>
      <c r="G92" s="14"/>
      <c r="H92" s="14"/>
      <c r="I92" s="14"/>
      <c r="J92" s="14"/>
      <c r="K92" s="12"/>
    </row>
    <row r="93" ht="19.5" customHeight="1">
      <c r="A93" s="12"/>
      <c r="C93" s="12"/>
      <c r="D93" s="13"/>
      <c r="F93" s="14"/>
      <c r="G93" s="14"/>
      <c r="H93" s="14"/>
      <c r="I93" s="14"/>
      <c r="J93" s="14"/>
      <c r="K93" s="12"/>
    </row>
    <row r="94" ht="19.5" customHeight="1">
      <c r="A94" s="12"/>
      <c r="C94" s="12"/>
      <c r="D94" s="13"/>
      <c r="F94" s="14"/>
      <c r="G94" s="14"/>
      <c r="H94" s="14"/>
      <c r="I94" s="14"/>
      <c r="J94" s="14"/>
      <c r="K94" s="12"/>
    </row>
    <row r="95" ht="19.5" customHeight="1">
      <c r="A95" s="12"/>
      <c r="C95" s="12"/>
      <c r="D95" s="13"/>
      <c r="F95" s="14"/>
      <c r="G95" s="14"/>
      <c r="H95" s="14"/>
      <c r="I95" s="14"/>
      <c r="J95" s="14"/>
      <c r="K95" s="12"/>
    </row>
    <row r="96" ht="19.5" customHeight="1">
      <c r="A96" s="12"/>
      <c r="C96" s="12"/>
      <c r="D96" s="13"/>
      <c r="F96" s="14"/>
      <c r="G96" s="14"/>
      <c r="H96" s="14"/>
      <c r="I96" s="14"/>
      <c r="J96" s="14"/>
      <c r="K96" s="12"/>
    </row>
    <row r="97" ht="19.5" customHeight="1">
      <c r="A97" s="12"/>
      <c r="C97" s="12"/>
      <c r="D97" s="13"/>
      <c r="F97" s="14"/>
      <c r="G97" s="14"/>
      <c r="H97" s="14"/>
      <c r="I97" s="14"/>
      <c r="J97" s="14"/>
      <c r="K97" s="12"/>
    </row>
    <row r="98" ht="19.5" customHeight="1">
      <c r="A98" s="12"/>
      <c r="C98" s="12"/>
      <c r="D98" s="13"/>
      <c r="F98" s="14"/>
      <c r="G98" s="14"/>
      <c r="H98" s="14"/>
      <c r="I98" s="14"/>
      <c r="J98" s="14"/>
      <c r="K98" s="12"/>
    </row>
    <row r="99" ht="19.5" customHeight="1">
      <c r="A99" s="12"/>
      <c r="C99" s="12"/>
      <c r="D99" s="13"/>
      <c r="F99" s="14"/>
      <c r="G99" s="14"/>
      <c r="H99" s="14"/>
      <c r="I99" s="14"/>
      <c r="J99" s="14"/>
      <c r="K99" s="12"/>
    </row>
    <row r="100" ht="19.5" customHeight="1">
      <c r="A100" s="12"/>
      <c r="C100" s="12"/>
      <c r="D100" s="13"/>
      <c r="F100" s="14"/>
      <c r="G100" s="14"/>
      <c r="H100" s="14"/>
      <c r="I100" s="14"/>
      <c r="J100" s="14"/>
      <c r="K100" s="12"/>
    </row>
    <row r="101" ht="19.5" customHeight="1">
      <c r="A101" s="12"/>
      <c r="C101" s="12"/>
      <c r="D101" s="13"/>
      <c r="F101" s="14"/>
      <c r="G101" s="14"/>
      <c r="H101" s="14"/>
      <c r="I101" s="14"/>
      <c r="J101" s="14"/>
      <c r="K101" s="12"/>
    </row>
    <row r="102" ht="19.5" customHeight="1">
      <c r="A102" s="12"/>
      <c r="C102" s="12"/>
      <c r="D102" s="13"/>
      <c r="F102" s="14"/>
      <c r="G102" s="14"/>
      <c r="H102" s="14"/>
      <c r="I102" s="14"/>
      <c r="J102" s="14"/>
      <c r="K102" s="12"/>
    </row>
    <row r="103" ht="19.5" customHeight="1">
      <c r="A103" s="12"/>
      <c r="C103" s="12"/>
      <c r="D103" s="13"/>
      <c r="F103" s="14"/>
      <c r="G103" s="14"/>
      <c r="H103" s="14"/>
      <c r="I103" s="14"/>
      <c r="J103" s="14"/>
      <c r="K103" s="12"/>
    </row>
    <row r="104" ht="19.5" customHeight="1">
      <c r="A104" s="12"/>
      <c r="C104" s="12"/>
      <c r="D104" s="13"/>
      <c r="F104" s="14"/>
      <c r="G104" s="14"/>
      <c r="H104" s="14"/>
      <c r="I104" s="14"/>
      <c r="J104" s="14"/>
      <c r="K104" s="12"/>
    </row>
    <row r="105" ht="19.5" customHeight="1">
      <c r="A105" s="12"/>
      <c r="C105" s="12"/>
      <c r="D105" s="13"/>
      <c r="F105" s="14"/>
      <c r="G105" s="14"/>
      <c r="H105" s="14"/>
      <c r="I105" s="14"/>
      <c r="J105" s="14"/>
      <c r="K105" s="12"/>
    </row>
    <row r="106" ht="19.5" customHeight="1">
      <c r="A106" s="12"/>
      <c r="C106" s="12"/>
      <c r="D106" s="13"/>
      <c r="F106" s="14"/>
      <c r="G106" s="14"/>
      <c r="H106" s="14"/>
      <c r="I106" s="14"/>
      <c r="J106" s="14"/>
      <c r="K106" s="12"/>
    </row>
    <row r="107" ht="19.5" customHeight="1">
      <c r="A107" s="12"/>
      <c r="C107" s="12"/>
      <c r="D107" s="13"/>
      <c r="F107" s="14"/>
      <c r="G107" s="14"/>
      <c r="H107" s="14"/>
      <c r="I107" s="14"/>
      <c r="J107" s="14"/>
      <c r="K107" s="12"/>
    </row>
    <row r="108" ht="19.5" customHeight="1">
      <c r="A108" s="12"/>
      <c r="C108" s="12"/>
      <c r="D108" s="13"/>
      <c r="F108" s="14"/>
      <c r="G108" s="14"/>
      <c r="H108" s="14"/>
      <c r="I108" s="14"/>
      <c r="J108" s="14"/>
      <c r="K108" s="12"/>
    </row>
    <row r="109" ht="19.5" customHeight="1">
      <c r="A109" s="12"/>
      <c r="C109" s="12"/>
      <c r="D109" s="13"/>
      <c r="F109" s="14"/>
      <c r="G109" s="14"/>
      <c r="H109" s="14"/>
      <c r="I109" s="14"/>
      <c r="J109" s="14"/>
      <c r="K109" s="12"/>
    </row>
    <row r="110" ht="19.5" customHeight="1">
      <c r="A110" s="12"/>
      <c r="C110" s="12"/>
      <c r="D110" s="13"/>
      <c r="F110" s="14"/>
      <c r="G110" s="14"/>
      <c r="H110" s="14"/>
      <c r="I110" s="14"/>
      <c r="J110" s="14"/>
      <c r="K110" s="12"/>
    </row>
    <row r="111" ht="19.5" customHeight="1">
      <c r="A111" s="12"/>
      <c r="C111" s="12"/>
      <c r="D111" s="13"/>
      <c r="F111" s="14"/>
      <c r="G111" s="14"/>
      <c r="H111" s="14"/>
      <c r="I111" s="14"/>
      <c r="J111" s="14"/>
      <c r="K111" s="12"/>
    </row>
    <row r="112" ht="19.5" customHeight="1">
      <c r="A112" s="12"/>
      <c r="C112" s="12"/>
      <c r="D112" s="13"/>
      <c r="F112" s="14"/>
      <c r="G112" s="14"/>
      <c r="H112" s="14"/>
      <c r="I112" s="14"/>
      <c r="J112" s="14"/>
      <c r="K112" s="12"/>
    </row>
    <row r="113" ht="19.5" customHeight="1">
      <c r="A113" s="12"/>
      <c r="C113" s="12"/>
      <c r="D113" s="13"/>
      <c r="F113" s="14"/>
      <c r="G113" s="14"/>
      <c r="H113" s="14"/>
      <c r="I113" s="14"/>
      <c r="J113" s="14"/>
      <c r="K113" s="12"/>
    </row>
    <row r="114" ht="19.5" customHeight="1">
      <c r="A114" s="12"/>
      <c r="C114" s="12"/>
      <c r="D114" s="13"/>
      <c r="F114" s="14"/>
      <c r="G114" s="14"/>
      <c r="H114" s="14"/>
      <c r="I114" s="14"/>
      <c r="J114" s="14"/>
      <c r="K114" s="12"/>
    </row>
    <row r="115" ht="19.5" customHeight="1">
      <c r="A115" s="12"/>
      <c r="C115" s="12"/>
      <c r="D115" s="13"/>
      <c r="F115" s="14"/>
      <c r="G115" s="14"/>
      <c r="H115" s="14"/>
      <c r="I115" s="14"/>
      <c r="J115" s="14"/>
      <c r="K115" s="12"/>
    </row>
    <row r="116" ht="19.5" customHeight="1">
      <c r="A116" s="12"/>
      <c r="C116" s="12"/>
      <c r="D116" s="13"/>
      <c r="F116" s="14"/>
      <c r="G116" s="14"/>
      <c r="H116" s="14"/>
      <c r="I116" s="14"/>
      <c r="J116" s="14"/>
      <c r="K116" s="12"/>
    </row>
    <row r="117" ht="19.5" customHeight="1">
      <c r="A117" s="12"/>
      <c r="C117" s="12"/>
      <c r="D117" s="13"/>
      <c r="F117" s="14"/>
      <c r="G117" s="14"/>
      <c r="H117" s="14"/>
      <c r="I117" s="14"/>
      <c r="J117" s="14"/>
      <c r="K117" s="12"/>
    </row>
    <row r="118" ht="19.5" customHeight="1">
      <c r="A118" s="12"/>
      <c r="C118" s="12"/>
      <c r="D118" s="13"/>
      <c r="F118" s="14"/>
      <c r="G118" s="14"/>
      <c r="H118" s="14"/>
      <c r="I118" s="14"/>
      <c r="J118" s="14"/>
      <c r="K118" s="12"/>
    </row>
    <row r="119" ht="19.5" customHeight="1">
      <c r="A119" s="12"/>
      <c r="C119" s="12"/>
      <c r="D119" s="13"/>
      <c r="F119" s="14"/>
      <c r="G119" s="14"/>
      <c r="H119" s="14"/>
      <c r="I119" s="14"/>
      <c r="J119" s="14"/>
      <c r="K119" s="12"/>
    </row>
    <row r="120" ht="19.5" customHeight="1">
      <c r="A120" s="12"/>
      <c r="C120" s="12"/>
      <c r="D120" s="13"/>
      <c r="F120" s="14"/>
      <c r="G120" s="14"/>
      <c r="H120" s="14"/>
      <c r="I120" s="14"/>
      <c r="J120" s="14"/>
      <c r="K120" s="12"/>
    </row>
    <row r="121" ht="19.5" customHeight="1">
      <c r="A121" s="12"/>
      <c r="C121" s="12"/>
      <c r="D121" s="13"/>
      <c r="F121" s="14"/>
      <c r="G121" s="14"/>
      <c r="H121" s="14"/>
      <c r="I121" s="14"/>
      <c r="J121" s="14"/>
      <c r="K121" s="12"/>
    </row>
    <row r="122" ht="19.5" customHeight="1">
      <c r="A122" s="12"/>
      <c r="C122" s="12"/>
      <c r="D122" s="13"/>
      <c r="F122" s="14"/>
      <c r="G122" s="14"/>
      <c r="H122" s="14"/>
      <c r="I122" s="14"/>
      <c r="J122" s="14"/>
      <c r="K122" s="12"/>
    </row>
    <row r="123" ht="19.5" customHeight="1">
      <c r="A123" s="12"/>
      <c r="C123" s="12"/>
      <c r="D123" s="13"/>
      <c r="F123" s="14"/>
      <c r="G123" s="14"/>
      <c r="H123" s="14"/>
      <c r="I123" s="14"/>
      <c r="J123" s="14"/>
      <c r="K123" s="12"/>
    </row>
    <row r="124" ht="19.5" customHeight="1">
      <c r="A124" s="12"/>
      <c r="C124" s="12"/>
      <c r="D124" s="13"/>
      <c r="F124" s="14"/>
      <c r="G124" s="14"/>
      <c r="H124" s="14"/>
      <c r="I124" s="14"/>
      <c r="J124" s="14"/>
      <c r="K124" s="12"/>
    </row>
    <row r="125" ht="19.5" customHeight="1">
      <c r="A125" s="12"/>
      <c r="C125" s="12"/>
      <c r="D125" s="13"/>
      <c r="F125" s="14"/>
      <c r="G125" s="14"/>
      <c r="H125" s="14"/>
      <c r="I125" s="14"/>
      <c r="J125" s="14"/>
      <c r="K125" s="12"/>
    </row>
    <row r="126" ht="19.5" customHeight="1">
      <c r="A126" s="12"/>
      <c r="C126" s="12"/>
      <c r="D126" s="13"/>
      <c r="F126" s="14"/>
      <c r="G126" s="14"/>
      <c r="H126" s="14"/>
      <c r="I126" s="14"/>
      <c r="J126" s="14"/>
      <c r="K126" s="12"/>
    </row>
    <row r="127" ht="19.5" customHeight="1">
      <c r="A127" s="12"/>
      <c r="C127" s="12"/>
      <c r="D127" s="13"/>
      <c r="F127" s="14"/>
      <c r="G127" s="14"/>
      <c r="H127" s="14"/>
      <c r="I127" s="14"/>
      <c r="J127" s="14"/>
      <c r="K127" s="12"/>
    </row>
    <row r="128" ht="19.5" customHeight="1">
      <c r="A128" s="12"/>
      <c r="C128" s="12"/>
      <c r="D128" s="13"/>
      <c r="F128" s="14"/>
      <c r="G128" s="14"/>
      <c r="H128" s="14"/>
      <c r="I128" s="14"/>
      <c r="J128" s="14"/>
      <c r="K128" s="12"/>
    </row>
    <row r="129" ht="19.5" customHeight="1">
      <c r="A129" s="12"/>
      <c r="C129" s="12"/>
      <c r="D129" s="13"/>
      <c r="F129" s="14"/>
      <c r="G129" s="14"/>
      <c r="H129" s="14"/>
      <c r="I129" s="14"/>
      <c r="J129" s="14"/>
      <c r="K129" s="12"/>
    </row>
    <row r="130" ht="19.5" customHeight="1">
      <c r="A130" s="12"/>
      <c r="C130" s="12"/>
      <c r="D130" s="13"/>
      <c r="F130" s="14"/>
      <c r="G130" s="14"/>
      <c r="H130" s="14"/>
      <c r="I130" s="14"/>
      <c r="J130" s="14"/>
      <c r="K130" s="12"/>
    </row>
    <row r="131" ht="19.5" customHeight="1">
      <c r="A131" s="12"/>
      <c r="C131" s="12"/>
      <c r="D131" s="13"/>
      <c r="F131" s="14"/>
      <c r="G131" s="14"/>
      <c r="H131" s="14"/>
      <c r="I131" s="14"/>
      <c r="J131" s="14"/>
      <c r="K131" s="12"/>
    </row>
    <row r="132" ht="19.5" customHeight="1">
      <c r="A132" s="12"/>
      <c r="C132" s="12"/>
      <c r="D132" s="13"/>
      <c r="F132" s="14"/>
      <c r="G132" s="14"/>
      <c r="H132" s="14"/>
      <c r="I132" s="14"/>
      <c r="J132" s="14"/>
      <c r="K132" s="12"/>
    </row>
    <row r="133" ht="19.5" customHeight="1">
      <c r="A133" s="12"/>
      <c r="C133" s="12"/>
      <c r="D133" s="13"/>
      <c r="F133" s="14"/>
      <c r="G133" s="14"/>
      <c r="H133" s="14"/>
      <c r="I133" s="14"/>
      <c r="J133" s="14"/>
      <c r="K133" s="12"/>
    </row>
    <row r="134" ht="19.5" customHeight="1">
      <c r="A134" s="12"/>
      <c r="C134" s="12"/>
      <c r="D134" s="13"/>
      <c r="F134" s="14"/>
      <c r="G134" s="14"/>
      <c r="H134" s="14"/>
      <c r="I134" s="14"/>
      <c r="J134" s="14"/>
      <c r="K134" s="12"/>
    </row>
    <row r="135" ht="19.5" customHeight="1">
      <c r="A135" s="12"/>
      <c r="C135" s="12"/>
      <c r="D135" s="13"/>
      <c r="F135" s="14"/>
      <c r="G135" s="14"/>
      <c r="H135" s="14"/>
      <c r="I135" s="14"/>
      <c r="J135" s="14"/>
      <c r="K135" s="12"/>
    </row>
    <row r="136" ht="19.5" customHeight="1">
      <c r="A136" s="12"/>
      <c r="C136" s="12"/>
      <c r="D136" s="13"/>
      <c r="F136" s="14"/>
      <c r="G136" s="14"/>
      <c r="H136" s="14"/>
      <c r="I136" s="14"/>
      <c r="J136" s="14"/>
      <c r="K136" s="12"/>
    </row>
    <row r="137" ht="19.5" customHeight="1">
      <c r="A137" s="12"/>
      <c r="C137" s="12"/>
      <c r="D137" s="13"/>
      <c r="F137" s="14"/>
      <c r="G137" s="14"/>
      <c r="H137" s="14"/>
      <c r="I137" s="14"/>
      <c r="J137" s="14"/>
      <c r="K137" s="12"/>
    </row>
    <row r="138" ht="19.5" customHeight="1">
      <c r="A138" s="12"/>
      <c r="C138" s="12"/>
      <c r="D138" s="13"/>
      <c r="F138" s="14"/>
      <c r="G138" s="14"/>
      <c r="H138" s="14"/>
      <c r="I138" s="14"/>
      <c r="J138" s="14"/>
      <c r="K138" s="12"/>
    </row>
    <row r="139" ht="19.5" customHeight="1">
      <c r="A139" s="12"/>
      <c r="C139" s="12"/>
      <c r="D139" s="13"/>
      <c r="F139" s="14"/>
      <c r="G139" s="14"/>
      <c r="H139" s="14"/>
      <c r="I139" s="14"/>
      <c r="J139" s="14"/>
      <c r="K139" s="12"/>
    </row>
    <row r="140" ht="19.5" customHeight="1">
      <c r="A140" s="12"/>
      <c r="C140" s="12"/>
      <c r="D140" s="13"/>
      <c r="F140" s="14"/>
      <c r="G140" s="14"/>
      <c r="H140" s="14"/>
      <c r="I140" s="14"/>
      <c r="J140" s="14"/>
      <c r="K140" s="12"/>
    </row>
    <row r="141" ht="19.5" customHeight="1">
      <c r="A141" s="12"/>
      <c r="C141" s="12"/>
      <c r="D141" s="13"/>
      <c r="F141" s="14"/>
      <c r="G141" s="14"/>
      <c r="H141" s="14"/>
      <c r="I141" s="14"/>
      <c r="J141" s="14"/>
      <c r="K141" s="12"/>
    </row>
    <row r="142" ht="19.5" customHeight="1">
      <c r="A142" s="12"/>
      <c r="C142" s="12"/>
      <c r="D142" s="13"/>
      <c r="F142" s="14"/>
      <c r="G142" s="14"/>
      <c r="H142" s="14"/>
      <c r="I142" s="14"/>
      <c r="J142" s="14"/>
      <c r="K142" s="12"/>
    </row>
    <row r="143" ht="19.5" customHeight="1">
      <c r="A143" s="12"/>
      <c r="C143" s="12"/>
      <c r="D143" s="13"/>
      <c r="F143" s="14"/>
      <c r="G143" s="14"/>
      <c r="H143" s="14"/>
      <c r="I143" s="14"/>
      <c r="J143" s="14"/>
      <c r="K143" s="12"/>
    </row>
    <row r="144" ht="19.5" customHeight="1">
      <c r="A144" s="12"/>
      <c r="C144" s="12"/>
      <c r="D144" s="13"/>
      <c r="F144" s="14"/>
      <c r="G144" s="14"/>
      <c r="H144" s="14"/>
      <c r="I144" s="14"/>
      <c r="J144" s="14"/>
      <c r="K144" s="12"/>
    </row>
    <row r="145" ht="19.5" customHeight="1">
      <c r="A145" s="12"/>
      <c r="C145" s="12"/>
      <c r="D145" s="13"/>
      <c r="F145" s="14"/>
      <c r="G145" s="14"/>
      <c r="H145" s="14"/>
      <c r="I145" s="14"/>
      <c r="J145" s="14"/>
      <c r="K145" s="12"/>
    </row>
    <row r="146" ht="19.5" customHeight="1">
      <c r="A146" s="12"/>
      <c r="C146" s="12"/>
      <c r="D146" s="13"/>
      <c r="F146" s="14"/>
      <c r="G146" s="14"/>
      <c r="H146" s="14"/>
      <c r="I146" s="14"/>
      <c r="J146" s="14"/>
      <c r="K146" s="12"/>
    </row>
    <row r="147" ht="19.5" customHeight="1">
      <c r="A147" s="12"/>
      <c r="C147" s="12"/>
      <c r="D147" s="13"/>
      <c r="F147" s="14"/>
      <c r="G147" s="14"/>
      <c r="H147" s="14"/>
      <c r="I147" s="14"/>
      <c r="J147" s="14"/>
      <c r="K147" s="12"/>
    </row>
    <row r="148" ht="19.5" customHeight="1">
      <c r="A148" s="12"/>
      <c r="C148" s="12"/>
      <c r="D148" s="13"/>
      <c r="F148" s="14"/>
      <c r="G148" s="14"/>
      <c r="H148" s="14"/>
      <c r="I148" s="14"/>
      <c r="J148" s="14"/>
      <c r="K148" s="12"/>
    </row>
    <row r="149" ht="19.5" customHeight="1">
      <c r="A149" s="12"/>
      <c r="C149" s="12"/>
      <c r="D149" s="13"/>
      <c r="F149" s="14"/>
      <c r="G149" s="14"/>
      <c r="H149" s="14"/>
      <c r="I149" s="14"/>
      <c r="J149" s="14"/>
      <c r="K149" s="12"/>
    </row>
    <row r="150" ht="19.5" customHeight="1">
      <c r="A150" s="12"/>
      <c r="C150" s="12"/>
      <c r="D150" s="13"/>
      <c r="F150" s="14"/>
      <c r="G150" s="14"/>
      <c r="H150" s="14"/>
      <c r="I150" s="14"/>
      <c r="J150" s="14"/>
      <c r="K150" s="12"/>
    </row>
    <row r="151" ht="19.5" customHeight="1">
      <c r="A151" s="12"/>
      <c r="C151" s="12"/>
      <c r="D151" s="13"/>
      <c r="F151" s="14"/>
      <c r="G151" s="14"/>
      <c r="H151" s="14"/>
      <c r="I151" s="14"/>
      <c r="J151" s="14"/>
      <c r="K151" s="12"/>
    </row>
    <row r="152" ht="19.5" customHeight="1">
      <c r="A152" s="12"/>
      <c r="C152" s="12"/>
      <c r="D152" s="13"/>
      <c r="F152" s="14"/>
      <c r="G152" s="14"/>
      <c r="H152" s="14"/>
      <c r="I152" s="14"/>
      <c r="J152" s="14"/>
      <c r="K152" s="12"/>
    </row>
    <row r="153" ht="19.5" customHeight="1">
      <c r="A153" s="12"/>
      <c r="C153" s="12"/>
      <c r="D153" s="13"/>
      <c r="F153" s="14"/>
      <c r="G153" s="14"/>
      <c r="H153" s="14"/>
      <c r="I153" s="14"/>
      <c r="J153" s="14"/>
      <c r="K153" s="12"/>
    </row>
    <row r="154" ht="19.5" customHeight="1">
      <c r="A154" s="12"/>
      <c r="C154" s="12"/>
      <c r="D154" s="13"/>
      <c r="F154" s="14"/>
      <c r="G154" s="14"/>
      <c r="H154" s="14"/>
      <c r="I154" s="14"/>
      <c r="J154" s="14"/>
      <c r="K154" s="12"/>
    </row>
    <row r="155" ht="19.5" customHeight="1">
      <c r="A155" s="12"/>
      <c r="C155" s="12"/>
      <c r="D155" s="13"/>
      <c r="F155" s="14"/>
      <c r="G155" s="14"/>
      <c r="H155" s="14"/>
      <c r="I155" s="14"/>
      <c r="J155" s="14"/>
      <c r="K155" s="12"/>
    </row>
    <row r="156" ht="19.5" customHeight="1">
      <c r="A156" s="12"/>
      <c r="C156" s="12"/>
      <c r="D156" s="13"/>
      <c r="F156" s="14"/>
      <c r="G156" s="14"/>
      <c r="H156" s="14"/>
      <c r="I156" s="14"/>
      <c r="J156" s="14"/>
      <c r="K156" s="12"/>
    </row>
    <row r="157" ht="19.5" customHeight="1">
      <c r="A157" s="12"/>
      <c r="C157" s="12"/>
      <c r="D157" s="13"/>
      <c r="F157" s="14"/>
      <c r="G157" s="14"/>
      <c r="H157" s="14"/>
      <c r="I157" s="14"/>
      <c r="J157" s="14"/>
      <c r="K157" s="12"/>
    </row>
    <row r="158" ht="19.5" customHeight="1">
      <c r="A158" s="12"/>
      <c r="C158" s="12"/>
      <c r="D158" s="13"/>
      <c r="F158" s="14"/>
      <c r="G158" s="14"/>
      <c r="H158" s="14"/>
      <c r="I158" s="14"/>
      <c r="J158" s="14"/>
      <c r="K158" s="12"/>
    </row>
    <row r="159" ht="19.5" customHeight="1">
      <c r="A159" s="12"/>
      <c r="C159" s="12"/>
      <c r="D159" s="13"/>
      <c r="F159" s="14"/>
      <c r="G159" s="14"/>
      <c r="H159" s="14"/>
      <c r="I159" s="14"/>
      <c r="J159" s="14"/>
      <c r="K159" s="12"/>
    </row>
    <row r="160" ht="19.5" customHeight="1">
      <c r="A160" s="12"/>
      <c r="C160" s="12"/>
      <c r="D160" s="13"/>
      <c r="F160" s="14"/>
      <c r="G160" s="14"/>
      <c r="H160" s="14"/>
      <c r="I160" s="14"/>
      <c r="J160" s="14"/>
      <c r="K160" s="12"/>
    </row>
    <row r="161" ht="19.5" customHeight="1">
      <c r="A161" s="12"/>
      <c r="C161" s="12"/>
      <c r="D161" s="13"/>
      <c r="F161" s="14"/>
      <c r="G161" s="14"/>
      <c r="H161" s="14"/>
      <c r="I161" s="14"/>
      <c r="J161" s="14"/>
      <c r="K161" s="12"/>
    </row>
    <row r="162" ht="19.5" customHeight="1">
      <c r="A162" s="12"/>
      <c r="C162" s="12"/>
      <c r="D162" s="13"/>
      <c r="F162" s="14"/>
      <c r="G162" s="14"/>
      <c r="H162" s="14"/>
      <c r="I162" s="14"/>
      <c r="J162" s="14"/>
      <c r="K162" s="12"/>
    </row>
    <row r="163" ht="19.5" customHeight="1">
      <c r="A163" s="12"/>
      <c r="C163" s="12"/>
      <c r="D163" s="13"/>
      <c r="F163" s="14"/>
      <c r="G163" s="14"/>
      <c r="H163" s="14"/>
      <c r="I163" s="14"/>
      <c r="J163" s="14"/>
      <c r="K163" s="12"/>
    </row>
    <row r="164" ht="19.5" customHeight="1">
      <c r="A164" s="12"/>
      <c r="C164" s="12"/>
      <c r="D164" s="13"/>
      <c r="F164" s="14"/>
      <c r="G164" s="14"/>
      <c r="H164" s="14"/>
      <c r="I164" s="14"/>
      <c r="J164" s="14"/>
      <c r="K164" s="12"/>
    </row>
    <row r="165" ht="19.5" customHeight="1">
      <c r="A165" s="12"/>
      <c r="C165" s="12"/>
      <c r="D165" s="13"/>
      <c r="F165" s="14"/>
      <c r="G165" s="14"/>
      <c r="H165" s="14"/>
      <c r="I165" s="14"/>
      <c r="J165" s="14"/>
      <c r="K165" s="12"/>
    </row>
    <row r="166" ht="19.5" customHeight="1">
      <c r="A166" s="12"/>
      <c r="C166" s="12"/>
      <c r="D166" s="13"/>
      <c r="F166" s="14"/>
      <c r="G166" s="14"/>
      <c r="H166" s="14"/>
      <c r="I166" s="14"/>
      <c r="J166" s="14"/>
      <c r="K166" s="12"/>
    </row>
    <row r="167" ht="19.5" customHeight="1">
      <c r="A167" s="12"/>
      <c r="C167" s="12"/>
      <c r="D167" s="13"/>
      <c r="F167" s="14"/>
      <c r="G167" s="14"/>
      <c r="H167" s="14"/>
      <c r="I167" s="14"/>
      <c r="J167" s="14"/>
      <c r="K167" s="12"/>
    </row>
    <row r="168" ht="19.5" customHeight="1">
      <c r="A168" s="12"/>
      <c r="C168" s="12"/>
      <c r="D168" s="13"/>
      <c r="F168" s="14"/>
      <c r="G168" s="14"/>
      <c r="H168" s="14"/>
      <c r="I168" s="14"/>
      <c r="J168" s="14"/>
      <c r="K168" s="12"/>
    </row>
    <row r="169" ht="19.5" customHeight="1">
      <c r="A169" s="12"/>
      <c r="C169" s="12"/>
      <c r="D169" s="13"/>
      <c r="F169" s="14"/>
      <c r="G169" s="14"/>
      <c r="H169" s="14"/>
      <c r="I169" s="14"/>
      <c r="J169" s="14"/>
      <c r="K169" s="12"/>
    </row>
    <row r="170" ht="19.5" customHeight="1">
      <c r="A170" s="12"/>
      <c r="C170" s="12"/>
      <c r="D170" s="13"/>
      <c r="F170" s="14"/>
      <c r="G170" s="14"/>
      <c r="H170" s="14"/>
      <c r="I170" s="14"/>
      <c r="J170" s="14"/>
      <c r="K170" s="12"/>
    </row>
    <row r="171" ht="19.5" customHeight="1">
      <c r="A171" s="12"/>
      <c r="C171" s="12"/>
      <c r="D171" s="13"/>
      <c r="F171" s="14"/>
      <c r="G171" s="14"/>
      <c r="H171" s="14"/>
      <c r="I171" s="14"/>
      <c r="J171" s="14"/>
      <c r="K171" s="12"/>
    </row>
    <row r="172" ht="19.5" customHeight="1">
      <c r="A172" s="12"/>
      <c r="C172" s="12"/>
      <c r="D172" s="13"/>
      <c r="F172" s="14"/>
      <c r="G172" s="14"/>
      <c r="H172" s="14"/>
      <c r="I172" s="14"/>
      <c r="J172" s="14"/>
      <c r="K172" s="12"/>
    </row>
    <row r="173" ht="19.5" customHeight="1">
      <c r="A173" s="12"/>
      <c r="C173" s="12"/>
      <c r="D173" s="13"/>
      <c r="F173" s="14"/>
      <c r="G173" s="14"/>
      <c r="H173" s="14"/>
      <c r="I173" s="14"/>
      <c r="J173" s="14"/>
      <c r="K173" s="12"/>
    </row>
    <row r="174" ht="19.5" customHeight="1">
      <c r="A174" s="12"/>
      <c r="C174" s="12"/>
      <c r="D174" s="13"/>
      <c r="F174" s="14"/>
      <c r="G174" s="14"/>
      <c r="H174" s="14"/>
      <c r="I174" s="14"/>
      <c r="J174" s="14"/>
      <c r="K174" s="12"/>
    </row>
    <row r="175" ht="19.5" customHeight="1">
      <c r="A175" s="12"/>
      <c r="C175" s="12"/>
      <c r="D175" s="13"/>
      <c r="F175" s="14"/>
      <c r="G175" s="14"/>
      <c r="H175" s="14"/>
      <c r="I175" s="14"/>
      <c r="J175" s="14"/>
      <c r="K175" s="12"/>
    </row>
    <row r="176" ht="19.5" customHeight="1">
      <c r="A176" s="12"/>
      <c r="C176" s="12"/>
      <c r="D176" s="13"/>
      <c r="F176" s="14"/>
      <c r="G176" s="14"/>
      <c r="H176" s="14"/>
      <c r="I176" s="14"/>
      <c r="J176" s="14"/>
      <c r="K176" s="12"/>
    </row>
    <row r="177" ht="19.5" customHeight="1">
      <c r="A177" s="12"/>
      <c r="C177" s="12"/>
      <c r="D177" s="13"/>
      <c r="F177" s="14"/>
      <c r="G177" s="14"/>
      <c r="H177" s="14"/>
      <c r="I177" s="14"/>
      <c r="J177" s="14"/>
      <c r="K177" s="12"/>
    </row>
    <row r="178" ht="19.5" customHeight="1">
      <c r="A178" s="12"/>
      <c r="C178" s="12"/>
      <c r="D178" s="13"/>
      <c r="F178" s="14"/>
      <c r="G178" s="14"/>
      <c r="H178" s="14"/>
      <c r="I178" s="14"/>
      <c r="J178" s="14"/>
      <c r="K178" s="12"/>
    </row>
    <row r="179" ht="19.5" customHeight="1">
      <c r="A179" s="12"/>
      <c r="C179" s="12"/>
      <c r="D179" s="13"/>
      <c r="F179" s="14"/>
      <c r="G179" s="14"/>
      <c r="H179" s="14"/>
      <c r="I179" s="14"/>
      <c r="J179" s="14"/>
      <c r="K179" s="12"/>
    </row>
    <row r="180" ht="19.5" customHeight="1">
      <c r="A180" s="12"/>
      <c r="C180" s="12"/>
      <c r="D180" s="13"/>
      <c r="F180" s="14"/>
      <c r="G180" s="14"/>
      <c r="H180" s="14"/>
      <c r="I180" s="14"/>
      <c r="J180" s="14"/>
      <c r="K180" s="12"/>
    </row>
    <row r="181" ht="19.5" customHeight="1">
      <c r="A181" s="12"/>
      <c r="C181" s="12"/>
      <c r="D181" s="13"/>
      <c r="F181" s="14"/>
      <c r="G181" s="14"/>
      <c r="H181" s="14"/>
      <c r="I181" s="14"/>
      <c r="J181" s="14"/>
      <c r="K181" s="12"/>
    </row>
    <row r="182" ht="19.5" customHeight="1">
      <c r="A182" s="12"/>
      <c r="C182" s="12"/>
      <c r="D182" s="13"/>
      <c r="F182" s="14"/>
      <c r="G182" s="14"/>
      <c r="H182" s="14"/>
      <c r="I182" s="14"/>
      <c r="J182" s="14"/>
      <c r="K182" s="12"/>
    </row>
    <row r="183" ht="19.5" customHeight="1">
      <c r="A183" s="12"/>
      <c r="C183" s="12"/>
      <c r="D183" s="13"/>
      <c r="F183" s="14"/>
      <c r="G183" s="14"/>
      <c r="H183" s="14"/>
      <c r="I183" s="14"/>
      <c r="J183" s="14"/>
      <c r="K183" s="12"/>
    </row>
    <row r="184" ht="19.5" customHeight="1">
      <c r="A184" s="12"/>
      <c r="C184" s="12"/>
      <c r="D184" s="13"/>
      <c r="F184" s="14"/>
      <c r="G184" s="14"/>
      <c r="H184" s="14"/>
      <c r="I184" s="14"/>
      <c r="J184" s="14"/>
      <c r="K184" s="12"/>
    </row>
    <row r="185" ht="19.5" customHeight="1">
      <c r="A185" s="12"/>
      <c r="C185" s="12"/>
      <c r="D185" s="13"/>
      <c r="F185" s="14"/>
      <c r="G185" s="14"/>
      <c r="H185" s="14"/>
      <c r="I185" s="14"/>
      <c r="J185" s="14"/>
      <c r="K185" s="12"/>
    </row>
    <row r="186" ht="19.5" customHeight="1">
      <c r="A186" s="12"/>
      <c r="C186" s="12"/>
      <c r="D186" s="13"/>
      <c r="F186" s="14"/>
      <c r="G186" s="14"/>
      <c r="H186" s="14"/>
      <c r="I186" s="14"/>
      <c r="J186" s="14"/>
      <c r="K186" s="12"/>
    </row>
    <row r="187" ht="19.5" customHeight="1">
      <c r="A187" s="12"/>
      <c r="C187" s="12"/>
      <c r="D187" s="13"/>
      <c r="F187" s="14"/>
      <c r="G187" s="14"/>
      <c r="H187" s="14"/>
      <c r="I187" s="14"/>
      <c r="J187" s="14"/>
      <c r="K187" s="12"/>
    </row>
    <row r="188" ht="19.5" customHeight="1">
      <c r="A188" s="12"/>
      <c r="C188" s="12"/>
      <c r="D188" s="13"/>
      <c r="F188" s="14"/>
      <c r="G188" s="14"/>
      <c r="H188" s="14"/>
      <c r="I188" s="14"/>
      <c r="J188" s="14"/>
      <c r="K188" s="12"/>
    </row>
    <row r="189" ht="19.5" customHeight="1">
      <c r="A189" s="12"/>
      <c r="C189" s="12"/>
      <c r="D189" s="13"/>
      <c r="F189" s="14"/>
      <c r="G189" s="14"/>
      <c r="H189" s="14"/>
      <c r="I189" s="14"/>
      <c r="J189" s="14"/>
      <c r="K189" s="12"/>
    </row>
    <row r="190" ht="19.5" customHeight="1">
      <c r="A190" s="12"/>
      <c r="C190" s="12"/>
      <c r="D190" s="13"/>
      <c r="F190" s="14"/>
      <c r="G190" s="14"/>
      <c r="H190" s="14"/>
      <c r="I190" s="14"/>
      <c r="J190" s="14"/>
      <c r="K190" s="12"/>
    </row>
    <row r="191" ht="19.5" customHeight="1">
      <c r="A191" s="12"/>
      <c r="C191" s="12"/>
      <c r="D191" s="13"/>
      <c r="F191" s="14"/>
      <c r="G191" s="14"/>
      <c r="H191" s="14"/>
      <c r="I191" s="14"/>
      <c r="J191" s="14"/>
      <c r="K191" s="12"/>
    </row>
    <row r="192" ht="19.5" customHeight="1">
      <c r="A192" s="12"/>
      <c r="C192" s="12"/>
      <c r="D192" s="13"/>
      <c r="F192" s="14"/>
      <c r="G192" s="14"/>
      <c r="H192" s="14"/>
      <c r="I192" s="14"/>
      <c r="J192" s="14"/>
      <c r="K192" s="12"/>
    </row>
    <row r="193" ht="19.5" customHeight="1">
      <c r="A193" s="12"/>
      <c r="C193" s="12"/>
      <c r="D193" s="13"/>
      <c r="F193" s="14"/>
      <c r="G193" s="14"/>
      <c r="H193" s="14"/>
      <c r="I193" s="14"/>
      <c r="J193" s="14"/>
      <c r="K193" s="12"/>
    </row>
    <row r="194" ht="19.5" customHeight="1">
      <c r="A194" s="12"/>
      <c r="C194" s="12"/>
      <c r="D194" s="13"/>
      <c r="F194" s="14"/>
      <c r="G194" s="14"/>
      <c r="H194" s="14"/>
      <c r="I194" s="14"/>
      <c r="J194" s="14"/>
      <c r="K194" s="12"/>
    </row>
    <row r="195" ht="19.5" customHeight="1">
      <c r="A195" s="12"/>
      <c r="C195" s="12"/>
      <c r="D195" s="13"/>
      <c r="F195" s="14"/>
      <c r="G195" s="14"/>
      <c r="H195" s="14"/>
      <c r="I195" s="14"/>
      <c r="J195" s="14"/>
      <c r="K195" s="12"/>
    </row>
    <row r="196" ht="19.5" customHeight="1">
      <c r="A196" s="12"/>
      <c r="C196" s="12"/>
      <c r="D196" s="13"/>
      <c r="F196" s="14"/>
      <c r="G196" s="14"/>
      <c r="H196" s="14"/>
      <c r="I196" s="14"/>
      <c r="J196" s="14"/>
      <c r="K196" s="12"/>
    </row>
    <row r="197" ht="19.5" customHeight="1">
      <c r="A197" s="12"/>
      <c r="C197" s="12"/>
      <c r="D197" s="13"/>
      <c r="F197" s="14"/>
      <c r="G197" s="14"/>
      <c r="H197" s="14"/>
      <c r="I197" s="14"/>
      <c r="J197" s="14"/>
      <c r="K197" s="12"/>
    </row>
    <row r="198" ht="19.5" customHeight="1">
      <c r="A198" s="12"/>
      <c r="C198" s="12"/>
      <c r="D198" s="13"/>
      <c r="F198" s="14"/>
      <c r="G198" s="14"/>
      <c r="H198" s="14"/>
      <c r="I198" s="14"/>
      <c r="J198" s="14"/>
      <c r="K198" s="12"/>
    </row>
    <row r="199" ht="19.5" customHeight="1">
      <c r="A199" s="12"/>
      <c r="C199" s="12"/>
      <c r="D199" s="13"/>
      <c r="F199" s="14"/>
      <c r="G199" s="14"/>
      <c r="H199" s="14"/>
      <c r="I199" s="14"/>
      <c r="J199" s="14"/>
      <c r="K199" s="12"/>
    </row>
    <row r="200" ht="19.5" customHeight="1">
      <c r="A200" s="12"/>
      <c r="C200" s="12"/>
      <c r="D200" s="13"/>
      <c r="F200" s="14"/>
      <c r="G200" s="14"/>
      <c r="H200" s="14"/>
      <c r="I200" s="14"/>
      <c r="J200" s="14"/>
      <c r="K200" s="12"/>
    </row>
    <row r="201" ht="19.5" customHeight="1">
      <c r="A201" s="12"/>
      <c r="C201" s="12"/>
      <c r="D201" s="13"/>
      <c r="F201" s="14"/>
      <c r="G201" s="14"/>
      <c r="H201" s="14"/>
      <c r="I201" s="14"/>
      <c r="J201" s="14"/>
      <c r="K201" s="12"/>
    </row>
    <row r="202" ht="19.5" customHeight="1">
      <c r="A202" s="12"/>
      <c r="C202" s="12"/>
      <c r="D202" s="13"/>
      <c r="F202" s="14"/>
      <c r="G202" s="14"/>
      <c r="H202" s="14"/>
      <c r="I202" s="14"/>
      <c r="J202" s="14"/>
      <c r="K202" s="12"/>
    </row>
    <row r="203" ht="19.5" customHeight="1">
      <c r="A203" s="12"/>
      <c r="C203" s="12"/>
      <c r="D203" s="13"/>
      <c r="F203" s="14"/>
      <c r="G203" s="14"/>
      <c r="H203" s="14"/>
      <c r="I203" s="14"/>
      <c r="J203" s="14"/>
      <c r="K203" s="12"/>
    </row>
    <row r="204" ht="19.5" customHeight="1">
      <c r="A204" s="12"/>
      <c r="C204" s="12"/>
      <c r="D204" s="13"/>
      <c r="F204" s="14"/>
      <c r="G204" s="14"/>
      <c r="H204" s="14"/>
      <c r="I204" s="14"/>
      <c r="J204" s="14"/>
      <c r="K204" s="12"/>
    </row>
    <row r="205" ht="19.5" customHeight="1">
      <c r="A205" s="12"/>
      <c r="C205" s="12"/>
      <c r="D205" s="13"/>
      <c r="F205" s="14"/>
      <c r="G205" s="14"/>
      <c r="H205" s="14"/>
      <c r="I205" s="14"/>
      <c r="J205" s="14"/>
      <c r="K205" s="12"/>
    </row>
    <row r="206" ht="19.5" customHeight="1">
      <c r="A206" s="12"/>
      <c r="C206" s="12"/>
      <c r="D206" s="13"/>
      <c r="F206" s="14"/>
      <c r="G206" s="14"/>
      <c r="H206" s="14"/>
      <c r="I206" s="14"/>
      <c r="J206" s="14"/>
      <c r="K206" s="12"/>
    </row>
    <row r="207" ht="19.5" customHeight="1">
      <c r="A207" s="12"/>
      <c r="C207" s="12"/>
      <c r="D207" s="13"/>
      <c r="F207" s="14"/>
      <c r="G207" s="14"/>
      <c r="H207" s="14"/>
      <c r="I207" s="14"/>
      <c r="J207" s="14"/>
      <c r="K207" s="12"/>
    </row>
    <row r="208" ht="19.5" customHeight="1">
      <c r="A208" s="12"/>
      <c r="C208" s="12"/>
      <c r="D208" s="13"/>
      <c r="F208" s="14"/>
      <c r="G208" s="14"/>
      <c r="H208" s="14"/>
      <c r="I208" s="14"/>
      <c r="J208" s="14"/>
      <c r="K208" s="12"/>
    </row>
    <row r="209" ht="19.5" customHeight="1">
      <c r="A209" s="12"/>
      <c r="C209" s="12"/>
      <c r="D209" s="13"/>
      <c r="F209" s="14"/>
      <c r="G209" s="14"/>
      <c r="H209" s="14"/>
      <c r="I209" s="14"/>
      <c r="J209" s="14"/>
      <c r="K209" s="12"/>
    </row>
    <row r="210" ht="19.5" customHeight="1">
      <c r="A210" s="12"/>
      <c r="C210" s="12"/>
      <c r="D210" s="13"/>
      <c r="F210" s="14"/>
      <c r="G210" s="14"/>
      <c r="H210" s="14"/>
      <c r="I210" s="14"/>
      <c r="J210" s="14"/>
      <c r="K210" s="12"/>
    </row>
    <row r="211" ht="19.5" customHeight="1">
      <c r="A211" s="12"/>
      <c r="C211" s="12"/>
      <c r="D211" s="13"/>
      <c r="F211" s="14"/>
      <c r="G211" s="14"/>
      <c r="H211" s="14"/>
      <c r="I211" s="14"/>
      <c r="J211" s="14"/>
      <c r="K211" s="12"/>
    </row>
    <row r="212" ht="19.5" customHeight="1">
      <c r="A212" s="12"/>
      <c r="C212" s="12"/>
      <c r="D212" s="13"/>
      <c r="F212" s="14"/>
      <c r="G212" s="14"/>
      <c r="H212" s="14"/>
      <c r="I212" s="14"/>
      <c r="J212" s="14"/>
      <c r="K212" s="12"/>
    </row>
    <row r="213" ht="19.5" customHeight="1">
      <c r="A213" s="12"/>
      <c r="C213" s="12"/>
      <c r="D213" s="13"/>
      <c r="F213" s="14"/>
      <c r="G213" s="14"/>
      <c r="H213" s="14"/>
      <c r="I213" s="14"/>
      <c r="J213" s="14"/>
      <c r="K213" s="12"/>
    </row>
    <row r="214" ht="19.5" customHeight="1">
      <c r="A214" s="12"/>
      <c r="C214" s="12"/>
      <c r="D214" s="13"/>
      <c r="F214" s="14"/>
      <c r="G214" s="14"/>
      <c r="H214" s="14"/>
      <c r="I214" s="14"/>
      <c r="J214" s="14"/>
      <c r="K214" s="12"/>
    </row>
    <row r="215" ht="19.5" customHeight="1">
      <c r="A215" s="12"/>
      <c r="C215" s="12"/>
      <c r="D215" s="13"/>
      <c r="F215" s="14"/>
      <c r="G215" s="14"/>
      <c r="H215" s="14"/>
      <c r="I215" s="14"/>
      <c r="J215" s="14"/>
      <c r="K215" s="12"/>
    </row>
    <row r="216" ht="19.5" customHeight="1">
      <c r="A216" s="12"/>
      <c r="C216" s="12"/>
      <c r="D216" s="13"/>
      <c r="F216" s="14"/>
      <c r="G216" s="14"/>
      <c r="H216" s="14"/>
      <c r="I216" s="14"/>
      <c r="J216" s="14"/>
      <c r="K216" s="12"/>
    </row>
    <row r="217" ht="19.5" customHeight="1">
      <c r="A217" s="12"/>
      <c r="C217" s="12"/>
      <c r="D217" s="13"/>
      <c r="F217" s="14"/>
      <c r="G217" s="14"/>
      <c r="H217" s="14"/>
      <c r="I217" s="14"/>
      <c r="J217" s="14"/>
      <c r="K217" s="12"/>
    </row>
    <row r="218" ht="19.5" customHeight="1">
      <c r="A218" s="12"/>
      <c r="C218" s="12"/>
      <c r="D218" s="13"/>
      <c r="F218" s="14"/>
      <c r="G218" s="14"/>
      <c r="H218" s="14"/>
      <c r="I218" s="14"/>
      <c r="J218" s="14"/>
      <c r="K218" s="12"/>
    </row>
    <row r="219" ht="19.5" customHeight="1">
      <c r="A219" s="12"/>
      <c r="C219" s="12"/>
      <c r="D219" s="13"/>
      <c r="F219" s="14"/>
      <c r="G219" s="14"/>
      <c r="H219" s="14"/>
      <c r="I219" s="14"/>
      <c r="J219" s="14"/>
      <c r="K219" s="12"/>
    </row>
    <row r="220" ht="19.5" customHeight="1">
      <c r="A220" s="12"/>
      <c r="C220" s="12"/>
      <c r="D220" s="13"/>
      <c r="F220" s="14"/>
      <c r="G220" s="14"/>
      <c r="H220" s="14"/>
      <c r="I220" s="14"/>
      <c r="J220" s="14"/>
      <c r="K220" s="12"/>
    </row>
    <row r="221" ht="19.5" customHeight="1">
      <c r="A221" s="12"/>
      <c r="C221" s="12"/>
      <c r="D221" s="13"/>
      <c r="F221" s="14"/>
      <c r="G221" s="14"/>
      <c r="H221" s="14"/>
      <c r="I221" s="14"/>
      <c r="J221" s="14"/>
      <c r="K221" s="12"/>
    </row>
    <row r="222" ht="19.5" customHeight="1">
      <c r="A222" s="12"/>
      <c r="C222" s="12"/>
      <c r="D222" s="13"/>
      <c r="F222" s="14"/>
      <c r="G222" s="14"/>
      <c r="H222" s="14"/>
      <c r="I222" s="14"/>
      <c r="J222" s="14"/>
      <c r="K222" s="12"/>
    </row>
    <row r="223" ht="19.5" customHeight="1">
      <c r="A223" s="12"/>
      <c r="C223" s="12"/>
      <c r="D223" s="13"/>
      <c r="F223" s="14"/>
      <c r="G223" s="14"/>
      <c r="H223" s="14"/>
      <c r="I223" s="14"/>
      <c r="J223" s="14"/>
      <c r="K223" s="12"/>
    </row>
    <row r="224" ht="19.5" customHeight="1">
      <c r="A224" s="12"/>
      <c r="C224" s="12"/>
      <c r="D224" s="13"/>
      <c r="F224" s="14"/>
      <c r="G224" s="14"/>
      <c r="H224" s="14"/>
      <c r="I224" s="14"/>
      <c r="J224" s="14"/>
      <c r="K224" s="12"/>
    </row>
    <row r="225" ht="19.5" customHeight="1">
      <c r="A225" s="12"/>
      <c r="C225" s="12"/>
      <c r="D225" s="13"/>
      <c r="F225" s="14"/>
      <c r="G225" s="14"/>
      <c r="H225" s="14"/>
      <c r="I225" s="14"/>
      <c r="J225" s="14"/>
      <c r="K225" s="12"/>
    </row>
    <row r="226" ht="19.5" customHeight="1">
      <c r="A226" s="12"/>
      <c r="C226" s="12"/>
      <c r="D226" s="13"/>
      <c r="F226" s="14"/>
      <c r="G226" s="14"/>
      <c r="H226" s="14"/>
      <c r="I226" s="14"/>
      <c r="J226" s="14"/>
      <c r="K226" s="12"/>
    </row>
    <row r="227" ht="19.5" customHeight="1">
      <c r="A227" s="12"/>
      <c r="C227" s="12"/>
      <c r="D227" s="13"/>
      <c r="F227" s="14"/>
      <c r="G227" s="14"/>
      <c r="H227" s="14"/>
      <c r="I227" s="14"/>
      <c r="J227" s="14"/>
      <c r="K227" s="12"/>
    </row>
    <row r="228" ht="19.5" customHeight="1">
      <c r="A228" s="12"/>
      <c r="C228" s="12"/>
      <c r="D228" s="13"/>
      <c r="F228" s="14"/>
      <c r="G228" s="14"/>
      <c r="H228" s="14"/>
      <c r="I228" s="14"/>
      <c r="J228" s="14"/>
      <c r="K228" s="12"/>
    </row>
    <row r="229" ht="19.5" customHeight="1">
      <c r="A229" s="12"/>
      <c r="C229" s="12"/>
      <c r="D229" s="13"/>
      <c r="F229" s="14"/>
      <c r="G229" s="14"/>
      <c r="H229" s="14"/>
      <c r="I229" s="14"/>
      <c r="J229" s="14"/>
      <c r="K229" s="12"/>
    </row>
    <row r="230" ht="19.5" customHeight="1">
      <c r="A230" s="12"/>
      <c r="C230" s="12"/>
      <c r="D230" s="13"/>
      <c r="F230" s="14"/>
      <c r="G230" s="14"/>
      <c r="H230" s="14"/>
      <c r="I230" s="14"/>
      <c r="J230" s="14"/>
      <c r="K230" s="12"/>
    </row>
    <row r="231" ht="19.5" customHeight="1">
      <c r="A231" s="12"/>
      <c r="C231" s="12"/>
      <c r="D231" s="13"/>
      <c r="F231" s="14"/>
      <c r="G231" s="14"/>
      <c r="H231" s="14"/>
      <c r="I231" s="14"/>
      <c r="J231" s="14"/>
      <c r="K231" s="12"/>
    </row>
    <row r="232" ht="19.5" customHeight="1">
      <c r="A232" s="12"/>
      <c r="C232" s="12"/>
      <c r="D232" s="13"/>
      <c r="F232" s="14"/>
      <c r="G232" s="14"/>
      <c r="H232" s="14"/>
      <c r="I232" s="14"/>
      <c r="J232" s="14"/>
      <c r="K232" s="12"/>
    </row>
    <row r="233" ht="19.5" customHeight="1">
      <c r="A233" s="12"/>
      <c r="C233" s="12"/>
      <c r="D233" s="13"/>
      <c r="F233" s="14"/>
      <c r="G233" s="14"/>
      <c r="H233" s="14"/>
      <c r="I233" s="14"/>
      <c r="J233" s="14"/>
      <c r="K233" s="12"/>
    </row>
    <row r="234" ht="19.5" customHeight="1">
      <c r="A234" s="12"/>
      <c r="C234" s="12"/>
      <c r="D234" s="13"/>
      <c r="F234" s="14"/>
      <c r="G234" s="14"/>
      <c r="H234" s="14"/>
      <c r="I234" s="14"/>
      <c r="J234" s="14"/>
      <c r="K234" s="12"/>
    </row>
    <row r="235" ht="19.5" customHeight="1">
      <c r="A235" s="12"/>
      <c r="C235" s="12"/>
      <c r="D235" s="13"/>
      <c r="F235" s="14"/>
      <c r="G235" s="14"/>
      <c r="H235" s="14"/>
      <c r="I235" s="14"/>
      <c r="J235" s="14"/>
      <c r="K235" s="12"/>
    </row>
    <row r="236" ht="19.5" customHeight="1">
      <c r="A236" s="12"/>
      <c r="C236" s="12"/>
      <c r="D236" s="13"/>
      <c r="F236" s="14"/>
      <c r="G236" s="14"/>
      <c r="H236" s="14"/>
      <c r="I236" s="14"/>
      <c r="J236" s="14"/>
      <c r="K236" s="12"/>
    </row>
    <row r="237" ht="19.5" customHeight="1">
      <c r="A237" s="12"/>
      <c r="C237" s="12"/>
      <c r="D237" s="13"/>
      <c r="F237" s="14"/>
      <c r="G237" s="14"/>
      <c r="H237" s="14"/>
      <c r="I237" s="14"/>
      <c r="J237" s="14"/>
      <c r="K237" s="12"/>
    </row>
    <row r="238" ht="19.5" customHeight="1">
      <c r="A238" s="12"/>
      <c r="C238" s="12"/>
      <c r="D238" s="13"/>
      <c r="F238" s="14"/>
      <c r="G238" s="14"/>
      <c r="H238" s="14"/>
      <c r="I238" s="14"/>
      <c r="J238" s="14"/>
      <c r="K238" s="12"/>
    </row>
    <row r="239" ht="19.5" customHeight="1">
      <c r="A239" s="12"/>
      <c r="C239" s="12"/>
      <c r="D239" s="13"/>
      <c r="F239" s="14"/>
      <c r="G239" s="14"/>
      <c r="H239" s="14"/>
      <c r="I239" s="14"/>
      <c r="J239" s="14"/>
      <c r="K239" s="12"/>
    </row>
    <row r="240" ht="19.5" customHeight="1">
      <c r="A240" s="12"/>
      <c r="C240" s="12"/>
      <c r="D240" s="13"/>
      <c r="F240" s="14"/>
      <c r="G240" s="14"/>
      <c r="H240" s="14"/>
      <c r="I240" s="14"/>
      <c r="J240" s="14"/>
      <c r="K240" s="12"/>
    </row>
    <row r="241" ht="19.5" customHeight="1">
      <c r="A241" s="12"/>
      <c r="C241" s="12"/>
      <c r="D241" s="13"/>
      <c r="F241" s="14"/>
      <c r="G241" s="14"/>
      <c r="H241" s="14"/>
      <c r="I241" s="14"/>
      <c r="J241" s="14"/>
      <c r="K241" s="12"/>
    </row>
    <row r="242" ht="19.5" customHeight="1">
      <c r="A242" s="12"/>
      <c r="C242" s="12"/>
      <c r="D242" s="13"/>
      <c r="F242" s="14"/>
      <c r="G242" s="14"/>
      <c r="H242" s="14"/>
      <c r="I242" s="14"/>
      <c r="J242" s="14"/>
      <c r="K242" s="12"/>
    </row>
    <row r="243" ht="19.5" customHeight="1">
      <c r="A243" s="12"/>
      <c r="C243" s="12"/>
      <c r="D243" s="13"/>
      <c r="F243" s="14"/>
      <c r="G243" s="14"/>
      <c r="H243" s="14"/>
      <c r="I243" s="14"/>
      <c r="J243" s="14"/>
      <c r="K243" s="12"/>
    </row>
    <row r="244" ht="19.5" customHeight="1">
      <c r="A244" s="12"/>
      <c r="C244" s="12"/>
      <c r="D244" s="13"/>
      <c r="F244" s="14"/>
      <c r="G244" s="14"/>
      <c r="H244" s="14"/>
      <c r="I244" s="14"/>
      <c r="J244" s="14"/>
      <c r="K244" s="12"/>
    </row>
    <row r="245" ht="19.5" customHeight="1">
      <c r="A245" s="12"/>
      <c r="C245" s="12"/>
      <c r="D245" s="13"/>
      <c r="F245" s="14"/>
      <c r="G245" s="14"/>
      <c r="H245" s="14"/>
      <c r="I245" s="14"/>
      <c r="J245" s="14"/>
      <c r="K245" s="12"/>
    </row>
    <row r="246" ht="19.5" customHeight="1">
      <c r="A246" s="12"/>
      <c r="C246" s="12"/>
      <c r="D246" s="13"/>
      <c r="F246" s="14"/>
      <c r="G246" s="14"/>
      <c r="H246" s="14"/>
      <c r="I246" s="14"/>
      <c r="J246" s="14"/>
      <c r="K246" s="12"/>
    </row>
    <row r="247" ht="19.5" customHeight="1">
      <c r="A247" s="12"/>
      <c r="C247" s="12"/>
      <c r="D247" s="13"/>
      <c r="F247" s="14"/>
      <c r="G247" s="14"/>
      <c r="H247" s="14"/>
      <c r="I247" s="14"/>
      <c r="J247" s="14"/>
      <c r="K247" s="12"/>
    </row>
    <row r="248" ht="19.5" customHeight="1">
      <c r="A248" s="12"/>
      <c r="C248" s="12"/>
      <c r="D248" s="13"/>
      <c r="F248" s="14"/>
      <c r="G248" s="14"/>
      <c r="H248" s="14"/>
      <c r="I248" s="14"/>
      <c r="J248" s="14"/>
      <c r="K248" s="12"/>
    </row>
    <row r="249" ht="19.5" customHeight="1">
      <c r="A249" s="12"/>
      <c r="C249" s="12"/>
      <c r="D249" s="13"/>
      <c r="F249" s="14"/>
      <c r="G249" s="14"/>
      <c r="H249" s="14"/>
      <c r="I249" s="14"/>
      <c r="J249" s="14"/>
      <c r="K249" s="12"/>
    </row>
    <row r="250" ht="19.5" customHeight="1">
      <c r="A250" s="12"/>
      <c r="C250" s="12"/>
      <c r="D250" s="13"/>
      <c r="F250" s="14"/>
      <c r="G250" s="14"/>
      <c r="H250" s="14"/>
      <c r="I250" s="14"/>
      <c r="J250" s="14"/>
      <c r="K250" s="12"/>
    </row>
    <row r="251" ht="19.5" customHeight="1">
      <c r="A251" s="12"/>
      <c r="C251" s="12"/>
      <c r="D251" s="13"/>
      <c r="F251" s="14"/>
      <c r="G251" s="14"/>
      <c r="H251" s="14"/>
      <c r="I251" s="14"/>
      <c r="J251" s="14"/>
      <c r="K251" s="12"/>
    </row>
    <row r="252" ht="19.5" customHeight="1">
      <c r="A252" s="12"/>
      <c r="C252" s="12"/>
      <c r="D252" s="13"/>
      <c r="F252" s="14"/>
      <c r="G252" s="14"/>
      <c r="H252" s="14"/>
      <c r="I252" s="14"/>
      <c r="J252" s="14"/>
      <c r="K252" s="12"/>
    </row>
    <row r="253" ht="19.5" customHeight="1">
      <c r="A253" s="12"/>
      <c r="C253" s="12"/>
      <c r="D253" s="13"/>
      <c r="F253" s="14"/>
      <c r="G253" s="14"/>
      <c r="H253" s="14"/>
      <c r="I253" s="14"/>
      <c r="J253" s="14"/>
      <c r="K253" s="12"/>
    </row>
    <row r="254" ht="19.5" customHeight="1">
      <c r="A254" s="12"/>
      <c r="C254" s="12"/>
      <c r="D254" s="13"/>
      <c r="F254" s="14"/>
      <c r="G254" s="14"/>
      <c r="H254" s="14"/>
      <c r="I254" s="14"/>
      <c r="J254" s="14"/>
      <c r="K254" s="12"/>
    </row>
    <row r="255" ht="19.5" customHeight="1">
      <c r="A255" s="12"/>
      <c r="C255" s="12"/>
      <c r="D255" s="13"/>
      <c r="F255" s="14"/>
      <c r="G255" s="14"/>
      <c r="H255" s="14"/>
      <c r="I255" s="14"/>
      <c r="J255" s="14"/>
      <c r="K255" s="12"/>
    </row>
    <row r="256" ht="19.5" customHeight="1">
      <c r="A256" s="12"/>
      <c r="C256" s="12"/>
      <c r="D256" s="13"/>
      <c r="F256" s="14"/>
      <c r="G256" s="14"/>
      <c r="H256" s="14"/>
      <c r="I256" s="14"/>
      <c r="J256" s="14"/>
      <c r="K256" s="12"/>
    </row>
    <row r="257" ht="19.5" customHeight="1">
      <c r="A257" s="12"/>
      <c r="C257" s="12"/>
      <c r="D257" s="13"/>
      <c r="F257" s="14"/>
      <c r="G257" s="14"/>
      <c r="H257" s="14"/>
      <c r="I257" s="14"/>
      <c r="J257" s="14"/>
      <c r="K257" s="12"/>
    </row>
    <row r="258" ht="19.5" customHeight="1">
      <c r="A258" s="12"/>
      <c r="C258" s="12"/>
      <c r="D258" s="13"/>
      <c r="F258" s="14"/>
      <c r="G258" s="14"/>
      <c r="H258" s="14"/>
      <c r="I258" s="14"/>
      <c r="J258" s="14"/>
      <c r="K258" s="12"/>
    </row>
    <row r="259" ht="19.5" customHeight="1">
      <c r="A259" s="12"/>
      <c r="C259" s="12"/>
      <c r="D259" s="13"/>
      <c r="F259" s="14"/>
      <c r="G259" s="14"/>
      <c r="H259" s="14"/>
      <c r="I259" s="14"/>
      <c r="J259" s="14"/>
      <c r="K259" s="12"/>
    </row>
    <row r="260" ht="19.5" customHeight="1">
      <c r="A260" s="12"/>
      <c r="C260" s="12"/>
      <c r="D260" s="13"/>
      <c r="F260" s="14"/>
      <c r="G260" s="14"/>
      <c r="H260" s="14"/>
      <c r="I260" s="14"/>
      <c r="J260" s="14"/>
      <c r="K260" s="12"/>
    </row>
    <row r="261" ht="19.5" customHeight="1">
      <c r="A261" s="12"/>
      <c r="C261" s="12"/>
      <c r="D261" s="13"/>
      <c r="F261" s="14"/>
      <c r="G261" s="14"/>
      <c r="H261" s="14"/>
      <c r="I261" s="14"/>
      <c r="J261" s="14"/>
      <c r="K261" s="12"/>
    </row>
    <row r="262" ht="19.5" customHeight="1">
      <c r="A262" s="12"/>
      <c r="C262" s="12"/>
      <c r="D262" s="13"/>
      <c r="F262" s="14"/>
      <c r="G262" s="14"/>
      <c r="H262" s="14"/>
      <c r="I262" s="14"/>
      <c r="J262" s="14"/>
      <c r="K262" s="12"/>
    </row>
    <row r="263" ht="19.5" customHeight="1">
      <c r="A263" s="12"/>
      <c r="C263" s="12"/>
      <c r="D263" s="13"/>
      <c r="F263" s="14"/>
      <c r="G263" s="14"/>
      <c r="H263" s="14"/>
      <c r="I263" s="14"/>
      <c r="J263" s="14"/>
      <c r="K263" s="12"/>
    </row>
    <row r="264" ht="19.5" customHeight="1">
      <c r="A264" s="12"/>
      <c r="C264" s="12"/>
      <c r="D264" s="13"/>
      <c r="F264" s="14"/>
      <c r="G264" s="14"/>
      <c r="H264" s="14"/>
      <c r="I264" s="14"/>
      <c r="J264" s="14"/>
      <c r="K264" s="12"/>
    </row>
    <row r="265" ht="19.5" customHeight="1">
      <c r="A265" s="12"/>
      <c r="C265" s="12"/>
      <c r="D265" s="13"/>
      <c r="F265" s="14"/>
      <c r="G265" s="14"/>
      <c r="H265" s="14"/>
      <c r="I265" s="14"/>
      <c r="J265" s="14"/>
      <c r="K265" s="12"/>
    </row>
    <row r="266" ht="19.5" customHeight="1">
      <c r="A266" s="12"/>
      <c r="C266" s="12"/>
      <c r="D266" s="13"/>
      <c r="F266" s="14"/>
      <c r="G266" s="14"/>
      <c r="H266" s="14"/>
      <c r="I266" s="14"/>
      <c r="J266" s="14"/>
      <c r="K266" s="12"/>
    </row>
    <row r="267" ht="19.5" customHeight="1">
      <c r="A267" s="12"/>
      <c r="C267" s="12"/>
      <c r="D267" s="13"/>
      <c r="F267" s="14"/>
      <c r="G267" s="14"/>
      <c r="H267" s="14"/>
      <c r="I267" s="14"/>
      <c r="J267" s="14"/>
      <c r="K267" s="12"/>
    </row>
    <row r="268" ht="19.5" customHeight="1">
      <c r="A268" s="12"/>
      <c r="C268" s="12"/>
      <c r="D268" s="13"/>
      <c r="F268" s="14"/>
      <c r="G268" s="14"/>
      <c r="H268" s="14"/>
      <c r="I268" s="14"/>
      <c r="J268" s="14"/>
      <c r="K268" s="12"/>
    </row>
    <row r="269" ht="19.5" customHeight="1">
      <c r="A269" s="12"/>
      <c r="C269" s="12"/>
      <c r="D269" s="13"/>
      <c r="F269" s="14"/>
      <c r="G269" s="14"/>
      <c r="H269" s="14"/>
      <c r="I269" s="14"/>
      <c r="J269" s="14"/>
      <c r="K269" s="12"/>
    </row>
    <row r="270" ht="19.5" customHeight="1">
      <c r="A270" s="12"/>
      <c r="C270" s="12"/>
      <c r="D270" s="13"/>
      <c r="F270" s="14"/>
      <c r="G270" s="14"/>
      <c r="H270" s="14"/>
      <c r="I270" s="14"/>
      <c r="J270" s="14"/>
      <c r="K270" s="12"/>
    </row>
    <row r="271" ht="19.5" customHeight="1">
      <c r="A271" s="12"/>
      <c r="C271" s="12"/>
      <c r="D271" s="13"/>
      <c r="F271" s="14"/>
      <c r="G271" s="14"/>
      <c r="H271" s="14"/>
      <c r="I271" s="14"/>
      <c r="J271" s="14"/>
      <c r="K271" s="12"/>
    </row>
    <row r="272" ht="19.5" customHeight="1">
      <c r="A272" s="12"/>
      <c r="C272" s="12"/>
      <c r="D272" s="13"/>
      <c r="F272" s="14"/>
      <c r="G272" s="14"/>
      <c r="H272" s="14"/>
      <c r="I272" s="14"/>
      <c r="J272" s="14"/>
      <c r="K272" s="12"/>
    </row>
    <row r="273" ht="19.5" customHeight="1">
      <c r="A273" s="12"/>
      <c r="C273" s="12"/>
      <c r="D273" s="13"/>
      <c r="F273" s="14"/>
      <c r="G273" s="14"/>
      <c r="H273" s="14"/>
      <c r="I273" s="14"/>
      <c r="J273" s="14"/>
      <c r="K273" s="12"/>
    </row>
    <row r="274" ht="19.5" customHeight="1">
      <c r="A274" s="12"/>
      <c r="C274" s="12"/>
      <c r="D274" s="13"/>
      <c r="F274" s="14"/>
      <c r="G274" s="14"/>
      <c r="H274" s="14"/>
      <c r="I274" s="14"/>
      <c r="J274" s="14"/>
      <c r="K274" s="12"/>
    </row>
    <row r="275" ht="19.5" customHeight="1">
      <c r="A275" s="12"/>
      <c r="C275" s="12"/>
      <c r="D275" s="13"/>
      <c r="F275" s="14"/>
      <c r="G275" s="14"/>
      <c r="H275" s="14"/>
      <c r="I275" s="14"/>
      <c r="J275" s="14"/>
      <c r="K275" s="12"/>
    </row>
    <row r="276" ht="19.5" customHeight="1">
      <c r="A276" s="12"/>
      <c r="C276" s="12"/>
      <c r="D276" s="13"/>
      <c r="F276" s="14"/>
      <c r="G276" s="14"/>
      <c r="H276" s="14"/>
      <c r="I276" s="14"/>
      <c r="J276" s="14"/>
      <c r="K276" s="12"/>
    </row>
    <row r="277" ht="19.5" customHeight="1">
      <c r="A277" s="12"/>
      <c r="C277" s="12"/>
      <c r="D277" s="13"/>
      <c r="F277" s="14"/>
      <c r="G277" s="14"/>
      <c r="H277" s="14"/>
      <c r="I277" s="14"/>
      <c r="J277" s="14"/>
      <c r="K277" s="12"/>
    </row>
    <row r="278" ht="19.5" customHeight="1">
      <c r="A278" s="12"/>
      <c r="C278" s="12"/>
      <c r="D278" s="13"/>
      <c r="F278" s="14"/>
      <c r="G278" s="14"/>
      <c r="H278" s="14"/>
      <c r="I278" s="14"/>
      <c r="J278" s="14"/>
      <c r="K278" s="12"/>
    </row>
    <row r="279" ht="19.5" customHeight="1">
      <c r="A279" s="12"/>
      <c r="C279" s="12"/>
      <c r="D279" s="13"/>
      <c r="F279" s="14"/>
      <c r="G279" s="14"/>
      <c r="H279" s="14"/>
      <c r="I279" s="14"/>
      <c r="J279" s="14"/>
      <c r="K279" s="12"/>
    </row>
    <row r="280" ht="19.5" customHeight="1">
      <c r="A280" s="12"/>
      <c r="C280" s="12"/>
      <c r="D280" s="13"/>
      <c r="F280" s="14"/>
      <c r="G280" s="14"/>
      <c r="H280" s="14"/>
      <c r="I280" s="14"/>
      <c r="J280" s="14"/>
      <c r="K280" s="12"/>
    </row>
    <row r="281" ht="19.5" customHeight="1">
      <c r="A281" s="12"/>
      <c r="C281" s="12"/>
      <c r="D281" s="13"/>
      <c r="F281" s="14"/>
      <c r="G281" s="14"/>
      <c r="H281" s="14"/>
      <c r="I281" s="14"/>
      <c r="J281" s="14"/>
      <c r="K281" s="12"/>
    </row>
    <row r="282" ht="19.5" customHeight="1">
      <c r="A282" s="12"/>
      <c r="C282" s="12"/>
      <c r="D282" s="13"/>
      <c r="F282" s="14"/>
      <c r="G282" s="14"/>
      <c r="H282" s="14"/>
      <c r="I282" s="14"/>
      <c r="J282" s="14"/>
      <c r="K282" s="12"/>
    </row>
    <row r="283" ht="19.5" customHeight="1">
      <c r="A283" s="12"/>
      <c r="C283" s="12"/>
      <c r="D283" s="13"/>
      <c r="F283" s="14"/>
      <c r="G283" s="14"/>
      <c r="H283" s="14"/>
      <c r="I283" s="14"/>
      <c r="J283" s="14"/>
      <c r="K283" s="12"/>
    </row>
    <row r="284" ht="19.5" customHeight="1">
      <c r="A284" s="12"/>
      <c r="C284" s="12"/>
      <c r="D284" s="13"/>
      <c r="F284" s="14"/>
      <c r="G284" s="14"/>
      <c r="H284" s="14"/>
      <c r="I284" s="14"/>
      <c r="J284" s="14"/>
      <c r="K284" s="12"/>
    </row>
    <row r="285" ht="19.5" customHeight="1">
      <c r="A285" s="12"/>
      <c r="C285" s="12"/>
      <c r="D285" s="13"/>
      <c r="F285" s="14"/>
      <c r="G285" s="14"/>
      <c r="H285" s="14"/>
      <c r="I285" s="14"/>
      <c r="J285" s="14"/>
      <c r="K285" s="12"/>
    </row>
    <row r="286" ht="19.5" customHeight="1">
      <c r="A286" s="12"/>
      <c r="C286" s="12"/>
      <c r="D286" s="13"/>
      <c r="F286" s="14"/>
      <c r="G286" s="14"/>
      <c r="H286" s="14"/>
      <c r="I286" s="14"/>
      <c r="J286" s="14"/>
      <c r="K286" s="12"/>
    </row>
    <row r="287" ht="19.5" customHeight="1">
      <c r="A287" s="12"/>
      <c r="C287" s="12"/>
      <c r="D287" s="13"/>
      <c r="F287" s="14"/>
      <c r="G287" s="14"/>
      <c r="H287" s="14"/>
      <c r="I287" s="14"/>
      <c r="J287" s="14"/>
      <c r="K287" s="12"/>
    </row>
    <row r="288" ht="19.5" customHeight="1">
      <c r="A288" s="12"/>
      <c r="C288" s="12"/>
      <c r="D288" s="13"/>
      <c r="F288" s="14"/>
      <c r="G288" s="14"/>
      <c r="H288" s="14"/>
      <c r="I288" s="14"/>
      <c r="J288" s="14"/>
      <c r="K288" s="12"/>
    </row>
    <row r="289" ht="19.5" customHeight="1">
      <c r="A289" s="12"/>
      <c r="C289" s="12"/>
      <c r="D289" s="13"/>
      <c r="F289" s="14"/>
      <c r="G289" s="14"/>
      <c r="H289" s="14"/>
      <c r="I289" s="14"/>
      <c r="J289" s="14"/>
      <c r="K289" s="12"/>
    </row>
    <row r="290" ht="19.5" customHeight="1">
      <c r="A290" s="12"/>
      <c r="C290" s="12"/>
      <c r="D290" s="13"/>
      <c r="F290" s="14"/>
      <c r="G290" s="14"/>
      <c r="H290" s="14"/>
      <c r="I290" s="14"/>
      <c r="J290" s="14"/>
      <c r="K290" s="12"/>
    </row>
    <row r="291" ht="19.5" customHeight="1">
      <c r="A291" s="12"/>
      <c r="C291" s="12"/>
      <c r="D291" s="13"/>
      <c r="F291" s="14"/>
      <c r="G291" s="14"/>
      <c r="H291" s="14"/>
      <c r="I291" s="14"/>
      <c r="J291" s="14"/>
      <c r="K291" s="12"/>
    </row>
    <row r="292" ht="19.5" customHeight="1">
      <c r="A292" s="12"/>
      <c r="C292" s="12"/>
      <c r="D292" s="13"/>
      <c r="F292" s="14"/>
      <c r="G292" s="14"/>
      <c r="H292" s="14"/>
      <c r="I292" s="14"/>
      <c r="J292" s="14"/>
      <c r="K292" s="12"/>
    </row>
    <row r="293" ht="19.5" customHeight="1">
      <c r="A293" s="12"/>
      <c r="C293" s="12"/>
      <c r="D293" s="13"/>
      <c r="F293" s="14"/>
      <c r="G293" s="14"/>
      <c r="H293" s="14"/>
      <c r="I293" s="14"/>
      <c r="J293" s="14"/>
      <c r="K293" s="12"/>
    </row>
    <row r="294" ht="19.5" customHeight="1">
      <c r="A294" s="12"/>
      <c r="C294" s="12"/>
      <c r="D294" s="13"/>
      <c r="F294" s="14"/>
      <c r="G294" s="14"/>
      <c r="H294" s="14"/>
      <c r="I294" s="14"/>
      <c r="J294" s="14"/>
      <c r="K294" s="12"/>
    </row>
    <row r="295" ht="19.5" customHeight="1">
      <c r="A295" s="12"/>
      <c r="C295" s="12"/>
      <c r="D295" s="13"/>
      <c r="F295" s="14"/>
      <c r="G295" s="14"/>
      <c r="H295" s="14"/>
      <c r="I295" s="14"/>
      <c r="J295" s="14"/>
      <c r="K295" s="12"/>
    </row>
    <row r="296" ht="19.5" customHeight="1">
      <c r="A296" s="12"/>
      <c r="C296" s="12"/>
      <c r="D296" s="13"/>
      <c r="F296" s="14"/>
      <c r="G296" s="14"/>
      <c r="H296" s="14"/>
      <c r="I296" s="14"/>
      <c r="J296" s="14"/>
      <c r="K296" s="12"/>
    </row>
    <row r="297" ht="19.5" customHeight="1">
      <c r="A297" s="12"/>
      <c r="C297" s="12"/>
      <c r="D297" s="13"/>
      <c r="F297" s="14"/>
      <c r="G297" s="14"/>
      <c r="H297" s="14"/>
      <c r="I297" s="14"/>
      <c r="J297" s="14"/>
      <c r="K297" s="12"/>
    </row>
    <row r="298" ht="19.5" customHeight="1">
      <c r="A298" s="12"/>
      <c r="C298" s="12"/>
      <c r="D298" s="13"/>
      <c r="F298" s="14"/>
      <c r="G298" s="14"/>
      <c r="H298" s="14"/>
      <c r="I298" s="14"/>
      <c r="J298" s="14"/>
      <c r="K298" s="12"/>
    </row>
    <row r="299" ht="19.5" customHeight="1">
      <c r="A299" s="12"/>
      <c r="C299" s="12"/>
      <c r="D299" s="13"/>
      <c r="F299" s="14"/>
      <c r="G299" s="14"/>
      <c r="H299" s="14"/>
      <c r="I299" s="14"/>
      <c r="J299" s="14"/>
      <c r="K299" s="12"/>
    </row>
    <row r="300" ht="19.5" customHeight="1">
      <c r="A300" s="12"/>
      <c r="C300" s="12"/>
      <c r="D300" s="13"/>
      <c r="F300" s="14"/>
      <c r="G300" s="14"/>
      <c r="H300" s="14"/>
      <c r="I300" s="14"/>
      <c r="J300" s="14"/>
      <c r="K300" s="12"/>
    </row>
    <row r="301" ht="19.5" customHeight="1">
      <c r="A301" s="12"/>
      <c r="C301" s="12"/>
      <c r="D301" s="13"/>
      <c r="F301" s="14"/>
      <c r="G301" s="14"/>
      <c r="H301" s="14"/>
      <c r="I301" s="14"/>
      <c r="J301" s="14"/>
      <c r="K301" s="12"/>
    </row>
    <row r="302" ht="19.5" customHeight="1">
      <c r="A302" s="12"/>
      <c r="C302" s="12"/>
      <c r="D302" s="13"/>
      <c r="F302" s="14"/>
      <c r="G302" s="14"/>
      <c r="H302" s="14"/>
      <c r="I302" s="14"/>
      <c r="J302" s="14"/>
      <c r="K302" s="12"/>
    </row>
    <row r="303" ht="19.5" customHeight="1">
      <c r="A303" s="12"/>
      <c r="C303" s="12"/>
      <c r="D303" s="13"/>
      <c r="F303" s="14"/>
      <c r="G303" s="14"/>
      <c r="H303" s="14"/>
      <c r="I303" s="14"/>
      <c r="J303" s="14"/>
      <c r="K303" s="12"/>
    </row>
    <row r="304" ht="19.5" customHeight="1">
      <c r="A304" s="12"/>
      <c r="C304" s="12"/>
      <c r="D304" s="13"/>
      <c r="F304" s="14"/>
      <c r="G304" s="14"/>
      <c r="H304" s="14"/>
      <c r="I304" s="14"/>
      <c r="J304" s="14"/>
      <c r="K304" s="12"/>
    </row>
    <row r="305" ht="19.5" customHeight="1">
      <c r="A305" s="12"/>
      <c r="C305" s="12"/>
      <c r="D305" s="13"/>
      <c r="F305" s="14"/>
      <c r="G305" s="14"/>
      <c r="H305" s="14"/>
      <c r="I305" s="14"/>
      <c r="J305" s="14"/>
      <c r="K305" s="12"/>
    </row>
    <row r="306" ht="19.5" customHeight="1">
      <c r="A306" s="12"/>
      <c r="C306" s="12"/>
      <c r="D306" s="13"/>
      <c r="F306" s="14"/>
      <c r="G306" s="14"/>
      <c r="H306" s="14"/>
      <c r="I306" s="14"/>
      <c r="J306" s="14"/>
      <c r="K306" s="12"/>
    </row>
    <row r="307" ht="19.5" customHeight="1">
      <c r="A307" s="12"/>
      <c r="C307" s="12"/>
      <c r="D307" s="13"/>
      <c r="F307" s="14"/>
      <c r="G307" s="14"/>
      <c r="H307" s="14"/>
      <c r="I307" s="14"/>
      <c r="J307" s="14"/>
      <c r="K307" s="12"/>
    </row>
    <row r="308" ht="19.5" customHeight="1">
      <c r="A308" s="12"/>
      <c r="C308" s="12"/>
      <c r="D308" s="13"/>
      <c r="F308" s="14"/>
      <c r="G308" s="14"/>
      <c r="H308" s="14"/>
      <c r="I308" s="14"/>
      <c r="J308" s="14"/>
      <c r="K308" s="12"/>
    </row>
    <row r="309" ht="19.5" customHeight="1">
      <c r="A309" s="12"/>
      <c r="C309" s="12"/>
      <c r="D309" s="13"/>
      <c r="F309" s="14"/>
      <c r="G309" s="14"/>
      <c r="H309" s="14"/>
      <c r="I309" s="14"/>
      <c r="J309" s="14"/>
      <c r="K309" s="12"/>
    </row>
    <row r="310" ht="19.5" customHeight="1">
      <c r="A310" s="12"/>
      <c r="C310" s="12"/>
      <c r="D310" s="13"/>
      <c r="F310" s="14"/>
      <c r="G310" s="14"/>
      <c r="H310" s="14"/>
      <c r="I310" s="14"/>
      <c r="J310" s="14"/>
      <c r="K310" s="12"/>
    </row>
    <row r="311" ht="19.5" customHeight="1">
      <c r="A311" s="12"/>
      <c r="C311" s="12"/>
      <c r="D311" s="13"/>
      <c r="F311" s="14"/>
      <c r="G311" s="14"/>
      <c r="H311" s="14"/>
      <c r="I311" s="14"/>
      <c r="J311" s="14"/>
      <c r="K311" s="12"/>
    </row>
    <row r="312" ht="19.5" customHeight="1">
      <c r="A312" s="12"/>
      <c r="C312" s="12"/>
      <c r="D312" s="13"/>
      <c r="F312" s="14"/>
      <c r="G312" s="14"/>
      <c r="H312" s="14"/>
      <c r="I312" s="14"/>
      <c r="J312" s="14"/>
      <c r="K312" s="12"/>
    </row>
    <row r="313" ht="19.5" customHeight="1">
      <c r="A313" s="12"/>
      <c r="C313" s="12"/>
      <c r="D313" s="13"/>
      <c r="F313" s="14"/>
      <c r="G313" s="14"/>
      <c r="H313" s="14"/>
      <c r="I313" s="14"/>
      <c r="J313" s="14"/>
      <c r="K313" s="12"/>
    </row>
    <row r="314" ht="19.5" customHeight="1">
      <c r="A314" s="12"/>
      <c r="C314" s="12"/>
      <c r="D314" s="13"/>
      <c r="F314" s="14"/>
      <c r="G314" s="14"/>
      <c r="H314" s="14"/>
      <c r="I314" s="14"/>
      <c r="J314" s="14"/>
      <c r="K314" s="12"/>
    </row>
    <row r="315" ht="19.5" customHeight="1">
      <c r="A315" s="12"/>
      <c r="C315" s="12"/>
      <c r="D315" s="13"/>
      <c r="F315" s="14"/>
      <c r="G315" s="14"/>
      <c r="H315" s="14"/>
      <c r="I315" s="14"/>
      <c r="J315" s="14"/>
      <c r="K315" s="12"/>
    </row>
    <row r="316" ht="19.5" customHeight="1">
      <c r="A316" s="12"/>
      <c r="C316" s="12"/>
      <c r="D316" s="13"/>
      <c r="F316" s="14"/>
      <c r="G316" s="14"/>
      <c r="H316" s="14"/>
      <c r="I316" s="14"/>
      <c r="J316" s="14"/>
      <c r="K316" s="12"/>
    </row>
    <row r="317" ht="19.5" customHeight="1">
      <c r="A317" s="12"/>
      <c r="C317" s="12"/>
      <c r="D317" s="13"/>
      <c r="F317" s="14"/>
      <c r="G317" s="14"/>
      <c r="H317" s="14"/>
      <c r="I317" s="14"/>
      <c r="J317" s="14"/>
      <c r="K317" s="12"/>
    </row>
    <row r="318" ht="19.5" customHeight="1">
      <c r="A318" s="12"/>
      <c r="C318" s="12"/>
      <c r="D318" s="13"/>
      <c r="F318" s="14"/>
      <c r="G318" s="14"/>
      <c r="H318" s="14"/>
      <c r="I318" s="14"/>
      <c r="J318" s="14"/>
      <c r="K318" s="12"/>
    </row>
    <row r="319" ht="19.5" customHeight="1">
      <c r="A319" s="12"/>
      <c r="C319" s="12"/>
      <c r="D319" s="13"/>
      <c r="F319" s="14"/>
      <c r="G319" s="14"/>
      <c r="H319" s="14"/>
      <c r="I319" s="14"/>
      <c r="J319" s="14"/>
      <c r="K319" s="12"/>
    </row>
    <row r="320" ht="19.5" customHeight="1">
      <c r="A320" s="12"/>
      <c r="C320" s="12"/>
      <c r="D320" s="13"/>
      <c r="F320" s="14"/>
      <c r="G320" s="14"/>
      <c r="H320" s="14"/>
      <c r="I320" s="14"/>
      <c r="J320" s="14"/>
      <c r="K320" s="12"/>
    </row>
    <row r="321" ht="19.5" customHeight="1">
      <c r="A321" s="12"/>
      <c r="C321" s="12"/>
      <c r="D321" s="13"/>
      <c r="F321" s="14"/>
      <c r="G321" s="14"/>
      <c r="H321" s="14"/>
      <c r="I321" s="14"/>
      <c r="J321" s="14"/>
      <c r="K321" s="12"/>
    </row>
    <row r="322" ht="19.5" customHeight="1">
      <c r="A322" s="12"/>
      <c r="C322" s="12"/>
      <c r="D322" s="13"/>
      <c r="F322" s="14"/>
      <c r="G322" s="14"/>
      <c r="H322" s="14"/>
      <c r="I322" s="14"/>
      <c r="J322" s="14"/>
      <c r="K322" s="12"/>
    </row>
    <row r="323" ht="19.5" customHeight="1">
      <c r="A323" s="12"/>
      <c r="C323" s="12"/>
      <c r="D323" s="13"/>
      <c r="F323" s="14"/>
      <c r="G323" s="14"/>
      <c r="H323" s="14"/>
      <c r="I323" s="14"/>
      <c r="J323" s="14"/>
      <c r="K323" s="12"/>
    </row>
    <row r="324" ht="19.5" customHeight="1">
      <c r="A324" s="12"/>
      <c r="C324" s="12"/>
      <c r="D324" s="13"/>
      <c r="F324" s="14"/>
      <c r="G324" s="14"/>
      <c r="H324" s="14"/>
      <c r="I324" s="14"/>
      <c r="J324" s="14"/>
      <c r="K324" s="12"/>
    </row>
    <row r="325" ht="19.5" customHeight="1">
      <c r="A325" s="12"/>
      <c r="C325" s="12"/>
      <c r="D325" s="13"/>
      <c r="F325" s="14"/>
      <c r="G325" s="14"/>
      <c r="H325" s="14"/>
      <c r="I325" s="14"/>
      <c r="J325" s="14"/>
      <c r="K325" s="12"/>
    </row>
    <row r="326" ht="19.5" customHeight="1">
      <c r="A326" s="12"/>
      <c r="C326" s="12"/>
      <c r="D326" s="13"/>
      <c r="F326" s="14"/>
      <c r="G326" s="14"/>
      <c r="H326" s="14"/>
      <c r="I326" s="14"/>
      <c r="J326" s="14"/>
      <c r="K326" s="12"/>
    </row>
    <row r="327" ht="19.5" customHeight="1">
      <c r="A327" s="12"/>
      <c r="C327" s="12"/>
      <c r="D327" s="13"/>
      <c r="F327" s="14"/>
      <c r="G327" s="14"/>
      <c r="H327" s="14"/>
      <c r="I327" s="14"/>
      <c r="J327" s="14"/>
      <c r="K327" s="12"/>
    </row>
    <row r="328" ht="19.5" customHeight="1">
      <c r="A328" s="12"/>
      <c r="C328" s="12"/>
      <c r="D328" s="13"/>
      <c r="F328" s="14"/>
      <c r="G328" s="14"/>
      <c r="H328" s="14"/>
      <c r="I328" s="14"/>
      <c r="J328" s="14"/>
      <c r="K328" s="12"/>
    </row>
    <row r="329" ht="19.5" customHeight="1">
      <c r="A329" s="12"/>
      <c r="C329" s="12"/>
      <c r="D329" s="13"/>
      <c r="F329" s="14"/>
      <c r="G329" s="14"/>
      <c r="H329" s="14"/>
      <c r="I329" s="14"/>
      <c r="J329" s="14"/>
      <c r="K329" s="12"/>
    </row>
    <row r="330" ht="19.5" customHeight="1">
      <c r="A330" s="12"/>
      <c r="C330" s="12"/>
      <c r="D330" s="13"/>
      <c r="F330" s="14"/>
      <c r="G330" s="14"/>
      <c r="H330" s="14"/>
      <c r="I330" s="14"/>
      <c r="J330" s="14"/>
      <c r="K330" s="12"/>
    </row>
    <row r="331" ht="19.5" customHeight="1">
      <c r="A331" s="12"/>
      <c r="C331" s="12"/>
      <c r="D331" s="13"/>
      <c r="F331" s="14"/>
      <c r="G331" s="14"/>
      <c r="H331" s="14"/>
      <c r="I331" s="14"/>
      <c r="J331" s="14"/>
      <c r="K331" s="12"/>
    </row>
    <row r="332" ht="19.5" customHeight="1">
      <c r="A332" s="12"/>
      <c r="C332" s="12"/>
      <c r="D332" s="13"/>
      <c r="F332" s="14"/>
      <c r="G332" s="14"/>
      <c r="H332" s="14"/>
      <c r="I332" s="14"/>
      <c r="J332" s="14"/>
      <c r="K332" s="12"/>
    </row>
    <row r="333" ht="19.5" customHeight="1">
      <c r="A333" s="12"/>
      <c r="C333" s="12"/>
      <c r="D333" s="13"/>
      <c r="F333" s="14"/>
      <c r="G333" s="14"/>
      <c r="H333" s="14"/>
      <c r="I333" s="14"/>
      <c r="J333" s="14"/>
      <c r="K333" s="12"/>
    </row>
    <row r="334" ht="19.5" customHeight="1">
      <c r="A334" s="12"/>
      <c r="C334" s="12"/>
      <c r="D334" s="13"/>
      <c r="F334" s="14"/>
      <c r="G334" s="14"/>
      <c r="H334" s="14"/>
      <c r="I334" s="14"/>
      <c r="J334" s="14"/>
      <c r="K334" s="12"/>
    </row>
    <row r="335" ht="19.5" customHeight="1">
      <c r="A335" s="12"/>
      <c r="C335" s="12"/>
      <c r="D335" s="13"/>
      <c r="F335" s="14"/>
      <c r="G335" s="14"/>
      <c r="H335" s="14"/>
      <c r="I335" s="14"/>
      <c r="J335" s="14"/>
      <c r="K335" s="12"/>
    </row>
    <row r="336" ht="19.5" customHeight="1">
      <c r="A336" s="12"/>
      <c r="C336" s="12"/>
      <c r="D336" s="13"/>
      <c r="F336" s="14"/>
      <c r="G336" s="14"/>
      <c r="H336" s="14"/>
      <c r="I336" s="14"/>
      <c r="J336" s="14"/>
      <c r="K336" s="12"/>
    </row>
    <row r="337" ht="19.5" customHeight="1">
      <c r="A337" s="12"/>
      <c r="C337" s="12"/>
      <c r="D337" s="13"/>
      <c r="F337" s="14"/>
      <c r="G337" s="14"/>
      <c r="H337" s="14"/>
      <c r="I337" s="14"/>
      <c r="J337" s="14"/>
      <c r="K337" s="12"/>
    </row>
    <row r="338" ht="19.5" customHeight="1">
      <c r="A338" s="12"/>
      <c r="C338" s="12"/>
      <c r="D338" s="13"/>
      <c r="F338" s="14"/>
      <c r="G338" s="14"/>
      <c r="H338" s="14"/>
      <c r="I338" s="14"/>
      <c r="J338" s="14"/>
      <c r="K338" s="12"/>
    </row>
    <row r="339" ht="19.5" customHeight="1">
      <c r="A339" s="12"/>
      <c r="C339" s="12"/>
      <c r="D339" s="13"/>
      <c r="F339" s="14"/>
      <c r="G339" s="14"/>
      <c r="H339" s="14"/>
      <c r="I339" s="14"/>
      <c r="J339" s="14"/>
      <c r="K339" s="12"/>
    </row>
    <row r="340" ht="19.5" customHeight="1">
      <c r="A340" s="12"/>
      <c r="C340" s="12"/>
      <c r="D340" s="13"/>
      <c r="F340" s="14"/>
      <c r="G340" s="14"/>
      <c r="H340" s="14"/>
      <c r="I340" s="14"/>
      <c r="J340" s="14"/>
      <c r="K340" s="12"/>
    </row>
    <row r="341" ht="19.5" customHeight="1">
      <c r="A341" s="12"/>
      <c r="C341" s="12"/>
      <c r="D341" s="13"/>
      <c r="F341" s="14"/>
      <c r="G341" s="14"/>
      <c r="H341" s="14"/>
      <c r="I341" s="14"/>
      <c r="J341" s="14"/>
      <c r="K341" s="12"/>
    </row>
    <row r="342" ht="19.5" customHeight="1">
      <c r="A342" s="12"/>
      <c r="C342" s="12"/>
      <c r="D342" s="13"/>
      <c r="F342" s="14"/>
      <c r="G342" s="14"/>
      <c r="H342" s="14"/>
      <c r="I342" s="14"/>
      <c r="J342" s="14"/>
      <c r="K342" s="12"/>
    </row>
    <row r="343" ht="19.5" customHeight="1">
      <c r="A343" s="12"/>
      <c r="C343" s="12"/>
      <c r="D343" s="13"/>
      <c r="F343" s="14"/>
      <c r="G343" s="14"/>
      <c r="H343" s="14"/>
      <c r="I343" s="14"/>
      <c r="J343" s="14"/>
      <c r="K343" s="12"/>
    </row>
    <row r="344" ht="19.5" customHeight="1">
      <c r="A344" s="12"/>
      <c r="C344" s="12"/>
      <c r="D344" s="13"/>
      <c r="F344" s="14"/>
      <c r="G344" s="14"/>
      <c r="H344" s="14"/>
      <c r="I344" s="14"/>
      <c r="J344" s="14"/>
      <c r="K344" s="12"/>
    </row>
    <row r="345" ht="19.5" customHeight="1">
      <c r="A345" s="12"/>
      <c r="C345" s="12"/>
      <c r="D345" s="13"/>
      <c r="F345" s="14"/>
      <c r="G345" s="14"/>
      <c r="H345" s="14"/>
      <c r="I345" s="14"/>
      <c r="J345" s="14"/>
      <c r="K345" s="12"/>
    </row>
    <row r="346" ht="19.5" customHeight="1">
      <c r="A346" s="12"/>
      <c r="C346" s="12"/>
      <c r="D346" s="13"/>
      <c r="F346" s="14"/>
      <c r="G346" s="14"/>
      <c r="H346" s="14"/>
      <c r="I346" s="14"/>
      <c r="J346" s="14"/>
      <c r="K346" s="12"/>
    </row>
    <row r="347" ht="19.5" customHeight="1">
      <c r="A347" s="12"/>
      <c r="C347" s="12"/>
      <c r="D347" s="13"/>
      <c r="F347" s="14"/>
      <c r="G347" s="14"/>
      <c r="H347" s="14"/>
      <c r="I347" s="14"/>
      <c r="J347" s="14"/>
      <c r="K347" s="12"/>
    </row>
    <row r="348" ht="19.5" customHeight="1">
      <c r="A348" s="12"/>
      <c r="C348" s="12"/>
      <c r="D348" s="13"/>
      <c r="F348" s="14"/>
      <c r="G348" s="14"/>
      <c r="H348" s="14"/>
      <c r="I348" s="14"/>
      <c r="J348" s="14"/>
      <c r="K348" s="12"/>
    </row>
    <row r="349" ht="19.5" customHeight="1">
      <c r="A349" s="12"/>
      <c r="C349" s="12"/>
      <c r="D349" s="13"/>
      <c r="F349" s="14"/>
      <c r="G349" s="14"/>
      <c r="H349" s="14"/>
      <c r="I349" s="14"/>
      <c r="J349" s="14"/>
      <c r="K349" s="12"/>
    </row>
    <row r="350" ht="19.5" customHeight="1">
      <c r="A350" s="12"/>
      <c r="C350" s="12"/>
      <c r="D350" s="13"/>
      <c r="F350" s="14"/>
      <c r="G350" s="14"/>
      <c r="H350" s="14"/>
      <c r="I350" s="14"/>
      <c r="J350" s="14"/>
      <c r="K350" s="12"/>
    </row>
    <row r="351" ht="19.5" customHeight="1">
      <c r="A351" s="12"/>
      <c r="C351" s="12"/>
      <c r="D351" s="13"/>
      <c r="F351" s="14"/>
      <c r="G351" s="14"/>
      <c r="H351" s="14"/>
      <c r="I351" s="14"/>
      <c r="J351" s="14"/>
      <c r="K351" s="12"/>
    </row>
    <row r="352" ht="19.5" customHeight="1">
      <c r="A352" s="12"/>
      <c r="C352" s="12"/>
      <c r="D352" s="13"/>
      <c r="F352" s="14"/>
      <c r="G352" s="14"/>
      <c r="H352" s="14"/>
      <c r="I352" s="14"/>
      <c r="J352" s="14"/>
      <c r="K352" s="12"/>
    </row>
    <row r="353" ht="19.5" customHeight="1">
      <c r="A353" s="12"/>
      <c r="C353" s="12"/>
      <c r="D353" s="13"/>
      <c r="F353" s="14"/>
      <c r="G353" s="14"/>
      <c r="H353" s="14"/>
      <c r="I353" s="14"/>
      <c r="J353" s="14"/>
      <c r="K353" s="12"/>
    </row>
    <row r="354" ht="19.5" customHeight="1">
      <c r="A354" s="12"/>
      <c r="C354" s="12"/>
      <c r="D354" s="13"/>
      <c r="F354" s="14"/>
      <c r="G354" s="14"/>
      <c r="H354" s="14"/>
      <c r="I354" s="14"/>
      <c r="J354" s="14"/>
      <c r="K354" s="12"/>
    </row>
    <row r="355" ht="19.5" customHeight="1">
      <c r="A355" s="12"/>
      <c r="C355" s="12"/>
      <c r="D355" s="13"/>
      <c r="F355" s="14"/>
      <c r="G355" s="14"/>
      <c r="H355" s="14"/>
      <c r="I355" s="14"/>
      <c r="J355" s="14"/>
      <c r="K355" s="12"/>
    </row>
    <row r="356" ht="19.5" customHeight="1">
      <c r="A356" s="12"/>
      <c r="C356" s="12"/>
      <c r="D356" s="13"/>
      <c r="F356" s="14"/>
      <c r="G356" s="14"/>
      <c r="H356" s="14"/>
      <c r="I356" s="14"/>
      <c r="J356" s="14"/>
      <c r="K356" s="12"/>
    </row>
    <row r="357" ht="19.5" customHeight="1">
      <c r="A357" s="12"/>
      <c r="C357" s="12"/>
      <c r="D357" s="13"/>
      <c r="F357" s="14"/>
      <c r="G357" s="14"/>
      <c r="H357" s="14"/>
      <c r="I357" s="14"/>
      <c r="J357" s="14"/>
      <c r="K357" s="12"/>
    </row>
    <row r="358" ht="19.5" customHeight="1">
      <c r="A358" s="12"/>
      <c r="C358" s="12"/>
      <c r="D358" s="13"/>
      <c r="F358" s="14"/>
      <c r="G358" s="14"/>
      <c r="H358" s="14"/>
      <c r="I358" s="14"/>
      <c r="J358" s="14"/>
      <c r="K358" s="12"/>
    </row>
    <row r="359" ht="19.5" customHeight="1">
      <c r="A359" s="12"/>
      <c r="C359" s="12"/>
      <c r="D359" s="13"/>
      <c r="F359" s="14"/>
      <c r="G359" s="14"/>
      <c r="H359" s="14"/>
      <c r="I359" s="14"/>
      <c r="J359" s="14"/>
      <c r="K359" s="12"/>
    </row>
    <row r="360" ht="19.5" customHeight="1">
      <c r="A360" s="12"/>
      <c r="C360" s="12"/>
      <c r="D360" s="13"/>
      <c r="F360" s="14"/>
      <c r="G360" s="14"/>
      <c r="H360" s="14"/>
      <c r="I360" s="14"/>
      <c r="J360" s="14"/>
      <c r="K360" s="12"/>
    </row>
    <row r="361" ht="19.5" customHeight="1">
      <c r="A361" s="12"/>
      <c r="C361" s="12"/>
      <c r="D361" s="13"/>
      <c r="F361" s="14"/>
      <c r="G361" s="14"/>
      <c r="H361" s="14"/>
      <c r="I361" s="14"/>
      <c r="J361" s="14"/>
      <c r="K361" s="12"/>
    </row>
    <row r="362" ht="19.5" customHeight="1">
      <c r="A362" s="12"/>
      <c r="C362" s="12"/>
      <c r="D362" s="13"/>
      <c r="F362" s="14"/>
      <c r="G362" s="14"/>
      <c r="H362" s="14"/>
      <c r="I362" s="14"/>
      <c r="J362" s="14"/>
      <c r="K362" s="12"/>
    </row>
    <row r="363" ht="19.5" customHeight="1">
      <c r="A363" s="12"/>
      <c r="C363" s="12"/>
      <c r="D363" s="13"/>
      <c r="F363" s="14"/>
      <c r="G363" s="14"/>
      <c r="H363" s="14"/>
      <c r="I363" s="14"/>
      <c r="J363" s="14"/>
      <c r="K363" s="12"/>
    </row>
    <row r="364" ht="19.5" customHeight="1">
      <c r="A364" s="12"/>
      <c r="C364" s="12"/>
      <c r="D364" s="13"/>
      <c r="F364" s="14"/>
      <c r="G364" s="14"/>
      <c r="H364" s="14"/>
      <c r="I364" s="14"/>
      <c r="J364" s="14"/>
      <c r="K364" s="12"/>
    </row>
    <row r="365" ht="19.5" customHeight="1">
      <c r="A365" s="12"/>
      <c r="C365" s="12"/>
      <c r="D365" s="13"/>
      <c r="F365" s="14"/>
      <c r="G365" s="14"/>
      <c r="H365" s="14"/>
      <c r="I365" s="14"/>
      <c r="J365" s="14"/>
      <c r="K365" s="12"/>
    </row>
    <row r="366" ht="19.5" customHeight="1">
      <c r="A366" s="12"/>
      <c r="C366" s="12"/>
      <c r="D366" s="13"/>
      <c r="F366" s="14"/>
      <c r="G366" s="14"/>
      <c r="H366" s="14"/>
      <c r="I366" s="14"/>
      <c r="J366" s="14"/>
      <c r="K366" s="12"/>
    </row>
    <row r="367" ht="19.5" customHeight="1">
      <c r="A367" s="12"/>
      <c r="C367" s="12"/>
      <c r="D367" s="13"/>
      <c r="F367" s="14"/>
      <c r="G367" s="14"/>
      <c r="H367" s="14"/>
      <c r="I367" s="14"/>
      <c r="J367" s="14"/>
      <c r="K367" s="12"/>
    </row>
    <row r="368" ht="19.5" customHeight="1">
      <c r="A368" s="12"/>
      <c r="C368" s="12"/>
      <c r="D368" s="13"/>
      <c r="F368" s="14"/>
      <c r="G368" s="14"/>
      <c r="H368" s="14"/>
      <c r="I368" s="14"/>
      <c r="J368" s="14"/>
      <c r="K368" s="12"/>
    </row>
    <row r="369" ht="19.5" customHeight="1">
      <c r="A369" s="12"/>
      <c r="C369" s="12"/>
      <c r="D369" s="13"/>
      <c r="F369" s="14"/>
      <c r="G369" s="14"/>
      <c r="H369" s="14"/>
      <c r="I369" s="14"/>
      <c r="J369" s="14"/>
      <c r="K369" s="12"/>
    </row>
    <row r="370" ht="19.5" customHeight="1">
      <c r="A370" s="12"/>
      <c r="C370" s="12"/>
      <c r="D370" s="13"/>
      <c r="F370" s="14"/>
      <c r="G370" s="14"/>
      <c r="H370" s="14"/>
      <c r="I370" s="14"/>
      <c r="J370" s="14"/>
      <c r="K370" s="12"/>
    </row>
    <row r="371" ht="19.5" customHeight="1">
      <c r="A371" s="12"/>
      <c r="C371" s="12"/>
      <c r="D371" s="13"/>
      <c r="F371" s="14"/>
      <c r="G371" s="14"/>
      <c r="H371" s="14"/>
      <c r="I371" s="14"/>
      <c r="J371" s="14"/>
      <c r="K371" s="12"/>
    </row>
    <row r="372" ht="19.5" customHeight="1">
      <c r="A372" s="12"/>
      <c r="C372" s="12"/>
      <c r="D372" s="13"/>
      <c r="F372" s="14"/>
      <c r="G372" s="14"/>
      <c r="H372" s="14"/>
      <c r="I372" s="14"/>
      <c r="J372" s="14"/>
      <c r="K372" s="12"/>
    </row>
    <row r="373" ht="19.5" customHeight="1">
      <c r="A373" s="12"/>
      <c r="C373" s="12"/>
      <c r="D373" s="13"/>
      <c r="F373" s="14"/>
      <c r="G373" s="14"/>
      <c r="H373" s="14"/>
      <c r="I373" s="14"/>
      <c r="J373" s="14"/>
      <c r="K373" s="12"/>
    </row>
    <row r="374" ht="19.5" customHeight="1">
      <c r="A374" s="12"/>
      <c r="C374" s="12"/>
      <c r="D374" s="13"/>
      <c r="F374" s="14"/>
      <c r="G374" s="14"/>
      <c r="H374" s="14"/>
      <c r="I374" s="14"/>
      <c r="J374" s="14"/>
      <c r="K374" s="12"/>
    </row>
    <row r="375" ht="19.5" customHeight="1">
      <c r="A375" s="12"/>
      <c r="C375" s="12"/>
      <c r="D375" s="13"/>
      <c r="F375" s="14"/>
      <c r="G375" s="14"/>
      <c r="H375" s="14"/>
      <c r="I375" s="14"/>
      <c r="J375" s="14"/>
      <c r="K375" s="12"/>
    </row>
    <row r="376" ht="19.5" customHeight="1">
      <c r="A376" s="12"/>
      <c r="C376" s="12"/>
      <c r="D376" s="13"/>
      <c r="F376" s="14"/>
      <c r="G376" s="14"/>
      <c r="H376" s="14"/>
      <c r="I376" s="14"/>
      <c r="J376" s="14"/>
      <c r="K376" s="12"/>
    </row>
    <row r="377" ht="19.5" customHeight="1">
      <c r="A377" s="12"/>
      <c r="C377" s="12"/>
      <c r="D377" s="13"/>
      <c r="F377" s="14"/>
      <c r="G377" s="14"/>
      <c r="H377" s="14"/>
      <c r="I377" s="14"/>
      <c r="J377" s="14"/>
      <c r="K377" s="12"/>
    </row>
    <row r="378" ht="19.5" customHeight="1">
      <c r="A378" s="12"/>
      <c r="C378" s="12"/>
      <c r="D378" s="13"/>
      <c r="F378" s="14"/>
      <c r="G378" s="14"/>
      <c r="H378" s="14"/>
      <c r="I378" s="14"/>
      <c r="J378" s="14"/>
      <c r="K378" s="12"/>
    </row>
    <row r="379" ht="19.5" customHeight="1">
      <c r="A379" s="12"/>
      <c r="C379" s="12"/>
      <c r="D379" s="13"/>
      <c r="F379" s="14"/>
      <c r="G379" s="14"/>
      <c r="H379" s="14"/>
      <c r="I379" s="14"/>
      <c r="J379" s="14"/>
      <c r="K379" s="12"/>
    </row>
    <row r="380" ht="19.5" customHeight="1">
      <c r="A380" s="12"/>
      <c r="C380" s="12"/>
      <c r="D380" s="13"/>
      <c r="F380" s="14"/>
      <c r="G380" s="14"/>
      <c r="H380" s="14"/>
      <c r="I380" s="14"/>
      <c r="J380" s="14"/>
      <c r="K380" s="12"/>
    </row>
    <row r="381" ht="19.5" customHeight="1">
      <c r="A381" s="12"/>
      <c r="C381" s="12"/>
      <c r="D381" s="13"/>
      <c r="F381" s="14"/>
      <c r="G381" s="14"/>
      <c r="H381" s="14"/>
      <c r="I381" s="14"/>
      <c r="J381" s="14"/>
      <c r="K381" s="12"/>
    </row>
    <row r="382" ht="19.5" customHeight="1">
      <c r="A382" s="12"/>
      <c r="C382" s="12"/>
      <c r="D382" s="13"/>
      <c r="F382" s="14"/>
      <c r="G382" s="14"/>
      <c r="H382" s="14"/>
      <c r="I382" s="14"/>
      <c r="J382" s="14"/>
      <c r="K382" s="12"/>
    </row>
    <row r="383" ht="19.5" customHeight="1">
      <c r="A383" s="12"/>
      <c r="C383" s="12"/>
      <c r="D383" s="13"/>
      <c r="F383" s="14"/>
      <c r="G383" s="14"/>
      <c r="H383" s="14"/>
      <c r="I383" s="14"/>
      <c r="J383" s="14"/>
      <c r="K383" s="12"/>
    </row>
    <row r="384" ht="19.5" customHeight="1">
      <c r="A384" s="12"/>
      <c r="C384" s="12"/>
      <c r="D384" s="13"/>
      <c r="F384" s="14"/>
      <c r="G384" s="14"/>
      <c r="H384" s="14"/>
      <c r="I384" s="14"/>
      <c r="J384" s="14"/>
      <c r="K384" s="12"/>
    </row>
    <row r="385" ht="19.5" customHeight="1">
      <c r="A385" s="12"/>
      <c r="C385" s="12"/>
      <c r="D385" s="13"/>
      <c r="F385" s="14"/>
      <c r="G385" s="14"/>
      <c r="H385" s="14"/>
      <c r="I385" s="14"/>
      <c r="J385" s="14"/>
      <c r="K385" s="12"/>
    </row>
    <row r="386" ht="19.5" customHeight="1">
      <c r="A386" s="12"/>
      <c r="C386" s="12"/>
      <c r="D386" s="13"/>
      <c r="F386" s="14"/>
      <c r="G386" s="14"/>
      <c r="H386" s="14"/>
      <c r="I386" s="14"/>
      <c r="J386" s="14"/>
      <c r="K386" s="12"/>
    </row>
    <row r="387" ht="19.5" customHeight="1">
      <c r="A387" s="12"/>
      <c r="C387" s="12"/>
      <c r="D387" s="13"/>
      <c r="F387" s="14"/>
      <c r="G387" s="14"/>
      <c r="H387" s="14"/>
      <c r="I387" s="14"/>
      <c r="J387" s="14"/>
      <c r="K387" s="12"/>
    </row>
    <row r="388" ht="19.5" customHeight="1">
      <c r="A388" s="12"/>
      <c r="C388" s="12"/>
      <c r="D388" s="13"/>
      <c r="F388" s="14"/>
      <c r="G388" s="14"/>
      <c r="H388" s="14"/>
      <c r="I388" s="14"/>
      <c r="J388" s="14"/>
      <c r="K388" s="12"/>
    </row>
    <row r="389" ht="19.5" customHeight="1">
      <c r="A389" s="12"/>
      <c r="C389" s="12"/>
      <c r="D389" s="13"/>
      <c r="F389" s="14"/>
      <c r="G389" s="14"/>
      <c r="H389" s="14"/>
      <c r="I389" s="14"/>
      <c r="J389" s="14"/>
      <c r="K389" s="12"/>
    </row>
    <row r="390" ht="19.5" customHeight="1">
      <c r="A390" s="12"/>
      <c r="C390" s="12"/>
      <c r="D390" s="13"/>
      <c r="F390" s="14"/>
      <c r="G390" s="14"/>
      <c r="H390" s="14"/>
      <c r="I390" s="14"/>
      <c r="J390" s="14"/>
      <c r="K390" s="12"/>
    </row>
    <row r="391" ht="19.5" customHeight="1">
      <c r="A391" s="12"/>
      <c r="C391" s="12"/>
      <c r="D391" s="13"/>
      <c r="F391" s="14"/>
      <c r="G391" s="14"/>
      <c r="H391" s="14"/>
      <c r="I391" s="14"/>
      <c r="J391" s="14"/>
      <c r="K391" s="12"/>
    </row>
    <row r="392" ht="19.5" customHeight="1">
      <c r="A392" s="12"/>
      <c r="C392" s="12"/>
      <c r="D392" s="13"/>
      <c r="F392" s="14"/>
      <c r="G392" s="14"/>
      <c r="H392" s="14"/>
      <c r="I392" s="14"/>
      <c r="J392" s="14"/>
      <c r="K392" s="12"/>
    </row>
    <row r="393" ht="19.5" customHeight="1">
      <c r="A393" s="12"/>
      <c r="C393" s="12"/>
      <c r="D393" s="13"/>
      <c r="F393" s="14"/>
      <c r="G393" s="14"/>
      <c r="H393" s="14"/>
      <c r="I393" s="14"/>
      <c r="J393" s="14"/>
      <c r="K393" s="12"/>
    </row>
    <row r="394" ht="19.5" customHeight="1">
      <c r="A394" s="12"/>
      <c r="C394" s="12"/>
      <c r="D394" s="13"/>
      <c r="F394" s="14"/>
      <c r="G394" s="14"/>
      <c r="H394" s="14"/>
      <c r="I394" s="14"/>
      <c r="J394" s="14"/>
      <c r="K394" s="12"/>
    </row>
    <row r="395" ht="19.5" customHeight="1">
      <c r="A395" s="12"/>
      <c r="C395" s="12"/>
      <c r="D395" s="13"/>
      <c r="F395" s="14"/>
      <c r="G395" s="14"/>
      <c r="H395" s="14"/>
      <c r="I395" s="14"/>
      <c r="J395" s="14"/>
      <c r="K395" s="12"/>
    </row>
    <row r="396" ht="19.5" customHeight="1">
      <c r="A396" s="12"/>
      <c r="C396" s="12"/>
      <c r="D396" s="13"/>
      <c r="F396" s="14"/>
      <c r="G396" s="14"/>
      <c r="H396" s="14"/>
      <c r="I396" s="14"/>
      <c r="J396" s="14"/>
      <c r="K396" s="12"/>
    </row>
    <row r="397" ht="19.5" customHeight="1">
      <c r="A397" s="12"/>
      <c r="C397" s="12"/>
      <c r="D397" s="13"/>
      <c r="F397" s="14"/>
      <c r="G397" s="14"/>
      <c r="H397" s="14"/>
      <c r="I397" s="14"/>
      <c r="J397" s="14"/>
      <c r="K397" s="12"/>
    </row>
    <row r="398" ht="19.5" customHeight="1">
      <c r="A398" s="12"/>
      <c r="C398" s="12"/>
      <c r="D398" s="13"/>
      <c r="F398" s="14"/>
      <c r="G398" s="14"/>
      <c r="H398" s="14"/>
      <c r="I398" s="14"/>
      <c r="J398" s="14"/>
      <c r="K398" s="12"/>
    </row>
    <row r="399" ht="19.5" customHeight="1">
      <c r="A399" s="12"/>
      <c r="C399" s="12"/>
      <c r="D399" s="13"/>
      <c r="F399" s="14"/>
      <c r="G399" s="14"/>
      <c r="H399" s="14"/>
      <c r="I399" s="14"/>
      <c r="J399" s="14"/>
      <c r="K399" s="12"/>
    </row>
    <row r="400" ht="19.5" customHeight="1">
      <c r="A400" s="12"/>
      <c r="C400" s="12"/>
      <c r="D400" s="13"/>
      <c r="F400" s="14"/>
      <c r="G400" s="14"/>
      <c r="H400" s="14"/>
      <c r="I400" s="14"/>
      <c r="J400" s="14"/>
      <c r="K400" s="12"/>
    </row>
    <row r="401" ht="19.5" customHeight="1">
      <c r="A401" s="12"/>
      <c r="C401" s="12"/>
      <c r="D401" s="13"/>
      <c r="F401" s="14"/>
      <c r="G401" s="14"/>
      <c r="H401" s="14"/>
      <c r="I401" s="14"/>
      <c r="J401" s="14"/>
      <c r="K401" s="12"/>
    </row>
    <row r="402" ht="19.5" customHeight="1">
      <c r="A402" s="12"/>
      <c r="C402" s="12"/>
      <c r="D402" s="13"/>
      <c r="F402" s="14"/>
      <c r="G402" s="14"/>
      <c r="H402" s="14"/>
      <c r="I402" s="14"/>
      <c r="J402" s="14"/>
      <c r="K402" s="12"/>
    </row>
    <row r="403" ht="19.5" customHeight="1">
      <c r="A403" s="12"/>
      <c r="C403" s="12"/>
      <c r="D403" s="13"/>
      <c r="F403" s="14"/>
      <c r="G403" s="14"/>
      <c r="H403" s="14"/>
      <c r="I403" s="14"/>
      <c r="J403" s="14"/>
      <c r="K403" s="12"/>
    </row>
    <row r="404" ht="19.5" customHeight="1">
      <c r="A404" s="12"/>
      <c r="C404" s="12"/>
      <c r="D404" s="13"/>
      <c r="F404" s="14"/>
      <c r="G404" s="14"/>
      <c r="H404" s="14"/>
      <c r="I404" s="14"/>
      <c r="J404" s="14"/>
      <c r="K404" s="12"/>
    </row>
    <row r="405" ht="19.5" customHeight="1">
      <c r="A405" s="12"/>
      <c r="C405" s="12"/>
      <c r="D405" s="13"/>
      <c r="F405" s="14"/>
      <c r="G405" s="14"/>
      <c r="H405" s="14"/>
      <c r="I405" s="14"/>
      <c r="J405" s="14"/>
      <c r="K405" s="12"/>
    </row>
    <row r="406" ht="19.5" customHeight="1">
      <c r="A406" s="12"/>
      <c r="C406" s="12"/>
      <c r="D406" s="13"/>
      <c r="F406" s="14"/>
      <c r="G406" s="14"/>
      <c r="H406" s="14"/>
      <c r="I406" s="14"/>
      <c r="J406" s="14"/>
      <c r="K406" s="12"/>
    </row>
    <row r="407" ht="19.5" customHeight="1">
      <c r="A407" s="12"/>
      <c r="C407" s="12"/>
      <c r="D407" s="13"/>
      <c r="F407" s="14"/>
      <c r="G407" s="14"/>
      <c r="H407" s="14"/>
      <c r="I407" s="14"/>
      <c r="J407" s="14"/>
      <c r="K407" s="12"/>
    </row>
    <row r="408" ht="19.5" customHeight="1">
      <c r="A408" s="12"/>
      <c r="C408" s="12"/>
      <c r="D408" s="13"/>
      <c r="F408" s="14"/>
      <c r="G408" s="14"/>
      <c r="H408" s="14"/>
      <c r="I408" s="14"/>
      <c r="J408" s="14"/>
      <c r="K408" s="12"/>
    </row>
    <row r="409" ht="19.5" customHeight="1">
      <c r="A409" s="12"/>
      <c r="C409" s="12"/>
      <c r="D409" s="13"/>
      <c r="F409" s="14"/>
      <c r="G409" s="14"/>
      <c r="H409" s="14"/>
      <c r="I409" s="14"/>
      <c r="J409" s="14"/>
      <c r="K409" s="12"/>
    </row>
    <row r="410" ht="19.5" customHeight="1">
      <c r="A410" s="12"/>
      <c r="C410" s="12"/>
      <c r="D410" s="13"/>
      <c r="F410" s="14"/>
      <c r="G410" s="14"/>
      <c r="H410" s="14"/>
      <c r="I410" s="14"/>
      <c r="J410" s="14"/>
      <c r="K410" s="12"/>
    </row>
    <row r="411" ht="19.5" customHeight="1">
      <c r="A411" s="12"/>
      <c r="C411" s="12"/>
      <c r="D411" s="13"/>
      <c r="F411" s="14"/>
      <c r="G411" s="14"/>
      <c r="H411" s="14"/>
      <c r="I411" s="14"/>
      <c r="J411" s="14"/>
      <c r="K411" s="12"/>
    </row>
    <row r="412" ht="19.5" customHeight="1">
      <c r="A412" s="12"/>
      <c r="C412" s="12"/>
      <c r="D412" s="13"/>
      <c r="F412" s="14"/>
      <c r="G412" s="14"/>
      <c r="H412" s="14"/>
      <c r="I412" s="14"/>
      <c r="J412" s="14"/>
      <c r="K412" s="12"/>
    </row>
    <row r="413" ht="19.5" customHeight="1">
      <c r="A413" s="12"/>
      <c r="C413" s="12"/>
      <c r="D413" s="13"/>
      <c r="F413" s="14"/>
      <c r="G413" s="14"/>
      <c r="H413" s="14"/>
      <c r="I413" s="14"/>
      <c r="J413" s="14"/>
      <c r="K413" s="12"/>
    </row>
    <row r="414" ht="19.5" customHeight="1">
      <c r="A414" s="12"/>
      <c r="C414" s="12"/>
      <c r="D414" s="13"/>
      <c r="F414" s="14"/>
      <c r="G414" s="14"/>
      <c r="H414" s="14"/>
      <c r="I414" s="14"/>
      <c r="J414" s="14"/>
      <c r="K414" s="12"/>
    </row>
    <row r="415" ht="19.5" customHeight="1">
      <c r="A415" s="12"/>
      <c r="C415" s="12"/>
      <c r="D415" s="13"/>
      <c r="F415" s="14"/>
      <c r="G415" s="14"/>
      <c r="H415" s="14"/>
      <c r="I415" s="14"/>
      <c r="J415" s="14"/>
      <c r="K415" s="12"/>
    </row>
    <row r="416" ht="19.5" customHeight="1">
      <c r="A416" s="12"/>
      <c r="C416" s="12"/>
      <c r="D416" s="13"/>
      <c r="F416" s="14"/>
      <c r="G416" s="14"/>
      <c r="H416" s="14"/>
      <c r="I416" s="14"/>
      <c r="J416" s="14"/>
      <c r="K416" s="12"/>
    </row>
    <row r="417" ht="19.5" customHeight="1">
      <c r="A417" s="12"/>
      <c r="C417" s="12"/>
      <c r="D417" s="13"/>
      <c r="F417" s="14"/>
      <c r="G417" s="14"/>
      <c r="H417" s="14"/>
      <c r="I417" s="14"/>
      <c r="J417" s="14"/>
      <c r="K417" s="12"/>
    </row>
    <row r="418" ht="19.5" customHeight="1">
      <c r="A418" s="12"/>
      <c r="C418" s="12"/>
      <c r="D418" s="13"/>
      <c r="F418" s="14"/>
      <c r="G418" s="14"/>
      <c r="H418" s="14"/>
      <c r="I418" s="14"/>
      <c r="J418" s="14"/>
      <c r="K418" s="12"/>
    </row>
    <row r="419" ht="19.5" customHeight="1">
      <c r="A419" s="12"/>
      <c r="C419" s="12"/>
      <c r="D419" s="13"/>
      <c r="F419" s="14"/>
      <c r="G419" s="14"/>
      <c r="H419" s="14"/>
      <c r="I419" s="14"/>
      <c r="J419" s="14"/>
      <c r="K419" s="12"/>
    </row>
    <row r="420" ht="19.5" customHeight="1">
      <c r="A420" s="12"/>
      <c r="C420" s="12"/>
      <c r="D420" s="13"/>
      <c r="F420" s="14"/>
      <c r="G420" s="14"/>
      <c r="H420" s="14"/>
      <c r="I420" s="14"/>
      <c r="J420" s="14"/>
      <c r="K420" s="12"/>
    </row>
    <row r="421" ht="19.5" customHeight="1">
      <c r="A421" s="12"/>
      <c r="C421" s="12"/>
      <c r="D421" s="13"/>
      <c r="F421" s="14"/>
      <c r="G421" s="14"/>
      <c r="H421" s="14"/>
      <c r="I421" s="14"/>
      <c r="J421" s="14"/>
      <c r="K421" s="12"/>
    </row>
    <row r="422" ht="19.5" customHeight="1">
      <c r="A422" s="12"/>
      <c r="C422" s="12"/>
      <c r="D422" s="13"/>
      <c r="F422" s="14"/>
      <c r="G422" s="14"/>
      <c r="H422" s="14"/>
      <c r="I422" s="14"/>
      <c r="J422" s="14"/>
      <c r="K422" s="12"/>
    </row>
    <row r="423" ht="19.5" customHeight="1">
      <c r="A423" s="12"/>
      <c r="C423" s="12"/>
      <c r="D423" s="13"/>
      <c r="F423" s="14"/>
      <c r="G423" s="14"/>
      <c r="H423" s="14"/>
      <c r="I423" s="14"/>
      <c r="J423" s="14"/>
      <c r="K423" s="12"/>
    </row>
    <row r="424" ht="19.5" customHeight="1">
      <c r="A424" s="12"/>
      <c r="C424" s="12"/>
      <c r="D424" s="13"/>
      <c r="F424" s="14"/>
      <c r="G424" s="14"/>
      <c r="H424" s="14"/>
      <c r="I424" s="14"/>
      <c r="J424" s="14"/>
      <c r="K424" s="12"/>
    </row>
    <row r="425" ht="19.5" customHeight="1">
      <c r="A425" s="12"/>
      <c r="C425" s="12"/>
      <c r="D425" s="13"/>
      <c r="F425" s="14"/>
      <c r="G425" s="14"/>
      <c r="H425" s="14"/>
      <c r="I425" s="14"/>
      <c r="J425" s="14"/>
      <c r="K425" s="12"/>
    </row>
    <row r="426" ht="19.5" customHeight="1">
      <c r="A426" s="12"/>
      <c r="C426" s="12"/>
      <c r="D426" s="13"/>
      <c r="F426" s="14"/>
      <c r="G426" s="14"/>
      <c r="H426" s="14"/>
      <c r="I426" s="14"/>
      <c r="J426" s="14"/>
      <c r="K426" s="12"/>
    </row>
    <row r="427" ht="19.5" customHeight="1">
      <c r="A427" s="12"/>
      <c r="C427" s="12"/>
      <c r="D427" s="13"/>
      <c r="F427" s="14"/>
      <c r="G427" s="14"/>
      <c r="H427" s="14"/>
      <c r="I427" s="14"/>
      <c r="J427" s="14"/>
      <c r="K427" s="12"/>
    </row>
    <row r="428" ht="19.5" customHeight="1">
      <c r="A428" s="12"/>
      <c r="C428" s="12"/>
      <c r="D428" s="13"/>
      <c r="F428" s="14"/>
      <c r="G428" s="14"/>
      <c r="H428" s="14"/>
      <c r="I428" s="14"/>
      <c r="J428" s="14"/>
      <c r="K428" s="12"/>
    </row>
    <row r="429" ht="19.5" customHeight="1">
      <c r="A429" s="12"/>
      <c r="C429" s="12"/>
      <c r="D429" s="13"/>
      <c r="F429" s="14"/>
      <c r="G429" s="14"/>
      <c r="H429" s="14"/>
      <c r="I429" s="14"/>
      <c r="J429" s="14"/>
      <c r="K429" s="12"/>
    </row>
    <row r="430" ht="19.5" customHeight="1">
      <c r="A430" s="12"/>
      <c r="C430" s="12"/>
      <c r="D430" s="13"/>
      <c r="F430" s="14"/>
      <c r="G430" s="14"/>
      <c r="H430" s="14"/>
      <c r="I430" s="14"/>
      <c r="J430" s="14"/>
      <c r="K430" s="12"/>
    </row>
    <row r="431" ht="19.5" customHeight="1">
      <c r="A431" s="12"/>
      <c r="C431" s="12"/>
      <c r="D431" s="13"/>
      <c r="F431" s="14"/>
      <c r="G431" s="14"/>
      <c r="H431" s="14"/>
      <c r="I431" s="14"/>
      <c r="J431" s="14"/>
      <c r="K431" s="12"/>
    </row>
    <row r="432" ht="19.5" customHeight="1">
      <c r="A432" s="12"/>
      <c r="C432" s="12"/>
      <c r="D432" s="13"/>
      <c r="F432" s="14"/>
      <c r="G432" s="14"/>
      <c r="H432" s="14"/>
      <c r="I432" s="14"/>
      <c r="J432" s="14"/>
      <c r="K432" s="12"/>
    </row>
    <row r="433" ht="19.5" customHeight="1">
      <c r="A433" s="12"/>
      <c r="C433" s="12"/>
      <c r="D433" s="13"/>
      <c r="F433" s="14"/>
      <c r="G433" s="14"/>
      <c r="H433" s="14"/>
      <c r="I433" s="14"/>
      <c r="J433" s="14"/>
      <c r="K433" s="12"/>
    </row>
    <row r="434" ht="19.5" customHeight="1">
      <c r="A434" s="12"/>
      <c r="C434" s="12"/>
      <c r="D434" s="13"/>
      <c r="F434" s="14"/>
      <c r="G434" s="14"/>
      <c r="H434" s="14"/>
      <c r="I434" s="14"/>
      <c r="J434" s="14"/>
      <c r="K434" s="12"/>
    </row>
    <row r="435" ht="19.5" customHeight="1">
      <c r="A435" s="12"/>
      <c r="C435" s="12"/>
      <c r="D435" s="13"/>
      <c r="F435" s="14"/>
      <c r="G435" s="14"/>
      <c r="H435" s="14"/>
      <c r="I435" s="14"/>
      <c r="J435" s="14"/>
      <c r="K435" s="12"/>
    </row>
    <row r="436" ht="19.5" customHeight="1">
      <c r="A436" s="12"/>
      <c r="C436" s="12"/>
      <c r="D436" s="13"/>
      <c r="F436" s="14"/>
      <c r="G436" s="14"/>
      <c r="H436" s="14"/>
      <c r="I436" s="14"/>
      <c r="J436" s="14"/>
      <c r="K436" s="12"/>
    </row>
    <row r="437" ht="19.5" customHeight="1">
      <c r="A437" s="12"/>
      <c r="C437" s="12"/>
      <c r="D437" s="13"/>
      <c r="F437" s="14"/>
      <c r="G437" s="14"/>
      <c r="H437" s="14"/>
      <c r="I437" s="14"/>
      <c r="J437" s="14"/>
      <c r="K437" s="12"/>
    </row>
    <row r="438" ht="19.5" customHeight="1">
      <c r="A438" s="12"/>
      <c r="C438" s="12"/>
      <c r="D438" s="13"/>
      <c r="F438" s="14"/>
      <c r="G438" s="14"/>
      <c r="H438" s="14"/>
      <c r="I438" s="14"/>
      <c r="J438" s="14"/>
      <c r="K438" s="12"/>
    </row>
    <row r="439" ht="19.5" customHeight="1">
      <c r="A439" s="12"/>
      <c r="C439" s="12"/>
      <c r="D439" s="13"/>
      <c r="F439" s="14"/>
      <c r="G439" s="14"/>
      <c r="H439" s="14"/>
      <c r="I439" s="14"/>
      <c r="J439" s="14"/>
      <c r="K439" s="12"/>
    </row>
    <row r="440" ht="19.5" customHeight="1">
      <c r="A440" s="12"/>
      <c r="C440" s="12"/>
      <c r="D440" s="13"/>
      <c r="F440" s="14"/>
      <c r="G440" s="14"/>
      <c r="H440" s="14"/>
      <c r="I440" s="14"/>
      <c r="J440" s="14"/>
      <c r="K440" s="12"/>
    </row>
    <row r="441" ht="19.5" customHeight="1">
      <c r="A441" s="12"/>
      <c r="C441" s="12"/>
      <c r="D441" s="13"/>
      <c r="F441" s="14"/>
      <c r="G441" s="14"/>
      <c r="H441" s="14"/>
      <c r="I441" s="14"/>
      <c r="J441" s="14"/>
      <c r="K441" s="12"/>
    </row>
    <row r="442" ht="19.5" customHeight="1">
      <c r="A442" s="12"/>
      <c r="C442" s="12"/>
      <c r="D442" s="13"/>
      <c r="F442" s="14"/>
      <c r="G442" s="14"/>
      <c r="H442" s="14"/>
      <c r="I442" s="14"/>
      <c r="J442" s="14"/>
      <c r="K442" s="12"/>
    </row>
    <row r="443" ht="19.5" customHeight="1">
      <c r="A443" s="12"/>
      <c r="C443" s="12"/>
      <c r="D443" s="13"/>
      <c r="F443" s="14"/>
      <c r="G443" s="14"/>
      <c r="H443" s="14"/>
      <c r="I443" s="14"/>
      <c r="J443" s="14"/>
      <c r="K443" s="12"/>
    </row>
    <row r="444" ht="19.5" customHeight="1">
      <c r="A444" s="12"/>
      <c r="C444" s="12"/>
      <c r="D444" s="13"/>
      <c r="F444" s="14"/>
      <c r="G444" s="14"/>
      <c r="H444" s="14"/>
      <c r="I444" s="14"/>
      <c r="J444" s="14"/>
      <c r="K444" s="12"/>
    </row>
    <row r="445" ht="19.5" customHeight="1">
      <c r="A445" s="12"/>
      <c r="C445" s="12"/>
      <c r="D445" s="13"/>
      <c r="F445" s="14"/>
      <c r="G445" s="14"/>
      <c r="H445" s="14"/>
      <c r="I445" s="14"/>
      <c r="J445" s="14"/>
      <c r="K445" s="12"/>
    </row>
    <row r="446" ht="19.5" customHeight="1">
      <c r="A446" s="12"/>
      <c r="C446" s="12"/>
      <c r="D446" s="13"/>
      <c r="F446" s="14"/>
      <c r="G446" s="14"/>
      <c r="H446" s="14"/>
      <c r="I446" s="14"/>
      <c r="J446" s="14"/>
      <c r="K446" s="12"/>
    </row>
    <row r="447" ht="19.5" customHeight="1">
      <c r="A447" s="12"/>
      <c r="C447" s="12"/>
      <c r="D447" s="13"/>
      <c r="F447" s="14"/>
      <c r="G447" s="14"/>
      <c r="H447" s="14"/>
      <c r="I447" s="14"/>
      <c r="J447" s="14"/>
      <c r="K447" s="12"/>
    </row>
    <row r="448" ht="19.5" customHeight="1">
      <c r="A448" s="12"/>
      <c r="C448" s="12"/>
      <c r="D448" s="13"/>
      <c r="F448" s="14"/>
      <c r="G448" s="14"/>
      <c r="H448" s="14"/>
      <c r="I448" s="14"/>
      <c r="J448" s="14"/>
      <c r="K448" s="12"/>
    </row>
    <row r="449" ht="19.5" customHeight="1">
      <c r="A449" s="12"/>
      <c r="C449" s="12"/>
      <c r="D449" s="13"/>
      <c r="F449" s="14"/>
      <c r="G449" s="14"/>
      <c r="H449" s="14"/>
      <c r="I449" s="14"/>
      <c r="J449" s="14"/>
      <c r="K449" s="12"/>
    </row>
    <row r="450" ht="19.5" customHeight="1">
      <c r="A450" s="12"/>
      <c r="C450" s="12"/>
      <c r="D450" s="13"/>
      <c r="F450" s="14"/>
      <c r="G450" s="14"/>
      <c r="H450" s="14"/>
      <c r="I450" s="14"/>
      <c r="J450" s="14"/>
      <c r="K450" s="12"/>
    </row>
    <row r="451" ht="19.5" customHeight="1">
      <c r="A451" s="12"/>
      <c r="C451" s="12"/>
      <c r="D451" s="13"/>
      <c r="F451" s="14"/>
      <c r="G451" s="14"/>
      <c r="H451" s="14"/>
      <c r="I451" s="14"/>
      <c r="J451" s="14"/>
      <c r="K451" s="12"/>
    </row>
    <row r="452" ht="19.5" customHeight="1">
      <c r="A452" s="12"/>
      <c r="C452" s="12"/>
      <c r="D452" s="13"/>
      <c r="F452" s="14"/>
      <c r="G452" s="14"/>
      <c r="H452" s="14"/>
      <c r="I452" s="14"/>
      <c r="J452" s="14"/>
      <c r="K452" s="12"/>
    </row>
    <row r="453" ht="19.5" customHeight="1">
      <c r="A453" s="12"/>
      <c r="C453" s="12"/>
      <c r="D453" s="13"/>
      <c r="F453" s="14"/>
      <c r="G453" s="14"/>
      <c r="H453" s="14"/>
      <c r="I453" s="14"/>
      <c r="J453" s="14"/>
      <c r="K453" s="12"/>
    </row>
    <row r="454" ht="19.5" customHeight="1">
      <c r="A454" s="12"/>
      <c r="C454" s="12"/>
      <c r="D454" s="13"/>
      <c r="F454" s="14"/>
      <c r="G454" s="14"/>
      <c r="H454" s="14"/>
      <c r="I454" s="14"/>
      <c r="J454" s="14"/>
      <c r="K454" s="12"/>
    </row>
    <row r="455" ht="19.5" customHeight="1">
      <c r="A455" s="12"/>
      <c r="C455" s="12"/>
      <c r="D455" s="13"/>
      <c r="F455" s="14"/>
      <c r="G455" s="14"/>
      <c r="H455" s="14"/>
      <c r="I455" s="14"/>
      <c r="J455" s="14"/>
      <c r="K455" s="12"/>
    </row>
    <row r="456" ht="19.5" customHeight="1">
      <c r="A456" s="12"/>
      <c r="C456" s="12"/>
      <c r="D456" s="13"/>
      <c r="F456" s="14"/>
      <c r="G456" s="14"/>
      <c r="H456" s="14"/>
      <c r="I456" s="14"/>
      <c r="J456" s="14"/>
      <c r="K456" s="12"/>
    </row>
    <row r="457" ht="19.5" customHeight="1">
      <c r="A457" s="12"/>
      <c r="C457" s="12"/>
      <c r="D457" s="13"/>
      <c r="F457" s="14"/>
      <c r="G457" s="14"/>
      <c r="H457" s="14"/>
      <c r="I457" s="14"/>
      <c r="J457" s="14"/>
      <c r="K457" s="12"/>
    </row>
    <row r="458" ht="19.5" customHeight="1">
      <c r="A458" s="12"/>
      <c r="C458" s="12"/>
      <c r="D458" s="13"/>
      <c r="F458" s="14"/>
      <c r="G458" s="14"/>
      <c r="H458" s="14"/>
      <c r="I458" s="14"/>
      <c r="J458" s="14"/>
      <c r="K458" s="12"/>
    </row>
    <row r="459" ht="19.5" customHeight="1">
      <c r="A459" s="12"/>
      <c r="C459" s="12"/>
      <c r="D459" s="13"/>
      <c r="F459" s="14"/>
      <c r="G459" s="14"/>
      <c r="H459" s="14"/>
      <c r="I459" s="14"/>
      <c r="J459" s="14"/>
      <c r="K459" s="12"/>
    </row>
    <row r="460" ht="19.5" customHeight="1">
      <c r="A460" s="12"/>
      <c r="C460" s="12"/>
      <c r="D460" s="13"/>
      <c r="F460" s="14"/>
      <c r="G460" s="14"/>
      <c r="H460" s="14"/>
      <c r="I460" s="14"/>
      <c r="J460" s="14"/>
      <c r="K460" s="12"/>
    </row>
    <row r="461" ht="19.5" customHeight="1">
      <c r="A461" s="12"/>
      <c r="C461" s="12"/>
      <c r="D461" s="13"/>
      <c r="F461" s="14"/>
      <c r="G461" s="14"/>
      <c r="H461" s="14"/>
      <c r="I461" s="14"/>
      <c r="J461" s="14"/>
      <c r="K461" s="12"/>
    </row>
    <row r="462" ht="19.5" customHeight="1">
      <c r="A462" s="12"/>
      <c r="C462" s="12"/>
      <c r="D462" s="13"/>
      <c r="F462" s="14"/>
      <c r="G462" s="14"/>
      <c r="H462" s="14"/>
      <c r="I462" s="14"/>
      <c r="J462" s="14"/>
      <c r="K462" s="12"/>
    </row>
    <row r="463" ht="19.5" customHeight="1">
      <c r="A463" s="12"/>
      <c r="C463" s="12"/>
      <c r="D463" s="13"/>
      <c r="F463" s="14"/>
      <c r="G463" s="14"/>
      <c r="H463" s="14"/>
      <c r="I463" s="14"/>
      <c r="J463" s="14"/>
      <c r="K463" s="12"/>
    </row>
    <row r="464" ht="19.5" customHeight="1">
      <c r="A464" s="12"/>
      <c r="C464" s="12"/>
      <c r="D464" s="13"/>
      <c r="F464" s="14"/>
      <c r="G464" s="14"/>
      <c r="H464" s="14"/>
      <c r="I464" s="14"/>
      <c r="J464" s="14"/>
      <c r="K464" s="12"/>
    </row>
    <row r="465" ht="19.5" customHeight="1">
      <c r="A465" s="12"/>
      <c r="C465" s="12"/>
      <c r="D465" s="13"/>
      <c r="F465" s="14"/>
      <c r="G465" s="14"/>
      <c r="H465" s="14"/>
      <c r="I465" s="14"/>
      <c r="J465" s="14"/>
      <c r="K465" s="12"/>
    </row>
    <row r="466" ht="19.5" customHeight="1">
      <c r="A466" s="12"/>
      <c r="C466" s="12"/>
      <c r="D466" s="13"/>
      <c r="F466" s="14"/>
      <c r="G466" s="14"/>
      <c r="H466" s="14"/>
      <c r="I466" s="14"/>
      <c r="J466" s="14"/>
      <c r="K466" s="12"/>
    </row>
    <row r="467" ht="19.5" customHeight="1">
      <c r="A467" s="12"/>
      <c r="C467" s="12"/>
      <c r="D467" s="13"/>
      <c r="F467" s="14"/>
      <c r="G467" s="14"/>
      <c r="H467" s="14"/>
      <c r="I467" s="14"/>
      <c r="J467" s="14"/>
      <c r="K467" s="12"/>
    </row>
    <row r="468" ht="19.5" customHeight="1">
      <c r="A468" s="12"/>
      <c r="C468" s="12"/>
      <c r="D468" s="13"/>
      <c r="F468" s="14"/>
      <c r="G468" s="14"/>
      <c r="H468" s="14"/>
      <c r="I468" s="14"/>
      <c r="J468" s="14"/>
      <c r="K468" s="12"/>
    </row>
    <row r="469" ht="19.5" customHeight="1">
      <c r="A469" s="12"/>
      <c r="C469" s="12"/>
      <c r="D469" s="13"/>
      <c r="F469" s="14"/>
      <c r="G469" s="14"/>
      <c r="H469" s="14"/>
      <c r="I469" s="14"/>
      <c r="J469" s="14"/>
      <c r="K469" s="12"/>
    </row>
    <row r="470" ht="19.5" customHeight="1">
      <c r="A470" s="12"/>
      <c r="C470" s="12"/>
      <c r="D470" s="13"/>
      <c r="F470" s="14"/>
      <c r="G470" s="14"/>
      <c r="H470" s="14"/>
      <c r="I470" s="14"/>
      <c r="J470" s="14"/>
      <c r="K470" s="12"/>
    </row>
    <row r="471" ht="19.5" customHeight="1">
      <c r="A471" s="12"/>
      <c r="C471" s="12"/>
      <c r="D471" s="13"/>
      <c r="F471" s="14"/>
      <c r="G471" s="14"/>
      <c r="H471" s="14"/>
      <c r="I471" s="14"/>
      <c r="J471" s="14"/>
      <c r="K471" s="12"/>
    </row>
    <row r="472" ht="19.5" customHeight="1">
      <c r="A472" s="12"/>
      <c r="C472" s="12"/>
      <c r="D472" s="13"/>
      <c r="F472" s="14"/>
      <c r="G472" s="14"/>
      <c r="H472" s="14"/>
      <c r="I472" s="14"/>
      <c r="J472" s="14"/>
      <c r="K472" s="12"/>
    </row>
    <row r="473" ht="19.5" customHeight="1">
      <c r="A473" s="12"/>
      <c r="C473" s="12"/>
      <c r="D473" s="13"/>
      <c r="F473" s="14"/>
      <c r="G473" s="14"/>
      <c r="H473" s="14"/>
      <c r="I473" s="14"/>
      <c r="J473" s="14"/>
      <c r="K473" s="12"/>
    </row>
    <row r="474" ht="19.5" customHeight="1">
      <c r="A474" s="12"/>
      <c r="C474" s="12"/>
      <c r="D474" s="13"/>
      <c r="F474" s="14"/>
      <c r="G474" s="14"/>
      <c r="H474" s="14"/>
      <c r="I474" s="14"/>
      <c r="J474" s="14"/>
      <c r="K474" s="12"/>
    </row>
    <row r="475" ht="19.5" customHeight="1">
      <c r="A475" s="12"/>
      <c r="C475" s="12"/>
      <c r="D475" s="13"/>
      <c r="F475" s="14"/>
      <c r="G475" s="14"/>
      <c r="H475" s="14"/>
      <c r="I475" s="14"/>
      <c r="J475" s="14"/>
      <c r="K475" s="12"/>
    </row>
    <row r="476" ht="19.5" customHeight="1">
      <c r="A476" s="12"/>
      <c r="C476" s="12"/>
      <c r="D476" s="13"/>
      <c r="F476" s="14"/>
      <c r="G476" s="14"/>
      <c r="H476" s="14"/>
      <c r="I476" s="14"/>
      <c r="J476" s="14"/>
      <c r="K476" s="12"/>
    </row>
    <row r="477" ht="19.5" customHeight="1">
      <c r="A477" s="12"/>
      <c r="C477" s="12"/>
      <c r="D477" s="13"/>
      <c r="F477" s="14"/>
      <c r="G477" s="14"/>
      <c r="H477" s="14"/>
      <c r="I477" s="14"/>
      <c r="J477" s="14"/>
      <c r="K477" s="12"/>
    </row>
    <row r="478" ht="19.5" customHeight="1">
      <c r="A478" s="12"/>
      <c r="C478" s="12"/>
      <c r="D478" s="13"/>
      <c r="F478" s="14"/>
      <c r="G478" s="14"/>
      <c r="H478" s="14"/>
      <c r="I478" s="14"/>
      <c r="J478" s="14"/>
      <c r="K478" s="12"/>
    </row>
    <row r="479" ht="19.5" customHeight="1">
      <c r="A479" s="12"/>
      <c r="C479" s="12"/>
      <c r="D479" s="13"/>
      <c r="F479" s="14"/>
      <c r="G479" s="14"/>
      <c r="H479" s="14"/>
      <c r="I479" s="14"/>
      <c r="J479" s="14"/>
      <c r="K479" s="12"/>
    </row>
    <row r="480" ht="19.5" customHeight="1">
      <c r="A480" s="12"/>
      <c r="C480" s="12"/>
      <c r="D480" s="13"/>
      <c r="F480" s="14"/>
      <c r="G480" s="14"/>
      <c r="H480" s="14"/>
      <c r="I480" s="14"/>
      <c r="J480" s="14"/>
      <c r="K480" s="12"/>
    </row>
    <row r="481" ht="19.5" customHeight="1">
      <c r="A481" s="12"/>
      <c r="C481" s="12"/>
      <c r="D481" s="13"/>
      <c r="F481" s="14"/>
      <c r="G481" s="14"/>
      <c r="H481" s="14"/>
      <c r="I481" s="14"/>
      <c r="J481" s="14"/>
      <c r="K481" s="12"/>
    </row>
    <row r="482" ht="19.5" customHeight="1">
      <c r="A482" s="12"/>
      <c r="C482" s="12"/>
      <c r="D482" s="13"/>
      <c r="F482" s="14"/>
      <c r="G482" s="14"/>
      <c r="H482" s="14"/>
      <c r="I482" s="14"/>
      <c r="J482" s="14"/>
      <c r="K482" s="12"/>
    </row>
    <row r="483" ht="19.5" customHeight="1">
      <c r="A483" s="12"/>
      <c r="C483" s="12"/>
      <c r="D483" s="13"/>
      <c r="F483" s="14"/>
      <c r="G483" s="14"/>
      <c r="H483" s="14"/>
      <c r="I483" s="14"/>
      <c r="J483" s="14"/>
      <c r="K483" s="12"/>
    </row>
    <row r="484" ht="19.5" customHeight="1">
      <c r="A484" s="12"/>
      <c r="C484" s="12"/>
      <c r="D484" s="13"/>
      <c r="F484" s="14"/>
      <c r="G484" s="14"/>
      <c r="H484" s="14"/>
      <c r="I484" s="14"/>
      <c r="J484" s="14"/>
      <c r="K484" s="12"/>
    </row>
    <row r="485" ht="19.5" customHeight="1">
      <c r="A485" s="12"/>
      <c r="C485" s="12"/>
      <c r="D485" s="13"/>
      <c r="F485" s="14"/>
      <c r="G485" s="14"/>
      <c r="H485" s="14"/>
      <c r="I485" s="14"/>
      <c r="J485" s="14"/>
      <c r="K485" s="12"/>
    </row>
    <row r="486" ht="19.5" customHeight="1">
      <c r="A486" s="12"/>
      <c r="C486" s="12"/>
      <c r="D486" s="13"/>
      <c r="F486" s="14"/>
      <c r="G486" s="14"/>
      <c r="H486" s="14"/>
      <c r="I486" s="14"/>
      <c r="J486" s="14"/>
      <c r="K486" s="12"/>
    </row>
    <row r="487" ht="19.5" customHeight="1">
      <c r="A487" s="12"/>
      <c r="C487" s="12"/>
      <c r="D487" s="13"/>
      <c r="F487" s="14"/>
      <c r="G487" s="14"/>
      <c r="H487" s="14"/>
      <c r="I487" s="14"/>
      <c r="J487" s="14"/>
      <c r="K487" s="12"/>
    </row>
    <row r="488" ht="19.5" customHeight="1">
      <c r="A488" s="12"/>
      <c r="C488" s="12"/>
      <c r="D488" s="13"/>
      <c r="F488" s="14"/>
      <c r="G488" s="14"/>
      <c r="H488" s="14"/>
      <c r="I488" s="14"/>
      <c r="J488" s="14"/>
      <c r="K488" s="12"/>
    </row>
    <row r="489" ht="19.5" customHeight="1">
      <c r="A489" s="12"/>
      <c r="C489" s="12"/>
      <c r="D489" s="13"/>
      <c r="F489" s="14"/>
      <c r="G489" s="14"/>
      <c r="H489" s="14"/>
      <c r="I489" s="14"/>
      <c r="J489" s="14"/>
      <c r="K489" s="12"/>
    </row>
    <row r="490" ht="19.5" customHeight="1">
      <c r="A490" s="12"/>
      <c r="C490" s="12"/>
      <c r="D490" s="13"/>
      <c r="F490" s="14"/>
      <c r="G490" s="14"/>
      <c r="H490" s="14"/>
      <c r="I490" s="14"/>
      <c r="J490" s="14"/>
      <c r="K490" s="12"/>
    </row>
    <row r="491" ht="19.5" customHeight="1">
      <c r="A491" s="12"/>
      <c r="C491" s="12"/>
      <c r="D491" s="13"/>
      <c r="F491" s="14"/>
      <c r="G491" s="14"/>
      <c r="H491" s="14"/>
      <c r="I491" s="14"/>
      <c r="J491" s="14"/>
      <c r="K491" s="12"/>
    </row>
    <row r="492" ht="19.5" customHeight="1">
      <c r="A492" s="12"/>
      <c r="C492" s="12"/>
      <c r="D492" s="13"/>
      <c r="F492" s="14"/>
      <c r="G492" s="14"/>
      <c r="H492" s="14"/>
      <c r="I492" s="14"/>
      <c r="J492" s="14"/>
      <c r="K492" s="12"/>
    </row>
    <row r="493" ht="19.5" customHeight="1">
      <c r="A493" s="12"/>
      <c r="C493" s="12"/>
      <c r="D493" s="13"/>
      <c r="F493" s="14"/>
      <c r="G493" s="14"/>
      <c r="H493" s="14"/>
      <c r="I493" s="14"/>
      <c r="J493" s="14"/>
      <c r="K493" s="12"/>
    </row>
    <row r="494" ht="19.5" customHeight="1">
      <c r="A494" s="12"/>
      <c r="C494" s="12"/>
      <c r="D494" s="13"/>
      <c r="F494" s="14"/>
      <c r="G494" s="14"/>
      <c r="H494" s="14"/>
      <c r="I494" s="14"/>
      <c r="J494" s="14"/>
      <c r="K494" s="12"/>
    </row>
    <row r="495" ht="19.5" customHeight="1">
      <c r="A495" s="12"/>
      <c r="C495" s="12"/>
      <c r="D495" s="13"/>
      <c r="F495" s="14"/>
      <c r="G495" s="14"/>
      <c r="H495" s="14"/>
      <c r="I495" s="14"/>
      <c r="J495" s="14"/>
      <c r="K495" s="12"/>
    </row>
    <row r="496" ht="19.5" customHeight="1">
      <c r="A496" s="12"/>
      <c r="C496" s="12"/>
      <c r="D496" s="13"/>
      <c r="F496" s="14"/>
      <c r="G496" s="14"/>
      <c r="H496" s="14"/>
      <c r="I496" s="14"/>
      <c r="J496" s="14"/>
      <c r="K496" s="12"/>
    </row>
    <row r="497" ht="19.5" customHeight="1">
      <c r="A497" s="12"/>
      <c r="C497" s="12"/>
      <c r="D497" s="13"/>
      <c r="F497" s="14"/>
      <c r="G497" s="14"/>
      <c r="H497" s="14"/>
      <c r="I497" s="14"/>
      <c r="J497" s="14"/>
      <c r="K497" s="12"/>
    </row>
    <row r="498" ht="19.5" customHeight="1">
      <c r="A498" s="12"/>
      <c r="C498" s="12"/>
      <c r="D498" s="13"/>
      <c r="F498" s="14"/>
      <c r="G498" s="14"/>
      <c r="H498" s="14"/>
      <c r="I498" s="14"/>
      <c r="J498" s="14"/>
      <c r="K498" s="12"/>
    </row>
    <row r="499" ht="19.5" customHeight="1">
      <c r="A499" s="12"/>
      <c r="C499" s="12"/>
      <c r="D499" s="13"/>
      <c r="F499" s="14"/>
      <c r="G499" s="14"/>
      <c r="H499" s="14"/>
      <c r="I499" s="14"/>
      <c r="J499" s="14"/>
      <c r="K499" s="12"/>
    </row>
    <row r="500" ht="19.5" customHeight="1">
      <c r="A500" s="12"/>
      <c r="C500" s="12"/>
      <c r="D500" s="13"/>
      <c r="F500" s="14"/>
      <c r="G500" s="14"/>
      <c r="H500" s="14"/>
      <c r="I500" s="14"/>
      <c r="J500" s="14"/>
      <c r="K500" s="12"/>
    </row>
    <row r="501" ht="19.5" customHeight="1">
      <c r="A501" s="12"/>
      <c r="C501" s="12"/>
      <c r="D501" s="13"/>
      <c r="F501" s="14"/>
      <c r="G501" s="14"/>
      <c r="H501" s="14"/>
      <c r="I501" s="14"/>
      <c r="J501" s="14"/>
      <c r="K501" s="12"/>
    </row>
    <row r="502" ht="19.5" customHeight="1">
      <c r="A502" s="12"/>
      <c r="C502" s="12"/>
      <c r="D502" s="13"/>
      <c r="F502" s="14"/>
      <c r="G502" s="14"/>
      <c r="H502" s="14"/>
      <c r="I502" s="14"/>
      <c r="J502" s="14"/>
      <c r="K502" s="12"/>
    </row>
    <row r="503" ht="19.5" customHeight="1">
      <c r="A503" s="12"/>
      <c r="C503" s="12"/>
      <c r="D503" s="13"/>
      <c r="F503" s="14"/>
      <c r="G503" s="14"/>
      <c r="H503" s="14"/>
      <c r="I503" s="14"/>
      <c r="J503" s="14"/>
      <c r="K503" s="12"/>
    </row>
    <row r="504" ht="19.5" customHeight="1">
      <c r="A504" s="12"/>
      <c r="C504" s="12"/>
      <c r="D504" s="13"/>
      <c r="F504" s="14"/>
      <c r="G504" s="14"/>
      <c r="H504" s="14"/>
      <c r="I504" s="14"/>
      <c r="J504" s="14"/>
      <c r="K504" s="12"/>
    </row>
    <row r="505" ht="19.5" customHeight="1">
      <c r="A505" s="12"/>
      <c r="C505" s="12"/>
      <c r="D505" s="13"/>
      <c r="F505" s="14"/>
      <c r="G505" s="14"/>
      <c r="H505" s="14"/>
      <c r="I505" s="14"/>
      <c r="J505" s="14"/>
      <c r="K505" s="12"/>
    </row>
    <row r="506" ht="19.5" customHeight="1">
      <c r="A506" s="12"/>
      <c r="C506" s="12"/>
      <c r="D506" s="13"/>
      <c r="F506" s="14"/>
      <c r="G506" s="14"/>
      <c r="H506" s="14"/>
      <c r="I506" s="14"/>
      <c r="J506" s="14"/>
      <c r="K506" s="12"/>
    </row>
    <row r="507" ht="19.5" customHeight="1">
      <c r="A507" s="12"/>
      <c r="C507" s="12"/>
      <c r="D507" s="13"/>
      <c r="F507" s="14"/>
      <c r="G507" s="14"/>
      <c r="H507" s="14"/>
      <c r="I507" s="14"/>
      <c r="J507" s="14"/>
      <c r="K507" s="12"/>
    </row>
    <row r="508" ht="19.5" customHeight="1">
      <c r="A508" s="12"/>
      <c r="C508" s="12"/>
      <c r="D508" s="13"/>
      <c r="F508" s="14"/>
      <c r="G508" s="14"/>
      <c r="H508" s="14"/>
      <c r="I508" s="14"/>
      <c r="J508" s="14"/>
      <c r="K508" s="12"/>
    </row>
    <row r="509" ht="19.5" customHeight="1">
      <c r="A509" s="12"/>
      <c r="C509" s="12"/>
      <c r="D509" s="13"/>
      <c r="F509" s="14"/>
      <c r="G509" s="14"/>
      <c r="H509" s="14"/>
      <c r="I509" s="14"/>
      <c r="J509" s="14"/>
      <c r="K509" s="12"/>
    </row>
    <row r="510" ht="19.5" customHeight="1">
      <c r="A510" s="12"/>
      <c r="C510" s="12"/>
      <c r="D510" s="13"/>
      <c r="F510" s="14"/>
      <c r="G510" s="14"/>
      <c r="H510" s="14"/>
      <c r="I510" s="14"/>
      <c r="J510" s="14"/>
      <c r="K510" s="12"/>
    </row>
    <row r="511" ht="19.5" customHeight="1">
      <c r="A511" s="12"/>
      <c r="C511" s="12"/>
      <c r="D511" s="13"/>
      <c r="F511" s="14"/>
      <c r="G511" s="14"/>
      <c r="H511" s="14"/>
      <c r="I511" s="14"/>
      <c r="J511" s="14"/>
      <c r="K511" s="12"/>
    </row>
    <row r="512" ht="19.5" customHeight="1">
      <c r="A512" s="12"/>
      <c r="C512" s="12"/>
      <c r="D512" s="13"/>
      <c r="F512" s="14"/>
      <c r="G512" s="14"/>
      <c r="H512" s="14"/>
      <c r="I512" s="14"/>
      <c r="J512" s="14"/>
      <c r="K512" s="12"/>
    </row>
    <row r="513" ht="19.5" customHeight="1">
      <c r="A513" s="12"/>
      <c r="C513" s="12"/>
      <c r="D513" s="13"/>
      <c r="F513" s="14"/>
      <c r="G513" s="14"/>
      <c r="H513" s="14"/>
      <c r="I513" s="14"/>
      <c r="J513" s="14"/>
      <c r="K513" s="12"/>
    </row>
    <row r="514" ht="19.5" customHeight="1">
      <c r="A514" s="12"/>
      <c r="C514" s="12"/>
      <c r="D514" s="13"/>
      <c r="F514" s="14"/>
      <c r="G514" s="14"/>
      <c r="H514" s="14"/>
      <c r="I514" s="14"/>
      <c r="J514" s="14"/>
      <c r="K514" s="12"/>
    </row>
    <row r="515" ht="19.5" customHeight="1">
      <c r="A515" s="12"/>
      <c r="C515" s="12"/>
      <c r="D515" s="13"/>
      <c r="F515" s="14"/>
      <c r="G515" s="14"/>
      <c r="H515" s="14"/>
      <c r="I515" s="14"/>
      <c r="J515" s="14"/>
      <c r="K515" s="12"/>
    </row>
    <row r="516" ht="19.5" customHeight="1">
      <c r="A516" s="12"/>
      <c r="C516" s="12"/>
      <c r="D516" s="13"/>
      <c r="F516" s="14"/>
      <c r="G516" s="14"/>
      <c r="H516" s="14"/>
      <c r="I516" s="14"/>
      <c r="J516" s="14"/>
      <c r="K516" s="12"/>
    </row>
    <row r="517" ht="19.5" customHeight="1">
      <c r="A517" s="12"/>
      <c r="C517" s="12"/>
      <c r="D517" s="13"/>
      <c r="F517" s="14"/>
      <c r="G517" s="14"/>
      <c r="H517" s="14"/>
      <c r="I517" s="14"/>
      <c r="J517" s="14"/>
      <c r="K517" s="12"/>
    </row>
    <row r="518" ht="19.5" customHeight="1">
      <c r="A518" s="12"/>
      <c r="C518" s="12"/>
      <c r="D518" s="13"/>
      <c r="F518" s="14"/>
      <c r="G518" s="14"/>
      <c r="H518" s="14"/>
      <c r="I518" s="14"/>
      <c r="J518" s="14"/>
      <c r="K518" s="12"/>
    </row>
    <row r="519" ht="19.5" customHeight="1">
      <c r="A519" s="12"/>
      <c r="C519" s="12"/>
      <c r="D519" s="13"/>
      <c r="F519" s="14"/>
      <c r="G519" s="14"/>
      <c r="H519" s="14"/>
      <c r="I519" s="14"/>
      <c r="J519" s="14"/>
      <c r="K519" s="12"/>
    </row>
    <row r="520" ht="19.5" customHeight="1">
      <c r="A520" s="12"/>
      <c r="C520" s="12"/>
      <c r="D520" s="13"/>
      <c r="F520" s="14"/>
      <c r="G520" s="14"/>
      <c r="H520" s="14"/>
      <c r="I520" s="14"/>
      <c r="J520" s="14"/>
      <c r="K520" s="12"/>
    </row>
    <row r="521" ht="19.5" customHeight="1">
      <c r="A521" s="12"/>
      <c r="C521" s="12"/>
      <c r="D521" s="13"/>
      <c r="F521" s="14"/>
      <c r="G521" s="14"/>
      <c r="H521" s="14"/>
      <c r="I521" s="14"/>
      <c r="J521" s="14"/>
      <c r="K521" s="12"/>
    </row>
    <row r="522" ht="19.5" customHeight="1">
      <c r="A522" s="12"/>
      <c r="C522" s="12"/>
      <c r="D522" s="13"/>
      <c r="F522" s="14"/>
      <c r="G522" s="14"/>
      <c r="H522" s="14"/>
      <c r="I522" s="14"/>
      <c r="J522" s="14"/>
      <c r="K522" s="12"/>
    </row>
    <row r="523" ht="19.5" customHeight="1">
      <c r="A523" s="12"/>
      <c r="C523" s="12"/>
      <c r="D523" s="13"/>
      <c r="F523" s="14"/>
      <c r="G523" s="14"/>
      <c r="H523" s="14"/>
      <c r="I523" s="14"/>
      <c r="J523" s="14"/>
      <c r="K523" s="12"/>
    </row>
    <row r="524" ht="19.5" customHeight="1">
      <c r="A524" s="12"/>
      <c r="C524" s="12"/>
      <c r="D524" s="13"/>
      <c r="F524" s="14"/>
      <c r="G524" s="14"/>
      <c r="H524" s="14"/>
      <c r="I524" s="14"/>
      <c r="J524" s="14"/>
      <c r="K524" s="12"/>
    </row>
    <row r="525" ht="19.5" customHeight="1">
      <c r="A525" s="12"/>
      <c r="C525" s="12"/>
      <c r="D525" s="13"/>
      <c r="F525" s="14"/>
      <c r="G525" s="14"/>
      <c r="H525" s="14"/>
      <c r="I525" s="14"/>
      <c r="J525" s="14"/>
      <c r="K525" s="12"/>
    </row>
    <row r="526" ht="19.5" customHeight="1">
      <c r="A526" s="12"/>
      <c r="C526" s="12"/>
      <c r="D526" s="13"/>
      <c r="F526" s="14"/>
      <c r="G526" s="14"/>
      <c r="H526" s="14"/>
      <c r="I526" s="14"/>
      <c r="J526" s="14"/>
      <c r="K526" s="12"/>
    </row>
    <row r="527" ht="19.5" customHeight="1">
      <c r="A527" s="12"/>
      <c r="C527" s="12"/>
      <c r="D527" s="13"/>
      <c r="F527" s="14"/>
      <c r="G527" s="14"/>
      <c r="H527" s="14"/>
      <c r="I527" s="14"/>
      <c r="J527" s="14"/>
      <c r="K527" s="12"/>
    </row>
    <row r="528" ht="19.5" customHeight="1">
      <c r="A528" s="12"/>
      <c r="C528" s="12"/>
      <c r="D528" s="13"/>
      <c r="F528" s="14"/>
      <c r="G528" s="14"/>
      <c r="H528" s="14"/>
      <c r="I528" s="14"/>
      <c r="J528" s="14"/>
      <c r="K528" s="12"/>
    </row>
    <row r="529" ht="19.5" customHeight="1">
      <c r="A529" s="12"/>
      <c r="C529" s="12"/>
      <c r="D529" s="13"/>
      <c r="F529" s="14"/>
      <c r="G529" s="14"/>
      <c r="H529" s="14"/>
      <c r="I529" s="14"/>
      <c r="J529" s="14"/>
      <c r="K529" s="12"/>
    </row>
    <row r="530" ht="19.5" customHeight="1">
      <c r="A530" s="12"/>
      <c r="C530" s="12"/>
      <c r="D530" s="13"/>
      <c r="F530" s="14"/>
      <c r="G530" s="14"/>
      <c r="H530" s="14"/>
      <c r="I530" s="14"/>
      <c r="J530" s="14"/>
      <c r="K530" s="12"/>
    </row>
    <row r="531" ht="19.5" customHeight="1">
      <c r="A531" s="12"/>
      <c r="C531" s="12"/>
      <c r="D531" s="13"/>
      <c r="F531" s="14"/>
      <c r="G531" s="14"/>
      <c r="H531" s="14"/>
      <c r="I531" s="14"/>
      <c r="J531" s="14"/>
      <c r="K531" s="12"/>
    </row>
    <row r="532" ht="19.5" customHeight="1">
      <c r="A532" s="12"/>
      <c r="C532" s="12"/>
      <c r="D532" s="13"/>
      <c r="F532" s="14"/>
      <c r="G532" s="14"/>
      <c r="H532" s="14"/>
      <c r="I532" s="14"/>
      <c r="J532" s="14"/>
      <c r="K532" s="12"/>
    </row>
    <row r="533" ht="19.5" customHeight="1">
      <c r="A533" s="12"/>
      <c r="C533" s="12"/>
      <c r="D533" s="13"/>
      <c r="F533" s="14"/>
      <c r="G533" s="14"/>
      <c r="H533" s="14"/>
      <c r="I533" s="14"/>
      <c r="J533" s="14"/>
      <c r="K533" s="12"/>
    </row>
    <row r="534" ht="19.5" customHeight="1">
      <c r="A534" s="12"/>
      <c r="C534" s="12"/>
      <c r="D534" s="13"/>
      <c r="F534" s="14"/>
      <c r="G534" s="14"/>
      <c r="H534" s="14"/>
      <c r="I534" s="14"/>
      <c r="J534" s="14"/>
      <c r="K534" s="12"/>
    </row>
    <row r="535" ht="19.5" customHeight="1">
      <c r="A535" s="12"/>
      <c r="C535" s="12"/>
      <c r="D535" s="13"/>
      <c r="F535" s="14"/>
      <c r="G535" s="14"/>
      <c r="H535" s="14"/>
      <c r="I535" s="14"/>
      <c r="J535" s="14"/>
      <c r="K535" s="12"/>
    </row>
    <row r="536" ht="19.5" customHeight="1">
      <c r="A536" s="12"/>
      <c r="C536" s="12"/>
      <c r="D536" s="13"/>
      <c r="F536" s="14"/>
      <c r="G536" s="14"/>
      <c r="H536" s="14"/>
      <c r="I536" s="14"/>
      <c r="J536" s="14"/>
      <c r="K536" s="12"/>
    </row>
    <row r="537" ht="19.5" customHeight="1">
      <c r="A537" s="12"/>
      <c r="C537" s="12"/>
      <c r="D537" s="13"/>
      <c r="F537" s="14"/>
      <c r="G537" s="14"/>
      <c r="H537" s="14"/>
      <c r="I537" s="14"/>
      <c r="J537" s="14"/>
      <c r="K537" s="12"/>
    </row>
    <row r="538" ht="19.5" customHeight="1">
      <c r="A538" s="12"/>
      <c r="C538" s="12"/>
      <c r="D538" s="13"/>
      <c r="F538" s="14"/>
      <c r="G538" s="14"/>
      <c r="H538" s="14"/>
      <c r="I538" s="14"/>
      <c r="J538" s="14"/>
      <c r="K538" s="12"/>
    </row>
    <row r="539" ht="19.5" customHeight="1">
      <c r="A539" s="12"/>
      <c r="C539" s="12"/>
      <c r="D539" s="13"/>
      <c r="F539" s="14"/>
      <c r="G539" s="14"/>
      <c r="H539" s="14"/>
      <c r="I539" s="14"/>
      <c r="J539" s="14"/>
      <c r="K539" s="12"/>
    </row>
    <row r="540" ht="19.5" customHeight="1">
      <c r="A540" s="12"/>
      <c r="C540" s="12"/>
      <c r="D540" s="13"/>
      <c r="F540" s="14"/>
      <c r="G540" s="14"/>
      <c r="H540" s="14"/>
      <c r="I540" s="14"/>
      <c r="J540" s="14"/>
      <c r="K540" s="12"/>
    </row>
    <row r="541" ht="19.5" customHeight="1">
      <c r="A541" s="12"/>
      <c r="C541" s="12"/>
      <c r="D541" s="13"/>
      <c r="F541" s="14"/>
      <c r="G541" s="14"/>
      <c r="H541" s="14"/>
      <c r="I541" s="14"/>
      <c r="J541" s="14"/>
      <c r="K541" s="12"/>
    </row>
    <row r="542" ht="19.5" customHeight="1">
      <c r="A542" s="12"/>
      <c r="C542" s="12"/>
      <c r="D542" s="13"/>
      <c r="F542" s="14"/>
      <c r="G542" s="14"/>
      <c r="H542" s="14"/>
      <c r="I542" s="14"/>
      <c r="J542" s="14"/>
      <c r="K542" s="12"/>
    </row>
    <row r="543" ht="19.5" customHeight="1">
      <c r="A543" s="12"/>
      <c r="C543" s="12"/>
      <c r="D543" s="13"/>
      <c r="F543" s="14"/>
      <c r="G543" s="14"/>
      <c r="H543" s="14"/>
      <c r="I543" s="14"/>
      <c r="J543" s="14"/>
      <c r="K543" s="12"/>
    </row>
    <row r="544" ht="19.5" customHeight="1">
      <c r="A544" s="12"/>
      <c r="C544" s="12"/>
      <c r="D544" s="13"/>
      <c r="F544" s="14"/>
      <c r="G544" s="14"/>
      <c r="H544" s="14"/>
      <c r="I544" s="14"/>
      <c r="J544" s="14"/>
      <c r="K544" s="12"/>
    </row>
    <row r="545" ht="19.5" customHeight="1">
      <c r="A545" s="12"/>
      <c r="C545" s="12"/>
      <c r="D545" s="13"/>
      <c r="F545" s="14"/>
      <c r="G545" s="14"/>
      <c r="H545" s="14"/>
      <c r="I545" s="14"/>
      <c r="J545" s="14"/>
      <c r="K545" s="12"/>
    </row>
    <row r="546" ht="19.5" customHeight="1">
      <c r="A546" s="12"/>
      <c r="C546" s="12"/>
      <c r="D546" s="13"/>
      <c r="F546" s="14"/>
      <c r="G546" s="14"/>
      <c r="H546" s="14"/>
      <c r="I546" s="14"/>
      <c r="J546" s="14"/>
      <c r="K546" s="12"/>
    </row>
    <row r="547" ht="19.5" customHeight="1">
      <c r="A547" s="12"/>
      <c r="C547" s="12"/>
      <c r="D547" s="13"/>
      <c r="F547" s="14"/>
      <c r="G547" s="14"/>
      <c r="H547" s="14"/>
      <c r="I547" s="14"/>
      <c r="J547" s="14"/>
      <c r="K547" s="12"/>
    </row>
    <row r="548" ht="19.5" customHeight="1">
      <c r="A548" s="12"/>
      <c r="C548" s="12"/>
      <c r="D548" s="13"/>
      <c r="F548" s="14"/>
      <c r="G548" s="14"/>
      <c r="H548" s="14"/>
      <c r="I548" s="14"/>
      <c r="J548" s="14"/>
      <c r="K548" s="12"/>
    </row>
    <row r="549" ht="19.5" customHeight="1">
      <c r="A549" s="12"/>
      <c r="C549" s="12"/>
      <c r="D549" s="13"/>
      <c r="F549" s="14"/>
      <c r="G549" s="14"/>
      <c r="H549" s="14"/>
      <c r="I549" s="14"/>
      <c r="J549" s="14"/>
      <c r="K549" s="12"/>
    </row>
    <row r="550" ht="19.5" customHeight="1">
      <c r="A550" s="12"/>
      <c r="C550" s="12"/>
      <c r="D550" s="13"/>
      <c r="F550" s="14"/>
      <c r="G550" s="14"/>
      <c r="H550" s="14"/>
      <c r="I550" s="14"/>
      <c r="J550" s="14"/>
      <c r="K550" s="12"/>
    </row>
    <row r="551" ht="19.5" customHeight="1">
      <c r="A551" s="12"/>
      <c r="C551" s="12"/>
      <c r="D551" s="13"/>
      <c r="F551" s="14"/>
      <c r="G551" s="14"/>
      <c r="H551" s="14"/>
      <c r="I551" s="14"/>
      <c r="J551" s="14"/>
      <c r="K551" s="12"/>
    </row>
    <row r="552" ht="19.5" customHeight="1">
      <c r="A552" s="12"/>
      <c r="C552" s="12"/>
      <c r="D552" s="13"/>
      <c r="F552" s="14"/>
      <c r="G552" s="14"/>
      <c r="H552" s="14"/>
      <c r="I552" s="14"/>
      <c r="J552" s="14"/>
      <c r="K552" s="12"/>
    </row>
    <row r="553" ht="19.5" customHeight="1">
      <c r="A553" s="12"/>
      <c r="C553" s="12"/>
      <c r="D553" s="13"/>
      <c r="F553" s="14"/>
      <c r="G553" s="14"/>
      <c r="H553" s="14"/>
      <c r="I553" s="14"/>
      <c r="J553" s="14"/>
      <c r="K553" s="12"/>
    </row>
    <row r="554" ht="19.5" customHeight="1">
      <c r="A554" s="12"/>
      <c r="C554" s="12"/>
      <c r="D554" s="13"/>
      <c r="F554" s="14"/>
      <c r="G554" s="14"/>
      <c r="H554" s="14"/>
      <c r="I554" s="14"/>
      <c r="J554" s="14"/>
      <c r="K554" s="12"/>
    </row>
    <row r="555" ht="19.5" customHeight="1">
      <c r="A555" s="12"/>
      <c r="C555" s="12"/>
      <c r="D555" s="13"/>
      <c r="F555" s="14"/>
      <c r="G555" s="14"/>
      <c r="H555" s="14"/>
      <c r="I555" s="14"/>
      <c r="J555" s="14"/>
      <c r="K555" s="12"/>
    </row>
    <row r="556" ht="19.5" customHeight="1">
      <c r="A556" s="12"/>
      <c r="C556" s="12"/>
      <c r="D556" s="13"/>
      <c r="F556" s="14"/>
      <c r="G556" s="14"/>
      <c r="H556" s="14"/>
      <c r="I556" s="14"/>
      <c r="J556" s="14"/>
      <c r="K556" s="12"/>
    </row>
    <row r="557" ht="19.5" customHeight="1">
      <c r="A557" s="12"/>
      <c r="C557" s="12"/>
      <c r="D557" s="13"/>
      <c r="F557" s="14"/>
      <c r="G557" s="14"/>
      <c r="H557" s="14"/>
      <c r="I557" s="14"/>
      <c r="J557" s="14"/>
      <c r="K557" s="12"/>
    </row>
    <row r="558" ht="19.5" customHeight="1">
      <c r="A558" s="12"/>
      <c r="C558" s="12"/>
      <c r="D558" s="13"/>
      <c r="F558" s="14"/>
      <c r="G558" s="14"/>
      <c r="H558" s="14"/>
      <c r="I558" s="14"/>
      <c r="J558" s="14"/>
      <c r="K558" s="12"/>
    </row>
    <row r="559" ht="19.5" customHeight="1">
      <c r="A559" s="12"/>
      <c r="C559" s="12"/>
      <c r="D559" s="13"/>
      <c r="F559" s="14"/>
      <c r="G559" s="14"/>
      <c r="H559" s="14"/>
      <c r="I559" s="14"/>
      <c r="J559" s="14"/>
      <c r="K559" s="12"/>
    </row>
    <row r="560" ht="19.5" customHeight="1">
      <c r="A560" s="12"/>
      <c r="C560" s="12"/>
      <c r="D560" s="13"/>
      <c r="F560" s="14"/>
      <c r="G560" s="14"/>
      <c r="H560" s="14"/>
      <c r="I560" s="14"/>
      <c r="J560" s="14"/>
      <c r="K560" s="12"/>
    </row>
    <row r="561" ht="19.5" customHeight="1">
      <c r="A561" s="12"/>
      <c r="C561" s="12"/>
      <c r="D561" s="13"/>
      <c r="F561" s="14"/>
      <c r="G561" s="14"/>
      <c r="H561" s="14"/>
      <c r="I561" s="14"/>
      <c r="J561" s="14"/>
      <c r="K561" s="12"/>
    </row>
    <row r="562" ht="19.5" customHeight="1">
      <c r="A562" s="12"/>
      <c r="C562" s="12"/>
      <c r="D562" s="13"/>
      <c r="F562" s="14"/>
      <c r="G562" s="14"/>
      <c r="H562" s="14"/>
      <c r="I562" s="14"/>
      <c r="J562" s="14"/>
      <c r="K562" s="12"/>
    </row>
    <row r="563" ht="19.5" customHeight="1">
      <c r="A563" s="12"/>
      <c r="C563" s="12"/>
      <c r="D563" s="13"/>
      <c r="F563" s="14"/>
      <c r="G563" s="14"/>
      <c r="H563" s="14"/>
      <c r="I563" s="14"/>
      <c r="J563" s="14"/>
      <c r="K563" s="12"/>
    </row>
    <row r="564" ht="19.5" customHeight="1">
      <c r="A564" s="12"/>
      <c r="C564" s="12"/>
      <c r="D564" s="13"/>
      <c r="F564" s="14"/>
      <c r="G564" s="14"/>
      <c r="H564" s="14"/>
      <c r="I564" s="14"/>
      <c r="J564" s="14"/>
      <c r="K564" s="12"/>
    </row>
    <row r="565" ht="19.5" customHeight="1">
      <c r="A565" s="12"/>
      <c r="C565" s="12"/>
      <c r="D565" s="13"/>
      <c r="F565" s="14"/>
      <c r="G565" s="14"/>
      <c r="H565" s="14"/>
      <c r="I565" s="14"/>
      <c r="J565" s="14"/>
      <c r="K565" s="12"/>
    </row>
    <row r="566" ht="19.5" customHeight="1">
      <c r="A566" s="12"/>
      <c r="C566" s="12"/>
      <c r="D566" s="13"/>
      <c r="F566" s="14"/>
      <c r="G566" s="14"/>
      <c r="H566" s="14"/>
      <c r="I566" s="14"/>
      <c r="J566" s="14"/>
      <c r="K566" s="12"/>
    </row>
    <row r="567" ht="19.5" customHeight="1">
      <c r="A567" s="12"/>
      <c r="C567" s="12"/>
      <c r="D567" s="13"/>
      <c r="F567" s="14"/>
      <c r="G567" s="14"/>
      <c r="H567" s="14"/>
      <c r="I567" s="14"/>
      <c r="J567" s="14"/>
      <c r="K567" s="12"/>
    </row>
    <row r="568" ht="19.5" customHeight="1">
      <c r="A568" s="12"/>
      <c r="C568" s="12"/>
      <c r="D568" s="13"/>
      <c r="F568" s="14"/>
      <c r="G568" s="14"/>
      <c r="H568" s="14"/>
      <c r="I568" s="14"/>
      <c r="J568" s="14"/>
      <c r="K568" s="12"/>
    </row>
    <row r="569" ht="19.5" customHeight="1">
      <c r="A569" s="12"/>
      <c r="C569" s="12"/>
      <c r="D569" s="13"/>
      <c r="F569" s="14"/>
      <c r="G569" s="14"/>
      <c r="H569" s="14"/>
      <c r="I569" s="14"/>
      <c r="J569" s="14"/>
      <c r="K569" s="12"/>
    </row>
    <row r="570" ht="19.5" customHeight="1">
      <c r="A570" s="12"/>
      <c r="C570" s="12"/>
      <c r="D570" s="13"/>
      <c r="F570" s="14"/>
      <c r="G570" s="14"/>
      <c r="H570" s="14"/>
      <c r="I570" s="14"/>
      <c r="J570" s="14"/>
      <c r="K570" s="12"/>
    </row>
    <row r="571" ht="19.5" customHeight="1">
      <c r="A571" s="12"/>
      <c r="C571" s="12"/>
      <c r="D571" s="13"/>
      <c r="F571" s="14"/>
      <c r="G571" s="14"/>
      <c r="H571" s="14"/>
      <c r="I571" s="14"/>
      <c r="J571" s="14"/>
      <c r="K571" s="12"/>
    </row>
    <row r="572" ht="19.5" customHeight="1">
      <c r="A572" s="12"/>
      <c r="C572" s="12"/>
      <c r="D572" s="13"/>
      <c r="F572" s="14"/>
      <c r="G572" s="14"/>
      <c r="H572" s="14"/>
      <c r="I572" s="14"/>
      <c r="J572" s="14"/>
      <c r="K572" s="12"/>
    </row>
    <row r="573" ht="19.5" customHeight="1">
      <c r="A573" s="12"/>
      <c r="C573" s="12"/>
      <c r="D573" s="13"/>
      <c r="F573" s="14"/>
      <c r="G573" s="14"/>
      <c r="H573" s="14"/>
      <c r="I573" s="14"/>
      <c r="J573" s="14"/>
      <c r="K573" s="12"/>
    </row>
    <row r="574" ht="19.5" customHeight="1">
      <c r="A574" s="12"/>
      <c r="C574" s="12"/>
      <c r="D574" s="13"/>
      <c r="F574" s="14"/>
      <c r="G574" s="14"/>
      <c r="H574" s="14"/>
      <c r="I574" s="14"/>
      <c r="J574" s="14"/>
      <c r="K574" s="12"/>
    </row>
    <row r="575" ht="19.5" customHeight="1">
      <c r="A575" s="12"/>
      <c r="C575" s="12"/>
      <c r="D575" s="13"/>
      <c r="F575" s="14"/>
      <c r="G575" s="14"/>
      <c r="H575" s="14"/>
      <c r="I575" s="14"/>
      <c r="J575" s="14"/>
      <c r="K575" s="12"/>
    </row>
    <row r="576" ht="19.5" customHeight="1">
      <c r="A576" s="12"/>
      <c r="C576" s="12"/>
      <c r="D576" s="13"/>
      <c r="F576" s="14"/>
      <c r="G576" s="14"/>
      <c r="H576" s="14"/>
      <c r="I576" s="14"/>
      <c r="J576" s="14"/>
      <c r="K576" s="12"/>
    </row>
    <row r="577" ht="19.5" customHeight="1">
      <c r="A577" s="12"/>
      <c r="C577" s="12"/>
      <c r="D577" s="13"/>
      <c r="F577" s="14"/>
      <c r="G577" s="14"/>
      <c r="H577" s="14"/>
      <c r="I577" s="14"/>
      <c r="J577" s="14"/>
      <c r="K577" s="12"/>
    </row>
    <row r="578" ht="19.5" customHeight="1">
      <c r="A578" s="12"/>
      <c r="C578" s="12"/>
      <c r="D578" s="13"/>
      <c r="F578" s="14"/>
      <c r="G578" s="14"/>
      <c r="H578" s="14"/>
      <c r="I578" s="14"/>
      <c r="J578" s="14"/>
      <c r="K578" s="12"/>
    </row>
    <row r="579" ht="19.5" customHeight="1">
      <c r="A579" s="12"/>
      <c r="C579" s="12"/>
      <c r="D579" s="13"/>
      <c r="F579" s="14"/>
      <c r="G579" s="14"/>
      <c r="H579" s="14"/>
      <c r="I579" s="14"/>
      <c r="J579" s="14"/>
      <c r="K579" s="12"/>
    </row>
    <row r="580" ht="19.5" customHeight="1">
      <c r="A580" s="12"/>
      <c r="C580" s="12"/>
      <c r="D580" s="13"/>
      <c r="F580" s="14"/>
      <c r="G580" s="14"/>
      <c r="H580" s="14"/>
      <c r="I580" s="14"/>
      <c r="J580" s="14"/>
      <c r="K580" s="12"/>
    </row>
    <row r="581" ht="19.5" customHeight="1">
      <c r="A581" s="12"/>
      <c r="C581" s="12"/>
      <c r="D581" s="13"/>
      <c r="F581" s="14"/>
      <c r="G581" s="14"/>
      <c r="H581" s="14"/>
      <c r="I581" s="14"/>
      <c r="J581" s="14"/>
      <c r="K581" s="12"/>
    </row>
    <row r="582" ht="19.5" customHeight="1">
      <c r="A582" s="12"/>
      <c r="C582" s="12"/>
      <c r="D582" s="13"/>
      <c r="F582" s="14"/>
      <c r="G582" s="14"/>
      <c r="H582" s="14"/>
      <c r="I582" s="14"/>
      <c r="J582" s="14"/>
      <c r="K582" s="12"/>
    </row>
    <row r="583" ht="19.5" customHeight="1">
      <c r="A583" s="12"/>
      <c r="C583" s="12"/>
      <c r="D583" s="13"/>
      <c r="F583" s="14"/>
      <c r="G583" s="14"/>
      <c r="H583" s="14"/>
      <c r="I583" s="14"/>
      <c r="J583" s="14"/>
      <c r="K583" s="12"/>
    </row>
    <row r="584" ht="19.5" customHeight="1">
      <c r="A584" s="12"/>
      <c r="C584" s="12"/>
      <c r="D584" s="13"/>
      <c r="F584" s="14"/>
      <c r="G584" s="14"/>
      <c r="H584" s="14"/>
      <c r="I584" s="14"/>
      <c r="J584" s="14"/>
      <c r="K584" s="12"/>
    </row>
    <row r="585" ht="19.5" customHeight="1">
      <c r="A585" s="12"/>
      <c r="C585" s="12"/>
      <c r="D585" s="13"/>
      <c r="F585" s="14"/>
      <c r="G585" s="14"/>
      <c r="H585" s="14"/>
      <c r="I585" s="14"/>
      <c r="J585" s="14"/>
      <c r="K585" s="12"/>
    </row>
    <row r="586" ht="19.5" customHeight="1">
      <c r="A586" s="12"/>
      <c r="C586" s="12"/>
      <c r="D586" s="13"/>
      <c r="F586" s="14"/>
      <c r="G586" s="14"/>
      <c r="H586" s="14"/>
      <c r="I586" s="14"/>
      <c r="J586" s="14"/>
      <c r="K586" s="12"/>
    </row>
    <row r="587" ht="19.5" customHeight="1">
      <c r="A587" s="12"/>
      <c r="C587" s="12"/>
      <c r="D587" s="13"/>
      <c r="F587" s="14"/>
      <c r="G587" s="14"/>
      <c r="H587" s="14"/>
      <c r="I587" s="14"/>
      <c r="J587" s="14"/>
      <c r="K587" s="12"/>
    </row>
    <row r="588" ht="19.5" customHeight="1">
      <c r="A588" s="12"/>
      <c r="C588" s="12"/>
      <c r="D588" s="13"/>
      <c r="F588" s="14"/>
      <c r="G588" s="14"/>
      <c r="H588" s="14"/>
      <c r="I588" s="14"/>
      <c r="J588" s="14"/>
      <c r="K588" s="12"/>
    </row>
    <row r="589" ht="19.5" customHeight="1">
      <c r="A589" s="12"/>
      <c r="C589" s="12"/>
      <c r="D589" s="13"/>
      <c r="F589" s="14"/>
      <c r="G589" s="14"/>
      <c r="H589" s="14"/>
      <c r="I589" s="14"/>
      <c r="J589" s="14"/>
      <c r="K589" s="12"/>
    </row>
    <row r="590" ht="19.5" customHeight="1">
      <c r="A590" s="12"/>
      <c r="C590" s="12"/>
      <c r="D590" s="13"/>
      <c r="F590" s="14"/>
      <c r="G590" s="14"/>
      <c r="H590" s="14"/>
      <c r="I590" s="14"/>
      <c r="J590" s="14"/>
      <c r="K590" s="12"/>
    </row>
    <row r="591" ht="19.5" customHeight="1">
      <c r="A591" s="12"/>
      <c r="C591" s="12"/>
      <c r="D591" s="13"/>
      <c r="F591" s="14"/>
      <c r="G591" s="14"/>
      <c r="H591" s="14"/>
      <c r="I591" s="14"/>
      <c r="J591" s="14"/>
      <c r="K591" s="12"/>
    </row>
    <row r="592" ht="19.5" customHeight="1">
      <c r="A592" s="12"/>
      <c r="C592" s="12"/>
      <c r="D592" s="13"/>
      <c r="F592" s="14"/>
      <c r="G592" s="14"/>
      <c r="H592" s="14"/>
      <c r="I592" s="14"/>
      <c r="J592" s="14"/>
      <c r="K592" s="12"/>
    </row>
    <row r="593" ht="19.5" customHeight="1">
      <c r="A593" s="12"/>
      <c r="C593" s="12"/>
      <c r="D593" s="13"/>
      <c r="F593" s="14"/>
      <c r="G593" s="14"/>
      <c r="H593" s="14"/>
      <c r="I593" s="14"/>
      <c r="J593" s="14"/>
      <c r="K593" s="12"/>
    </row>
    <row r="594" ht="19.5" customHeight="1">
      <c r="A594" s="12"/>
      <c r="C594" s="12"/>
      <c r="D594" s="13"/>
      <c r="F594" s="14"/>
      <c r="G594" s="14"/>
      <c r="H594" s="14"/>
      <c r="I594" s="14"/>
      <c r="J594" s="14"/>
      <c r="K594" s="12"/>
    </row>
    <row r="595" ht="19.5" customHeight="1">
      <c r="A595" s="12"/>
      <c r="C595" s="12"/>
      <c r="D595" s="13"/>
      <c r="F595" s="14"/>
      <c r="G595" s="14"/>
      <c r="H595" s="14"/>
      <c r="I595" s="14"/>
      <c r="J595" s="14"/>
      <c r="K595" s="12"/>
    </row>
    <row r="596" ht="19.5" customHeight="1">
      <c r="A596" s="12"/>
      <c r="C596" s="12"/>
      <c r="D596" s="13"/>
      <c r="F596" s="14"/>
      <c r="G596" s="14"/>
      <c r="H596" s="14"/>
      <c r="I596" s="14"/>
      <c r="J596" s="14"/>
      <c r="K596" s="12"/>
    </row>
    <row r="597" ht="19.5" customHeight="1">
      <c r="A597" s="12"/>
      <c r="C597" s="12"/>
      <c r="D597" s="13"/>
      <c r="F597" s="14"/>
      <c r="G597" s="14"/>
      <c r="H597" s="14"/>
      <c r="I597" s="14"/>
      <c r="J597" s="14"/>
      <c r="K597" s="12"/>
    </row>
    <row r="598" ht="19.5" customHeight="1">
      <c r="A598" s="12"/>
      <c r="C598" s="12"/>
      <c r="D598" s="13"/>
      <c r="F598" s="14"/>
      <c r="G598" s="14"/>
      <c r="H598" s="14"/>
      <c r="I598" s="14"/>
      <c r="J598" s="14"/>
      <c r="K598" s="12"/>
    </row>
    <row r="599" ht="19.5" customHeight="1">
      <c r="A599" s="12"/>
      <c r="C599" s="12"/>
      <c r="D599" s="13"/>
      <c r="F599" s="14"/>
      <c r="G599" s="14"/>
      <c r="H599" s="14"/>
      <c r="I599" s="14"/>
      <c r="J599" s="14"/>
      <c r="K599" s="12"/>
    </row>
    <row r="600" ht="19.5" customHeight="1">
      <c r="A600" s="12"/>
      <c r="C600" s="12"/>
      <c r="D600" s="13"/>
      <c r="F600" s="14"/>
      <c r="G600" s="14"/>
      <c r="H600" s="14"/>
      <c r="I600" s="14"/>
      <c r="J600" s="14"/>
      <c r="K600" s="12"/>
    </row>
    <row r="601" ht="19.5" customHeight="1">
      <c r="A601" s="12"/>
      <c r="C601" s="12"/>
      <c r="D601" s="13"/>
      <c r="F601" s="14"/>
      <c r="G601" s="14"/>
      <c r="H601" s="14"/>
      <c r="I601" s="14"/>
      <c r="J601" s="14"/>
      <c r="K601" s="12"/>
    </row>
    <row r="602" ht="19.5" customHeight="1">
      <c r="A602" s="12"/>
      <c r="C602" s="12"/>
      <c r="D602" s="13"/>
      <c r="F602" s="14"/>
      <c r="G602" s="14"/>
      <c r="H602" s="14"/>
      <c r="I602" s="14"/>
      <c r="J602" s="14"/>
      <c r="K602" s="12"/>
    </row>
    <row r="603" ht="19.5" customHeight="1">
      <c r="A603" s="12"/>
      <c r="C603" s="12"/>
      <c r="D603" s="13"/>
      <c r="F603" s="14"/>
      <c r="G603" s="14"/>
      <c r="H603" s="14"/>
      <c r="I603" s="14"/>
      <c r="J603" s="14"/>
      <c r="K603" s="12"/>
    </row>
    <row r="604" ht="19.5" customHeight="1">
      <c r="A604" s="12"/>
      <c r="C604" s="12"/>
      <c r="D604" s="13"/>
      <c r="F604" s="14"/>
      <c r="G604" s="14"/>
      <c r="H604" s="14"/>
      <c r="I604" s="14"/>
      <c r="J604" s="14"/>
      <c r="K604" s="12"/>
    </row>
    <row r="605" ht="19.5" customHeight="1">
      <c r="A605" s="12"/>
      <c r="C605" s="12"/>
      <c r="D605" s="13"/>
      <c r="F605" s="14"/>
      <c r="G605" s="14"/>
      <c r="H605" s="14"/>
      <c r="I605" s="14"/>
      <c r="J605" s="14"/>
      <c r="K605" s="12"/>
    </row>
    <row r="606" ht="19.5" customHeight="1">
      <c r="A606" s="12"/>
      <c r="C606" s="12"/>
      <c r="D606" s="13"/>
      <c r="F606" s="14"/>
      <c r="G606" s="14"/>
      <c r="H606" s="14"/>
      <c r="I606" s="14"/>
      <c r="J606" s="14"/>
      <c r="K606" s="12"/>
    </row>
    <row r="607" ht="19.5" customHeight="1">
      <c r="A607" s="12"/>
      <c r="C607" s="12"/>
      <c r="D607" s="13"/>
      <c r="F607" s="14"/>
      <c r="G607" s="14"/>
      <c r="H607" s="14"/>
      <c r="I607" s="14"/>
      <c r="J607" s="14"/>
      <c r="K607" s="12"/>
    </row>
    <row r="608" ht="19.5" customHeight="1">
      <c r="A608" s="12"/>
      <c r="C608" s="12"/>
      <c r="D608" s="13"/>
      <c r="F608" s="14"/>
      <c r="G608" s="14"/>
      <c r="H608" s="14"/>
      <c r="I608" s="14"/>
      <c r="J608" s="14"/>
      <c r="K608" s="12"/>
    </row>
    <row r="609" ht="19.5" customHeight="1">
      <c r="A609" s="12"/>
      <c r="C609" s="12"/>
      <c r="D609" s="13"/>
      <c r="F609" s="14"/>
      <c r="G609" s="14"/>
      <c r="H609" s="14"/>
      <c r="I609" s="14"/>
      <c r="J609" s="14"/>
      <c r="K609" s="12"/>
    </row>
    <row r="610" ht="19.5" customHeight="1">
      <c r="A610" s="12"/>
      <c r="C610" s="12"/>
      <c r="D610" s="13"/>
      <c r="F610" s="14"/>
      <c r="G610" s="14"/>
      <c r="H610" s="14"/>
      <c r="I610" s="14"/>
      <c r="J610" s="14"/>
      <c r="K610" s="12"/>
    </row>
    <row r="611" ht="19.5" customHeight="1">
      <c r="A611" s="12"/>
      <c r="C611" s="12"/>
      <c r="D611" s="13"/>
      <c r="F611" s="14"/>
      <c r="G611" s="14"/>
      <c r="H611" s="14"/>
      <c r="I611" s="14"/>
      <c r="J611" s="14"/>
      <c r="K611" s="12"/>
    </row>
    <row r="612" ht="19.5" customHeight="1">
      <c r="A612" s="12"/>
      <c r="C612" s="12"/>
      <c r="D612" s="13"/>
      <c r="F612" s="14"/>
      <c r="G612" s="14"/>
      <c r="H612" s="14"/>
      <c r="I612" s="14"/>
      <c r="J612" s="14"/>
      <c r="K612" s="12"/>
    </row>
    <row r="613" ht="19.5" customHeight="1">
      <c r="A613" s="12"/>
      <c r="C613" s="12"/>
      <c r="D613" s="13"/>
      <c r="F613" s="14"/>
      <c r="G613" s="14"/>
      <c r="H613" s="14"/>
      <c r="I613" s="14"/>
      <c r="J613" s="14"/>
      <c r="K613" s="12"/>
    </row>
    <row r="614" ht="19.5" customHeight="1">
      <c r="A614" s="12"/>
      <c r="C614" s="12"/>
      <c r="D614" s="13"/>
      <c r="F614" s="14"/>
      <c r="G614" s="14"/>
      <c r="H614" s="14"/>
      <c r="I614" s="14"/>
      <c r="J614" s="14"/>
      <c r="K614" s="12"/>
    </row>
    <row r="615" ht="19.5" customHeight="1">
      <c r="A615" s="12"/>
      <c r="C615" s="12"/>
      <c r="D615" s="13"/>
      <c r="F615" s="14"/>
      <c r="G615" s="14"/>
      <c r="H615" s="14"/>
      <c r="I615" s="14"/>
      <c r="J615" s="14"/>
      <c r="K615" s="12"/>
    </row>
    <row r="616" ht="19.5" customHeight="1">
      <c r="A616" s="12"/>
      <c r="C616" s="12"/>
      <c r="D616" s="13"/>
      <c r="F616" s="14"/>
      <c r="G616" s="14"/>
      <c r="H616" s="14"/>
      <c r="I616" s="14"/>
      <c r="J616" s="14"/>
      <c r="K616" s="12"/>
    </row>
    <row r="617" ht="19.5" customHeight="1">
      <c r="A617" s="12"/>
      <c r="C617" s="12"/>
      <c r="D617" s="13"/>
      <c r="F617" s="14"/>
      <c r="G617" s="14"/>
      <c r="H617" s="14"/>
      <c r="I617" s="14"/>
      <c r="J617" s="14"/>
      <c r="K617" s="12"/>
    </row>
    <row r="618" ht="19.5" customHeight="1">
      <c r="A618" s="12"/>
      <c r="C618" s="12"/>
      <c r="D618" s="13"/>
      <c r="F618" s="14"/>
      <c r="G618" s="14"/>
      <c r="H618" s="14"/>
      <c r="I618" s="14"/>
      <c r="J618" s="14"/>
      <c r="K618" s="12"/>
    </row>
    <row r="619" ht="19.5" customHeight="1">
      <c r="A619" s="12"/>
      <c r="C619" s="12"/>
      <c r="D619" s="13"/>
      <c r="F619" s="14"/>
      <c r="G619" s="14"/>
      <c r="H619" s="14"/>
      <c r="I619" s="14"/>
      <c r="J619" s="14"/>
      <c r="K619" s="12"/>
    </row>
    <row r="620" ht="19.5" customHeight="1">
      <c r="A620" s="12"/>
      <c r="C620" s="12"/>
      <c r="D620" s="13"/>
      <c r="F620" s="14"/>
      <c r="G620" s="14"/>
      <c r="H620" s="14"/>
      <c r="I620" s="14"/>
      <c r="J620" s="14"/>
      <c r="K620" s="12"/>
    </row>
    <row r="621" ht="19.5" customHeight="1">
      <c r="A621" s="12"/>
      <c r="C621" s="12"/>
      <c r="D621" s="13"/>
      <c r="F621" s="14"/>
      <c r="G621" s="14"/>
      <c r="H621" s="14"/>
      <c r="I621" s="14"/>
      <c r="J621" s="14"/>
      <c r="K621" s="12"/>
    </row>
    <row r="622" ht="19.5" customHeight="1">
      <c r="A622" s="12"/>
      <c r="C622" s="12"/>
      <c r="D622" s="13"/>
      <c r="F622" s="14"/>
      <c r="G622" s="14"/>
      <c r="H622" s="14"/>
      <c r="I622" s="14"/>
      <c r="J622" s="14"/>
      <c r="K622" s="12"/>
    </row>
    <row r="623" ht="19.5" customHeight="1">
      <c r="A623" s="12"/>
      <c r="C623" s="12"/>
      <c r="D623" s="13"/>
      <c r="F623" s="14"/>
      <c r="G623" s="14"/>
      <c r="H623" s="14"/>
      <c r="I623" s="14"/>
      <c r="J623" s="14"/>
      <c r="K623" s="12"/>
    </row>
    <row r="624" ht="19.5" customHeight="1">
      <c r="A624" s="12"/>
      <c r="C624" s="12"/>
      <c r="D624" s="13"/>
      <c r="F624" s="14"/>
      <c r="G624" s="14"/>
      <c r="H624" s="14"/>
      <c r="I624" s="14"/>
      <c r="J624" s="14"/>
      <c r="K624" s="12"/>
    </row>
    <row r="625" ht="19.5" customHeight="1">
      <c r="A625" s="12"/>
      <c r="C625" s="12"/>
      <c r="D625" s="13"/>
      <c r="F625" s="14"/>
      <c r="G625" s="14"/>
      <c r="H625" s="14"/>
      <c r="I625" s="14"/>
      <c r="J625" s="14"/>
      <c r="K625" s="12"/>
    </row>
    <row r="626" ht="19.5" customHeight="1">
      <c r="A626" s="12"/>
      <c r="C626" s="12"/>
      <c r="D626" s="13"/>
      <c r="F626" s="14"/>
      <c r="G626" s="14"/>
      <c r="H626" s="14"/>
      <c r="I626" s="14"/>
      <c r="J626" s="14"/>
      <c r="K626" s="12"/>
    </row>
    <row r="627" ht="19.5" customHeight="1">
      <c r="A627" s="12"/>
      <c r="C627" s="12"/>
      <c r="D627" s="13"/>
      <c r="F627" s="14"/>
      <c r="G627" s="14"/>
      <c r="H627" s="14"/>
      <c r="I627" s="14"/>
      <c r="J627" s="14"/>
      <c r="K627" s="12"/>
    </row>
    <row r="628" ht="19.5" customHeight="1">
      <c r="A628" s="12"/>
      <c r="C628" s="12"/>
      <c r="D628" s="13"/>
      <c r="F628" s="14"/>
      <c r="G628" s="14"/>
      <c r="H628" s="14"/>
      <c r="I628" s="14"/>
      <c r="J628" s="14"/>
      <c r="K628" s="12"/>
    </row>
    <row r="629" ht="19.5" customHeight="1">
      <c r="A629" s="12"/>
      <c r="C629" s="12"/>
      <c r="D629" s="13"/>
      <c r="F629" s="14"/>
      <c r="G629" s="14"/>
      <c r="H629" s="14"/>
      <c r="I629" s="14"/>
      <c r="J629" s="14"/>
      <c r="K629" s="12"/>
    </row>
    <row r="630" ht="19.5" customHeight="1">
      <c r="A630" s="12"/>
      <c r="C630" s="12"/>
      <c r="D630" s="13"/>
      <c r="F630" s="14"/>
      <c r="G630" s="14"/>
      <c r="H630" s="14"/>
      <c r="I630" s="14"/>
      <c r="J630" s="14"/>
      <c r="K630" s="12"/>
    </row>
    <row r="631" ht="19.5" customHeight="1">
      <c r="A631" s="12"/>
      <c r="C631" s="12"/>
      <c r="D631" s="13"/>
      <c r="F631" s="14"/>
      <c r="G631" s="14"/>
      <c r="H631" s="14"/>
      <c r="I631" s="14"/>
      <c r="J631" s="14"/>
      <c r="K631" s="12"/>
    </row>
    <row r="632" ht="19.5" customHeight="1">
      <c r="A632" s="12"/>
      <c r="C632" s="12"/>
      <c r="D632" s="13"/>
      <c r="F632" s="14"/>
      <c r="G632" s="14"/>
      <c r="H632" s="14"/>
      <c r="I632" s="14"/>
      <c r="J632" s="14"/>
      <c r="K632" s="12"/>
    </row>
    <row r="633" ht="19.5" customHeight="1">
      <c r="A633" s="12"/>
      <c r="C633" s="12"/>
      <c r="D633" s="13"/>
      <c r="F633" s="14"/>
      <c r="G633" s="14"/>
      <c r="H633" s="14"/>
      <c r="I633" s="14"/>
      <c r="J633" s="14"/>
      <c r="K633" s="12"/>
    </row>
    <row r="634" ht="19.5" customHeight="1">
      <c r="A634" s="12"/>
      <c r="C634" s="12"/>
      <c r="D634" s="13"/>
      <c r="F634" s="14"/>
      <c r="G634" s="14"/>
      <c r="H634" s="14"/>
      <c r="I634" s="14"/>
      <c r="J634" s="14"/>
      <c r="K634" s="12"/>
    </row>
    <row r="635" ht="19.5" customHeight="1">
      <c r="A635" s="12"/>
      <c r="C635" s="12"/>
      <c r="D635" s="13"/>
      <c r="F635" s="14"/>
      <c r="G635" s="14"/>
      <c r="H635" s="14"/>
      <c r="I635" s="14"/>
      <c r="J635" s="14"/>
      <c r="K635" s="12"/>
    </row>
    <row r="636" ht="19.5" customHeight="1">
      <c r="A636" s="12"/>
      <c r="C636" s="12"/>
      <c r="D636" s="13"/>
      <c r="F636" s="14"/>
      <c r="G636" s="14"/>
      <c r="H636" s="14"/>
      <c r="I636" s="14"/>
      <c r="J636" s="14"/>
      <c r="K636" s="12"/>
    </row>
    <row r="637" ht="19.5" customHeight="1">
      <c r="A637" s="12"/>
      <c r="C637" s="12"/>
      <c r="D637" s="13"/>
      <c r="F637" s="14"/>
      <c r="G637" s="14"/>
      <c r="H637" s="14"/>
      <c r="I637" s="14"/>
      <c r="J637" s="14"/>
      <c r="K637" s="12"/>
    </row>
    <row r="638" ht="19.5" customHeight="1">
      <c r="A638" s="12"/>
      <c r="C638" s="12"/>
      <c r="D638" s="13"/>
      <c r="F638" s="14"/>
      <c r="G638" s="14"/>
      <c r="H638" s="14"/>
      <c r="I638" s="14"/>
      <c r="J638" s="14"/>
      <c r="K638" s="12"/>
    </row>
    <row r="639" ht="19.5" customHeight="1">
      <c r="A639" s="12"/>
      <c r="C639" s="12"/>
      <c r="D639" s="13"/>
      <c r="F639" s="14"/>
      <c r="G639" s="14"/>
      <c r="H639" s="14"/>
      <c r="I639" s="14"/>
      <c r="J639" s="14"/>
      <c r="K639" s="12"/>
    </row>
    <row r="640" ht="19.5" customHeight="1">
      <c r="A640" s="12"/>
      <c r="C640" s="12"/>
      <c r="D640" s="13"/>
      <c r="F640" s="14"/>
      <c r="G640" s="14"/>
      <c r="H640" s="14"/>
      <c r="I640" s="14"/>
      <c r="J640" s="14"/>
      <c r="K640" s="12"/>
    </row>
    <row r="641" ht="19.5" customHeight="1">
      <c r="A641" s="12"/>
      <c r="C641" s="12"/>
      <c r="D641" s="13"/>
      <c r="F641" s="14"/>
      <c r="G641" s="14"/>
      <c r="H641" s="14"/>
      <c r="I641" s="14"/>
      <c r="J641" s="14"/>
      <c r="K641" s="12"/>
    </row>
    <row r="642" ht="19.5" customHeight="1">
      <c r="A642" s="12"/>
      <c r="C642" s="12"/>
      <c r="D642" s="13"/>
      <c r="F642" s="14"/>
      <c r="G642" s="14"/>
      <c r="H642" s="14"/>
      <c r="I642" s="14"/>
      <c r="J642" s="14"/>
      <c r="K642" s="12"/>
    </row>
    <row r="643" ht="19.5" customHeight="1">
      <c r="A643" s="12"/>
      <c r="C643" s="12"/>
      <c r="D643" s="13"/>
      <c r="F643" s="14"/>
      <c r="G643" s="14"/>
      <c r="H643" s="14"/>
      <c r="I643" s="14"/>
      <c r="J643" s="14"/>
      <c r="K643" s="12"/>
    </row>
    <row r="644" ht="19.5" customHeight="1">
      <c r="A644" s="12"/>
      <c r="C644" s="12"/>
      <c r="D644" s="13"/>
      <c r="F644" s="14"/>
      <c r="G644" s="14"/>
      <c r="H644" s="14"/>
      <c r="I644" s="14"/>
      <c r="J644" s="14"/>
      <c r="K644" s="12"/>
    </row>
    <row r="645" ht="19.5" customHeight="1">
      <c r="A645" s="12"/>
      <c r="C645" s="12"/>
      <c r="D645" s="13"/>
      <c r="F645" s="14"/>
      <c r="G645" s="14"/>
      <c r="H645" s="14"/>
      <c r="I645" s="14"/>
      <c r="J645" s="14"/>
      <c r="K645" s="12"/>
    </row>
    <row r="646" ht="19.5" customHeight="1">
      <c r="A646" s="12"/>
      <c r="C646" s="12"/>
      <c r="D646" s="13"/>
      <c r="F646" s="14"/>
      <c r="G646" s="14"/>
      <c r="H646" s="14"/>
      <c r="I646" s="14"/>
      <c r="J646" s="14"/>
      <c r="K646" s="12"/>
    </row>
    <row r="647" ht="19.5" customHeight="1">
      <c r="A647" s="12"/>
      <c r="C647" s="12"/>
      <c r="D647" s="13"/>
      <c r="F647" s="14"/>
      <c r="G647" s="14"/>
      <c r="H647" s="14"/>
      <c r="I647" s="14"/>
      <c r="J647" s="14"/>
      <c r="K647" s="12"/>
    </row>
    <row r="648" ht="19.5" customHeight="1">
      <c r="A648" s="12"/>
      <c r="C648" s="12"/>
      <c r="D648" s="13"/>
      <c r="F648" s="14"/>
      <c r="G648" s="14"/>
      <c r="H648" s="14"/>
      <c r="I648" s="14"/>
      <c r="J648" s="14"/>
      <c r="K648" s="12"/>
    </row>
    <row r="649" ht="19.5" customHeight="1">
      <c r="A649" s="12"/>
      <c r="C649" s="12"/>
      <c r="D649" s="13"/>
      <c r="F649" s="14"/>
      <c r="G649" s="14"/>
      <c r="H649" s="14"/>
      <c r="I649" s="14"/>
      <c r="J649" s="14"/>
      <c r="K649" s="12"/>
    </row>
    <row r="650" ht="19.5" customHeight="1">
      <c r="A650" s="12"/>
      <c r="C650" s="12"/>
      <c r="D650" s="13"/>
      <c r="F650" s="14"/>
      <c r="G650" s="14"/>
      <c r="H650" s="14"/>
      <c r="I650" s="14"/>
      <c r="J650" s="14"/>
      <c r="K650" s="12"/>
    </row>
    <row r="651" ht="19.5" customHeight="1">
      <c r="A651" s="12"/>
      <c r="C651" s="12"/>
      <c r="D651" s="13"/>
      <c r="F651" s="14"/>
      <c r="G651" s="14"/>
      <c r="H651" s="14"/>
      <c r="I651" s="14"/>
      <c r="J651" s="14"/>
      <c r="K651" s="12"/>
    </row>
    <row r="652" ht="19.5" customHeight="1">
      <c r="A652" s="12"/>
      <c r="C652" s="12"/>
      <c r="D652" s="13"/>
      <c r="F652" s="14"/>
      <c r="G652" s="14"/>
      <c r="H652" s="14"/>
      <c r="I652" s="14"/>
      <c r="J652" s="14"/>
      <c r="K652" s="12"/>
    </row>
    <row r="653" ht="19.5" customHeight="1">
      <c r="A653" s="12"/>
      <c r="C653" s="12"/>
      <c r="D653" s="13"/>
      <c r="F653" s="14"/>
      <c r="G653" s="14"/>
      <c r="H653" s="14"/>
      <c r="I653" s="14"/>
      <c r="J653" s="14"/>
      <c r="K653" s="12"/>
    </row>
    <row r="654" ht="19.5" customHeight="1">
      <c r="A654" s="12"/>
      <c r="C654" s="12"/>
      <c r="D654" s="13"/>
      <c r="F654" s="14"/>
      <c r="G654" s="14"/>
      <c r="H654" s="14"/>
      <c r="I654" s="14"/>
      <c r="J654" s="14"/>
      <c r="K654" s="12"/>
    </row>
    <row r="655" ht="19.5" customHeight="1">
      <c r="A655" s="12"/>
      <c r="C655" s="12"/>
      <c r="D655" s="13"/>
      <c r="F655" s="14"/>
      <c r="G655" s="14"/>
      <c r="H655" s="14"/>
      <c r="I655" s="14"/>
      <c r="J655" s="14"/>
      <c r="K655" s="12"/>
    </row>
    <row r="656" ht="19.5" customHeight="1">
      <c r="A656" s="12"/>
      <c r="C656" s="12"/>
      <c r="D656" s="13"/>
      <c r="F656" s="14"/>
      <c r="G656" s="14"/>
      <c r="H656" s="14"/>
      <c r="I656" s="14"/>
      <c r="J656" s="14"/>
      <c r="K656" s="12"/>
    </row>
    <row r="657" ht="19.5" customHeight="1">
      <c r="A657" s="12"/>
      <c r="C657" s="12"/>
      <c r="D657" s="13"/>
      <c r="F657" s="14"/>
      <c r="G657" s="14"/>
      <c r="H657" s="14"/>
      <c r="I657" s="14"/>
      <c r="J657" s="14"/>
      <c r="K657" s="12"/>
    </row>
    <row r="658" ht="19.5" customHeight="1">
      <c r="A658" s="12"/>
      <c r="C658" s="12"/>
      <c r="D658" s="13"/>
      <c r="F658" s="14"/>
      <c r="G658" s="14"/>
      <c r="H658" s="14"/>
      <c r="I658" s="14"/>
      <c r="J658" s="14"/>
      <c r="K658" s="12"/>
    </row>
    <row r="659" ht="19.5" customHeight="1">
      <c r="A659" s="12"/>
      <c r="C659" s="12"/>
      <c r="D659" s="13"/>
      <c r="F659" s="14"/>
      <c r="G659" s="14"/>
      <c r="H659" s="14"/>
      <c r="I659" s="14"/>
      <c r="J659" s="14"/>
      <c r="K659" s="12"/>
    </row>
    <row r="660" ht="19.5" customHeight="1">
      <c r="A660" s="12"/>
      <c r="C660" s="12"/>
      <c r="D660" s="13"/>
      <c r="F660" s="14"/>
      <c r="G660" s="14"/>
      <c r="H660" s="14"/>
      <c r="I660" s="14"/>
      <c r="J660" s="14"/>
      <c r="K660" s="12"/>
    </row>
    <row r="661" ht="19.5" customHeight="1">
      <c r="A661" s="12"/>
      <c r="C661" s="12"/>
      <c r="D661" s="13"/>
      <c r="F661" s="14"/>
      <c r="G661" s="14"/>
      <c r="H661" s="14"/>
      <c r="I661" s="14"/>
      <c r="J661" s="14"/>
      <c r="K661" s="12"/>
    </row>
    <row r="662" ht="19.5" customHeight="1">
      <c r="A662" s="12"/>
      <c r="C662" s="12"/>
      <c r="D662" s="13"/>
      <c r="F662" s="14"/>
      <c r="G662" s="14"/>
      <c r="H662" s="14"/>
      <c r="I662" s="14"/>
      <c r="J662" s="14"/>
      <c r="K662" s="12"/>
    </row>
    <row r="663" ht="19.5" customHeight="1">
      <c r="A663" s="12"/>
      <c r="C663" s="12"/>
      <c r="D663" s="13"/>
      <c r="F663" s="14"/>
      <c r="G663" s="14"/>
      <c r="H663" s="14"/>
      <c r="I663" s="14"/>
      <c r="J663" s="14"/>
      <c r="K663" s="12"/>
    </row>
    <row r="664" ht="19.5" customHeight="1">
      <c r="A664" s="12"/>
      <c r="C664" s="12"/>
      <c r="D664" s="13"/>
      <c r="F664" s="14"/>
      <c r="G664" s="14"/>
      <c r="H664" s="14"/>
      <c r="I664" s="14"/>
      <c r="J664" s="14"/>
      <c r="K664" s="12"/>
    </row>
    <row r="665" ht="19.5" customHeight="1">
      <c r="A665" s="12"/>
      <c r="C665" s="12"/>
      <c r="D665" s="13"/>
      <c r="F665" s="14"/>
      <c r="G665" s="14"/>
      <c r="H665" s="14"/>
      <c r="I665" s="14"/>
      <c r="J665" s="14"/>
      <c r="K665" s="12"/>
    </row>
    <row r="666" ht="19.5" customHeight="1">
      <c r="A666" s="12"/>
      <c r="C666" s="12"/>
      <c r="D666" s="13"/>
      <c r="F666" s="14"/>
      <c r="G666" s="14"/>
      <c r="H666" s="14"/>
      <c r="I666" s="14"/>
      <c r="J666" s="14"/>
      <c r="K666" s="12"/>
    </row>
    <row r="667" ht="19.5" customHeight="1">
      <c r="A667" s="12"/>
      <c r="C667" s="12"/>
      <c r="D667" s="13"/>
      <c r="F667" s="14"/>
      <c r="G667" s="14"/>
      <c r="H667" s="14"/>
      <c r="I667" s="14"/>
      <c r="J667" s="14"/>
      <c r="K667" s="12"/>
    </row>
    <row r="668" ht="19.5" customHeight="1">
      <c r="A668" s="12"/>
      <c r="C668" s="12"/>
      <c r="D668" s="13"/>
      <c r="F668" s="14"/>
      <c r="G668" s="14"/>
      <c r="H668" s="14"/>
      <c r="I668" s="14"/>
      <c r="J668" s="14"/>
      <c r="K668" s="12"/>
    </row>
    <row r="669" ht="19.5" customHeight="1">
      <c r="A669" s="12"/>
      <c r="C669" s="12"/>
      <c r="D669" s="13"/>
      <c r="F669" s="14"/>
      <c r="G669" s="14"/>
      <c r="H669" s="14"/>
      <c r="I669" s="14"/>
      <c r="J669" s="14"/>
      <c r="K669" s="12"/>
    </row>
    <row r="670" ht="19.5" customHeight="1">
      <c r="A670" s="12"/>
      <c r="C670" s="12"/>
      <c r="D670" s="13"/>
      <c r="F670" s="14"/>
      <c r="G670" s="14"/>
      <c r="H670" s="14"/>
      <c r="I670" s="14"/>
      <c r="J670" s="14"/>
      <c r="K670" s="12"/>
    </row>
    <row r="671" ht="19.5" customHeight="1">
      <c r="A671" s="12"/>
      <c r="C671" s="12"/>
      <c r="D671" s="13"/>
      <c r="F671" s="14"/>
      <c r="G671" s="14"/>
      <c r="H671" s="14"/>
      <c r="I671" s="14"/>
      <c r="J671" s="14"/>
      <c r="K671" s="12"/>
    </row>
    <row r="672" ht="19.5" customHeight="1">
      <c r="A672" s="12"/>
      <c r="C672" s="12"/>
      <c r="D672" s="13"/>
      <c r="F672" s="14"/>
      <c r="G672" s="14"/>
      <c r="H672" s="14"/>
      <c r="I672" s="14"/>
      <c r="J672" s="14"/>
      <c r="K672" s="12"/>
    </row>
    <row r="673" ht="19.5" customHeight="1">
      <c r="A673" s="12"/>
      <c r="C673" s="12"/>
      <c r="D673" s="13"/>
      <c r="F673" s="14"/>
      <c r="G673" s="14"/>
      <c r="H673" s="14"/>
      <c r="I673" s="14"/>
      <c r="J673" s="14"/>
      <c r="K673" s="12"/>
    </row>
    <row r="674" ht="19.5" customHeight="1">
      <c r="A674" s="12"/>
      <c r="C674" s="12"/>
      <c r="D674" s="13"/>
      <c r="F674" s="14"/>
      <c r="G674" s="14"/>
      <c r="H674" s="14"/>
      <c r="I674" s="14"/>
      <c r="J674" s="14"/>
      <c r="K674" s="12"/>
    </row>
    <row r="675" ht="19.5" customHeight="1">
      <c r="A675" s="12"/>
      <c r="C675" s="12"/>
      <c r="D675" s="13"/>
      <c r="F675" s="14"/>
      <c r="G675" s="14"/>
      <c r="H675" s="14"/>
      <c r="I675" s="14"/>
      <c r="J675" s="14"/>
      <c r="K675" s="12"/>
    </row>
    <row r="676" ht="19.5" customHeight="1">
      <c r="A676" s="12"/>
      <c r="C676" s="12"/>
      <c r="D676" s="13"/>
      <c r="F676" s="14"/>
      <c r="G676" s="14"/>
      <c r="H676" s="14"/>
      <c r="I676" s="14"/>
      <c r="J676" s="14"/>
      <c r="K676" s="12"/>
    </row>
    <row r="677" ht="19.5" customHeight="1">
      <c r="A677" s="12"/>
      <c r="C677" s="12"/>
      <c r="D677" s="13"/>
      <c r="F677" s="14"/>
      <c r="G677" s="14"/>
      <c r="H677" s="14"/>
      <c r="I677" s="14"/>
      <c r="J677" s="14"/>
      <c r="K677" s="12"/>
    </row>
    <row r="678" ht="19.5" customHeight="1">
      <c r="A678" s="12"/>
      <c r="C678" s="12"/>
      <c r="D678" s="13"/>
      <c r="F678" s="14"/>
      <c r="G678" s="14"/>
      <c r="H678" s="14"/>
      <c r="I678" s="14"/>
      <c r="J678" s="14"/>
      <c r="K678" s="12"/>
    </row>
    <row r="679" ht="19.5" customHeight="1">
      <c r="A679" s="12"/>
      <c r="C679" s="12"/>
      <c r="D679" s="13"/>
      <c r="F679" s="14"/>
      <c r="G679" s="14"/>
      <c r="H679" s="14"/>
      <c r="I679" s="14"/>
      <c r="J679" s="14"/>
      <c r="K679" s="12"/>
    </row>
    <row r="680" ht="19.5" customHeight="1">
      <c r="A680" s="12"/>
      <c r="C680" s="12"/>
      <c r="D680" s="13"/>
      <c r="F680" s="14"/>
      <c r="G680" s="14"/>
      <c r="H680" s="14"/>
      <c r="I680" s="14"/>
      <c r="J680" s="14"/>
      <c r="K680" s="12"/>
    </row>
    <row r="681" ht="19.5" customHeight="1">
      <c r="A681" s="12"/>
      <c r="C681" s="12"/>
      <c r="D681" s="13"/>
      <c r="F681" s="14"/>
      <c r="G681" s="14"/>
      <c r="H681" s="14"/>
      <c r="I681" s="14"/>
      <c r="J681" s="14"/>
      <c r="K681" s="12"/>
    </row>
    <row r="682" ht="19.5" customHeight="1">
      <c r="A682" s="12"/>
      <c r="C682" s="12"/>
      <c r="D682" s="13"/>
      <c r="F682" s="14"/>
      <c r="G682" s="14"/>
      <c r="H682" s="14"/>
      <c r="I682" s="14"/>
      <c r="J682" s="14"/>
      <c r="K682" s="12"/>
    </row>
    <row r="683" ht="19.5" customHeight="1">
      <c r="A683" s="12"/>
      <c r="C683" s="12"/>
      <c r="D683" s="13"/>
      <c r="F683" s="14"/>
      <c r="G683" s="14"/>
      <c r="H683" s="14"/>
      <c r="I683" s="14"/>
      <c r="J683" s="14"/>
      <c r="K683" s="12"/>
    </row>
    <row r="684" ht="19.5" customHeight="1">
      <c r="A684" s="12"/>
      <c r="C684" s="12"/>
      <c r="D684" s="13"/>
      <c r="F684" s="14"/>
      <c r="G684" s="14"/>
      <c r="H684" s="14"/>
      <c r="I684" s="14"/>
      <c r="J684" s="14"/>
      <c r="K684" s="12"/>
    </row>
    <row r="685" ht="19.5" customHeight="1">
      <c r="A685" s="12"/>
      <c r="C685" s="12"/>
      <c r="D685" s="13"/>
      <c r="F685" s="14"/>
      <c r="G685" s="14"/>
      <c r="H685" s="14"/>
      <c r="I685" s="14"/>
      <c r="J685" s="14"/>
      <c r="K685" s="12"/>
    </row>
    <row r="686" ht="19.5" customHeight="1">
      <c r="A686" s="12"/>
      <c r="C686" s="12"/>
      <c r="D686" s="13"/>
      <c r="F686" s="14"/>
      <c r="G686" s="14"/>
      <c r="H686" s="14"/>
      <c r="I686" s="14"/>
      <c r="J686" s="14"/>
      <c r="K686" s="12"/>
    </row>
    <row r="687" ht="19.5" customHeight="1">
      <c r="A687" s="12"/>
      <c r="C687" s="12"/>
      <c r="D687" s="13"/>
      <c r="F687" s="14"/>
      <c r="G687" s="14"/>
      <c r="H687" s="14"/>
      <c r="I687" s="14"/>
      <c r="J687" s="14"/>
      <c r="K687" s="12"/>
    </row>
    <row r="688" ht="19.5" customHeight="1">
      <c r="A688" s="12"/>
      <c r="C688" s="12"/>
      <c r="D688" s="13"/>
      <c r="F688" s="14"/>
      <c r="G688" s="14"/>
      <c r="H688" s="14"/>
      <c r="I688" s="14"/>
      <c r="J688" s="14"/>
      <c r="K688" s="12"/>
    </row>
    <row r="689" ht="19.5" customHeight="1">
      <c r="A689" s="12"/>
      <c r="C689" s="12"/>
      <c r="D689" s="13"/>
      <c r="F689" s="14"/>
      <c r="G689" s="14"/>
      <c r="H689" s="14"/>
      <c r="I689" s="14"/>
      <c r="J689" s="14"/>
      <c r="K689" s="12"/>
    </row>
    <row r="690" ht="19.5" customHeight="1">
      <c r="A690" s="12"/>
      <c r="C690" s="12"/>
      <c r="D690" s="13"/>
      <c r="F690" s="14"/>
      <c r="G690" s="14"/>
      <c r="H690" s="14"/>
      <c r="I690" s="14"/>
      <c r="J690" s="14"/>
      <c r="K690" s="12"/>
    </row>
    <row r="691" ht="19.5" customHeight="1">
      <c r="A691" s="12"/>
      <c r="C691" s="12"/>
      <c r="D691" s="13"/>
      <c r="F691" s="14"/>
      <c r="G691" s="14"/>
      <c r="H691" s="14"/>
      <c r="I691" s="14"/>
      <c r="J691" s="14"/>
      <c r="K691" s="12"/>
    </row>
    <row r="692" ht="19.5" customHeight="1">
      <c r="A692" s="12"/>
      <c r="C692" s="12"/>
      <c r="D692" s="13"/>
      <c r="F692" s="14"/>
      <c r="G692" s="14"/>
      <c r="H692" s="14"/>
      <c r="I692" s="14"/>
      <c r="J692" s="14"/>
      <c r="K692" s="12"/>
    </row>
    <row r="693" ht="19.5" customHeight="1">
      <c r="A693" s="12"/>
      <c r="C693" s="12"/>
      <c r="D693" s="13"/>
      <c r="F693" s="14"/>
      <c r="G693" s="14"/>
      <c r="H693" s="14"/>
      <c r="I693" s="14"/>
      <c r="J693" s="14"/>
      <c r="K693" s="12"/>
    </row>
    <row r="694" ht="19.5" customHeight="1">
      <c r="A694" s="12"/>
      <c r="C694" s="12"/>
      <c r="D694" s="13"/>
      <c r="F694" s="14"/>
      <c r="G694" s="14"/>
      <c r="H694" s="14"/>
      <c r="I694" s="14"/>
      <c r="J694" s="14"/>
      <c r="K694" s="12"/>
    </row>
    <row r="695" ht="19.5" customHeight="1">
      <c r="A695" s="12"/>
      <c r="C695" s="12"/>
      <c r="D695" s="13"/>
      <c r="F695" s="14"/>
      <c r="G695" s="14"/>
      <c r="H695" s="14"/>
      <c r="I695" s="14"/>
      <c r="J695" s="14"/>
      <c r="K695" s="12"/>
    </row>
    <row r="696" ht="19.5" customHeight="1">
      <c r="A696" s="12"/>
      <c r="C696" s="12"/>
      <c r="D696" s="13"/>
      <c r="F696" s="14"/>
      <c r="G696" s="14"/>
      <c r="H696" s="14"/>
      <c r="I696" s="14"/>
      <c r="J696" s="14"/>
      <c r="K696" s="12"/>
    </row>
    <row r="697" ht="19.5" customHeight="1">
      <c r="A697" s="12"/>
      <c r="C697" s="12"/>
      <c r="D697" s="13"/>
      <c r="F697" s="14"/>
      <c r="G697" s="14"/>
      <c r="H697" s="14"/>
      <c r="I697" s="14"/>
      <c r="J697" s="14"/>
      <c r="K697" s="12"/>
    </row>
    <row r="698" ht="19.5" customHeight="1">
      <c r="A698" s="12"/>
      <c r="C698" s="12"/>
      <c r="D698" s="13"/>
      <c r="F698" s="14"/>
      <c r="G698" s="14"/>
      <c r="H698" s="14"/>
      <c r="I698" s="14"/>
      <c r="J698" s="14"/>
      <c r="K698" s="12"/>
    </row>
    <row r="699" ht="19.5" customHeight="1">
      <c r="A699" s="12"/>
      <c r="C699" s="12"/>
      <c r="D699" s="13"/>
      <c r="F699" s="14"/>
      <c r="G699" s="14"/>
      <c r="H699" s="14"/>
      <c r="I699" s="14"/>
      <c r="J699" s="14"/>
      <c r="K699" s="12"/>
    </row>
    <row r="700" ht="19.5" customHeight="1">
      <c r="A700" s="12"/>
      <c r="C700" s="12"/>
      <c r="D700" s="13"/>
      <c r="F700" s="14"/>
      <c r="G700" s="14"/>
      <c r="H700" s="14"/>
      <c r="I700" s="14"/>
      <c r="J700" s="14"/>
      <c r="K700" s="12"/>
    </row>
    <row r="701" ht="19.5" customHeight="1">
      <c r="A701" s="12"/>
      <c r="C701" s="12"/>
      <c r="D701" s="13"/>
      <c r="F701" s="14"/>
      <c r="G701" s="14"/>
      <c r="H701" s="14"/>
      <c r="I701" s="14"/>
      <c r="J701" s="14"/>
      <c r="K701" s="12"/>
    </row>
    <row r="702" ht="19.5" customHeight="1">
      <c r="A702" s="12"/>
      <c r="C702" s="12"/>
      <c r="D702" s="13"/>
      <c r="F702" s="14"/>
      <c r="G702" s="14"/>
      <c r="H702" s="14"/>
      <c r="I702" s="14"/>
      <c r="J702" s="14"/>
      <c r="K702" s="12"/>
    </row>
    <row r="703" ht="19.5" customHeight="1">
      <c r="A703" s="12"/>
      <c r="C703" s="12"/>
      <c r="D703" s="13"/>
      <c r="F703" s="14"/>
      <c r="G703" s="14"/>
      <c r="H703" s="14"/>
      <c r="I703" s="14"/>
      <c r="J703" s="14"/>
      <c r="K703" s="12"/>
    </row>
    <row r="704" ht="19.5" customHeight="1">
      <c r="A704" s="12"/>
      <c r="C704" s="12"/>
      <c r="D704" s="13"/>
      <c r="F704" s="14"/>
      <c r="G704" s="14"/>
      <c r="H704" s="14"/>
      <c r="I704" s="14"/>
      <c r="J704" s="14"/>
      <c r="K704" s="12"/>
    </row>
    <row r="705" ht="19.5" customHeight="1">
      <c r="A705" s="12"/>
      <c r="C705" s="12"/>
      <c r="D705" s="13"/>
      <c r="F705" s="14"/>
      <c r="G705" s="14"/>
      <c r="H705" s="14"/>
      <c r="I705" s="14"/>
      <c r="J705" s="14"/>
      <c r="K705" s="12"/>
    </row>
    <row r="706" ht="19.5" customHeight="1">
      <c r="A706" s="12"/>
      <c r="C706" s="12"/>
      <c r="D706" s="13"/>
      <c r="F706" s="14"/>
      <c r="G706" s="14"/>
      <c r="H706" s="14"/>
      <c r="I706" s="14"/>
      <c r="J706" s="14"/>
      <c r="K706" s="12"/>
    </row>
    <row r="707" ht="19.5" customHeight="1">
      <c r="A707" s="12"/>
      <c r="C707" s="12"/>
      <c r="D707" s="13"/>
      <c r="F707" s="14"/>
      <c r="G707" s="14"/>
      <c r="H707" s="14"/>
      <c r="I707" s="14"/>
      <c r="J707" s="14"/>
      <c r="K707" s="12"/>
    </row>
    <row r="708" ht="19.5" customHeight="1">
      <c r="A708" s="12"/>
      <c r="C708" s="12"/>
      <c r="D708" s="13"/>
      <c r="F708" s="14"/>
      <c r="G708" s="14"/>
      <c r="H708" s="14"/>
      <c r="I708" s="14"/>
      <c r="J708" s="14"/>
      <c r="K708" s="12"/>
    </row>
    <row r="709" ht="19.5" customHeight="1">
      <c r="A709" s="12"/>
      <c r="C709" s="12"/>
      <c r="D709" s="13"/>
      <c r="F709" s="14"/>
      <c r="G709" s="14"/>
      <c r="H709" s="14"/>
      <c r="I709" s="14"/>
      <c r="J709" s="14"/>
      <c r="K709" s="12"/>
    </row>
    <row r="710" ht="19.5" customHeight="1">
      <c r="A710" s="12"/>
      <c r="C710" s="12"/>
      <c r="D710" s="13"/>
      <c r="F710" s="14"/>
      <c r="G710" s="14"/>
      <c r="H710" s="14"/>
      <c r="I710" s="14"/>
      <c r="J710" s="14"/>
      <c r="K710" s="12"/>
    </row>
    <row r="711" ht="19.5" customHeight="1">
      <c r="A711" s="12"/>
      <c r="C711" s="12"/>
      <c r="D711" s="13"/>
      <c r="F711" s="14"/>
      <c r="G711" s="14"/>
      <c r="H711" s="14"/>
      <c r="I711" s="14"/>
      <c r="J711" s="14"/>
      <c r="K711" s="12"/>
    </row>
    <row r="712" ht="19.5" customHeight="1">
      <c r="A712" s="12"/>
      <c r="C712" s="12"/>
      <c r="D712" s="13"/>
      <c r="F712" s="14"/>
      <c r="G712" s="14"/>
      <c r="H712" s="14"/>
      <c r="I712" s="14"/>
      <c r="J712" s="14"/>
      <c r="K712" s="12"/>
    </row>
    <row r="713" ht="19.5" customHeight="1">
      <c r="A713" s="12"/>
      <c r="C713" s="12"/>
      <c r="D713" s="13"/>
      <c r="F713" s="14"/>
      <c r="G713" s="14"/>
      <c r="H713" s="14"/>
      <c r="I713" s="14"/>
      <c r="J713" s="14"/>
      <c r="K713" s="12"/>
    </row>
    <row r="714" ht="19.5" customHeight="1">
      <c r="A714" s="12"/>
      <c r="C714" s="12"/>
      <c r="D714" s="13"/>
      <c r="F714" s="14"/>
      <c r="G714" s="14"/>
      <c r="H714" s="14"/>
      <c r="I714" s="14"/>
      <c r="J714" s="14"/>
      <c r="K714" s="12"/>
    </row>
    <row r="715" ht="19.5" customHeight="1">
      <c r="A715" s="12"/>
      <c r="C715" s="12"/>
      <c r="D715" s="13"/>
      <c r="F715" s="14"/>
      <c r="G715" s="14"/>
      <c r="H715" s="14"/>
      <c r="I715" s="14"/>
      <c r="J715" s="14"/>
      <c r="K715" s="12"/>
    </row>
    <row r="716" ht="19.5" customHeight="1">
      <c r="A716" s="12"/>
      <c r="C716" s="12"/>
      <c r="D716" s="13"/>
      <c r="F716" s="14"/>
      <c r="G716" s="14"/>
      <c r="H716" s="14"/>
      <c r="I716" s="14"/>
      <c r="J716" s="14"/>
      <c r="K716" s="12"/>
    </row>
    <row r="717" ht="19.5" customHeight="1">
      <c r="A717" s="12"/>
      <c r="C717" s="12"/>
      <c r="D717" s="13"/>
      <c r="F717" s="14"/>
      <c r="G717" s="14"/>
      <c r="H717" s="14"/>
      <c r="I717" s="14"/>
      <c r="J717" s="14"/>
      <c r="K717" s="12"/>
    </row>
    <row r="718" ht="19.5" customHeight="1">
      <c r="A718" s="12"/>
      <c r="C718" s="12"/>
      <c r="D718" s="13"/>
      <c r="F718" s="14"/>
      <c r="G718" s="14"/>
      <c r="H718" s="14"/>
      <c r="I718" s="14"/>
      <c r="J718" s="14"/>
      <c r="K718" s="12"/>
    </row>
    <row r="719" ht="19.5" customHeight="1">
      <c r="A719" s="12"/>
      <c r="C719" s="12"/>
      <c r="D719" s="13"/>
      <c r="F719" s="14"/>
      <c r="G719" s="14"/>
      <c r="H719" s="14"/>
      <c r="I719" s="14"/>
      <c r="J719" s="14"/>
      <c r="K719" s="12"/>
    </row>
    <row r="720" ht="19.5" customHeight="1">
      <c r="A720" s="12"/>
      <c r="C720" s="12"/>
      <c r="D720" s="13"/>
      <c r="F720" s="14"/>
      <c r="G720" s="14"/>
      <c r="H720" s="14"/>
      <c r="I720" s="14"/>
      <c r="J720" s="14"/>
      <c r="K720" s="12"/>
    </row>
    <row r="721" ht="19.5" customHeight="1">
      <c r="A721" s="12"/>
      <c r="C721" s="12"/>
      <c r="D721" s="13"/>
      <c r="F721" s="14"/>
      <c r="G721" s="14"/>
      <c r="H721" s="14"/>
      <c r="I721" s="14"/>
      <c r="J721" s="14"/>
      <c r="K721" s="12"/>
    </row>
    <row r="722" ht="19.5" customHeight="1">
      <c r="A722" s="12"/>
      <c r="C722" s="12"/>
      <c r="D722" s="13"/>
      <c r="F722" s="14"/>
      <c r="G722" s="14"/>
      <c r="H722" s="14"/>
      <c r="I722" s="14"/>
      <c r="J722" s="14"/>
      <c r="K722" s="12"/>
    </row>
    <row r="723" ht="19.5" customHeight="1">
      <c r="A723" s="12"/>
      <c r="C723" s="12"/>
      <c r="D723" s="13"/>
      <c r="F723" s="14"/>
      <c r="G723" s="14"/>
      <c r="H723" s="14"/>
      <c r="I723" s="14"/>
      <c r="J723" s="14"/>
      <c r="K723" s="12"/>
    </row>
    <row r="724" ht="19.5" customHeight="1">
      <c r="A724" s="12"/>
      <c r="C724" s="12"/>
      <c r="D724" s="13"/>
      <c r="F724" s="14"/>
      <c r="G724" s="14"/>
      <c r="H724" s="14"/>
      <c r="I724" s="14"/>
      <c r="J724" s="14"/>
      <c r="K724" s="12"/>
    </row>
    <row r="725" ht="19.5" customHeight="1">
      <c r="A725" s="12"/>
      <c r="C725" s="12"/>
      <c r="D725" s="13"/>
      <c r="F725" s="14"/>
      <c r="G725" s="14"/>
      <c r="H725" s="14"/>
      <c r="I725" s="14"/>
      <c r="J725" s="14"/>
      <c r="K725" s="12"/>
    </row>
    <row r="726" ht="19.5" customHeight="1">
      <c r="A726" s="12"/>
      <c r="C726" s="12"/>
      <c r="D726" s="13"/>
      <c r="F726" s="14"/>
      <c r="G726" s="14"/>
      <c r="H726" s="14"/>
      <c r="I726" s="14"/>
      <c r="J726" s="14"/>
      <c r="K726" s="12"/>
    </row>
    <row r="727" ht="19.5" customHeight="1">
      <c r="A727" s="12"/>
      <c r="C727" s="12"/>
      <c r="D727" s="13"/>
      <c r="F727" s="14"/>
      <c r="G727" s="14"/>
      <c r="H727" s="14"/>
      <c r="I727" s="14"/>
      <c r="J727" s="14"/>
      <c r="K727" s="12"/>
    </row>
    <row r="728" ht="19.5" customHeight="1">
      <c r="A728" s="12"/>
      <c r="C728" s="12"/>
      <c r="D728" s="13"/>
      <c r="F728" s="14"/>
      <c r="G728" s="14"/>
      <c r="H728" s="14"/>
      <c r="I728" s="14"/>
      <c r="J728" s="14"/>
      <c r="K728" s="12"/>
    </row>
    <row r="729" ht="19.5" customHeight="1">
      <c r="A729" s="12"/>
      <c r="C729" s="12"/>
      <c r="D729" s="13"/>
      <c r="F729" s="14"/>
      <c r="G729" s="14"/>
      <c r="H729" s="14"/>
      <c r="I729" s="14"/>
      <c r="J729" s="14"/>
      <c r="K729" s="12"/>
    </row>
    <row r="730" ht="19.5" customHeight="1">
      <c r="A730" s="12"/>
      <c r="C730" s="12"/>
      <c r="D730" s="13"/>
      <c r="F730" s="14"/>
      <c r="G730" s="14"/>
      <c r="H730" s="14"/>
      <c r="I730" s="14"/>
      <c r="J730" s="14"/>
      <c r="K730" s="12"/>
    </row>
    <row r="731" ht="19.5" customHeight="1">
      <c r="A731" s="12"/>
      <c r="C731" s="12"/>
      <c r="D731" s="13"/>
      <c r="F731" s="14"/>
      <c r="G731" s="14"/>
      <c r="H731" s="14"/>
      <c r="I731" s="14"/>
      <c r="J731" s="14"/>
      <c r="K731" s="12"/>
    </row>
    <row r="732" ht="19.5" customHeight="1">
      <c r="A732" s="12"/>
      <c r="C732" s="12"/>
      <c r="D732" s="13"/>
      <c r="F732" s="14"/>
      <c r="G732" s="14"/>
      <c r="H732" s="14"/>
      <c r="I732" s="14"/>
      <c r="J732" s="14"/>
      <c r="K732" s="12"/>
    </row>
    <row r="733" ht="19.5" customHeight="1">
      <c r="A733" s="12"/>
      <c r="C733" s="12"/>
      <c r="D733" s="13"/>
      <c r="F733" s="14"/>
      <c r="G733" s="14"/>
      <c r="H733" s="14"/>
      <c r="I733" s="14"/>
      <c r="J733" s="14"/>
      <c r="K733" s="12"/>
    </row>
    <row r="734" ht="19.5" customHeight="1">
      <c r="A734" s="12"/>
      <c r="C734" s="12"/>
      <c r="D734" s="13"/>
      <c r="F734" s="14"/>
      <c r="G734" s="14"/>
      <c r="H734" s="14"/>
      <c r="I734" s="14"/>
      <c r="J734" s="14"/>
      <c r="K734" s="12"/>
    </row>
    <row r="735" ht="19.5" customHeight="1">
      <c r="A735" s="12"/>
      <c r="C735" s="12"/>
      <c r="D735" s="13"/>
      <c r="F735" s="14"/>
      <c r="G735" s="14"/>
      <c r="H735" s="14"/>
      <c r="I735" s="14"/>
      <c r="J735" s="14"/>
      <c r="K735" s="12"/>
    </row>
    <row r="736" ht="19.5" customHeight="1">
      <c r="A736" s="12"/>
      <c r="C736" s="12"/>
      <c r="D736" s="13"/>
      <c r="F736" s="14"/>
      <c r="G736" s="14"/>
      <c r="H736" s="14"/>
      <c r="I736" s="14"/>
      <c r="J736" s="14"/>
      <c r="K736" s="12"/>
    </row>
    <row r="737" ht="19.5" customHeight="1">
      <c r="A737" s="12"/>
      <c r="C737" s="12"/>
      <c r="D737" s="13"/>
      <c r="F737" s="14"/>
      <c r="G737" s="14"/>
      <c r="H737" s="14"/>
      <c r="I737" s="14"/>
      <c r="J737" s="14"/>
      <c r="K737" s="12"/>
    </row>
    <row r="738" ht="19.5" customHeight="1">
      <c r="A738" s="12"/>
      <c r="C738" s="12"/>
      <c r="D738" s="13"/>
      <c r="F738" s="14"/>
      <c r="G738" s="14"/>
      <c r="H738" s="14"/>
      <c r="I738" s="14"/>
      <c r="J738" s="14"/>
      <c r="K738" s="12"/>
    </row>
    <row r="739" ht="19.5" customHeight="1">
      <c r="A739" s="12"/>
      <c r="C739" s="12"/>
      <c r="D739" s="13"/>
      <c r="F739" s="14"/>
      <c r="G739" s="14"/>
      <c r="H739" s="14"/>
      <c r="I739" s="14"/>
      <c r="J739" s="14"/>
      <c r="K739" s="12"/>
    </row>
    <row r="740" ht="19.5" customHeight="1">
      <c r="A740" s="12"/>
      <c r="C740" s="12"/>
      <c r="D740" s="13"/>
      <c r="F740" s="14"/>
      <c r="G740" s="14"/>
      <c r="H740" s="14"/>
      <c r="I740" s="14"/>
      <c r="J740" s="14"/>
      <c r="K740" s="12"/>
    </row>
    <row r="741" ht="19.5" customHeight="1">
      <c r="A741" s="12"/>
      <c r="C741" s="12"/>
      <c r="D741" s="13"/>
      <c r="F741" s="14"/>
      <c r="G741" s="14"/>
      <c r="H741" s="14"/>
      <c r="I741" s="14"/>
      <c r="J741" s="14"/>
      <c r="K741" s="12"/>
    </row>
    <row r="742" ht="19.5" customHeight="1">
      <c r="A742" s="12"/>
      <c r="C742" s="12"/>
      <c r="D742" s="13"/>
      <c r="F742" s="14"/>
      <c r="G742" s="14"/>
      <c r="H742" s="14"/>
      <c r="I742" s="14"/>
      <c r="J742" s="14"/>
      <c r="K742" s="12"/>
    </row>
    <row r="743" ht="19.5" customHeight="1">
      <c r="A743" s="12"/>
      <c r="C743" s="12"/>
      <c r="D743" s="13"/>
      <c r="F743" s="14"/>
      <c r="G743" s="14"/>
      <c r="H743" s="14"/>
      <c r="I743" s="14"/>
      <c r="J743" s="14"/>
      <c r="K743" s="12"/>
    </row>
    <row r="744" ht="19.5" customHeight="1">
      <c r="A744" s="12"/>
      <c r="C744" s="12"/>
      <c r="D744" s="13"/>
      <c r="F744" s="14"/>
      <c r="G744" s="14"/>
      <c r="H744" s="14"/>
      <c r="I744" s="14"/>
      <c r="J744" s="14"/>
      <c r="K744" s="12"/>
    </row>
    <row r="745" ht="19.5" customHeight="1">
      <c r="A745" s="12"/>
      <c r="C745" s="12"/>
      <c r="D745" s="13"/>
      <c r="F745" s="14"/>
      <c r="G745" s="14"/>
      <c r="H745" s="14"/>
      <c r="I745" s="14"/>
      <c r="J745" s="14"/>
      <c r="K745" s="12"/>
    </row>
    <row r="746" ht="19.5" customHeight="1">
      <c r="A746" s="12"/>
      <c r="C746" s="12"/>
      <c r="D746" s="13"/>
      <c r="F746" s="14"/>
      <c r="G746" s="14"/>
      <c r="H746" s="14"/>
      <c r="I746" s="14"/>
      <c r="J746" s="14"/>
      <c r="K746" s="12"/>
    </row>
    <row r="747" ht="19.5" customHeight="1">
      <c r="A747" s="12"/>
      <c r="C747" s="12"/>
      <c r="D747" s="13"/>
      <c r="F747" s="14"/>
      <c r="G747" s="14"/>
      <c r="H747" s="14"/>
      <c r="I747" s="14"/>
      <c r="J747" s="14"/>
      <c r="K747" s="12"/>
    </row>
    <row r="748" ht="19.5" customHeight="1">
      <c r="A748" s="12"/>
      <c r="C748" s="12"/>
      <c r="D748" s="13"/>
      <c r="F748" s="14"/>
      <c r="G748" s="14"/>
      <c r="H748" s="14"/>
      <c r="I748" s="14"/>
      <c r="J748" s="14"/>
      <c r="K748" s="12"/>
    </row>
    <row r="749" ht="19.5" customHeight="1">
      <c r="A749" s="12"/>
      <c r="C749" s="12"/>
      <c r="D749" s="13"/>
      <c r="F749" s="14"/>
      <c r="G749" s="14"/>
      <c r="H749" s="14"/>
      <c r="I749" s="14"/>
      <c r="J749" s="14"/>
      <c r="K749" s="12"/>
    </row>
    <row r="750" ht="19.5" customHeight="1">
      <c r="A750" s="12"/>
      <c r="C750" s="12"/>
      <c r="D750" s="13"/>
      <c r="F750" s="14"/>
      <c r="G750" s="14"/>
      <c r="H750" s="14"/>
      <c r="I750" s="14"/>
      <c r="J750" s="14"/>
      <c r="K750" s="12"/>
    </row>
    <row r="751" ht="19.5" customHeight="1">
      <c r="A751" s="12"/>
      <c r="C751" s="12"/>
      <c r="D751" s="13"/>
      <c r="F751" s="14"/>
      <c r="G751" s="14"/>
      <c r="H751" s="14"/>
      <c r="I751" s="14"/>
      <c r="J751" s="14"/>
      <c r="K751" s="12"/>
    </row>
    <row r="752" ht="19.5" customHeight="1">
      <c r="A752" s="12"/>
      <c r="C752" s="12"/>
      <c r="D752" s="13"/>
      <c r="F752" s="14"/>
      <c r="G752" s="14"/>
      <c r="H752" s="14"/>
      <c r="I752" s="14"/>
      <c r="J752" s="14"/>
      <c r="K752" s="12"/>
    </row>
    <row r="753" ht="19.5" customHeight="1">
      <c r="A753" s="12"/>
      <c r="C753" s="12"/>
      <c r="D753" s="13"/>
      <c r="F753" s="14"/>
      <c r="G753" s="14"/>
      <c r="H753" s="14"/>
      <c r="I753" s="14"/>
      <c r="J753" s="14"/>
      <c r="K753" s="12"/>
    </row>
    <row r="754" ht="19.5" customHeight="1">
      <c r="A754" s="12"/>
      <c r="C754" s="12"/>
      <c r="D754" s="13"/>
      <c r="F754" s="14"/>
      <c r="G754" s="14"/>
      <c r="H754" s="14"/>
      <c r="I754" s="14"/>
      <c r="J754" s="14"/>
      <c r="K754" s="12"/>
    </row>
    <row r="755" ht="19.5" customHeight="1">
      <c r="A755" s="12"/>
      <c r="C755" s="12"/>
      <c r="D755" s="13"/>
      <c r="F755" s="14"/>
      <c r="G755" s="14"/>
      <c r="H755" s="14"/>
      <c r="I755" s="14"/>
      <c r="J755" s="14"/>
      <c r="K755" s="12"/>
    </row>
    <row r="756" ht="19.5" customHeight="1">
      <c r="A756" s="12"/>
      <c r="C756" s="12"/>
      <c r="D756" s="13"/>
      <c r="F756" s="14"/>
      <c r="G756" s="14"/>
      <c r="H756" s="14"/>
      <c r="I756" s="14"/>
      <c r="J756" s="14"/>
      <c r="K756" s="12"/>
    </row>
    <row r="757" ht="19.5" customHeight="1">
      <c r="A757" s="12"/>
      <c r="C757" s="12"/>
      <c r="D757" s="13"/>
      <c r="F757" s="14"/>
      <c r="G757" s="14"/>
      <c r="H757" s="14"/>
      <c r="I757" s="14"/>
      <c r="J757" s="14"/>
      <c r="K757" s="12"/>
    </row>
    <row r="758" ht="19.5" customHeight="1">
      <c r="A758" s="12"/>
      <c r="C758" s="12"/>
      <c r="D758" s="13"/>
      <c r="F758" s="14"/>
      <c r="G758" s="14"/>
      <c r="H758" s="14"/>
      <c r="I758" s="14"/>
      <c r="J758" s="14"/>
      <c r="K758" s="12"/>
    </row>
    <row r="759" ht="19.5" customHeight="1">
      <c r="A759" s="12"/>
      <c r="C759" s="12"/>
      <c r="D759" s="13"/>
      <c r="F759" s="14"/>
      <c r="G759" s="14"/>
      <c r="H759" s="14"/>
      <c r="I759" s="14"/>
      <c r="J759" s="14"/>
      <c r="K759" s="12"/>
    </row>
    <row r="760" ht="19.5" customHeight="1">
      <c r="A760" s="12"/>
      <c r="C760" s="12"/>
      <c r="D760" s="13"/>
      <c r="F760" s="14"/>
      <c r="G760" s="14"/>
      <c r="H760" s="14"/>
      <c r="I760" s="14"/>
      <c r="J760" s="14"/>
      <c r="K760" s="12"/>
    </row>
    <row r="761" ht="19.5" customHeight="1">
      <c r="A761" s="12"/>
      <c r="C761" s="12"/>
      <c r="D761" s="13"/>
      <c r="F761" s="14"/>
      <c r="G761" s="14"/>
      <c r="H761" s="14"/>
      <c r="I761" s="14"/>
      <c r="J761" s="14"/>
      <c r="K761" s="12"/>
    </row>
    <row r="762" ht="19.5" customHeight="1">
      <c r="A762" s="12"/>
      <c r="C762" s="12"/>
      <c r="D762" s="13"/>
      <c r="F762" s="14"/>
      <c r="G762" s="14"/>
      <c r="H762" s="14"/>
      <c r="I762" s="14"/>
      <c r="J762" s="14"/>
      <c r="K762" s="12"/>
    </row>
    <row r="763" ht="19.5" customHeight="1">
      <c r="A763" s="12"/>
      <c r="C763" s="12"/>
      <c r="D763" s="13"/>
      <c r="F763" s="14"/>
      <c r="G763" s="14"/>
      <c r="H763" s="14"/>
      <c r="I763" s="14"/>
      <c r="J763" s="14"/>
      <c r="K763" s="12"/>
    </row>
    <row r="764" ht="19.5" customHeight="1">
      <c r="A764" s="12"/>
      <c r="C764" s="12"/>
      <c r="D764" s="13"/>
      <c r="F764" s="14"/>
      <c r="G764" s="14"/>
      <c r="H764" s="14"/>
      <c r="I764" s="14"/>
      <c r="J764" s="14"/>
      <c r="K764" s="12"/>
    </row>
    <row r="765" ht="19.5" customHeight="1">
      <c r="A765" s="12"/>
      <c r="C765" s="12"/>
      <c r="D765" s="13"/>
      <c r="F765" s="14"/>
      <c r="G765" s="14"/>
      <c r="H765" s="14"/>
      <c r="I765" s="14"/>
      <c r="J765" s="14"/>
      <c r="K765" s="12"/>
    </row>
    <row r="766" ht="19.5" customHeight="1">
      <c r="A766" s="12"/>
      <c r="C766" s="12"/>
      <c r="D766" s="13"/>
      <c r="F766" s="14"/>
      <c r="G766" s="14"/>
      <c r="H766" s="14"/>
      <c r="I766" s="14"/>
      <c r="J766" s="14"/>
      <c r="K766" s="12"/>
    </row>
    <row r="767" ht="19.5" customHeight="1">
      <c r="A767" s="12"/>
      <c r="C767" s="12"/>
      <c r="D767" s="13"/>
      <c r="F767" s="14"/>
      <c r="G767" s="14"/>
      <c r="H767" s="14"/>
      <c r="I767" s="14"/>
      <c r="J767" s="14"/>
      <c r="K767" s="12"/>
    </row>
    <row r="768" ht="19.5" customHeight="1">
      <c r="A768" s="12"/>
      <c r="C768" s="12"/>
      <c r="D768" s="13"/>
      <c r="F768" s="14"/>
      <c r="G768" s="14"/>
      <c r="H768" s="14"/>
      <c r="I768" s="14"/>
      <c r="J768" s="14"/>
      <c r="K768" s="12"/>
    </row>
    <row r="769" ht="19.5" customHeight="1">
      <c r="A769" s="12"/>
      <c r="C769" s="12"/>
      <c r="D769" s="13"/>
      <c r="F769" s="14"/>
      <c r="G769" s="14"/>
      <c r="H769" s="14"/>
      <c r="I769" s="14"/>
      <c r="J769" s="14"/>
      <c r="K769" s="12"/>
    </row>
    <row r="770" ht="19.5" customHeight="1">
      <c r="A770" s="12"/>
      <c r="C770" s="12"/>
      <c r="D770" s="13"/>
      <c r="F770" s="14"/>
      <c r="G770" s="14"/>
      <c r="H770" s="14"/>
      <c r="I770" s="14"/>
      <c r="J770" s="14"/>
      <c r="K770" s="12"/>
    </row>
    <row r="771" ht="19.5" customHeight="1">
      <c r="A771" s="12"/>
      <c r="C771" s="12"/>
      <c r="D771" s="13"/>
      <c r="F771" s="14"/>
      <c r="G771" s="14"/>
      <c r="H771" s="14"/>
      <c r="I771" s="14"/>
      <c r="J771" s="14"/>
      <c r="K771" s="12"/>
    </row>
    <row r="772" ht="19.5" customHeight="1">
      <c r="A772" s="12"/>
      <c r="C772" s="12"/>
      <c r="D772" s="13"/>
      <c r="F772" s="14"/>
      <c r="G772" s="14"/>
      <c r="H772" s="14"/>
      <c r="I772" s="14"/>
      <c r="J772" s="14"/>
      <c r="K772" s="12"/>
    </row>
    <row r="773" ht="19.5" customHeight="1">
      <c r="A773" s="12"/>
      <c r="C773" s="12"/>
      <c r="D773" s="13"/>
      <c r="F773" s="14"/>
      <c r="G773" s="14"/>
      <c r="H773" s="14"/>
      <c r="I773" s="14"/>
      <c r="J773" s="14"/>
      <c r="K773" s="12"/>
    </row>
    <row r="774" ht="19.5" customHeight="1">
      <c r="A774" s="12"/>
      <c r="C774" s="12"/>
      <c r="D774" s="13"/>
      <c r="F774" s="14"/>
      <c r="G774" s="14"/>
      <c r="H774" s="14"/>
      <c r="I774" s="14"/>
      <c r="J774" s="14"/>
      <c r="K774" s="12"/>
    </row>
    <row r="775" ht="19.5" customHeight="1">
      <c r="A775" s="12"/>
      <c r="C775" s="12"/>
      <c r="D775" s="13"/>
      <c r="F775" s="14"/>
      <c r="G775" s="14"/>
      <c r="H775" s="14"/>
      <c r="I775" s="14"/>
      <c r="J775" s="14"/>
      <c r="K775" s="12"/>
    </row>
    <row r="776" ht="19.5" customHeight="1">
      <c r="A776" s="12"/>
      <c r="C776" s="12"/>
      <c r="D776" s="13"/>
      <c r="F776" s="14"/>
      <c r="G776" s="14"/>
      <c r="H776" s="14"/>
      <c r="I776" s="14"/>
      <c r="J776" s="14"/>
      <c r="K776" s="12"/>
    </row>
    <row r="777" ht="19.5" customHeight="1">
      <c r="A777" s="12"/>
      <c r="C777" s="12"/>
      <c r="D777" s="13"/>
      <c r="F777" s="14"/>
      <c r="G777" s="14"/>
      <c r="H777" s="14"/>
      <c r="I777" s="14"/>
      <c r="J777" s="14"/>
      <c r="K777" s="12"/>
    </row>
    <row r="778" ht="19.5" customHeight="1">
      <c r="A778" s="12"/>
      <c r="C778" s="12"/>
      <c r="D778" s="13"/>
      <c r="F778" s="14"/>
      <c r="G778" s="14"/>
      <c r="H778" s="14"/>
      <c r="I778" s="14"/>
      <c r="J778" s="14"/>
      <c r="K778" s="12"/>
    </row>
    <row r="779" ht="19.5" customHeight="1">
      <c r="A779" s="12"/>
      <c r="C779" s="12"/>
      <c r="D779" s="13"/>
      <c r="F779" s="14"/>
      <c r="G779" s="14"/>
      <c r="H779" s="14"/>
      <c r="I779" s="14"/>
      <c r="J779" s="14"/>
      <c r="K779" s="12"/>
    </row>
    <row r="780" ht="19.5" customHeight="1">
      <c r="A780" s="12"/>
      <c r="C780" s="12"/>
      <c r="D780" s="13"/>
      <c r="F780" s="14"/>
      <c r="G780" s="14"/>
      <c r="H780" s="14"/>
      <c r="I780" s="14"/>
      <c r="J780" s="14"/>
      <c r="K780" s="12"/>
    </row>
    <row r="781" ht="19.5" customHeight="1">
      <c r="A781" s="12"/>
      <c r="C781" s="12"/>
      <c r="D781" s="13"/>
      <c r="F781" s="14"/>
      <c r="G781" s="14"/>
      <c r="H781" s="14"/>
      <c r="I781" s="14"/>
      <c r="J781" s="14"/>
      <c r="K781" s="12"/>
    </row>
    <row r="782" ht="19.5" customHeight="1">
      <c r="A782" s="12"/>
      <c r="C782" s="12"/>
      <c r="D782" s="13"/>
      <c r="F782" s="14"/>
      <c r="G782" s="14"/>
      <c r="H782" s="14"/>
      <c r="I782" s="14"/>
      <c r="J782" s="14"/>
      <c r="K782" s="12"/>
    </row>
    <row r="783" ht="19.5" customHeight="1">
      <c r="A783" s="12"/>
      <c r="C783" s="12"/>
      <c r="D783" s="13"/>
      <c r="F783" s="14"/>
      <c r="G783" s="14"/>
      <c r="H783" s="14"/>
      <c r="I783" s="14"/>
      <c r="J783" s="14"/>
      <c r="K783" s="12"/>
    </row>
    <row r="784" ht="19.5" customHeight="1">
      <c r="A784" s="12"/>
      <c r="C784" s="12"/>
      <c r="D784" s="13"/>
      <c r="F784" s="14"/>
      <c r="G784" s="14"/>
      <c r="H784" s="14"/>
      <c r="I784" s="14"/>
      <c r="J784" s="14"/>
      <c r="K784" s="12"/>
    </row>
    <row r="785" ht="19.5" customHeight="1">
      <c r="A785" s="12"/>
      <c r="C785" s="12"/>
      <c r="D785" s="13"/>
      <c r="F785" s="14"/>
      <c r="G785" s="14"/>
      <c r="H785" s="14"/>
      <c r="I785" s="14"/>
      <c r="J785" s="14"/>
      <c r="K785" s="12"/>
    </row>
    <row r="786" ht="19.5" customHeight="1">
      <c r="A786" s="12"/>
      <c r="C786" s="12"/>
      <c r="D786" s="13"/>
      <c r="F786" s="14"/>
      <c r="G786" s="14"/>
      <c r="H786" s="14"/>
      <c r="I786" s="14"/>
      <c r="J786" s="14"/>
      <c r="K786" s="12"/>
    </row>
    <row r="787" ht="19.5" customHeight="1">
      <c r="A787" s="12"/>
      <c r="C787" s="12"/>
      <c r="D787" s="13"/>
      <c r="F787" s="14"/>
      <c r="G787" s="14"/>
      <c r="H787" s="14"/>
      <c r="I787" s="14"/>
      <c r="J787" s="14"/>
      <c r="K787" s="12"/>
    </row>
    <row r="788" ht="19.5" customHeight="1">
      <c r="A788" s="12"/>
      <c r="C788" s="12"/>
      <c r="D788" s="13"/>
      <c r="F788" s="14"/>
      <c r="G788" s="14"/>
      <c r="H788" s="14"/>
      <c r="I788" s="14"/>
      <c r="J788" s="14"/>
      <c r="K788" s="12"/>
    </row>
    <row r="789" ht="19.5" customHeight="1">
      <c r="A789" s="12"/>
      <c r="C789" s="12"/>
      <c r="D789" s="13"/>
      <c r="F789" s="14"/>
      <c r="G789" s="14"/>
      <c r="H789" s="14"/>
      <c r="I789" s="14"/>
      <c r="J789" s="14"/>
      <c r="K789" s="12"/>
    </row>
    <row r="790" ht="19.5" customHeight="1">
      <c r="A790" s="12"/>
      <c r="C790" s="12"/>
      <c r="D790" s="13"/>
      <c r="F790" s="14"/>
      <c r="G790" s="14"/>
      <c r="H790" s="14"/>
      <c r="I790" s="14"/>
      <c r="J790" s="14"/>
      <c r="K790" s="12"/>
    </row>
    <row r="791" ht="19.5" customHeight="1">
      <c r="A791" s="12"/>
      <c r="C791" s="12"/>
      <c r="D791" s="13"/>
      <c r="F791" s="14"/>
      <c r="G791" s="14"/>
      <c r="H791" s="14"/>
      <c r="I791" s="14"/>
      <c r="J791" s="14"/>
      <c r="K791" s="12"/>
    </row>
    <row r="792" ht="19.5" customHeight="1">
      <c r="A792" s="12"/>
      <c r="C792" s="12"/>
      <c r="D792" s="13"/>
      <c r="F792" s="14"/>
      <c r="G792" s="14"/>
      <c r="H792" s="14"/>
      <c r="I792" s="14"/>
      <c r="J792" s="14"/>
      <c r="K792" s="12"/>
    </row>
    <row r="793" ht="19.5" customHeight="1">
      <c r="A793" s="12"/>
      <c r="C793" s="12"/>
      <c r="D793" s="13"/>
      <c r="F793" s="14"/>
      <c r="G793" s="14"/>
      <c r="H793" s="14"/>
      <c r="I793" s="14"/>
      <c r="J793" s="14"/>
      <c r="K793" s="12"/>
    </row>
    <row r="794" ht="19.5" customHeight="1">
      <c r="A794" s="12"/>
      <c r="C794" s="12"/>
      <c r="D794" s="13"/>
      <c r="F794" s="14"/>
      <c r="G794" s="14"/>
      <c r="H794" s="14"/>
      <c r="I794" s="14"/>
      <c r="J794" s="14"/>
      <c r="K794" s="12"/>
    </row>
    <row r="795" ht="19.5" customHeight="1">
      <c r="A795" s="12"/>
      <c r="C795" s="12"/>
      <c r="D795" s="13"/>
      <c r="F795" s="14"/>
      <c r="G795" s="14"/>
      <c r="H795" s="14"/>
      <c r="I795" s="14"/>
      <c r="J795" s="14"/>
      <c r="K795" s="12"/>
    </row>
    <row r="796" ht="19.5" customHeight="1">
      <c r="A796" s="12"/>
      <c r="C796" s="12"/>
      <c r="D796" s="13"/>
      <c r="F796" s="14"/>
      <c r="G796" s="14"/>
      <c r="H796" s="14"/>
      <c r="I796" s="14"/>
      <c r="J796" s="14"/>
      <c r="K796" s="12"/>
    </row>
    <row r="797" ht="19.5" customHeight="1">
      <c r="A797" s="12"/>
      <c r="C797" s="12"/>
      <c r="D797" s="13"/>
      <c r="F797" s="14"/>
      <c r="G797" s="14"/>
      <c r="H797" s="14"/>
      <c r="I797" s="14"/>
      <c r="J797" s="14"/>
      <c r="K797" s="12"/>
    </row>
    <row r="798" ht="19.5" customHeight="1">
      <c r="A798" s="12"/>
      <c r="C798" s="12"/>
      <c r="D798" s="13"/>
      <c r="F798" s="14"/>
      <c r="G798" s="14"/>
      <c r="H798" s="14"/>
      <c r="I798" s="14"/>
      <c r="J798" s="14"/>
      <c r="K798" s="12"/>
    </row>
    <row r="799" ht="19.5" customHeight="1">
      <c r="A799" s="12"/>
      <c r="C799" s="12"/>
      <c r="D799" s="13"/>
      <c r="F799" s="14"/>
      <c r="G799" s="14"/>
      <c r="H799" s="14"/>
      <c r="I799" s="14"/>
      <c r="J799" s="14"/>
      <c r="K799" s="12"/>
    </row>
    <row r="800" ht="19.5" customHeight="1">
      <c r="A800" s="12"/>
      <c r="C800" s="12"/>
      <c r="D800" s="13"/>
      <c r="F800" s="14"/>
      <c r="G800" s="14"/>
      <c r="H800" s="14"/>
      <c r="I800" s="14"/>
      <c r="J800" s="14"/>
      <c r="K800" s="12"/>
    </row>
    <row r="801" ht="19.5" customHeight="1">
      <c r="A801" s="12"/>
      <c r="C801" s="12"/>
      <c r="D801" s="13"/>
      <c r="F801" s="14"/>
      <c r="G801" s="14"/>
      <c r="H801" s="14"/>
      <c r="I801" s="14"/>
      <c r="J801" s="14"/>
      <c r="K801" s="12"/>
    </row>
    <row r="802" ht="19.5" customHeight="1">
      <c r="A802" s="12"/>
      <c r="C802" s="12"/>
      <c r="D802" s="13"/>
      <c r="F802" s="14"/>
      <c r="G802" s="14"/>
      <c r="H802" s="14"/>
      <c r="I802" s="14"/>
      <c r="J802" s="14"/>
      <c r="K802" s="12"/>
    </row>
    <row r="803" ht="19.5" customHeight="1">
      <c r="A803" s="12"/>
      <c r="C803" s="12"/>
      <c r="D803" s="13"/>
      <c r="F803" s="14"/>
      <c r="G803" s="14"/>
      <c r="H803" s="14"/>
      <c r="I803" s="14"/>
      <c r="J803" s="14"/>
      <c r="K803" s="12"/>
    </row>
    <row r="804" ht="19.5" customHeight="1">
      <c r="A804" s="12"/>
      <c r="C804" s="12"/>
      <c r="D804" s="13"/>
      <c r="F804" s="14"/>
      <c r="G804" s="14"/>
      <c r="H804" s="14"/>
      <c r="I804" s="14"/>
      <c r="J804" s="14"/>
      <c r="K804" s="12"/>
    </row>
    <row r="805" ht="19.5" customHeight="1">
      <c r="A805" s="12"/>
      <c r="C805" s="12"/>
      <c r="D805" s="13"/>
      <c r="F805" s="14"/>
      <c r="G805" s="14"/>
      <c r="H805" s="14"/>
      <c r="I805" s="14"/>
      <c r="J805" s="14"/>
      <c r="K805" s="12"/>
    </row>
    <row r="806" ht="19.5" customHeight="1">
      <c r="A806" s="12"/>
      <c r="C806" s="12"/>
      <c r="D806" s="13"/>
      <c r="F806" s="14"/>
      <c r="G806" s="14"/>
      <c r="H806" s="14"/>
      <c r="I806" s="14"/>
      <c r="J806" s="14"/>
      <c r="K806" s="12"/>
    </row>
    <row r="807" ht="19.5" customHeight="1">
      <c r="A807" s="12"/>
      <c r="C807" s="12"/>
      <c r="D807" s="13"/>
      <c r="F807" s="14"/>
      <c r="G807" s="14"/>
      <c r="H807" s="14"/>
      <c r="I807" s="14"/>
      <c r="J807" s="14"/>
      <c r="K807" s="12"/>
    </row>
    <row r="808" ht="19.5" customHeight="1">
      <c r="A808" s="12"/>
      <c r="C808" s="12"/>
      <c r="D808" s="13"/>
      <c r="F808" s="14"/>
      <c r="G808" s="14"/>
      <c r="H808" s="14"/>
      <c r="I808" s="14"/>
      <c r="J808" s="14"/>
      <c r="K808" s="12"/>
    </row>
    <row r="809" ht="19.5" customHeight="1">
      <c r="A809" s="12"/>
      <c r="C809" s="12"/>
      <c r="D809" s="13"/>
      <c r="F809" s="14"/>
      <c r="G809" s="14"/>
      <c r="H809" s="14"/>
      <c r="I809" s="14"/>
      <c r="J809" s="14"/>
      <c r="K809" s="12"/>
    </row>
    <row r="810" ht="19.5" customHeight="1">
      <c r="A810" s="12"/>
      <c r="C810" s="12"/>
      <c r="D810" s="13"/>
      <c r="F810" s="14"/>
      <c r="G810" s="14"/>
      <c r="H810" s="14"/>
      <c r="I810" s="14"/>
      <c r="J810" s="14"/>
      <c r="K810" s="12"/>
    </row>
    <row r="811" ht="19.5" customHeight="1">
      <c r="A811" s="12"/>
      <c r="C811" s="12"/>
      <c r="D811" s="13"/>
      <c r="F811" s="14"/>
      <c r="G811" s="14"/>
      <c r="H811" s="14"/>
      <c r="I811" s="14"/>
      <c r="J811" s="14"/>
      <c r="K811" s="12"/>
    </row>
    <row r="812" ht="19.5" customHeight="1">
      <c r="A812" s="12"/>
      <c r="C812" s="12"/>
      <c r="D812" s="13"/>
      <c r="F812" s="14"/>
      <c r="G812" s="14"/>
      <c r="H812" s="14"/>
      <c r="I812" s="14"/>
      <c r="J812" s="14"/>
      <c r="K812" s="12"/>
    </row>
    <row r="813" ht="19.5" customHeight="1">
      <c r="A813" s="12"/>
      <c r="C813" s="12"/>
      <c r="D813" s="13"/>
      <c r="F813" s="14"/>
      <c r="G813" s="14"/>
      <c r="H813" s="14"/>
      <c r="I813" s="14"/>
      <c r="J813" s="14"/>
      <c r="K813" s="12"/>
    </row>
    <row r="814" ht="19.5" customHeight="1">
      <c r="A814" s="12"/>
      <c r="C814" s="12"/>
      <c r="D814" s="13"/>
      <c r="F814" s="14"/>
      <c r="G814" s="14"/>
      <c r="H814" s="14"/>
      <c r="I814" s="14"/>
      <c r="J814" s="14"/>
      <c r="K814" s="12"/>
    </row>
    <row r="815" ht="19.5" customHeight="1">
      <c r="A815" s="12"/>
      <c r="C815" s="12"/>
      <c r="D815" s="13"/>
      <c r="F815" s="14"/>
      <c r="G815" s="14"/>
      <c r="H815" s="14"/>
      <c r="I815" s="14"/>
      <c r="J815" s="14"/>
      <c r="K815" s="12"/>
    </row>
    <row r="816" ht="19.5" customHeight="1">
      <c r="A816" s="12"/>
      <c r="C816" s="12"/>
      <c r="D816" s="13"/>
      <c r="F816" s="14"/>
      <c r="G816" s="14"/>
      <c r="H816" s="14"/>
      <c r="I816" s="14"/>
      <c r="J816" s="14"/>
      <c r="K816" s="12"/>
    </row>
    <row r="817" ht="19.5" customHeight="1">
      <c r="A817" s="12"/>
      <c r="C817" s="12"/>
      <c r="D817" s="13"/>
      <c r="F817" s="14"/>
      <c r="G817" s="14"/>
      <c r="H817" s="14"/>
      <c r="I817" s="14"/>
      <c r="J817" s="14"/>
      <c r="K817" s="12"/>
    </row>
    <row r="818" ht="19.5" customHeight="1">
      <c r="A818" s="12"/>
      <c r="C818" s="12"/>
      <c r="D818" s="13"/>
      <c r="F818" s="14"/>
      <c r="G818" s="14"/>
      <c r="H818" s="14"/>
      <c r="I818" s="14"/>
      <c r="J818" s="14"/>
      <c r="K818" s="12"/>
    </row>
    <row r="819" ht="19.5" customHeight="1">
      <c r="A819" s="12"/>
      <c r="C819" s="12"/>
      <c r="D819" s="13"/>
      <c r="F819" s="14"/>
      <c r="G819" s="14"/>
      <c r="H819" s="14"/>
      <c r="I819" s="14"/>
      <c r="J819" s="14"/>
      <c r="K819" s="12"/>
    </row>
    <row r="820" ht="19.5" customHeight="1">
      <c r="A820" s="12"/>
      <c r="C820" s="12"/>
      <c r="D820" s="13"/>
      <c r="F820" s="14"/>
      <c r="G820" s="14"/>
      <c r="H820" s="14"/>
      <c r="I820" s="14"/>
      <c r="J820" s="14"/>
      <c r="K820" s="12"/>
    </row>
    <row r="821" ht="19.5" customHeight="1">
      <c r="A821" s="12"/>
      <c r="C821" s="12"/>
      <c r="D821" s="13"/>
      <c r="F821" s="14"/>
      <c r="G821" s="14"/>
      <c r="H821" s="14"/>
      <c r="I821" s="14"/>
      <c r="J821" s="14"/>
      <c r="K821" s="12"/>
    </row>
    <row r="822" ht="19.5" customHeight="1">
      <c r="A822" s="12"/>
      <c r="C822" s="12"/>
      <c r="D822" s="13"/>
      <c r="F822" s="14"/>
      <c r="G822" s="14"/>
      <c r="H822" s="14"/>
      <c r="I822" s="14"/>
      <c r="J822" s="14"/>
      <c r="K822" s="12"/>
    </row>
    <row r="823" ht="19.5" customHeight="1">
      <c r="A823" s="12"/>
      <c r="C823" s="12"/>
      <c r="D823" s="13"/>
      <c r="F823" s="14"/>
      <c r="G823" s="14"/>
      <c r="H823" s="14"/>
      <c r="I823" s="14"/>
      <c r="J823" s="14"/>
      <c r="K823" s="12"/>
    </row>
    <row r="824" ht="19.5" customHeight="1">
      <c r="A824" s="12"/>
      <c r="C824" s="12"/>
      <c r="D824" s="13"/>
      <c r="F824" s="14"/>
      <c r="G824" s="14"/>
      <c r="H824" s="14"/>
      <c r="I824" s="14"/>
      <c r="J824" s="14"/>
      <c r="K824" s="12"/>
    </row>
    <row r="825" ht="19.5" customHeight="1">
      <c r="A825" s="12"/>
      <c r="C825" s="12"/>
      <c r="D825" s="13"/>
      <c r="F825" s="14"/>
      <c r="G825" s="14"/>
      <c r="H825" s="14"/>
      <c r="I825" s="14"/>
      <c r="J825" s="14"/>
      <c r="K825" s="12"/>
    </row>
    <row r="826" ht="19.5" customHeight="1">
      <c r="A826" s="12"/>
      <c r="C826" s="12"/>
      <c r="D826" s="13"/>
      <c r="F826" s="14"/>
      <c r="G826" s="14"/>
      <c r="H826" s="14"/>
      <c r="I826" s="14"/>
      <c r="J826" s="14"/>
      <c r="K826" s="12"/>
    </row>
    <row r="827" ht="19.5" customHeight="1">
      <c r="A827" s="12"/>
      <c r="C827" s="12"/>
      <c r="D827" s="13"/>
      <c r="F827" s="14"/>
      <c r="G827" s="14"/>
      <c r="H827" s="14"/>
      <c r="I827" s="14"/>
      <c r="J827" s="14"/>
      <c r="K827" s="12"/>
    </row>
    <row r="828" ht="19.5" customHeight="1">
      <c r="A828" s="12"/>
      <c r="C828" s="12"/>
      <c r="D828" s="13"/>
      <c r="F828" s="14"/>
      <c r="G828" s="14"/>
      <c r="H828" s="14"/>
      <c r="I828" s="14"/>
      <c r="J828" s="14"/>
      <c r="K828" s="12"/>
    </row>
    <row r="829" ht="19.5" customHeight="1">
      <c r="A829" s="12"/>
      <c r="C829" s="12"/>
      <c r="D829" s="13"/>
      <c r="F829" s="14"/>
      <c r="G829" s="14"/>
      <c r="H829" s="14"/>
      <c r="I829" s="14"/>
      <c r="J829" s="14"/>
      <c r="K829" s="12"/>
    </row>
    <row r="830" ht="19.5" customHeight="1">
      <c r="A830" s="12"/>
      <c r="C830" s="12"/>
      <c r="D830" s="13"/>
      <c r="F830" s="14"/>
      <c r="G830" s="14"/>
      <c r="H830" s="14"/>
      <c r="I830" s="14"/>
      <c r="J830" s="14"/>
      <c r="K830" s="12"/>
    </row>
    <row r="831" ht="19.5" customHeight="1">
      <c r="A831" s="12"/>
      <c r="C831" s="12"/>
      <c r="D831" s="13"/>
      <c r="F831" s="14"/>
      <c r="G831" s="14"/>
      <c r="H831" s="14"/>
      <c r="I831" s="14"/>
      <c r="J831" s="14"/>
      <c r="K831" s="12"/>
    </row>
    <row r="832" ht="19.5" customHeight="1">
      <c r="A832" s="12"/>
      <c r="C832" s="12"/>
      <c r="D832" s="13"/>
      <c r="F832" s="14"/>
      <c r="G832" s="14"/>
      <c r="H832" s="14"/>
      <c r="I832" s="14"/>
      <c r="J832" s="14"/>
      <c r="K832" s="12"/>
    </row>
    <row r="833" ht="19.5" customHeight="1">
      <c r="A833" s="12"/>
      <c r="C833" s="12"/>
      <c r="D833" s="13"/>
      <c r="F833" s="14"/>
      <c r="G833" s="14"/>
      <c r="H833" s="14"/>
      <c r="I833" s="14"/>
      <c r="J833" s="14"/>
      <c r="K833" s="12"/>
    </row>
    <row r="834" ht="19.5" customHeight="1">
      <c r="A834" s="12"/>
      <c r="C834" s="12"/>
      <c r="D834" s="13"/>
      <c r="F834" s="14"/>
      <c r="G834" s="14"/>
      <c r="H834" s="14"/>
      <c r="I834" s="14"/>
      <c r="J834" s="14"/>
      <c r="K834" s="12"/>
    </row>
    <row r="835" ht="19.5" customHeight="1">
      <c r="A835" s="12"/>
      <c r="C835" s="12"/>
      <c r="D835" s="13"/>
      <c r="F835" s="14"/>
      <c r="G835" s="14"/>
      <c r="H835" s="14"/>
      <c r="I835" s="14"/>
      <c r="J835" s="14"/>
      <c r="K835" s="12"/>
    </row>
    <row r="836" ht="19.5" customHeight="1">
      <c r="A836" s="12"/>
      <c r="C836" s="12"/>
      <c r="D836" s="13"/>
      <c r="F836" s="14"/>
      <c r="G836" s="14"/>
      <c r="H836" s="14"/>
      <c r="I836" s="14"/>
      <c r="J836" s="14"/>
      <c r="K836" s="12"/>
    </row>
    <row r="837" ht="19.5" customHeight="1">
      <c r="A837" s="12"/>
      <c r="C837" s="12"/>
      <c r="D837" s="13"/>
      <c r="F837" s="14"/>
      <c r="G837" s="14"/>
      <c r="H837" s="14"/>
      <c r="I837" s="14"/>
      <c r="J837" s="14"/>
      <c r="K837" s="12"/>
    </row>
    <row r="838" ht="19.5" customHeight="1">
      <c r="A838" s="12"/>
      <c r="C838" s="12"/>
      <c r="D838" s="13"/>
      <c r="F838" s="14"/>
      <c r="G838" s="14"/>
      <c r="H838" s="14"/>
      <c r="I838" s="14"/>
      <c r="J838" s="14"/>
      <c r="K838" s="12"/>
    </row>
    <row r="839" ht="19.5" customHeight="1">
      <c r="A839" s="12"/>
      <c r="C839" s="12"/>
      <c r="D839" s="13"/>
      <c r="F839" s="14"/>
      <c r="G839" s="14"/>
      <c r="H839" s="14"/>
      <c r="I839" s="14"/>
      <c r="J839" s="14"/>
      <c r="K839" s="12"/>
    </row>
    <row r="840" ht="19.5" customHeight="1">
      <c r="A840" s="12"/>
      <c r="C840" s="12"/>
      <c r="D840" s="13"/>
      <c r="F840" s="14"/>
      <c r="G840" s="14"/>
      <c r="H840" s="14"/>
      <c r="I840" s="14"/>
      <c r="J840" s="14"/>
      <c r="K840" s="12"/>
    </row>
    <row r="841" ht="19.5" customHeight="1">
      <c r="A841" s="12"/>
      <c r="C841" s="12"/>
      <c r="D841" s="13"/>
      <c r="F841" s="14"/>
      <c r="G841" s="14"/>
      <c r="H841" s="14"/>
      <c r="I841" s="14"/>
      <c r="J841" s="14"/>
      <c r="K841" s="12"/>
    </row>
    <row r="842" ht="19.5" customHeight="1">
      <c r="A842" s="12"/>
      <c r="C842" s="12"/>
      <c r="D842" s="13"/>
      <c r="F842" s="14"/>
      <c r="G842" s="14"/>
      <c r="H842" s="14"/>
      <c r="I842" s="14"/>
      <c r="J842" s="14"/>
      <c r="K842" s="12"/>
    </row>
    <row r="843" ht="19.5" customHeight="1">
      <c r="A843" s="12"/>
      <c r="C843" s="12"/>
      <c r="D843" s="13"/>
      <c r="F843" s="14"/>
      <c r="G843" s="14"/>
      <c r="H843" s="14"/>
      <c r="I843" s="14"/>
      <c r="J843" s="14"/>
      <c r="K843" s="12"/>
    </row>
    <row r="844" ht="19.5" customHeight="1">
      <c r="A844" s="12"/>
      <c r="C844" s="12"/>
      <c r="D844" s="13"/>
      <c r="F844" s="14"/>
      <c r="G844" s="14"/>
      <c r="H844" s="14"/>
      <c r="I844" s="14"/>
      <c r="J844" s="14"/>
      <c r="K844" s="12"/>
    </row>
    <row r="845" ht="19.5" customHeight="1">
      <c r="A845" s="12"/>
      <c r="C845" s="12"/>
      <c r="D845" s="13"/>
      <c r="F845" s="14"/>
      <c r="G845" s="14"/>
      <c r="H845" s="14"/>
      <c r="I845" s="14"/>
      <c r="J845" s="14"/>
      <c r="K845" s="12"/>
    </row>
    <row r="846" ht="19.5" customHeight="1">
      <c r="A846" s="12"/>
      <c r="C846" s="12"/>
      <c r="D846" s="13"/>
      <c r="F846" s="14"/>
      <c r="G846" s="14"/>
      <c r="H846" s="14"/>
      <c r="I846" s="14"/>
      <c r="J846" s="14"/>
      <c r="K846" s="12"/>
    </row>
    <row r="847" ht="19.5" customHeight="1">
      <c r="A847" s="12"/>
      <c r="C847" s="12"/>
      <c r="D847" s="13"/>
      <c r="F847" s="14"/>
      <c r="G847" s="14"/>
      <c r="H847" s="14"/>
      <c r="I847" s="14"/>
      <c r="J847" s="14"/>
      <c r="K847" s="12"/>
    </row>
    <row r="848" ht="19.5" customHeight="1">
      <c r="A848" s="12"/>
      <c r="C848" s="12"/>
      <c r="D848" s="13"/>
      <c r="F848" s="14"/>
      <c r="G848" s="14"/>
      <c r="H848" s="14"/>
      <c r="I848" s="14"/>
      <c r="J848" s="14"/>
      <c r="K848" s="12"/>
    </row>
    <row r="849" ht="19.5" customHeight="1">
      <c r="A849" s="12"/>
      <c r="C849" s="12"/>
      <c r="D849" s="13"/>
      <c r="F849" s="14"/>
      <c r="G849" s="14"/>
      <c r="H849" s="14"/>
      <c r="I849" s="14"/>
      <c r="J849" s="14"/>
      <c r="K849" s="12"/>
    </row>
    <row r="850" ht="19.5" customHeight="1">
      <c r="A850" s="12"/>
      <c r="C850" s="12"/>
      <c r="D850" s="13"/>
      <c r="F850" s="14"/>
      <c r="G850" s="14"/>
      <c r="H850" s="14"/>
      <c r="I850" s="14"/>
      <c r="J850" s="14"/>
      <c r="K850" s="12"/>
    </row>
    <row r="851" ht="19.5" customHeight="1">
      <c r="A851" s="12"/>
      <c r="C851" s="12"/>
      <c r="D851" s="13"/>
      <c r="F851" s="14"/>
      <c r="G851" s="14"/>
      <c r="H851" s="14"/>
      <c r="I851" s="14"/>
      <c r="J851" s="14"/>
      <c r="K851" s="12"/>
    </row>
    <row r="852" ht="19.5" customHeight="1">
      <c r="A852" s="12"/>
      <c r="C852" s="12"/>
      <c r="D852" s="13"/>
      <c r="F852" s="14"/>
      <c r="G852" s="14"/>
      <c r="H852" s="14"/>
      <c r="I852" s="14"/>
      <c r="J852" s="14"/>
      <c r="K852" s="12"/>
    </row>
    <row r="853" ht="19.5" customHeight="1">
      <c r="A853" s="12"/>
      <c r="C853" s="12"/>
      <c r="D853" s="13"/>
      <c r="F853" s="14"/>
      <c r="G853" s="14"/>
      <c r="H853" s="14"/>
      <c r="I853" s="14"/>
      <c r="J853" s="14"/>
      <c r="K853" s="12"/>
    </row>
    <row r="854" ht="19.5" customHeight="1">
      <c r="A854" s="12"/>
      <c r="C854" s="12"/>
      <c r="D854" s="13"/>
      <c r="F854" s="14"/>
      <c r="G854" s="14"/>
      <c r="H854" s="14"/>
      <c r="I854" s="14"/>
      <c r="J854" s="14"/>
      <c r="K854" s="12"/>
    </row>
    <row r="855" ht="19.5" customHeight="1">
      <c r="A855" s="12"/>
      <c r="C855" s="12"/>
      <c r="D855" s="13"/>
      <c r="F855" s="14"/>
      <c r="G855" s="14"/>
      <c r="H855" s="14"/>
      <c r="I855" s="14"/>
      <c r="J855" s="14"/>
      <c r="K855" s="12"/>
    </row>
    <row r="856" ht="19.5" customHeight="1">
      <c r="A856" s="12"/>
      <c r="C856" s="12"/>
      <c r="D856" s="13"/>
      <c r="F856" s="14"/>
      <c r="G856" s="14"/>
      <c r="H856" s="14"/>
      <c r="I856" s="14"/>
      <c r="J856" s="14"/>
      <c r="K856" s="12"/>
    </row>
    <row r="857" ht="19.5" customHeight="1">
      <c r="A857" s="12"/>
      <c r="C857" s="12"/>
      <c r="D857" s="13"/>
      <c r="F857" s="14"/>
      <c r="G857" s="14"/>
      <c r="H857" s="14"/>
      <c r="I857" s="14"/>
      <c r="J857" s="14"/>
      <c r="K857" s="12"/>
    </row>
    <row r="858" ht="19.5" customHeight="1">
      <c r="A858" s="12"/>
      <c r="C858" s="12"/>
      <c r="D858" s="13"/>
      <c r="F858" s="14"/>
      <c r="G858" s="14"/>
      <c r="H858" s="14"/>
      <c r="I858" s="14"/>
      <c r="J858" s="14"/>
      <c r="K858" s="12"/>
    </row>
    <row r="859" ht="19.5" customHeight="1">
      <c r="A859" s="12"/>
      <c r="C859" s="12"/>
      <c r="D859" s="13"/>
      <c r="F859" s="14"/>
      <c r="G859" s="14"/>
      <c r="H859" s="14"/>
      <c r="I859" s="14"/>
      <c r="J859" s="14"/>
      <c r="K859" s="12"/>
    </row>
    <row r="860" ht="19.5" customHeight="1">
      <c r="A860" s="12"/>
      <c r="C860" s="12"/>
      <c r="D860" s="13"/>
      <c r="F860" s="14"/>
      <c r="G860" s="14"/>
      <c r="H860" s="14"/>
      <c r="I860" s="14"/>
      <c r="J860" s="14"/>
      <c r="K860" s="12"/>
    </row>
    <row r="861" ht="19.5" customHeight="1">
      <c r="A861" s="12"/>
      <c r="C861" s="12"/>
      <c r="D861" s="13"/>
      <c r="F861" s="14"/>
      <c r="G861" s="14"/>
      <c r="H861" s="14"/>
      <c r="I861" s="14"/>
      <c r="J861" s="14"/>
      <c r="K861" s="12"/>
    </row>
    <row r="862" ht="19.5" customHeight="1">
      <c r="A862" s="12"/>
      <c r="C862" s="12"/>
      <c r="D862" s="13"/>
      <c r="F862" s="14"/>
      <c r="G862" s="14"/>
      <c r="H862" s="14"/>
      <c r="I862" s="14"/>
      <c r="J862" s="14"/>
      <c r="K862" s="12"/>
    </row>
    <row r="863" ht="19.5" customHeight="1">
      <c r="A863" s="12"/>
      <c r="C863" s="12"/>
      <c r="D863" s="13"/>
      <c r="F863" s="14"/>
      <c r="G863" s="14"/>
      <c r="H863" s="14"/>
      <c r="I863" s="14"/>
      <c r="J863" s="14"/>
      <c r="K863" s="12"/>
    </row>
    <row r="864" ht="19.5" customHeight="1">
      <c r="A864" s="12"/>
      <c r="C864" s="12"/>
      <c r="D864" s="13"/>
      <c r="F864" s="14"/>
      <c r="G864" s="14"/>
      <c r="H864" s="14"/>
      <c r="I864" s="14"/>
      <c r="J864" s="14"/>
      <c r="K864" s="12"/>
    </row>
    <row r="865" ht="19.5" customHeight="1">
      <c r="A865" s="12"/>
      <c r="C865" s="12"/>
      <c r="D865" s="13"/>
      <c r="F865" s="14"/>
      <c r="G865" s="14"/>
      <c r="H865" s="14"/>
      <c r="I865" s="14"/>
      <c r="J865" s="14"/>
      <c r="K865" s="12"/>
    </row>
    <row r="866" ht="19.5" customHeight="1">
      <c r="A866" s="12"/>
      <c r="C866" s="12"/>
      <c r="D866" s="13"/>
      <c r="F866" s="14"/>
      <c r="G866" s="14"/>
      <c r="H866" s="14"/>
      <c r="I866" s="14"/>
      <c r="J866" s="14"/>
      <c r="K866" s="12"/>
    </row>
    <row r="867" ht="19.5" customHeight="1">
      <c r="A867" s="12"/>
      <c r="C867" s="12"/>
      <c r="D867" s="13"/>
      <c r="F867" s="14"/>
      <c r="G867" s="14"/>
      <c r="H867" s="14"/>
      <c r="I867" s="14"/>
      <c r="J867" s="14"/>
      <c r="K867" s="12"/>
    </row>
    <row r="868" ht="19.5" customHeight="1">
      <c r="A868" s="12"/>
      <c r="C868" s="12"/>
      <c r="D868" s="13"/>
      <c r="F868" s="14"/>
      <c r="G868" s="14"/>
      <c r="H868" s="14"/>
      <c r="I868" s="14"/>
      <c r="J868" s="14"/>
      <c r="K868" s="12"/>
    </row>
    <row r="869" ht="19.5" customHeight="1">
      <c r="A869" s="12"/>
      <c r="C869" s="12"/>
      <c r="D869" s="13"/>
      <c r="F869" s="14"/>
      <c r="G869" s="14"/>
      <c r="H869" s="14"/>
      <c r="I869" s="14"/>
      <c r="J869" s="14"/>
      <c r="K869" s="12"/>
    </row>
    <row r="870" ht="19.5" customHeight="1">
      <c r="A870" s="12"/>
      <c r="C870" s="12"/>
      <c r="D870" s="13"/>
      <c r="F870" s="14"/>
      <c r="G870" s="14"/>
      <c r="H870" s="14"/>
      <c r="I870" s="14"/>
      <c r="J870" s="14"/>
      <c r="K870" s="12"/>
    </row>
    <row r="871" ht="19.5" customHeight="1">
      <c r="A871" s="12"/>
      <c r="C871" s="12"/>
      <c r="D871" s="13"/>
      <c r="F871" s="14"/>
      <c r="G871" s="14"/>
      <c r="H871" s="14"/>
      <c r="I871" s="14"/>
      <c r="J871" s="14"/>
      <c r="K871" s="12"/>
    </row>
    <row r="872" ht="19.5" customHeight="1">
      <c r="A872" s="12"/>
      <c r="C872" s="12"/>
      <c r="D872" s="13"/>
      <c r="F872" s="14"/>
      <c r="G872" s="14"/>
      <c r="H872" s="14"/>
      <c r="I872" s="14"/>
      <c r="J872" s="14"/>
      <c r="K872" s="12"/>
    </row>
    <row r="873" ht="19.5" customHeight="1">
      <c r="A873" s="12"/>
      <c r="C873" s="12"/>
      <c r="D873" s="13"/>
      <c r="F873" s="14"/>
      <c r="G873" s="14"/>
      <c r="H873" s="14"/>
      <c r="I873" s="14"/>
      <c r="J873" s="14"/>
      <c r="K873" s="12"/>
    </row>
    <row r="874" ht="19.5" customHeight="1">
      <c r="A874" s="12"/>
      <c r="C874" s="12"/>
      <c r="D874" s="13"/>
      <c r="F874" s="14"/>
      <c r="G874" s="14"/>
      <c r="H874" s="14"/>
      <c r="I874" s="14"/>
      <c r="J874" s="14"/>
      <c r="K874" s="12"/>
    </row>
    <row r="875" ht="19.5" customHeight="1">
      <c r="A875" s="12"/>
      <c r="C875" s="12"/>
      <c r="D875" s="13"/>
      <c r="F875" s="14"/>
      <c r="G875" s="14"/>
      <c r="H875" s="14"/>
      <c r="I875" s="14"/>
      <c r="J875" s="14"/>
      <c r="K875" s="12"/>
    </row>
    <row r="876" ht="19.5" customHeight="1">
      <c r="A876" s="12"/>
      <c r="C876" s="12"/>
      <c r="D876" s="13"/>
      <c r="F876" s="14"/>
      <c r="G876" s="14"/>
      <c r="H876" s="14"/>
      <c r="I876" s="14"/>
      <c r="J876" s="14"/>
      <c r="K876" s="12"/>
    </row>
    <row r="877" ht="19.5" customHeight="1">
      <c r="A877" s="12"/>
      <c r="C877" s="12"/>
      <c r="D877" s="13"/>
      <c r="F877" s="14"/>
      <c r="G877" s="14"/>
      <c r="H877" s="14"/>
      <c r="I877" s="14"/>
      <c r="J877" s="14"/>
      <c r="K877" s="12"/>
    </row>
    <row r="878" ht="19.5" customHeight="1">
      <c r="A878" s="12"/>
      <c r="C878" s="12"/>
      <c r="D878" s="13"/>
      <c r="F878" s="14"/>
      <c r="G878" s="14"/>
      <c r="H878" s="14"/>
      <c r="I878" s="14"/>
      <c r="J878" s="14"/>
      <c r="K878" s="12"/>
    </row>
    <row r="879" ht="19.5" customHeight="1">
      <c r="A879" s="12"/>
      <c r="C879" s="12"/>
      <c r="D879" s="13"/>
      <c r="F879" s="14"/>
      <c r="G879" s="14"/>
      <c r="H879" s="14"/>
      <c r="I879" s="14"/>
      <c r="J879" s="14"/>
      <c r="K879" s="12"/>
    </row>
    <row r="880" ht="19.5" customHeight="1">
      <c r="A880" s="12"/>
      <c r="C880" s="12"/>
      <c r="D880" s="13"/>
      <c r="F880" s="14"/>
      <c r="G880" s="14"/>
      <c r="H880" s="14"/>
      <c r="I880" s="14"/>
      <c r="J880" s="14"/>
      <c r="K880" s="12"/>
    </row>
    <row r="881" ht="19.5" customHeight="1">
      <c r="A881" s="12"/>
      <c r="C881" s="12"/>
      <c r="D881" s="13"/>
      <c r="F881" s="14"/>
      <c r="G881" s="14"/>
      <c r="H881" s="14"/>
      <c r="I881" s="14"/>
      <c r="J881" s="14"/>
      <c r="K881" s="12"/>
    </row>
    <row r="882" ht="19.5" customHeight="1">
      <c r="A882" s="12"/>
      <c r="C882" s="12"/>
      <c r="D882" s="13"/>
      <c r="F882" s="14"/>
      <c r="G882" s="14"/>
      <c r="H882" s="14"/>
      <c r="I882" s="14"/>
      <c r="J882" s="14"/>
      <c r="K882" s="12"/>
    </row>
    <row r="883" ht="19.5" customHeight="1">
      <c r="A883" s="12"/>
      <c r="C883" s="12"/>
      <c r="D883" s="13"/>
      <c r="F883" s="14"/>
      <c r="G883" s="14"/>
      <c r="H883" s="14"/>
      <c r="I883" s="14"/>
      <c r="J883" s="14"/>
      <c r="K883" s="12"/>
    </row>
    <row r="884" ht="19.5" customHeight="1">
      <c r="A884" s="12"/>
      <c r="C884" s="12"/>
      <c r="D884" s="13"/>
      <c r="F884" s="14"/>
      <c r="G884" s="14"/>
      <c r="H884" s="14"/>
      <c r="I884" s="14"/>
      <c r="J884" s="14"/>
      <c r="K884" s="12"/>
    </row>
    <row r="885" ht="19.5" customHeight="1">
      <c r="A885" s="12"/>
      <c r="C885" s="12"/>
      <c r="D885" s="13"/>
      <c r="F885" s="14"/>
      <c r="G885" s="14"/>
      <c r="H885" s="14"/>
      <c r="I885" s="14"/>
      <c r="J885" s="14"/>
      <c r="K885" s="12"/>
    </row>
    <row r="886" ht="19.5" customHeight="1">
      <c r="A886" s="12"/>
      <c r="C886" s="12"/>
      <c r="D886" s="13"/>
      <c r="F886" s="14"/>
      <c r="G886" s="14"/>
      <c r="H886" s="14"/>
      <c r="I886" s="14"/>
      <c r="J886" s="14"/>
      <c r="K886" s="12"/>
    </row>
    <row r="887" ht="19.5" customHeight="1">
      <c r="A887" s="12"/>
      <c r="C887" s="12"/>
      <c r="D887" s="13"/>
      <c r="F887" s="14"/>
      <c r="G887" s="14"/>
      <c r="H887" s="14"/>
      <c r="I887" s="14"/>
      <c r="J887" s="14"/>
      <c r="K887" s="12"/>
    </row>
    <row r="888" ht="19.5" customHeight="1">
      <c r="A888" s="12"/>
      <c r="C888" s="12"/>
      <c r="D888" s="13"/>
      <c r="F888" s="14"/>
      <c r="G888" s="14"/>
      <c r="H888" s="14"/>
      <c r="I888" s="14"/>
      <c r="J888" s="14"/>
      <c r="K888" s="12"/>
    </row>
    <row r="889" ht="19.5" customHeight="1">
      <c r="A889" s="12"/>
      <c r="C889" s="12"/>
      <c r="D889" s="13"/>
      <c r="F889" s="14"/>
      <c r="G889" s="14"/>
      <c r="H889" s="14"/>
      <c r="I889" s="14"/>
      <c r="J889" s="14"/>
      <c r="K889" s="12"/>
    </row>
    <row r="890" ht="19.5" customHeight="1">
      <c r="A890" s="12"/>
      <c r="C890" s="12"/>
      <c r="D890" s="13"/>
      <c r="F890" s="14"/>
      <c r="G890" s="14"/>
      <c r="H890" s="14"/>
      <c r="I890" s="14"/>
      <c r="J890" s="14"/>
      <c r="K890" s="12"/>
    </row>
    <row r="891" ht="19.5" customHeight="1">
      <c r="A891" s="12"/>
      <c r="C891" s="12"/>
      <c r="D891" s="13"/>
      <c r="F891" s="14"/>
      <c r="G891" s="14"/>
      <c r="H891" s="14"/>
      <c r="I891" s="14"/>
      <c r="J891" s="14"/>
      <c r="K891" s="12"/>
    </row>
    <row r="892" ht="19.5" customHeight="1">
      <c r="A892" s="12"/>
      <c r="C892" s="12"/>
      <c r="D892" s="13"/>
      <c r="F892" s="14"/>
      <c r="G892" s="14"/>
      <c r="H892" s="14"/>
      <c r="I892" s="14"/>
      <c r="J892" s="14"/>
      <c r="K892" s="12"/>
    </row>
    <row r="893" ht="19.5" customHeight="1">
      <c r="A893" s="12"/>
      <c r="C893" s="12"/>
      <c r="D893" s="13"/>
      <c r="F893" s="14"/>
      <c r="G893" s="14"/>
      <c r="H893" s="14"/>
      <c r="I893" s="14"/>
      <c r="J893" s="14"/>
      <c r="K893" s="12"/>
    </row>
    <row r="894" ht="19.5" customHeight="1">
      <c r="A894" s="12"/>
      <c r="C894" s="12"/>
      <c r="D894" s="13"/>
      <c r="F894" s="14"/>
      <c r="G894" s="14"/>
      <c r="H894" s="14"/>
      <c r="I894" s="14"/>
      <c r="J894" s="14"/>
      <c r="K894" s="12"/>
    </row>
    <row r="895" ht="19.5" customHeight="1">
      <c r="A895" s="12"/>
      <c r="C895" s="12"/>
      <c r="D895" s="13"/>
      <c r="F895" s="14"/>
      <c r="G895" s="14"/>
      <c r="H895" s="14"/>
      <c r="I895" s="14"/>
      <c r="J895" s="14"/>
      <c r="K895" s="12"/>
    </row>
    <row r="896" ht="19.5" customHeight="1">
      <c r="A896" s="12"/>
      <c r="C896" s="12"/>
      <c r="D896" s="13"/>
      <c r="F896" s="14"/>
      <c r="G896" s="14"/>
      <c r="H896" s="14"/>
      <c r="I896" s="14"/>
      <c r="J896" s="14"/>
      <c r="K896" s="12"/>
    </row>
    <row r="897" ht="19.5" customHeight="1">
      <c r="A897" s="12"/>
      <c r="C897" s="12"/>
      <c r="D897" s="13"/>
      <c r="F897" s="14"/>
      <c r="G897" s="14"/>
      <c r="H897" s="14"/>
      <c r="I897" s="14"/>
      <c r="J897" s="14"/>
      <c r="K897" s="12"/>
    </row>
    <row r="898" ht="19.5" customHeight="1">
      <c r="A898" s="12"/>
      <c r="C898" s="12"/>
      <c r="D898" s="13"/>
      <c r="F898" s="14"/>
      <c r="G898" s="14"/>
      <c r="H898" s="14"/>
      <c r="I898" s="14"/>
      <c r="J898" s="14"/>
      <c r="K898" s="12"/>
    </row>
    <row r="899" ht="19.5" customHeight="1">
      <c r="A899" s="12"/>
      <c r="C899" s="12"/>
      <c r="D899" s="13"/>
      <c r="F899" s="14"/>
      <c r="G899" s="14"/>
      <c r="H899" s="14"/>
      <c r="I899" s="14"/>
      <c r="J899" s="14"/>
      <c r="K899" s="12"/>
    </row>
    <row r="900" ht="19.5" customHeight="1">
      <c r="A900" s="12"/>
      <c r="C900" s="12"/>
      <c r="D900" s="13"/>
      <c r="F900" s="14"/>
      <c r="G900" s="14"/>
      <c r="H900" s="14"/>
      <c r="I900" s="14"/>
      <c r="J900" s="14"/>
      <c r="K900" s="12"/>
    </row>
    <row r="901" ht="19.5" customHeight="1">
      <c r="A901" s="12"/>
      <c r="C901" s="12"/>
      <c r="D901" s="13"/>
      <c r="F901" s="14"/>
      <c r="G901" s="14"/>
      <c r="H901" s="14"/>
      <c r="I901" s="14"/>
      <c r="J901" s="14"/>
      <c r="K901" s="12"/>
    </row>
    <row r="902" ht="19.5" customHeight="1">
      <c r="A902" s="12"/>
      <c r="C902" s="12"/>
      <c r="D902" s="13"/>
      <c r="F902" s="14"/>
      <c r="G902" s="14"/>
      <c r="H902" s="14"/>
      <c r="I902" s="14"/>
      <c r="J902" s="14"/>
      <c r="K902" s="12"/>
    </row>
    <row r="903" ht="19.5" customHeight="1">
      <c r="A903" s="12"/>
      <c r="C903" s="12"/>
      <c r="D903" s="13"/>
      <c r="F903" s="14"/>
      <c r="G903" s="14"/>
      <c r="H903" s="14"/>
      <c r="I903" s="14"/>
      <c r="J903" s="14"/>
      <c r="K903" s="12"/>
    </row>
    <row r="904" ht="19.5" customHeight="1">
      <c r="A904" s="12"/>
      <c r="C904" s="12"/>
      <c r="D904" s="13"/>
      <c r="F904" s="14"/>
      <c r="G904" s="14"/>
      <c r="H904" s="14"/>
      <c r="I904" s="14"/>
      <c r="J904" s="14"/>
      <c r="K904" s="12"/>
    </row>
    <row r="905" ht="19.5" customHeight="1">
      <c r="A905" s="12"/>
      <c r="C905" s="12"/>
      <c r="D905" s="13"/>
      <c r="F905" s="14"/>
      <c r="G905" s="14"/>
      <c r="H905" s="14"/>
      <c r="I905" s="14"/>
      <c r="J905" s="14"/>
      <c r="K905" s="12"/>
    </row>
    <row r="906" ht="19.5" customHeight="1">
      <c r="A906" s="12"/>
      <c r="C906" s="12"/>
      <c r="D906" s="13"/>
      <c r="F906" s="14"/>
      <c r="G906" s="14"/>
      <c r="H906" s="14"/>
      <c r="I906" s="14"/>
      <c r="J906" s="14"/>
      <c r="K906" s="12"/>
    </row>
    <row r="907" ht="19.5" customHeight="1">
      <c r="A907" s="12"/>
      <c r="C907" s="12"/>
      <c r="D907" s="13"/>
      <c r="F907" s="14"/>
      <c r="G907" s="14"/>
      <c r="H907" s="14"/>
      <c r="I907" s="14"/>
      <c r="J907" s="14"/>
      <c r="K907" s="12"/>
    </row>
    <row r="908" ht="19.5" customHeight="1">
      <c r="A908" s="12"/>
      <c r="C908" s="12"/>
      <c r="D908" s="13"/>
      <c r="F908" s="14"/>
      <c r="G908" s="14"/>
      <c r="H908" s="14"/>
      <c r="I908" s="14"/>
      <c r="J908" s="14"/>
      <c r="K908" s="12"/>
    </row>
    <row r="909" ht="19.5" customHeight="1">
      <c r="A909" s="12"/>
      <c r="C909" s="12"/>
      <c r="D909" s="13"/>
      <c r="F909" s="14"/>
      <c r="G909" s="14"/>
      <c r="H909" s="14"/>
      <c r="I909" s="14"/>
      <c r="J909" s="14"/>
      <c r="K909" s="12"/>
    </row>
    <row r="910" ht="19.5" customHeight="1">
      <c r="A910" s="12"/>
      <c r="C910" s="12"/>
      <c r="D910" s="13"/>
      <c r="F910" s="14"/>
      <c r="G910" s="14"/>
      <c r="H910" s="14"/>
      <c r="I910" s="14"/>
      <c r="J910" s="14"/>
      <c r="K910" s="12"/>
    </row>
    <row r="911" ht="19.5" customHeight="1">
      <c r="A911" s="12"/>
      <c r="C911" s="12"/>
      <c r="D911" s="13"/>
      <c r="F911" s="14"/>
      <c r="G911" s="14"/>
      <c r="H911" s="14"/>
      <c r="I911" s="14"/>
      <c r="J911" s="14"/>
      <c r="K911" s="12"/>
    </row>
    <row r="912" ht="19.5" customHeight="1">
      <c r="A912" s="12"/>
      <c r="C912" s="12"/>
      <c r="D912" s="13"/>
      <c r="F912" s="14"/>
      <c r="G912" s="14"/>
      <c r="H912" s="14"/>
      <c r="I912" s="14"/>
      <c r="J912" s="14"/>
      <c r="K912" s="12"/>
    </row>
    <row r="913" ht="19.5" customHeight="1">
      <c r="A913" s="12"/>
      <c r="C913" s="12"/>
      <c r="D913" s="13"/>
      <c r="F913" s="14"/>
      <c r="G913" s="14"/>
      <c r="H913" s="14"/>
      <c r="I913" s="14"/>
      <c r="J913" s="14"/>
      <c r="K913" s="12"/>
    </row>
    <row r="914" ht="19.5" customHeight="1">
      <c r="A914" s="12"/>
      <c r="C914" s="12"/>
      <c r="D914" s="13"/>
      <c r="F914" s="14"/>
      <c r="G914" s="14"/>
      <c r="H914" s="14"/>
      <c r="I914" s="14"/>
      <c r="J914" s="14"/>
      <c r="K914" s="12"/>
    </row>
    <row r="915" ht="19.5" customHeight="1">
      <c r="A915" s="12"/>
      <c r="C915" s="12"/>
      <c r="D915" s="13"/>
      <c r="F915" s="14"/>
      <c r="G915" s="14"/>
      <c r="H915" s="14"/>
      <c r="I915" s="14"/>
      <c r="J915" s="14"/>
      <c r="K915" s="12"/>
    </row>
    <row r="916" ht="19.5" customHeight="1">
      <c r="A916" s="12"/>
      <c r="C916" s="12"/>
      <c r="D916" s="13"/>
      <c r="F916" s="14"/>
      <c r="G916" s="14"/>
      <c r="H916" s="14"/>
      <c r="I916" s="14"/>
      <c r="J916" s="14"/>
      <c r="K916" s="12"/>
    </row>
    <row r="917" ht="19.5" customHeight="1">
      <c r="A917" s="12"/>
      <c r="C917" s="12"/>
      <c r="D917" s="13"/>
      <c r="F917" s="14"/>
      <c r="G917" s="14"/>
      <c r="H917" s="14"/>
      <c r="I917" s="14"/>
      <c r="J917" s="14"/>
      <c r="K917" s="12"/>
    </row>
    <row r="918" ht="19.5" customHeight="1">
      <c r="A918" s="12"/>
      <c r="C918" s="12"/>
      <c r="D918" s="13"/>
      <c r="F918" s="14"/>
      <c r="G918" s="14"/>
      <c r="H918" s="14"/>
      <c r="I918" s="14"/>
      <c r="J918" s="14"/>
      <c r="K918" s="12"/>
    </row>
    <row r="919" ht="19.5" customHeight="1">
      <c r="A919" s="12"/>
      <c r="C919" s="12"/>
      <c r="D919" s="13"/>
      <c r="F919" s="14"/>
      <c r="G919" s="14"/>
      <c r="H919" s="14"/>
      <c r="I919" s="14"/>
      <c r="J919" s="14"/>
      <c r="K919" s="12"/>
    </row>
    <row r="920" ht="19.5" customHeight="1">
      <c r="A920" s="12"/>
      <c r="C920" s="12"/>
      <c r="D920" s="13"/>
      <c r="F920" s="14"/>
      <c r="G920" s="14"/>
      <c r="H920" s="14"/>
      <c r="I920" s="14"/>
      <c r="J920" s="14"/>
      <c r="K920" s="12"/>
    </row>
    <row r="921" ht="19.5" customHeight="1">
      <c r="A921" s="12"/>
      <c r="C921" s="12"/>
      <c r="D921" s="13"/>
      <c r="F921" s="14"/>
      <c r="G921" s="14"/>
      <c r="H921" s="14"/>
      <c r="I921" s="14"/>
      <c r="J921" s="14"/>
      <c r="K921" s="12"/>
    </row>
    <row r="922" ht="19.5" customHeight="1">
      <c r="A922" s="12"/>
      <c r="C922" s="12"/>
      <c r="D922" s="13"/>
      <c r="F922" s="14"/>
      <c r="G922" s="14"/>
      <c r="H922" s="14"/>
      <c r="I922" s="14"/>
      <c r="J922" s="14"/>
      <c r="K922" s="12"/>
    </row>
    <row r="923" ht="19.5" customHeight="1">
      <c r="A923" s="12"/>
      <c r="C923" s="12"/>
      <c r="D923" s="13"/>
      <c r="F923" s="14"/>
      <c r="G923" s="14"/>
      <c r="H923" s="14"/>
      <c r="I923" s="14"/>
      <c r="J923" s="14"/>
      <c r="K923" s="12"/>
    </row>
    <row r="924" ht="19.5" customHeight="1">
      <c r="A924" s="12"/>
      <c r="C924" s="12"/>
      <c r="D924" s="13"/>
      <c r="F924" s="14"/>
      <c r="G924" s="14"/>
      <c r="H924" s="14"/>
      <c r="I924" s="14"/>
      <c r="J924" s="14"/>
      <c r="K924" s="12"/>
    </row>
    <row r="925" ht="19.5" customHeight="1">
      <c r="A925" s="12"/>
      <c r="C925" s="12"/>
      <c r="D925" s="13"/>
      <c r="F925" s="14"/>
      <c r="G925" s="14"/>
      <c r="H925" s="14"/>
      <c r="I925" s="14"/>
      <c r="J925" s="14"/>
      <c r="K925" s="12"/>
    </row>
    <row r="926" ht="19.5" customHeight="1">
      <c r="A926" s="12"/>
      <c r="C926" s="12"/>
      <c r="D926" s="13"/>
      <c r="F926" s="14"/>
      <c r="G926" s="14"/>
      <c r="H926" s="14"/>
      <c r="I926" s="14"/>
      <c r="J926" s="14"/>
      <c r="K926" s="12"/>
    </row>
    <row r="927" ht="19.5" customHeight="1">
      <c r="A927" s="12"/>
      <c r="C927" s="12"/>
      <c r="D927" s="13"/>
      <c r="F927" s="14"/>
      <c r="G927" s="14"/>
      <c r="H927" s="14"/>
      <c r="I927" s="14"/>
      <c r="J927" s="14"/>
      <c r="K927" s="12"/>
    </row>
    <row r="928" ht="19.5" customHeight="1">
      <c r="A928" s="12"/>
      <c r="C928" s="12"/>
      <c r="D928" s="13"/>
      <c r="F928" s="14"/>
      <c r="G928" s="14"/>
      <c r="H928" s="14"/>
      <c r="I928" s="14"/>
      <c r="J928" s="14"/>
      <c r="K928" s="12"/>
    </row>
    <row r="929" ht="19.5" customHeight="1">
      <c r="A929" s="12"/>
      <c r="C929" s="12"/>
      <c r="D929" s="13"/>
      <c r="F929" s="14"/>
      <c r="G929" s="14"/>
      <c r="H929" s="14"/>
      <c r="I929" s="14"/>
      <c r="J929" s="14"/>
      <c r="K929" s="12"/>
    </row>
    <row r="930" ht="19.5" customHeight="1">
      <c r="A930" s="12"/>
      <c r="C930" s="12"/>
      <c r="D930" s="13"/>
      <c r="F930" s="14"/>
      <c r="G930" s="14"/>
      <c r="H930" s="14"/>
      <c r="I930" s="14"/>
      <c r="J930" s="14"/>
      <c r="K930" s="12"/>
    </row>
    <row r="931" ht="19.5" customHeight="1">
      <c r="A931" s="12"/>
      <c r="C931" s="12"/>
      <c r="D931" s="13"/>
      <c r="F931" s="14"/>
      <c r="G931" s="14"/>
      <c r="H931" s="14"/>
      <c r="I931" s="14"/>
      <c r="J931" s="14"/>
      <c r="K931" s="12"/>
    </row>
    <row r="932" ht="19.5" customHeight="1">
      <c r="A932" s="12"/>
      <c r="C932" s="12"/>
      <c r="D932" s="13"/>
      <c r="F932" s="14"/>
      <c r="G932" s="14"/>
      <c r="H932" s="14"/>
      <c r="I932" s="14"/>
      <c r="J932" s="14"/>
      <c r="K932" s="12"/>
    </row>
    <row r="933" ht="19.5" customHeight="1">
      <c r="A933" s="12"/>
      <c r="C933" s="12"/>
      <c r="D933" s="13"/>
      <c r="F933" s="14"/>
      <c r="G933" s="14"/>
      <c r="H933" s="14"/>
      <c r="I933" s="14"/>
      <c r="J933" s="14"/>
      <c r="K933" s="12"/>
    </row>
    <row r="934" ht="19.5" customHeight="1">
      <c r="A934" s="12"/>
      <c r="C934" s="12"/>
      <c r="D934" s="13"/>
      <c r="F934" s="14"/>
      <c r="G934" s="14"/>
      <c r="H934" s="14"/>
      <c r="I934" s="14"/>
      <c r="J934" s="14"/>
      <c r="K934" s="12"/>
    </row>
    <row r="935" ht="19.5" customHeight="1">
      <c r="A935" s="12"/>
      <c r="C935" s="12"/>
      <c r="D935" s="13"/>
      <c r="F935" s="14"/>
      <c r="G935" s="14"/>
      <c r="H935" s="14"/>
      <c r="I935" s="14"/>
      <c r="J935" s="14"/>
      <c r="K935" s="12"/>
    </row>
    <row r="936" ht="19.5" customHeight="1">
      <c r="A936" s="12"/>
      <c r="C936" s="12"/>
      <c r="D936" s="13"/>
      <c r="F936" s="14"/>
      <c r="G936" s="14"/>
      <c r="H936" s="14"/>
      <c r="I936" s="14"/>
      <c r="J936" s="14"/>
      <c r="K936" s="12"/>
    </row>
    <row r="937" ht="19.5" customHeight="1">
      <c r="A937" s="12"/>
      <c r="C937" s="12"/>
      <c r="D937" s="13"/>
      <c r="F937" s="14"/>
      <c r="G937" s="14"/>
      <c r="H937" s="14"/>
      <c r="I937" s="14"/>
      <c r="J937" s="14"/>
      <c r="K937" s="12"/>
    </row>
    <row r="938" ht="19.5" customHeight="1">
      <c r="A938" s="12"/>
      <c r="C938" s="12"/>
      <c r="D938" s="13"/>
      <c r="F938" s="14"/>
      <c r="G938" s="14"/>
      <c r="H938" s="14"/>
      <c r="I938" s="14"/>
      <c r="J938" s="14"/>
      <c r="K938" s="12"/>
    </row>
    <row r="939" ht="19.5" customHeight="1">
      <c r="A939" s="12"/>
      <c r="C939" s="12"/>
      <c r="D939" s="13"/>
      <c r="F939" s="14"/>
      <c r="G939" s="14"/>
      <c r="H939" s="14"/>
      <c r="I939" s="14"/>
      <c r="J939" s="14"/>
      <c r="K939" s="12"/>
    </row>
    <row r="940" ht="19.5" customHeight="1">
      <c r="A940" s="12"/>
      <c r="C940" s="12"/>
      <c r="D940" s="13"/>
      <c r="F940" s="14"/>
      <c r="G940" s="14"/>
      <c r="H940" s="14"/>
      <c r="I940" s="14"/>
      <c r="J940" s="14"/>
      <c r="K940" s="12"/>
    </row>
    <row r="941" ht="19.5" customHeight="1">
      <c r="A941" s="12"/>
      <c r="C941" s="12"/>
      <c r="D941" s="13"/>
      <c r="F941" s="14"/>
      <c r="G941" s="14"/>
      <c r="H941" s="14"/>
      <c r="I941" s="14"/>
      <c r="J941" s="14"/>
      <c r="K941" s="12"/>
    </row>
    <row r="942" ht="19.5" customHeight="1">
      <c r="A942" s="12"/>
      <c r="C942" s="12"/>
      <c r="D942" s="13"/>
      <c r="F942" s="14"/>
      <c r="G942" s="14"/>
      <c r="H942" s="14"/>
      <c r="I942" s="14"/>
      <c r="J942" s="14"/>
      <c r="K942" s="12"/>
    </row>
    <row r="943" ht="19.5" customHeight="1">
      <c r="A943" s="12"/>
      <c r="C943" s="12"/>
      <c r="D943" s="13"/>
      <c r="F943" s="14"/>
      <c r="G943" s="14"/>
      <c r="H943" s="14"/>
      <c r="I943" s="14"/>
      <c r="J943" s="14"/>
      <c r="K943" s="12"/>
    </row>
    <row r="944" ht="19.5" customHeight="1">
      <c r="A944" s="12"/>
      <c r="C944" s="12"/>
      <c r="D944" s="13"/>
      <c r="F944" s="14"/>
      <c r="G944" s="14"/>
      <c r="H944" s="14"/>
      <c r="I944" s="14"/>
      <c r="J944" s="14"/>
      <c r="K944" s="12"/>
    </row>
    <row r="945" ht="19.5" customHeight="1">
      <c r="A945" s="12"/>
      <c r="C945" s="12"/>
      <c r="D945" s="13"/>
      <c r="F945" s="14"/>
      <c r="G945" s="14"/>
      <c r="H945" s="14"/>
      <c r="I945" s="14"/>
      <c r="J945" s="14"/>
      <c r="K945" s="12"/>
    </row>
    <row r="946" ht="19.5" customHeight="1">
      <c r="A946" s="12"/>
      <c r="C946" s="12"/>
      <c r="D946" s="13"/>
      <c r="F946" s="14"/>
      <c r="G946" s="14"/>
      <c r="H946" s="14"/>
      <c r="I946" s="14"/>
      <c r="J946" s="14"/>
      <c r="K946" s="12"/>
    </row>
    <row r="947" ht="19.5" customHeight="1">
      <c r="A947" s="12"/>
      <c r="C947" s="12"/>
      <c r="D947" s="13"/>
      <c r="F947" s="14"/>
      <c r="G947" s="14"/>
      <c r="H947" s="14"/>
      <c r="I947" s="14"/>
      <c r="J947" s="14"/>
      <c r="K947" s="12"/>
    </row>
    <row r="948" ht="19.5" customHeight="1">
      <c r="A948" s="12"/>
      <c r="C948" s="12"/>
      <c r="D948" s="13"/>
      <c r="F948" s="14"/>
      <c r="G948" s="14"/>
      <c r="H948" s="14"/>
      <c r="I948" s="14"/>
      <c r="J948" s="14"/>
      <c r="K948" s="12"/>
    </row>
    <row r="949" ht="19.5" customHeight="1">
      <c r="A949" s="12"/>
      <c r="C949" s="12"/>
      <c r="D949" s="13"/>
      <c r="F949" s="14"/>
      <c r="G949" s="14"/>
      <c r="H949" s="14"/>
      <c r="I949" s="14"/>
      <c r="J949" s="14"/>
      <c r="K949" s="12"/>
    </row>
    <row r="950" ht="19.5" customHeight="1">
      <c r="A950" s="12"/>
      <c r="C950" s="12"/>
      <c r="D950" s="13"/>
      <c r="F950" s="14"/>
      <c r="G950" s="14"/>
      <c r="H950" s="14"/>
      <c r="I950" s="14"/>
      <c r="J950" s="14"/>
      <c r="K950" s="12"/>
    </row>
    <row r="951" ht="19.5" customHeight="1">
      <c r="A951" s="12"/>
      <c r="C951" s="12"/>
      <c r="D951" s="13"/>
      <c r="F951" s="14"/>
      <c r="G951" s="14"/>
      <c r="H951" s="14"/>
      <c r="I951" s="14"/>
      <c r="J951" s="14"/>
      <c r="K951" s="12"/>
    </row>
    <row r="952" ht="19.5" customHeight="1">
      <c r="A952" s="12"/>
      <c r="C952" s="12"/>
      <c r="D952" s="13"/>
      <c r="F952" s="14"/>
      <c r="G952" s="14"/>
      <c r="H952" s="14"/>
      <c r="I952" s="14"/>
      <c r="J952" s="14"/>
      <c r="K952" s="12"/>
    </row>
    <row r="953" ht="19.5" customHeight="1">
      <c r="A953" s="12"/>
      <c r="C953" s="12"/>
      <c r="D953" s="13"/>
      <c r="F953" s="14"/>
      <c r="G953" s="14"/>
      <c r="H953" s="14"/>
      <c r="I953" s="14"/>
      <c r="J953" s="14"/>
      <c r="K953" s="12"/>
    </row>
    <row r="954" ht="19.5" customHeight="1">
      <c r="A954" s="12"/>
      <c r="C954" s="12"/>
      <c r="D954" s="13"/>
      <c r="F954" s="14"/>
      <c r="G954" s="14"/>
      <c r="H954" s="14"/>
      <c r="I954" s="14"/>
      <c r="J954" s="14"/>
      <c r="K954" s="12"/>
    </row>
    <row r="955" ht="19.5" customHeight="1">
      <c r="A955" s="12"/>
      <c r="C955" s="12"/>
      <c r="D955" s="13"/>
      <c r="F955" s="14"/>
      <c r="G955" s="14"/>
      <c r="H955" s="14"/>
      <c r="I955" s="14"/>
      <c r="J955" s="14"/>
      <c r="K955" s="12"/>
    </row>
    <row r="956" ht="19.5" customHeight="1">
      <c r="A956" s="12"/>
      <c r="C956" s="12"/>
      <c r="D956" s="13"/>
      <c r="F956" s="14"/>
      <c r="G956" s="14"/>
      <c r="H956" s="14"/>
      <c r="I956" s="14"/>
      <c r="J956" s="14"/>
      <c r="K956" s="12"/>
    </row>
    <row r="957" ht="19.5" customHeight="1">
      <c r="A957" s="12"/>
      <c r="C957" s="12"/>
      <c r="D957" s="13"/>
      <c r="F957" s="14"/>
      <c r="G957" s="14"/>
      <c r="H957" s="14"/>
      <c r="I957" s="14"/>
      <c r="J957" s="14"/>
      <c r="K957" s="12"/>
    </row>
    <row r="958" ht="19.5" customHeight="1">
      <c r="A958" s="12"/>
      <c r="C958" s="12"/>
      <c r="D958" s="13"/>
      <c r="F958" s="14"/>
      <c r="G958" s="14"/>
      <c r="H958" s="14"/>
      <c r="I958" s="14"/>
      <c r="J958" s="14"/>
      <c r="K958" s="12"/>
    </row>
    <row r="959" ht="19.5" customHeight="1">
      <c r="A959" s="12"/>
      <c r="C959" s="12"/>
      <c r="D959" s="13"/>
      <c r="F959" s="14"/>
      <c r="G959" s="14"/>
      <c r="H959" s="14"/>
      <c r="I959" s="14"/>
      <c r="J959" s="14"/>
      <c r="K959" s="12"/>
    </row>
    <row r="960" ht="19.5" customHeight="1">
      <c r="A960" s="12"/>
      <c r="C960" s="12"/>
      <c r="D960" s="13"/>
      <c r="F960" s="14"/>
      <c r="G960" s="14"/>
      <c r="H960" s="14"/>
      <c r="I960" s="14"/>
      <c r="J960" s="14"/>
      <c r="K960" s="12"/>
    </row>
    <row r="961" ht="19.5" customHeight="1">
      <c r="A961" s="12"/>
      <c r="C961" s="12"/>
      <c r="D961" s="13"/>
      <c r="F961" s="14"/>
      <c r="G961" s="14"/>
      <c r="H961" s="14"/>
      <c r="I961" s="14"/>
      <c r="J961" s="14"/>
      <c r="K961" s="12"/>
    </row>
    <row r="962" ht="19.5" customHeight="1">
      <c r="A962" s="12"/>
      <c r="C962" s="12"/>
      <c r="D962" s="13"/>
      <c r="F962" s="14"/>
      <c r="G962" s="14"/>
      <c r="H962" s="14"/>
      <c r="I962" s="14"/>
      <c r="J962" s="14"/>
      <c r="K962" s="12"/>
    </row>
    <row r="963" ht="19.5" customHeight="1">
      <c r="A963" s="12"/>
      <c r="C963" s="12"/>
      <c r="D963" s="13"/>
      <c r="F963" s="14"/>
      <c r="G963" s="14"/>
      <c r="H963" s="14"/>
      <c r="I963" s="14"/>
      <c r="J963" s="14"/>
      <c r="K963" s="12"/>
    </row>
    <row r="964" ht="19.5" customHeight="1">
      <c r="A964" s="12"/>
      <c r="C964" s="12"/>
      <c r="D964" s="13"/>
      <c r="F964" s="14"/>
      <c r="G964" s="14"/>
      <c r="H964" s="14"/>
      <c r="I964" s="14"/>
      <c r="J964" s="14"/>
      <c r="K964" s="12"/>
    </row>
    <row r="965" ht="19.5" customHeight="1">
      <c r="A965" s="12"/>
      <c r="C965" s="12"/>
      <c r="D965" s="13"/>
      <c r="F965" s="14"/>
      <c r="G965" s="14"/>
      <c r="H965" s="14"/>
      <c r="I965" s="14"/>
      <c r="J965" s="14"/>
      <c r="K965" s="12"/>
    </row>
    <row r="966" ht="19.5" customHeight="1">
      <c r="A966" s="12"/>
      <c r="C966" s="12"/>
      <c r="D966" s="13"/>
      <c r="F966" s="14"/>
      <c r="G966" s="14"/>
      <c r="H966" s="14"/>
      <c r="I966" s="14"/>
      <c r="J966" s="14"/>
      <c r="K966" s="12"/>
    </row>
    <row r="967" ht="19.5" customHeight="1">
      <c r="A967" s="12"/>
      <c r="C967" s="12"/>
      <c r="D967" s="13"/>
      <c r="F967" s="14"/>
      <c r="G967" s="14"/>
      <c r="H967" s="14"/>
      <c r="I967" s="14"/>
      <c r="J967" s="14"/>
      <c r="K967" s="12"/>
    </row>
    <row r="968" ht="19.5" customHeight="1">
      <c r="A968" s="12"/>
      <c r="C968" s="12"/>
      <c r="D968" s="13"/>
      <c r="F968" s="14"/>
      <c r="G968" s="14"/>
      <c r="H968" s="14"/>
      <c r="I968" s="14"/>
      <c r="J968" s="14"/>
      <c r="K968" s="12"/>
    </row>
    <row r="969" ht="19.5" customHeight="1">
      <c r="A969" s="12"/>
      <c r="C969" s="12"/>
      <c r="D969" s="13"/>
      <c r="F969" s="14"/>
      <c r="G969" s="14"/>
      <c r="H969" s="14"/>
      <c r="I969" s="14"/>
      <c r="J969" s="14"/>
      <c r="K969" s="12"/>
    </row>
    <row r="970" ht="19.5" customHeight="1">
      <c r="A970" s="12"/>
      <c r="C970" s="12"/>
      <c r="D970" s="13"/>
      <c r="F970" s="14"/>
      <c r="G970" s="14"/>
      <c r="H970" s="14"/>
      <c r="I970" s="14"/>
      <c r="J970" s="14"/>
      <c r="K970" s="12"/>
    </row>
    <row r="971" ht="19.5" customHeight="1">
      <c r="A971" s="12"/>
      <c r="C971" s="12"/>
      <c r="D971" s="13"/>
      <c r="F971" s="14"/>
      <c r="G971" s="14"/>
      <c r="H971" s="14"/>
      <c r="I971" s="14"/>
      <c r="J971" s="14"/>
      <c r="K971" s="12"/>
    </row>
    <row r="972" ht="19.5" customHeight="1">
      <c r="A972" s="12"/>
      <c r="C972" s="12"/>
      <c r="D972" s="13"/>
      <c r="F972" s="14"/>
      <c r="G972" s="14"/>
      <c r="H972" s="14"/>
      <c r="I972" s="14"/>
      <c r="J972" s="14"/>
      <c r="K972" s="12"/>
    </row>
    <row r="973" ht="19.5" customHeight="1">
      <c r="A973" s="12"/>
      <c r="C973" s="12"/>
      <c r="D973" s="13"/>
      <c r="F973" s="14"/>
      <c r="G973" s="14"/>
      <c r="H973" s="14"/>
      <c r="I973" s="14"/>
      <c r="J973" s="14"/>
      <c r="K973" s="12"/>
    </row>
    <row r="974" ht="19.5" customHeight="1">
      <c r="A974" s="12"/>
      <c r="C974" s="12"/>
      <c r="D974" s="13"/>
      <c r="F974" s="14"/>
      <c r="G974" s="14"/>
      <c r="H974" s="14"/>
      <c r="I974" s="14"/>
      <c r="J974" s="14"/>
      <c r="K974" s="12"/>
    </row>
    <row r="975" ht="19.5" customHeight="1">
      <c r="A975" s="12"/>
      <c r="C975" s="12"/>
      <c r="D975" s="13"/>
      <c r="F975" s="14"/>
      <c r="G975" s="14"/>
      <c r="H975" s="14"/>
      <c r="I975" s="14"/>
      <c r="J975" s="14"/>
      <c r="K975" s="12"/>
    </row>
    <row r="976" ht="19.5" customHeight="1">
      <c r="A976" s="12"/>
      <c r="C976" s="12"/>
      <c r="D976" s="13"/>
      <c r="F976" s="14"/>
      <c r="G976" s="14"/>
      <c r="H976" s="14"/>
      <c r="I976" s="14"/>
      <c r="J976" s="14"/>
      <c r="K976" s="12"/>
    </row>
    <row r="977" ht="19.5" customHeight="1">
      <c r="A977" s="12"/>
      <c r="C977" s="12"/>
      <c r="D977" s="13"/>
      <c r="F977" s="14"/>
      <c r="G977" s="14"/>
      <c r="H977" s="14"/>
      <c r="I977" s="14"/>
      <c r="J977" s="14"/>
      <c r="K977" s="12"/>
    </row>
    <row r="978" ht="19.5" customHeight="1">
      <c r="A978" s="12"/>
      <c r="C978" s="12"/>
      <c r="D978" s="13"/>
      <c r="F978" s="14"/>
      <c r="G978" s="14"/>
      <c r="H978" s="14"/>
      <c r="I978" s="14"/>
      <c r="J978" s="14"/>
      <c r="K978" s="12"/>
    </row>
    <row r="979" ht="19.5" customHeight="1">
      <c r="A979" s="12"/>
      <c r="C979" s="12"/>
      <c r="D979" s="13"/>
      <c r="F979" s="14"/>
      <c r="G979" s="14"/>
      <c r="H979" s="14"/>
      <c r="I979" s="14"/>
      <c r="J979" s="14"/>
      <c r="K979" s="12"/>
    </row>
    <row r="980" ht="19.5" customHeight="1">
      <c r="A980" s="12"/>
      <c r="C980" s="12"/>
      <c r="D980" s="13"/>
      <c r="F980" s="14"/>
      <c r="G980" s="14"/>
      <c r="H980" s="14"/>
      <c r="I980" s="14"/>
      <c r="J980" s="14"/>
      <c r="K980" s="12"/>
    </row>
    <row r="981" ht="19.5" customHeight="1">
      <c r="A981" s="12"/>
      <c r="C981" s="12"/>
      <c r="D981" s="13"/>
      <c r="F981" s="14"/>
      <c r="G981" s="14"/>
      <c r="H981" s="14"/>
      <c r="I981" s="14"/>
      <c r="J981" s="14"/>
      <c r="K981" s="12"/>
    </row>
    <row r="982" ht="19.5" customHeight="1">
      <c r="A982" s="12"/>
      <c r="C982" s="12"/>
      <c r="D982" s="13"/>
      <c r="F982" s="14"/>
      <c r="G982" s="14"/>
      <c r="H982" s="14"/>
      <c r="I982" s="14"/>
      <c r="J982" s="14"/>
      <c r="K982" s="12"/>
    </row>
    <row r="983" ht="19.5" customHeight="1">
      <c r="A983" s="12"/>
      <c r="C983" s="12"/>
      <c r="D983" s="13"/>
      <c r="F983" s="14"/>
      <c r="G983" s="14"/>
      <c r="H983" s="14"/>
      <c r="I983" s="14"/>
      <c r="J983" s="14"/>
      <c r="K983" s="12"/>
    </row>
    <row r="984" ht="19.5" customHeight="1">
      <c r="A984" s="12"/>
      <c r="C984" s="12"/>
      <c r="D984" s="13"/>
      <c r="F984" s="14"/>
      <c r="G984" s="14"/>
      <c r="H984" s="14"/>
      <c r="I984" s="14"/>
      <c r="J984" s="14"/>
      <c r="K984" s="12"/>
    </row>
    <row r="985" ht="19.5" customHeight="1">
      <c r="A985" s="12"/>
      <c r="C985" s="12"/>
      <c r="D985" s="13"/>
      <c r="F985" s="14"/>
      <c r="G985" s="14"/>
      <c r="H985" s="14"/>
      <c r="I985" s="14"/>
      <c r="J985" s="14"/>
      <c r="K985" s="12"/>
    </row>
    <row r="986" ht="19.5" customHeight="1">
      <c r="A986" s="12"/>
      <c r="C986" s="12"/>
      <c r="D986" s="13"/>
      <c r="F986" s="14"/>
      <c r="G986" s="14"/>
      <c r="H986" s="14"/>
      <c r="I986" s="14"/>
      <c r="J986" s="14"/>
      <c r="K986" s="12"/>
    </row>
    <row r="987" ht="19.5" customHeight="1">
      <c r="A987" s="12"/>
      <c r="C987" s="12"/>
      <c r="D987" s="13"/>
      <c r="F987" s="14"/>
      <c r="G987" s="14"/>
      <c r="H987" s="14"/>
      <c r="I987" s="14"/>
      <c r="J987" s="14"/>
      <c r="K987" s="12"/>
    </row>
    <row r="988" ht="19.5" customHeight="1">
      <c r="A988" s="12"/>
      <c r="C988" s="12"/>
      <c r="D988" s="13"/>
      <c r="F988" s="14"/>
      <c r="G988" s="14"/>
      <c r="H988" s="14"/>
      <c r="I988" s="14"/>
      <c r="J988" s="14"/>
      <c r="K988" s="12"/>
    </row>
    <row r="989" ht="19.5" customHeight="1">
      <c r="A989" s="12"/>
      <c r="C989" s="12"/>
      <c r="D989" s="13"/>
      <c r="F989" s="14"/>
      <c r="G989" s="14"/>
      <c r="H989" s="14"/>
      <c r="I989" s="14"/>
      <c r="J989" s="14"/>
      <c r="K989" s="12"/>
    </row>
    <row r="990" ht="19.5" customHeight="1">
      <c r="A990" s="12"/>
      <c r="C990" s="12"/>
      <c r="D990" s="13"/>
      <c r="F990" s="14"/>
      <c r="G990" s="14"/>
      <c r="H990" s="14"/>
      <c r="I990" s="14"/>
      <c r="J990" s="14"/>
      <c r="K990" s="12"/>
    </row>
    <row r="991" ht="19.5" customHeight="1">
      <c r="A991" s="12"/>
      <c r="C991" s="12"/>
      <c r="D991" s="13"/>
      <c r="F991" s="14"/>
      <c r="G991" s="14"/>
      <c r="H991" s="14"/>
      <c r="I991" s="14"/>
      <c r="J991" s="14"/>
      <c r="K991" s="12"/>
    </row>
    <row r="992" ht="19.5" customHeight="1">
      <c r="A992" s="12"/>
      <c r="C992" s="12"/>
      <c r="D992" s="13"/>
      <c r="F992" s="14"/>
      <c r="G992" s="14"/>
      <c r="H992" s="14"/>
      <c r="I992" s="14"/>
      <c r="J992" s="14"/>
      <c r="K992" s="12"/>
    </row>
    <row r="993" ht="19.5" customHeight="1">
      <c r="A993" s="12"/>
      <c r="C993" s="12"/>
      <c r="D993" s="13"/>
      <c r="F993" s="14"/>
      <c r="G993" s="14"/>
      <c r="H993" s="14"/>
      <c r="I993" s="14"/>
      <c r="J993" s="14"/>
      <c r="K993" s="12"/>
    </row>
    <row r="994" ht="19.5" customHeight="1">
      <c r="A994" s="12"/>
      <c r="C994" s="12"/>
      <c r="D994" s="13"/>
      <c r="F994" s="14"/>
      <c r="G994" s="14"/>
      <c r="H994" s="14"/>
      <c r="I994" s="14"/>
      <c r="J994" s="14"/>
      <c r="K994" s="12"/>
    </row>
    <row r="995" ht="19.5" customHeight="1">
      <c r="A995" s="12"/>
      <c r="C995" s="12"/>
      <c r="D995" s="13"/>
      <c r="F995" s="14"/>
      <c r="G995" s="14"/>
      <c r="H995" s="14"/>
      <c r="I995" s="14"/>
      <c r="J995" s="14"/>
      <c r="K995" s="12"/>
    </row>
    <row r="996" ht="19.5" customHeight="1">
      <c r="A996" s="12"/>
      <c r="C996" s="12"/>
      <c r="D996" s="13"/>
      <c r="F996" s="14"/>
      <c r="G996" s="14"/>
      <c r="H996" s="14"/>
      <c r="I996" s="14"/>
      <c r="J996" s="14"/>
      <c r="K996" s="12"/>
    </row>
    <row r="997" ht="19.5" customHeight="1">
      <c r="A997" s="12"/>
      <c r="C997" s="12"/>
      <c r="D997" s="13"/>
      <c r="F997" s="14"/>
      <c r="G997" s="14"/>
      <c r="H997" s="14"/>
      <c r="I997" s="14"/>
      <c r="J997" s="14"/>
      <c r="K997" s="12"/>
    </row>
    <row r="998" ht="19.5" customHeight="1">
      <c r="A998" s="12"/>
      <c r="C998" s="12"/>
      <c r="D998" s="13"/>
      <c r="F998" s="14"/>
      <c r="G998" s="14"/>
      <c r="H998" s="14"/>
      <c r="I998" s="14"/>
      <c r="J998" s="14"/>
      <c r="K998" s="12"/>
    </row>
    <row r="999" ht="19.5" customHeight="1">
      <c r="A999" s="12"/>
      <c r="C999" s="12"/>
      <c r="D999" s="13"/>
      <c r="F999" s="14"/>
      <c r="G999" s="14"/>
      <c r="H999" s="14"/>
      <c r="I999" s="14"/>
      <c r="J999" s="14"/>
      <c r="K999" s="12"/>
    </row>
    <row r="1000" ht="19.5" customHeight="1">
      <c r="A1000" s="12"/>
      <c r="C1000" s="12"/>
      <c r="D1000" s="13"/>
      <c r="F1000" s="14"/>
      <c r="G1000" s="14"/>
      <c r="H1000" s="14"/>
      <c r="I1000" s="14"/>
      <c r="J1000" s="14"/>
      <c r="K1000" s="12"/>
    </row>
  </sheetData>
  <mergeCells count="12">
    <mergeCell ref="E9:G9"/>
    <mergeCell ref="J9:J10"/>
    <mergeCell ref="J15:J16"/>
    <mergeCell ref="J36:J37"/>
    <mergeCell ref="A6:K6"/>
    <mergeCell ref="A7:K7"/>
    <mergeCell ref="A8:K8"/>
    <mergeCell ref="A9:A10"/>
    <mergeCell ref="B9:B10"/>
    <mergeCell ref="C9:C10"/>
    <mergeCell ref="D9:D10"/>
    <mergeCell ref="K9:K10"/>
  </mergeCells>
  <printOptions/>
  <pageMargins bottom="0.787401575" footer="0.0" header="0.0" left="0.511811024" right="0.511811024" top="0.787401575"/>
  <pageSetup orientation="landscape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57.13"/>
    <col customWidth="1" min="3" max="3" width="9.13"/>
    <col customWidth="1" min="4" max="4" width="16.25"/>
    <col customWidth="1" min="5" max="5" width="25.0"/>
    <col customWidth="1" min="6" max="6" width="22.25"/>
    <col customWidth="1" min="7" max="8" width="23.88"/>
    <col customWidth="1" min="9" max="9" width="23.63"/>
    <col customWidth="1" min="10" max="10" width="20.63"/>
    <col customWidth="1" min="11" max="11" width="39.0"/>
    <col customWidth="1" min="12" max="26" width="8.63"/>
  </cols>
  <sheetData>
    <row r="1" ht="19.5" customHeight="1">
      <c r="A1" s="4"/>
      <c r="B1" s="5"/>
      <c r="C1" s="6"/>
      <c r="D1" s="7"/>
      <c r="E1" s="5"/>
      <c r="F1" s="8"/>
      <c r="G1" s="8"/>
      <c r="H1" s="8"/>
      <c r="I1" s="8"/>
      <c r="J1" s="8"/>
      <c r="K1" s="9"/>
    </row>
    <row r="2" ht="19.5" customHeight="1">
      <c r="A2" s="10" t="s">
        <v>83</v>
      </c>
      <c r="B2" s="11" t="s">
        <v>84</v>
      </c>
      <c r="C2" s="12"/>
      <c r="D2" s="13"/>
      <c r="F2" s="14"/>
      <c r="G2" s="14"/>
      <c r="H2" s="14"/>
      <c r="I2" s="14"/>
      <c r="J2" s="17" t="s">
        <v>144</v>
      </c>
      <c r="K2" s="18"/>
    </row>
    <row r="3" ht="19.5" customHeight="1">
      <c r="A3" s="10" t="s">
        <v>86</v>
      </c>
      <c r="B3" s="11" t="s">
        <v>87</v>
      </c>
      <c r="C3" s="12"/>
      <c r="D3" s="13"/>
      <c r="F3" s="14"/>
      <c r="G3" s="14"/>
      <c r="H3" s="14"/>
      <c r="I3" s="14"/>
      <c r="J3" s="14"/>
      <c r="K3" s="18"/>
    </row>
    <row r="4" ht="19.5" customHeight="1">
      <c r="A4" s="19"/>
      <c r="C4" s="12"/>
      <c r="D4" s="13"/>
      <c r="F4" s="14"/>
      <c r="G4" s="14"/>
      <c r="H4" s="14"/>
      <c r="I4" s="14"/>
      <c r="J4" s="14"/>
      <c r="K4" s="18"/>
    </row>
    <row r="5" ht="19.5" customHeight="1">
      <c r="A5" s="19"/>
      <c r="C5" s="12"/>
      <c r="D5" s="13"/>
      <c r="F5" s="14"/>
      <c r="G5" s="14"/>
      <c r="H5" s="14"/>
      <c r="I5" s="14"/>
      <c r="J5" s="14"/>
      <c r="K5" s="18"/>
    </row>
    <row r="6" ht="159.0" customHeight="1">
      <c r="A6" s="20" t="s">
        <v>1879</v>
      </c>
      <c r="K6" s="21"/>
    </row>
    <row r="7" ht="64.5" customHeight="1">
      <c r="A7" s="22" t="s">
        <v>1880</v>
      </c>
      <c r="K7" s="21"/>
    </row>
    <row r="8" ht="42.0" customHeight="1">
      <c r="A8" s="88" t="s">
        <v>90</v>
      </c>
      <c r="B8" s="24"/>
      <c r="C8" s="24"/>
      <c r="D8" s="24"/>
      <c r="E8" s="24"/>
      <c r="F8" s="24"/>
      <c r="G8" s="24"/>
      <c r="H8" s="24"/>
      <c r="I8" s="24"/>
      <c r="J8" s="24"/>
      <c r="K8" s="25"/>
    </row>
    <row r="9" ht="19.5" customHeight="1">
      <c r="A9" s="26" t="s">
        <v>1</v>
      </c>
      <c r="B9" s="26" t="s">
        <v>91</v>
      </c>
      <c r="C9" s="26" t="s">
        <v>92</v>
      </c>
      <c r="D9" s="26" t="s">
        <v>93</v>
      </c>
      <c r="E9" s="27" t="s">
        <v>94</v>
      </c>
      <c r="F9" s="28"/>
      <c r="G9" s="29"/>
      <c r="H9" s="30"/>
      <c r="I9" s="30"/>
      <c r="J9" s="31" t="s">
        <v>95</v>
      </c>
      <c r="K9" s="26" t="s">
        <v>96</v>
      </c>
    </row>
    <row r="10" ht="19.5" customHeight="1">
      <c r="A10" s="32"/>
      <c r="B10" s="32"/>
      <c r="C10" s="32"/>
      <c r="D10" s="32"/>
      <c r="E10" s="33" t="s">
        <v>97</v>
      </c>
      <c r="F10" s="34" t="s">
        <v>121</v>
      </c>
      <c r="G10" s="34" t="s">
        <v>99</v>
      </c>
      <c r="H10" s="35" t="s">
        <v>100</v>
      </c>
      <c r="I10" s="35" t="s">
        <v>101</v>
      </c>
      <c r="J10" s="32"/>
      <c r="K10" s="32"/>
    </row>
    <row r="11" ht="19.5" customHeight="1">
      <c r="A11" s="46">
        <v>1.0</v>
      </c>
      <c r="B11" s="37" t="s">
        <v>147</v>
      </c>
      <c r="C11" s="46" t="s">
        <v>148</v>
      </c>
      <c r="D11" s="78">
        <v>4.0</v>
      </c>
      <c r="E11" s="37">
        <v>2.0</v>
      </c>
      <c r="F11" s="40">
        <v>4.0</v>
      </c>
      <c r="G11" s="40">
        <v>4.0</v>
      </c>
      <c r="H11" s="40">
        <f>G11*F11*E11*D11</f>
        <v>128</v>
      </c>
      <c r="I11" s="42"/>
      <c r="J11" s="43">
        <f t="shared" ref="J11:J13" si="1">H11-I11</f>
        <v>128</v>
      </c>
      <c r="K11" s="46"/>
    </row>
    <row r="12" ht="19.5" customHeight="1">
      <c r="A12" s="46"/>
      <c r="B12" s="37"/>
      <c r="C12" s="46"/>
      <c r="D12" s="78"/>
      <c r="E12" s="37"/>
      <c r="F12" s="40"/>
      <c r="G12" s="40" t="s">
        <v>1858</v>
      </c>
      <c r="H12" s="40"/>
      <c r="I12" s="42"/>
      <c r="J12" s="43">
        <f t="shared" si="1"/>
        <v>0</v>
      </c>
      <c r="K12" s="79"/>
    </row>
    <row r="13" ht="19.5" customHeight="1">
      <c r="A13" s="46"/>
      <c r="B13" s="37"/>
      <c r="C13" s="46"/>
      <c r="D13" s="78"/>
      <c r="E13" s="37"/>
      <c r="F13" s="40"/>
      <c r="G13" s="40"/>
      <c r="H13" s="40"/>
      <c r="I13" s="42"/>
      <c r="J13" s="43">
        <f t="shared" si="1"/>
        <v>0</v>
      </c>
      <c r="K13" s="79"/>
    </row>
    <row r="14" ht="19.5" customHeight="1">
      <c r="A14" s="74" t="s">
        <v>1</v>
      </c>
      <c r="B14" s="74" t="s">
        <v>91</v>
      </c>
      <c r="C14" s="74" t="s">
        <v>92</v>
      </c>
      <c r="D14" s="74" t="s">
        <v>93</v>
      </c>
      <c r="E14" s="50" t="s">
        <v>97</v>
      </c>
      <c r="F14" s="53" t="s">
        <v>121</v>
      </c>
      <c r="G14" s="53" t="s">
        <v>99</v>
      </c>
      <c r="H14" s="75" t="s">
        <v>100</v>
      </c>
      <c r="I14" s="75" t="s">
        <v>101</v>
      </c>
      <c r="J14" s="76" t="s">
        <v>95</v>
      </c>
      <c r="K14" s="74" t="s">
        <v>96</v>
      </c>
    </row>
    <row r="15" ht="19.5" customHeight="1">
      <c r="A15" s="46">
        <v>1.0</v>
      </c>
      <c r="B15" s="37" t="s">
        <v>1320</v>
      </c>
      <c r="C15" s="46" t="s">
        <v>148</v>
      </c>
      <c r="D15" s="78">
        <v>4.0</v>
      </c>
      <c r="E15" s="37">
        <v>0.15</v>
      </c>
      <c r="F15" s="78">
        <v>4.0</v>
      </c>
      <c r="G15" s="40">
        <v>4.0</v>
      </c>
      <c r="H15" s="40">
        <f>G15*F15*E15*D15</f>
        <v>9.6</v>
      </c>
      <c r="I15" s="42"/>
      <c r="J15" s="264">
        <f>SUM(H15:H16)</f>
        <v>9.6</v>
      </c>
      <c r="K15" s="46"/>
    </row>
    <row r="16" ht="19.5" customHeight="1">
      <c r="A16" s="46"/>
      <c r="B16" s="37"/>
      <c r="C16" s="46"/>
      <c r="D16" s="78"/>
      <c r="E16" s="37"/>
      <c r="F16" s="78"/>
      <c r="G16" s="40"/>
      <c r="H16" s="40"/>
      <c r="I16" s="42"/>
      <c r="J16" s="32"/>
      <c r="K16" s="46"/>
    </row>
    <row r="17" ht="19.5" customHeight="1">
      <c r="A17" s="74" t="s">
        <v>1</v>
      </c>
      <c r="B17" s="74" t="s">
        <v>91</v>
      </c>
      <c r="C17" s="74" t="s">
        <v>92</v>
      </c>
      <c r="D17" s="74" t="s">
        <v>93</v>
      </c>
      <c r="E17" s="50" t="s">
        <v>97</v>
      </c>
      <c r="F17" s="53" t="s">
        <v>121</v>
      </c>
      <c r="G17" s="53" t="s">
        <v>99</v>
      </c>
      <c r="H17" s="75" t="s">
        <v>100</v>
      </c>
      <c r="I17" s="75" t="s">
        <v>101</v>
      </c>
      <c r="J17" s="76" t="s">
        <v>95</v>
      </c>
      <c r="K17" s="74" t="s">
        <v>96</v>
      </c>
    </row>
    <row r="18" ht="19.5" customHeight="1">
      <c r="A18" s="46">
        <v>1.0</v>
      </c>
      <c r="B18" s="37" t="s">
        <v>345</v>
      </c>
      <c r="C18" s="46" t="s">
        <v>148</v>
      </c>
      <c r="D18" s="78"/>
      <c r="E18" s="37"/>
      <c r="F18" s="78"/>
      <c r="G18" s="40"/>
      <c r="H18" s="40"/>
      <c r="I18" s="42"/>
      <c r="J18" s="40"/>
      <c r="K18" s="46"/>
    </row>
    <row r="19" ht="19.5" customHeight="1">
      <c r="A19" s="46"/>
      <c r="B19" s="37"/>
      <c r="C19" s="46"/>
      <c r="D19" s="78"/>
      <c r="E19" s="37"/>
      <c r="F19" s="78"/>
      <c r="G19" s="40"/>
      <c r="H19" s="40"/>
      <c r="I19" s="42"/>
      <c r="J19" s="43">
        <f>SUM(H18:H19)</f>
        <v>0</v>
      </c>
      <c r="K19" s="46"/>
    </row>
    <row r="20" ht="19.5" customHeight="1">
      <c r="A20" s="74" t="s">
        <v>1</v>
      </c>
      <c r="B20" s="74" t="s">
        <v>91</v>
      </c>
      <c r="C20" s="74" t="s">
        <v>92</v>
      </c>
      <c r="D20" s="74" t="s">
        <v>93</v>
      </c>
      <c r="E20" s="50" t="s">
        <v>347</v>
      </c>
      <c r="F20" s="53" t="s">
        <v>121</v>
      </c>
      <c r="G20" s="53" t="s">
        <v>99</v>
      </c>
      <c r="H20" s="75" t="s">
        <v>100</v>
      </c>
      <c r="I20" s="75" t="s">
        <v>101</v>
      </c>
      <c r="J20" s="76" t="s">
        <v>95</v>
      </c>
      <c r="K20" s="74" t="s">
        <v>96</v>
      </c>
    </row>
    <row r="21" ht="19.5" customHeight="1">
      <c r="A21" s="46">
        <v>1.0</v>
      </c>
      <c r="B21" s="37" t="s">
        <v>912</v>
      </c>
      <c r="C21" s="46" t="s">
        <v>103</v>
      </c>
      <c r="D21" s="78"/>
      <c r="E21" s="37"/>
      <c r="F21" s="40"/>
      <c r="G21" s="40"/>
      <c r="H21" s="40"/>
      <c r="I21" s="42"/>
      <c r="J21" s="107"/>
      <c r="K21" s="46" t="s">
        <v>1322</v>
      </c>
    </row>
    <row r="22" ht="19.5" customHeight="1">
      <c r="A22" s="74" t="s">
        <v>1</v>
      </c>
      <c r="B22" s="74" t="s">
        <v>91</v>
      </c>
      <c r="C22" s="74" t="s">
        <v>92</v>
      </c>
      <c r="D22" s="74" t="s">
        <v>93</v>
      </c>
      <c r="E22" s="50" t="s">
        <v>187</v>
      </c>
      <c r="F22" s="53"/>
      <c r="G22" s="53"/>
      <c r="H22" s="75" t="s">
        <v>100</v>
      </c>
      <c r="I22" s="75" t="s">
        <v>101</v>
      </c>
      <c r="J22" s="76" t="s">
        <v>95</v>
      </c>
      <c r="K22" s="74" t="s">
        <v>96</v>
      </c>
    </row>
    <row r="23" ht="19.5" customHeight="1">
      <c r="A23" s="46">
        <v>1.0</v>
      </c>
      <c r="B23" s="37" t="s">
        <v>1323</v>
      </c>
      <c r="C23" s="46" t="s">
        <v>158</v>
      </c>
      <c r="D23" s="78" t="str">
        <f>D21</f>
        <v/>
      </c>
      <c r="E23" s="37">
        <v>100.0</v>
      </c>
      <c r="F23" s="40"/>
      <c r="G23" s="40"/>
      <c r="H23" s="40">
        <f>E23*D23</f>
        <v>0</v>
      </c>
      <c r="I23" s="42"/>
      <c r="J23" s="43">
        <f>H23-I23</f>
        <v>0</v>
      </c>
      <c r="K23" s="46" t="s">
        <v>355</v>
      </c>
    </row>
    <row r="24" ht="19.5" customHeight="1">
      <c r="A24" s="50" t="s">
        <v>1</v>
      </c>
      <c r="B24" s="50" t="s">
        <v>91</v>
      </c>
      <c r="C24" s="50" t="s">
        <v>92</v>
      </c>
      <c r="D24" s="50" t="s">
        <v>93</v>
      </c>
      <c r="E24" s="50" t="s">
        <v>97</v>
      </c>
      <c r="F24" s="53" t="s">
        <v>121</v>
      </c>
      <c r="G24" s="53" t="s">
        <v>99</v>
      </c>
      <c r="H24" s="53" t="s">
        <v>100</v>
      </c>
      <c r="I24" s="53" t="s">
        <v>101</v>
      </c>
      <c r="J24" s="53" t="s">
        <v>95</v>
      </c>
      <c r="K24" s="50" t="s">
        <v>96</v>
      </c>
    </row>
    <row r="25" ht="19.5" customHeight="1">
      <c r="A25" s="46">
        <v>1.0</v>
      </c>
      <c r="B25" s="416" t="s">
        <v>1337</v>
      </c>
      <c r="C25" s="46" t="s">
        <v>108</v>
      </c>
      <c r="D25" s="78">
        <v>1.0</v>
      </c>
      <c r="E25" s="37"/>
      <c r="F25" s="78"/>
      <c r="G25" s="40"/>
      <c r="H25" s="40"/>
      <c r="I25" s="42"/>
      <c r="J25" s="43">
        <f t="shared" ref="J25:J29" si="2">D25</f>
        <v>1</v>
      </c>
      <c r="K25" s="46"/>
    </row>
    <row r="26" ht="19.5" customHeight="1">
      <c r="A26" s="46">
        <v>2.0</v>
      </c>
      <c r="B26" s="416" t="s">
        <v>1338</v>
      </c>
      <c r="C26" s="46" t="s">
        <v>108</v>
      </c>
      <c r="D26" s="78">
        <v>1.0</v>
      </c>
      <c r="E26" s="37"/>
      <c r="F26" s="78"/>
      <c r="G26" s="40"/>
      <c r="H26" s="40"/>
      <c r="I26" s="42"/>
      <c r="J26" s="43">
        <f t="shared" si="2"/>
        <v>1</v>
      </c>
      <c r="K26" s="46"/>
    </row>
    <row r="27" ht="19.5" customHeight="1">
      <c r="A27" s="46">
        <v>3.0</v>
      </c>
      <c r="B27" s="416" t="s">
        <v>1339</v>
      </c>
      <c r="C27" s="46" t="s">
        <v>106</v>
      </c>
      <c r="D27" s="78">
        <v>1.0</v>
      </c>
      <c r="E27" s="37"/>
      <c r="F27" s="78"/>
      <c r="G27" s="40"/>
      <c r="H27" s="40"/>
      <c r="I27" s="42"/>
      <c r="J27" s="43">
        <f t="shared" si="2"/>
        <v>1</v>
      </c>
      <c r="K27" s="40"/>
    </row>
    <row r="28" ht="19.5" customHeight="1">
      <c r="A28" s="46">
        <v>3.0</v>
      </c>
      <c r="B28" s="416" t="s">
        <v>1340</v>
      </c>
      <c r="C28" s="46" t="s">
        <v>106</v>
      </c>
      <c r="D28" s="78">
        <v>6.0</v>
      </c>
      <c r="E28" s="37"/>
      <c r="F28" s="78"/>
      <c r="G28" s="40"/>
      <c r="H28" s="40"/>
      <c r="I28" s="42"/>
      <c r="J28" s="43">
        <f t="shared" si="2"/>
        <v>6</v>
      </c>
      <c r="K28" s="40"/>
    </row>
    <row r="29" ht="19.5" customHeight="1">
      <c r="A29" s="46">
        <v>3.0</v>
      </c>
      <c r="B29" s="416" t="s">
        <v>1341</v>
      </c>
      <c r="C29" s="46" t="s">
        <v>1342</v>
      </c>
      <c r="D29" s="78">
        <v>1.0</v>
      </c>
      <c r="E29" s="37"/>
      <c r="F29" s="78"/>
      <c r="G29" s="40"/>
      <c r="H29" s="40"/>
      <c r="I29" s="42"/>
      <c r="J29" s="43">
        <f t="shared" si="2"/>
        <v>1</v>
      </c>
      <c r="K29" s="40"/>
    </row>
    <row r="30" ht="19.5" customHeight="1">
      <c r="A30" s="12"/>
      <c r="C30" s="12"/>
      <c r="D30" s="13"/>
      <c r="F30" s="14"/>
      <c r="G30" s="14"/>
      <c r="H30" s="14"/>
      <c r="I30" s="14"/>
      <c r="J30" s="14"/>
      <c r="K30" s="12"/>
    </row>
    <row r="31" ht="19.5" customHeight="1">
      <c r="A31" s="74" t="s">
        <v>1</v>
      </c>
      <c r="B31" s="74" t="s">
        <v>91</v>
      </c>
      <c r="C31" s="74" t="s">
        <v>92</v>
      </c>
      <c r="D31" s="74" t="s">
        <v>93</v>
      </c>
      <c r="E31" s="50" t="s">
        <v>97</v>
      </c>
      <c r="F31" s="53" t="s">
        <v>121</v>
      </c>
      <c r="G31" s="53" t="s">
        <v>99</v>
      </c>
      <c r="H31" s="53" t="s">
        <v>100</v>
      </c>
      <c r="I31" s="53" t="s">
        <v>101</v>
      </c>
      <c r="J31" s="53" t="s">
        <v>95</v>
      </c>
      <c r="K31" s="50" t="s">
        <v>96</v>
      </c>
    </row>
    <row r="32" ht="19.5" customHeight="1">
      <c r="A32" s="46">
        <v>1.0</v>
      </c>
      <c r="B32" s="37" t="s">
        <v>1343</v>
      </c>
      <c r="C32" s="46" t="s">
        <v>103</v>
      </c>
      <c r="D32" s="78">
        <v>1.0</v>
      </c>
      <c r="E32" s="37">
        <v>1.0</v>
      </c>
      <c r="F32" s="78">
        <v>1.0</v>
      </c>
      <c r="G32" s="40">
        <v>1.0</v>
      </c>
      <c r="H32" s="40">
        <v>1.0</v>
      </c>
      <c r="I32" s="42"/>
      <c r="J32" s="40"/>
      <c r="K32" s="46"/>
    </row>
    <row r="33" ht="19.5" customHeight="1">
      <c r="A33" s="46"/>
      <c r="B33" s="37"/>
      <c r="C33" s="46"/>
      <c r="D33" s="78"/>
      <c r="E33" s="37"/>
      <c r="F33" s="78"/>
      <c r="G33" s="40"/>
      <c r="H33" s="40"/>
      <c r="I33" s="42"/>
      <c r="J33" s="43">
        <f>SUM(H32:H33)</f>
        <v>1</v>
      </c>
      <c r="K33" s="46"/>
    </row>
    <row r="34" ht="19.5" customHeight="1">
      <c r="A34" s="12"/>
      <c r="C34" s="12"/>
      <c r="D34" s="13"/>
      <c r="F34" s="14"/>
      <c r="G34" s="14"/>
      <c r="H34" s="14"/>
      <c r="I34" s="14"/>
      <c r="J34" s="14"/>
      <c r="K34" s="12"/>
    </row>
    <row r="35" ht="19.5" customHeight="1">
      <c r="A35" s="74" t="s">
        <v>1</v>
      </c>
      <c r="B35" s="74" t="s">
        <v>91</v>
      </c>
      <c r="C35" s="74" t="s">
        <v>92</v>
      </c>
      <c r="D35" s="74" t="s">
        <v>93</v>
      </c>
      <c r="E35" s="50" t="s">
        <v>97</v>
      </c>
      <c r="F35" s="53" t="s">
        <v>121</v>
      </c>
      <c r="G35" s="53" t="s">
        <v>99</v>
      </c>
      <c r="H35" s="53" t="s">
        <v>100</v>
      </c>
      <c r="I35" s="53" t="s">
        <v>101</v>
      </c>
      <c r="J35" s="53" t="s">
        <v>95</v>
      </c>
      <c r="K35" s="50" t="s">
        <v>96</v>
      </c>
    </row>
    <row r="36" ht="19.5" customHeight="1">
      <c r="A36" s="46">
        <v>1.0</v>
      </c>
      <c r="B36" s="37" t="s">
        <v>1778</v>
      </c>
      <c r="C36" s="46" t="s">
        <v>103</v>
      </c>
      <c r="D36" s="78">
        <v>4.0</v>
      </c>
      <c r="E36" s="37">
        <v>1.0</v>
      </c>
      <c r="F36" s="78">
        <v>10.0</v>
      </c>
      <c r="G36" s="40">
        <v>10.0</v>
      </c>
      <c r="H36" s="40">
        <f>F36*E36*D36</f>
        <v>40</v>
      </c>
      <c r="I36" s="42"/>
      <c r="J36" s="327">
        <f>SUM(H36:H37)</f>
        <v>40</v>
      </c>
      <c r="K36" s="46"/>
    </row>
    <row r="37" ht="19.5" customHeight="1">
      <c r="A37" s="46"/>
      <c r="B37" s="37"/>
      <c r="C37" s="46"/>
      <c r="D37" s="78"/>
      <c r="E37" s="37"/>
      <c r="F37" s="78"/>
      <c r="G37" s="40"/>
      <c r="H37" s="40"/>
      <c r="I37" s="42"/>
      <c r="J37" s="32"/>
      <c r="K37" s="46"/>
    </row>
    <row r="38" ht="19.5" customHeight="1">
      <c r="A38" s="12"/>
      <c r="C38" s="12"/>
      <c r="D38" s="13"/>
      <c r="F38" s="14"/>
      <c r="G38" s="14"/>
      <c r="H38" s="14"/>
      <c r="I38" s="14"/>
      <c r="J38" s="14"/>
      <c r="K38" s="12"/>
    </row>
    <row r="39" ht="19.5" customHeight="1">
      <c r="A39" s="12"/>
      <c r="C39" s="12"/>
      <c r="D39" s="13"/>
      <c r="F39" s="14"/>
      <c r="G39" s="14"/>
      <c r="H39" s="14"/>
      <c r="I39" s="14"/>
      <c r="J39" s="14"/>
      <c r="K39" s="12"/>
    </row>
    <row r="40" ht="19.5" customHeight="1">
      <c r="A40" s="12"/>
      <c r="C40" s="12"/>
      <c r="D40" s="13"/>
      <c r="F40" s="14"/>
      <c r="G40" s="14"/>
      <c r="H40" s="14"/>
      <c r="I40" s="14"/>
      <c r="J40" s="14"/>
      <c r="K40" s="12"/>
    </row>
    <row r="41" ht="19.5" customHeight="1">
      <c r="A41" s="12"/>
      <c r="C41" s="12"/>
      <c r="D41" s="13"/>
      <c r="F41" s="14"/>
      <c r="G41" s="14"/>
      <c r="H41" s="14"/>
      <c r="I41" s="14"/>
      <c r="J41" s="14"/>
      <c r="K41" s="12"/>
    </row>
    <row r="42" ht="19.5" customHeight="1">
      <c r="A42" s="12"/>
      <c r="C42" s="12"/>
      <c r="D42" s="13"/>
      <c r="F42" s="14"/>
      <c r="G42" s="14"/>
      <c r="H42" s="14"/>
      <c r="I42" s="14"/>
      <c r="J42" s="14"/>
      <c r="K42" s="12"/>
    </row>
    <row r="43" ht="19.5" customHeight="1">
      <c r="A43" s="12"/>
      <c r="C43" s="12"/>
      <c r="D43" s="13"/>
      <c r="F43" s="14"/>
      <c r="G43" s="14"/>
      <c r="H43" s="14"/>
      <c r="I43" s="14"/>
      <c r="J43" s="14"/>
      <c r="K43" s="12"/>
    </row>
    <row r="44" ht="19.5" customHeight="1">
      <c r="A44" s="12"/>
      <c r="C44" s="12"/>
      <c r="D44" s="13"/>
      <c r="F44" s="14"/>
      <c r="G44" s="14"/>
      <c r="H44" s="14"/>
      <c r="I44" s="14"/>
      <c r="J44" s="14"/>
      <c r="K44" s="12"/>
    </row>
    <row r="45" ht="19.5" customHeight="1">
      <c r="A45" s="12"/>
      <c r="C45" s="12"/>
      <c r="D45" s="13"/>
      <c r="F45" s="14"/>
      <c r="G45" s="14"/>
      <c r="H45" s="14"/>
      <c r="I45" s="14"/>
      <c r="J45" s="14"/>
      <c r="K45" s="12"/>
    </row>
    <row r="46" ht="19.5" customHeight="1">
      <c r="A46" s="12"/>
      <c r="C46" s="12"/>
      <c r="D46" s="13"/>
      <c r="F46" s="14"/>
      <c r="G46" s="14"/>
      <c r="H46" s="14"/>
      <c r="I46" s="14"/>
      <c r="J46" s="14"/>
      <c r="K46" s="12"/>
    </row>
    <row r="47" ht="19.5" customHeight="1">
      <c r="A47" s="12"/>
      <c r="C47" s="12"/>
      <c r="D47" s="13"/>
      <c r="F47" s="14"/>
      <c r="G47" s="14"/>
      <c r="H47" s="14"/>
      <c r="I47" s="14"/>
      <c r="J47" s="14"/>
      <c r="K47" s="12"/>
    </row>
    <row r="48" ht="19.5" customHeight="1">
      <c r="A48" s="12"/>
      <c r="C48" s="12"/>
      <c r="D48" s="13"/>
      <c r="F48" s="14"/>
      <c r="G48" s="14"/>
      <c r="H48" s="14"/>
      <c r="I48" s="14"/>
      <c r="J48" s="14"/>
      <c r="K48" s="12"/>
    </row>
    <row r="49" ht="19.5" customHeight="1">
      <c r="A49" s="12"/>
      <c r="C49" s="12"/>
      <c r="D49" s="13"/>
      <c r="F49" s="14"/>
      <c r="G49" s="14"/>
      <c r="H49" s="14"/>
      <c r="I49" s="14"/>
      <c r="J49" s="14"/>
      <c r="K49" s="12"/>
    </row>
    <row r="50" ht="19.5" customHeight="1">
      <c r="A50" s="12"/>
      <c r="C50" s="12"/>
      <c r="D50" s="13"/>
      <c r="F50" s="14"/>
      <c r="G50" s="14"/>
      <c r="H50" s="14"/>
      <c r="I50" s="14"/>
      <c r="J50" s="14"/>
      <c r="K50" s="12"/>
    </row>
    <row r="51" ht="19.5" customHeight="1">
      <c r="A51" s="12"/>
      <c r="C51" s="12"/>
      <c r="D51" s="13"/>
      <c r="F51" s="14"/>
      <c r="G51" s="14"/>
      <c r="H51" s="14"/>
      <c r="I51" s="14"/>
      <c r="J51" s="14"/>
      <c r="K51" s="12"/>
    </row>
    <row r="52" ht="19.5" customHeight="1">
      <c r="A52" s="12"/>
      <c r="C52" s="12"/>
      <c r="D52" s="13"/>
      <c r="F52" s="14"/>
      <c r="G52" s="14"/>
      <c r="H52" s="14"/>
      <c r="I52" s="14"/>
      <c r="J52" s="14"/>
      <c r="K52" s="12"/>
    </row>
    <row r="53" ht="19.5" customHeight="1">
      <c r="A53" s="12"/>
      <c r="C53" s="12"/>
      <c r="D53" s="13"/>
      <c r="F53" s="14"/>
      <c r="G53" s="14"/>
      <c r="H53" s="14"/>
      <c r="I53" s="14"/>
      <c r="J53" s="14"/>
      <c r="K53" s="12"/>
    </row>
    <row r="54" ht="19.5" customHeight="1">
      <c r="A54" s="12"/>
      <c r="C54" s="12"/>
      <c r="D54" s="13"/>
      <c r="F54" s="14"/>
      <c r="G54" s="14"/>
      <c r="H54" s="14"/>
      <c r="I54" s="14"/>
      <c r="J54" s="14"/>
      <c r="K54" s="12"/>
    </row>
    <row r="55" ht="19.5" customHeight="1">
      <c r="A55" s="12"/>
      <c r="C55" s="12"/>
      <c r="D55" s="13"/>
      <c r="F55" s="14"/>
      <c r="G55" s="14"/>
      <c r="H55" s="14"/>
      <c r="I55" s="14"/>
      <c r="J55" s="14"/>
      <c r="K55" s="12"/>
    </row>
    <row r="56" ht="19.5" customHeight="1">
      <c r="A56" s="12"/>
      <c r="C56" s="12"/>
      <c r="D56" s="13"/>
      <c r="F56" s="14"/>
      <c r="G56" s="14"/>
      <c r="H56" s="14"/>
      <c r="I56" s="14"/>
      <c r="J56" s="14"/>
      <c r="K56" s="12"/>
    </row>
    <row r="57" ht="19.5" customHeight="1">
      <c r="A57" s="12"/>
      <c r="C57" s="12"/>
      <c r="D57" s="13"/>
      <c r="F57" s="14"/>
      <c r="G57" s="14"/>
      <c r="H57" s="14"/>
      <c r="I57" s="14"/>
      <c r="J57" s="14"/>
      <c r="K57" s="12"/>
    </row>
    <row r="58" ht="19.5" customHeight="1">
      <c r="A58" s="12"/>
      <c r="C58" s="12"/>
      <c r="D58" s="13"/>
      <c r="F58" s="14"/>
      <c r="G58" s="14"/>
      <c r="H58" s="14"/>
      <c r="I58" s="14"/>
      <c r="J58" s="14"/>
      <c r="K58" s="12"/>
    </row>
    <row r="59" ht="19.5" customHeight="1">
      <c r="A59" s="12"/>
      <c r="C59" s="12"/>
      <c r="D59" s="13"/>
      <c r="F59" s="14"/>
      <c r="G59" s="14"/>
      <c r="H59" s="14"/>
      <c r="I59" s="14"/>
      <c r="J59" s="14"/>
      <c r="K59" s="12"/>
    </row>
    <row r="60" ht="19.5" customHeight="1">
      <c r="A60" s="12"/>
      <c r="C60" s="12"/>
      <c r="D60" s="13"/>
      <c r="F60" s="14"/>
      <c r="G60" s="14"/>
      <c r="H60" s="14"/>
      <c r="I60" s="14"/>
      <c r="J60" s="14"/>
      <c r="K60" s="12"/>
    </row>
    <row r="61" ht="19.5" customHeight="1">
      <c r="A61" s="12"/>
      <c r="C61" s="12"/>
      <c r="D61" s="13"/>
      <c r="F61" s="14"/>
      <c r="G61" s="14"/>
      <c r="H61" s="14"/>
      <c r="I61" s="14"/>
      <c r="J61" s="14"/>
      <c r="K61" s="12"/>
    </row>
    <row r="62" ht="19.5" customHeight="1">
      <c r="A62" s="12"/>
      <c r="C62" s="12"/>
      <c r="D62" s="13"/>
      <c r="F62" s="14"/>
      <c r="G62" s="14"/>
      <c r="H62" s="14"/>
      <c r="I62" s="14"/>
      <c r="J62" s="14"/>
      <c r="K62" s="12"/>
    </row>
    <row r="63" ht="19.5" customHeight="1">
      <c r="A63" s="12"/>
      <c r="C63" s="12"/>
      <c r="D63" s="13"/>
      <c r="F63" s="14"/>
      <c r="G63" s="14"/>
      <c r="H63" s="14"/>
      <c r="I63" s="14"/>
      <c r="J63" s="14"/>
      <c r="K63" s="12"/>
    </row>
    <row r="64" ht="19.5" customHeight="1">
      <c r="A64" s="12"/>
      <c r="C64" s="12"/>
      <c r="D64" s="13"/>
      <c r="F64" s="14"/>
      <c r="G64" s="14"/>
      <c r="H64" s="14"/>
      <c r="I64" s="14"/>
      <c r="J64" s="14"/>
      <c r="K64" s="12"/>
    </row>
    <row r="65" ht="19.5" customHeight="1">
      <c r="A65" s="12"/>
      <c r="C65" s="12"/>
      <c r="D65" s="13"/>
      <c r="F65" s="14"/>
      <c r="G65" s="14"/>
      <c r="H65" s="14"/>
      <c r="I65" s="14"/>
      <c r="J65" s="14"/>
      <c r="K65" s="12"/>
    </row>
    <row r="66" ht="19.5" customHeight="1">
      <c r="A66" s="12"/>
      <c r="C66" s="12"/>
      <c r="D66" s="13"/>
      <c r="F66" s="14"/>
      <c r="G66" s="14"/>
      <c r="H66" s="14"/>
      <c r="I66" s="14"/>
      <c r="J66" s="14"/>
      <c r="K66" s="12"/>
    </row>
    <row r="67" ht="19.5" customHeight="1">
      <c r="A67" s="12"/>
      <c r="C67" s="12"/>
      <c r="D67" s="13"/>
      <c r="F67" s="14"/>
      <c r="G67" s="14"/>
      <c r="H67" s="14"/>
      <c r="I67" s="14"/>
      <c r="J67" s="14"/>
      <c r="K67" s="12"/>
    </row>
    <row r="68" ht="19.5" customHeight="1">
      <c r="A68" s="12"/>
      <c r="C68" s="12"/>
      <c r="D68" s="13"/>
      <c r="F68" s="14"/>
      <c r="G68" s="14"/>
      <c r="H68" s="14"/>
      <c r="I68" s="14"/>
      <c r="J68" s="14"/>
      <c r="K68" s="12"/>
    </row>
    <row r="69" ht="19.5" customHeight="1">
      <c r="A69" s="12"/>
      <c r="C69" s="12"/>
      <c r="D69" s="13"/>
      <c r="F69" s="14"/>
      <c r="G69" s="14"/>
      <c r="H69" s="14"/>
      <c r="I69" s="14"/>
      <c r="J69" s="14"/>
      <c r="K69" s="12"/>
    </row>
    <row r="70" ht="19.5" customHeight="1">
      <c r="A70" s="12"/>
      <c r="C70" s="12"/>
      <c r="D70" s="13"/>
      <c r="F70" s="14"/>
      <c r="G70" s="14"/>
      <c r="H70" s="14"/>
      <c r="I70" s="14"/>
      <c r="J70" s="14"/>
      <c r="K70" s="12"/>
    </row>
    <row r="71" ht="19.5" customHeight="1">
      <c r="A71" s="12"/>
      <c r="C71" s="12"/>
      <c r="D71" s="13"/>
      <c r="F71" s="14"/>
      <c r="G71" s="14"/>
      <c r="H71" s="14"/>
      <c r="I71" s="14"/>
      <c r="J71" s="14"/>
      <c r="K71" s="12"/>
    </row>
    <row r="72" ht="19.5" customHeight="1">
      <c r="A72" s="12"/>
      <c r="C72" s="12"/>
      <c r="D72" s="13"/>
      <c r="F72" s="14"/>
      <c r="G72" s="14"/>
      <c r="H72" s="14"/>
      <c r="I72" s="14"/>
      <c r="J72" s="14"/>
      <c r="K72" s="12"/>
    </row>
    <row r="73" ht="19.5" customHeight="1">
      <c r="A73" s="12"/>
      <c r="C73" s="12"/>
      <c r="D73" s="13"/>
      <c r="F73" s="14"/>
      <c r="G73" s="14"/>
      <c r="H73" s="14"/>
      <c r="I73" s="14"/>
      <c r="J73" s="14"/>
      <c r="K73" s="12"/>
    </row>
    <row r="74" ht="19.5" customHeight="1">
      <c r="A74" s="12"/>
      <c r="C74" s="12"/>
      <c r="D74" s="13"/>
      <c r="F74" s="14"/>
      <c r="G74" s="14"/>
      <c r="H74" s="14"/>
      <c r="I74" s="14"/>
      <c r="J74" s="14"/>
      <c r="K74" s="12"/>
    </row>
    <row r="75" ht="19.5" customHeight="1">
      <c r="A75" s="12"/>
      <c r="C75" s="12"/>
      <c r="D75" s="13"/>
      <c r="F75" s="14"/>
      <c r="G75" s="14"/>
      <c r="H75" s="14"/>
      <c r="I75" s="14"/>
      <c r="J75" s="14"/>
      <c r="K75" s="12"/>
    </row>
    <row r="76" ht="19.5" customHeight="1">
      <c r="A76" s="12"/>
      <c r="C76" s="12"/>
      <c r="D76" s="13"/>
      <c r="F76" s="14"/>
      <c r="G76" s="14"/>
      <c r="H76" s="14"/>
      <c r="I76" s="14"/>
      <c r="J76" s="14"/>
      <c r="K76" s="12"/>
    </row>
    <row r="77" ht="19.5" customHeight="1">
      <c r="A77" s="12"/>
      <c r="C77" s="12"/>
      <c r="D77" s="13"/>
      <c r="F77" s="14"/>
      <c r="G77" s="14"/>
      <c r="H77" s="14"/>
      <c r="I77" s="14"/>
      <c r="J77" s="14"/>
      <c r="K77" s="12"/>
    </row>
    <row r="78" ht="19.5" customHeight="1">
      <c r="A78" s="12"/>
      <c r="C78" s="12"/>
      <c r="D78" s="13"/>
      <c r="F78" s="14"/>
      <c r="G78" s="14"/>
      <c r="H78" s="14"/>
      <c r="I78" s="14"/>
      <c r="J78" s="14"/>
      <c r="K78" s="12"/>
    </row>
    <row r="79" ht="19.5" customHeight="1">
      <c r="A79" s="12"/>
      <c r="C79" s="12"/>
      <c r="D79" s="13"/>
      <c r="F79" s="14"/>
      <c r="G79" s="14"/>
      <c r="H79" s="14"/>
      <c r="I79" s="14"/>
      <c r="J79" s="14"/>
      <c r="K79" s="12"/>
    </row>
    <row r="80" ht="19.5" customHeight="1">
      <c r="A80" s="12"/>
      <c r="C80" s="12"/>
      <c r="D80" s="13"/>
      <c r="F80" s="14"/>
      <c r="G80" s="14"/>
      <c r="H80" s="14"/>
      <c r="I80" s="14"/>
      <c r="J80" s="14"/>
      <c r="K80" s="12"/>
    </row>
    <row r="81" ht="19.5" customHeight="1">
      <c r="A81" s="12"/>
      <c r="C81" s="12"/>
      <c r="D81" s="13"/>
      <c r="F81" s="14"/>
      <c r="G81" s="14"/>
      <c r="H81" s="14"/>
      <c r="I81" s="14"/>
      <c r="J81" s="14"/>
      <c r="K81" s="12"/>
    </row>
    <row r="82" ht="19.5" customHeight="1">
      <c r="A82" s="12"/>
      <c r="C82" s="12"/>
      <c r="D82" s="13"/>
      <c r="F82" s="14"/>
      <c r="G82" s="14"/>
      <c r="H82" s="14"/>
      <c r="I82" s="14"/>
      <c r="J82" s="14"/>
      <c r="K82" s="12"/>
    </row>
    <row r="83" ht="19.5" customHeight="1">
      <c r="A83" s="12"/>
      <c r="C83" s="12"/>
      <c r="D83" s="13"/>
      <c r="F83" s="14"/>
      <c r="G83" s="14"/>
      <c r="H83" s="14"/>
      <c r="I83" s="14"/>
      <c r="J83" s="14"/>
      <c r="K83" s="12"/>
    </row>
    <row r="84" ht="19.5" customHeight="1">
      <c r="A84" s="12"/>
      <c r="C84" s="12"/>
      <c r="D84" s="13"/>
      <c r="F84" s="14"/>
      <c r="G84" s="14"/>
      <c r="H84" s="14"/>
      <c r="I84" s="14"/>
      <c r="J84" s="14"/>
      <c r="K84" s="12"/>
    </row>
    <row r="85" ht="19.5" customHeight="1">
      <c r="A85" s="12"/>
      <c r="C85" s="12"/>
      <c r="D85" s="13"/>
      <c r="F85" s="14"/>
      <c r="G85" s="14"/>
      <c r="H85" s="14"/>
      <c r="I85" s="14"/>
      <c r="J85" s="14"/>
      <c r="K85" s="12"/>
    </row>
    <row r="86" ht="19.5" customHeight="1">
      <c r="A86" s="12"/>
      <c r="C86" s="12"/>
      <c r="D86" s="13"/>
      <c r="F86" s="14"/>
      <c r="G86" s="14"/>
      <c r="H86" s="14"/>
      <c r="I86" s="14"/>
      <c r="J86" s="14"/>
      <c r="K86" s="12"/>
    </row>
    <row r="87" ht="19.5" customHeight="1">
      <c r="A87" s="12"/>
      <c r="C87" s="12"/>
      <c r="D87" s="13"/>
      <c r="F87" s="14"/>
      <c r="G87" s="14"/>
      <c r="H87" s="14"/>
      <c r="I87" s="14"/>
      <c r="J87" s="14"/>
      <c r="K87" s="12"/>
    </row>
    <row r="88" ht="19.5" customHeight="1">
      <c r="A88" s="12"/>
      <c r="C88" s="12"/>
      <c r="D88" s="13"/>
      <c r="F88" s="14"/>
      <c r="G88" s="14"/>
      <c r="H88" s="14"/>
      <c r="I88" s="14"/>
      <c r="J88" s="14"/>
      <c r="K88" s="12"/>
    </row>
    <row r="89" ht="19.5" customHeight="1">
      <c r="A89" s="12"/>
      <c r="C89" s="12"/>
      <c r="D89" s="13"/>
      <c r="F89" s="14"/>
      <c r="G89" s="14"/>
      <c r="H89" s="14"/>
      <c r="I89" s="14"/>
      <c r="J89" s="14"/>
      <c r="K89" s="12"/>
    </row>
    <row r="90" ht="19.5" customHeight="1">
      <c r="A90" s="12"/>
      <c r="C90" s="12"/>
      <c r="D90" s="13"/>
      <c r="F90" s="14"/>
      <c r="G90" s="14"/>
      <c r="H90" s="14"/>
      <c r="I90" s="14"/>
      <c r="J90" s="14"/>
      <c r="K90" s="12"/>
    </row>
    <row r="91" ht="19.5" customHeight="1">
      <c r="A91" s="12"/>
      <c r="C91" s="12"/>
      <c r="D91" s="13"/>
      <c r="F91" s="14"/>
      <c r="G91" s="14"/>
      <c r="H91" s="14"/>
      <c r="I91" s="14"/>
      <c r="J91" s="14"/>
      <c r="K91" s="12"/>
    </row>
    <row r="92" ht="19.5" customHeight="1">
      <c r="A92" s="12"/>
      <c r="C92" s="12"/>
      <c r="D92" s="13"/>
      <c r="F92" s="14"/>
      <c r="G92" s="14"/>
      <c r="H92" s="14"/>
      <c r="I92" s="14"/>
      <c r="J92" s="14"/>
      <c r="K92" s="12"/>
    </row>
    <row r="93" ht="19.5" customHeight="1">
      <c r="A93" s="12"/>
      <c r="C93" s="12"/>
      <c r="D93" s="13"/>
      <c r="F93" s="14"/>
      <c r="G93" s="14"/>
      <c r="H93" s="14"/>
      <c r="I93" s="14"/>
      <c r="J93" s="14"/>
      <c r="K93" s="12"/>
    </row>
    <row r="94" ht="19.5" customHeight="1">
      <c r="A94" s="12"/>
      <c r="C94" s="12"/>
      <c r="D94" s="13"/>
      <c r="F94" s="14"/>
      <c r="G94" s="14"/>
      <c r="H94" s="14"/>
      <c r="I94" s="14"/>
      <c r="J94" s="14"/>
      <c r="K94" s="12"/>
    </row>
    <row r="95" ht="19.5" customHeight="1">
      <c r="A95" s="12"/>
      <c r="C95" s="12"/>
      <c r="D95" s="13"/>
      <c r="F95" s="14"/>
      <c r="G95" s="14"/>
      <c r="H95" s="14"/>
      <c r="I95" s="14"/>
      <c r="J95" s="14"/>
      <c r="K95" s="12"/>
    </row>
    <row r="96" ht="19.5" customHeight="1">
      <c r="A96" s="12"/>
      <c r="C96" s="12"/>
      <c r="D96" s="13"/>
      <c r="F96" s="14"/>
      <c r="G96" s="14"/>
      <c r="H96" s="14"/>
      <c r="I96" s="14"/>
      <c r="J96" s="14"/>
      <c r="K96" s="12"/>
    </row>
    <row r="97" ht="19.5" customHeight="1">
      <c r="A97" s="12"/>
      <c r="C97" s="12"/>
      <c r="D97" s="13"/>
      <c r="F97" s="14"/>
      <c r="G97" s="14"/>
      <c r="H97" s="14"/>
      <c r="I97" s="14"/>
      <c r="J97" s="14"/>
      <c r="K97" s="12"/>
    </row>
    <row r="98" ht="19.5" customHeight="1">
      <c r="A98" s="12"/>
      <c r="C98" s="12"/>
      <c r="D98" s="13"/>
      <c r="F98" s="14"/>
      <c r="G98" s="14"/>
      <c r="H98" s="14"/>
      <c r="I98" s="14"/>
      <c r="J98" s="14"/>
      <c r="K98" s="12"/>
    </row>
    <row r="99" ht="19.5" customHeight="1">
      <c r="A99" s="12"/>
      <c r="C99" s="12"/>
      <c r="D99" s="13"/>
      <c r="F99" s="14"/>
      <c r="G99" s="14"/>
      <c r="H99" s="14"/>
      <c r="I99" s="14"/>
      <c r="J99" s="14"/>
      <c r="K99" s="12"/>
    </row>
    <row r="100" ht="19.5" customHeight="1">
      <c r="A100" s="12"/>
      <c r="C100" s="12"/>
      <c r="D100" s="13"/>
      <c r="F100" s="14"/>
      <c r="G100" s="14"/>
      <c r="H100" s="14"/>
      <c r="I100" s="14"/>
      <c r="J100" s="14"/>
      <c r="K100" s="12"/>
    </row>
    <row r="101" ht="19.5" customHeight="1">
      <c r="A101" s="12"/>
      <c r="C101" s="12"/>
      <c r="D101" s="13"/>
      <c r="F101" s="14"/>
      <c r="G101" s="14"/>
      <c r="H101" s="14"/>
      <c r="I101" s="14"/>
      <c r="J101" s="14"/>
      <c r="K101" s="12"/>
    </row>
    <row r="102" ht="19.5" customHeight="1">
      <c r="A102" s="12"/>
      <c r="C102" s="12"/>
      <c r="D102" s="13"/>
      <c r="F102" s="14"/>
      <c r="G102" s="14"/>
      <c r="H102" s="14"/>
      <c r="I102" s="14"/>
      <c r="J102" s="14"/>
      <c r="K102" s="12"/>
    </row>
    <row r="103" ht="19.5" customHeight="1">
      <c r="A103" s="12"/>
      <c r="C103" s="12"/>
      <c r="D103" s="13"/>
      <c r="F103" s="14"/>
      <c r="G103" s="14"/>
      <c r="H103" s="14"/>
      <c r="I103" s="14"/>
      <c r="J103" s="14"/>
      <c r="K103" s="12"/>
    </row>
    <row r="104" ht="19.5" customHeight="1">
      <c r="A104" s="12"/>
      <c r="C104" s="12"/>
      <c r="D104" s="13"/>
      <c r="F104" s="14"/>
      <c r="G104" s="14"/>
      <c r="H104" s="14"/>
      <c r="I104" s="14"/>
      <c r="J104" s="14"/>
      <c r="K104" s="12"/>
    </row>
    <row r="105" ht="19.5" customHeight="1">
      <c r="A105" s="12"/>
      <c r="C105" s="12"/>
      <c r="D105" s="13"/>
      <c r="F105" s="14"/>
      <c r="G105" s="14"/>
      <c r="H105" s="14"/>
      <c r="I105" s="14"/>
      <c r="J105" s="14"/>
      <c r="K105" s="12"/>
    </row>
    <row r="106" ht="19.5" customHeight="1">
      <c r="A106" s="12"/>
      <c r="C106" s="12"/>
      <c r="D106" s="13"/>
      <c r="F106" s="14"/>
      <c r="G106" s="14"/>
      <c r="H106" s="14"/>
      <c r="I106" s="14"/>
      <c r="J106" s="14"/>
      <c r="K106" s="12"/>
    </row>
    <row r="107" ht="19.5" customHeight="1">
      <c r="A107" s="12"/>
      <c r="C107" s="12"/>
      <c r="D107" s="13"/>
      <c r="F107" s="14"/>
      <c r="G107" s="14"/>
      <c r="H107" s="14"/>
      <c r="I107" s="14"/>
      <c r="J107" s="14"/>
      <c r="K107" s="12"/>
    </row>
    <row r="108" ht="19.5" customHeight="1">
      <c r="A108" s="12"/>
      <c r="C108" s="12"/>
      <c r="D108" s="13"/>
      <c r="F108" s="14"/>
      <c r="G108" s="14"/>
      <c r="H108" s="14"/>
      <c r="I108" s="14"/>
      <c r="J108" s="14"/>
      <c r="K108" s="12"/>
    </row>
    <row r="109" ht="19.5" customHeight="1">
      <c r="A109" s="12"/>
      <c r="C109" s="12"/>
      <c r="D109" s="13"/>
      <c r="F109" s="14"/>
      <c r="G109" s="14"/>
      <c r="H109" s="14"/>
      <c r="I109" s="14"/>
      <c r="J109" s="14"/>
      <c r="K109" s="12"/>
    </row>
    <row r="110" ht="19.5" customHeight="1">
      <c r="A110" s="12"/>
      <c r="C110" s="12"/>
      <c r="D110" s="13"/>
      <c r="F110" s="14"/>
      <c r="G110" s="14"/>
      <c r="H110" s="14"/>
      <c r="I110" s="14"/>
      <c r="J110" s="14"/>
      <c r="K110" s="12"/>
    </row>
    <row r="111" ht="19.5" customHeight="1">
      <c r="A111" s="12"/>
      <c r="C111" s="12"/>
      <c r="D111" s="13"/>
      <c r="F111" s="14"/>
      <c r="G111" s="14"/>
      <c r="H111" s="14"/>
      <c r="I111" s="14"/>
      <c r="J111" s="14"/>
      <c r="K111" s="12"/>
    </row>
    <row r="112" ht="19.5" customHeight="1">
      <c r="A112" s="12"/>
      <c r="C112" s="12"/>
      <c r="D112" s="13"/>
      <c r="F112" s="14"/>
      <c r="G112" s="14"/>
      <c r="H112" s="14"/>
      <c r="I112" s="14"/>
      <c r="J112" s="14"/>
      <c r="K112" s="12"/>
    </row>
    <row r="113" ht="19.5" customHeight="1">
      <c r="A113" s="12"/>
      <c r="C113" s="12"/>
      <c r="D113" s="13"/>
      <c r="F113" s="14"/>
      <c r="G113" s="14"/>
      <c r="H113" s="14"/>
      <c r="I113" s="14"/>
      <c r="J113" s="14"/>
      <c r="K113" s="12"/>
    </row>
    <row r="114" ht="19.5" customHeight="1">
      <c r="A114" s="12"/>
      <c r="C114" s="12"/>
      <c r="D114" s="13"/>
      <c r="F114" s="14"/>
      <c r="G114" s="14"/>
      <c r="H114" s="14"/>
      <c r="I114" s="14"/>
      <c r="J114" s="14"/>
      <c r="K114" s="12"/>
    </row>
    <row r="115" ht="19.5" customHeight="1">
      <c r="A115" s="12"/>
      <c r="C115" s="12"/>
      <c r="D115" s="13"/>
      <c r="F115" s="14"/>
      <c r="G115" s="14"/>
      <c r="H115" s="14"/>
      <c r="I115" s="14"/>
      <c r="J115" s="14"/>
      <c r="K115" s="12"/>
    </row>
    <row r="116" ht="19.5" customHeight="1">
      <c r="A116" s="12"/>
      <c r="C116" s="12"/>
      <c r="D116" s="13"/>
      <c r="F116" s="14"/>
      <c r="G116" s="14"/>
      <c r="H116" s="14"/>
      <c r="I116" s="14"/>
      <c r="J116" s="14"/>
      <c r="K116" s="12"/>
    </row>
    <row r="117" ht="19.5" customHeight="1">
      <c r="A117" s="12"/>
      <c r="C117" s="12"/>
      <c r="D117" s="13"/>
      <c r="F117" s="14"/>
      <c r="G117" s="14"/>
      <c r="H117" s="14"/>
      <c r="I117" s="14"/>
      <c r="J117" s="14"/>
      <c r="K117" s="12"/>
    </row>
    <row r="118" ht="19.5" customHeight="1">
      <c r="A118" s="12"/>
      <c r="C118" s="12"/>
      <c r="D118" s="13"/>
      <c r="F118" s="14"/>
      <c r="G118" s="14"/>
      <c r="H118" s="14"/>
      <c r="I118" s="14"/>
      <c r="J118" s="14"/>
      <c r="K118" s="12"/>
    </row>
    <row r="119" ht="19.5" customHeight="1">
      <c r="A119" s="12"/>
      <c r="C119" s="12"/>
      <c r="D119" s="13"/>
      <c r="F119" s="14"/>
      <c r="G119" s="14"/>
      <c r="H119" s="14"/>
      <c r="I119" s="14"/>
      <c r="J119" s="14"/>
      <c r="K119" s="12"/>
    </row>
    <row r="120" ht="19.5" customHeight="1">
      <c r="A120" s="12"/>
      <c r="C120" s="12"/>
      <c r="D120" s="13"/>
      <c r="F120" s="14"/>
      <c r="G120" s="14"/>
      <c r="H120" s="14"/>
      <c r="I120" s="14"/>
      <c r="J120" s="14"/>
      <c r="K120" s="12"/>
    </row>
    <row r="121" ht="19.5" customHeight="1">
      <c r="A121" s="12"/>
      <c r="C121" s="12"/>
      <c r="D121" s="13"/>
      <c r="F121" s="14"/>
      <c r="G121" s="14"/>
      <c r="H121" s="14"/>
      <c r="I121" s="14"/>
      <c r="J121" s="14"/>
      <c r="K121" s="12"/>
    </row>
    <row r="122" ht="19.5" customHeight="1">
      <c r="A122" s="12"/>
      <c r="C122" s="12"/>
      <c r="D122" s="13"/>
      <c r="F122" s="14"/>
      <c r="G122" s="14"/>
      <c r="H122" s="14"/>
      <c r="I122" s="14"/>
      <c r="J122" s="14"/>
      <c r="K122" s="12"/>
    </row>
    <row r="123" ht="19.5" customHeight="1">
      <c r="A123" s="12"/>
      <c r="C123" s="12"/>
      <c r="D123" s="13"/>
      <c r="F123" s="14"/>
      <c r="G123" s="14"/>
      <c r="H123" s="14"/>
      <c r="I123" s="14"/>
      <c r="J123" s="14"/>
      <c r="K123" s="12"/>
    </row>
    <row r="124" ht="19.5" customHeight="1">
      <c r="A124" s="12"/>
      <c r="C124" s="12"/>
      <c r="D124" s="13"/>
      <c r="F124" s="14"/>
      <c r="G124" s="14"/>
      <c r="H124" s="14"/>
      <c r="I124" s="14"/>
      <c r="J124" s="14"/>
      <c r="K124" s="12"/>
    </row>
    <row r="125" ht="19.5" customHeight="1">
      <c r="A125" s="12"/>
      <c r="C125" s="12"/>
      <c r="D125" s="13"/>
      <c r="F125" s="14"/>
      <c r="G125" s="14"/>
      <c r="H125" s="14"/>
      <c r="I125" s="14"/>
      <c r="J125" s="14"/>
      <c r="K125" s="12"/>
    </row>
    <row r="126" ht="19.5" customHeight="1">
      <c r="A126" s="12"/>
      <c r="C126" s="12"/>
      <c r="D126" s="13"/>
      <c r="F126" s="14"/>
      <c r="G126" s="14"/>
      <c r="H126" s="14"/>
      <c r="I126" s="14"/>
      <c r="J126" s="14"/>
      <c r="K126" s="12"/>
    </row>
    <row r="127" ht="19.5" customHeight="1">
      <c r="A127" s="12"/>
      <c r="C127" s="12"/>
      <c r="D127" s="13"/>
      <c r="F127" s="14"/>
      <c r="G127" s="14"/>
      <c r="H127" s="14"/>
      <c r="I127" s="14"/>
      <c r="J127" s="14"/>
      <c r="K127" s="12"/>
    </row>
    <row r="128" ht="19.5" customHeight="1">
      <c r="A128" s="12"/>
      <c r="C128" s="12"/>
      <c r="D128" s="13"/>
      <c r="F128" s="14"/>
      <c r="G128" s="14"/>
      <c r="H128" s="14"/>
      <c r="I128" s="14"/>
      <c r="J128" s="14"/>
      <c r="K128" s="12"/>
    </row>
    <row r="129" ht="19.5" customHeight="1">
      <c r="A129" s="12"/>
      <c r="C129" s="12"/>
      <c r="D129" s="13"/>
      <c r="F129" s="14"/>
      <c r="G129" s="14"/>
      <c r="H129" s="14"/>
      <c r="I129" s="14"/>
      <c r="J129" s="14"/>
      <c r="K129" s="12"/>
    </row>
    <row r="130" ht="19.5" customHeight="1">
      <c r="A130" s="12"/>
      <c r="C130" s="12"/>
      <c r="D130" s="13"/>
      <c r="F130" s="14"/>
      <c r="G130" s="14"/>
      <c r="H130" s="14"/>
      <c r="I130" s="14"/>
      <c r="J130" s="14"/>
      <c r="K130" s="12"/>
    </row>
    <row r="131" ht="19.5" customHeight="1">
      <c r="A131" s="12"/>
      <c r="C131" s="12"/>
      <c r="D131" s="13"/>
      <c r="F131" s="14"/>
      <c r="G131" s="14"/>
      <c r="H131" s="14"/>
      <c r="I131" s="14"/>
      <c r="J131" s="14"/>
      <c r="K131" s="12"/>
    </row>
    <row r="132" ht="19.5" customHeight="1">
      <c r="A132" s="12"/>
      <c r="C132" s="12"/>
      <c r="D132" s="13"/>
      <c r="F132" s="14"/>
      <c r="G132" s="14"/>
      <c r="H132" s="14"/>
      <c r="I132" s="14"/>
      <c r="J132" s="14"/>
      <c r="K132" s="12"/>
    </row>
    <row r="133" ht="19.5" customHeight="1">
      <c r="A133" s="12"/>
      <c r="C133" s="12"/>
      <c r="D133" s="13"/>
      <c r="F133" s="14"/>
      <c r="G133" s="14"/>
      <c r="H133" s="14"/>
      <c r="I133" s="14"/>
      <c r="J133" s="14"/>
      <c r="K133" s="12"/>
    </row>
    <row r="134" ht="19.5" customHeight="1">
      <c r="A134" s="12"/>
      <c r="C134" s="12"/>
      <c r="D134" s="13"/>
      <c r="F134" s="14"/>
      <c r="G134" s="14"/>
      <c r="H134" s="14"/>
      <c r="I134" s="14"/>
      <c r="J134" s="14"/>
      <c r="K134" s="12"/>
    </row>
    <row r="135" ht="19.5" customHeight="1">
      <c r="A135" s="12"/>
      <c r="C135" s="12"/>
      <c r="D135" s="13"/>
      <c r="F135" s="14"/>
      <c r="G135" s="14"/>
      <c r="H135" s="14"/>
      <c r="I135" s="14"/>
      <c r="J135" s="14"/>
      <c r="K135" s="12"/>
    </row>
    <row r="136" ht="19.5" customHeight="1">
      <c r="A136" s="12"/>
      <c r="C136" s="12"/>
      <c r="D136" s="13"/>
      <c r="F136" s="14"/>
      <c r="G136" s="14"/>
      <c r="H136" s="14"/>
      <c r="I136" s="14"/>
      <c r="J136" s="14"/>
      <c r="K136" s="12"/>
    </row>
    <row r="137" ht="19.5" customHeight="1">
      <c r="A137" s="12"/>
      <c r="C137" s="12"/>
      <c r="D137" s="13"/>
      <c r="F137" s="14"/>
      <c r="G137" s="14"/>
      <c r="H137" s="14"/>
      <c r="I137" s="14"/>
      <c r="J137" s="14"/>
      <c r="K137" s="12"/>
    </row>
    <row r="138" ht="19.5" customHeight="1">
      <c r="A138" s="12"/>
      <c r="C138" s="12"/>
      <c r="D138" s="13"/>
      <c r="F138" s="14"/>
      <c r="G138" s="14"/>
      <c r="H138" s="14"/>
      <c r="I138" s="14"/>
      <c r="J138" s="14"/>
      <c r="K138" s="12"/>
    </row>
    <row r="139" ht="19.5" customHeight="1">
      <c r="A139" s="12"/>
      <c r="C139" s="12"/>
      <c r="D139" s="13"/>
      <c r="F139" s="14"/>
      <c r="G139" s="14"/>
      <c r="H139" s="14"/>
      <c r="I139" s="14"/>
      <c r="J139" s="14"/>
      <c r="K139" s="12"/>
    </row>
    <row r="140" ht="19.5" customHeight="1">
      <c r="A140" s="12"/>
      <c r="C140" s="12"/>
      <c r="D140" s="13"/>
      <c r="F140" s="14"/>
      <c r="G140" s="14"/>
      <c r="H140" s="14"/>
      <c r="I140" s="14"/>
      <c r="J140" s="14"/>
      <c r="K140" s="12"/>
    </row>
    <row r="141" ht="19.5" customHeight="1">
      <c r="A141" s="12"/>
      <c r="C141" s="12"/>
      <c r="D141" s="13"/>
      <c r="F141" s="14"/>
      <c r="G141" s="14"/>
      <c r="H141" s="14"/>
      <c r="I141" s="14"/>
      <c r="J141" s="14"/>
      <c r="K141" s="12"/>
    </row>
    <row r="142" ht="19.5" customHeight="1">
      <c r="A142" s="12"/>
      <c r="C142" s="12"/>
      <c r="D142" s="13"/>
      <c r="F142" s="14"/>
      <c r="G142" s="14"/>
      <c r="H142" s="14"/>
      <c r="I142" s="14"/>
      <c r="J142" s="14"/>
      <c r="K142" s="12"/>
    </row>
    <row r="143" ht="19.5" customHeight="1">
      <c r="A143" s="12"/>
      <c r="C143" s="12"/>
      <c r="D143" s="13"/>
      <c r="F143" s="14"/>
      <c r="G143" s="14"/>
      <c r="H143" s="14"/>
      <c r="I143" s="14"/>
      <c r="J143" s="14"/>
      <c r="K143" s="12"/>
    </row>
    <row r="144" ht="19.5" customHeight="1">
      <c r="A144" s="12"/>
      <c r="C144" s="12"/>
      <c r="D144" s="13"/>
      <c r="F144" s="14"/>
      <c r="G144" s="14"/>
      <c r="H144" s="14"/>
      <c r="I144" s="14"/>
      <c r="J144" s="14"/>
      <c r="K144" s="12"/>
    </row>
    <row r="145" ht="19.5" customHeight="1">
      <c r="A145" s="12"/>
      <c r="C145" s="12"/>
      <c r="D145" s="13"/>
      <c r="F145" s="14"/>
      <c r="G145" s="14"/>
      <c r="H145" s="14"/>
      <c r="I145" s="14"/>
      <c r="J145" s="14"/>
      <c r="K145" s="12"/>
    </row>
    <row r="146" ht="19.5" customHeight="1">
      <c r="A146" s="12"/>
      <c r="C146" s="12"/>
      <c r="D146" s="13"/>
      <c r="F146" s="14"/>
      <c r="G146" s="14"/>
      <c r="H146" s="14"/>
      <c r="I146" s="14"/>
      <c r="J146" s="14"/>
      <c r="K146" s="12"/>
    </row>
    <row r="147" ht="19.5" customHeight="1">
      <c r="A147" s="12"/>
      <c r="C147" s="12"/>
      <c r="D147" s="13"/>
      <c r="F147" s="14"/>
      <c r="G147" s="14"/>
      <c r="H147" s="14"/>
      <c r="I147" s="14"/>
      <c r="J147" s="14"/>
      <c r="K147" s="12"/>
    </row>
    <row r="148" ht="19.5" customHeight="1">
      <c r="A148" s="12"/>
      <c r="C148" s="12"/>
      <c r="D148" s="13"/>
      <c r="F148" s="14"/>
      <c r="G148" s="14"/>
      <c r="H148" s="14"/>
      <c r="I148" s="14"/>
      <c r="J148" s="14"/>
      <c r="K148" s="12"/>
    </row>
    <row r="149" ht="19.5" customHeight="1">
      <c r="A149" s="12"/>
      <c r="C149" s="12"/>
      <c r="D149" s="13"/>
      <c r="F149" s="14"/>
      <c r="G149" s="14"/>
      <c r="H149" s="14"/>
      <c r="I149" s="14"/>
      <c r="J149" s="14"/>
      <c r="K149" s="12"/>
    </row>
    <row r="150" ht="19.5" customHeight="1">
      <c r="A150" s="12"/>
      <c r="C150" s="12"/>
      <c r="D150" s="13"/>
      <c r="F150" s="14"/>
      <c r="G150" s="14"/>
      <c r="H150" s="14"/>
      <c r="I150" s="14"/>
      <c r="J150" s="14"/>
      <c r="K150" s="12"/>
    </row>
    <row r="151" ht="19.5" customHeight="1">
      <c r="A151" s="12"/>
      <c r="C151" s="12"/>
      <c r="D151" s="13"/>
      <c r="F151" s="14"/>
      <c r="G151" s="14"/>
      <c r="H151" s="14"/>
      <c r="I151" s="14"/>
      <c r="J151" s="14"/>
      <c r="K151" s="12"/>
    </row>
    <row r="152" ht="19.5" customHeight="1">
      <c r="A152" s="12"/>
      <c r="C152" s="12"/>
      <c r="D152" s="13"/>
      <c r="F152" s="14"/>
      <c r="G152" s="14"/>
      <c r="H152" s="14"/>
      <c r="I152" s="14"/>
      <c r="J152" s="14"/>
      <c r="K152" s="12"/>
    </row>
    <row r="153" ht="19.5" customHeight="1">
      <c r="A153" s="12"/>
      <c r="C153" s="12"/>
      <c r="D153" s="13"/>
      <c r="F153" s="14"/>
      <c r="G153" s="14"/>
      <c r="H153" s="14"/>
      <c r="I153" s="14"/>
      <c r="J153" s="14"/>
      <c r="K153" s="12"/>
    </row>
    <row r="154" ht="19.5" customHeight="1">
      <c r="A154" s="12"/>
      <c r="C154" s="12"/>
      <c r="D154" s="13"/>
      <c r="F154" s="14"/>
      <c r="G154" s="14"/>
      <c r="H154" s="14"/>
      <c r="I154" s="14"/>
      <c r="J154" s="14"/>
      <c r="K154" s="12"/>
    </row>
    <row r="155" ht="19.5" customHeight="1">
      <c r="A155" s="12"/>
      <c r="C155" s="12"/>
      <c r="D155" s="13"/>
      <c r="F155" s="14"/>
      <c r="G155" s="14"/>
      <c r="H155" s="14"/>
      <c r="I155" s="14"/>
      <c r="J155" s="14"/>
      <c r="K155" s="12"/>
    </row>
    <row r="156" ht="19.5" customHeight="1">
      <c r="A156" s="12"/>
      <c r="C156" s="12"/>
      <c r="D156" s="13"/>
      <c r="F156" s="14"/>
      <c r="G156" s="14"/>
      <c r="H156" s="14"/>
      <c r="I156" s="14"/>
      <c r="J156" s="14"/>
      <c r="K156" s="12"/>
    </row>
    <row r="157" ht="19.5" customHeight="1">
      <c r="A157" s="12"/>
      <c r="C157" s="12"/>
      <c r="D157" s="13"/>
      <c r="F157" s="14"/>
      <c r="G157" s="14"/>
      <c r="H157" s="14"/>
      <c r="I157" s="14"/>
      <c r="J157" s="14"/>
      <c r="K157" s="12"/>
    </row>
    <row r="158" ht="19.5" customHeight="1">
      <c r="A158" s="12"/>
      <c r="C158" s="12"/>
      <c r="D158" s="13"/>
      <c r="F158" s="14"/>
      <c r="G158" s="14"/>
      <c r="H158" s="14"/>
      <c r="I158" s="14"/>
      <c r="J158" s="14"/>
      <c r="K158" s="12"/>
    </row>
    <row r="159" ht="19.5" customHeight="1">
      <c r="A159" s="12"/>
      <c r="C159" s="12"/>
      <c r="D159" s="13"/>
      <c r="F159" s="14"/>
      <c r="G159" s="14"/>
      <c r="H159" s="14"/>
      <c r="I159" s="14"/>
      <c r="J159" s="14"/>
      <c r="K159" s="12"/>
    </row>
    <row r="160" ht="19.5" customHeight="1">
      <c r="A160" s="12"/>
      <c r="C160" s="12"/>
      <c r="D160" s="13"/>
      <c r="F160" s="14"/>
      <c r="G160" s="14"/>
      <c r="H160" s="14"/>
      <c r="I160" s="14"/>
      <c r="J160" s="14"/>
      <c r="K160" s="12"/>
    </row>
    <row r="161" ht="19.5" customHeight="1">
      <c r="A161" s="12"/>
      <c r="C161" s="12"/>
      <c r="D161" s="13"/>
      <c r="F161" s="14"/>
      <c r="G161" s="14"/>
      <c r="H161" s="14"/>
      <c r="I161" s="14"/>
      <c r="J161" s="14"/>
      <c r="K161" s="12"/>
    </row>
    <row r="162" ht="19.5" customHeight="1">
      <c r="A162" s="12"/>
      <c r="C162" s="12"/>
      <c r="D162" s="13"/>
      <c r="F162" s="14"/>
      <c r="G162" s="14"/>
      <c r="H162" s="14"/>
      <c r="I162" s="14"/>
      <c r="J162" s="14"/>
      <c r="K162" s="12"/>
    </row>
    <row r="163" ht="19.5" customHeight="1">
      <c r="A163" s="12"/>
      <c r="C163" s="12"/>
      <c r="D163" s="13"/>
      <c r="F163" s="14"/>
      <c r="G163" s="14"/>
      <c r="H163" s="14"/>
      <c r="I163" s="14"/>
      <c r="J163" s="14"/>
      <c r="K163" s="12"/>
    </row>
    <row r="164" ht="19.5" customHeight="1">
      <c r="A164" s="12"/>
      <c r="C164" s="12"/>
      <c r="D164" s="13"/>
      <c r="F164" s="14"/>
      <c r="G164" s="14"/>
      <c r="H164" s="14"/>
      <c r="I164" s="14"/>
      <c r="J164" s="14"/>
      <c r="K164" s="12"/>
    </row>
    <row r="165" ht="19.5" customHeight="1">
      <c r="A165" s="12"/>
      <c r="C165" s="12"/>
      <c r="D165" s="13"/>
      <c r="F165" s="14"/>
      <c r="G165" s="14"/>
      <c r="H165" s="14"/>
      <c r="I165" s="14"/>
      <c r="J165" s="14"/>
      <c r="K165" s="12"/>
    </row>
    <row r="166" ht="19.5" customHeight="1">
      <c r="A166" s="12"/>
      <c r="C166" s="12"/>
      <c r="D166" s="13"/>
      <c r="F166" s="14"/>
      <c r="G166" s="14"/>
      <c r="H166" s="14"/>
      <c r="I166" s="14"/>
      <c r="J166" s="14"/>
      <c r="K166" s="12"/>
    </row>
    <row r="167" ht="19.5" customHeight="1">
      <c r="A167" s="12"/>
      <c r="C167" s="12"/>
      <c r="D167" s="13"/>
      <c r="F167" s="14"/>
      <c r="G167" s="14"/>
      <c r="H167" s="14"/>
      <c r="I167" s="14"/>
      <c r="J167" s="14"/>
      <c r="K167" s="12"/>
    </row>
    <row r="168" ht="19.5" customHeight="1">
      <c r="A168" s="12"/>
      <c r="C168" s="12"/>
      <c r="D168" s="13"/>
      <c r="F168" s="14"/>
      <c r="G168" s="14"/>
      <c r="H168" s="14"/>
      <c r="I168" s="14"/>
      <c r="J168" s="14"/>
      <c r="K168" s="12"/>
    </row>
    <row r="169" ht="19.5" customHeight="1">
      <c r="A169" s="12"/>
      <c r="C169" s="12"/>
      <c r="D169" s="13"/>
      <c r="F169" s="14"/>
      <c r="G169" s="14"/>
      <c r="H169" s="14"/>
      <c r="I169" s="14"/>
      <c r="J169" s="14"/>
      <c r="K169" s="12"/>
    </row>
    <row r="170" ht="19.5" customHeight="1">
      <c r="A170" s="12"/>
      <c r="C170" s="12"/>
      <c r="D170" s="13"/>
      <c r="F170" s="14"/>
      <c r="G170" s="14"/>
      <c r="H170" s="14"/>
      <c r="I170" s="14"/>
      <c r="J170" s="14"/>
      <c r="K170" s="12"/>
    </row>
    <row r="171" ht="19.5" customHeight="1">
      <c r="A171" s="12"/>
      <c r="C171" s="12"/>
      <c r="D171" s="13"/>
      <c r="F171" s="14"/>
      <c r="G171" s="14"/>
      <c r="H171" s="14"/>
      <c r="I171" s="14"/>
      <c r="J171" s="14"/>
      <c r="K171" s="12"/>
    </row>
    <row r="172" ht="19.5" customHeight="1">
      <c r="A172" s="12"/>
      <c r="C172" s="12"/>
      <c r="D172" s="13"/>
      <c r="F172" s="14"/>
      <c r="G172" s="14"/>
      <c r="H172" s="14"/>
      <c r="I172" s="14"/>
      <c r="J172" s="14"/>
      <c r="K172" s="12"/>
    </row>
    <row r="173" ht="19.5" customHeight="1">
      <c r="A173" s="12"/>
      <c r="C173" s="12"/>
      <c r="D173" s="13"/>
      <c r="F173" s="14"/>
      <c r="G173" s="14"/>
      <c r="H173" s="14"/>
      <c r="I173" s="14"/>
      <c r="J173" s="14"/>
      <c r="K173" s="12"/>
    </row>
    <row r="174" ht="19.5" customHeight="1">
      <c r="A174" s="12"/>
      <c r="C174" s="12"/>
      <c r="D174" s="13"/>
      <c r="F174" s="14"/>
      <c r="G174" s="14"/>
      <c r="H174" s="14"/>
      <c r="I174" s="14"/>
      <c r="J174" s="14"/>
      <c r="K174" s="12"/>
    </row>
    <row r="175" ht="19.5" customHeight="1">
      <c r="A175" s="12"/>
      <c r="C175" s="12"/>
      <c r="D175" s="13"/>
      <c r="F175" s="14"/>
      <c r="G175" s="14"/>
      <c r="H175" s="14"/>
      <c r="I175" s="14"/>
      <c r="J175" s="14"/>
      <c r="K175" s="12"/>
    </row>
    <row r="176" ht="19.5" customHeight="1">
      <c r="A176" s="12"/>
      <c r="C176" s="12"/>
      <c r="D176" s="13"/>
      <c r="F176" s="14"/>
      <c r="G176" s="14"/>
      <c r="H176" s="14"/>
      <c r="I176" s="14"/>
      <c r="J176" s="14"/>
      <c r="K176" s="12"/>
    </row>
    <row r="177" ht="19.5" customHeight="1">
      <c r="A177" s="12"/>
      <c r="C177" s="12"/>
      <c r="D177" s="13"/>
      <c r="F177" s="14"/>
      <c r="G177" s="14"/>
      <c r="H177" s="14"/>
      <c r="I177" s="14"/>
      <c r="J177" s="14"/>
      <c r="K177" s="12"/>
    </row>
    <row r="178" ht="19.5" customHeight="1">
      <c r="A178" s="12"/>
      <c r="C178" s="12"/>
      <c r="D178" s="13"/>
      <c r="F178" s="14"/>
      <c r="G178" s="14"/>
      <c r="H178" s="14"/>
      <c r="I178" s="14"/>
      <c r="J178" s="14"/>
      <c r="K178" s="12"/>
    </row>
    <row r="179" ht="19.5" customHeight="1">
      <c r="A179" s="12"/>
      <c r="C179" s="12"/>
      <c r="D179" s="13"/>
      <c r="F179" s="14"/>
      <c r="G179" s="14"/>
      <c r="H179" s="14"/>
      <c r="I179" s="14"/>
      <c r="J179" s="14"/>
      <c r="K179" s="12"/>
    </row>
    <row r="180" ht="19.5" customHeight="1">
      <c r="A180" s="12"/>
      <c r="C180" s="12"/>
      <c r="D180" s="13"/>
      <c r="F180" s="14"/>
      <c r="G180" s="14"/>
      <c r="H180" s="14"/>
      <c r="I180" s="14"/>
      <c r="J180" s="14"/>
      <c r="K180" s="12"/>
    </row>
    <row r="181" ht="19.5" customHeight="1">
      <c r="A181" s="12"/>
      <c r="C181" s="12"/>
      <c r="D181" s="13"/>
      <c r="F181" s="14"/>
      <c r="G181" s="14"/>
      <c r="H181" s="14"/>
      <c r="I181" s="14"/>
      <c r="J181" s="14"/>
      <c r="K181" s="12"/>
    </row>
    <row r="182" ht="19.5" customHeight="1">
      <c r="A182" s="12"/>
      <c r="C182" s="12"/>
      <c r="D182" s="13"/>
      <c r="F182" s="14"/>
      <c r="G182" s="14"/>
      <c r="H182" s="14"/>
      <c r="I182" s="14"/>
      <c r="J182" s="14"/>
      <c r="K182" s="12"/>
    </row>
    <row r="183" ht="19.5" customHeight="1">
      <c r="A183" s="12"/>
      <c r="C183" s="12"/>
      <c r="D183" s="13"/>
      <c r="F183" s="14"/>
      <c r="G183" s="14"/>
      <c r="H183" s="14"/>
      <c r="I183" s="14"/>
      <c r="J183" s="14"/>
      <c r="K183" s="12"/>
    </row>
    <row r="184" ht="19.5" customHeight="1">
      <c r="A184" s="12"/>
      <c r="C184" s="12"/>
      <c r="D184" s="13"/>
      <c r="F184" s="14"/>
      <c r="G184" s="14"/>
      <c r="H184" s="14"/>
      <c r="I184" s="14"/>
      <c r="J184" s="14"/>
      <c r="K184" s="12"/>
    </row>
    <row r="185" ht="19.5" customHeight="1">
      <c r="A185" s="12"/>
      <c r="C185" s="12"/>
      <c r="D185" s="13"/>
      <c r="F185" s="14"/>
      <c r="G185" s="14"/>
      <c r="H185" s="14"/>
      <c r="I185" s="14"/>
      <c r="J185" s="14"/>
      <c r="K185" s="12"/>
    </row>
    <row r="186" ht="19.5" customHeight="1">
      <c r="A186" s="12"/>
      <c r="C186" s="12"/>
      <c r="D186" s="13"/>
      <c r="F186" s="14"/>
      <c r="G186" s="14"/>
      <c r="H186" s="14"/>
      <c r="I186" s="14"/>
      <c r="J186" s="14"/>
      <c r="K186" s="12"/>
    </row>
    <row r="187" ht="19.5" customHeight="1">
      <c r="A187" s="12"/>
      <c r="C187" s="12"/>
      <c r="D187" s="13"/>
      <c r="F187" s="14"/>
      <c r="G187" s="14"/>
      <c r="H187" s="14"/>
      <c r="I187" s="14"/>
      <c r="J187" s="14"/>
      <c r="K187" s="12"/>
    </row>
    <row r="188" ht="19.5" customHeight="1">
      <c r="A188" s="12"/>
      <c r="C188" s="12"/>
      <c r="D188" s="13"/>
      <c r="F188" s="14"/>
      <c r="G188" s="14"/>
      <c r="H188" s="14"/>
      <c r="I188" s="14"/>
      <c r="J188" s="14"/>
      <c r="K188" s="12"/>
    </row>
    <row r="189" ht="19.5" customHeight="1">
      <c r="A189" s="12"/>
      <c r="C189" s="12"/>
      <c r="D189" s="13"/>
      <c r="F189" s="14"/>
      <c r="G189" s="14"/>
      <c r="H189" s="14"/>
      <c r="I189" s="14"/>
      <c r="J189" s="14"/>
      <c r="K189" s="12"/>
    </row>
    <row r="190" ht="19.5" customHeight="1">
      <c r="A190" s="12"/>
      <c r="C190" s="12"/>
      <c r="D190" s="13"/>
      <c r="F190" s="14"/>
      <c r="G190" s="14"/>
      <c r="H190" s="14"/>
      <c r="I190" s="14"/>
      <c r="J190" s="14"/>
      <c r="K190" s="12"/>
    </row>
    <row r="191" ht="19.5" customHeight="1">
      <c r="A191" s="12"/>
      <c r="C191" s="12"/>
      <c r="D191" s="13"/>
      <c r="F191" s="14"/>
      <c r="G191" s="14"/>
      <c r="H191" s="14"/>
      <c r="I191" s="14"/>
      <c r="J191" s="14"/>
      <c r="K191" s="12"/>
    </row>
    <row r="192" ht="19.5" customHeight="1">
      <c r="A192" s="12"/>
      <c r="C192" s="12"/>
      <c r="D192" s="13"/>
      <c r="F192" s="14"/>
      <c r="G192" s="14"/>
      <c r="H192" s="14"/>
      <c r="I192" s="14"/>
      <c r="J192" s="14"/>
      <c r="K192" s="12"/>
    </row>
    <row r="193" ht="19.5" customHeight="1">
      <c r="A193" s="12"/>
      <c r="C193" s="12"/>
      <c r="D193" s="13"/>
      <c r="F193" s="14"/>
      <c r="G193" s="14"/>
      <c r="H193" s="14"/>
      <c r="I193" s="14"/>
      <c r="J193" s="14"/>
      <c r="K193" s="12"/>
    </row>
    <row r="194" ht="19.5" customHeight="1">
      <c r="A194" s="12"/>
      <c r="C194" s="12"/>
      <c r="D194" s="13"/>
      <c r="F194" s="14"/>
      <c r="G194" s="14"/>
      <c r="H194" s="14"/>
      <c r="I194" s="14"/>
      <c r="J194" s="14"/>
      <c r="K194" s="12"/>
    </row>
    <row r="195" ht="19.5" customHeight="1">
      <c r="A195" s="12"/>
      <c r="C195" s="12"/>
      <c r="D195" s="13"/>
      <c r="F195" s="14"/>
      <c r="G195" s="14"/>
      <c r="H195" s="14"/>
      <c r="I195" s="14"/>
      <c r="J195" s="14"/>
      <c r="K195" s="12"/>
    </row>
    <row r="196" ht="19.5" customHeight="1">
      <c r="A196" s="12"/>
      <c r="C196" s="12"/>
      <c r="D196" s="13"/>
      <c r="F196" s="14"/>
      <c r="G196" s="14"/>
      <c r="H196" s="14"/>
      <c r="I196" s="14"/>
      <c r="J196" s="14"/>
      <c r="K196" s="12"/>
    </row>
    <row r="197" ht="19.5" customHeight="1">
      <c r="A197" s="12"/>
      <c r="C197" s="12"/>
      <c r="D197" s="13"/>
      <c r="F197" s="14"/>
      <c r="G197" s="14"/>
      <c r="H197" s="14"/>
      <c r="I197" s="14"/>
      <c r="J197" s="14"/>
      <c r="K197" s="12"/>
    </row>
    <row r="198" ht="19.5" customHeight="1">
      <c r="A198" s="12"/>
      <c r="C198" s="12"/>
      <c r="D198" s="13"/>
      <c r="F198" s="14"/>
      <c r="G198" s="14"/>
      <c r="H198" s="14"/>
      <c r="I198" s="14"/>
      <c r="J198" s="14"/>
      <c r="K198" s="12"/>
    </row>
    <row r="199" ht="19.5" customHeight="1">
      <c r="A199" s="12"/>
      <c r="C199" s="12"/>
      <c r="D199" s="13"/>
      <c r="F199" s="14"/>
      <c r="G199" s="14"/>
      <c r="H199" s="14"/>
      <c r="I199" s="14"/>
      <c r="J199" s="14"/>
      <c r="K199" s="12"/>
    </row>
    <row r="200" ht="19.5" customHeight="1">
      <c r="A200" s="12"/>
      <c r="C200" s="12"/>
      <c r="D200" s="13"/>
      <c r="F200" s="14"/>
      <c r="G200" s="14"/>
      <c r="H200" s="14"/>
      <c r="I200" s="14"/>
      <c r="J200" s="14"/>
      <c r="K200" s="12"/>
    </row>
    <row r="201" ht="19.5" customHeight="1">
      <c r="A201" s="12"/>
      <c r="C201" s="12"/>
      <c r="D201" s="13"/>
      <c r="F201" s="14"/>
      <c r="G201" s="14"/>
      <c r="H201" s="14"/>
      <c r="I201" s="14"/>
      <c r="J201" s="14"/>
      <c r="K201" s="12"/>
    </row>
    <row r="202" ht="19.5" customHeight="1">
      <c r="A202" s="12"/>
      <c r="C202" s="12"/>
      <c r="D202" s="13"/>
      <c r="F202" s="14"/>
      <c r="G202" s="14"/>
      <c r="H202" s="14"/>
      <c r="I202" s="14"/>
      <c r="J202" s="14"/>
      <c r="K202" s="12"/>
    </row>
    <row r="203" ht="19.5" customHeight="1">
      <c r="A203" s="12"/>
      <c r="C203" s="12"/>
      <c r="D203" s="13"/>
      <c r="F203" s="14"/>
      <c r="G203" s="14"/>
      <c r="H203" s="14"/>
      <c r="I203" s="14"/>
      <c r="J203" s="14"/>
      <c r="K203" s="12"/>
    </row>
    <row r="204" ht="19.5" customHeight="1">
      <c r="A204" s="12"/>
      <c r="C204" s="12"/>
      <c r="D204" s="13"/>
      <c r="F204" s="14"/>
      <c r="G204" s="14"/>
      <c r="H204" s="14"/>
      <c r="I204" s="14"/>
      <c r="J204" s="14"/>
      <c r="K204" s="12"/>
    </row>
    <row r="205" ht="19.5" customHeight="1">
      <c r="A205" s="12"/>
      <c r="C205" s="12"/>
      <c r="D205" s="13"/>
      <c r="F205" s="14"/>
      <c r="G205" s="14"/>
      <c r="H205" s="14"/>
      <c r="I205" s="14"/>
      <c r="J205" s="14"/>
      <c r="K205" s="12"/>
    </row>
    <row r="206" ht="19.5" customHeight="1">
      <c r="A206" s="12"/>
      <c r="C206" s="12"/>
      <c r="D206" s="13"/>
      <c r="F206" s="14"/>
      <c r="G206" s="14"/>
      <c r="H206" s="14"/>
      <c r="I206" s="14"/>
      <c r="J206" s="14"/>
      <c r="K206" s="12"/>
    </row>
    <row r="207" ht="19.5" customHeight="1">
      <c r="A207" s="12"/>
      <c r="C207" s="12"/>
      <c r="D207" s="13"/>
      <c r="F207" s="14"/>
      <c r="G207" s="14"/>
      <c r="H207" s="14"/>
      <c r="I207" s="14"/>
      <c r="J207" s="14"/>
      <c r="K207" s="12"/>
    </row>
    <row r="208" ht="19.5" customHeight="1">
      <c r="A208" s="12"/>
      <c r="C208" s="12"/>
      <c r="D208" s="13"/>
      <c r="F208" s="14"/>
      <c r="G208" s="14"/>
      <c r="H208" s="14"/>
      <c r="I208" s="14"/>
      <c r="J208" s="14"/>
      <c r="K208" s="12"/>
    </row>
    <row r="209" ht="19.5" customHeight="1">
      <c r="A209" s="12"/>
      <c r="C209" s="12"/>
      <c r="D209" s="13"/>
      <c r="F209" s="14"/>
      <c r="G209" s="14"/>
      <c r="H209" s="14"/>
      <c r="I209" s="14"/>
      <c r="J209" s="14"/>
      <c r="K209" s="12"/>
    </row>
    <row r="210" ht="19.5" customHeight="1">
      <c r="A210" s="12"/>
      <c r="C210" s="12"/>
      <c r="D210" s="13"/>
      <c r="F210" s="14"/>
      <c r="G210" s="14"/>
      <c r="H210" s="14"/>
      <c r="I210" s="14"/>
      <c r="J210" s="14"/>
      <c r="K210" s="12"/>
    </row>
    <row r="211" ht="19.5" customHeight="1">
      <c r="A211" s="12"/>
      <c r="C211" s="12"/>
      <c r="D211" s="13"/>
      <c r="F211" s="14"/>
      <c r="G211" s="14"/>
      <c r="H211" s="14"/>
      <c r="I211" s="14"/>
      <c r="J211" s="14"/>
      <c r="K211" s="12"/>
    </row>
    <row r="212" ht="19.5" customHeight="1">
      <c r="A212" s="12"/>
      <c r="C212" s="12"/>
      <c r="D212" s="13"/>
      <c r="F212" s="14"/>
      <c r="G212" s="14"/>
      <c r="H212" s="14"/>
      <c r="I212" s="14"/>
      <c r="J212" s="14"/>
      <c r="K212" s="12"/>
    </row>
    <row r="213" ht="19.5" customHeight="1">
      <c r="A213" s="12"/>
      <c r="C213" s="12"/>
      <c r="D213" s="13"/>
      <c r="F213" s="14"/>
      <c r="G213" s="14"/>
      <c r="H213" s="14"/>
      <c r="I213" s="14"/>
      <c r="J213" s="14"/>
      <c r="K213" s="12"/>
    </row>
    <row r="214" ht="19.5" customHeight="1">
      <c r="A214" s="12"/>
      <c r="C214" s="12"/>
      <c r="D214" s="13"/>
      <c r="F214" s="14"/>
      <c r="G214" s="14"/>
      <c r="H214" s="14"/>
      <c r="I214" s="14"/>
      <c r="J214" s="14"/>
      <c r="K214" s="12"/>
    </row>
    <row r="215" ht="19.5" customHeight="1">
      <c r="A215" s="12"/>
      <c r="C215" s="12"/>
      <c r="D215" s="13"/>
      <c r="F215" s="14"/>
      <c r="G215" s="14"/>
      <c r="H215" s="14"/>
      <c r="I215" s="14"/>
      <c r="J215" s="14"/>
      <c r="K215" s="12"/>
    </row>
    <row r="216" ht="19.5" customHeight="1">
      <c r="A216" s="12"/>
      <c r="C216" s="12"/>
      <c r="D216" s="13"/>
      <c r="F216" s="14"/>
      <c r="G216" s="14"/>
      <c r="H216" s="14"/>
      <c r="I216" s="14"/>
      <c r="J216" s="14"/>
      <c r="K216" s="12"/>
    </row>
    <row r="217" ht="19.5" customHeight="1">
      <c r="A217" s="12"/>
      <c r="C217" s="12"/>
      <c r="D217" s="13"/>
      <c r="F217" s="14"/>
      <c r="G217" s="14"/>
      <c r="H217" s="14"/>
      <c r="I217" s="14"/>
      <c r="J217" s="14"/>
      <c r="K217" s="12"/>
    </row>
    <row r="218" ht="19.5" customHeight="1">
      <c r="A218" s="12"/>
      <c r="C218" s="12"/>
      <c r="D218" s="13"/>
      <c r="F218" s="14"/>
      <c r="G218" s="14"/>
      <c r="H218" s="14"/>
      <c r="I218" s="14"/>
      <c r="J218" s="14"/>
      <c r="K218" s="12"/>
    </row>
    <row r="219" ht="19.5" customHeight="1">
      <c r="A219" s="12"/>
      <c r="C219" s="12"/>
      <c r="D219" s="13"/>
      <c r="F219" s="14"/>
      <c r="G219" s="14"/>
      <c r="H219" s="14"/>
      <c r="I219" s="14"/>
      <c r="J219" s="14"/>
      <c r="K219" s="12"/>
    </row>
    <row r="220" ht="19.5" customHeight="1">
      <c r="A220" s="12"/>
      <c r="C220" s="12"/>
      <c r="D220" s="13"/>
      <c r="F220" s="14"/>
      <c r="G220" s="14"/>
      <c r="H220" s="14"/>
      <c r="I220" s="14"/>
      <c r="J220" s="14"/>
      <c r="K220" s="12"/>
    </row>
    <row r="221" ht="19.5" customHeight="1">
      <c r="A221" s="12"/>
      <c r="C221" s="12"/>
      <c r="D221" s="13"/>
      <c r="F221" s="14"/>
      <c r="G221" s="14"/>
      <c r="H221" s="14"/>
      <c r="I221" s="14"/>
      <c r="J221" s="14"/>
      <c r="K221" s="12"/>
    </row>
    <row r="222" ht="19.5" customHeight="1">
      <c r="A222" s="12"/>
      <c r="C222" s="12"/>
      <c r="D222" s="13"/>
      <c r="F222" s="14"/>
      <c r="G222" s="14"/>
      <c r="H222" s="14"/>
      <c r="I222" s="14"/>
      <c r="J222" s="14"/>
      <c r="K222" s="12"/>
    </row>
    <row r="223" ht="19.5" customHeight="1">
      <c r="A223" s="12"/>
      <c r="C223" s="12"/>
      <c r="D223" s="13"/>
      <c r="F223" s="14"/>
      <c r="G223" s="14"/>
      <c r="H223" s="14"/>
      <c r="I223" s="14"/>
      <c r="J223" s="14"/>
      <c r="K223" s="12"/>
    </row>
    <row r="224" ht="19.5" customHeight="1">
      <c r="A224" s="12"/>
      <c r="C224" s="12"/>
      <c r="D224" s="13"/>
      <c r="F224" s="14"/>
      <c r="G224" s="14"/>
      <c r="H224" s="14"/>
      <c r="I224" s="14"/>
      <c r="J224" s="14"/>
      <c r="K224" s="12"/>
    </row>
    <row r="225" ht="19.5" customHeight="1">
      <c r="A225" s="12"/>
      <c r="C225" s="12"/>
      <c r="D225" s="13"/>
      <c r="F225" s="14"/>
      <c r="G225" s="14"/>
      <c r="H225" s="14"/>
      <c r="I225" s="14"/>
      <c r="J225" s="14"/>
      <c r="K225" s="12"/>
    </row>
    <row r="226" ht="19.5" customHeight="1">
      <c r="A226" s="12"/>
      <c r="C226" s="12"/>
      <c r="D226" s="13"/>
      <c r="F226" s="14"/>
      <c r="G226" s="14"/>
      <c r="H226" s="14"/>
      <c r="I226" s="14"/>
      <c r="J226" s="14"/>
      <c r="K226" s="12"/>
    </row>
    <row r="227" ht="19.5" customHeight="1">
      <c r="A227" s="12"/>
      <c r="C227" s="12"/>
      <c r="D227" s="13"/>
      <c r="F227" s="14"/>
      <c r="G227" s="14"/>
      <c r="H227" s="14"/>
      <c r="I227" s="14"/>
      <c r="J227" s="14"/>
      <c r="K227" s="12"/>
    </row>
    <row r="228" ht="19.5" customHeight="1">
      <c r="A228" s="12"/>
      <c r="C228" s="12"/>
      <c r="D228" s="13"/>
      <c r="F228" s="14"/>
      <c r="G228" s="14"/>
      <c r="H228" s="14"/>
      <c r="I228" s="14"/>
      <c r="J228" s="14"/>
      <c r="K228" s="12"/>
    </row>
    <row r="229" ht="19.5" customHeight="1">
      <c r="A229" s="12"/>
      <c r="C229" s="12"/>
      <c r="D229" s="13"/>
      <c r="F229" s="14"/>
      <c r="G229" s="14"/>
      <c r="H229" s="14"/>
      <c r="I229" s="14"/>
      <c r="J229" s="14"/>
      <c r="K229" s="12"/>
    </row>
    <row r="230" ht="19.5" customHeight="1">
      <c r="A230" s="12"/>
      <c r="C230" s="12"/>
      <c r="D230" s="13"/>
      <c r="F230" s="14"/>
      <c r="G230" s="14"/>
      <c r="H230" s="14"/>
      <c r="I230" s="14"/>
      <c r="J230" s="14"/>
      <c r="K230" s="12"/>
    </row>
    <row r="231" ht="19.5" customHeight="1">
      <c r="A231" s="12"/>
      <c r="C231" s="12"/>
      <c r="D231" s="13"/>
      <c r="F231" s="14"/>
      <c r="G231" s="14"/>
      <c r="H231" s="14"/>
      <c r="I231" s="14"/>
      <c r="J231" s="14"/>
      <c r="K231" s="12"/>
    </row>
    <row r="232" ht="19.5" customHeight="1">
      <c r="A232" s="12"/>
      <c r="C232" s="12"/>
      <c r="D232" s="13"/>
      <c r="F232" s="14"/>
      <c r="G232" s="14"/>
      <c r="H232" s="14"/>
      <c r="I232" s="14"/>
      <c r="J232" s="14"/>
      <c r="K232" s="12"/>
    </row>
    <row r="233" ht="19.5" customHeight="1">
      <c r="A233" s="12"/>
      <c r="C233" s="12"/>
      <c r="D233" s="13"/>
      <c r="F233" s="14"/>
      <c r="G233" s="14"/>
      <c r="H233" s="14"/>
      <c r="I233" s="14"/>
      <c r="J233" s="14"/>
      <c r="K233" s="12"/>
    </row>
    <row r="234" ht="19.5" customHeight="1">
      <c r="A234" s="12"/>
      <c r="C234" s="12"/>
      <c r="D234" s="13"/>
      <c r="F234" s="14"/>
      <c r="G234" s="14"/>
      <c r="H234" s="14"/>
      <c r="I234" s="14"/>
      <c r="J234" s="14"/>
      <c r="K234" s="12"/>
    </row>
    <row r="235" ht="19.5" customHeight="1">
      <c r="A235" s="12"/>
      <c r="C235" s="12"/>
      <c r="D235" s="13"/>
      <c r="F235" s="14"/>
      <c r="G235" s="14"/>
      <c r="H235" s="14"/>
      <c r="I235" s="14"/>
      <c r="J235" s="14"/>
      <c r="K235" s="12"/>
    </row>
    <row r="236" ht="19.5" customHeight="1">
      <c r="A236" s="12"/>
      <c r="C236" s="12"/>
      <c r="D236" s="13"/>
      <c r="F236" s="14"/>
      <c r="G236" s="14"/>
      <c r="H236" s="14"/>
      <c r="I236" s="14"/>
      <c r="J236" s="14"/>
      <c r="K236" s="12"/>
    </row>
    <row r="237" ht="19.5" customHeight="1">
      <c r="A237" s="12"/>
      <c r="C237" s="12"/>
      <c r="D237" s="13"/>
      <c r="F237" s="14"/>
      <c r="G237" s="14"/>
      <c r="H237" s="14"/>
      <c r="I237" s="14"/>
      <c r="J237" s="14"/>
      <c r="K237" s="12"/>
    </row>
    <row r="238" ht="19.5" customHeight="1">
      <c r="A238" s="12"/>
      <c r="C238" s="12"/>
      <c r="D238" s="13"/>
      <c r="F238" s="14"/>
      <c r="G238" s="14"/>
      <c r="H238" s="14"/>
      <c r="I238" s="14"/>
      <c r="J238" s="14"/>
      <c r="K238" s="12"/>
    </row>
    <row r="239" ht="19.5" customHeight="1">
      <c r="A239" s="12"/>
      <c r="C239" s="12"/>
      <c r="D239" s="13"/>
      <c r="F239" s="14"/>
      <c r="G239" s="14"/>
      <c r="H239" s="14"/>
      <c r="I239" s="14"/>
      <c r="J239" s="14"/>
      <c r="K239" s="12"/>
    </row>
    <row r="240" ht="19.5" customHeight="1">
      <c r="A240" s="12"/>
      <c r="C240" s="12"/>
      <c r="D240" s="13"/>
      <c r="F240" s="14"/>
      <c r="G240" s="14"/>
      <c r="H240" s="14"/>
      <c r="I240" s="14"/>
      <c r="J240" s="14"/>
      <c r="K240" s="12"/>
    </row>
    <row r="241" ht="19.5" customHeight="1">
      <c r="A241" s="12"/>
      <c r="C241" s="12"/>
      <c r="D241" s="13"/>
      <c r="F241" s="14"/>
      <c r="G241" s="14"/>
      <c r="H241" s="14"/>
      <c r="I241" s="14"/>
      <c r="J241" s="14"/>
      <c r="K241" s="12"/>
    </row>
    <row r="242" ht="19.5" customHeight="1">
      <c r="A242" s="12"/>
      <c r="C242" s="12"/>
      <c r="D242" s="13"/>
      <c r="F242" s="14"/>
      <c r="G242" s="14"/>
      <c r="H242" s="14"/>
      <c r="I242" s="14"/>
      <c r="J242" s="14"/>
      <c r="K242" s="12"/>
    </row>
    <row r="243" ht="19.5" customHeight="1">
      <c r="A243" s="12"/>
      <c r="C243" s="12"/>
      <c r="D243" s="13"/>
      <c r="F243" s="14"/>
      <c r="G243" s="14"/>
      <c r="H243" s="14"/>
      <c r="I243" s="14"/>
      <c r="J243" s="14"/>
      <c r="K243" s="12"/>
    </row>
    <row r="244" ht="19.5" customHeight="1">
      <c r="A244" s="12"/>
      <c r="C244" s="12"/>
      <c r="D244" s="13"/>
      <c r="F244" s="14"/>
      <c r="G244" s="14"/>
      <c r="H244" s="14"/>
      <c r="I244" s="14"/>
      <c r="J244" s="14"/>
      <c r="K244" s="12"/>
    </row>
    <row r="245" ht="19.5" customHeight="1">
      <c r="A245" s="12"/>
      <c r="C245" s="12"/>
      <c r="D245" s="13"/>
      <c r="F245" s="14"/>
      <c r="G245" s="14"/>
      <c r="H245" s="14"/>
      <c r="I245" s="14"/>
      <c r="J245" s="14"/>
      <c r="K245" s="12"/>
    </row>
    <row r="246" ht="19.5" customHeight="1">
      <c r="A246" s="12"/>
      <c r="C246" s="12"/>
      <c r="D246" s="13"/>
      <c r="F246" s="14"/>
      <c r="G246" s="14"/>
      <c r="H246" s="14"/>
      <c r="I246" s="14"/>
      <c r="J246" s="14"/>
      <c r="K246" s="12"/>
    </row>
    <row r="247" ht="19.5" customHeight="1">
      <c r="A247" s="12"/>
      <c r="C247" s="12"/>
      <c r="D247" s="13"/>
      <c r="F247" s="14"/>
      <c r="G247" s="14"/>
      <c r="H247" s="14"/>
      <c r="I247" s="14"/>
      <c r="J247" s="14"/>
      <c r="K247" s="12"/>
    </row>
    <row r="248" ht="19.5" customHeight="1">
      <c r="A248" s="12"/>
      <c r="C248" s="12"/>
      <c r="D248" s="13"/>
      <c r="F248" s="14"/>
      <c r="G248" s="14"/>
      <c r="H248" s="14"/>
      <c r="I248" s="14"/>
      <c r="J248" s="14"/>
      <c r="K248" s="12"/>
    </row>
    <row r="249" ht="19.5" customHeight="1">
      <c r="A249" s="12"/>
      <c r="C249" s="12"/>
      <c r="D249" s="13"/>
      <c r="F249" s="14"/>
      <c r="G249" s="14"/>
      <c r="H249" s="14"/>
      <c r="I249" s="14"/>
      <c r="J249" s="14"/>
      <c r="K249" s="12"/>
    </row>
    <row r="250" ht="19.5" customHeight="1">
      <c r="A250" s="12"/>
      <c r="C250" s="12"/>
      <c r="D250" s="13"/>
      <c r="F250" s="14"/>
      <c r="G250" s="14"/>
      <c r="H250" s="14"/>
      <c r="I250" s="14"/>
      <c r="J250" s="14"/>
      <c r="K250" s="12"/>
    </row>
    <row r="251" ht="19.5" customHeight="1">
      <c r="A251" s="12"/>
      <c r="C251" s="12"/>
      <c r="D251" s="13"/>
      <c r="F251" s="14"/>
      <c r="G251" s="14"/>
      <c r="H251" s="14"/>
      <c r="I251" s="14"/>
      <c r="J251" s="14"/>
      <c r="K251" s="12"/>
    </row>
    <row r="252" ht="19.5" customHeight="1">
      <c r="A252" s="12"/>
      <c r="C252" s="12"/>
      <c r="D252" s="13"/>
      <c r="F252" s="14"/>
      <c r="G252" s="14"/>
      <c r="H252" s="14"/>
      <c r="I252" s="14"/>
      <c r="J252" s="14"/>
      <c r="K252" s="12"/>
    </row>
    <row r="253" ht="19.5" customHeight="1">
      <c r="A253" s="12"/>
      <c r="C253" s="12"/>
      <c r="D253" s="13"/>
      <c r="F253" s="14"/>
      <c r="G253" s="14"/>
      <c r="H253" s="14"/>
      <c r="I253" s="14"/>
      <c r="J253" s="14"/>
      <c r="K253" s="12"/>
    </row>
    <row r="254" ht="19.5" customHeight="1">
      <c r="A254" s="12"/>
      <c r="C254" s="12"/>
      <c r="D254" s="13"/>
      <c r="F254" s="14"/>
      <c r="G254" s="14"/>
      <c r="H254" s="14"/>
      <c r="I254" s="14"/>
      <c r="J254" s="14"/>
      <c r="K254" s="12"/>
    </row>
    <row r="255" ht="19.5" customHeight="1">
      <c r="A255" s="12"/>
      <c r="C255" s="12"/>
      <c r="D255" s="13"/>
      <c r="F255" s="14"/>
      <c r="G255" s="14"/>
      <c r="H255" s="14"/>
      <c r="I255" s="14"/>
      <c r="J255" s="14"/>
      <c r="K255" s="12"/>
    </row>
    <row r="256" ht="19.5" customHeight="1">
      <c r="A256" s="12"/>
      <c r="C256" s="12"/>
      <c r="D256" s="13"/>
      <c r="F256" s="14"/>
      <c r="G256" s="14"/>
      <c r="H256" s="14"/>
      <c r="I256" s="14"/>
      <c r="J256" s="14"/>
      <c r="K256" s="12"/>
    </row>
    <row r="257" ht="19.5" customHeight="1">
      <c r="A257" s="12"/>
      <c r="C257" s="12"/>
      <c r="D257" s="13"/>
      <c r="F257" s="14"/>
      <c r="G257" s="14"/>
      <c r="H257" s="14"/>
      <c r="I257" s="14"/>
      <c r="J257" s="14"/>
      <c r="K257" s="12"/>
    </row>
    <row r="258" ht="19.5" customHeight="1">
      <c r="A258" s="12"/>
      <c r="C258" s="12"/>
      <c r="D258" s="13"/>
      <c r="F258" s="14"/>
      <c r="G258" s="14"/>
      <c r="H258" s="14"/>
      <c r="I258" s="14"/>
      <c r="J258" s="14"/>
      <c r="K258" s="12"/>
    </row>
    <row r="259" ht="19.5" customHeight="1">
      <c r="A259" s="12"/>
      <c r="C259" s="12"/>
      <c r="D259" s="13"/>
      <c r="F259" s="14"/>
      <c r="G259" s="14"/>
      <c r="H259" s="14"/>
      <c r="I259" s="14"/>
      <c r="J259" s="14"/>
      <c r="K259" s="12"/>
    </row>
    <row r="260" ht="19.5" customHeight="1">
      <c r="A260" s="12"/>
      <c r="C260" s="12"/>
      <c r="D260" s="13"/>
      <c r="F260" s="14"/>
      <c r="G260" s="14"/>
      <c r="H260" s="14"/>
      <c r="I260" s="14"/>
      <c r="J260" s="14"/>
      <c r="K260" s="12"/>
    </row>
    <row r="261" ht="19.5" customHeight="1">
      <c r="A261" s="12"/>
      <c r="C261" s="12"/>
      <c r="D261" s="13"/>
      <c r="F261" s="14"/>
      <c r="G261" s="14"/>
      <c r="H261" s="14"/>
      <c r="I261" s="14"/>
      <c r="J261" s="14"/>
      <c r="K261" s="12"/>
    </row>
    <row r="262" ht="19.5" customHeight="1">
      <c r="A262" s="12"/>
      <c r="C262" s="12"/>
      <c r="D262" s="13"/>
      <c r="F262" s="14"/>
      <c r="G262" s="14"/>
      <c r="H262" s="14"/>
      <c r="I262" s="14"/>
      <c r="J262" s="14"/>
      <c r="K262" s="12"/>
    </row>
    <row r="263" ht="19.5" customHeight="1">
      <c r="A263" s="12"/>
      <c r="C263" s="12"/>
      <c r="D263" s="13"/>
      <c r="F263" s="14"/>
      <c r="G263" s="14"/>
      <c r="H263" s="14"/>
      <c r="I263" s="14"/>
      <c r="J263" s="14"/>
      <c r="K263" s="12"/>
    </row>
    <row r="264" ht="19.5" customHeight="1">
      <c r="A264" s="12"/>
      <c r="C264" s="12"/>
      <c r="D264" s="13"/>
      <c r="F264" s="14"/>
      <c r="G264" s="14"/>
      <c r="H264" s="14"/>
      <c r="I264" s="14"/>
      <c r="J264" s="14"/>
      <c r="K264" s="12"/>
    </row>
    <row r="265" ht="19.5" customHeight="1">
      <c r="A265" s="12"/>
      <c r="C265" s="12"/>
      <c r="D265" s="13"/>
      <c r="F265" s="14"/>
      <c r="G265" s="14"/>
      <c r="H265" s="14"/>
      <c r="I265" s="14"/>
      <c r="J265" s="14"/>
      <c r="K265" s="12"/>
    </row>
    <row r="266" ht="19.5" customHeight="1">
      <c r="A266" s="12"/>
      <c r="C266" s="12"/>
      <c r="D266" s="13"/>
      <c r="F266" s="14"/>
      <c r="G266" s="14"/>
      <c r="H266" s="14"/>
      <c r="I266" s="14"/>
      <c r="J266" s="14"/>
      <c r="K266" s="12"/>
    </row>
    <row r="267" ht="19.5" customHeight="1">
      <c r="A267" s="12"/>
      <c r="C267" s="12"/>
      <c r="D267" s="13"/>
      <c r="F267" s="14"/>
      <c r="G267" s="14"/>
      <c r="H267" s="14"/>
      <c r="I267" s="14"/>
      <c r="J267" s="14"/>
      <c r="K267" s="12"/>
    </row>
    <row r="268" ht="19.5" customHeight="1">
      <c r="A268" s="12"/>
      <c r="C268" s="12"/>
      <c r="D268" s="13"/>
      <c r="F268" s="14"/>
      <c r="G268" s="14"/>
      <c r="H268" s="14"/>
      <c r="I268" s="14"/>
      <c r="J268" s="14"/>
      <c r="K268" s="12"/>
    </row>
    <row r="269" ht="19.5" customHeight="1">
      <c r="A269" s="12"/>
      <c r="C269" s="12"/>
      <c r="D269" s="13"/>
      <c r="F269" s="14"/>
      <c r="G269" s="14"/>
      <c r="H269" s="14"/>
      <c r="I269" s="14"/>
      <c r="J269" s="14"/>
      <c r="K269" s="12"/>
    </row>
    <row r="270" ht="19.5" customHeight="1">
      <c r="A270" s="12"/>
      <c r="C270" s="12"/>
      <c r="D270" s="13"/>
      <c r="F270" s="14"/>
      <c r="G270" s="14"/>
      <c r="H270" s="14"/>
      <c r="I270" s="14"/>
      <c r="J270" s="14"/>
      <c r="K270" s="12"/>
    </row>
    <row r="271" ht="19.5" customHeight="1">
      <c r="A271" s="12"/>
      <c r="C271" s="12"/>
      <c r="D271" s="13"/>
      <c r="F271" s="14"/>
      <c r="G271" s="14"/>
      <c r="H271" s="14"/>
      <c r="I271" s="14"/>
      <c r="J271" s="14"/>
      <c r="K271" s="12"/>
    </row>
    <row r="272" ht="19.5" customHeight="1">
      <c r="A272" s="12"/>
      <c r="C272" s="12"/>
      <c r="D272" s="13"/>
      <c r="F272" s="14"/>
      <c r="G272" s="14"/>
      <c r="H272" s="14"/>
      <c r="I272" s="14"/>
      <c r="J272" s="14"/>
      <c r="K272" s="12"/>
    </row>
    <row r="273" ht="19.5" customHeight="1">
      <c r="A273" s="12"/>
      <c r="C273" s="12"/>
      <c r="D273" s="13"/>
      <c r="F273" s="14"/>
      <c r="G273" s="14"/>
      <c r="H273" s="14"/>
      <c r="I273" s="14"/>
      <c r="J273" s="14"/>
      <c r="K273" s="12"/>
    </row>
    <row r="274" ht="19.5" customHeight="1">
      <c r="A274" s="12"/>
      <c r="C274" s="12"/>
      <c r="D274" s="13"/>
      <c r="F274" s="14"/>
      <c r="G274" s="14"/>
      <c r="H274" s="14"/>
      <c r="I274" s="14"/>
      <c r="J274" s="14"/>
      <c r="K274" s="12"/>
    </row>
    <row r="275" ht="19.5" customHeight="1">
      <c r="A275" s="12"/>
      <c r="C275" s="12"/>
      <c r="D275" s="13"/>
      <c r="F275" s="14"/>
      <c r="G275" s="14"/>
      <c r="H275" s="14"/>
      <c r="I275" s="14"/>
      <c r="J275" s="14"/>
      <c r="K275" s="12"/>
    </row>
    <row r="276" ht="19.5" customHeight="1">
      <c r="A276" s="12"/>
      <c r="C276" s="12"/>
      <c r="D276" s="13"/>
      <c r="F276" s="14"/>
      <c r="G276" s="14"/>
      <c r="H276" s="14"/>
      <c r="I276" s="14"/>
      <c r="J276" s="14"/>
      <c r="K276" s="12"/>
    </row>
    <row r="277" ht="19.5" customHeight="1">
      <c r="A277" s="12"/>
      <c r="C277" s="12"/>
      <c r="D277" s="13"/>
      <c r="F277" s="14"/>
      <c r="G277" s="14"/>
      <c r="H277" s="14"/>
      <c r="I277" s="14"/>
      <c r="J277" s="14"/>
      <c r="K277" s="12"/>
    </row>
    <row r="278" ht="19.5" customHeight="1">
      <c r="A278" s="12"/>
      <c r="C278" s="12"/>
      <c r="D278" s="13"/>
      <c r="F278" s="14"/>
      <c r="G278" s="14"/>
      <c r="H278" s="14"/>
      <c r="I278" s="14"/>
      <c r="J278" s="14"/>
      <c r="K278" s="12"/>
    </row>
    <row r="279" ht="19.5" customHeight="1">
      <c r="A279" s="12"/>
      <c r="C279" s="12"/>
      <c r="D279" s="13"/>
      <c r="F279" s="14"/>
      <c r="G279" s="14"/>
      <c r="H279" s="14"/>
      <c r="I279" s="14"/>
      <c r="J279" s="14"/>
      <c r="K279" s="12"/>
    </row>
    <row r="280" ht="19.5" customHeight="1">
      <c r="A280" s="12"/>
      <c r="C280" s="12"/>
      <c r="D280" s="13"/>
      <c r="F280" s="14"/>
      <c r="G280" s="14"/>
      <c r="H280" s="14"/>
      <c r="I280" s="14"/>
      <c r="J280" s="14"/>
      <c r="K280" s="12"/>
    </row>
    <row r="281" ht="19.5" customHeight="1">
      <c r="A281" s="12"/>
      <c r="C281" s="12"/>
      <c r="D281" s="13"/>
      <c r="F281" s="14"/>
      <c r="G281" s="14"/>
      <c r="H281" s="14"/>
      <c r="I281" s="14"/>
      <c r="J281" s="14"/>
      <c r="K281" s="12"/>
    </row>
    <row r="282" ht="19.5" customHeight="1">
      <c r="A282" s="12"/>
      <c r="C282" s="12"/>
      <c r="D282" s="13"/>
      <c r="F282" s="14"/>
      <c r="G282" s="14"/>
      <c r="H282" s="14"/>
      <c r="I282" s="14"/>
      <c r="J282" s="14"/>
      <c r="K282" s="12"/>
    </row>
    <row r="283" ht="19.5" customHeight="1">
      <c r="A283" s="12"/>
      <c r="C283" s="12"/>
      <c r="D283" s="13"/>
      <c r="F283" s="14"/>
      <c r="G283" s="14"/>
      <c r="H283" s="14"/>
      <c r="I283" s="14"/>
      <c r="J283" s="14"/>
      <c r="K283" s="12"/>
    </row>
    <row r="284" ht="19.5" customHeight="1">
      <c r="A284" s="12"/>
      <c r="C284" s="12"/>
      <c r="D284" s="13"/>
      <c r="F284" s="14"/>
      <c r="G284" s="14"/>
      <c r="H284" s="14"/>
      <c r="I284" s="14"/>
      <c r="J284" s="14"/>
      <c r="K284" s="12"/>
    </row>
    <row r="285" ht="19.5" customHeight="1">
      <c r="A285" s="12"/>
      <c r="C285" s="12"/>
      <c r="D285" s="13"/>
      <c r="F285" s="14"/>
      <c r="G285" s="14"/>
      <c r="H285" s="14"/>
      <c r="I285" s="14"/>
      <c r="J285" s="14"/>
      <c r="K285" s="12"/>
    </row>
    <row r="286" ht="19.5" customHeight="1">
      <c r="A286" s="12"/>
      <c r="C286" s="12"/>
      <c r="D286" s="13"/>
      <c r="F286" s="14"/>
      <c r="G286" s="14"/>
      <c r="H286" s="14"/>
      <c r="I286" s="14"/>
      <c r="J286" s="14"/>
      <c r="K286" s="12"/>
    </row>
    <row r="287" ht="19.5" customHeight="1">
      <c r="A287" s="12"/>
      <c r="C287" s="12"/>
      <c r="D287" s="13"/>
      <c r="F287" s="14"/>
      <c r="G287" s="14"/>
      <c r="H287" s="14"/>
      <c r="I287" s="14"/>
      <c r="J287" s="14"/>
      <c r="K287" s="12"/>
    </row>
    <row r="288" ht="19.5" customHeight="1">
      <c r="A288" s="12"/>
      <c r="C288" s="12"/>
      <c r="D288" s="13"/>
      <c r="F288" s="14"/>
      <c r="G288" s="14"/>
      <c r="H288" s="14"/>
      <c r="I288" s="14"/>
      <c r="J288" s="14"/>
      <c r="K288" s="12"/>
    </row>
    <row r="289" ht="19.5" customHeight="1">
      <c r="A289" s="12"/>
      <c r="C289" s="12"/>
      <c r="D289" s="13"/>
      <c r="F289" s="14"/>
      <c r="G289" s="14"/>
      <c r="H289" s="14"/>
      <c r="I289" s="14"/>
      <c r="J289" s="14"/>
      <c r="K289" s="12"/>
    </row>
    <row r="290" ht="19.5" customHeight="1">
      <c r="A290" s="12"/>
      <c r="C290" s="12"/>
      <c r="D290" s="13"/>
      <c r="F290" s="14"/>
      <c r="G290" s="14"/>
      <c r="H290" s="14"/>
      <c r="I290" s="14"/>
      <c r="J290" s="14"/>
      <c r="K290" s="12"/>
    </row>
    <row r="291" ht="19.5" customHeight="1">
      <c r="A291" s="12"/>
      <c r="C291" s="12"/>
      <c r="D291" s="13"/>
      <c r="F291" s="14"/>
      <c r="G291" s="14"/>
      <c r="H291" s="14"/>
      <c r="I291" s="14"/>
      <c r="J291" s="14"/>
      <c r="K291" s="12"/>
    </row>
    <row r="292" ht="19.5" customHeight="1">
      <c r="A292" s="12"/>
      <c r="C292" s="12"/>
      <c r="D292" s="13"/>
      <c r="F292" s="14"/>
      <c r="G292" s="14"/>
      <c r="H292" s="14"/>
      <c r="I292" s="14"/>
      <c r="J292" s="14"/>
      <c r="K292" s="12"/>
    </row>
    <row r="293" ht="19.5" customHeight="1">
      <c r="A293" s="12"/>
      <c r="C293" s="12"/>
      <c r="D293" s="13"/>
      <c r="F293" s="14"/>
      <c r="G293" s="14"/>
      <c r="H293" s="14"/>
      <c r="I293" s="14"/>
      <c r="J293" s="14"/>
      <c r="K293" s="12"/>
    </row>
    <row r="294" ht="19.5" customHeight="1">
      <c r="A294" s="12"/>
      <c r="C294" s="12"/>
      <c r="D294" s="13"/>
      <c r="F294" s="14"/>
      <c r="G294" s="14"/>
      <c r="H294" s="14"/>
      <c r="I294" s="14"/>
      <c r="J294" s="14"/>
      <c r="K294" s="12"/>
    </row>
    <row r="295" ht="19.5" customHeight="1">
      <c r="A295" s="12"/>
      <c r="C295" s="12"/>
      <c r="D295" s="13"/>
      <c r="F295" s="14"/>
      <c r="G295" s="14"/>
      <c r="H295" s="14"/>
      <c r="I295" s="14"/>
      <c r="J295" s="14"/>
      <c r="K295" s="12"/>
    </row>
    <row r="296" ht="19.5" customHeight="1">
      <c r="A296" s="12"/>
      <c r="C296" s="12"/>
      <c r="D296" s="13"/>
      <c r="F296" s="14"/>
      <c r="G296" s="14"/>
      <c r="H296" s="14"/>
      <c r="I296" s="14"/>
      <c r="J296" s="14"/>
      <c r="K296" s="12"/>
    </row>
    <row r="297" ht="19.5" customHeight="1">
      <c r="A297" s="12"/>
      <c r="C297" s="12"/>
      <c r="D297" s="13"/>
      <c r="F297" s="14"/>
      <c r="G297" s="14"/>
      <c r="H297" s="14"/>
      <c r="I297" s="14"/>
      <c r="J297" s="14"/>
      <c r="K297" s="12"/>
    </row>
    <row r="298" ht="19.5" customHeight="1">
      <c r="A298" s="12"/>
      <c r="C298" s="12"/>
      <c r="D298" s="13"/>
      <c r="F298" s="14"/>
      <c r="G298" s="14"/>
      <c r="H298" s="14"/>
      <c r="I298" s="14"/>
      <c r="J298" s="14"/>
      <c r="K298" s="12"/>
    </row>
    <row r="299" ht="19.5" customHeight="1">
      <c r="A299" s="12"/>
      <c r="C299" s="12"/>
      <c r="D299" s="13"/>
      <c r="F299" s="14"/>
      <c r="G299" s="14"/>
      <c r="H299" s="14"/>
      <c r="I299" s="14"/>
      <c r="J299" s="14"/>
      <c r="K299" s="12"/>
    </row>
    <row r="300" ht="19.5" customHeight="1">
      <c r="A300" s="12"/>
      <c r="C300" s="12"/>
      <c r="D300" s="13"/>
      <c r="F300" s="14"/>
      <c r="G300" s="14"/>
      <c r="H300" s="14"/>
      <c r="I300" s="14"/>
      <c r="J300" s="14"/>
      <c r="K300" s="12"/>
    </row>
    <row r="301" ht="19.5" customHeight="1">
      <c r="A301" s="12"/>
      <c r="C301" s="12"/>
      <c r="D301" s="13"/>
      <c r="F301" s="14"/>
      <c r="G301" s="14"/>
      <c r="H301" s="14"/>
      <c r="I301" s="14"/>
      <c r="J301" s="14"/>
      <c r="K301" s="12"/>
    </row>
    <row r="302" ht="19.5" customHeight="1">
      <c r="A302" s="12"/>
      <c r="C302" s="12"/>
      <c r="D302" s="13"/>
      <c r="F302" s="14"/>
      <c r="G302" s="14"/>
      <c r="H302" s="14"/>
      <c r="I302" s="14"/>
      <c r="J302" s="14"/>
      <c r="K302" s="12"/>
    </row>
    <row r="303" ht="19.5" customHeight="1">
      <c r="A303" s="12"/>
      <c r="C303" s="12"/>
      <c r="D303" s="13"/>
      <c r="F303" s="14"/>
      <c r="G303" s="14"/>
      <c r="H303" s="14"/>
      <c r="I303" s="14"/>
      <c r="J303" s="14"/>
      <c r="K303" s="12"/>
    </row>
    <row r="304" ht="19.5" customHeight="1">
      <c r="A304" s="12"/>
      <c r="C304" s="12"/>
      <c r="D304" s="13"/>
      <c r="F304" s="14"/>
      <c r="G304" s="14"/>
      <c r="H304" s="14"/>
      <c r="I304" s="14"/>
      <c r="J304" s="14"/>
      <c r="K304" s="12"/>
    </row>
    <row r="305" ht="19.5" customHeight="1">
      <c r="A305" s="12"/>
      <c r="C305" s="12"/>
      <c r="D305" s="13"/>
      <c r="F305" s="14"/>
      <c r="G305" s="14"/>
      <c r="H305" s="14"/>
      <c r="I305" s="14"/>
      <c r="J305" s="14"/>
      <c r="K305" s="12"/>
    </row>
    <row r="306" ht="19.5" customHeight="1">
      <c r="A306" s="12"/>
      <c r="C306" s="12"/>
      <c r="D306" s="13"/>
      <c r="F306" s="14"/>
      <c r="G306" s="14"/>
      <c r="H306" s="14"/>
      <c r="I306" s="14"/>
      <c r="J306" s="14"/>
      <c r="K306" s="12"/>
    </row>
    <row r="307" ht="19.5" customHeight="1">
      <c r="A307" s="12"/>
      <c r="C307" s="12"/>
      <c r="D307" s="13"/>
      <c r="F307" s="14"/>
      <c r="G307" s="14"/>
      <c r="H307" s="14"/>
      <c r="I307" s="14"/>
      <c r="J307" s="14"/>
      <c r="K307" s="12"/>
    </row>
    <row r="308" ht="19.5" customHeight="1">
      <c r="A308" s="12"/>
      <c r="C308" s="12"/>
      <c r="D308" s="13"/>
      <c r="F308" s="14"/>
      <c r="G308" s="14"/>
      <c r="H308" s="14"/>
      <c r="I308" s="14"/>
      <c r="J308" s="14"/>
      <c r="K308" s="12"/>
    </row>
    <row r="309" ht="19.5" customHeight="1">
      <c r="A309" s="12"/>
      <c r="C309" s="12"/>
      <c r="D309" s="13"/>
      <c r="F309" s="14"/>
      <c r="G309" s="14"/>
      <c r="H309" s="14"/>
      <c r="I309" s="14"/>
      <c r="J309" s="14"/>
      <c r="K309" s="12"/>
    </row>
    <row r="310" ht="19.5" customHeight="1">
      <c r="A310" s="12"/>
      <c r="C310" s="12"/>
      <c r="D310" s="13"/>
      <c r="F310" s="14"/>
      <c r="G310" s="14"/>
      <c r="H310" s="14"/>
      <c r="I310" s="14"/>
      <c r="J310" s="14"/>
      <c r="K310" s="12"/>
    </row>
    <row r="311" ht="19.5" customHeight="1">
      <c r="A311" s="12"/>
      <c r="C311" s="12"/>
      <c r="D311" s="13"/>
      <c r="F311" s="14"/>
      <c r="G311" s="14"/>
      <c r="H311" s="14"/>
      <c r="I311" s="14"/>
      <c r="J311" s="14"/>
      <c r="K311" s="12"/>
    </row>
    <row r="312" ht="19.5" customHeight="1">
      <c r="A312" s="12"/>
      <c r="C312" s="12"/>
      <c r="D312" s="13"/>
      <c r="F312" s="14"/>
      <c r="G312" s="14"/>
      <c r="H312" s="14"/>
      <c r="I312" s="14"/>
      <c r="J312" s="14"/>
      <c r="K312" s="12"/>
    </row>
    <row r="313" ht="19.5" customHeight="1">
      <c r="A313" s="12"/>
      <c r="C313" s="12"/>
      <c r="D313" s="13"/>
      <c r="F313" s="14"/>
      <c r="G313" s="14"/>
      <c r="H313" s="14"/>
      <c r="I313" s="14"/>
      <c r="J313" s="14"/>
      <c r="K313" s="12"/>
    </row>
    <row r="314" ht="19.5" customHeight="1">
      <c r="A314" s="12"/>
      <c r="C314" s="12"/>
      <c r="D314" s="13"/>
      <c r="F314" s="14"/>
      <c r="G314" s="14"/>
      <c r="H314" s="14"/>
      <c r="I314" s="14"/>
      <c r="J314" s="14"/>
      <c r="K314" s="12"/>
    </row>
    <row r="315" ht="19.5" customHeight="1">
      <c r="A315" s="12"/>
      <c r="C315" s="12"/>
      <c r="D315" s="13"/>
      <c r="F315" s="14"/>
      <c r="G315" s="14"/>
      <c r="H315" s="14"/>
      <c r="I315" s="14"/>
      <c r="J315" s="14"/>
      <c r="K315" s="12"/>
    </row>
    <row r="316" ht="19.5" customHeight="1">
      <c r="A316" s="12"/>
      <c r="C316" s="12"/>
      <c r="D316" s="13"/>
      <c r="F316" s="14"/>
      <c r="G316" s="14"/>
      <c r="H316" s="14"/>
      <c r="I316" s="14"/>
      <c r="J316" s="14"/>
      <c r="K316" s="12"/>
    </row>
    <row r="317" ht="19.5" customHeight="1">
      <c r="A317" s="12"/>
      <c r="C317" s="12"/>
      <c r="D317" s="13"/>
      <c r="F317" s="14"/>
      <c r="G317" s="14"/>
      <c r="H317" s="14"/>
      <c r="I317" s="14"/>
      <c r="J317" s="14"/>
      <c r="K317" s="12"/>
    </row>
    <row r="318" ht="19.5" customHeight="1">
      <c r="A318" s="12"/>
      <c r="C318" s="12"/>
      <c r="D318" s="13"/>
      <c r="F318" s="14"/>
      <c r="G318" s="14"/>
      <c r="H318" s="14"/>
      <c r="I318" s="14"/>
      <c r="J318" s="14"/>
      <c r="K318" s="12"/>
    </row>
    <row r="319" ht="19.5" customHeight="1">
      <c r="A319" s="12"/>
      <c r="C319" s="12"/>
      <c r="D319" s="13"/>
      <c r="F319" s="14"/>
      <c r="G319" s="14"/>
      <c r="H319" s="14"/>
      <c r="I319" s="14"/>
      <c r="J319" s="14"/>
      <c r="K319" s="12"/>
    </row>
    <row r="320" ht="19.5" customHeight="1">
      <c r="A320" s="12"/>
      <c r="C320" s="12"/>
      <c r="D320" s="13"/>
      <c r="F320" s="14"/>
      <c r="G320" s="14"/>
      <c r="H320" s="14"/>
      <c r="I320" s="14"/>
      <c r="J320" s="14"/>
      <c r="K320" s="12"/>
    </row>
    <row r="321" ht="19.5" customHeight="1">
      <c r="A321" s="12"/>
      <c r="C321" s="12"/>
      <c r="D321" s="13"/>
      <c r="F321" s="14"/>
      <c r="G321" s="14"/>
      <c r="H321" s="14"/>
      <c r="I321" s="14"/>
      <c r="J321" s="14"/>
      <c r="K321" s="12"/>
    </row>
    <row r="322" ht="19.5" customHeight="1">
      <c r="A322" s="12"/>
      <c r="C322" s="12"/>
      <c r="D322" s="13"/>
      <c r="F322" s="14"/>
      <c r="G322" s="14"/>
      <c r="H322" s="14"/>
      <c r="I322" s="14"/>
      <c r="J322" s="14"/>
      <c r="K322" s="12"/>
    </row>
    <row r="323" ht="19.5" customHeight="1">
      <c r="A323" s="12"/>
      <c r="C323" s="12"/>
      <c r="D323" s="13"/>
      <c r="F323" s="14"/>
      <c r="G323" s="14"/>
      <c r="H323" s="14"/>
      <c r="I323" s="14"/>
      <c r="J323" s="14"/>
      <c r="K323" s="12"/>
    </row>
    <row r="324" ht="19.5" customHeight="1">
      <c r="A324" s="12"/>
      <c r="C324" s="12"/>
      <c r="D324" s="13"/>
      <c r="F324" s="14"/>
      <c r="G324" s="14"/>
      <c r="H324" s="14"/>
      <c r="I324" s="14"/>
      <c r="J324" s="14"/>
      <c r="K324" s="12"/>
    </row>
    <row r="325" ht="19.5" customHeight="1">
      <c r="A325" s="12"/>
      <c r="C325" s="12"/>
      <c r="D325" s="13"/>
      <c r="F325" s="14"/>
      <c r="G325" s="14"/>
      <c r="H325" s="14"/>
      <c r="I325" s="14"/>
      <c r="J325" s="14"/>
      <c r="K325" s="12"/>
    </row>
    <row r="326" ht="19.5" customHeight="1">
      <c r="A326" s="12"/>
      <c r="C326" s="12"/>
      <c r="D326" s="13"/>
      <c r="F326" s="14"/>
      <c r="G326" s="14"/>
      <c r="H326" s="14"/>
      <c r="I326" s="14"/>
      <c r="J326" s="14"/>
      <c r="K326" s="12"/>
    </row>
    <row r="327" ht="19.5" customHeight="1">
      <c r="A327" s="12"/>
      <c r="C327" s="12"/>
      <c r="D327" s="13"/>
      <c r="F327" s="14"/>
      <c r="G327" s="14"/>
      <c r="H327" s="14"/>
      <c r="I327" s="14"/>
      <c r="J327" s="14"/>
      <c r="K327" s="12"/>
    </row>
    <row r="328" ht="19.5" customHeight="1">
      <c r="A328" s="12"/>
      <c r="C328" s="12"/>
      <c r="D328" s="13"/>
      <c r="F328" s="14"/>
      <c r="G328" s="14"/>
      <c r="H328" s="14"/>
      <c r="I328" s="14"/>
      <c r="J328" s="14"/>
      <c r="K328" s="12"/>
    </row>
    <row r="329" ht="19.5" customHeight="1">
      <c r="A329" s="12"/>
      <c r="C329" s="12"/>
      <c r="D329" s="13"/>
      <c r="F329" s="14"/>
      <c r="G329" s="14"/>
      <c r="H329" s="14"/>
      <c r="I329" s="14"/>
      <c r="J329" s="14"/>
      <c r="K329" s="12"/>
    </row>
    <row r="330" ht="19.5" customHeight="1">
      <c r="A330" s="12"/>
      <c r="C330" s="12"/>
      <c r="D330" s="13"/>
      <c r="F330" s="14"/>
      <c r="G330" s="14"/>
      <c r="H330" s="14"/>
      <c r="I330" s="14"/>
      <c r="J330" s="14"/>
      <c r="K330" s="12"/>
    </row>
    <row r="331" ht="19.5" customHeight="1">
      <c r="A331" s="12"/>
      <c r="C331" s="12"/>
      <c r="D331" s="13"/>
      <c r="F331" s="14"/>
      <c r="G331" s="14"/>
      <c r="H331" s="14"/>
      <c r="I331" s="14"/>
      <c r="J331" s="14"/>
      <c r="K331" s="12"/>
    </row>
    <row r="332" ht="19.5" customHeight="1">
      <c r="A332" s="12"/>
      <c r="C332" s="12"/>
      <c r="D332" s="13"/>
      <c r="F332" s="14"/>
      <c r="G332" s="14"/>
      <c r="H332" s="14"/>
      <c r="I332" s="14"/>
      <c r="J332" s="14"/>
      <c r="K332" s="12"/>
    </row>
    <row r="333" ht="19.5" customHeight="1">
      <c r="A333" s="12"/>
      <c r="C333" s="12"/>
      <c r="D333" s="13"/>
      <c r="F333" s="14"/>
      <c r="G333" s="14"/>
      <c r="H333" s="14"/>
      <c r="I333" s="14"/>
      <c r="J333" s="14"/>
      <c r="K333" s="12"/>
    </row>
    <row r="334" ht="19.5" customHeight="1">
      <c r="A334" s="12"/>
      <c r="C334" s="12"/>
      <c r="D334" s="13"/>
      <c r="F334" s="14"/>
      <c r="G334" s="14"/>
      <c r="H334" s="14"/>
      <c r="I334" s="14"/>
      <c r="J334" s="14"/>
      <c r="K334" s="12"/>
    </row>
    <row r="335" ht="19.5" customHeight="1">
      <c r="A335" s="12"/>
      <c r="C335" s="12"/>
      <c r="D335" s="13"/>
      <c r="F335" s="14"/>
      <c r="G335" s="14"/>
      <c r="H335" s="14"/>
      <c r="I335" s="14"/>
      <c r="J335" s="14"/>
      <c r="K335" s="12"/>
    </row>
    <row r="336" ht="19.5" customHeight="1">
      <c r="A336" s="12"/>
      <c r="C336" s="12"/>
      <c r="D336" s="13"/>
      <c r="F336" s="14"/>
      <c r="G336" s="14"/>
      <c r="H336" s="14"/>
      <c r="I336" s="14"/>
      <c r="J336" s="14"/>
      <c r="K336" s="12"/>
    </row>
    <row r="337" ht="19.5" customHeight="1">
      <c r="A337" s="12"/>
      <c r="C337" s="12"/>
      <c r="D337" s="13"/>
      <c r="F337" s="14"/>
      <c r="G337" s="14"/>
      <c r="H337" s="14"/>
      <c r="I337" s="14"/>
      <c r="J337" s="14"/>
      <c r="K337" s="12"/>
    </row>
    <row r="338" ht="19.5" customHeight="1">
      <c r="A338" s="12"/>
      <c r="C338" s="12"/>
      <c r="D338" s="13"/>
      <c r="F338" s="14"/>
      <c r="G338" s="14"/>
      <c r="H338" s="14"/>
      <c r="I338" s="14"/>
      <c r="J338" s="14"/>
      <c r="K338" s="12"/>
    </row>
    <row r="339" ht="19.5" customHeight="1">
      <c r="A339" s="12"/>
      <c r="C339" s="12"/>
      <c r="D339" s="13"/>
      <c r="F339" s="14"/>
      <c r="G339" s="14"/>
      <c r="H339" s="14"/>
      <c r="I339" s="14"/>
      <c r="J339" s="14"/>
      <c r="K339" s="12"/>
    </row>
    <row r="340" ht="19.5" customHeight="1">
      <c r="A340" s="12"/>
      <c r="C340" s="12"/>
      <c r="D340" s="13"/>
      <c r="F340" s="14"/>
      <c r="G340" s="14"/>
      <c r="H340" s="14"/>
      <c r="I340" s="14"/>
      <c r="J340" s="14"/>
      <c r="K340" s="12"/>
    </row>
    <row r="341" ht="19.5" customHeight="1">
      <c r="A341" s="12"/>
      <c r="C341" s="12"/>
      <c r="D341" s="13"/>
      <c r="F341" s="14"/>
      <c r="G341" s="14"/>
      <c r="H341" s="14"/>
      <c r="I341" s="14"/>
      <c r="J341" s="14"/>
      <c r="K341" s="12"/>
    </row>
    <row r="342" ht="19.5" customHeight="1">
      <c r="A342" s="12"/>
      <c r="C342" s="12"/>
      <c r="D342" s="13"/>
      <c r="F342" s="14"/>
      <c r="G342" s="14"/>
      <c r="H342" s="14"/>
      <c r="I342" s="14"/>
      <c r="J342" s="14"/>
      <c r="K342" s="12"/>
    </row>
    <row r="343" ht="19.5" customHeight="1">
      <c r="A343" s="12"/>
      <c r="C343" s="12"/>
      <c r="D343" s="13"/>
      <c r="F343" s="14"/>
      <c r="G343" s="14"/>
      <c r="H343" s="14"/>
      <c r="I343" s="14"/>
      <c r="J343" s="14"/>
      <c r="K343" s="12"/>
    </row>
    <row r="344" ht="19.5" customHeight="1">
      <c r="A344" s="12"/>
      <c r="C344" s="12"/>
      <c r="D344" s="13"/>
      <c r="F344" s="14"/>
      <c r="G344" s="14"/>
      <c r="H344" s="14"/>
      <c r="I344" s="14"/>
      <c r="J344" s="14"/>
      <c r="K344" s="12"/>
    </row>
    <row r="345" ht="19.5" customHeight="1">
      <c r="A345" s="12"/>
      <c r="C345" s="12"/>
      <c r="D345" s="13"/>
      <c r="F345" s="14"/>
      <c r="G345" s="14"/>
      <c r="H345" s="14"/>
      <c r="I345" s="14"/>
      <c r="J345" s="14"/>
      <c r="K345" s="12"/>
    </row>
    <row r="346" ht="19.5" customHeight="1">
      <c r="A346" s="12"/>
      <c r="C346" s="12"/>
      <c r="D346" s="13"/>
      <c r="F346" s="14"/>
      <c r="G346" s="14"/>
      <c r="H346" s="14"/>
      <c r="I346" s="14"/>
      <c r="J346" s="14"/>
      <c r="K346" s="12"/>
    </row>
    <row r="347" ht="19.5" customHeight="1">
      <c r="A347" s="12"/>
      <c r="C347" s="12"/>
      <c r="D347" s="13"/>
      <c r="F347" s="14"/>
      <c r="G347" s="14"/>
      <c r="H347" s="14"/>
      <c r="I347" s="14"/>
      <c r="J347" s="14"/>
      <c r="K347" s="12"/>
    </row>
    <row r="348" ht="19.5" customHeight="1">
      <c r="A348" s="12"/>
      <c r="C348" s="12"/>
      <c r="D348" s="13"/>
      <c r="F348" s="14"/>
      <c r="G348" s="14"/>
      <c r="H348" s="14"/>
      <c r="I348" s="14"/>
      <c r="J348" s="14"/>
      <c r="K348" s="12"/>
    </row>
    <row r="349" ht="19.5" customHeight="1">
      <c r="A349" s="12"/>
      <c r="C349" s="12"/>
      <c r="D349" s="13"/>
      <c r="F349" s="14"/>
      <c r="G349" s="14"/>
      <c r="H349" s="14"/>
      <c r="I349" s="14"/>
      <c r="J349" s="14"/>
      <c r="K349" s="12"/>
    </row>
    <row r="350" ht="19.5" customHeight="1">
      <c r="A350" s="12"/>
      <c r="C350" s="12"/>
      <c r="D350" s="13"/>
      <c r="F350" s="14"/>
      <c r="G350" s="14"/>
      <c r="H350" s="14"/>
      <c r="I350" s="14"/>
      <c r="J350" s="14"/>
      <c r="K350" s="12"/>
    </row>
    <row r="351" ht="19.5" customHeight="1">
      <c r="A351" s="12"/>
      <c r="C351" s="12"/>
      <c r="D351" s="13"/>
      <c r="F351" s="14"/>
      <c r="G351" s="14"/>
      <c r="H351" s="14"/>
      <c r="I351" s="14"/>
      <c r="J351" s="14"/>
      <c r="K351" s="12"/>
    </row>
    <row r="352" ht="19.5" customHeight="1">
      <c r="A352" s="12"/>
      <c r="C352" s="12"/>
      <c r="D352" s="13"/>
      <c r="F352" s="14"/>
      <c r="G352" s="14"/>
      <c r="H352" s="14"/>
      <c r="I352" s="14"/>
      <c r="J352" s="14"/>
      <c r="K352" s="12"/>
    </row>
    <row r="353" ht="19.5" customHeight="1">
      <c r="A353" s="12"/>
      <c r="C353" s="12"/>
      <c r="D353" s="13"/>
      <c r="F353" s="14"/>
      <c r="G353" s="14"/>
      <c r="H353" s="14"/>
      <c r="I353" s="14"/>
      <c r="J353" s="14"/>
      <c r="K353" s="12"/>
    </row>
    <row r="354" ht="19.5" customHeight="1">
      <c r="A354" s="12"/>
      <c r="C354" s="12"/>
      <c r="D354" s="13"/>
      <c r="F354" s="14"/>
      <c r="G354" s="14"/>
      <c r="H354" s="14"/>
      <c r="I354" s="14"/>
      <c r="J354" s="14"/>
      <c r="K354" s="12"/>
    </row>
    <row r="355" ht="19.5" customHeight="1">
      <c r="A355" s="12"/>
      <c r="C355" s="12"/>
      <c r="D355" s="13"/>
      <c r="F355" s="14"/>
      <c r="G355" s="14"/>
      <c r="H355" s="14"/>
      <c r="I355" s="14"/>
      <c r="J355" s="14"/>
      <c r="K355" s="12"/>
    </row>
    <row r="356" ht="19.5" customHeight="1">
      <c r="A356" s="12"/>
      <c r="C356" s="12"/>
      <c r="D356" s="13"/>
      <c r="F356" s="14"/>
      <c r="G356" s="14"/>
      <c r="H356" s="14"/>
      <c r="I356" s="14"/>
      <c r="J356" s="14"/>
      <c r="K356" s="12"/>
    </row>
    <row r="357" ht="19.5" customHeight="1">
      <c r="A357" s="12"/>
      <c r="C357" s="12"/>
      <c r="D357" s="13"/>
      <c r="F357" s="14"/>
      <c r="G357" s="14"/>
      <c r="H357" s="14"/>
      <c r="I357" s="14"/>
      <c r="J357" s="14"/>
      <c r="K357" s="12"/>
    </row>
    <row r="358" ht="19.5" customHeight="1">
      <c r="A358" s="12"/>
      <c r="C358" s="12"/>
      <c r="D358" s="13"/>
      <c r="F358" s="14"/>
      <c r="G358" s="14"/>
      <c r="H358" s="14"/>
      <c r="I358" s="14"/>
      <c r="J358" s="14"/>
      <c r="K358" s="12"/>
    </row>
    <row r="359" ht="19.5" customHeight="1">
      <c r="A359" s="12"/>
      <c r="C359" s="12"/>
      <c r="D359" s="13"/>
      <c r="F359" s="14"/>
      <c r="G359" s="14"/>
      <c r="H359" s="14"/>
      <c r="I359" s="14"/>
      <c r="J359" s="14"/>
      <c r="K359" s="12"/>
    </row>
    <row r="360" ht="19.5" customHeight="1">
      <c r="A360" s="12"/>
      <c r="C360" s="12"/>
      <c r="D360" s="13"/>
      <c r="F360" s="14"/>
      <c r="G360" s="14"/>
      <c r="H360" s="14"/>
      <c r="I360" s="14"/>
      <c r="J360" s="14"/>
      <c r="K360" s="12"/>
    </row>
    <row r="361" ht="19.5" customHeight="1">
      <c r="A361" s="12"/>
      <c r="C361" s="12"/>
      <c r="D361" s="13"/>
      <c r="F361" s="14"/>
      <c r="G361" s="14"/>
      <c r="H361" s="14"/>
      <c r="I361" s="14"/>
      <c r="J361" s="14"/>
      <c r="K361" s="12"/>
    </row>
    <row r="362" ht="19.5" customHeight="1">
      <c r="A362" s="12"/>
      <c r="C362" s="12"/>
      <c r="D362" s="13"/>
      <c r="F362" s="14"/>
      <c r="G362" s="14"/>
      <c r="H362" s="14"/>
      <c r="I362" s="14"/>
      <c r="J362" s="14"/>
      <c r="K362" s="12"/>
    </row>
    <row r="363" ht="19.5" customHeight="1">
      <c r="A363" s="12"/>
      <c r="C363" s="12"/>
      <c r="D363" s="13"/>
      <c r="F363" s="14"/>
      <c r="G363" s="14"/>
      <c r="H363" s="14"/>
      <c r="I363" s="14"/>
      <c r="J363" s="14"/>
      <c r="K363" s="12"/>
    </row>
    <row r="364" ht="19.5" customHeight="1">
      <c r="A364" s="12"/>
      <c r="C364" s="12"/>
      <c r="D364" s="13"/>
      <c r="F364" s="14"/>
      <c r="G364" s="14"/>
      <c r="H364" s="14"/>
      <c r="I364" s="14"/>
      <c r="J364" s="14"/>
      <c r="K364" s="12"/>
    </row>
    <row r="365" ht="19.5" customHeight="1">
      <c r="A365" s="12"/>
      <c r="C365" s="12"/>
      <c r="D365" s="13"/>
      <c r="F365" s="14"/>
      <c r="G365" s="14"/>
      <c r="H365" s="14"/>
      <c r="I365" s="14"/>
      <c r="J365" s="14"/>
      <c r="K365" s="12"/>
    </row>
    <row r="366" ht="19.5" customHeight="1">
      <c r="A366" s="12"/>
      <c r="C366" s="12"/>
      <c r="D366" s="13"/>
      <c r="F366" s="14"/>
      <c r="G366" s="14"/>
      <c r="H366" s="14"/>
      <c r="I366" s="14"/>
      <c r="J366" s="14"/>
      <c r="K366" s="12"/>
    </row>
    <row r="367" ht="19.5" customHeight="1">
      <c r="A367" s="12"/>
      <c r="C367" s="12"/>
      <c r="D367" s="13"/>
      <c r="F367" s="14"/>
      <c r="G367" s="14"/>
      <c r="H367" s="14"/>
      <c r="I367" s="14"/>
      <c r="J367" s="14"/>
      <c r="K367" s="12"/>
    </row>
    <row r="368" ht="19.5" customHeight="1">
      <c r="A368" s="12"/>
      <c r="C368" s="12"/>
      <c r="D368" s="13"/>
      <c r="F368" s="14"/>
      <c r="G368" s="14"/>
      <c r="H368" s="14"/>
      <c r="I368" s="14"/>
      <c r="J368" s="14"/>
      <c r="K368" s="12"/>
    </row>
    <row r="369" ht="19.5" customHeight="1">
      <c r="A369" s="12"/>
      <c r="C369" s="12"/>
      <c r="D369" s="13"/>
      <c r="F369" s="14"/>
      <c r="G369" s="14"/>
      <c r="H369" s="14"/>
      <c r="I369" s="14"/>
      <c r="J369" s="14"/>
      <c r="K369" s="12"/>
    </row>
    <row r="370" ht="19.5" customHeight="1">
      <c r="A370" s="12"/>
      <c r="C370" s="12"/>
      <c r="D370" s="13"/>
      <c r="F370" s="14"/>
      <c r="G370" s="14"/>
      <c r="H370" s="14"/>
      <c r="I370" s="14"/>
      <c r="J370" s="14"/>
      <c r="K370" s="12"/>
    </row>
    <row r="371" ht="19.5" customHeight="1">
      <c r="A371" s="12"/>
      <c r="C371" s="12"/>
      <c r="D371" s="13"/>
      <c r="F371" s="14"/>
      <c r="G371" s="14"/>
      <c r="H371" s="14"/>
      <c r="I371" s="14"/>
      <c r="J371" s="14"/>
      <c r="K371" s="12"/>
    </row>
    <row r="372" ht="19.5" customHeight="1">
      <c r="A372" s="12"/>
      <c r="C372" s="12"/>
      <c r="D372" s="13"/>
      <c r="F372" s="14"/>
      <c r="G372" s="14"/>
      <c r="H372" s="14"/>
      <c r="I372" s="14"/>
      <c r="J372" s="14"/>
      <c r="K372" s="12"/>
    </row>
    <row r="373" ht="19.5" customHeight="1">
      <c r="A373" s="12"/>
      <c r="C373" s="12"/>
      <c r="D373" s="13"/>
      <c r="F373" s="14"/>
      <c r="G373" s="14"/>
      <c r="H373" s="14"/>
      <c r="I373" s="14"/>
      <c r="J373" s="14"/>
      <c r="K373" s="12"/>
    </row>
    <row r="374" ht="19.5" customHeight="1">
      <c r="A374" s="12"/>
      <c r="C374" s="12"/>
      <c r="D374" s="13"/>
      <c r="F374" s="14"/>
      <c r="G374" s="14"/>
      <c r="H374" s="14"/>
      <c r="I374" s="14"/>
      <c r="J374" s="14"/>
      <c r="K374" s="12"/>
    </row>
    <row r="375" ht="19.5" customHeight="1">
      <c r="A375" s="12"/>
      <c r="C375" s="12"/>
      <c r="D375" s="13"/>
      <c r="F375" s="14"/>
      <c r="G375" s="14"/>
      <c r="H375" s="14"/>
      <c r="I375" s="14"/>
      <c r="J375" s="14"/>
      <c r="K375" s="12"/>
    </row>
    <row r="376" ht="19.5" customHeight="1">
      <c r="A376" s="12"/>
      <c r="C376" s="12"/>
      <c r="D376" s="13"/>
      <c r="F376" s="14"/>
      <c r="G376" s="14"/>
      <c r="H376" s="14"/>
      <c r="I376" s="14"/>
      <c r="J376" s="14"/>
      <c r="K376" s="12"/>
    </row>
    <row r="377" ht="19.5" customHeight="1">
      <c r="A377" s="12"/>
      <c r="C377" s="12"/>
      <c r="D377" s="13"/>
      <c r="F377" s="14"/>
      <c r="G377" s="14"/>
      <c r="H377" s="14"/>
      <c r="I377" s="14"/>
      <c r="J377" s="14"/>
      <c r="K377" s="12"/>
    </row>
    <row r="378" ht="19.5" customHeight="1">
      <c r="A378" s="12"/>
      <c r="C378" s="12"/>
      <c r="D378" s="13"/>
      <c r="F378" s="14"/>
      <c r="G378" s="14"/>
      <c r="H378" s="14"/>
      <c r="I378" s="14"/>
      <c r="J378" s="14"/>
      <c r="K378" s="12"/>
    </row>
    <row r="379" ht="19.5" customHeight="1">
      <c r="A379" s="12"/>
      <c r="C379" s="12"/>
      <c r="D379" s="13"/>
      <c r="F379" s="14"/>
      <c r="G379" s="14"/>
      <c r="H379" s="14"/>
      <c r="I379" s="14"/>
      <c r="J379" s="14"/>
      <c r="K379" s="12"/>
    </row>
    <row r="380" ht="19.5" customHeight="1">
      <c r="A380" s="12"/>
      <c r="C380" s="12"/>
      <c r="D380" s="13"/>
      <c r="F380" s="14"/>
      <c r="G380" s="14"/>
      <c r="H380" s="14"/>
      <c r="I380" s="14"/>
      <c r="J380" s="14"/>
      <c r="K380" s="12"/>
    </row>
    <row r="381" ht="19.5" customHeight="1">
      <c r="A381" s="12"/>
      <c r="C381" s="12"/>
      <c r="D381" s="13"/>
      <c r="F381" s="14"/>
      <c r="G381" s="14"/>
      <c r="H381" s="14"/>
      <c r="I381" s="14"/>
      <c r="J381" s="14"/>
      <c r="K381" s="12"/>
    </row>
    <row r="382" ht="19.5" customHeight="1">
      <c r="A382" s="12"/>
      <c r="C382" s="12"/>
      <c r="D382" s="13"/>
      <c r="F382" s="14"/>
      <c r="G382" s="14"/>
      <c r="H382" s="14"/>
      <c r="I382" s="14"/>
      <c r="J382" s="14"/>
      <c r="K382" s="12"/>
    </row>
    <row r="383" ht="19.5" customHeight="1">
      <c r="A383" s="12"/>
      <c r="C383" s="12"/>
      <c r="D383" s="13"/>
      <c r="F383" s="14"/>
      <c r="G383" s="14"/>
      <c r="H383" s="14"/>
      <c r="I383" s="14"/>
      <c r="J383" s="14"/>
      <c r="K383" s="12"/>
    </row>
    <row r="384" ht="19.5" customHeight="1">
      <c r="A384" s="12"/>
      <c r="C384" s="12"/>
      <c r="D384" s="13"/>
      <c r="F384" s="14"/>
      <c r="G384" s="14"/>
      <c r="H384" s="14"/>
      <c r="I384" s="14"/>
      <c r="J384" s="14"/>
      <c r="K384" s="12"/>
    </row>
    <row r="385" ht="19.5" customHeight="1">
      <c r="A385" s="12"/>
      <c r="C385" s="12"/>
      <c r="D385" s="13"/>
      <c r="F385" s="14"/>
      <c r="G385" s="14"/>
      <c r="H385" s="14"/>
      <c r="I385" s="14"/>
      <c r="J385" s="14"/>
      <c r="K385" s="12"/>
    </row>
    <row r="386" ht="19.5" customHeight="1">
      <c r="A386" s="12"/>
      <c r="C386" s="12"/>
      <c r="D386" s="13"/>
      <c r="F386" s="14"/>
      <c r="G386" s="14"/>
      <c r="H386" s="14"/>
      <c r="I386" s="14"/>
      <c r="J386" s="14"/>
      <c r="K386" s="12"/>
    </row>
    <row r="387" ht="19.5" customHeight="1">
      <c r="A387" s="12"/>
      <c r="C387" s="12"/>
      <c r="D387" s="13"/>
      <c r="F387" s="14"/>
      <c r="G387" s="14"/>
      <c r="H387" s="14"/>
      <c r="I387" s="14"/>
      <c r="J387" s="14"/>
      <c r="K387" s="12"/>
    </row>
    <row r="388" ht="19.5" customHeight="1">
      <c r="A388" s="12"/>
      <c r="C388" s="12"/>
      <c r="D388" s="13"/>
      <c r="F388" s="14"/>
      <c r="G388" s="14"/>
      <c r="H388" s="14"/>
      <c r="I388" s="14"/>
      <c r="J388" s="14"/>
      <c r="K388" s="12"/>
    </row>
    <row r="389" ht="19.5" customHeight="1">
      <c r="A389" s="12"/>
      <c r="C389" s="12"/>
      <c r="D389" s="13"/>
      <c r="F389" s="14"/>
      <c r="G389" s="14"/>
      <c r="H389" s="14"/>
      <c r="I389" s="14"/>
      <c r="J389" s="14"/>
      <c r="K389" s="12"/>
    </row>
    <row r="390" ht="19.5" customHeight="1">
      <c r="A390" s="12"/>
      <c r="C390" s="12"/>
      <c r="D390" s="13"/>
      <c r="F390" s="14"/>
      <c r="G390" s="14"/>
      <c r="H390" s="14"/>
      <c r="I390" s="14"/>
      <c r="J390" s="14"/>
      <c r="K390" s="12"/>
    </row>
    <row r="391" ht="19.5" customHeight="1">
      <c r="A391" s="12"/>
      <c r="C391" s="12"/>
      <c r="D391" s="13"/>
      <c r="F391" s="14"/>
      <c r="G391" s="14"/>
      <c r="H391" s="14"/>
      <c r="I391" s="14"/>
      <c r="J391" s="14"/>
      <c r="K391" s="12"/>
    </row>
    <row r="392" ht="19.5" customHeight="1">
      <c r="A392" s="12"/>
      <c r="C392" s="12"/>
      <c r="D392" s="13"/>
      <c r="F392" s="14"/>
      <c r="G392" s="14"/>
      <c r="H392" s="14"/>
      <c r="I392" s="14"/>
      <c r="J392" s="14"/>
      <c r="K392" s="12"/>
    </row>
    <row r="393" ht="19.5" customHeight="1">
      <c r="A393" s="12"/>
      <c r="C393" s="12"/>
      <c r="D393" s="13"/>
      <c r="F393" s="14"/>
      <c r="G393" s="14"/>
      <c r="H393" s="14"/>
      <c r="I393" s="14"/>
      <c r="J393" s="14"/>
      <c r="K393" s="12"/>
    </row>
    <row r="394" ht="19.5" customHeight="1">
      <c r="A394" s="12"/>
      <c r="C394" s="12"/>
      <c r="D394" s="13"/>
      <c r="F394" s="14"/>
      <c r="G394" s="14"/>
      <c r="H394" s="14"/>
      <c r="I394" s="14"/>
      <c r="J394" s="14"/>
      <c r="K394" s="12"/>
    </row>
    <row r="395" ht="19.5" customHeight="1">
      <c r="A395" s="12"/>
      <c r="C395" s="12"/>
      <c r="D395" s="13"/>
      <c r="F395" s="14"/>
      <c r="G395" s="14"/>
      <c r="H395" s="14"/>
      <c r="I395" s="14"/>
      <c r="J395" s="14"/>
      <c r="K395" s="12"/>
    </row>
    <row r="396" ht="19.5" customHeight="1">
      <c r="A396" s="12"/>
      <c r="C396" s="12"/>
      <c r="D396" s="13"/>
      <c r="F396" s="14"/>
      <c r="G396" s="14"/>
      <c r="H396" s="14"/>
      <c r="I396" s="14"/>
      <c r="J396" s="14"/>
      <c r="K396" s="12"/>
    </row>
    <row r="397" ht="19.5" customHeight="1">
      <c r="A397" s="12"/>
      <c r="C397" s="12"/>
      <c r="D397" s="13"/>
      <c r="F397" s="14"/>
      <c r="G397" s="14"/>
      <c r="H397" s="14"/>
      <c r="I397" s="14"/>
      <c r="J397" s="14"/>
      <c r="K397" s="12"/>
    </row>
    <row r="398" ht="19.5" customHeight="1">
      <c r="A398" s="12"/>
      <c r="C398" s="12"/>
      <c r="D398" s="13"/>
      <c r="F398" s="14"/>
      <c r="G398" s="14"/>
      <c r="H398" s="14"/>
      <c r="I398" s="14"/>
      <c r="J398" s="14"/>
      <c r="K398" s="12"/>
    </row>
    <row r="399" ht="19.5" customHeight="1">
      <c r="A399" s="12"/>
      <c r="C399" s="12"/>
      <c r="D399" s="13"/>
      <c r="F399" s="14"/>
      <c r="G399" s="14"/>
      <c r="H399" s="14"/>
      <c r="I399" s="14"/>
      <c r="J399" s="14"/>
      <c r="K399" s="12"/>
    </row>
    <row r="400" ht="19.5" customHeight="1">
      <c r="A400" s="12"/>
      <c r="C400" s="12"/>
      <c r="D400" s="13"/>
      <c r="F400" s="14"/>
      <c r="G400" s="14"/>
      <c r="H400" s="14"/>
      <c r="I400" s="14"/>
      <c r="J400" s="14"/>
      <c r="K400" s="12"/>
    </row>
    <row r="401" ht="19.5" customHeight="1">
      <c r="A401" s="12"/>
      <c r="C401" s="12"/>
      <c r="D401" s="13"/>
      <c r="F401" s="14"/>
      <c r="G401" s="14"/>
      <c r="H401" s="14"/>
      <c r="I401" s="14"/>
      <c r="J401" s="14"/>
      <c r="K401" s="12"/>
    </row>
    <row r="402" ht="19.5" customHeight="1">
      <c r="A402" s="12"/>
      <c r="C402" s="12"/>
      <c r="D402" s="13"/>
      <c r="F402" s="14"/>
      <c r="G402" s="14"/>
      <c r="H402" s="14"/>
      <c r="I402" s="14"/>
      <c r="J402" s="14"/>
      <c r="K402" s="12"/>
    </row>
    <row r="403" ht="19.5" customHeight="1">
      <c r="A403" s="12"/>
      <c r="C403" s="12"/>
      <c r="D403" s="13"/>
      <c r="F403" s="14"/>
      <c r="G403" s="14"/>
      <c r="H403" s="14"/>
      <c r="I403" s="14"/>
      <c r="J403" s="14"/>
      <c r="K403" s="12"/>
    </row>
    <row r="404" ht="19.5" customHeight="1">
      <c r="A404" s="12"/>
      <c r="C404" s="12"/>
      <c r="D404" s="13"/>
      <c r="F404" s="14"/>
      <c r="G404" s="14"/>
      <c r="H404" s="14"/>
      <c r="I404" s="14"/>
      <c r="J404" s="14"/>
      <c r="K404" s="12"/>
    </row>
    <row r="405" ht="19.5" customHeight="1">
      <c r="A405" s="12"/>
      <c r="C405" s="12"/>
      <c r="D405" s="13"/>
      <c r="F405" s="14"/>
      <c r="G405" s="14"/>
      <c r="H405" s="14"/>
      <c r="I405" s="14"/>
      <c r="J405" s="14"/>
      <c r="K405" s="12"/>
    </row>
    <row r="406" ht="19.5" customHeight="1">
      <c r="A406" s="12"/>
      <c r="C406" s="12"/>
      <c r="D406" s="13"/>
      <c r="F406" s="14"/>
      <c r="G406" s="14"/>
      <c r="H406" s="14"/>
      <c r="I406" s="14"/>
      <c r="J406" s="14"/>
      <c r="K406" s="12"/>
    </row>
    <row r="407" ht="19.5" customHeight="1">
      <c r="A407" s="12"/>
      <c r="C407" s="12"/>
      <c r="D407" s="13"/>
      <c r="F407" s="14"/>
      <c r="G407" s="14"/>
      <c r="H407" s="14"/>
      <c r="I407" s="14"/>
      <c r="J407" s="14"/>
      <c r="K407" s="12"/>
    </row>
    <row r="408" ht="19.5" customHeight="1">
      <c r="A408" s="12"/>
      <c r="C408" s="12"/>
      <c r="D408" s="13"/>
      <c r="F408" s="14"/>
      <c r="G408" s="14"/>
      <c r="H408" s="14"/>
      <c r="I408" s="14"/>
      <c r="J408" s="14"/>
      <c r="K408" s="12"/>
    </row>
    <row r="409" ht="19.5" customHeight="1">
      <c r="A409" s="12"/>
      <c r="C409" s="12"/>
      <c r="D409" s="13"/>
      <c r="F409" s="14"/>
      <c r="G409" s="14"/>
      <c r="H409" s="14"/>
      <c r="I409" s="14"/>
      <c r="J409" s="14"/>
      <c r="K409" s="12"/>
    </row>
    <row r="410" ht="19.5" customHeight="1">
      <c r="A410" s="12"/>
      <c r="C410" s="12"/>
      <c r="D410" s="13"/>
      <c r="F410" s="14"/>
      <c r="G410" s="14"/>
      <c r="H410" s="14"/>
      <c r="I410" s="14"/>
      <c r="J410" s="14"/>
      <c r="K410" s="12"/>
    </row>
    <row r="411" ht="19.5" customHeight="1">
      <c r="A411" s="12"/>
      <c r="C411" s="12"/>
      <c r="D411" s="13"/>
      <c r="F411" s="14"/>
      <c r="G411" s="14"/>
      <c r="H411" s="14"/>
      <c r="I411" s="14"/>
      <c r="J411" s="14"/>
      <c r="K411" s="12"/>
    </row>
    <row r="412" ht="19.5" customHeight="1">
      <c r="A412" s="12"/>
      <c r="C412" s="12"/>
      <c r="D412" s="13"/>
      <c r="F412" s="14"/>
      <c r="G412" s="14"/>
      <c r="H412" s="14"/>
      <c r="I412" s="14"/>
      <c r="J412" s="14"/>
      <c r="K412" s="12"/>
    </row>
    <row r="413" ht="19.5" customHeight="1">
      <c r="A413" s="12"/>
      <c r="C413" s="12"/>
      <c r="D413" s="13"/>
      <c r="F413" s="14"/>
      <c r="G413" s="14"/>
      <c r="H413" s="14"/>
      <c r="I413" s="14"/>
      <c r="J413" s="14"/>
      <c r="K413" s="12"/>
    </row>
    <row r="414" ht="19.5" customHeight="1">
      <c r="A414" s="12"/>
      <c r="C414" s="12"/>
      <c r="D414" s="13"/>
      <c r="F414" s="14"/>
      <c r="G414" s="14"/>
      <c r="H414" s="14"/>
      <c r="I414" s="14"/>
      <c r="J414" s="14"/>
      <c r="K414" s="12"/>
    </row>
    <row r="415" ht="19.5" customHeight="1">
      <c r="A415" s="12"/>
      <c r="C415" s="12"/>
      <c r="D415" s="13"/>
      <c r="F415" s="14"/>
      <c r="G415" s="14"/>
      <c r="H415" s="14"/>
      <c r="I415" s="14"/>
      <c r="J415" s="14"/>
      <c r="K415" s="12"/>
    </row>
    <row r="416" ht="19.5" customHeight="1">
      <c r="A416" s="12"/>
      <c r="C416" s="12"/>
      <c r="D416" s="13"/>
      <c r="F416" s="14"/>
      <c r="G416" s="14"/>
      <c r="H416" s="14"/>
      <c r="I416" s="14"/>
      <c r="J416" s="14"/>
      <c r="K416" s="12"/>
    </row>
    <row r="417" ht="19.5" customHeight="1">
      <c r="A417" s="12"/>
      <c r="C417" s="12"/>
      <c r="D417" s="13"/>
      <c r="F417" s="14"/>
      <c r="G417" s="14"/>
      <c r="H417" s="14"/>
      <c r="I417" s="14"/>
      <c r="J417" s="14"/>
      <c r="K417" s="12"/>
    </row>
    <row r="418" ht="19.5" customHeight="1">
      <c r="A418" s="12"/>
      <c r="C418" s="12"/>
      <c r="D418" s="13"/>
      <c r="F418" s="14"/>
      <c r="G418" s="14"/>
      <c r="H418" s="14"/>
      <c r="I418" s="14"/>
      <c r="J418" s="14"/>
      <c r="K418" s="12"/>
    </row>
    <row r="419" ht="19.5" customHeight="1">
      <c r="A419" s="12"/>
      <c r="C419" s="12"/>
      <c r="D419" s="13"/>
      <c r="F419" s="14"/>
      <c r="G419" s="14"/>
      <c r="H419" s="14"/>
      <c r="I419" s="14"/>
      <c r="J419" s="14"/>
      <c r="K419" s="12"/>
    </row>
    <row r="420" ht="19.5" customHeight="1">
      <c r="A420" s="12"/>
      <c r="C420" s="12"/>
      <c r="D420" s="13"/>
      <c r="F420" s="14"/>
      <c r="G420" s="14"/>
      <c r="H420" s="14"/>
      <c r="I420" s="14"/>
      <c r="J420" s="14"/>
      <c r="K420" s="12"/>
    </row>
    <row r="421" ht="19.5" customHeight="1">
      <c r="A421" s="12"/>
      <c r="C421" s="12"/>
      <c r="D421" s="13"/>
      <c r="F421" s="14"/>
      <c r="G421" s="14"/>
      <c r="H421" s="14"/>
      <c r="I421" s="14"/>
      <c r="J421" s="14"/>
      <c r="K421" s="12"/>
    </row>
    <row r="422" ht="19.5" customHeight="1">
      <c r="A422" s="12"/>
      <c r="C422" s="12"/>
      <c r="D422" s="13"/>
      <c r="F422" s="14"/>
      <c r="G422" s="14"/>
      <c r="H422" s="14"/>
      <c r="I422" s="14"/>
      <c r="J422" s="14"/>
      <c r="K422" s="12"/>
    </row>
    <row r="423" ht="19.5" customHeight="1">
      <c r="A423" s="12"/>
      <c r="C423" s="12"/>
      <c r="D423" s="13"/>
      <c r="F423" s="14"/>
      <c r="G423" s="14"/>
      <c r="H423" s="14"/>
      <c r="I423" s="14"/>
      <c r="J423" s="14"/>
      <c r="K423" s="12"/>
    </row>
    <row r="424" ht="19.5" customHeight="1">
      <c r="A424" s="12"/>
      <c r="C424" s="12"/>
      <c r="D424" s="13"/>
      <c r="F424" s="14"/>
      <c r="G424" s="14"/>
      <c r="H424" s="14"/>
      <c r="I424" s="14"/>
      <c r="J424" s="14"/>
      <c r="K424" s="12"/>
    </row>
    <row r="425" ht="19.5" customHeight="1">
      <c r="A425" s="12"/>
      <c r="C425" s="12"/>
      <c r="D425" s="13"/>
      <c r="F425" s="14"/>
      <c r="G425" s="14"/>
      <c r="H425" s="14"/>
      <c r="I425" s="14"/>
      <c r="J425" s="14"/>
      <c r="K425" s="12"/>
    </row>
    <row r="426" ht="19.5" customHeight="1">
      <c r="A426" s="12"/>
      <c r="C426" s="12"/>
      <c r="D426" s="13"/>
      <c r="F426" s="14"/>
      <c r="G426" s="14"/>
      <c r="H426" s="14"/>
      <c r="I426" s="14"/>
      <c r="J426" s="14"/>
      <c r="K426" s="12"/>
    </row>
    <row r="427" ht="19.5" customHeight="1">
      <c r="A427" s="12"/>
      <c r="C427" s="12"/>
      <c r="D427" s="13"/>
      <c r="F427" s="14"/>
      <c r="G427" s="14"/>
      <c r="H427" s="14"/>
      <c r="I427" s="14"/>
      <c r="J427" s="14"/>
      <c r="K427" s="12"/>
    </row>
    <row r="428" ht="19.5" customHeight="1">
      <c r="A428" s="12"/>
      <c r="C428" s="12"/>
      <c r="D428" s="13"/>
      <c r="F428" s="14"/>
      <c r="G428" s="14"/>
      <c r="H428" s="14"/>
      <c r="I428" s="14"/>
      <c r="J428" s="14"/>
      <c r="K428" s="12"/>
    </row>
    <row r="429" ht="19.5" customHeight="1">
      <c r="A429" s="12"/>
      <c r="C429" s="12"/>
      <c r="D429" s="13"/>
      <c r="F429" s="14"/>
      <c r="G429" s="14"/>
      <c r="H429" s="14"/>
      <c r="I429" s="14"/>
      <c r="J429" s="14"/>
      <c r="K429" s="12"/>
    </row>
    <row r="430" ht="19.5" customHeight="1">
      <c r="A430" s="12"/>
      <c r="C430" s="12"/>
      <c r="D430" s="13"/>
      <c r="F430" s="14"/>
      <c r="G430" s="14"/>
      <c r="H430" s="14"/>
      <c r="I430" s="14"/>
      <c r="J430" s="14"/>
      <c r="K430" s="12"/>
    </row>
    <row r="431" ht="19.5" customHeight="1">
      <c r="A431" s="12"/>
      <c r="C431" s="12"/>
      <c r="D431" s="13"/>
      <c r="F431" s="14"/>
      <c r="G431" s="14"/>
      <c r="H431" s="14"/>
      <c r="I431" s="14"/>
      <c r="J431" s="14"/>
      <c r="K431" s="12"/>
    </row>
    <row r="432" ht="19.5" customHeight="1">
      <c r="A432" s="12"/>
      <c r="C432" s="12"/>
      <c r="D432" s="13"/>
      <c r="F432" s="14"/>
      <c r="G432" s="14"/>
      <c r="H432" s="14"/>
      <c r="I432" s="14"/>
      <c r="J432" s="14"/>
      <c r="K432" s="12"/>
    </row>
    <row r="433" ht="19.5" customHeight="1">
      <c r="A433" s="12"/>
      <c r="C433" s="12"/>
      <c r="D433" s="13"/>
      <c r="F433" s="14"/>
      <c r="G433" s="14"/>
      <c r="H433" s="14"/>
      <c r="I433" s="14"/>
      <c r="J433" s="14"/>
      <c r="K433" s="12"/>
    </row>
    <row r="434" ht="19.5" customHeight="1">
      <c r="A434" s="12"/>
      <c r="C434" s="12"/>
      <c r="D434" s="13"/>
      <c r="F434" s="14"/>
      <c r="G434" s="14"/>
      <c r="H434" s="14"/>
      <c r="I434" s="14"/>
      <c r="J434" s="14"/>
      <c r="K434" s="12"/>
    </row>
    <row r="435" ht="19.5" customHeight="1">
      <c r="A435" s="12"/>
      <c r="C435" s="12"/>
      <c r="D435" s="13"/>
      <c r="F435" s="14"/>
      <c r="G435" s="14"/>
      <c r="H435" s="14"/>
      <c r="I435" s="14"/>
      <c r="J435" s="14"/>
      <c r="K435" s="12"/>
    </row>
    <row r="436" ht="19.5" customHeight="1">
      <c r="A436" s="12"/>
      <c r="C436" s="12"/>
      <c r="D436" s="13"/>
      <c r="F436" s="14"/>
      <c r="G436" s="14"/>
      <c r="H436" s="14"/>
      <c r="I436" s="14"/>
      <c r="J436" s="14"/>
      <c r="K436" s="12"/>
    </row>
    <row r="437" ht="19.5" customHeight="1">
      <c r="A437" s="12"/>
      <c r="C437" s="12"/>
      <c r="D437" s="13"/>
      <c r="F437" s="14"/>
      <c r="G437" s="14"/>
      <c r="H437" s="14"/>
      <c r="I437" s="14"/>
      <c r="J437" s="14"/>
      <c r="K437" s="12"/>
    </row>
    <row r="438" ht="19.5" customHeight="1">
      <c r="A438" s="12"/>
      <c r="C438" s="12"/>
      <c r="D438" s="13"/>
      <c r="F438" s="14"/>
      <c r="G438" s="14"/>
      <c r="H438" s="14"/>
      <c r="I438" s="14"/>
      <c r="J438" s="14"/>
      <c r="K438" s="12"/>
    </row>
    <row r="439" ht="19.5" customHeight="1">
      <c r="A439" s="12"/>
      <c r="C439" s="12"/>
      <c r="D439" s="13"/>
      <c r="F439" s="14"/>
      <c r="G439" s="14"/>
      <c r="H439" s="14"/>
      <c r="I439" s="14"/>
      <c r="J439" s="14"/>
      <c r="K439" s="12"/>
    </row>
    <row r="440" ht="19.5" customHeight="1">
      <c r="A440" s="12"/>
      <c r="C440" s="12"/>
      <c r="D440" s="13"/>
      <c r="F440" s="14"/>
      <c r="G440" s="14"/>
      <c r="H440" s="14"/>
      <c r="I440" s="14"/>
      <c r="J440" s="14"/>
      <c r="K440" s="12"/>
    </row>
    <row r="441" ht="19.5" customHeight="1">
      <c r="A441" s="12"/>
      <c r="C441" s="12"/>
      <c r="D441" s="13"/>
      <c r="F441" s="14"/>
      <c r="G441" s="14"/>
      <c r="H441" s="14"/>
      <c r="I441" s="14"/>
      <c r="J441" s="14"/>
      <c r="K441" s="12"/>
    </row>
    <row r="442" ht="19.5" customHeight="1">
      <c r="A442" s="12"/>
      <c r="C442" s="12"/>
      <c r="D442" s="13"/>
      <c r="F442" s="14"/>
      <c r="G442" s="14"/>
      <c r="H442" s="14"/>
      <c r="I442" s="14"/>
      <c r="J442" s="14"/>
      <c r="K442" s="12"/>
    </row>
    <row r="443" ht="19.5" customHeight="1">
      <c r="A443" s="12"/>
      <c r="C443" s="12"/>
      <c r="D443" s="13"/>
      <c r="F443" s="14"/>
      <c r="G443" s="14"/>
      <c r="H443" s="14"/>
      <c r="I443" s="14"/>
      <c r="J443" s="14"/>
      <c r="K443" s="12"/>
    </row>
    <row r="444" ht="19.5" customHeight="1">
      <c r="A444" s="12"/>
      <c r="C444" s="12"/>
      <c r="D444" s="13"/>
      <c r="F444" s="14"/>
      <c r="G444" s="14"/>
      <c r="H444" s="14"/>
      <c r="I444" s="14"/>
      <c r="J444" s="14"/>
      <c r="K444" s="12"/>
    </row>
    <row r="445" ht="19.5" customHeight="1">
      <c r="A445" s="12"/>
      <c r="C445" s="12"/>
      <c r="D445" s="13"/>
      <c r="F445" s="14"/>
      <c r="G445" s="14"/>
      <c r="H445" s="14"/>
      <c r="I445" s="14"/>
      <c r="J445" s="14"/>
      <c r="K445" s="12"/>
    </row>
    <row r="446" ht="19.5" customHeight="1">
      <c r="A446" s="12"/>
      <c r="C446" s="12"/>
      <c r="D446" s="13"/>
      <c r="F446" s="14"/>
      <c r="G446" s="14"/>
      <c r="H446" s="14"/>
      <c r="I446" s="14"/>
      <c r="J446" s="14"/>
      <c r="K446" s="12"/>
    </row>
    <row r="447" ht="19.5" customHeight="1">
      <c r="A447" s="12"/>
      <c r="C447" s="12"/>
      <c r="D447" s="13"/>
      <c r="F447" s="14"/>
      <c r="G447" s="14"/>
      <c r="H447" s="14"/>
      <c r="I447" s="14"/>
      <c r="J447" s="14"/>
      <c r="K447" s="12"/>
    </row>
    <row r="448" ht="19.5" customHeight="1">
      <c r="A448" s="12"/>
      <c r="C448" s="12"/>
      <c r="D448" s="13"/>
      <c r="F448" s="14"/>
      <c r="G448" s="14"/>
      <c r="H448" s="14"/>
      <c r="I448" s="14"/>
      <c r="J448" s="14"/>
      <c r="K448" s="12"/>
    </row>
    <row r="449" ht="19.5" customHeight="1">
      <c r="A449" s="12"/>
      <c r="C449" s="12"/>
      <c r="D449" s="13"/>
      <c r="F449" s="14"/>
      <c r="G449" s="14"/>
      <c r="H449" s="14"/>
      <c r="I449" s="14"/>
      <c r="J449" s="14"/>
      <c r="K449" s="12"/>
    </row>
    <row r="450" ht="19.5" customHeight="1">
      <c r="A450" s="12"/>
      <c r="C450" s="12"/>
      <c r="D450" s="13"/>
      <c r="F450" s="14"/>
      <c r="G450" s="14"/>
      <c r="H450" s="14"/>
      <c r="I450" s="14"/>
      <c r="J450" s="14"/>
      <c r="K450" s="12"/>
    </row>
    <row r="451" ht="19.5" customHeight="1">
      <c r="A451" s="12"/>
      <c r="C451" s="12"/>
      <c r="D451" s="13"/>
      <c r="F451" s="14"/>
      <c r="G451" s="14"/>
      <c r="H451" s="14"/>
      <c r="I451" s="14"/>
      <c r="J451" s="14"/>
      <c r="K451" s="12"/>
    </row>
    <row r="452" ht="19.5" customHeight="1">
      <c r="A452" s="12"/>
      <c r="C452" s="12"/>
      <c r="D452" s="13"/>
      <c r="F452" s="14"/>
      <c r="G452" s="14"/>
      <c r="H452" s="14"/>
      <c r="I452" s="14"/>
      <c r="J452" s="14"/>
      <c r="K452" s="12"/>
    </row>
    <row r="453" ht="19.5" customHeight="1">
      <c r="A453" s="12"/>
      <c r="C453" s="12"/>
      <c r="D453" s="13"/>
      <c r="F453" s="14"/>
      <c r="G453" s="14"/>
      <c r="H453" s="14"/>
      <c r="I453" s="14"/>
      <c r="J453" s="14"/>
      <c r="K453" s="12"/>
    </row>
    <row r="454" ht="19.5" customHeight="1">
      <c r="A454" s="12"/>
      <c r="C454" s="12"/>
      <c r="D454" s="13"/>
      <c r="F454" s="14"/>
      <c r="G454" s="14"/>
      <c r="H454" s="14"/>
      <c r="I454" s="14"/>
      <c r="J454" s="14"/>
      <c r="K454" s="12"/>
    </row>
    <row r="455" ht="19.5" customHeight="1">
      <c r="A455" s="12"/>
      <c r="C455" s="12"/>
      <c r="D455" s="13"/>
      <c r="F455" s="14"/>
      <c r="G455" s="14"/>
      <c r="H455" s="14"/>
      <c r="I455" s="14"/>
      <c r="J455" s="14"/>
      <c r="K455" s="12"/>
    </row>
    <row r="456" ht="19.5" customHeight="1">
      <c r="A456" s="12"/>
      <c r="C456" s="12"/>
      <c r="D456" s="13"/>
      <c r="F456" s="14"/>
      <c r="G456" s="14"/>
      <c r="H456" s="14"/>
      <c r="I456" s="14"/>
      <c r="J456" s="14"/>
      <c r="K456" s="12"/>
    </row>
    <row r="457" ht="19.5" customHeight="1">
      <c r="A457" s="12"/>
      <c r="C457" s="12"/>
      <c r="D457" s="13"/>
      <c r="F457" s="14"/>
      <c r="G457" s="14"/>
      <c r="H457" s="14"/>
      <c r="I457" s="14"/>
      <c r="J457" s="14"/>
      <c r="K457" s="12"/>
    </row>
    <row r="458" ht="19.5" customHeight="1">
      <c r="A458" s="12"/>
      <c r="C458" s="12"/>
      <c r="D458" s="13"/>
      <c r="F458" s="14"/>
      <c r="G458" s="14"/>
      <c r="H458" s="14"/>
      <c r="I458" s="14"/>
      <c r="J458" s="14"/>
      <c r="K458" s="12"/>
    </row>
    <row r="459" ht="19.5" customHeight="1">
      <c r="A459" s="12"/>
      <c r="C459" s="12"/>
      <c r="D459" s="13"/>
      <c r="F459" s="14"/>
      <c r="G459" s="14"/>
      <c r="H459" s="14"/>
      <c r="I459" s="14"/>
      <c r="J459" s="14"/>
      <c r="K459" s="12"/>
    </row>
    <row r="460" ht="19.5" customHeight="1">
      <c r="A460" s="12"/>
      <c r="C460" s="12"/>
      <c r="D460" s="13"/>
      <c r="F460" s="14"/>
      <c r="G460" s="14"/>
      <c r="H460" s="14"/>
      <c r="I460" s="14"/>
      <c r="J460" s="14"/>
      <c r="K460" s="12"/>
    </row>
    <row r="461" ht="19.5" customHeight="1">
      <c r="A461" s="12"/>
      <c r="C461" s="12"/>
      <c r="D461" s="13"/>
      <c r="F461" s="14"/>
      <c r="G461" s="14"/>
      <c r="H461" s="14"/>
      <c r="I461" s="14"/>
      <c r="J461" s="14"/>
      <c r="K461" s="12"/>
    </row>
    <row r="462" ht="19.5" customHeight="1">
      <c r="A462" s="12"/>
      <c r="C462" s="12"/>
      <c r="D462" s="13"/>
      <c r="F462" s="14"/>
      <c r="G462" s="14"/>
      <c r="H462" s="14"/>
      <c r="I462" s="14"/>
      <c r="J462" s="14"/>
      <c r="K462" s="12"/>
    </row>
    <row r="463" ht="19.5" customHeight="1">
      <c r="A463" s="12"/>
      <c r="C463" s="12"/>
      <c r="D463" s="13"/>
      <c r="F463" s="14"/>
      <c r="G463" s="14"/>
      <c r="H463" s="14"/>
      <c r="I463" s="14"/>
      <c r="J463" s="14"/>
      <c r="K463" s="12"/>
    </row>
    <row r="464" ht="19.5" customHeight="1">
      <c r="A464" s="12"/>
      <c r="C464" s="12"/>
      <c r="D464" s="13"/>
      <c r="F464" s="14"/>
      <c r="G464" s="14"/>
      <c r="H464" s="14"/>
      <c r="I464" s="14"/>
      <c r="J464" s="14"/>
      <c r="K464" s="12"/>
    </row>
    <row r="465" ht="19.5" customHeight="1">
      <c r="A465" s="12"/>
      <c r="C465" s="12"/>
      <c r="D465" s="13"/>
      <c r="F465" s="14"/>
      <c r="G465" s="14"/>
      <c r="H465" s="14"/>
      <c r="I465" s="14"/>
      <c r="J465" s="14"/>
      <c r="K465" s="12"/>
    </row>
    <row r="466" ht="19.5" customHeight="1">
      <c r="A466" s="12"/>
      <c r="C466" s="12"/>
      <c r="D466" s="13"/>
      <c r="F466" s="14"/>
      <c r="G466" s="14"/>
      <c r="H466" s="14"/>
      <c r="I466" s="14"/>
      <c r="J466" s="14"/>
      <c r="K466" s="12"/>
    </row>
    <row r="467" ht="19.5" customHeight="1">
      <c r="A467" s="12"/>
      <c r="C467" s="12"/>
      <c r="D467" s="13"/>
      <c r="F467" s="14"/>
      <c r="G467" s="14"/>
      <c r="H467" s="14"/>
      <c r="I467" s="14"/>
      <c r="J467" s="14"/>
      <c r="K467" s="12"/>
    </row>
    <row r="468" ht="19.5" customHeight="1">
      <c r="A468" s="12"/>
      <c r="C468" s="12"/>
      <c r="D468" s="13"/>
      <c r="F468" s="14"/>
      <c r="G468" s="14"/>
      <c r="H468" s="14"/>
      <c r="I468" s="14"/>
      <c r="J468" s="14"/>
      <c r="K468" s="12"/>
    </row>
    <row r="469" ht="19.5" customHeight="1">
      <c r="A469" s="12"/>
      <c r="C469" s="12"/>
      <c r="D469" s="13"/>
      <c r="F469" s="14"/>
      <c r="G469" s="14"/>
      <c r="H469" s="14"/>
      <c r="I469" s="14"/>
      <c r="J469" s="14"/>
      <c r="K469" s="12"/>
    </row>
    <row r="470" ht="19.5" customHeight="1">
      <c r="A470" s="12"/>
      <c r="C470" s="12"/>
      <c r="D470" s="13"/>
      <c r="F470" s="14"/>
      <c r="G470" s="14"/>
      <c r="H470" s="14"/>
      <c r="I470" s="14"/>
      <c r="J470" s="14"/>
      <c r="K470" s="12"/>
    </row>
    <row r="471" ht="19.5" customHeight="1">
      <c r="A471" s="12"/>
      <c r="C471" s="12"/>
      <c r="D471" s="13"/>
      <c r="F471" s="14"/>
      <c r="G471" s="14"/>
      <c r="H471" s="14"/>
      <c r="I471" s="14"/>
      <c r="J471" s="14"/>
      <c r="K471" s="12"/>
    </row>
    <row r="472" ht="19.5" customHeight="1">
      <c r="A472" s="12"/>
      <c r="C472" s="12"/>
      <c r="D472" s="13"/>
      <c r="F472" s="14"/>
      <c r="G472" s="14"/>
      <c r="H472" s="14"/>
      <c r="I472" s="14"/>
      <c r="J472" s="14"/>
      <c r="K472" s="12"/>
    </row>
    <row r="473" ht="19.5" customHeight="1">
      <c r="A473" s="12"/>
      <c r="C473" s="12"/>
      <c r="D473" s="13"/>
      <c r="F473" s="14"/>
      <c r="G473" s="14"/>
      <c r="H473" s="14"/>
      <c r="I473" s="14"/>
      <c r="J473" s="14"/>
      <c r="K473" s="12"/>
    </row>
    <row r="474" ht="19.5" customHeight="1">
      <c r="A474" s="12"/>
      <c r="C474" s="12"/>
      <c r="D474" s="13"/>
      <c r="F474" s="14"/>
      <c r="G474" s="14"/>
      <c r="H474" s="14"/>
      <c r="I474" s="14"/>
      <c r="J474" s="14"/>
      <c r="K474" s="12"/>
    </row>
    <row r="475" ht="19.5" customHeight="1">
      <c r="A475" s="12"/>
      <c r="C475" s="12"/>
      <c r="D475" s="13"/>
      <c r="F475" s="14"/>
      <c r="G475" s="14"/>
      <c r="H475" s="14"/>
      <c r="I475" s="14"/>
      <c r="J475" s="14"/>
      <c r="K475" s="12"/>
    </row>
    <row r="476" ht="19.5" customHeight="1">
      <c r="A476" s="12"/>
      <c r="C476" s="12"/>
      <c r="D476" s="13"/>
      <c r="F476" s="14"/>
      <c r="G476" s="14"/>
      <c r="H476" s="14"/>
      <c r="I476" s="14"/>
      <c r="J476" s="14"/>
      <c r="K476" s="12"/>
    </row>
    <row r="477" ht="19.5" customHeight="1">
      <c r="A477" s="12"/>
      <c r="C477" s="12"/>
      <c r="D477" s="13"/>
      <c r="F477" s="14"/>
      <c r="G477" s="14"/>
      <c r="H477" s="14"/>
      <c r="I477" s="14"/>
      <c r="J477" s="14"/>
      <c r="K477" s="12"/>
    </row>
    <row r="478" ht="19.5" customHeight="1">
      <c r="A478" s="12"/>
      <c r="C478" s="12"/>
      <c r="D478" s="13"/>
      <c r="F478" s="14"/>
      <c r="G478" s="14"/>
      <c r="H478" s="14"/>
      <c r="I478" s="14"/>
      <c r="J478" s="14"/>
      <c r="K478" s="12"/>
    </row>
    <row r="479" ht="19.5" customHeight="1">
      <c r="A479" s="12"/>
      <c r="C479" s="12"/>
      <c r="D479" s="13"/>
      <c r="F479" s="14"/>
      <c r="G479" s="14"/>
      <c r="H479" s="14"/>
      <c r="I479" s="14"/>
      <c r="J479" s="14"/>
      <c r="K479" s="12"/>
    </row>
    <row r="480" ht="19.5" customHeight="1">
      <c r="A480" s="12"/>
      <c r="C480" s="12"/>
      <c r="D480" s="13"/>
      <c r="F480" s="14"/>
      <c r="G480" s="14"/>
      <c r="H480" s="14"/>
      <c r="I480" s="14"/>
      <c r="J480" s="14"/>
      <c r="K480" s="12"/>
    </row>
    <row r="481" ht="19.5" customHeight="1">
      <c r="A481" s="12"/>
      <c r="C481" s="12"/>
      <c r="D481" s="13"/>
      <c r="F481" s="14"/>
      <c r="G481" s="14"/>
      <c r="H481" s="14"/>
      <c r="I481" s="14"/>
      <c r="J481" s="14"/>
      <c r="K481" s="12"/>
    </row>
    <row r="482" ht="19.5" customHeight="1">
      <c r="A482" s="12"/>
      <c r="C482" s="12"/>
      <c r="D482" s="13"/>
      <c r="F482" s="14"/>
      <c r="G482" s="14"/>
      <c r="H482" s="14"/>
      <c r="I482" s="14"/>
      <c r="J482" s="14"/>
      <c r="K482" s="12"/>
    </row>
    <row r="483" ht="19.5" customHeight="1">
      <c r="A483" s="12"/>
      <c r="C483" s="12"/>
      <c r="D483" s="13"/>
      <c r="F483" s="14"/>
      <c r="G483" s="14"/>
      <c r="H483" s="14"/>
      <c r="I483" s="14"/>
      <c r="J483" s="14"/>
      <c r="K483" s="12"/>
    </row>
    <row r="484" ht="19.5" customHeight="1">
      <c r="A484" s="12"/>
      <c r="C484" s="12"/>
      <c r="D484" s="13"/>
      <c r="F484" s="14"/>
      <c r="G484" s="14"/>
      <c r="H484" s="14"/>
      <c r="I484" s="14"/>
      <c r="J484" s="14"/>
      <c r="K484" s="12"/>
    </row>
    <row r="485" ht="19.5" customHeight="1">
      <c r="A485" s="12"/>
      <c r="C485" s="12"/>
      <c r="D485" s="13"/>
      <c r="F485" s="14"/>
      <c r="G485" s="14"/>
      <c r="H485" s="14"/>
      <c r="I485" s="14"/>
      <c r="J485" s="14"/>
      <c r="K485" s="12"/>
    </row>
    <row r="486" ht="19.5" customHeight="1">
      <c r="A486" s="12"/>
      <c r="C486" s="12"/>
      <c r="D486" s="13"/>
      <c r="F486" s="14"/>
      <c r="G486" s="14"/>
      <c r="H486" s="14"/>
      <c r="I486" s="14"/>
      <c r="J486" s="14"/>
      <c r="K486" s="12"/>
    </row>
    <row r="487" ht="19.5" customHeight="1">
      <c r="A487" s="12"/>
      <c r="C487" s="12"/>
      <c r="D487" s="13"/>
      <c r="F487" s="14"/>
      <c r="G487" s="14"/>
      <c r="H487" s="14"/>
      <c r="I487" s="14"/>
      <c r="J487" s="14"/>
      <c r="K487" s="12"/>
    </row>
    <row r="488" ht="19.5" customHeight="1">
      <c r="A488" s="12"/>
      <c r="C488" s="12"/>
      <c r="D488" s="13"/>
      <c r="F488" s="14"/>
      <c r="G488" s="14"/>
      <c r="H488" s="14"/>
      <c r="I488" s="14"/>
      <c r="J488" s="14"/>
      <c r="K488" s="12"/>
    </row>
    <row r="489" ht="19.5" customHeight="1">
      <c r="A489" s="12"/>
      <c r="C489" s="12"/>
      <c r="D489" s="13"/>
      <c r="F489" s="14"/>
      <c r="G489" s="14"/>
      <c r="H489" s="14"/>
      <c r="I489" s="14"/>
      <c r="J489" s="14"/>
      <c r="K489" s="12"/>
    </row>
    <row r="490" ht="19.5" customHeight="1">
      <c r="A490" s="12"/>
      <c r="C490" s="12"/>
      <c r="D490" s="13"/>
      <c r="F490" s="14"/>
      <c r="G490" s="14"/>
      <c r="H490" s="14"/>
      <c r="I490" s="14"/>
      <c r="J490" s="14"/>
      <c r="K490" s="12"/>
    </row>
    <row r="491" ht="19.5" customHeight="1">
      <c r="A491" s="12"/>
      <c r="C491" s="12"/>
      <c r="D491" s="13"/>
      <c r="F491" s="14"/>
      <c r="G491" s="14"/>
      <c r="H491" s="14"/>
      <c r="I491" s="14"/>
      <c r="J491" s="14"/>
      <c r="K491" s="12"/>
    </row>
    <row r="492" ht="19.5" customHeight="1">
      <c r="A492" s="12"/>
      <c r="C492" s="12"/>
      <c r="D492" s="13"/>
      <c r="F492" s="14"/>
      <c r="G492" s="14"/>
      <c r="H492" s="14"/>
      <c r="I492" s="14"/>
      <c r="J492" s="14"/>
      <c r="K492" s="12"/>
    </row>
    <row r="493" ht="19.5" customHeight="1">
      <c r="A493" s="12"/>
      <c r="C493" s="12"/>
      <c r="D493" s="13"/>
      <c r="F493" s="14"/>
      <c r="G493" s="14"/>
      <c r="H493" s="14"/>
      <c r="I493" s="14"/>
      <c r="J493" s="14"/>
      <c r="K493" s="12"/>
    </row>
    <row r="494" ht="19.5" customHeight="1">
      <c r="A494" s="12"/>
      <c r="C494" s="12"/>
      <c r="D494" s="13"/>
      <c r="F494" s="14"/>
      <c r="G494" s="14"/>
      <c r="H494" s="14"/>
      <c r="I494" s="14"/>
      <c r="J494" s="14"/>
      <c r="K494" s="12"/>
    </row>
    <row r="495" ht="19.5" customHeight="1">
      <c r="A495" s="12"/>
      <c r="C495" s="12"/>
      <c r="D495" s="13"/>
      <c r="F495" s="14"/>
      <c r="G495" s="14"/>
      <c r="H495" s="14"/>
      <c r="I495" s="14"/>
      <c r="J495" s="14"/>
      <c r="K495" s="12"/>
    </row>
    <row r="496" ht="19.5" customHeight="1">
      <c r="A496" s="12"/>
      <c r="C496" s="12"/>
      <c r="D496" s="13"/>
      <c r="F496" s="14"/>
      <c r="G496" s="14"/>
      <c r="H496" s="14"/>
      <c r="I496" s="14"/>
      <c r="J496" s="14"/>
      <c r="K496" s="12"/>
    </row>
    <row r="497" ht="19.5" customHeight="1">
      <c r="A497" s="12"/>
      <c r="C497" s="12"/>
      <c r="D497" s="13"/>
      <c r="F497" s="14"/>
      <c r="G497" s="14"/>
      <c r="H497" s="14"/>
      <c r="I497" s="14"/>
      <c r="J497" s="14"/>
      <c r="K497" s="12"/>
    </row>
    <row r="498" ht="19.5" customHeight="1">
      <c r="A498" s="12"/>
      <c r="C498" s="12"/>
      <c r="D498" s="13"/>
      <c r="F498" s="14"/>
      <c r="G498" s="14"/>
      <c r="H498" s="14"/>
      <c r="I498" s="14"/>
      <c r="J498" s="14"/>
      <c r="K498" s="12"/>
    </row>
    <row r="499" ht="19.5" customHeight="1">
      <c r="A499" s="12"/>
      <c r="C499" s="12"/>
      <c r="D499" s="13"/>
      <c r="F499" s="14"/>
      <c r="G499" s="14"/>
      <c r="H499" s="14"/>
      <c r="I499" s="14"/>
      <c r="J499" s="14"/>
      <c r="K499" s="12"/>
    </row>
    <row r="500" ht="19.5" customHeight="1">
      <c r="A500" s="12"/>
      <c r="C500" s="12"/>
      <c r="D500" s="13"/>
      <c r="F500" s="14"/>
      <c r="G500" s="14"/>
      <c r="H500" s="14"/>
      <c r="I500" s="14"/>
      <c r="J500" s="14"/>
      <c r="K500" s="12"/>
    </row>
    <row r="501" ht="19.5" customHeight="1">
      <c r="A501" s="12"/>
      <c r="C501" s="12"/>
      <c r="D501" s="13"/>
      <c r="F501" s="14"/>
      <c r="G501" s="14"/>
      <c r="H501" s="14"/>
      <c r="I501" s="14"/>
      <c r="J501" s="14"/>
      <c r="K501" s="12"/>
    </row>
    <row r="502" ht="19.5" customHeight="1">
      <c r="A502" s="12"/>
      <c r="C502" s="12"/>
      <c r="D502" s="13"/>
      <c r="F502" s="14"/>
      <c r="G502" s="14"/>
      <c r="H502" s="14"/>
      <c r="I502" s="14"/>
      <c r="J502" s="14"/>
      <c r="K502" s="12"/>
    </row>
    <row r="503" ht="19.5" customHeight="1">
      <c r="A503" s="12"/>
      <c r="C503" s="12"/>
      <c r="D503" s="13"/>
      <c r="F503" s="14"/>
      <c r="G503" s="14"/>
      <c r="H503" s="14"/>
      <c r="I503" s="14"/>
      <c r="J503" s="14"/>
      <c r="K503" s="12"/>
    </row>
    <row r="504" ht="19.5" customHeight="1">
      <c r="A504" s="12"/>
      <c r="C504" s="12"/>
      <c r="D504" s="13"/>
      <c r="F504" s="14"/>
      <c r="G504" s="14"/>
      <c r="H504" s="14"/>
      <c r="I504" s="14"/>
      <c r="J504" s="14"/>
      <c r="K504" s="12"/>
    </row>
    <row r="505" ht="19.5" customHeight="1">
      <c r="A505" s="12"/>
      <c r="C505" s="12"/>
      <c r="D505" s="13"/>
      <c r="F505" s="14"/>
      <c r="G505" s="14"/>
      <c r="H505" s="14"/>
      <c r="I505" s="14"/>
      <c r="J505" s="14"/>
      <c r="K505" s="12"/>
    </row>
    <row r="506" ht="19.5" customHeight="1">
      <c r="A506" s="12"/>
      <c r="C506" s="12"/>
      <c r="D506" s="13"/>
      <c r="F506" s="14"/>
      <c r="G506" s="14"/>
      <c r="H506" s="14"/>
      <c r="I506" s="14"/>
      <c r="J506" s="14"/>
      <c r="K506" s="12"/>
    </row>
    <row r="507" ht="19.5" customHeight="1">
      <c r="A507" s="12"/>
      <c r="C507" s="12"/>
      <c r="D507" s="13"/>
      <c r="F507" s="14"/>
      <c r="G507" s="14"/>
      <c r="H507" s="14"/>
      <c r="I507" s="14"/>
      <c r="J507" s="14"/>
      <c r="K507" s="12"/>
    </row>
    <row r="508" ht="19.5" customHeight="1">
      <c r="A508" s="12"/>
      <c r="C508" s="12"/>
      <c r="D508" s="13"/>
      <c r="F508" s="14"/>
      <c r="G508" s="14"/>
      <c r="H508" s="14"/>
      <c r="I508" s="14"/>
      <c r="J508" s="14"/>
      <c r="K508" s="12"/>
    </row>
    <row r="509" ht="19.5" customHeight="1">
      <c r="A509" s="12"/>
      <c r="C509" s="12"/>
      <c r="D509" s="13"/>
      <c r="F509" s="14"/>
      <c r="G509" s="14"/>
      <c r="H509" s="14"/>
      <c r="I509" s="14"/>
      <c r="J509" s="14"/>
      <c r="K509" s="12"/>
    </row>
    <row r="510" ht="19.5" customHeight="1">
      <c r="A510" s="12"/>
      <c r="C510" s="12"/>
      <c r="D510" s="13"/>
      <c r="F510" s="14"/>
      <c r="G510" s="14"/>
      <c r="H510" s="14"/>
      <c r="I510" s="14"/>
      <c r="J510" s="14"/>
      <c r="K510" s="12"/>
    </row>
    <row r="511" ht="19.5" customHeight="1">
      <c r="A511" s="12"/>
      <c r="C511" s="12"/>
      <c r="D511" s="13"/>
      <c r="F511" s="14"/>
      <c r="G511" s="14"/>
      <c r="H511" s="14"/>
      <c r="I511" s="14"/>
      <c r="J511" s="14"/>
      <c r="K511" s="12"/>
    </row>
    <row r="512" ht="19.5" customHeight="1">
      <c r="A512" s="12"/>
      <c r="C512" s="12"/>
      <c r="D512" s="13"/>
      <c r="F512" s="14"/>
      <c r="G512" s="14"/>
      <c r="H512" s="14"/>
      <c r="I512" s="14"/>
      <c r="J512" s="14"/>
      <c r="K512" s="12"/>
    </row>
    <row r="513" ht="19.5" customHeight="1">
      <c r="A513" s="12"/>
      <c r="C513" s="12"/>
      <c r="D513" s="13"/>
      <c r="F513" s="14"/>
      <c r="G513" s="14"/>
      <c r="H513" s="14"/>
      <c r="I513" s="14"/>
      <c r="J513" s="14"/>
      <c r="K513" s="12"/>
    </row>
    <row r="514" ht="19.5" customHeight="1">
      <c r="A514" s="12"/>
      <c r="C514" s="12"/>
      <c r="D514" s="13"/>
      <c r="F514" s="14"/>
      <c r="G514" s="14"/>
      <c r="H514" s="14"/>
      <c r="I514" s="14"/>
      <c r="J514" s="14"/>
      <c r="K514" s="12"/>
    </row>
    <row r="515" ht="19.5" customHeight="1">
      <c r="A515" s="12"/>
      <c r="C515" s="12"/>
      <c r="D515" s="13"/>
      <c r="F515" s="14"/>
      <c r="G515" s="14"/>
      <c r="H515" s="14"/>
      <c r="I515" s="14"/>
      <c r="J515" s="14"/>
      <c r="K515" s="12"/>
    </row>
    <row r="516" ht="19.5" customHeight="1">
      <c r="A516" s="12"/>
      <c r="C516" s="12"/>
      <c r="D516" s="13"/>
      <c r="F516" s="14"/>
      <c r="G516" s="14"/>
      <c r="H516" s="14"/>
      <c r="I516" s="14"/>
      <c r="J516" s="14"/>
      <c r="K516" s="12"/>
    </row>
    <row r="517" ht="19.5" customHeight="1">
      <c r="A517" s="12"/>
      <c r="C517" s="12"/>
      <c r="D517" s="13"/>
      <c r="F517" s="14"/>
      <c r="G517" s="14"/>
      <c r="H517" s="14"/>
      <c r="I517" s="14"/>
      <c r="J517" s="14"/>
      <c r="K517" s="12"/>
    </row>
    <row r="518" ht="19.5" customHeight="1">
      <c r="A518" s="12"/>
      <c r="C518" s="12"/>
      <c r="D518" s="13"/>
      <c r="F518" s="14"/>
      <c r="G518" s="14"/>
      <c r="H518" s="14"/>
      <c r="I518" s="14"/>
      <c r="J518" s="14"/>
      <c r="K518" s="12"/>
    </row>
    <row r="519" ht="19.5" customHeight="1">
      <c r="A519" s="12"/>
      <c r="C519" s="12"/>
      <c r="D519" s="13"/>
      <c r="F519" s="14"/>
      <c r="G519" s="14"/>
      <c r="H519" s="14"/>
      <c r="I519" s="14"/>
      <c r="J519" s="14"/>
      <c r="K519" s="12"/>
    </row>
    <row r="520" ht="19.5" customHeight="1">
      <c r="A520" s="12"/>
      <c r="C520" s="12"/>
      <c r="D520" s="13"/>
      <c r="F520" s="14"/>
      <c r="G520" s="14"/>
      <c r="H520" s="14"/>
      <c r="I520" s="14"/>
      <c r="J520" s="14"/>
      <c r="K520" s="12"/>
    </row>
    <row r="521" ht="19.5" customHeight="1">
      <c r="A521" s="12"/>
      <c r="C521" s="12"/>
      <c r="D521" s="13"/>
      <c r="F521" s="14"/>
      <c r="G521" s="14"/>
      <c r="H521" s="14"/>
      <c r="I521" s="14"/>
      <c r="J521" s="14"/>
      <c r="K521" s="12"/>
    </row>
    <row r="522" ht="19.5" customHeight="1">
      <c r="A522" s="12"/>
      <c r="C522" s="12"/>
      <c r="D522" s="13"/>
      <c r="F522" s="14"/>
      <c r="G522" s="14"/>
      <c r="H522" s="14"/>
      <c r="I522" s="14"/>
      <c r="J522" s="14"/>
      <c r="K522" s="12"/>
    </row>
    <row r="523" ht="19.5" customHeight="1">
      <c r="A523" s="12"/>
      <c r="C523" s="12"/>
      <c r="D523" s="13"/>
      <c r="F523" s="14"/>
      <c r="G523" s="14"/>
      <c r="H523" s="14"/>
      <c r="I523" s="14"/>
      <c r="J523" s="14"/>
      <c r="K523" s="12"/>
    </row>
    <row r="524" ht="19.5" customHeight="1">
      <c r="A524" s="12"/>
      <c r="C524" s="12"/>
      <c r="D524" s="13"/>
      <c r="F524" s="14"/>
      <c r="G524" s="14"/>
      <c r="H524" s="14"/>
      <c r="I524" s="14"/>
      <c r="J524" s="14"/>
      <c r="K524" s="12"/>
    </row>
    <row r="525" ht="19.5" customHeight="1">
      <c r="A525" s="12"/>
      <c r="C525" s="12"/>
      <c r="D525" s="13"/>
      <c r="F525" s="14"/>
      <c r="G525" s="14"/>
      <c r="H525" s="14"/>
      <c r="I525" s="14"/>
      <c r="J525" s="14"/>
      <c r="K525" s="12"/>
    </row>
    <row r="526" ht="19.5" customHeight="1">
      <c r="A526" s="12"/>
      <c r="C526" s="12"/>
      <c r="D526" s="13"/>
      <c r="F526" s="14"/>
      <c r="G526" s="14"/>
      <c r="H526" s="14"/>
      <c r="I526" s="14"/>
      <c r="J526" s="14"/>
      <c r="K526" s="12"/>
    </row>
    <row r="527" ht="19.5" customHeight="1">
      <c r="A527" s="12"/>
      <c r="C527" s="12"/>
      <c r="D527" s="13"/>
      <c r="F527" s="14"/>
      <c r="G527" s="14"/>
      <c r="H527" s="14"/>
      <c r="I527" s="14"/>
      <c r="J527" s="14"/>
      <c r="K527" s="12"/>
    </row>
    <row r="528" ht="19.5" customHeight="1">
      <c r="A528" s="12"/>
      <c r="C528" s="12"/>
      <c r="D528" s="13"/>
      <c r="F528" s="14"/>
      <c r="G528" s="14"/>
      <c r="H528" s="14"/>
      <c r="I528" s="14"/>
      <c r="J528" s="14"/>
      <c r="K528" s="12"/>
    </row>
    <row r="529" ht="19.5" customHeight="1">
      <c r="A529" s="12"/>
      <c r="C529" s="12"/>
      <c r="D529" s="13"/>
      <c r="F529" s="14"/>
      <c r="G529" s="14"/>
      <c r="H529" s="14"/>
      <c r="I529" s="14"/>
      <c r="J529" s="14"/>
      <c r="K529" s="12"/>
    </row>
    <row r="530" ht="19.5" customHeight="1">
      <c r="A530" s="12"/>
      <c r="C530" s="12"/>
      <c r="D530" s="13"/>
      <c r="F530" s="14"/>
      <c r="G530" s="14"/>
      <c r="H530" s="14"/>
      <c r="I530" s="14"/>
      <c r="J530" s="14"/>
      <c r="K530" s="12"/>
    </row>
    <row r="531" ht="19.5" customHeight="1">
      <c r="A531" s="12"/>
      <c r="C531" s="12"/>
      <c r="D531" s="13"/>
      <c r="F531" s="14"/>
      <c r="G531" s="14"/>
      <c r="H531" s="14"/>
      <c r="I531" s="14"/>
      <c r="J531" s="14"/>
      <c r="K531" s="12"/>
    </row>
    <row r="532" ht="19.5" customHeight="1">
      <c r="A532" s="12"/>
      <c r="C532" s="12"/>
      <c r="D532" s="13"/>
      <c r="F532" s="14"/>
      <c r="G532" s="14"/>
      <c r="H532" s="14"/>
      <c r="I532" s="14"/>
      <c r="J532" s="14"/>
      <c r="K532" s="12"/>
    </row>
    <row r="533" ht="19.5" customHeight="1">
      <c r="A533" s="12"/>
      <c r="C533" s="12"/>
      <c r="D533" s="13"/>
      <c r="F533" s="14"/>
      <c r="G533" s="14"/>
      <c r="H533" s="14"/>
      <c r="I533" s="14"/>
      <c r="J533" s="14"/>
      <c r="K533" s="12"/>
    </row>
    <row r="534" ht="19.5" customHeight="1">
      <c r="A534" s="12"/>
      <c r="C534" s="12"/>
      <c r="D534" s="13"/>
      <c r="F534" s="14"/>
      <c r="G534" s="14"/>
      <c r="H534" s="14"/>
      <c r="I534" s="14"/>
      <c r="J534" s="14"/>
      <c r="K534" s="12"/>
    </row>
    <row r="535" ht="19.5" customHeight="1">
      <c r="A535" s="12"/>
      <c r="C535" s="12"/>
      <c r="D535" s="13"/>
      <c r="F535" s="14"/>
      <c r="G535" s="14"/>
      <c r="H535" s="14"/>
      <c r="I535" s="14"/>
      <c r="J535" s="14"/>
      <c r="K535" s="12"/>
    </row>
    <row r="536" ht="19.5" customHeight="1">
      <c r="A536" s="12"/>
      <c r="C536" s="12"/>
      <c r="D536" s="13"/>
      <c r="F536" s="14"/>
      <c r="G536" s="14"/>
      <c r="H536" s="14"/>
      <c r="I536" s="14"/>
      <c r="J536" s="14"/>
      <c r="K536" s="12"/>
    </row>
    <row r="537" ht="19.5" customHeight="1">
      <c r="A537" s="12"/>
      <c r="C537" s="12"/>
      <c r="D537" s="13"/>
      <c r="F537" s="14"/>
      <c r="G537" s="14"/>
      <c r="H537" s="14"/>
      <c r="I537" s="14"/>
      <c r="J537" s="14"/>
      <c r="K537" s="12"/>
    </row>
    <row r="538" ht="19.5" customHeight="1">
      <c r="A538" s="12"/>
      <c r="C538" s="12"/>
      <c r="D538" s="13"/>
      <c r="F538" s="14"/>
      <c r="G538" s="14"/>
      <c r="H538" s="14"/>
      <c r="I538" s="14"/>
      <c r="J538" s="14"/>
      <c r="K538" s="12"/>
    </row>
    <row r="539" ht="19.5" customHeight="1">
      <c r="A539" s="12"/>
      <c r="C539" s="12"/>
      <c r="D539" s="13"/>
      <c r="F539" s="14"/>
      <c r="G539" s="14"/>
      <c r="H539" s="14"/>
      <c r="I539" s="14"/>
      <c r="J539" s="14"/>
      <c r="K539" s="12"/>
    </row>
    <row r="540" ht="19.5" customHeight="1">
      <c r="A540" s="12"/>
      <c r="C540" s="12"/>
      <c r="D540" s="13"/>
      <c r="F540" s="14"/>
      <c r="G540" s="14"/>
      <c r="H540" s="14"/>
      <c r="I540" s="14"/>
      <c r="J540" s="14"/>
      <c r="K540" s="12"/>
    </row>
    <row r="541" ht="19.5" customHeight="1">
      <c r="A541" s="12"/>
      <c r="C541" s="12"/>
      <c r="D541" s="13"/>
      <c r="F541" s="14"/>
      <c r="G541" s="14"/>
      <c r="H541" s="14"/>
      <c r="I541" s="14"/>
      <c r="J541" s="14"/>
      <c r="K541" s="12"/>
    </row>
    <row r="542" ht="19.5" customHeight="1">
      <c r="A542" s="12"/>
      <c r="C542" s="12"/>
      <c r="D542" s="13"/>
      <c r="F542" s="14"/>
      <c r="G542" s="14"/>
      <c r="H542" s="14"/>
      <c r="I542" s="14"/>
      <c r="J542" s="14"/>
      <c r="K542" s="12"/>
    </row>
    <row r="543" ht="19.5" customHeight="1">
      <c r="A543" s="12"/>
      <c r="C543" s="12"/>
      <c r="D543" s="13"/>
      <c r="F543" s="14"/>
      <c r="G543" s="14"/>
      <c r="H543" s="14"/>
      <c r="I543" s="14"/>
      <c r="J543" s="14"/>
      <c r="K543" s="12"/>
    </row>
    <row r="544" ht="19.5" customHeight="1">
      <c r="A544" s="12"/>
      <c r="C544" s="12"/>
      <c r="D544" s="13"/>
      <c r="F544" s="14"/>
      <c r="G544" s="14"/>
      <c r="H544" s="14"/>
      <c r="I544" s="14"/>
      <c r="J544" s="14"/>
      <c r="K544" s="12"/>
    </row>
    <row r="545" ht="19.5" customHeight="1">
      <c r="A545" s="12"/>
      <c r="C545" s="12"/>
      <c r="D545" s="13"/>
      <c r="F545" s="14"/>
      <c r="G545" s="14"/>
      <c r="H545" s="14"/>
      <c r="I545" s="14"/>
      <c r="J545" s="14"/>
      <c r="K545" s="12"/>
    </row>
    <row r="546" ht="19.5" customHeight="1">
      <c r="A546" s="12"/>
      <c r="C546" s="12"/>
      <c r="D546" s="13"/>
      <c r="F546" s="14"/>
      <c r="G546" s="14"/>
      <c r="H546" s="14"/>
      <c r="I546" s="14"/>
      <c r="J546" s="14"/>
      <c r="K546" s="12"/>
    </row>
    <row r="547" ht="19.5" customHeight="1">
      <c r="A547" s="12"/>
      <c r="C547" s="12"/>
      <c r="D547" s="13"/>
      <c r="F547" s="14"/>
      <c r="G547" s="14"/>
      <c r="H547" s="14"/>
      <c r="I547" s="14"/>
      <c r="J547" s="14"/>
      <c r="K547" s="12"/>
    </row>
    <row r="548" ht="19.5" customHeight="1">
      <c r="A548" s="12"/>
      <c r="C548" s="12"/>
      <c r="D548" s="13"/>
      <c r="F548" s="14"/>
      <c r="G548" s="14"/>
      <c r="H548" s="14"/>
      <c r="I548" s="14"/>
      <c r="J548" s="14"/>
      <c r="K548" s="12"/>
    </row>
    <row r="549" ht="19.5" customHeight="1">
      <c r="A549" s="12"/>
      <c r="C549" s="12"/>
      <c r="D549" s="13"/>
      <c r="F549" s="14"/>
      <c r="G549" s="14"/>
      <c r="H549" s="14"/>
      <c r="I549" s="14"/>
      <c r="J549" s="14"/>
      <c r="K549" s="12"/>
    </row>
    <row r="550" ht="19.5" customHeight="1">
      <c r="A550" s="12"/>
      <c r="C550" s="12"/>
      <c r="D550" s="13"/>
      <c r="F550" s="14"/>
      <c r="G550" s="14"/>
      <c r="H550" s="14"/>
      <c r="I550" s="14"/>
      <c r="J550" s="14"/>
      <c r="K550" s="12"/>
    </row>
    <row r="551" ht="19.5" customHeight="1">
      <c r="A551" s="12"/>
      <c r="C551" s="12"/>
      <c r="D551" s="13"/>
      <c r="F551" s="14"/>
      <c r="G551" s="14"/>
      <c r="H551" s="14"/>
      <c r="I551" s="14"/>
      <c r="J551" s="14"/>
      <c r="K551" s="12"/>
    </row>
    <row r="552" ht="19.5" customHeight="1">
      <c r="A552" s="12"/>
      <c r="C552" s="12"/>
      <c r="D552" s="13"/>
      <c r="F552" s="14"/>
      <c r="G552" s="14"/>
      <c r="H552" s="14"/>
      <c r="I552" s="14"/>
      <c r="J552" s="14"/>
      <c r="K552" s="12"/>
    </row>
    <row r="553" ht="19.5" customHeight="1">
      <c r="A553" s="12"/>
      <c r="C553" s="12"/>
      <c r="D553" s="13"/>
      <c r="F553" s="14"/>
      <c r="G553" s="14"/>
      <c r="H553" s="14"/>
      <c r="I553" s="14"/>
      <c r="J553" s="14"/>
      <c r="K553" s="12"/>
    </row>
    <row r="554" ht="19.5" customHeight="1">
      <c r="A554" s="12"/>
      <c r="C554" s="12"/>
      <c r="D554" s="13"/>
      <c r="F554" s="14"/>
      <c r="G554" s="14"/>
      <c r="H554" s="14"/>
      <c r="I554" s="14"/>
      <c r="J554" s="14"/>
      <c r="K554" s="12"/>
    </row>
    <row r="555" ht="19.5" customHeight="1">
      <c r="A555" s="12"/>
      <c r="C555" s="12"/>
      <c r="D555" s="13"/>
      <c r="F555" s="14"/>
      <c r="G555" s="14"/>
      <c r="H555" s="14"/>
      <c r="I555" s="14"/>
      <c r="J555" s="14"/>
      <c r="K555" s="12"/>
    </row>
    <row r="556" ht="19.5" customHeight="1">
      <c r="A556" s="12"/>
      <c r="C556" s="12"/>
      <c r="D556" s="13"/>
      <c r="F556" s="14"/>
      <c r="G556" s="14"/>
      <c r="H556" s="14"/>
      <c r="I556" s="14"/>
      <c r="J556" s="14"/>
      <c r="K556" s="12"/>
    </row>
    <row r="557" ht="19.5" customHeight="1">
      <c r="A557" s="12"/>
      <c r="C557" s="12"/>
      <c r="D557" s="13"/>
      <c r="F557" s="14"/>
      <c r="G557" s="14"/>
      <c r="H557" s="14"/>
      <c r="I557" s="14"/>
      <c r="J557" s="14"/>
      <c r="K557" s="12"/>
    </row>
    <row r="558" ht="19.5" customHeight="1">
      <c r="A558" s="12"/>
      <c r="C558" s="12"/>
      <c r="D558" s="13"/>
      <c r="F558" s="14"/>
      <c r="G558" s="14"/>
      <c r="H558" s="14"/>
      <c r="I558" s="14"/>
      <c r="J558" s="14"/>
      <c r="K558" s="12"/>
    </row>
    <row r="559" ht="19.5" customHeight="1">
      <c r="A559" s="12"/>
      <c r="C559" s="12"/>
      <c r="D559" s="13"/>
      <c r="F559" s="14"/>
      <c r="G559" s="14"/>
      <c r="H559" s="14"/>
      <c r="I559" s="14"/>
      <c r="J559" s="14"/>
      <c r="K559" s="12"/>
    </row>
    <row r="560" ht="19.5" customHeight="1">
      <c r="A560" s="12"/>
      <c r="C560" s="12"/>
      <c r="D560" s="13"/>
      <c r="F560" s="14"/>
      <c r="G560" s="14"/>
      <c r="H560" s="14"/>
      <c r="I560" s="14"/>
      <c r="J560" s="14"/>
      <c r="K560" s="12"/>
    </row>
    <row r="561" ht="19.5" customHeight="1">
      <c r="A561" s="12"/>
      <c r="C561" s="12"/>
      <c r="D561" s="13"/>
      <c r="F561" s="14"/>
      <c r="G561" s="14"/>
      <c r="H561" s="14"/>
      <c r="I561" s="14"/>
      <c r="J561" s="14"/>
      <c r="K561" s="12"/>
    </row>
    <row r="562" ht="19.5" customHeight="1">
      <c r="A562" s="12"/>
      <c r="C562" s="12"/>
      <c r="D562" s="13"/>
      <c r="F562" s="14"/>
      <c r="G562" s="14"/>
      <c r="H562" s="14"/>
      <c r="I562" s="14"/>
      <c r="J562" s="14"/>
      <c r="K562" s="12"/>
    </row>
    <row r="563" ht="19.5" customHeight="1">
      <c r="A563" s="12"/>
      <c r="C563" s="12"/>
      <c r="D563" s="13"/>
      <c r="F563" s="14"/>
      <c r="G563" s="14"/>
      <c r="H563" s="14"/>
      <c r="I563" s="14"/>
      <c r="J563" s="14"/>
      <c r="K563" s="12"/>
    </row>
    <row r="564" ht="19.5" customHeight="1">
      <c r="A564" s="12"/>
      <c r="C564" s="12"/>
      <c r="D564" s="13"/>
      <c r="F564" s="14"/>
      <c r="G564" s="14"/>
      <c r="H564" s="14"/>
      <c r="I564" s="14"/>
      <c r="J564" s="14"/>
      <c r="K564" s="12"/>
    </row>
    <row r="565" ht="19.5" customHeight="1">
      <c r="A565" s="12"/>
      <c r="C565" s="12"/>
      <c r="D565" s="13"/>
      <c r="F565" s="14"/>
      <c r="G565" s="14"/>
      <c r="H565" s="14"/>
      <c r="I565" s="14"/>
      <c r="J565" s="14"/>
      <c r="K565" s="12"/>
    </row>
    <row r="566" ht="19.5" customHeight="1">
      <c r="A566" s="12"/>
      <c r="C566" s="12"/>
      <c r="D566" s="13"/>
      <c r="F566" s="14"/>
      <c r="G566" s="14"/>
      <c r="H566" s="14"/>
      <c r="I566" s="14"/>
      <c r="J566" s="14"/>
      <c r="K566" s="12"/>
    </row>
    <row r="567" ht="19.5" customHeight="1">
      <c r="A567" s="12"/>
      <c r="C567" s="12"/>
      <c r="D567" s="13"/>
      <c r="F567" s="14"/>
      <c r="G567" s="14"/>
      <c r="H567" s="14"/>
      <c r="I567" s="14"/>
      <c r="J567" s="14"/>
      <c r="K567" s="12"/>
    </row>
    <row r="568" ht="19.5" customHeight="1">
      <c r="A568" s="12"/>
      <c r="C568" s="12"/>
      <c r="D568" s="13"/>
      <c r="F568" s="14"/>
      <c r="G568" s="14"/>
      <c r="H568" s="14"/>
      <c r="I568" s="14"/>
      <c r="J568" s="14"/>
      <c r="K568" s="12"/>
    </row>
    <row r="569" ht="19.5" customHeight="1">
      <c r="A569" s="12"/>
      <c r="C569" s="12"/>
      <c r="D569" s="13"/>
      <c r="F569" s="14"/>
      <c r="G569" s="14"/>
      <c r="H569" s="14"/>
      <c r="I569" s="14"/>
      <c r="J569" s="14"/>
      <c r="K569" s="12"/>
    </row>
    <row r="570" ht="19.5" customHeight="1">
      <c r="A570" s="12"/>
      <c r="C570" s="12"/>
      <c r="D570" s="13"/>
      <c r="F570" s="14"/>
      <c r="G570" s="14"/>
      <c r="H570" s="14"/>
      <c r="I570" s="14"/>
      <c r="J570" s="14"/>
      <c r="K570" s="12"/>
    </row>
    <row r="571" ht="19.5" customHeight="1">
      <c r="A571" s="12"/>
      <c r="C571" s="12"/>
      <c r="D571" s="13"/>
      <c r="F571" s="14"/>
      <c r="G571" s="14"/>
      <c r="H571" s="14"/>
      <c r="I571" s="14"/>
      <c r="J571" s="14"/>
      <c r="K571" s="12"/>
    </row>
    <row r="572" ht="19.5" customHeight="1">
      <c r="A572" s="12"/>
      <c r="C572" s="12"/>
      <c r="D572" s="13"/>
      <c r="F572" s="14"/>
      <c r="G572" s="14"/>
      <c r="H572" s="14"/>
      <c r="I572" s="14"/>
      <c r="J572" s="14"/>
      <c r="K572" s="12"/>
    </row>
    <row r="573" ht="19.5" customHeight="1">
      <c r="A573" s="12"/>
      <c r="C573" s="12"/>
      <c r="D573" s="13"/>
      <c r="F573" s="14"/>
      <c r="G573" s="14"/>
      <c r="H573" s="14"/>
      <c r="I573" s="14"/>
      <c r="J573" s="14"/>
      <c r="K573" s="12"/>
    </row>
    <row r="574" ht="19.5" customHeight="1">
      <c r="A574" s="12"/>
      <c r="C574" s="12"/>
      <c r="D574" s="13"/>
      <c r="F574" s="14"/>
      <c r="G574" s="14"/>
      <c r="H574" s="14"/>
      <c r="I574" s="14"/>
      <c r="J574" s="14"/>
      <c r="K574" s="12"/>
    </row>
    <row r="575" ht="19.5" customHeight="1">
      <c r="A575" s="12"/>
      <c r="C575" s="12"/>
      <c r="D575" s="13"/>
      <c r="F575" s="14"/>
      <c r="G575" s="14"/>
      <c r="H575" s="14"/>
      <c r="I575" s="14"/>
      <c r="J575" s="14"/>
      <c r="K575" s="12"/>
    </row>
    <row r="576" ht="19.5" customHeight="1">
      <c r="A576" s="12"/>
      <c r="C576" s="12"/>
      <c r="D576" s="13"/>
      <c r="F576" s="14"/>
      <c r="G576" s="14"/>
      <c r="H576" s="14"/>
      <c r="I576" s="14"/>
      <c r="J576" s="14"/>
      <c r="K576" s="12"/>
    </row>
    <row r="577" ht="19.5" customHeight="1">
      <c r="A577" s="12"/>
      <c r="C577" s="12"/>
      <c r="D577" s="13"/>
      <c r="F577" s="14"/>
      <c r="G577" s="14"/>
      <c r="H577" s="14"/>
      <c r="I577" s="14"/>
      <c r="J577" s="14"/>
      <c r="K577" s="12"/>
    </row>
    <row r="578" ht="19.5" customHeight="1">
      <c r="A578" s="12"/>
      <c r="C578" s="12"/>
      <c r="D578" s="13"/>
      <c r="F578" s="14"/>
      <c r="G578" s="14"/>
      <c r="H578" s="14"/>
      <c r="I578" s="14"/>
      <c r="J578" s="14"/>
      <c r="K578" s="12"/>
    </row>
    <row r="579" ht="19.5" customHeight="1">
      <c r="A579" s="12"/>
      <c r="C579" s="12"/>
      <c r="D579" s="13"/>
      <c r="F579" s="14"/>
      <c r="G579" s="14"/>
      <c r="H579" s="14"/>
      <c r="I579" s="14"/>
      <c r="J579" s="14"/>
      <c r="K579" s="12"/>
    </row>
    <row r="580" ht="19.5" customHeight="1">
      <c r="A580" s="12"/>
      <c r="C580" s="12"/>
      <c r="D580" s="13"/>
      <c r="F580" s="14"/>
      <c r="G580" s="14"/>
      <c r="H580" s="14"/>
      <c r="I580" s="14"/>
      <c r="J580" s="14"/>
      <c r="K580" s="12"/>
    </row>
    <row r="581" ht="19.5" customHeight="1">
      <c r="A581" s="12"/>
      <c r="C581" s="12"/>
      <c r="D581" s="13"/>
      <c r="F581" s="14"/>
      <c r="G581" s="14"/>
      <c r="H581" s="14"/>
      <c r="I581" s="14"/>
      <c r="J581" s="14"/>
      <c r="K581" s="12"/>
    </row>
    <row r="582" ht="19.5" customHeight="1">
      <c r="A582" s="12"/>
      <c r="C582" s="12"/>
      <c r="D582" s="13"/>
      <c r="F582" s="14"/>
      <c r="G582" s="14"/>
      <c r="H582" s="14"/>
      <c r="I582" s="14"/>
      <c r="J582" s="14"/>
      <c r="K582" s="12"/>
    </row>
    <row r="583" ht="19.5" customHeight="1">
      <c r="A583" s="12"/>
      <c r="C583" s="12"/>
      <c r="D583" s="13"/>
      <c r="F583" s="14"/>
      <c r="G583" s="14"/>
      <c r="H583" s="14"/>
      <c r="I583" s="14"/>
      <c r="J583" s="14"/>
      <c r="K583" s="12"/>
    </row>
    <row r="584" ht="19.5" customHeight="1">
      <c r="A584" s="12"/>
      <c r="C584" s="12"/>
      <c r="D584" s="13"/>
      <c r="F584" s="14"/>
      <c r="G584" s="14"/>
      <c r="H584" s="14"/>
      <c r="I584" s="14"/>
      <c r="J584" s="14"/>
      <c r="K584" s="12"/>
    </row>
    <row r="585" ht="19.5" customHeight="1">
      <c r="A585" s="12"/>
      <c r="C585" s="12"/>
      <c r="D585" s="13"/>
      <c r="F585" s="14"/>
      <c r="G585" s="14"/>
      <c r="H585" s="14"/>
      <c r="I585" s="14"/>
      <c r="J585" s="14"/>
      <c r="K585" s="12"/>
    </row>
    <row r="586" ht="19.5" customHeight="1">
      <c r="A586" s="12"/>
      <c r="C586" s="12"/>
      <c r="D586" s="13"/>
      <c r="F586" s="14"/>
      <c r="G586" s="14"/>
      <c r="H586" s="14"/>
      <c r="I586" s="14"/>
      <c r="J586" s="14"/>
      <c r="K586" s="12"/>
    </row>
    <row r="587" ht="19.5" customHeight="1">
      <c r="A587" s="12"/>
      <c r="C587" s="12"/>
      <c r="D587" s="13"/>
      <c r="F587" s="14"/>
      <c r="G587" s="14"/>
      <c r="H587" s="14"/>
      <c r="I587" s="14"/>
      <c r="J587" s="14"/>
      <c r="K587" s="12"/>
    </row>
    <row r="588" ht="19.5" customHeight="1">
      <c r="A588" s="12"/>
      <c r="C588" s="12"/>
      <c r="D588" s="13"/>
      <c r="F588" s="14"/>
      <c r="G588" s="14"/>
      <c r="H588" s="14"/>
      <c r="I588" s="14"/>
      <c r="J588" s="14"/>
      <c r="K588" s="12"/>
    </row>
    <row r="589" ht="19.5" customHeight="1">
      <c r="A589" s="12"/>
      <c r="C589" s="12"/>
      <c r="D589" s="13"/>
      <c r="F589" s="14"/>
      <c r="G589" s="14"/>
      <c r="H589" s="14"/>
      <c r="I589" s="14"/>
      <c r="J589" s="14"/>
      <c r="K589" s="12"/>
    </row>
    <row r="590" ht="19.5" customHeight="1">
      <c r="A590" s="12"/>
      <c r="C590" s="12"/>
      <c r="D590" s="13"/>
      <c r="F590" s="14"/>
      <c r="G590" s="14"/>
      <c r="H590" s="14"/>
      <c r="I590" s="14"/>
      <c r="J590" s="14"/>
      <c r="K590" s="12"/>
    </row>
    <row r="591" ht="19.5" customHeight="1">
      <c r="A591" s="12"/>
      <c r="C591" s="12"/>
      <c r="D591" s="13"/>
      <c r="F591" s="14"/>
      <c r="G591" s="14"/>
      <c r="H591" s="14"/>
      <c r="I591" s="14"/>
      <c r="J591" s="14"/>
      <c r="K591" s="12"/>
    </row>
    <row r="592" ht="19.5" customHeight="1">
      <c r="A592" s="12"/>
      <c r="C592" s="12"/>
      <c r="D592" s="13"/>
      <c r="F592" s="14"/>
      <c r="G592" s="14"/>
      <c r="H592" s="14"/>
      <c r="I592" s="14"/>
      <c r="J592" s="14"/>
      <c r="K592" s="12"/>
    </row>
    <row r="593" ht="19.5" customHeight="1">
      <c r="A593" s="12"/>
      <c r="C593" s="12"/>
      <c r="D593" s="13"/>
      <c r="F593" s="14"/>
      <c r="G593" s="14"/>
      <c r="H593" s="14"/>
      <c r="I593" s="14"/>
      <c r="J593" s="14"/>
      <c r="K593" s="12"/>
    </row>
    <row r="594" ht="19.5" customHeight="1">
      <c r="A594" s="12"/>
      <c r="C594" s="12"/>
      <c r="D594" s="13"/>
      <c r="F594" s="14"/>
      <c r="G594" s="14"/>
      <c r="H594" s="14"/>
      <c r="I594" s="14"/>
      <c r="J594" s="14"/>
      <c r="K594" s="12"/>
    </row>
    <row r="595" ht="19.5" customHeight="1">
      <c r="A595" s="12"/>
      <c r="C595" s="12"/>
      <c r="D595" s="13"/>
      <c r="F595" s="14"/>
      <c r="G595" s="14"/>
      <c r="H595" s="14"/>
      <c r="I595" s="14"/>
      <c r="J595" s="14"/>
      <c r="K595" s="12"/>
    </row>
    <row r="596" ht="19.5" customHeight="1">
      <c r="A596" s="12"/>
      <c r="C596" s="12"/>
      <c r="D596" s="13"/>
      <c r="F596" s="14"/>
      <c r="G596" s="14"/>
      <c r="H596" s="14"/>
      <c r="I596" s="14"/>
      <c r="J596" s="14"/>
      <c r="K596" s="12"/>
    </row>
    <row r="597" ht="19.5" customHeight="1">
      <c r="A597" s="12"/>
      <c r="C597" s="12"/>
      <c r="D597" s="13"/>
      <c r="F597" s="14"/>
      <c r="G597" s="14"/>
      <c r="H597" s="14"/>
      <c r="I597" s="14"/>
      <c r="J597" s="14"/>
      <c r="K597" s="12"/>
    </row>
    <row r="598" ht="19.5" customHeight="1">
      <c r="A598" s="12"/>
      <c r="C598" s="12"/>
      <c r="D598" s="13"/>
      <c r="F598" s="14"/>
      <c r="G598" s="14"/>
      <c r="H598" s="14"/>
      <c r="I598" s="14"/>
      <c r="J598" s="14"/>
      <c r="K598" s="12"/>
    </row>
    <row r="599" ht="19.5" customHeight="1">
      <c r="A599" s="12"/>
      <c r="C599" s="12"/>
      <c r="D599" s="13"/>
      <c r="F599" s="14"/>
      <c r="G599" s="14"/>
      <c r="H599" s="14"/>
      <c r="I599" s="14"/>
      <c r="J599" s="14"/>
      <c r="K599" s="12"/>
    </row>
    <row r="600" ht="19.5" customHeight="1">
      <c r="A600" s="12"/>
      <c r="C600" s="12"/>
      <c r="D600" s="13"/>
      <c r="F600" s="14"/>
      <c r="G600" s="14"/>
      <c r="H600" s="14"/>
      <c r="I600" s="14"/>
      <c r="J600" s="14"/>
      <c r="K600" s="12"/>
    </row>
    <row r="601" ht="19.5" customHeight="1">
      <c r="A601" s="12"/>
      <c r="C601" s="12"/>
      <c r="D601" s="13"/>
      <c r="F601" s="14"/>
      <c r="G601" s="14"/>
      <c r="H601" s="14"/>
      <c r="I601" s="14"/>
      <c r="J601" s="14"/>
      <c r="K601" s="12"/>
    </row>
    <row r="602" ht="19.5" customHeight="1">
      <c r="A602" s="12"/>
      <c r="C602" s="12"/>
      <c r="D602" s="13"/>
      <c r="F602" s="14"/>
      <c r="G602" s="14"/>
      <c r="H602" s="14"/>
      <c r="I602" s="14"/>
      <c r="J602" s="14"/>
      <c r="K602" s="12"/>
    </row>
    <row r="603" ht="19.5" customHeight="1">
      <c r="A603" s="12"/>
      <c r="C603" s="12"/>
      <c r="D603" s="13"/>
      <c r="F603" s="14"/>
      <c r="G603" s="14"/>
      <c r="H603" s="14"/>
      <c r="I603" s="14"/>
      <c r="J603" s="14"/>
      <c r="K603" s="12"/>
    </row>
    <row r="604" ht="19.5" customHeight="1">
      <c r="A604" s="12"/>
      <c r="C604" s="12"/>
      <c r="D604" s="13"/>
      <c r="F604" s="14"/>
      <c r="G604" s="14"/>
      <c r="H604" s="14"/>
      <c r="I604" s="14"/>
      <c r="J604" s="14"/>
      <c r="K604" s="12"/>
    </row>
    <row r="605" ht="19.5" customHeight="1">
      <c r="A605" s="12"/>
      <c r="C605" s="12"/>
      <c r="D605" s="13"/>
      <c r="F605" s="14"/>
      <c r="G605" s="14"/>
      <c r="H605" s="14"/>
      <c r="I605" s="14"/>
      <c r="J605" s="14"/>
      <c r="K605" s="12"/>
    </row>
    <row r="606" ht="19.5" customHeight="1">
      <c r="A606" s="12"/>
      <c r="C606" s="12"/>
      <c r="D606" s="13"/>
      <c r="F606" s="14"/>
      <c r="G606" s="14"/>
      <c r="H606" s="14"/>
      <c r="I606" s="14"/>
      <c r="J606" s="14"/>
      <c r="K606" s="12"/>
    </row>
    <row r="607" ht="19.5" customHeight="1">
      <c r="A607" s="12"/>
      <c r="C607" s="12"/>
      <c r="D607" s="13"/>
      <c r="F607" s="14"/>
      <c r="G607" s="14"/>
      <c r="H607" s="14"/>
      <c r="I607" s="14"/>
      <c r="J607" s="14"/>
      <c r="K607" s="12"/>
    </row>
    <row r="608" ht="19.5" customHeight="1">
      <c r="A608" s="12"/>
      <c r="C608" s="12"/>
      <c r="D608" s="13"/>
      <c r="F608" s="14"/>
      <c r="G608" s="14"/>
      <c r="H608" s="14"/>
      <c r="I608" s="14"/>
      <c r="J608" s="14"/>
      <c r="K608" s="12"/>
    </row>
    <row r="609" ht="19.5" customHeight="1">
      <c r="A609" s="12"/>
      <c r="C609" s="12"/>
      <c r="D609" s="13"/>
      <c r="F609" s="14"/>
      <c r="G609" s="14"/>
      <c r="H609" s="14"/>
      <c r="I609" s="14"/>
      <c r="J609" s="14"/>
      <c r="K609" s="12"/>
    </row>
    <row r="610" ht="19.5" customHeight="1">
      <c r="A610" s="12"/>
      <c r="C610" s="12"/>
      <c r="D610" s="13"/>
      <c r="F610" s="14"/>
      <c r="G610" s="14"/>
      <c r="H610" s="14"/>
      <c r="I610" s="14"/>
      <c r="J610" s="14"/>
      <c r="K610" s="12"/>
    </row>
    <row r="611" ht="19.5" customHeight="1">
      <c r="A611" s="12"/>
      <c r="C611" s="12"/>
      <c r="D611" s="13"/>
      <c r="F611" s="14"/>
      <c r="G611" s="14"/>
      <c r="H611" s="14"/>
      <c r="I611" s="14"/>
      <c r="J611" s="14"/>
      <c r="K611" s="12"/>
    </row>
    <row r="612" ht="19.5" customHeight="1">
      <c r="A612" s="12"/>
      <c r="C612" s="12"/>
      <c r="D612" s="13"/>
      <c r="F612" s="14"/>
      <c r="G612" s="14"/>
      <c r="H612" s="14"/>
      <c r="I612" s="14"/>
      <c r="J612" s="14"/>
      <c r="K612" s="12"/>
    </row>
    <row r="613" ht="19.5" customHeight="1">
      <c r="A613" s="12"/>
      <c r="C613" s="12"/>
      <c r="D613" s="13"/>
      <c r="F613" s="14"/>
      <c r="G613" s="14"/>
      <c r="H613" s="14"/>
      <c r="I613" s="14"/>
      <c r="J613" s="14"/>
      <c r="K613" s="12"/>
    </row>
    <row r="614" ht="19.5" customHeight="1">
      <c r="A614" s="12"/>
      <c r="C614" s="12"/>
      <c r="D614" s="13"/>
      <c r="F614" s="14"/>
      <c r="G614" s="14"/>
      <c r="H614" s="14"/>
      <c r="I614" s="14"/>
      <c r="J614" s="14"/>
      <c r="K614" s="12"/>
    </row>
    <row r="615" ht="19.5" customHeight="1">
      <c r="A615" s="12"/>
      <c r="C615" s="12"/>
      <c r="D615" s="13"/>
      <c r="F615" s="14"/>
      <c r="G615" s="14"/>
      <c r="H615" s="14"/>
      <c r="I615" s="14"/>
      <c r="J615" s="14"/>
      <c r="K615" s="12"/>
    </row>
    <row r="616" ht="19.5" customHeight="1">
      <c r="A616" s="12"/>
      <c r="C616" s="12"/>
      <c r="D616" s="13"/>
      <c r="F616" s="14"/>
      <c r="G616" s="14"/>
      <c r="H616" s="14"/>
      <c r="I616" s="14"/>
      <c r="J616" s="14"/>
      <c r="K616" s="12"/>
    </row>
    <row r="617" ht="19.5" customHeight="1">
      <c r="A617" s="12"/>
      <c r="C617" s="12"/>
      <c r="D617" s="13"/>
      <c r="F617" s="14"/>
      <c r="G617" s="14"/>
      <c r="H617" s="14"/>
      <c r="I617" s="14"/>
      <c r="J617" s="14"/>
      <c r="K617" s="12"/>
    </row>
    <row r="618" ht="19.5" customHeight="1">
      <c r="A618" s="12"/>
      <c r="C618" s="12"/>
      <c r="D618" s="13"/>
      <c r="F618" s="14"/>
      <c r="G618" s="14"/>
      <c r="H618" s="14"/>
      <c r="I618" s="14"/>
      <c r="J618" s="14"/>
      <c r="K618" s="12"/>
    </row>
    <row r="619" ht="19.5" customHeight="1">
      <c r="A619" s="12"/>
      <c r="C619" s="12"/>
      <c r="D619" s="13"/>
      <c r="F619" s="14"/>
      <c r="G619" s="14"/>
      <c r="H619" s="14"/>
      <c r="I619" s="14"/>
      <c r="J619" s="14"/>
      <c r="K619" s="12"/>
    </row>
    <row r="620" ht="19.5" customHeight="1">
      <c r="A620" s="12"/>
      <c r="C620" s="12"/>
      <c r="D620" s="13"/>
      <c r="F620" s="14"/>
      <c r="G620" s="14"/>
      <c r="H620" s="14"/>
      <c r="I620" s="14"/>
      <c r="J620" s="14"/>
      <c r="K620" s="12"/>
    </row>
    <row r="621" ht="19.5" customHeight="1">
      <c r="A621" s="12"/>
      <c r="C621" s="12"/>
      <c r="D621" s="13"/>
      <c r="F621" s="14"/>
      <c r="G621" s="14"/>
      <c r="H621" s="14"/>
      <c r="I621" s="14"/>
      <c r="J621" s="14"/>
      <c r="K621" s="12"/>
    </row>
    <row r="622" ht="19.5" customHeight="1">
      <c r="A622" s="12"/>
      <c r="C622" s="12"/>
      <c r="D622" s="13"/>
      <c r="F622" s="14"/>
      <c r="G622" s="14"/>
      <c r="H622" s="14"/>
      <c r="I622" s="14"/>
      <c r="J622" s="14"/>
      <c r="K622" s="12"/>
    </row>
    <row r="623" ht="19.5" customHeight="1">
      <c r="A623" s="12"/>
      <c r="C623" s="12"/>
      <c r="D623" s="13"/>
      <c r="F623" s="14"/>
      <c r="G623" s="14"/>
      <c r="H623" s="14"/>
      <c r="I623" s="14"/>
      <c r="J623" s="14"/>
      <c r="K623" s="12"/>
    </row>
    <row r="624" ht="19.5" customHeight="1">
      <c r="A624" s="12"/>
      <c r="C624" s="12"/>
      <c r="D624" s="13"/>
      <c r="F624" s="14"/>
      <c r="G624" s="14"/>
      <c r="H624" s="14"/>
      <c r="I624" s="14"/>
      <c r="J624" s="14"/>
      <c r="K624" s="12"/>
    </row>
    <row r="625" ht="19.5" customHeight="1">
      <c r="A625" s="12"/>
      <c r="C625" s="12"/>
      <c r="D625" s="13"/>
      <c r="F625" s="14"/>
      <c r="G625" s="14"/>
      <c r="H625" s="14"/>
      <c r="I625" s="14"/>
      <c r="J625" s="14"/>
      <c r="K625" s="12"/>
    </row>
    <row r="626" ht="19.5" customHeight="1">
      <c r="A626" s="12"/>
      <c r="C626" s="12"/>
      <c r="D626" s="13"/>
      <c r="F626" s="14"/>
      <c r="G626" s="14"/>
      <c r="H626" s="14"/>
      <c r="I626" s="14"/>
      <c r="J626" s="14"/>
      <c r="K626" s="12"/>
    </row>
    <row r="627" ht="19.5" customHeight="1">
      <c r="A627" s="12"/>
      <c r="C627" s="12"/>
      <c r="D627" s="13"/>
      <c r="F627" s="14"/>
      <c r="G627" s="14"/>
      <c r="H627" s="14"/>
      <c r="I627" s="14"/>
      <c r="J627" s="14"/>
      <c r="K627" s="12"/>
    </row>
    <row r="628" ht="19.5" customHeight="1">
      <c r="A628" s="12"/>
      <c r="C628" s="12"/>
      <c r="D628" s="13"/>
      <c r="F628" s="14"/>
      <c r="G628" s="14"/>
      <c r="H628" s="14"/>
      <c r="I628" s="14"/>
      <c r="J628" s="14"/>
      <c r="K628" s="12"/>
    </row>
    <row r="629" ht="19.5" customHeight="1">
      <c r="A629" s="12"/>
      <c r="C629" s="12"/>
      <c r="D629" s="13"/>
      <c r="F629" s="14"/>
      <c r="G629" s="14"/>
      <c r="H629" s="14"/>
      <c r="I629" s="14"/>
      <c r="J629" s="14"/>
      <c r="K629" s="12"/>
    </row>
    <row r="630" ht="19.5" customHeight="1">
      <c r="A630" s="12"/>
      <c r="C630" s="12"/>
      <c r="D630" s="13"/>
      <c r="F630" s="14"/>
      <c r="G630" s="14"/>
      <c r="H630" s="14"/>
      <c r="I630" s="14"/>
      <c r="J630" s="14"/>
      <c r="K630" s="12"/>
    </row>
    <row r="631" ht="19.5" customHeight="1">
      <c r="A631" s="12"/>
      <c r="C631" s="12"/>
      <c r="D631" s="13"/>
      <c r="F631" s="14"/>
      <c r="G631" s="14"/>
      <c r="H631" s="14"/>
      <c r="I631" s="14"/>
      <c r="J631" s="14"/>
      <c r="K631" s="12"/>
    </row>
    <row r="632" ht="19.5" customHeight="1">
      <c r="A632" s="12"/>
      <c r="C632" s="12"/>
      <c r="D632" s="13"/>
      <c r="F632" s="14"/>
      <c r="G632" s="14"/>
      <c r="H632" s="14"/>
      <c r="I632" s="14"/>
      <c r="J632" s="14"/>
      <c r="K632" s="12"/>
    </row>
    <row r="633" ht="19.5" customHeight="1">
      <c r="A633" s="12"/>
      <c r="C633" s="12"/>
      <c r="D633" s="13"/>
      <c r="F633" s="14"/>
      <c r="G633" s="14"/>
      <c r="H633" s="14"/>
      <c r="I633" s="14"/>
      <c r="J633" s="14"/>
      <c r="K633" s="12"/>
    </row>
    <row r="634" ht="19.5" customHeight="1">
      <c r="A634" s="12"/>
      <c r="C634" s="12"/>
      <c r="D634" s="13"/>
      <c r="F634" s="14"/>
      <c r="G634" s="14"/>
      <c r="H634" s="14"/>
      <c r="I634" s="14"/>
      <c r="J634" s="14"/>
      <c r="K634" s="12"/>
    </row>
    <row r="635" ht="19.5" customHeight="1">
      <c r="A635" s="12"/>
      <c r="C635" s="12"/>
      <c r="D635" s="13"/>
      <c r="F635" s="14"/>
      <c r="G635" s="14"/>
      <c r="H635" s="14"/>
      <c r="I635" s="14"/>
      <c r="J635" s="14"/>
      <c r="K635" s="12"/>
    </row>
    <row r="636" ht="19.5" customHeight="1">
      <c r="A636" s="12"/>
      <c r="C636" s="12"/>
      <c r="D636" s="13"/>
      <c r="F636" s="14"/>
      <c r="G636" s="14"/>
      <c r="H636" s="14"/>
      <c r="I636" s="14"/>
      <c r="J636" s="14"/>
      <c r="K636" s="12"/>
    </row>
    <row r="637" ht="19.5" customHeight="1">
      <c r="A637" s="12"/>
      <c r="C637" s="12"/>
      <c r="D637" s="13"/>
      <c r="F637" s="14"/>
      <c r="G637" s="14"/>
      <c r="H637" s="14"/>
      <c r="I637" s="14"/>
      <c r="J637" s="14"/>
      <c r="K637" s="12"/>
    </row>
    <row r="638" ht="19.5" customHeight="1">
      <c r="A638" s="12"/>
      <c r="C638" s="12"/>
      <c r="D638" s="13"/>
      <c r="F638" s="14"/>
      <c r="G638" s="14"/>
      <c r="H638" s="14"/>
      <c r="I638" s="14"/>
      <c r="J638" s="14"/>
      <c r="K638" s="12"/>
    </row>
    <row r="639" ht="19.5" customHeight="1">
      <c r="A639" s="12"/>
      <c r="C639" s="12"/>
      <c r="D639" s="13"/>
      <c r="F639" s="14"/>
      <c r="G639" s="14"/>
      <c r="H639" s="14"/>
      <c r="I639" s="14"/>
      <c r="J639" s="14"/>
      <c r="K639" s="12"/>
    </row>
    <row r="640" ht="19.5" customHeight="1">
      <c r="A640" s="12"/>
      <c r="C640" s="12"/>
      <c r="D640" s="13"/>
      <c r="F640" s="14"/>
      <c r="G640" s="14"/>
      <c r="H640" s="14"/>
      <c r="I640" s="14"/>
      <c r="J640" s="14"/>
      <c r="K640" s="12"/>
    </row>
    <row r="641" ht="19.5" customHeight="1">
      <c r="A641" s="12"/>
      <c r="C641" s="12"/>
      <c r="D641" s="13"/>
      <c r="F641" s="14"/>
      <c r="G641" s="14"/>
      <c r="H641" s="14"/>
      <c r="I641" s="14"/>
      <c r="J641" s="14"/>
      <c r="K641" s="12"/>
    </row>
    <row r="642" ht="19.5" customHeight="1">
      <c r="A642" s="12"/>
      <c r="C642" s="12"/>
      <c r="D642" s="13"/>
      <c r="F642" s="14"/>
      <c r="G642" s="14"/>
      <c r="H642" s="14"/>
      <c r="I642" s="14"/>
      <c r="J642" s="14"/>
      <c r="K642" s="12"/>
    </row>
    <row r="643" ht="19.5" customHeight="1">
      <c r="A643" s="12"/>
      <c r="C643" s="12"/>
      <c r="D643" s="13"/>
      <c r="F643" s="14"/>
      <c r="G643" s="14"/>
      <c r="H643" s="14"/>
      <c r="I643" s="14"/>
      <c r="J643" s="14"/>
      <c r="K643" s="12"/>
    </row>
    <row r="644" ht="19.5" customHeight="1">
      <c r="A644" s="12"/>
      <c r="C644" s="12"/>
      <c r="D644" s="13"/>
      <c r="F644" s="14"/>
      <c r="G644" s="14"/>
      <c r="H644" s="14"/>
      <c r="I644" s="14"/>
      <c r="J644" s="14"/>
      <c r="K644" s="12"/>
    </row>
    <row r="645" ht="19.5" customHeight="1">
      <c r="A645" s="12"/>
      <c r="C645" s="12"/>
      <c r="D645" s="13"/>
      <c r="F645" s="14"/>
      <c r="G645" s="14"/>
      <c r="H645" s="14"/>
      <c r="I645" s="14"/>
      <c r="J645" s="14"/>
      <c r="K645" s="12"/>
    </row>
    <row r="646" ht="19.5" customHeight="1">
      <c r="A646" s="12"/>
      <c r="C646" s="12"/>
      <c r="D646" s="13"/>
      <c r="F646" s="14"/>
      <c r="G646" s="14"/>
      <c r="H646" s="14"/>
      <c r="I646" s="14"/>
      <c r="J646" s="14"/>
      <c r="K646" s="12"/>
    </row>
    <row r="647" ht="19.5" customHeight="1">
      <c r="A647" s="12"/>
      <c r="C647" s="12"/>
      <c r="D647" s="13"/>
      <c r="F647" s="14"/>
      <c r="G647" s="14"/>
      <c r="H647" s="14"/>
      <c r="I647" s="14"/>
      <c r="J647" s="14"/>
      <c r="K647" s="12"/>
    </row>
    <row r="648" ht="19.5" customHeight="1">
      <c r="A648" s="12"/>
      <c r="C648" s="12"/>
      <c r="D648" s="13"/>
      <c r="F648" s="14"/>
      <c r="G648" s="14"/>
      <c r="H648" s="14"/>
      <c r="I648" s="14"/>
      <c r="J648" s="14"/>
      <c r="K648" s="12"/>
    </row>
    <row r="649" ht="19.5" customHeight="1">
      <c r="A649" s="12"/>
      <c r="C649" s="12"/>
      <c r="D649" s="13"/>
      <c r="F649" s="14"/>
      <c r="G649" s="14"/>
      <c r="H649" s="14"/>
      <c r="I649" s="14"/>
      <c r="J649" s="14"/>
      <c r="K649" s="12"/>
    </row>
    <row r="650" ht="19.5" customHeight="1">
      <c r="A650" s="12"/>
      <c r="C650" s="12"/>
      <c r="D650" s="13"/>
      <c r="F650" s="14"/>
      <c r="G650" s="14"/>
      <c r="H650" s="14"/>
      <c r="I650" s="14"/>
      <c r="J650" s="14"/>
      <c r="K650" s="12"/>
    </row>
    <row r="651" ht="19.5" customHeight="1">
      <c r="A651" s="12"/>
      <c r="C651" s="12"/>
      <c r="D651" s="13"/>
      <c r="F651" s="14"/>
      <c r="G651" s="14"/>
      <c r="H651" s="14"/>
      <c r="I651" s="14"/>
      <c r="J651" s="14"/>
      <c r="K651" s="12"/>
    </row>
    <row r="652" ht="19.5" customHeight="1">
      <c r="A652" s="12"/>
      <c r="C652" s="12"/>
      <c r="D652" s="13"/>
      <c r="F652" s="14"/>
      <c r="G652" s="14"/>
      <c r="H652" s="14"/>
      <c r="I652" s="14"/>
      <c r="J652" s="14"/>
      <c r="K652" s="12"/>
    </row>
    <row r="653" ht="19.5" customHeight="1">
      <c r="A653" s="12"/>
      <c r="C653" s="12"/>
      <c r="D653" s="13"/>
      <c r="F653" s="14"/>
      <c r="G653" s="14"/>
      <c r="H653" s="14"/>
      <c r="I653" s="14"/>
      <c r="J653" s="14"/>
      <c r="K653" s="12"/>
    </row>
    <row r="654" ht="19.5" customHeight="1">
      <c r="A654" s="12"/>
      <c r="C654" s="12"/>
      <c r="D654" s="13"/>
      <c r="F654" s="14"/>
      <c r="G654" s="14"/>
      <c r="H654" s="14"/>
      <c r="I654" s="14"/>
      <c r="J654" s="14"/>
      <c r="K654" s="12"/>
    </row>
    <row r="655" ht="19.5" customHeight="1">
      <c r="A655" s="12"/>
      <c r="C655" s="12"/>
      <c r="D655" s="13"/>
      <c r="F655" s="14"/>
      <c r="G655" s="14"/>
      <c r="H655" s="14"/>
      <c r="I655" s="14"/>
      <c r="J655" s="14"/>
      <c r="K655" s="12"/>
    </row>
    <row r="656" ht="19.5" customHeight="1">
      <c r="A656" s="12"/>
      <c r="C656" s="12"/>
      <c r="D656" s="13"/>
      <c r="F656" s="14"/>
      <c r="G656" s="14"/>
      <c r="H656" s="14"/>
      <c r="I656" s="14"/>
      <c r="J656" s="14"/>
      <c r="K656" s="12"/>
    </row>
    <row r="657" ht="19.5" customHeight="1">
      <c r="A657" s="12"/>
      <c r="C657" s="12"/>
      <c r="D657" s="13"/>
      <c r="F657" s="14"/>
      <c r="G657" s="14"/>
      <c r="H657" s="14"/>
      <c r="I657" s="14"/>
      <c r="J657" s="14"/>
      <c r="K657" s="12"/>
    </row>
    <row r="658" ht="19.5" customHeight="1">
      <c r="A658" s="12"/>
      <c r="C658" s="12"/>
      <c r="D658" s="13"/>
      <c r="F658" s="14"/>
      <c r="G658" s="14"/>
      <c r="H658" s="14"/>
      <c r="I658" s="14"/>
      <c r="J658" s="14"/>
      <c r="K658" s="12"/>
    </row>
    <row r="659" ht="19.5" customHeight="1">
      <c r="A659" s="12"/>
      <c r="C659" s="12"/>
      <c r="D659" s="13"/>
      <c r="F659" s="14"/>
      <c r="G659" s="14"/>
      <c r="H659" s="14"/>
      <c r="I659" s="14"/>
      <c r="J659" s="14"/>
      <c r="K659" s="12"/>
    </row>
    <row r="660" ht="19.5" customHeight="1">
      <c r="A660" s="12"/>
      <c r="C660" s="12"/>
      <c r="D660" s="13"/>
      <c r="F660" s="14"/>
      <c r="G660" s="14"/>
      <c r="H660" s="14"/>
      <c r="I660" s="14"/>
      <c r="J660" s="14"/>
      <c r="K660" s="12"/>
    </row>
    <row r="661" ht="19.5" customHeight="1">
      <c r="A661" s="12"/>
      <c r="C661" s="12"/>
      <c r="D661" s="13"/>
      <c r="F661" s="14"/>
      <c r="G661" s="14"/>
      <c r="H661" s="14"/>
      <c r="I661" s="14"/>
      <c r="J661" s="14"/>
      <c r="K661" s="12"/>
    </row>
    <row r="662" ht="19.5" customHeight="1">
      <c r="A662" s="12"/>
      <c r="C662" s="12"/>
      <c r="D662" s="13"/>
      <c r="F662" s="14"/>
      <c r="G662" s="14"/>
      <c r="H662" s="14"/>
      <c r="I662" s="14"/>
      <c r="J662" s="14"/>
      <c r="K662" s="12"/>
    </row>
    <row r="663" ht="19.5" customHeight="1">
      <c r="A663" s="12"/>
      <c r="C663" s="12"/>
      <c r="D663" s="13"/>
      <c r="F663" s="14"/>
      <c r="G663" s="14"/>
      <c r="H663" s="14"/>
      <c r="I663" s="14"/>
      <c r="J663" s="14"/>
      <c r="K663" s="12"/>
    </row>
    <row r="664" ht="19.5" customHeight="1">
      <c r="A664" s="12"/>
      <c r="C664" s="12"/>
      <c r="D664" s="13"/>
      <c r="F664" s="14"/>
      <c r="G664" s="14"/>
      <c r="H664" s="14"/>
      <c r="I664" s="14"/>
      <c r="J664" s="14"/>
      <c r="K664" s="12"/>
    </row>
    <row r="665" ht="19.5" customHeight="1">
      <c r="A665" s="12"/>
      <c r="C665" s="12"/>
      <c r="D665" s="13"/>
      <c r="F665" s="14"/>
      <c r="G665" s="14"/>
      <c r="H665" s="14"/>
      <c r="I665" s="14"/>
      <c r="J665" s="14"/>
      <c r="K665" s="12"/>
    </row>
    <row r="666" ht="19.5" customHeight="1">
      <c r="A666" s="12"/>
      <c r="C666" s="12"/>
      <c r="D666" s="13"/>
      <c r="F666" s="14"/>
      <c r="G666" s="14"/>
      <c r="H666" s="14"/>
      <c r="I666" s="14"/>
      <c r="J666" s="14"/>
      <c r="K666" s="12"/>
    </row>
    <row r="667" ht="19.5" customHeight="1">
      <c r="A667" s="12"/>
      <c r="C667" s="12"/>
      <c r="D667" s="13"/>
      <c r="F667" s="14"/>
      <c r="G667" s="14"/>
      <c r="H667" s="14"/>
      <c r="I667" s="14"/>
      <c r="J667" s="14"/>
      <c r="K667" s="12"/>
    </row>
    <row r="668" ht="19.5" customHeight="1">
      <c r="A668" s="12"/>
      <c r="C668" s="12"/>
      <c r="D668" s="13"/>
      <c r="F668" s="14"/>
      <c r="G668" s="14"/>
      <c r="H668" s="14"/>
      <c r="I668" s="14"/>
      <c r="J668" s="14"/>
      <c r="K668" s="12"/>
    </row>
    <row r="669" ht="19.5" customHeight="1">
      <c r="A669" s="12"/>
      <c r="C669" s="12"/>
      <c r="D669" s="13"/>
      <c r="F669" s="14"/>
      <c r="G669" s="14"/>
      <c r="H669" s="14"/>
      <c r="I669" s="14"/>
      <c r="J669" s="14"/>
      <c r="K669" s="12"/>
    </row>
    <row r="670" ht="19.5" customHeight="1">
      <c r="A670" s="12"/>
      <c r="C670" s="12"/>
      <c r="D670" s="13"/>
      <c r="F670" s="14"/>
      <c r="G670" s="14"/>
      <c r="H670" s="14"/>
      <c r="I670" s="14"/>
      <c r="J670" s="14"/>
      <c r="K670" s="12"/>
    </row>
    <row r="671" ht="19.5" customHeight="1">
      <c r="A671" s="12"/>
      <c r="C671" s="12"/>
      <c r="D671" s="13"/>
      <c r="F671" s="14"/>
      <c r="G671" s="14"/>
      <c r="H671" s="14"/>
      <c r="I671" s="14"/>
      <c r="J671" s="14"/>
      <c r="K671" s="12"/>
    </row>
    <row r="672" ht="19.5" customHeight="1">
      <c r="A672" s="12"/>
      <c r="C672" s="12"/>
      <c r="D672" s="13"/>
      <c r="F672" s="14"/>
      <c r="G672" s="14"/>
      <c r="H672" s="14"/>
      <c r="I672" s="14"/>
      <c r="J672" s="14"/>
      <c r="K672" s="12"/>
    </row>
    <row r="673" ht="19.5" customHeight="1">
      <c r="A673" s="12"/>
      <c r="C673" s="12"/>
      <c r="D673" s="13"/>
      <c r="F673" s="14"/>
      <c r="G673" s="14"/>
      <c r="H673" s="14"/>
      <c r="I673" s="14"/>
      <c r="J673" s="14"/>
      <c r="K673" s="12"/>
    </row>
    <row r="674" ht="19.5" customHeight="1">
      <c r="A674" s="12"/>
      <c r="C674" s="12"/>
      <c r="D674" s="13"/>
      <c r="F674" s="14"/>
      <c r="G674" s="14"/>
      <c r="H674" s="14"/>
      <c r="I674" s="14"/>
      <c r="J674" s="14"/>
      <c r="K674" s="12"/>
    </row>
    <row r="675" ht="19.5" customHeight="1">
      <c r="A675" s="12"/>
      <c r="C675" s="12"/>
      <c r="D675" s="13"/>
      <c r="F675" s="14"/>
      <c r="G675" s="14"/>
      <c r="H675" s="14"/>
      <c r="I675" s="14"/>
      <c r="J675" s="14"/>
      <c r="K675" s="12"/>
    </row>
    <row r="676" ht="19.5" customHeight="1">
      <c r="A676" s="12"/>
      <c r="C676" s="12"/>
      <c r="D676" s="13"/>
      <c r="F676" s="14"/>
      <c r="G676" s="14"/>
      <c r="H676" s="14"/>
      <c r="I676" s="14"/>
      <c r="J676" s="14"/>
      <c r="K676" s="12"/>
    </row>
    <row r="677" ht="19.5" customHeight="1">
      <c r="A677" s="12"/>
      <c r="C677" s="12"/>
      <c r="D677" s="13"/>
      <c r="F677" s="14"/>
      <c r="G677" s="14"/>
      <c r="H677" s="14"/>
      <c r="I677" s="14"/>
      <c r="J677" s="14"/>
      <c r="K677" s="12"/>
    </row>
    <row r="678" ht="19.5" customHeight="1">
      <c r="A678" s="12"/>
      <c r="C678" s="12"/>
      <c r="D678" s="13"/>
      <c r="F678" s="14"/>
      <c r="G678" s="14"/>
      <c r="H678" s="14"/>
      <c r="I678" s="14"/>
      <c r="J678" s="14"/>
      <c r="K678" s="12"/>
    </row>
    <row r="679" ht="19.5" customHeight="1">
      <c r="A679" s="12"/>
      <c r="C679" s="12"/>
      <c r="D679" s="13"/>
      <c r="F679" s="14"/>
      <c r="G679" s="14"/>
      <c r="H679" s="14"/>
      <c r="I679" s="14"/>
      <c r="J679" s="14"/>
      <c r="K679" s="12"/>
    </row>
    <row r="680" ht="19.5" customHeight="1">
      <c r="A680" s="12"/>
      <c r="C680" s="12"/>
      <c r="D680" s="13"/>
      <c r="F680" s="14"/>
      <c r="G680" s="14"/>
      <c r="H680" s="14"/>
      <c r="I680" s="14"/>
      <c r="J680" s="14"/>
      <c r="K680" s="12"/>
    </row>
    <row r="681" ht="19.5" customHeight="1">
      <c r="A681" s="12"/>
      <c r="C681" s="12"/>
      <c r="D681" s="13"/>
      <c r="F681" s="14"/>
      <c r="G681" s="14"/>
      <c r="H681" s="14"/>
      <c r="I681" s="14"/>
      <c r="J681" s="14"/>
      <c r="K681" s="12"/>
    </row>
    <row r="682" ht="19.5" customHeight="1">
      <c r="A682" s="12"/>
      <c r="C682" s="12"/>
      <c r="D682" s="13"/>
      <c r="F682" s="14"/>
      <c r="G682" s="14"/>
      <c r="H682" s="14"/>
      <c r="I682" s="14"/>
      <c r="J682" s="14"/>
      <c r="K682" s="12"/>
    </row>
    <row r="683" ht="19.5" customHeight="1">
      <c r="A683" s="12"/>
      <c r="C683" s="12"/>
      <c r="D683" s="13"/>
      <c r="F683" s="14"/>
      <c r="G683" s="14"/>
      <c r="H683" s="14"/>
      <c r="I683" s="14"/>
      <c r="J683" s="14"/>
      <c r="K683" s="12"/>
    </row>
    <row r="684" ht="19.5" customHeight="1">
      <c r="A684" s="12"/>
      <c r="C684" s="12"/>
      <c r="D684" s="13"/>
      <c r="F684" s="14"/>
      <c r="G684" s="14"/>
      <c r="H684" s="14"/>
      <c r="I684" s="14"/>
      <c r="J684" s="14"/>
      <c r="K684" s="12"/>
    </row>
    <row r="685" ht="19.5" customHeight="1">
      <c r="A685" s="12"/>
      <c r="C685" s="12"/>
      <c r="D685" s="13"/>
      <c r="F685" s="14"/>
      <c r="G685" s="14"/>
      <c r="H685" s="14"/>
      <c r="I685" s="14"/>
      <c r="J685" s="14"/>
      <c r="K685" s="12"/>
    </row>
    <row r="686" ht="19.5" customHeight="1">
      <c r="A686" s="12"/>
      <c r="C686" s="12"/>
      <c r="D686" s="13"/>
      <c r="F686" s="14"/>
      <c r="G686" s="14"/>
      <c r="H686" s="14"/>
      <c r="I686" s="14"/>
      <c r="J686" s="14"/>
      <c r="K686" s="12"/>
    </row>
    <row r="687" ht="19.5" customHeight="1">
      <c r="A687" s="12"/>
      <c r="C687" s="12"/>
      <c r="D687" s="13"/>
      <c r="F687" s="14"/>
      <c r="G687" s="14"/>
      <c r="H687" s="14"/>
      <c r="I687" s="14"/>
      <c r="J687" s="14"/>
      <c r="K687" s="12"/>
    </row>
    <row r="688" ht="19.5" customHeight="1">
      <c r="A688" s="12"/>
      <c r="C688" s="12"/>
      <c r="D688" s="13"/>
      <c r="F688" s="14"/>
      <c r="G688" s="14"/>
      <c r="H688" s="14"/>
      <c r="I688" s="14"/>
      <c r="J688" s="14"/>
      <c r="K688" s="12"/>
    </row>
    <row r="689" ht="19.5" customHeight="1">
      <c r="A689" s="12"/>
      <c r="C689" s="12"/>
      <c r="D689" s="13"/>
      <c r="F689" s="14"/>
      <c r="G689" s="14"/>
      <c r="H689" s="14"/>
      <c r="I689" s="14"/>
      <c r="J689" s="14"/>
      <c r="K689" s="12"/>
    </row>
    <row r="690" ht="19.5" customHeight="1">
      <c r="A690" s="12"/>
      <c r="C690" s="12"/>
      <c r="D690" s="13"/>
      <c r="F690" s="14"/>
      <c r="G690" s="14"/>
      <c r="H690" s="14"/>
      <c r="I690" s="14"/>
      <c r="J690" s="14"/>
      <c r="K690" s="12"/>
    </row>
    <row r="691" ht="19.5" customHeight="1">
      <c r="A691" s="12"/>
      <c r="C691" s="12"/>
      <c r="D691" s="13"/>
      <c r="F691" s="14"/>
      <c r="G691" s="14"/>
      <c r="H691" s="14"/>
      <c r="I691" s="14"/>
      <c r="J691" s="14"/>
      <c r="K691" s="12"/>
    </row>
    <row r="692" ht="19.5" customHeight="1">
      <c r="A692" s="12"/>
      <c r="C692" s="12"/>
      <c r="D692" s="13"/>
      <c r="F692" s="14"/>
      <c r="G692" s="14"/>
      <c r="H692" s="14"/>
      <c r="I692" s="14"/>
      <c r="J692" s="14"/>
      <c r="K692" s="12"/>
    </row>
    <row r="693" ht="19.5" customHeight="1">
      <c r="A693" s="12"/>
      <c r="C693" s="12"/>
      <c r="D693" s="13"/>
      <c r="F693" s="14"/>
      <c r="G693" s="14"/>
      <c r="H693" s="14"/>
      <c r="I693" s="14"/>
      <c r="J693" s="14"/>
      <c r="K693" s="12"/>
    </row>
    <row r="694" ht="19.5" customHeight="1">
      <c r="A694" s="12"/>
      <c r="C694" s="12"/>
      <c r="D694" s="13"/>
      <c r="F694" s="14"/>
      <c r="G694" s="14"/>
      <c r="H694" s="14"/>
      <c r="I694" s="14"/>
      <c r="J694" s="14"/>
      <c r="K694" s="12"/>
    </row>
    <row r="695" ht="19.5" customHeight="1">
      <c r="A695" s="12"/>
      <c r="C695" s="12"/>
      <c r="D695" s="13"/>
      <c r="F695" s="14"/>
      <c r="G695" s="14"/>
      <c r="H695" s="14"/>
      <c r="I695" s="14"/>
      <c r="J695" s="14"/>
      <c r="K695" s="12"/>
    </row>
    <row r="696" ht="19.5" customHeight="1">
      <c r="A696" s="12"/>
      <c r="C696" s="12"/>
      <c r="D696" s="13"/>
      <c r="F696" s="14"/>
      <c r="G696" s="14"/>
      <c r="H696" s="14"/>
      <c r="I696" s="14"/>
      <c r="J696" s="14"/>
      <c r="K696" s="12"/>
    </row>
    <row r="697" ht="19.5" customHeight="1">
      <c r="A697" s="12"/>
      <c r="C697" s="12"/>
      <c r="D697" s="13"/>
      <c r="F697" s="14"/>
      <c r="G697" s="14"/>
      <c r="H697" s="14"/>
      <c r="I697" s="14"/>
      <c r="J697" s="14"/>
      <c r="K697" s="12"/>
    </row>
    <row r="698" ht="19.5" customHeight="1">
      <c r="A698" s="12"/>
      <c r="C698" s="12"/>
      <c r="D698" s="13"/>
      <c r="F698" s="14"/>
      <c r="G698" s="14"/>
      <c r="H698" s="14"/>
      <c r="I698" s="14"/>
      <c r="J698" s="14"/>
      <c r="K698" s="12"/>
    </row>
    <row r="699" ht="19.5" customHeight="1">
      <c r="A699" s="12"/>
      <c r="C699" s="12"/>
      <c r="D699" s="13"/>
      <c r="F699" s="14"/>
      <c r="G699" s="14"/>
      <c r="H699" s="14"/>
      <c r="I699" s="14"/>
      <c r="J699" s="14"/>
      <c r="K699" s="12"/>
    </row>
    <row r="700" ht="19.5" customHeight="1">
      <c r="A700" s="12"/>
      <c r="C700" s="12"/>
      <c r="D700" s="13"/>
      <c r="F700" s="14"/>
      <c r="G700" s="14"/>
      <c r="H700" s="14"/>
      <c r="I700" s="14"/>
      <c r="J700" s="14"/>
      <c r="K700" s="12"/>
    </row>
    <row r="701" ht="19.5" customHeight="1">
      <c r="A701" s="12"/>
      <c r="C701" s="12"/>
      <c r="D701" s="13"/>
      <c r="F701" s="14"/>
      <c r="G701" s="14"/>
      <c r="H701" s="14"/>
      <c r="I701" s="14"/>
      <c r="J701" s="14"/>
      <c r="K701" s="12"/>
    </row>
    <row r="702" ht="19.5" customHeight="1">
      <c r="A702" s="12"/>
      <c r="C702" s="12"/>
      <c r="D702" s="13"/>
      <c r="F702" s="14"/>
      <c r="G702" s="14"/>
      <c r="H702" s="14"/>
      <c r="I702" s="14"/>
      <c r="J702" s="14"/>
      <c r="K702" s="12"/>
    </row>
    <row r="703" ht="19.5" customHeight="1">
      <c r="A703" s="12"/>
      <c r="C703" s="12"/>
      <c r="D703" s="13"/>
      <c r="F703" s="14"/>
      <c r="G703" s="14"/>
      <c r="H703" s="14"/>
      <c r="I703" s="14"/>
      <c r="J703" s="14"/>
      <c r="K703" s="12"/>
    </row>
    <row r="704" ht="19.5" customHeight="1">
      <c r="A704" s="12"/>
      <c r="C704" s="12"/>
      <c r="D704" s="13"/>
      <c r="F704" s="14"/>
      <c r="G704" s="14"/>
      <c r="H704" s="14"/>
      <c r="I704" s="14"/>
      <c r="J704" s="14"/>
      <c r="K704" s="12"/>
    </row>
    <row r="705" ht="19.5" customHeight="1">
      <c r="A705" s="12"/>
      <c r="C705" s="12"/>
      <c r="D705" s="13"/>
      <c r="F705" s="14"/>
      <c r="G705" s="14"/>
      <c r="H705" s="14"/>
      <c r="I705" s="14"/>
      <c r="J705" s="14"/>
      <c r="K705" s="12"/>
    </row>
    <row r="706" ht="19.5" customHeight="1">
      <c r="A706" s="12"/>
      <c r="C706" s="12"/>
      <c r="D706" s="13"/>
      <c r="F706" s="14"/>
      <c r="G706" s="14"/>
      <c r="H706" s="14"/>
      <c r="I706" s="14"/>
      <c r="J706" s="14"/>
      <c r="K706" s="12"/>
    </row>
    <row r="707" ht="19.5" customHeight="1">
      <c r="A707" s="12"/>
      <c r="C707" s="12"/>
      <c r="D707" s="13"/>
      <c r="F707" s="14"/>
      <c r="G707" s="14"/>
      <c r="H707" s="14"/>
      <c r="I707" s="14"/>
      <c r="J707" s="14"/>
      <c r="K707" s="12"/>
    </row>
    <row r="708" ht="19.5" customHeight="1">
      <c r="A708" s="12"/>
      <c r="C708" s="12"/>
      <c r="D708" s="13"/>
      <c r="F708" s="14"/>
      <c r="G708" s="14"/>
      <c r="H708" s="14"/>
      <c r="I708" s="14"/>
      <c r="J708" s="14"/>
      <c r="K708" s="12"/>
    </row>
    <row r="709" ht="19.5" customHeight="1">
      <c r="A709" s="12"/>
      <c r="C709" s="12"/>
      <c r="D709" s="13"/>
      <c r="F709" s="14"/>
      <c r="G709" s="14"/>
      <c r="H709" s="14"/>
      <c r="I709" s="14"/>
      <c r="J709" s="14"/>
      <c r="K709" s="12"/>
    </row>
    <row r="710" ht="19.5" customHeight="1">
      <c r="A710" s="12"/>
      <c r="C710" s="12"/>
      <c r="D710" s="13"/>
      <c r="F710" s="14"/>
      <c r="G710" s="14"/>
      <c r="H710" s="14"/>
      <c r="I710" s="14"/>
      <c r="J710" s="14"/>
      <c r="K710" s="12"/>
    </row>
    <row r="711" ht="19.5" customHeight="1">
      <c r="A711" s="12"/>
      <c r="C711" s="12"/>
      <c r="D711" s="13"/>
      <c r="F711" s="14"/>
      <c r="G711" s="14"/>
      <c r="H711" s="14"/>
      <c r="I711" s="14"/>
      <c r="J711" s="14"/>
      <c r="K711" s="12"/>
    </row>
    <row r="712" ht="19.5" customHeight="1">
      <c r="A712" s="12"/>
      <c r="C712" s="12"/>
      <c r="D712" s="13"/>
      <c r="F712" s="14"/>
      <c r="G712" s="14"/>
      <c r="H712" s="14"/>
      <c r="I712" s="14"/>
      <c r="J712" s="14"/>
      <c r="K712" s="12"/>
    </row>
    <row r="713" ht="19.5" customHeight="1">
      <c r="A713" s="12"/>
      <c r="C713" s="12"/>
      <c r="D713" s="13"/>
      <c r="F713" s="14"/>
      <c r="G713" s="14"/>
      <c r="H713" s="14"/>
      <c r="I713" s="14"/>
      <c r="J713" s="14"/>
      <c r="K713" s="12"/>
    </row>
    <row r="714" ht="19.5" customHeight="1">
      <c r="A714" s="12"/>
      <c r="C714" s="12"/>
      <c r="D714" s="13"/>
      <c r="F714" s="14"/>
      <c r="G714" s="14"/>
      <c r="H714" s="14"/>
      <c r="I714" s="14"/>
      <c r="J714" s="14"/>
      <c r="K714" s="12"/>
    </row>
    <row r="715" ht="19.5" customHeight="1">
      <c r="A715" s="12"/>
      <c r="C715" s="12"/>
      <c r="D715" s="13"/>
      <c r="F715" s="14"/>
      <c r="G715" s="14"/>
      <c r="H715" s="14"/>
      <c r="I715" s="14"/>
      <c r="J715" s="14"/>
      <c r="K715" s="12"/>
    </row>
    <row r="716" ht="19.5" customHeight="1">
      <c r="A716" s="12"/>
      <c r="C716" s="12"/>
      <c r="D716" s="13"/>
      <c r="F716" s="14"/>
      <c r="G716" s="14"/>
      <c r="H716" s="14"/>
      <c r="I716" s="14"/>
      <c r="J716" s="14"/>
      <c r="K716" s="12"/>
    </row>
    <row r="717" ht="19.5" customHeight="1">
      <c r="A717" s="12"/>
      <c r="C717" s="12"/>
      <c r="D717" s="13"/>
      <c r="F717" s="14"/>
      <c r="G717" s="14"/>
      <c r="H717" s="14"/>
      <c r="I717" s="14"/>
      <c r="J717" s="14"/>
      <c r="K717" s="12"/>
    </row>
    <row r="718" ht="19.5" customHeight="1">
      <c r="A718" s="12"/>
      <c r="C718" s="12"/>
      <c r="D718" s="13"/>
      <c r="F718" s="14"/>
      <c r="G718" s="14"/>
      <c r="H718" s="14"/>
      <c r="I718" s="14"/>
      <c r="J718" s="14"/>
      <c r="K718" s="12"/>
    </row>
    <row r="719" ht="19.5" customHeight="1">
      <c r="A719" s="12"/>
      <c r="C719" s="12"/>
      <c r="D719" s="13"/>
      <c r="F719" s="14"/>
      <c r="G719" s="14"/>
      <c r="H719" s="14"/>
      <c r="I719" s="14"/>
      <c r="J719" s="14"/>
      <c r="K719" s="12"/>
    </row>
    <row r="720" ht="19.5" customHeight="1">
      <c r="A720" s="12"/>
      <c r="C720" s="12"/>
      <c r="D720" s="13"/>
      <c r="F720" s="14"/>
      <c r="G720" s="14"/>
      <c r="H720" s="14"/>
      <c r="I720" s="14"/>
      <c r="J720" s="14"/>
      <c r="K720" s="12"/>
    </row>
    <row r="721" ht="19.5" customHeight="1">
      <c r="A721" s="12"/>
      <c r="C721" s="12"/>
      <c r="D721" s="13"/>
      <c r="F721" s="14"/>
      <c r="G721" s="14"/>
      <c r="H721" s="14"/>
      <c r="I721" s="14"/>
      <c r="J721" s="14"/>
      <c r="K721" s="12"/>
    </row>
    <row r="722" ht="19.5" customHeight="1">
      <c r="A722" s="12"/>
      <c r="C722" s="12"/>
      <c r="D722" s="13"/>
      <c r="F722" s="14"/>
      <c r="G722" s="14"/>
      <c r="H722" s="14"/>
      <c r="I722" s="14"/>
      <c r="J722" s="14"/>
      <c r="K722" s="12"/>
    </row>
    <row r="723" ht="19.5" customHeight="1">
      <c r="A723" s="12"/>
      <c r="C723" s="12"/>
      <c r="D723" s="13"/>
      <c r="F723" s="14"/>
      <c r="G723" s="14"/>
      <c r="H723" s="14"/>
      <c r="I723" s="14"/>
      <c r="J723" s="14"/>
      <c r="K723" s="12"/>
    </row>
    <row r="724" ht="19.5" customHeight="1">
      <c r="A724" s="12"/>
      <c r="C724" s="12"/>
      <c r="D724" s="13"/>
      <c r="F724" s="14"/>
      <c r="G724" s="14"/>
      <c r="H724" s="14"/>
      <c r="I724" s="14"/>
      <c r="J724" s="14"/>
      <c r="K724" s="12"/>
    </row>
    <row r="725" ht="19.5" customHeight="1">
      <c r="A725" s="12"/>
      <c r="C725" s="12"/>
      <c r="D725" s="13"/>
      <c r="F725" s="14"/>
      <c r="G725" s="14"/>
      <c r="H725" s="14"/>
      <c r="I725" s="14"/>
      <c r="J725" s="14"/>
      <c r="K725" s="12"/>
    </row>
    <row r="726" ht="19.5" customHeight="1">
      <c r="A726" s="12"/>
      <c r="C726" s="12"/>
      <c r="D726" s="13"/>
      <c r="F726" s="14"/>
      <c r="G726" s="14"/>
      <c r="H726" s="14"/>
      <c r="I726" s="14"/>
      <c r="J726" s="14"/>
      <c r="K726" s="12"/>
    </row>
    <row r="727" ht="19.5" customHeight="1">
      <c r="A727" s="12"/>
      <c r="C727" s="12"/>
      <c r="D727" s="13"/>
      <c r="F727" s="14"/>
      <c r="G727" s="14"/>
      <c r="H727" s="14"/>
      <c r="I727" s="14"/>
      <c r="J727" s="14"/>
      <c r="K727" s="12"/>
    </row>
    <row r="728" ht="19.5" customHeight="1">
      <c r="A728" s="12"/>
      <c r="C728" s="12"/>
      <c r="D728" s="13"/>
      <c r="F728" s="14"/>
      <c r="G728" s="14"/>
      <c r="H728" s="14"/>
      <c r="I728" s="14"/>
      <c r="J728" s="14"/>
      <c r="K728" s="12"/>
    </row>
    <row r="729" ht="19.5" customHeight="1">
      <c r="A729" s="12"/>
      <c r="C729" s="12"/>
      <c r="D729" s="13"/>
      <c r="F729" s="14"/>
      <c r="G729" s="14"/>
      <c r="H729" s="14"/>
      <c r="I729" s="14"/>
      <c r="J729" s="14"/>
      <c r="K729" s="12"/>
    </row>
    <row r="730" ht="19.5" customHeight="1">
      <c r="A730" s="12"/>
      <c r="C730" s="12"/>
      <c r="D730" s="13"/>
      <c r="F730" s="14"/>
      <c r="G730" s="14"/>
      <c r="H730" s="14"/>
      <c r="I730" s="14"/>
      <c r="J730" s="14"/>
      <c r="K730" s="12"/>
    </row>
    <row r="731" ht="19.5" customHeight="1">
      <c r="A731" s="12"/>
      <c r="C731" s="12"/>
      <c r="D731" s="13"/>
      <c r="F731" s="14"/>
      <c r="G731" s="14"/>
      <c r="H731" s="14"/>
      <c r="I731" s="14"/>
      <c r="J731" s="14"/>
      <c r="K731" s="12"/>
    </row>
    <row r="732" ht="19.5" customHeight="1">
      <c r="A732" s="12"/>
      <c r="C732" s="12"/>
      <c r="D732" s="13"/>
      <c r="F732" s="14"/>
      <c r="G732" s="14"/>
      <c r="H732" s="14"/>
      <c r="I732" s="14"/>
      <c r="J732" s="14"/>
      <c r="K732" s="12"/>
    </row>
    <row r="733" ht="19.5" customHeight="1">
      <c r="A733" s="12"/>
      <c r="C733" s="12"/>
      <c r="D733" s="13"/>
      <c r="F733" s="14"/>
      <c r="G733" s="14"/>
      <c r="H733" s="14"/>
      <c r="I733" s="14"/>
      <c r="J733" s="14"/>
      <c r="K733" s="12"/>
    </row>
    <row r="734" ht="19.5" customHeight="1">
      <c r="A734" s="12"/>
      <c r="C734" s="12"/>
      <c r="D734" s="13"/>
      <c r="F734" s="14"/>
      <c r="G734" s="14"/>
      <c r="H734" s="14"/>
      <c r="I734" s="14"/>
      <c r="J734" s="14"/>
      <c r="K734" s="12"/>
    </row>
    <row r="735" ht="19.5" customHeight="1">
      <c r="A735" s="12"/>
      <c r="C735" s="12"/>
      <c r="D735" s="13"/>
      <c r="F735" s="14"/>
      <c r="G735" s="14"/>
      <c r="H735" s="14"/>
      <c r="I735" s="14"/>
      <c r="J735" s="14"/>
      <c r="K735" s="12"/>
    </row>
    <row r="736" ht="19.5" customHeight="1">
      <c r="A736" s="12"/>
      <c r="C736" s="12"/>
      <c r="D736" s="13"/>
      <c r="F736" s="14"/>
      <c r="G736" s="14"/>
      <c r="H736" s="14"/>
      <c r="I736" s="14"/>
      <c r="J736" s="14"/>
      <c r="K736" s="12"/>
    </row>
    <row r="737" ht="19.5" customHeight="1">
      <c r="A737" s="12"/>
      <c r="C737" s="12"/>
      <c r="D737" s="13"/>
      <c r="F737" s="14"/>
      <c r="G737" s="14"/>
      <c r="H737" s="14"/>
      <c r="I737" s="14"/>
      <c r="J737" s="14"/>
      <c r="K737" s="12"/>
    </row>
    <row r="738" ht="19.5" customHeight="1">
      <c r="A738" s="12"/>
      <c r="C738" s="12"/>
      <c r="D738" s="13"/>
      <c r="F738" s="14"/>
      <c r="G738" s="14"/>
      <c r="H738" s="14"/>
      <c r="I738" s="14"/>
      <c r="J738" s="14"/>
      <c r="K738" s="12"/>
    </row>
    <row r="739" ht="19.5" customHeight="1">
      <c r="A739" s="12"/>
      <c r="C739" s="12"/>
      <c r="D739" s="13"/>
      <c r="F739" s="14"/>
      <c r="G739" s="14"/>
      <c r="H739" s="14"/>
      <c r="I739" s="14"/>
      <c r="J739" s="14"/>
      <c r="K739" s="12"/>
    </row>
    <row r="740" ht="19.5" customHeight="1">
      <c r="A740" s="12"/>
      <c r="C740" s="12"/>
      <c r="D740" s="13"/>
      <c r="F740" s="14"/>
      <c r="G740" s="14"/>
      <c r="H740" s="14"/>
      <c r="I740" s="14"/>
      <c r="J740" s="14"/>
      <c r="K740" s="12"/>
    </row>
    <row r="741" ht="19.5" customHeight="1">
      <c r="A741" s="12"/>
      <c r="C741" s="12"/>
      <c r="D741" s="13"/>
      <c r="F741" s="14"/>
      <c r="G741" s="14"/>
      <c r="H741" s="14"/>
      <c r="I741" s="14"/>
      <c r="J741" s="14"/>
      <c r="K741" s="12"/>
    </row>
    <row r="742" ht="19.5" customHeight="1">
      <c r="A742" s="12"/>
      <c r="C742" s="12"/>
      <c r="D742" s="13"/>
      <c r="F742" s="14"/>
      <c r="G742" s="14"/>
      <c r="H742" s="14"/>
      <c r="I742" s="14"/>
      <c r="J742" s="14"/>
      <c r="K742" s="12"/>
    </row>
    <row r="743" ht="19.5" customHeight="1">
      <c r="A743" s="12"/>
      <c r="C743" s="12"/>
      <c r="D743" s="13"/>
      <c r="F743" s="14"/>
      <c r="G743" s="14"/>
      <c r="H743" s="14"/>
      <c r="I743" s="14"/>
      <c r="J743" s="14"/>
      <c r="K743" s="12"/>
    </row>
    <row r="744" ht="19.5" customHeight="1">
      <c r="A744" s="12"/>
      <c r="C744" s="12"/>
      <c r="D744" s="13"/>
      <c r="F744" s="14"/>
      <c r="G744" s="14"/>
      <c r="H744" s="14"/>
      <c r="I744" s="14"/>
      <c r="J744" s="14"/>
      <c r="K744" s="12"/>
    </row>
    <row r="745" ht="19.5" customHeight="1">
      <c r="A745" s="12"/>
      <c r="C745" s="12"/>
      <c r="D745" s="13"/>
      <c r="F745" s="14"/>
      <c r="G745" s="14"/>
      <c r="H745" s="14"/>
      <c r="I745" s="14"/>
      <c r="J745" s="14"/>
      <c r="K745" s="12"/>
    </row>
    <row r="746" ht="19.5" customHeight="1">
      <c r="A746" s="12"/>
      <c r="C746" s="12"/>
      <c r="D746" s="13"/>
      <c r="F746" s="14"/>
      <c r="G746" s="14"/>
      <c r="H746" s="14"/>
      <c r="I746" s="14"/>
      <c r="J746" s="14"/>
      <c r="K746" s="12"/>
    </row>
    <row r="747" ht="19.5" customHeight="1">
      <c r="A747" s="12"/>
      <c r="C747" s="12"/>
      <c r="D747" s="13"/>
      <c r="F747" s="14"/>
      <c r="G747" s="14"/>
      <c r="H747" s="14"/>
      <c r="I747" s="14"/>
      <c r="J747" s="14"/>
      <c r="K747" s="12"/>
    </row>
    <row r="748" ht="19.5" customHeight="1">
      <c r="A748" s="12"/>
      <c r="C748" s="12"/>
      <c r="D748" s="13"/>
      <c r="F748" s="14"/>
      <c r="G748" s="14"/>
      <c r="H748" s="14"/>
      <c r="I748" s="14"/>
      <c r="J748" s="14"/>
      <c r="K748" s="12"/>
    </row>
    <row r="749" ht="19.5" customHeight="1">
      <c r="A749" s="12"/>
      <c r="C749" s="12"/>
      <c r="D749" s="13"/>
      <c r="F749" s="14"/>
      <c r="G749" s="14"/>
      <c r="H749" s="14"/>
      <c r="I749" s="14"/>
      <c r="J749" s="14"/>
      <c r="K749" s="12"/>
    </row>
    <row r="750" ht="19.5" customHeight="1">
      <c r="A750" s="12"/>
      <c r="C750" s="12"/>
      <c r="D750" s="13"/>
      <c r="F750" s="14"/>
      <c r="G750" s="14"/>
      <c r="H750" s="14"/>
      <c r="I750" s="14"/>
      <c r="J750" s="14"/>
      <c r="K750" s="12"/>
    </row>
    <row r="751" ht="19.5" customHeight="1">
      <c r="A751" s="12"/>
      <c r="C751" s="12"/>
      <c r="D751" s="13"/>
      <c r="F751" s="14"/>
      <c r="G751" s="14"/>
      <c r="H751" s="14"/>
      <c r="I751" s="14"/>
      <c r="J751" s="14"/>
      <c r="K751" s="12"/>
    </row>
    <row r="752" ht="19.5" customHeight="1">
      <c r="A752" s="12"/>
      <c r="C752" s="12"/>
      <c r="D752" s="13"/>
      <c r="F752" s="14"/>
      <c r="G752" s="14"/>
      <c r="H752" s="14"/>
      <c r="I752" s="14"/>
      <c r="J752" s="14"/>
      <c r="K752" s="12"/>
    </row>
    <row r="753" ht="19.5" customHeight="1">
      <c r="A753" s="12"/>
      <c r="C753" s="12"/>
      <c r="D753" s="13"/>
      <c r="F753" s="14"/>
      <c r="G753" s="14"/>
      <c r="H753" s="14"/>
      <c r="I753" s="14"/>
      <c r="J753" s="14"/>
      <c r="K753" s="12"/>
    </row>
    <row r="754" ht="19.5" customHeight="1">
      <c r="A754" s="12"/>
      <c r="C754" s="12"/>
      <c r="D754" s="13"/>
      <c r="F754" s="14"/>
      <c r="G754" s="14"/>
      <c r="H754" s="14"/>
      <c r="I754" s="14"/>
      <c r="J754" s="14"/>
      <c r="K754" s="12"/>
    </row>
    <row r="755" ht="19.5" customHeight="1">
      <c r="A755" s="12"/>
      <c r="C755" s="12"/>
      <c r="D755" s="13"/>
      <c r="F755" s="14"/>
      <c r="G755" s="14"/>
      <c r="H755" s="14"/>
      <c r="I755" s="14"/>
      <c r="J755" s="14"/>
      <c r="K755" s="12"/>
    </row>
    <row r="756" ht="19.5" customHeight="1">
      <c r="A756" s="12"/>
      <c r="C756" s="12"/>
      <c r="D756" s="13"/>
      <c r="F756" s="14"/>
      <c r="G756" s="14"/>
      <c r="H756" s="14"/>
      <c r="I756" s="14"/>
      <c r="J756" s="14"/>
      <c r="K756" s="12"/>
    </row>
    <row r="757" ht="19.5" customHeight="1">
      <c r="A757" s="12"/>
      <c r="C757" s="12"/>
      <c r="D757" s="13"/>
      <c r="F757" s="14"/>
      <c r="G757" s="14"/>
      <c r="H757" s="14"/>
      <c r="I757" s="14"/>
      <c r="J757" s="14"/>
      <c r="K757" s="12"/>
    </row>
    <row r="758" ht="19.5" customHeight="1">
      <c r="A758" s="12"/>
      <c r="C758" s="12"/>
      <c r="D758" s="13"/>
      <c r="F758" s="14"/>
      <c r="G758" s="14"/>
      <c r="H758" s="14"/>
      <c r="I758" s="14"/>
      <c r="J758" s="14"/>
      <c r="K758" s="12"/>
    </row>
    <row r="759" ht="19.5" customHeight="1">
      <c r="A759" s="12"/>
      <c r="C759" s="12"/>
      <c r="D759" s="13"/>
      <c r="F759" s="14"/>
      <c r="G759" s="14"/>
      <c r="H759" s="14"/>
      <c r="I759" s="14"/>
      <c r="J759" s="14"/>
      <c r="K759" s="12"/>
    </row>
    <row r="760" ht="19.5" customHeight="1">
      <c r="A760" s="12"/>
      <c r="C760" s="12"/>
      <c r="D760" s="13"/>
      <c r="F760" s="14"/>
      <c r="G760" s="14"/>
      <c r="H760" s="14"/>
      <c r="I760" s="14"/>
      <c r="J760" s="14"/>
      <c r="K760" s="12"/>
    </row>
    <row r="761" ht="19.5" customHeight="1">
      <c r="A761" s="12"/>
      <c r="C761" s="12"/>
      <c r="D761" s="13"/>
      <c r="F761" s="14"/>
      <c r="G761" s="14"/>
      <c r="H761" s="14"/>
      <c r="I761" s="14"/>
      <c r="J761" s="14"/>
      <c r="K761" s="12"/>
    </row>
    <row r="762" ht="19.5" customHeight="1">
      <c r="A762" s="12"/>
      <c r="C762" s="12"/>
      <c r="D762" s="13"/>
      <c r="F762" s="14"/>
      <c r="G762" s="14"/>
      <c r="H762" s="14"/>
      <c r="I762" s="14"/>
      <c r="J762" s="14"/>
      <c r="K762" s="12"/>
    </row>
    <row r="763" ht="19.5" customHeight="1">
      <c r="A763" s="12"/>
      <c r="C763" s="12"/>
      <c r="D763" s="13"/>
      <c r="F763" s="14"/>
      <c r="G763" s="14"/>
      <c r="H763" s="14"/>
      <c r="I763" s="14"/>
      <c r="J763" s="14"/>
      <c r="K763" s="12"/>
    </row>
    <row r="764" ht="19.5" customHeight="1">
      <c r="A764" s="12"/>
      <c r="C764" s="12"/>
      <c r="D764" s="13"/>
      <c r="F764" s="14"/>
      <c r="G764" s="14"/>
      <c r="H764" s="14"/>
      <c r="I764" s="14"/>
      <c r="J764" s="14"/>
      <c r="K764" s="12"/>
    </row>
    <row r="765" ht="19.5" customHeight="1">
      <c r="A765" s="12"/>
      <c r="C765" s="12"/>
      <c r="D765" s="13"/>
      <c r="F765" s="14"/>
      <c r="G765" s="14"/>
      <c r="H765" s="14"/>
      <c r="I765" s="14"/>
      <c r="J765" s="14"/>
      <c r="K765" s="12"/>
    </row>
    <row r="766" ht="19.5" customHeight="1">
      <c r="A766" s="12"/>
      <c r="C766" s="12"/>
      <c r="D766" s="13"/>
      <c r="F766" s="14"/>
      <c r="G766" s="14"/>
      <c r="H766" s="14"/>
      <c r="I766" s="14"/>
      <c r="J766" s="14"/>
      <c r="K766" s="12"/>
    </row>
    <row r="767" ht="19.5" customHeight="1">
      <c r="A767" s="12"/>
      <c r="C767" s="12"/>
      <c r="D767" s="13"/>
      <c r="F767" s="14"/>
      <c r="G767" s="14"/>
      <c r="H767" s="14"/>
      <c r="I767" s="14"/>
      <c r="J767" s="14"/>
      <c r="K767" s="12"/>
    </row>
    <row r="768" ht="19.5" customHeight="1">
      <c r="A768" s="12"/>
      <c r="C768" s="12"/>
      <c r="D768" s="13"/>
      <c r="F768" s="14"/>
      <c r="G768" s="14"/>
      <c r="H768" s="14"/>
      <c r="I768" s="14"/>
      <c r="J768" s="14"/>
      <c r="K768" s="12"/>
    </row>
    <row r="769" ht="19.5" customHeight="1">
      <c r="A769" s="12"/>
      <c r="C769" s="12"/>
      <c r="D769" s="13"/>
      <c r="F769" s="14"/>
      <c r="G769" s="14"/>
      <c r="H769" s="14"/>
      <c r="I769" s="14"/>
      <c r="J769" s="14"/>
      <c r="K769" s="12"/>
    </row>
    <row r="770" ht="19.5" customHeight="1">
      <c r="A770" s="12"/>
      <c r="C770" s="12"/>
      <c r="D770" s="13"/>
      <c r="F770" s="14"/>
      <c r="G770" s="14"/>
      <c r="H770" s="14"/>
      <c r="I770" s="14"/>
      <c r="J770" s="14"/>
      <c r="K770" s="12"/>
    </row>
    <row r="771" ht="19.5" customHeight="1">
      <c r="A771" s="12"/>
      <c r="C771" s="12"/>
      <c r="D771" s="13"/>
      <c r="F771" s="14"/>
      <c r="G771" s="14"/>
      <c r="H771" s="14"/>
      <c r="I771" s="14"/>
      <c r="J771" s="14"/>
      <c r="K771" s="12"/>
    </row>
    <row r="772" ht="19.5" customHeight="1">
      <c r="A772" s="12"/>
      <c r="C772" s="12"/>
      <c r="D772" s="13"/>
      <c r="F772" s="14"/>
      <c r="G772" s="14"/>
      <c r="H772" s="14"/>
      <c r="I772" s="14"/>
      <c r="J772" s="14"/>
      <c r="K772" s="12"/>
    </row>
    <row r="773" ht="19.5" customHeight="1">
      <c r="A773" s="12"/>
      <c r="C773" s="12"/>
      <c r="D773" s="13"/>
      <c r="F773" s="14"/>
      <c r="G773" s="14"/>
      <c r="H773" s="14"/>
      <c r="I773" s="14"/>
      <c r="J773" s="14"/>
      <c r="K773" s="12"/>
    </row>
    <row r="774" ht="19.5" customHeight="1">
      <c r="A774" s="12"/>
      <c r="C774" s="12"/>
      <c r="D774" s="13"/>
      <c r="F774" s="14"/>
      <c r="G774" s="14"/>
      <c r="H774" s="14"/>
      <c r="I774" s="14"/>
      <c r="J774" s="14"/>
      <c r="K774" s="12"/>
    </row>
    <row r="775" ht="19.5" customHeight="1">
      <c r="A775" s="12"/>
      <c r="C775" s="12"/>
      <c r="D775" s="13"/>
      <c r="F775" s="14"/>
      <c r="G775" s="14"/>
      <c r="H775" s="14"/>
      <c r="I775" s="14"/>
      <c r="J775" s="14"/>
      <c r="K775" s="12"/>
    </row>
    <row r="776" ht="19.5" customHeight="1">
      <c r="A776" s="12"/>
      <c r="C776" s="12"/>
      <c r="D776" s="13"/>
      <c r="F776" s="14"/>
      <c r="G776" s="14"/>
      <c r="H776" s="14"/>
      <c r="I776" s="14"/>
      <c r="J776" s="14"/>
      <c r="K776" s="12"/>
    </row>
    <row r="777" ht="19.5" customHeight="1">
      <c r="A777" s="12"/>
      <c r="C777" s="12"/>
      <c r="D777" s="13"/>
      <c r="F777" s="14"/>
      <c r="G777" s="14"/>
      <c r="H777" s="14"/>
      <c r="I777" s="14"/>
      <c r="J777" s="14"/>
      <c r="K777" s="12"/>
    </row>
    <row r="778" ht="19.5" customHeight="1">
      <c r="A778" s="12"/>
      <c r="C778" s="12"/>
      <c r="D778" s="13"/>
      <c r="F778" s="14"/>
      <c r="G778" s="14"/>
      <c r="H778" s="14"/>
      <c r="I778" s="14"/>
      <c r="J778" s="14"/>
      <c r="K778" s="12"/>
    </row>
    <row r="779" ht="19.5" customHeight="1">
      <c r="A779" s="12"/>
      <c r="C779" s="12"/>
      <c r="D779" s="13"/>
      <c r="F779" s="14"/>
      <c r="G779" s="14"/>
      <c r="H779" s="14"/>
      <c r="I779" s="14"/>
      <c r="J779" s="14"/>
      <c r="K779" s="12"/>
    </row>
    <row r="780" ht="19.5" customHeight="1">
      <c r="A780" s="12"/>
      <c r="C780" s="12"/>
      <c r="D780" s="13"/>
      <c r="F780" s="14"/>
      <c r="G780" s="14"/>
      <c r="H780" s="14"/>
      <c r="I780" s="14"/>
      <c r="J780" s="14"/>
      <c r="K780" s="12"/>
    </row>
    <row r="781" ht="19.5" customHeight="1">
      <c r="A781" s="12"/>
      <c r="C781" s="12"/>
      <c r="D781" s="13"/>
      <c r="F781" s="14"/>
      <c r="G781" s="14"/>
      <c r="H781" s="14"/>
      <c r="I781" s="14"/>
      <c r="J781" s="14"/>
      <c r="K781" s="12"/>
    </row>
    <row r="782" ht="19.5" customHeight="1">
      <c r="A782" s="12"/>
      <c r="C782" s="12"/>
      <c r="D782" s="13"/>
      <c r="F782" s="14"/>
      <c r="G782" s="14"/>
      <c r="H782" s="14"/>
      <c r="I782" s="14"/>
      <c r="J782" s="14"/>
      <c r="K782" s="12"/>
    </row>
    <row r="783" ht="19.5" customHeight="1">
      <c r="A783" s="12"/>
      <c r="C783" s="12"/>
      <c r="D783" s="13"/>
      <c r="F783" s="14"/>
      <c r="G783" s="14"/>
      <c r="H783" s="14"/>
      <c r="I783" s="14"/>
      <c r="J783" s="14"/>
      <c r="K783" s="12"/>
    </row>
    <row r="784" ht="19.5" customHeight="1">
      <c r="A784" s="12"/>
      <c r="C784" s="12"/>
      <c r="D784" s="13"/>
      <c r="F784" s="14"/>
      <c r="G784" s="14"/>
      <c r="H784" s="14"/>
      <c r="I784" s="14"/>
      <c r="J784" s="14"/>
      <c r="K784" s="12"/>
    </row>
    <row r="785" ht="19.5" customHeight="1">
      <c r="A785" s="12"/>
      <c r="C785" s="12"/>
      <c r="D785" s="13"/>
      <c r="F785" s="14"/>
      <c r="G785" s="14"/>
      <c r="H785" s="14"/>
      <c r="I785" s="14"/>
      <c r="J785" s="14"/>
      <c r="K785" s="12"/>
    </row>
    <row r="786" ht="19.5" customHeight="1">
      <c r="A786" s="12"/>
      <c r="C786" s="12"/>
      <c r="D786" s="13"/>
      <c r="F786" s="14"/>
      <c r="G786" s="14"/>
      <c r="H786" s="14"/>
      <c r="I786" s="14"/>
      <c r="J786" s="14"/>
      <c r="K786" s="12"/>
    </row>
    <row r="787" ht="19.5" customHeight="1">
      <c r="A787" s="12"/>
      <c r="C787" s="12"/>
      <c r="D787" s="13"/>
      <c r="F787" s="14"/>
      <c r="G787" s="14"/>
      <c r="H787" s="14"/>
      <c r="I787" s="14"/>
      <c r="J787" s="14"/>
      <c r="K787" s="12"/>
    </row>
    <row r="788" ht="19.5" customHeight="1">
      <c r="A788" s="12"/>
      <c r="C788" s="12"/>
      <c r="D788" s="13"/>
      <c r="F788" s="14"/>
      <c r="G788" s="14"/>
      <c r="H788" s="14"/>
      <c r="I788" s="14"/>
      <c r="J788" s="14"/>
      <c r="K788" s="12"/>
    </row>
    <row r="789" ht="19.5" customHeight="1">
      <c r="A789" s="12"/>
      <c r="C789" s="12"/>
      <c r="D789" s="13"/>
      <c r="F789" s="14"/>
      <c r="G789" s="14"/>
      <c r="H789" s="14"/>
      <c r="I789" s="14"/>
      <c r="J789" s="14"/>
      <c r="K789" s="12"/>
    </row>
    <row r="790" ht="19.5" customHeight="1">
      <c r="A790" s="12"/>
      <c r="C790" s="12"/>
      <c r="D790" s="13"/>
      <c r="F790" s="14"/>
      <c r="G790" s="14"/>
      <c r="H790" s="14"/>
      <c r="I790" s="14"/>
      <c r="J790" s="14"/>
      <c r="K790" s="12"/>
    </row>
    <row r="791" ht="19.5" customHeight="1">
      <c r="A791" s="12"/>
      <c r="C791" s="12"/>
      <c r="D791" s="13"/>
      <c r="F791" s="14"/>
      <c r="G791" s="14"/>
      <c r="H791" s="14"/>
      <c r="I791" s="14"/>
      <c r="J791" s="14"/>
      <c r="K791" s="12"/>
    </row>
    <row r="792" ht="19.5" customHeight="1">
      <c r="A792" s="12"/>
      <c r="C792" s="12"/>
      <c r="D792" s="13"/>
      <c r="F792" s="14"/>
      <c r="G792" s="14"/>
      <c r="H792" s="14"/>
      <c r="I792" s="14"/>
      <c r="J792" s="14"/>
      <c r="K792" s="12"/>
    </row>
    <row r="793" ht="19.5" customHeight="1">
      <c r="A793" s="12"/>
      <c r="C793" s="12"/>
      <c r="D793" s="13"/>
      <c r="F793" s="14"/>
      <c r="G793" s="14"/>
      <c r="H793" s="14"/>
      <c r="I793" s="14"/>
      <c r="J793" s="14"/>
      <c r="K793" s="12"/>
    </row>
    <row r="794" ht="19.5" customHeight="1">
      <c r="A794" s="12"/>
      <c r="C794" s="12"/>
      <c r="D794" s="13"/>
      <c r="F794" s="14"/>
      <c r="G794" s="14"/>
      <c r="H794" s="14"/>
      <c r="I794" s="14"/>
      <c r="J794" s="14"/>
      <c r="K794" s="12"/>
    </row>
    <row r="795" ht="19.5" customHeight="1">
      <c r="A795" s="12"/>
      <c r="C795" s="12"/>
      <c r="D795" s="13"/>
      <c r="F795" s="14"/>
      <c r="G795" s="14"/>
      <c r="H795" s="14"/>
      <c r="I795" s="14"/>
      <c r="J795" s="14"/>
      <c r="K795" s="12"/>
    </row>
    <row r="796" ht="19.5" customHeight="1">
      <c r="A796" s="12"/>
      <c r="C796" s="12"/>
      <c r="D796" s="13"/>
      <c r="F796" s="14"/>
      <c r="G796" s="14"/>
      <c r="H796" s="14"/>
      <c r="I796" s="14"/>
      <c r="J796" s="14"/>
      <c r="K796" s="12"/>
    </row>
    <row r="797" ht="19.5" customHeight="1">
      <c r="A797" s="12"/>
      <c r="C797" s="12"/>
      <c r="D797" s="13"/>
      <c r="F797" s="14"/>
      <c r="G797" s="14"/>
      <c r="H797" s="14"/>
      <c r="I797" s="14"/>
      <c r="J797" s="14"/>
      <c r="K797" s="12"/>
    </row>
    <row r="798" ht="19.5" customHeight="1">
      <c r="A798" s="12"/>
      <c r="C798" s="12"/>
      <c r="D798" s="13"/>
      <c r="F798" s="14"/>
      <c r="G798" s="14"/>
      <c r="H798" s="14"/>
      <c r="I798" s="14"/>
      <c r="J798" s="14"/>
      <c r="K798" s="12"/>
    </row>
    <row r="799" ht="19.5" customHeight="1">
      <c r="A799" s="12"/>
      <c r="C799" s="12"/>
      <c r="D799" s="13"/>
      <c r="F799" s="14"/>
      <c r="G799" s="14"/>
      <c r="H799" s="14"/>
      <c r="I799" s="14"/>
      <c r="J799" s="14"/>
      <c r="K799" s="12"/>
    </row>
    <row r="800" ht="19.5" customHeight="1">
      <c r="A800" s="12"/>
      <c r="C800" s="12"/>
      <c r="D800" s="13"/>
      <c r="F800" s="14"/>
      <c r="G800" s="14"/>
      <c r="H800" s="14"/>
      <c r="I800" s="14"/>
      <c r="J800" s="14"/>
      <c r="K800" s="12"/>
    </row>
    <row r="801" ht="19.5" customHeight="1">
      <c r="A801" s="12"/>
      <c r="C801" s="12"/>
      <c r="D801" s="13"/>
      <c r="F801" s="14"/>
      <c r="G801" s="14"/>
      <c r="H801" s="14"/>
      <c r="I801" s="14"/>
      <c r="J801" s="14"/>
      <c r="K801" s="12"/>
    </row>
    <row r="802" ht="19.5" customHeight="1">
      <c r="A802" s="12"/>
      <c r="C802" s="12"/>
      <c r="D802" s="13"/>
      <c r="F802" s="14"/>
      <c r="G802" s="14"/>
      <c r="H802" s="14"/>
      <c r="I802" s="14"/>
      <c r="J802" s="14"/>
      <c r="K802" s="12"/>
    </row>
    <row r="803" ht="19.5" customHeight="1">
      <c r="A803" s="12"/>
      <c r="C803" s="12"/>
      <c r="D803" s="13"/>
      <c r="F803" s="14"/>
      <c r="G803" s="14"/>
      <c r="H803" s="14"/>
      <c r="I803" s="14"/>
      <c r="J803" s="14"/>
      <c r="K803" s="12"/>
    </row>
    <row r="804" ht="19.5" customHeight="1">
      <c r="A804" s="12"/>
      <c r="C804" s="12"/>
      <c r="D804" s="13"/>
      <c r="F804" s="14"/>
      <c r="G804" s="14"/>
      <c r="H804" s="14"/>
      <c r="I804" s="14"/>
      <c r="J804" s="14"/>
      <c r="K804" s="12"/>
    </row>
    <row r="805" ht="19.5" customHeight="1">
      <c r="A805" s="12"/>
      <c r="C805" s="12"/>
      <c r="D805" s="13"/>
      <c r="F805" s="14"/>
      <c r="G805" s="14"/>
      <c r="H805" s="14"/>
      <c r="I805" s="14"/>
      <c r="J805" s="14"/>
      <c r="K805" s="12"/>
    </row>
    <row r="806" ht="19.5" customHeight="1">
      <c r="A806" s="12"/>
      <c r="C806" s="12"/>
      <c r="D806" s="13"/>
      <c r="F806" s="14"/>
      <c r="G806" s="14"/>
      <c r="H806" s="14"/>
      <c r="I806" s="14"/>
      <c r="J806" s="14"/>
      <c r="K806" s="12"/>
    </row>
    <row r="807" ht="19.5" customHeight="1">
      <c r="A807" s="12"/>
      <c r="C807" s="12"/>
      <c r="D807" s="13"/>
      <c r="F807" s="14"/>
      <c r="G807" s="14"/>
      <c r="H807" s="14"/>
      <c r="I807" s="14"/>
      <c r="J807" s="14"/>
      <c r="K807" s="12"/>
    </row>
    <row r="808" ht="19.5" customHeight="1">
      <c r="A808" s="12"/>
      <c r="C808" s="12"/>
      <c r="D808" s="13"/>
      <c r="F808" s="14"/>
      <c r="G808" s="14"/>
      <c r="H808" s="14"/>
      <c r="I808" s="14"/>
      <c r="J808" s="14"/>
      <c r="K808" s="12"/>
    </row>
    <row r="809" ht="19.5" customHeight="1">
      <c r="A809" s="12"/>
      <c r="C809" s="12"/>
      <c r="D809" s="13"/>
      <c r="F809" s="14"/>
      <c r="G809" s="14"/>
      <c r="H809" s="14"/>
      <c r="I809" s="14"/>
      <c r="J809" s="14"/>
      <c r="K809" s="12"/>
    </row>
    <row r="810" ht="19.5" customHeight="1">
      <c r="A810" s="12"/>
      <c r="C810" s="12"/>
      <c r="D810" s="13"/>
      <c r="F810" s="14"/>
      <c r="G810" s="14"/>
      <c r="H810" s="14"/>
      <c r="I810" s="14"/>
      <c r="J810" s="14"/>
      <c r="K810" s="12"/>
    </row>
    <row r="811" ht="19.5" customHeight="1">
      <c r="A811" s="12"/>
      <c r="C811" s="12"/>
      <c r="D811" s="13"/>
      <c r="F811" s="14"/>
      <c r="G811" s="14"/>
      <c r="H811" s="14"/>
      <c r="I811" s="14"/>
      <c r="J811" s="14"/>
      <c r="K811" s="12"/>
    </row>
    <row r="812" ht="19.5" customHeight="1">
      <c r="A812" s="12"/>
      <c r="C812" s="12"/>
      <c r="D812" s="13"/>
      <c r="F812" s="14"/>
      <c r="G812" s="14"/>
      <c r="H812" s="14"/>
      <c r="I812" s="14"/>
      <c r="J812" s="14"/>
      <c r="K812" s="12"/>
    </row>
    <row r="813" ht="19.5" customHeight="1">
      <c r="A813" s="12"/>
      <c r="C813" s="12"/>
      <c r="D813" s="13"/>
      <c r="F813" s="14"/>
      <c r="G813" s="14"/>
      <c r="H813" s="14"/>
      <c r="I813" s="14"/>
      <c r="J813" s="14"/>
      <c r="K813" s="12"/>
    </row>
    <row r="814" ht="19.5" customHeight="1">
      <c r="A814" s="12"/>
      <c r="C814" s="12"/>
      <c r="D814" s="13"/>
      <c r="F814" s="14"/>
      <c r="G814" s="14"/>
      <c r="H814" s="14"/>
      <c r="I814" s="14"/>
      <c r="J814" s="14"/>
      <c r="K814" s="12"/>
    </row>
    <row r="815" ht="19.5" customHeight="1">
      <c r="A815" s="12"/>
      <c r="C815" s="12"/>
      <c r="D815" s="13"/>
      <c r="F815" s="14"/>
      <c r="G815" s="14"/>
      <c r="H815" s="14"/>
      <c r="I815" s="14"/>
      <c r="J815" s="14"/>
      <c r="K815" s="12"/>
    </row>
    <row r="816" ht="19.5" customHeight="1">
      <c r="A816" s="12"/>
      <c r="C816" s="12"/>
      <c r="D816" s="13"/>
      <c r="F816" s="14"/>
      <c r="G816" s="14"/>
      <c r="H816" s="14"/>
      <c r="I816" s="14"/>
      <c r="J816" s="14"/>
      <c r="K816" s="12"/>
    </row>
    <row r="817" ht="19.5" customHeight="1">
      <c r="A817" s="12"/>
      <c r="C817" s="12"/>
      <c r="D817" s="13"/>
      <c r="F817" s="14"/>
      <c r="G817" s="14"/>
      <c r="H817" s="14"/>
      <c r="I817" s="14"/>
      <c r="J817" s="14"/>
      <c r="K817" s="12"/>
    </row>
    <row r="818" ht="19.5" customHeight="1">
      <c r="A818" s="12"/>
      <c r="C818" s="12"/>
      <c r="D818" s="13"/>
      <c r="F818" s="14"/>
      <c r="G818" s="14"/>
      <c r="H818" s="14"/>
      <c r="I818" s="14"/>
      <c r="J818" s="14"/>
      <c r="K818" s="12"/>
    </row>
    <row r="819" ht="19.5" customHeight="1">
      <c r="A819" s="12"/>
      <c r="C819" s="12"/>
      <c r="D819" s="13"/>
      <c r="F819" s="14"/>
      <c r="G819" s="14"/>
      <c r="H819" s="14"/>
      <c r="I819" s="14"/>
      <c r="J819" s="14"/>
      <c r="K819" s="12"/>
    </row>
    <row r="820" ht="19.5" customHeight="1">
      <c r="A820" s="12"/>
      <c r="C820" s="12"/>
      <c r="D820" s="13"/>
      <c r="F820" s="14"/>
      <c r="G820" s="14"/>
      <c r="H820" s="14"/>
      <c r="I820" s="14"/>
      <c r="J820" s="14"/>
      <c r="K820" s="12"/>
    </row>
    <row r="821" ht="19.5" customHeight="1">
      <c r="A821" s="12"/>
      <c r="C821" s="12"/>
      <c r="D821" s="13"/>
      <c r="F821" s="14"/>
      <c r="G821" s="14"/>
      <c r="H821" s="14"/>
      <c r="I821" s="14"/>
      <c r="J821" s="14"/>
      <c r="K821" s="12"/>
    </row>
    <row r="822" ht="19.5" customHeight="1">
      <c r="A822" s="12"/>
      <c r="C822" s="12"/>
      <c r="D822" s="13"/>
      <c r="F822" s="14"/>
      <c r="G822" s="14"/>
      <c r="H822" s="14"/>
      <c r="I822" s="14"/>
      <c r="J822" s="14"/>
      <c r="K822" s="12"/>
    </row>
    <row r="823" ht="19.5" customHeight="1">
      <c r="A823" s="12"/>
      <c r="C823" s="12"/>
      <c r="D823" s="13"/>
      <c r="F823" s="14"/>
      <c r="G823" s="14"/>
      <c r="H823" s="14"/>
      <c r="I823" s="14"/>
      <c r="J823" s="14"/>
      <c r="K823" s="12"/>
    </row>
    <row r="824" ht="19.5" customHeight="1">
      <c r="A824" s="12"/>
      <c r="C824" s="12"/>
      <c r="D824" s="13"/>
      <c r="F824" s="14"/>
      <c r="G824" s="14"/>
      <c r="H824" s="14"/>
      <c r="I824" s="14"/>
      <c r="J824" s="14"/>
      <c r="K824" s="12"/>
    </row>
    <row r="825" ht="19.5" customHeight="1">
      <c r="A825" s="12"/>
      <c r="C825" s="12"/>
      <c r="D825" s="13"/>
      <c r="F825" s="14"/>
      <c r="G825" s="14"/>
      <c r="H825" s="14"/>
      <c r="I825" s="14"/>
      <c r="J825" s="14"/>
      <c r="K825" s="12"/>
    </row>
    <row r="826" ht="19.5" customHeight="1">
      <c r="A826" s="12"/>
      <c r="C826" s="12"/>
      <c r="D826" s="13"/>
      <c r="F826" s="14"/>
      <c r="G826" s="14"/>
      <c r="H826" s="14"/>
      <c r="I826" s="14"/>
      <c r="J826" s="14"/>
      <c r="K826" s="12"/>
    </row>
    <row r="827" ht="19.5" customHeight="1">
      <c r="A827" s="12"/>
      <c r="C827" s="12"/>
      <c r="D827" s="13"/>
      <c r="F827" s="14"/>
      <c r="G827" s="14"/>
      <c r="H827" s="14"/>
      <c r="I827" s="14"/>
      <c r="J827" s="14"/>
      <c r="K827" s="12"/>
    </row>
    <row r="828" ht="19.5" customHeight="1">
      <c r="A828" s="12"/>
      <c r="C828" s="12"/>
      <c r="D828" s="13"/>
      <c r="F828" s="14"/>
      <c r="G828" s="14"/>
      <c r="H828" s="14"/>
      <c r="I828" s="14"/>
      <c r="J828" s="14"/>
      <c r="K828" s="12"/>
    </row>
    <row r="829" ht="19.5" customHeight="1">
      <c r="A829" s="12"/>
      <c r="C829" s="12"/>
      <c r="D829" s="13"/>
      <c r="F829" s="14"/>
      <c r="G829" s="14"/>
      <c r="H829" s="14"/>
      <c r="I829" s="14"/>
      <c r="J829" s="14"/>
      <c r="K829" s="12"/>
    </row>
    <row r="830" ht="19.5" customHeight="1">
      <c r="A830" s="12"/>
      <c r="C830" s="12"/>
      <c r="D830" s="13"/>
      <c r="F830" s="14"/>
      <c r="G830" s="14"/>
      <c r="H830" s="14"/>
      <c r="I830" s="14"/>
      <c r="J830" s="14"/>
      <c r="K830" s="12"/>
    </row>
    <row r="831" ht="19.5" customHeight="1">
      <c r="A831" s="12"/>
      <c r="C831" s="12"/>
      <c r="D831" s="13"/>
      <c r="F831" s="14"/>
      <c r="G831" s="14"/>
      <c r="H831" s="14"/>
      <c r="I831" s="14"/>
      <c r="J831" s="14"/>
      <c r="K831" s="12"/>
    </row>
    <row r="832" ht="19.5" customHeight="1">
      <c r="A832" s="12"/>
      <c r="C832" s="12"/>
      <c r="D832" s="13"/>
      <c r="F832" s="14"/>
      <c r="G832" s="14"/>
      <c r="H832" s="14"/>
      <c r="I832" s="14"/>
      <c r="J832" s="14"/>
      <c r="K832" s="12"/>
    </row>
    <row r="833" ht="19.5" customHeight="1">
      <c r="A833" s="12"/>
      <c r="C833" s="12"/>
      <c r="D833" s="13"/>
      <c r="F833" s="14"/>
      <c r="G833" s="14"/>
      <c r="H833" s="14"/>
      <c r="I833" s="14"/>
      <c r="J833" s="14"/>
      <c r="K833" s="12"/>
    </row>
    <row r="834" ht="19.5" customHeight="1">
      <c r="A834" s="12"/>
      <c r="C834" s="12"/>
      <c r="D834" s="13"/>
      <c r="F834" s="14"/>
      <c r="G834" s="14"/>
      <c r="H834" s="14"/>
      <c r="I834" s="14"/>
      <c r="J834" s="14"/>
      <c r="K834" s="12"/>
    </row>
    <row r="835" ht="19.5" customHeight="1">
      <c r="A835" s="12"/>
      <c r="C835" s="12"/>
      <c r="D835" s="13"/>
      <c r="F835" s="14"/>
      <c r="G835" s="14"/>
      <c r="H835" s="14"/>
      <c r="I835" s="14"/>
      <c r="J835" s="14"/>
      <c r="K835" s="12"/>
    </row>
    <row r="836" ht="19.5" customHeight="1">
      <c r="A836" s="12"/>
      <c r="C836" s="12"/>
      <c r="D836" s="13"/>
      <c r="F836" s="14"/>
      <c r="G836" s="14"/>
      <c r="H836" s="14"/>
      <c r="I836" s="14"/>
      <c r="J836" s="14"/>
      <c r="K836" s="12"/>
    </row>
    <row r="837" ht="19.5" customHeight="1">
      <c r="A837" s="12"/>
      <c r="C837" s="12"/>
      <c r="D837" s="13"/>
      <c r="F837" s="14"/>
      <c r="G837" s="14"/>
      <c r="H837" s="14"/>
      <c r="I837" s="14"/>
      <c r="J837" s="14"/>
      <c r="K837" s="12"/>
    </row>
    <row r="838" ht="19.5" customHeight="1">
      <c r="A838" s="12"/>
      <c r="C838" s="12"/>
      <c r="D838" s="13"/>
      <c r="F838" s="14"/>
      <c r="G838" s="14"/>
      <c r="H838" s="14"/>
      <c r="I838" s="14"/>
      <c r="J838" s="14"/>
      <c r="K838" s="12"/>
    </row>
    <row r="839" ht="19.5" customHeight="1">
      <c r="A839" s="12"/>
      <c r="C839" s="12"/>
      <c r="D839" s="13"/>
      <c r="F839" s="14"/>
      <c r="G839" s="14"/>
      <c r="H839" s="14"/>
      <c r="I839" s="14"/>
      <c r="J839" s="14"/>
      <c r="K839" s="12"/>
    </row>
    <row r="840" ht="19.5" customHeight="1">
      <c r="A840" s="12"/>
      <c r="C840" s="12"/>
      <c r="D840" s="13"/>
      <c r="F840" s="14"/>
      <c r="G840" s="14"/>
      <c r="H840" s="14"/>
      <c r="I840" s="14"/>
      <c r="J840" s="14"/>
      <c r="K840" s="12"/>
    </row>
    <row r="841" ht="19.5" customHeight="1">
      <c r="A841" s="12"/>
      <c r="C841" s="12"/>
      <c r="D841" s="13"/>
      <c r="F841" s="14"/>
      <c r="G841" s="14"/>
      <c r="H841" s="14"/>
      <c r="I841" s="14"/>
      <c r="J841" s="14"/>
      <c r="K841" s="12"/>
    </row>
    <row r="842" ht="19.5" customHeight="1">
      <c r="A842" s="12"/>
      <c r="C842" s="12"/>
      <c r="D842" s="13"/>
      <c r="F842" s="14"/>
      <c r="G842" s="14"/>
      <c r="H842" s="14"/>
      <c r="I842" s="14"/>
      <c r="J842" s="14"/>
      <c r="K842" s="12"/>
    </row>
    <row r="843" ht="19.5" customHeight="1">
      <c r="A843" s="12"/>
      <c r="C843" s="12"/>
      <c r="D843" s="13"/>
      <c r="F843" s="14"/>
      <c r="G843" s="14"/>
      <c r="H843" s="14"/>
      <c r="I843" s="14"/>
      <c r="J843" s="14"/>
      <c r="K843" s="12"/>
    </row>
    <row r="844" ht="19.5" customHeight="1">
      <c r="A844" s="12"/>
      <c r="C844" s="12"/>
      <c r="D844" s="13"/>
      <c r="F844" s="14"/>
      <c r="G844" s="14"/>
      <c r="H844" s="14"/>
      <c r="I844" s="14"/>
      <c r="J844" s="14"/>
      <c r="K844" s="12"/>
    </row>
    <row r="845" ht="19.5" customHeight="1">
      <c r="A845" s="12"/>
      <c r="C845" s="12"/>
      <c r="D845" s="13"/>
      <c r="F845" s="14"/>
      <c r="G845" s="14"/>
      <c r="H845" s="14"/>
      <c r="I845" s="14"/>
      <c r="J845" s="14"/>
      <c r="K845" s="12"/>
    </row>
    <row r="846" ht="19.5" customHeight="1">
      <c r="A846" s="12"/>
      <c r="C846" s="12"/>
      <c r="D846" s="13"/>
      <c r="F846" s="14"/>
      <c r="G846" s="14"/>
      <c r="H846" s="14"/>
      <c r="I846" s="14"/>
      <c r="J846" s="14"/>
      <c r="K846" s="12"/>
    </row>
    <row r="847" ht="19.5" customHeight="1">
      <c r="A847" s="12"/>
      <c r="C847" s="12"/>
      <c r="D847" s="13"/>
      <c r="F847" s="14"/>
      <c r="G847" s="14"/>
      <c r="H847" s="14"/>
      <c r="I847" s="14"/>
      <c r="J847" s="14"/>
      <c r="K847" s="12"/>
    </row>
    <row r="848" ht="19.5" customHeight="1">
      <c r="A848" s="12"/>
      <c r="C848" s="12"/>
      <c r="D848" s="13"/>
      <c r="F848" s="14"/>
      <c r="G848" s="14"/>
      <c r="H848" s="14"/>
      <c r="I848" s="14"/>
      <c r="J848" s="14"/>
      <c r="K848" s="12"/>
    </row>
    <row r="849" ht="19.5" customHeight="1">
      <c r="A849" s="12"/>
      <c r="C849" s="12"/>
      <c r="D849" s="13"/>
      <c r="F849" s="14"/>
      <c r="G849" s="14"/>
      <c r="H849" s="14"/>
      <c r="I849" s="14"/>
      <c r="J849" s="14"/>
      <c r="K849" s="12"/>
    </row>
    <row r="850" ht="19.5" customHeight="1">
      <c r="A850" s="12"/>
      <c r="C850" s="12"/>
      <c r="D850" s="13"/>
      <c r="F850" s="14"/>
      <c r="G850" s="14"/>
      <c r="H850" s="14"/>
      <c r="I850" s="14"/>
      <c r="J850" s="14"/>
      <c r="K850" s="12"/>
    </row>
    <row r="851" ht="19.5" customHeight="1">
      <c r="A851" s="12"/>
      <c r="C851" s="12"/>
      <c r="D851" s="13"/>
      <c r="F851" s="14"/>
      <c r="G851" s="14"/>
      <c r="H851" s="14"/>
      <c r="I851" s="14"/>
      <c r="J851" s="14"/>
      <c r="K851" s="12"/>
    </row>
    <row r="852" ht="19.5" customHeight="1">
      <c r="A852" s="12"/>
      <c r="C852" s="12"/>
      <c r="D852" s="13"/>
      <c r="F852" s="14"/>
      <c r="G852" s="14"/>
      <c r="H852" s="14"/>
      <c r="I852" s="14"/>
      <c r="J852" s="14"/>
      <c r="K852" s="12"/>
    </row>
    <row r="853" ht="19.5" customHeight="1">
      <c r="A853" s="12"/>
      <c r="C853" s="12"/>
      <c r="D853" s="13"/>
      <c r="F853" s="14"/>
      <c r="G853" s="14"/>
      <c r="H853" s="14"/>
      <c r="I853" s="14"/>
      <c r="J853" s="14"/>
      <c r="K853" s="12"/>
    </row>
    <row r="854" ht="19.5" customHeight="1">
      <c r="A854" s="12"/>
      <c r="C854" s="12"/>
      <c r="D854" s="13"/>
      <c r="F854" s="14"/>
      <c r="G854" s="14"/>
      <c r="H854" s="14"/>
      <c r="I854" s="14"/>
      <c r="J854" s="14"/>
      <c r="K854" s="12"/>
    </row>
    <row r="855" ht="19.5" customHeight="1">
      <c r="A855" s="12"/>
      <c r="C855" s="12"/>
      <c r="D855" s="13"/>
      <c r="F855" s="14"/>
      <c r="G855" s="14"/>
      <c r="H855" s="14"/>
      <c r="I855" s="14"/>
      <c r="J855" s="14"/>
      <c r="K855" s="12"/>
    </row>
    <row r="856" ht="19.5" customHeight="1">
      <c r="A856" s="12"/>
      <c r="C856" s="12"/>
      <c r="D856" s="13"/>
      <c r="F856" s="14"/>
      <c r="G856" s="14"/>
      <c r="H856" s="14"/>
      <c r="I856" s="14"/>
      <c r="J856" s="14"/>
      <c r="K856" s="12"/>
    </row>
    <row r="857" ht="19.5" customHeight="1">
      <c r="A857" s="12"/>
      <c r="C857" s="12"/>
      <c r="D857" s="13"/>
      <c r="F857" s="14"/>
      <c r="G857" s="14"/>
      <c r="H857" s="14"/>
      <c r="I857" s="14"/>
      <c r="J857" s="14"/>
      <c r="K857" s="12"/>
    </row>
    <row r="858" ht="19.5" customHeight="1">
      <c r="A858" s="12"/>
      <c r="C858" s="12"/>
      <c r="D858" s="13"/>
      <c r="F858" s="14"/>
      <c r="G858" s="14"/>
      <c r="H858" s="14"/>
      <c r="I858" s="14"/>
      <c r="J858" s="14"/>
      <c r="K858" s="12"/>
    </row>
    <row r="859" ht="19.5" customHeight="1">
      <c r="A859" s="12"/>
      <c r="C859" s="12"/>
      <c r="D859" s="13"/>
      <c r="F859" s="14"/>
      <c r="G859" s="14"/>
      <c r="H859" s="14"/>
      <c r="I859" s="14"/>
      <c r="J859" s="14"/>
      <c r="K859" s="12"/>
    </row>
    <row r="860" ht="19.5" customHeight="1">
      <c r="A860" s="12"/>
      <c r="C860" s="12"/>
      <c r="D860" s="13"/>
      <c r="F860" s="14"/>
      <c r="G860" s="14"/>
      <c r="H860" s="14"/>
      <c r="I860" s="14"/>
      <c r="J860" s="14"/>
      <c r="K860" s="12"/>
    </row>
    <row r="861" ht="19.5" customHeight="1">
      <c r="A861" s="12"/>
      <c r="C861" s="12"/>
      <c r="D861" s="13"/>
      <c r="F861" s="14"/>
      <c r="G861" s="14"/>
      <c r="H861" s="14"/>
      <c r="I861" s="14"/>
      <c r="J861" s="14"/>
      <c r="K861" s="12"/>
    </row>
    <row r="862" ht="19.5" customHeight="1">
      <c r="A862" s="12"/>
      <c r="C862" s="12"/>
      <c r="D862" s="13"/>
      <c r="F862" s="14"/>
      <c r="G862" s="14"/>
      <c r="H862" s="14"/>
      <c r="I862" s="14"/>
      <c r="J862" s="14"/>
      <c r="K862" s="12"/>
    </row>
    <row r="863" ht="19.5" customHeight="1">
      <c r="A863" s="12"/>
      <c r="C863" s="12"/>
      <c r="D863" s="13"/>
      <c r="F863" s="14"/>
      <c r="G863" s="14"/>
      <c r="H863" s="14"/>
      <c r="I863" s="14"/>
      <c r="J863" s="14"/>
      <c r="K863" s="12"/>
    </row>
    <row r="864" ht="19.5" customHeight="1">
      <c r="A864" s="12"/>
      <c r="C864" s="12"/>
      <c r="D864" s="13"/>
      <c r="F864" s="14"/>
      <c r="G864" s="14"/>
      <c r="H864" s="14"/>
      <c r="I864" s="14"/>
      <c r="J864" s="14"/>
      <c r="K864" s="12"/>
    </row>
    <row r="865" ht="19.5" customHeight="1">
      <c r="A865" s="12"/>
      <c r="C865" s="12"/>
      <c r="D865" s="13"/>
      <c r="F865" s="14"/>
      <c r="G865" s="14"/>
      <c r="H865" s="14"/>
      <c r="I865" s="14"/>
      <c r="J865" s="14"/>
      <c r="K865" s="12"/>
    </row>
    <row r="866" ht="19.5" customHeight="1">
      <c r="A866" s="12"/>
      <c r="C866" s="12"/>
      <c r="D866" s="13"/>
      <c r="F866" s="14"/>
      <c r="G866" s="14"/>
      <c r="H866" s="14"/>
      <c r="I866" s="14"/>
      <c r="J866" s="14"/>
      <c r="K866" s="12"/>
    </row>
    <row r="867" ht="19.5" customHeight="1">
      <c r="A867" s="12"/>
      <c r="C867" s="12"/>
      <c r="D867" s="13"/>
      <c r="F867" s="14"/>
      <c r="G867" s="14"/>
      <c r="H867" s="14"/>
      <c r="I867" s="14"/>
      <c r="J867" s="14"/>
      <c r="K867" s="12"/>
    </row>
    <row r="868" ht="19.5" customHeight="1">
      <c r="A868" s="12"/>
      <c r="C868" s="12"/>
      <c r="D868" s="13"/>
      <c r="F868" s="14"/>
      <c r="G868" s="14"/>
      <c r="H868" s="14"/>
      <c r="I868" s="14"/>
      <c r="J868" s="14"/>
      <c r="K868" s="12"/>
    </row>
    <row r="869" ht="19.5" customHeight="1">
      <c r="A869" s="12"/>
      <c r="C869" s="12"/>
      <c r="D869" s="13"/>
      <c r="F869" s="14"/>
      <c r="G869" s="14"/>
      <c r="H869" s="14"/>
      <c r="I869" s="14"/>
      <c r="J869" s="14"/>
      <c r="K869" s="12"/>
    </row>
    <row r="870" ht="19.5" customHeight="1">
      <c r="A870" s="12"/>
      <c r="C870" s="12"/>
      <c r="D870" s="13"/>
      <c r="F870" s="14"/>
      <c r="G870" s="14"/>
      <c r="H870" s="14"/>
      <c r="I870" s="14"/>
      <c r="J870" s="14"/>
      <c r="K870" s="12"/>
    </row>
    <row r="871" ht="19.5" customHeight="1">
      <c r="A871" s="12"/>
      <c r="C871" s="12"/>
      <c r="D871" s="13"/>
      <c r="F871" s="14"/>
      <c r="G871" s="14"/>
      <c r="H871" s="14"/>
      <c r="I871" s="14"/>
      <c r="J871" s="14"/>
      <c r="K871" s="12"/>
    </row>
    <row r="872" ht="19.5" customHeight="1">
      <c r="A872" s="12"/>
      <c r="C872" s="12"/>
      <c r="D872" s="13"/>
      <c r="F872" s="14"/>
      <c r="G872" s="14"/>
      <c r="H872" s="14"/>
      <c r="I872" s="14"/>
      <c r="J872" s="14"/>
      <c r="K872" s="12"/>
    </row>
    <row r="873" ht="19.5" customHeight="1">
      <c r="A873" s="12"/>
      <c r="C873" s="12"/>
      <c r="D873" s="13"/>
      <c r="F873" s="14"/>
      <c r="G873" s="14"/>
      <c r="H873" s="14"/>
      <c r="I873" s="14"/>
      <c r="J873" s="14"/>
      <c r="K873" s="12"/>
    </row>
    <row r="874" ht="19.5" customHeight="1">
      <c r="A874" s="12"/>
      <c r="C874" s="12"/>
      <c r="D874" s="13"/>
      <c r="F874" s="14"/>
      <c r="G874" s="14"/>
      <c r="H874" s="14"/>
      <c r="I874" s="14"/>
      <c r="J874" s="14"/>
      <c r="K874" s="12"/>
    </row>
    <row r="875" ht="19.5" customHeight="1">
      <c r="A875" s="12"/>
      <c r="C875" s="12"/>
      <c r="D875" s="13"/>
      <c r="F875" s="14"/>
      <c r="G875" s="14"/>
      <c r="H875" s="14"/>
      <c r="I875" s="14"/>
      <c r="J875" s="14"/>
      <c r="K875" s="12"/>
    </row>
    <row r="876" ht="19.5" customHeight="1">
      <c r="A876" s="12"/>
      <c r="C876" s="12"/>
      <c r="D876" s="13"/>
      <c r="F876" s="14"/>
      <c r="G876" s="14"/>
      <c r="H876" s="14"/>
      <c r="I876" s="14"/>
      <c r="J876" s="14"/>
      <c r="K876" s="12"/>
    </row>
    <row r="877" ht="19.5" customHeight="1">
      <c r="A877" s="12"/>
      <c r="C877" s="12"/>
      <c r="D877" s="13"/>
      <c r="F877" s="14"/>
      <c r="G877" s="14"/>
      <c r="H877" s="14"/>
      <c r="I877" s="14"/>
      <c r="J877" s="14"/>
      <c r="K877" s="12"/>
    </row>
    <row r="878" ht="19.5" customHeight="1">
      <c r="A878" s="12"/>
      <c r="C878" s="12"/>
      <c r="D878" s="13"/>
      <c r="F878" s="14"/>
      <c r="G878" s="14"/>
      <c r="H878" s="14"/>
      <c r="I878" s="14"/>
      <c r="J878" s="14"/>
      <c r="K878" s="12"/>
    </row>
    <row r="879" ht="19.5" customHeight="1">
      <c r="A879" s="12"/>
      <c r="C879" s="12"/>
      <c r="D879" s="13"/>
      <c r="F879" s="14"/>
      <c r="G879" s="14"/>
      <c r="H879" s="14"/>
      <c r="I879" s="14"/>
      <c r="J879" s="14"/>
      <c r="K879" s="12"/>
    </row>
    <row r="880" ht="19.5" customHeight="1">
      <c r="A880" s="12"/>
      <c r="C880" s="12"/>
      <c r="D880" s="13"/>
      <c r="F880" s="14"/>
      <c r="G880" s="14"/>
      <c r="H880" s="14"/>
      <c r="I880" s="14"/>
      <c r="J880" s="14"/>
      <c r="K880" s="12"/>
    </row>
    <row r="881" ht="19.5" customHeight="1">
      <c r="A881" s="12"/>
      <c r="C881" s="12"/>
      <c r="D881" s="13"/>
      <c r="F881" s="14"/>
      <c r="G881" s="14"/>
      <c r="H881" s="14"/>
      <c r="I881" s="14"/>
      <c r="J881" s="14"/>
      <c r="K881" s="12"/>
    </row>
    <row r="882" ht="19.5" customHeight="1">
      <c r="A882" s="12"/>
      <c r="C882" s="12"/>
      <c r="D882" s="13"/>
      <c r="F882" s="14"/>
      <c r="G882" s="14"/>
      <c r="H882" s="14"/>
      <c r="I882" s="14"/>
      <c r="J882" s="14"/>
      <c r="K882" s="12"/>
    </row>
    <row r="883" ht="19.5" customHeight="1">
      <c r="A883" s="12"/>
      <c r="C883" s="12"/>
      <c r="D883" s="13"/>
      <c r="F883" s="14"/>
      <c r="G883" s="14"/>
      <c r="H883" s="14"/>
      <c r="I883" s="14"/>
      <c r="J883" s="14"/>
      <c r="K883" s="12"/>
    </row>
    <row r="884" ht="19.5" customHeight="1">
      <c r="A884" s="12"/>
      <c r="C884" s="12"/>
      <c r="D884" s="13"/>
      <c r="F884" s="14"/>
      <c r="G884" s="14"/>
      <c r="H884" s="14"/>
      <c r="I884" s="14"/>
      <c r="J884" s="14"/>
      <c r="K884" s="12"/>
    </row>
    <row r="885" ht="19.5" customHeight="1">
      <c r="A885" s="12"/>
      <c r="C885" s="12"/>
      <c r="D885" s="13"/>
      <c r="F885" s="14"/>
      <c r="G885" s="14"/>
      <c r="H885" s="14"/>
      <c r="I885" s="14"/>
      <c r="J885" s="14"/>
      <c r="K885" s="12"/>
    </row>
    <row r="886" ht="19.5" customHeight="1">
      <c r="A886" s="12"/>
      <c r="C886" s="12"/>
      <c r="D886" s="13"/>
      <c r="F886" s="14"/>
      <c r="G886" s="14"/>
      <c r="H886" s="14"/>
      <c r="I886" s="14"/>
      <c r="J886" s="14"/>
      <c r="K886" s="12"/>
    </row>
    <row r="887" ht="19.5" customHeight="1">
      <c r="A887" s="12"/>
      <c r="C887" s="12"/>
      <c r="D887" s="13"/>
      <c r="F887" s="14"/>
      <c r="G887" s="14"/>
      <c r="H887" s="14"/>
      <c r="I887" s="14"/>
      <c r="J887" s="14"/>
      <c r="K887" s="12"/>
    </row>
    <row r="888" ht="19.5" customHeight="1">
      <c r="A888" s="12"/>
      <c r="C888" s="12"/>
      <c r="D888" s="13"/>
      <c r="F888" s="14"/>
      <c r="G888" s="14"/>
      <c r="H888" s="14"/>
      <c r="I888" s="14"/>
      <c r="J888" s="14"/>
      <c r="K888" s="12"/>
    </row>
    <row r="889" ht="19.5" customHeight="1">
      <c r="A889" s="12"/>
      <c r="C889" s="12"/>
      <c r="D889" s="13"/>
      <c r="F889" s="14"/>
      <c r="G889" s="14"/>
      <c r="H889" s="14"/>
      <c r="I889" s="14"/>
      <c r="J889" s="14"/>
      <c r="K889" s="12"/>
    </row>
    <row r="890" ht="19.5" customHeight="1">
      <c r="A890" s="12"/>
      <c r="C890" s="12"/>
      <c r="D890" s="13"/>
      <c r="F890" s="14"/>
      <c r="G890" s="14"/>
      <c r="H890" s="14"/>
      <c r="I890" s="14"/>
      <c r="J890" s="14"/>
      <c r="K890" s="12"/>
    </row>
    <row r="891" ht="19.5" customHeight="1">
      <c r="A891" s="12"/>
      <c r="C891" s="12"/>
      <c r="D891" s="13"/>
      <c r="F891" s="14"/>
      <c r="G891" s="14"/>
      <c r="H891" s="14"/>
      <c r="I891" s="14"/>
      <c r="J891" s="14"/>
      <c r="K891" s="12"/>
    </row>
    <row r="892" ht="19.5" customHeight="1">
      <c r="A892" s="12"/>
      <c r="C892" s="12"/>
      <c r="D892" s="13"/>
      <c r="F892" s="14"/>
      <c r="G892" s="14"/>
      <c r="H892" s="14"/>
      <c r="I892" s="14"/>
      <c r="J892" s="14"/>
      <c r="K892" s="12"/>
    </row>
    <row r="893" ht="19.5" customHeight="1">
      <c r="A893" s="12"/>
      <c r="C893" s="12"/>
      <c r="D893" s="13"/>
      <c r="F893" s="14"/>
      <c r="G893" s="14"/>
      <c r="H893" s="14"/>
      <c r="I893" s="14"/>
      <c r="J893" s="14"/>
      <c r="K893" s="12"/>
    </row>
    <row r="894" ht="19.5" customHeight="1">
      <c r="A894" s="12"/>
      <c r="C894" s="12"/>
      <c r="D894" s="13"/>
      <c r="F894" s="14"/>
      <c r="G894" s="14"/>
      <c r="H894" s="14"/>
      <c r="I894" s="14"/>
      <c r="J894" s="14"/>
      <c r="K894" s="12"/>
    </row>
    <row r="895" ht="19.5" customHeight="1">
      <c r="A895" s="12"/>
      <c r="C895" s="12"/>
      <c r="D895" s="13"/>
      <c r="F895" s="14"/>
      <c r="G895" s="14"/>
      <c r="H895" s="14"/>
      <c r="I895" s="14"/>
      <c r="J895" s="14"/>
      <c r="K895" s="12"/>
    </row>
    <row r="896" ht="19.5" customHeight="1">
      <c r="A896" s="12"/>
      <c r="C896" s="12"/>
      <c r="D896" s="13"/>
      <c r="F896" s="14"/>
      <c r="G896" s="14"/>
      <c r="H896" s="14"/>
      <c r="I896" s="14"/>
      <c r="J896" s="14"/>
      <c r="K896" s="12"/>
    </row>
    <row r="897" ht="19.5" customHeight="1">
      <c r="A897" s="12"/>
      <c r="C897" s="12"/>
      <c r="D897" s="13"/>
      <c r="F897" s="14"/>
      <c r="G897" s="14"/>
      <c r="H897" s="14"/>
      <c r="I897" s="14"/>
      <c r="J897" s="14"/>
      <c r="K897" s="12"/>
    </row>
    <row r="898" ht="19.5" customHeight="1">
      <c r="A898" s="12"/>
      <c r="C898" s="12"/>
      <c r="D898" s="13"/>
      <c r="F898" s="14"/>
      <c r="G898" s="14"/>
      <c r="H898" s="14"/>
      <c r="I898" s="14"/>
      <c r="J898" s="14"/>
      <c r="K898" s="12"/>
    </row>
    <row r="899" ht="19.5" customHeight="1">
      <c r="A899" s="12"/>
      <c r="C899" s="12"/>
      <c r="D899" s="13"/>
      <c r="F899" s="14"/>
      <c r="G899" s="14"/>
      <c r="H899" s="14"/>
      <c r="I899" s="14"/>
      <c r="J899" s="14"/>
      <c r="K899" s="12"/>
    </row>
    <row r="900" ht="19.5" customHeight="1">
      <c r="A900" s="12"/>
      <c r="C900" s="12"/>
      <c r="D900" s="13"/>
      <c r="F900" s="14"/>
      <c r="G900" s="14"/>
      <c r="H900" s="14"/>
      <c r="I900" s="14"/>
      <c r="J900" s="14"/>
      <c r="K900" s="12"/>
    </row>
    <row r="901" ht="19.5" customHeight="1">
      <c r="A901" s="12"/>
      <c r="C901" s="12"/>
      <c r="D901" s="13"/>
      <c r="F901" s="14"/>
      <c r="G901" s="14"/>
      <c r="H901" s="14"/>
      <c r="I901" s="14"/>
      <c r="J901" s="14"/>
      <c r="K901" s="12"/>
    </row>
    <row r="902" ht="19.5" customHeight="1">
      <c r="A902" s="12"/>
      <c r="C902" s="12"/>
      <c r="D902" s="13"/>
      <c r="F902" s="14"/>
      <c r="G902" s="14"/>
      <c r="H902" s="14"/>
      <c r="I902" s="14"/>
      <c r="J902" s="14"/>
      <c r="K902" s="12"/>
    </row>
    <row r="903" ht="19.5" customHeight="1">
      <c r="A903" s="12"/>
      <c r="C903" s="12"/>
      <c r="D903" s="13"/>
      <c r="F903" s="14"/>
      <c r="G903" s="14"/>
      <c r="H903" s="14"/>
      <c r="I903" s="14"/>
      <c r="J903" s="14"/>
      <c r="K903" s="12"/>
    </row>
    <row r="904" ht="19.5" customHeight="1">
      <c r="A904" s="12"/>
      <c r="C904" s="12"/>
      <c r="D904" s="13"/>
      <c r="F904" s="14"/>
      <c r="G904" s="14"/>
      <c r="H904" s="14"/>
      <c r="I904" s="14"/>
      <c r="J904" s="14"/>
      <c r="K904" s="12"/>
    </row>
    <row r="905" ht="19.5" customHeight="1">
      <c r="A905" s="12"/>
      <c r="C905" s="12"/>
      <c r="D905" s="13"/>
      <c r="F905" s="14"/>
      <c r="G905" s="14"/>
      <c r="H905" s="14"/>
      <c r="I905" s="14"/>
      <c r="J905" s="14"/>
      <c r="K905" s="12"/>
    </row>
    <row r="906" ht="19.5" customHeight="1">
      <c r="A906" s="12"/>
      <c r="C906" s="12"/>
      <c r="D906" s="13"/>
      <c r="F906" s="14"/>
      <c r="G906" s="14"/>
      <c r="H906" s="14"/>
      <c r="I906" s="14"/>
      <c r="J906" s="14"/>
      <c r="K906" s="12"/>
    </row>
    <row r="907" ht="19.5" customHeight="1">
      <c r="A907" s="12"/>
      <c r="C907" s="12"/>
      <c r="D907" s="13"/>
      <c r="F907" s="14"/>
      <c r="G907" s="14"/>
      <c r="H907" s="14"/>
      <c r="I907" s="14"/>
      <c r="J907" s="14"/>
      <c r="K907" s="12"/>
    </row>
    <row r="908" ht="19.5" customHeight="1">
      <c r="A908" s="12"/>
      <c r="C908" s="12"/>
      <c r="D908" s="13"/>
      <c r="F908" s="14"/>
      <c r="G908" s="14"/>
      <c r="H908" s="14"/>
      <c r="I908" s="14"/>
      <c r="J908" s="14"/>
      <c r="K908" s="12"/>
    </row>
    <row r="909" ht="19.5" customHeight="1">
      <c r="A909" s="12"/>
      <c r="C909" s="12"/>
      <c r="D909" s="13"/>
      <c r="F909" s="14"/>
      <c r="G909" s="14"/>
      <c r="H909" s="14"/>
      <c r="I909" s="14"/>
      <c r="J909" s="14"/>
      <c r="K909" s="12"/>
    </row>
    <row r="910" ht="19.5" customHeight="1">
      <c r="A910" s="12"/>
      <c r="C910" s="12"/>
      <c r="D910" s="13"/>
      <c r="F910" s="14"/>
      <c r="G910" s="14"/>
      <c r="H910" s="14"/>
      <c r="I910" s="14"/>
      <c r="J910" s="14"/>
      <c r="K910" s="12"/>
    </row>
    <row r="911" ht="19.5" customHeight="1">
      <c r="A911" s="12"/>
      <c r="C911" s="12"/>
      <c r="D911" s="13"/>
      <c r="F911" s="14"/>
      <c r="G911" s="14"/>
      <c r="H911" s="14"/>
      <c r="I911" s="14"/>
      <c r="J911" s="14"/>
      <c r="K911" s="12"/>
    </row>
    <row r="912" ht="19.5" customHeight="1">
      <c r="A912" s="12"/>
      <c r="C912" s="12"/>
      <c r="D912" s="13"/>
      <c r="F912" s="14"/>
      <c r="G912" s="14"/>
      <c r="H912" s="14"/>
      <c r="I912" s="14"/>
      <c r="J912" s="14"/>
      <c r="K912" s="12"/>
    </row>
    <row r="913" ht="19.5" customHeight="1">
      <c r="A913" s="12"/>
      <c r="C913" s="12"/>
      <c r="D913" s="13"/>
      <c r="F913" s="14"/>
      <c r="G913" s="14"/>
      <c r="H913" s="14"/>
      <c r="I913" s="14"/>
      <c r="J913" s="14"/>
      <c r="K913" s="12"/>
    </row>
    <row r="914" ht="19.5" customHeight="1">
      <c r="A914" s="12"/>
      <c r="C914" s="12"/>
      <c r="D914" s="13"/>
      <c r="F914" s="14"/>
      <c r="G914" s="14"/>
      <c r="H914" s="14"/>
      <c r="I914" s="14"/>
      <c r="J914" s="14"/>
      <c r="K914" s="12"/>
    </row>
    <row r="915" ht="19.5" customHeight="1">
      <c r="A915" s="12"/>
      <c r="C915" s="12"/>
      <c r="D915" s="13"/>
      <c r="F915" s="14"/>
      <c r="G915" s="14"/>
      <c r="H915" s="14"/>
      <c r="I915" s="14"/>
      <c r="J915" s="14"/>
      <c r="K915" s="12"/>
    </row>
    <row r="916" ht="19.5" customHeight="1">
      <c r="A916" s="12"/>
      <c r="C916" s="12"/>
      <c r="D916" s="13"/>
      <c r="F916" s="14"/>
      <c r="G916" s="14"/>
      <c r="H916" s="14"/>
      <c r="I916" s="14"/>
      <c r="J916" s="14"/>
      <c r="K916" s="12"/>
    </row>
    <row r="917" ht="19.5" customHeight="1">
      <c r="A917" s="12"/>
      <c r="C917" s="12"/>
      <c r="D917" s="13"/>
      <c r="F917" s="14"/>
      <c r="G917" s="14"/>
      <c r="H917" s="14"/>
      <c r="I917" s="14"/>
      <c r="J917" s="14"/>
      <c r="K917" s="12"/>
    </row>
    <row r="918" ht="19.5" customHeight="1">
      <c r="A918" s="12"/>
      <c r="C918" s="12"/>
      <c r="D918" s="13"/>
      <c r="F918" s="14"/>
      <c r="G918" s="14"/>
      <c r="H918" s="14"/>
      <c r="I918" s="14"/>
      <c r="J918" s="14"/>
      <c r="K918" s="12"/>
    </row>
    <row r="919" ht="19.5" customHeight="1">
      <c r="A919" s="12"/>
      <c r="C919" s="12"/>
      <c r="D919" s="13"/>
      <c r="F919" s="14"/>
      <c r="G919" s="14"/>
      <c r="H919" s="14"/>
      <c r="I919" s="14"/>
      <c r="J919" s="14"/>
      <c r="K919" s="12"/>
    </row>
    <row r="920" ht="19.5" customHeight="1">
      <c r="A920" s="12"/>
      <c r="C920" s="12"/>
      <c r="D920" s="13"/>
      <c r="F920" s="14"/>
      <c r="G920" s="14"/>
      <c r="H920" s="14"/>
      <c r="I920" s="14"/>
      <c r="J920" s="14"/>
      <c r="K920" s="12"/>
    </row>
    <row r="921" ht="19.5" customHeight="1">
      <c r="A921" s="12"/>
      <c r="C921" s="12"/>
      <c r="D921" s="13"/>
      <c r="F921" s="14"/>
      <c r="G921" s="14"/>
      <c r="H921" s="14"/>
      <c r="I921" s="14"/>
      <c r="J921" s="14"/>
      <c r="K921" s="12"/>
    </row>
    <row r="922" ht="19.5" customHeight="1">
      <c r="A922" s="12"/>
      <c r="C922" s="12"/>
      <c r="D922" s="13"/>
      <c r="F922" s="14"/>
      <c r="G922" s="14"/>
      <c r="H922" s="14"/>
      <c r="I922" s="14"/>
      <c r="J922" s="14"/>
      <c r="K922" s="12"/>
    </row>
    <row r="923" ht="19.5" customHeight="1">
      <c r="A923" s="12"/>
      <c r="C923" s="12"/>
      <c r="D923" s="13"/>
      <c r="F923" s="14"/>
      <c r="G923" s="14"/>
      <c r="H923" s="14"/>
      <c r="I923" s="14"/>
      <c r="J923" s="14"/>
      <c r="K923" s="12"/>
    </row>
    <row r="924" ht="19.5" customHeight="1">
      <c r="A924" s="12"/>
      <c r="C924" s="12"/>
      <c r="D924" s="13"/>
      <c r="F924" s="14"/>
      <c r="G924" s="14"/>
      <c r="H924" s="14"/>
      <c r="I924" s="14"/>
      <c r="J924" s="14"/>
      <c r="K924" s="12"/>
    </row>
    <row r="925" ht="19.5" customHeight="1">
      <c r="A925" s="12"/>
      <c r="C925" s="12"/>
      <c r="D925" s="13"/>
      <c r="F925" s="14"/>
      <c r="G925" s="14"/>
      <c r="H925" s="14"/>
      <c r="I925" s="14"/>
      <c r="J925" s="14"/>
      <c r="K925" s="12"/>
    </row>
    <row r="926" ht="19.5" customHeight="1">
      <c r="A926" s="12"/>
      <c r="C926" s="12"/>
      <c r="D926" s="13"/>
      <c r="F926" s="14"/>
      <c r="G926" s="14"/>
      <c r="H926" s="14"/>
      <c r="I926" s="14"/>
      <c r="J926" s="14"/>
      <c r="K926" s="12"/>
    </row>
    <row r="927" ht="19.5" customHeight="1">
      <c r="A927" s="12"/>
      <c r="C927" s="12"/>
      <c r="D927" s="13"/>
      <c r="F927" s="14"/>
      <c r="G927" s="14"/>
      <c r="H927" s="14"/>
      <c r="I927" s="14"/>
      <c r="J927" s="14"/>
      <c r="K927" s="12"/>
    </row>
    <row r="928" ht="19.5" customHeight="1">
      <c r="A928" s="12"/>
      <c r="C928" s="12"/>
      <c r="D928" s="13"/>
      <c r="F928" s="14"/>
      <c r="G928" s="14"/>
      <c r="H928" s="14"/>
      <c r="I928" s="14"/>
      <c r="J928" s="14"/>
      <c r="K928" s="12"/>
    </row>
    <row r="929" ht="19.5" customHeight="1">
      <c r="A929" s="12"/>
      <c r="C929" s="12"/>
      <c r="D929" s="13"/>
      <c r="F929" s="14"/>
      <c r="G929" s="14"/>
      <c r="H929" s="14"/>
      <c r="I929" s="14"/>
      <c r="J929" s="14"/>
      <c r="K929" s="12"/>
    </row>
    <row r="930" ht="19.5" customHeight="1">
      <c r="A930" s="12"/>
      <c r="C930" s="12"/>
      <c r="D930" s="13"/>
      <c r="F930" s="14"/>
      <c r="G930" s="14"/>
      <c r="H930" s="14"/>
      <c r="I930" s="14"/>
      <c r="J930" s="14"/>
      <c r="K930" s="12"/>
    </row>
    <row r="931" ht="19.5" customHeight="1">
      <c r="A931" s="12"/>
      <c r="C931" s="12"/>
      <c r="D931" s="13"/>
      <c r="F931" s="14"/>
      <c r="G931" s="14"/>
      <c r="H931" s="14"/>
      <c r="I931" s="14"/>
      <c r="J931" s="14"/>
      <c r="K931" s="12"/>
    </row>
    <row r="932" ht="19.5" customHeight="1">
      <c r="A932" s="12"/>
      <c r="C932" s="12"/>
      <c r="D932" s="13"/>
      <c r="F932" s="14"/>
      <c r="G932" s="14"/>
      <c r="H932" s="14"/>
      <c r="I932" s="14"/>
      <c r="J932" s="14"/>
      <c r="K932" s="12"/>
    </row>
    <row r="933" ht="19.5" customHeight="1">
      <c r="A933" s="12"/>
      <c r="C933" s="12"/>
      <c r="D933" s="13"/>
      <c r="F933" s="14"/>
      <c r="G933" s="14"/>
      <c r="H933" s="14"/>
      <c r="I933" s="14"/>
      <c r="J933" s="14"/>
      <c r="K933" s="12"/>
    </row>
    <row r="934" ht="19.5" customHeight="1">
      <c r="A934" s="12"/>
      <c r="C934" s="12"/>
      <c r="D934" s="13"/>
      <c r="F934" s="14"/>
      <c r="G934" s="14"/>
      <c r="H934" s="14"/>
      <c r="I934" s="14"/>
      <c r="J934" s="14"/>
      <c r="K934" s="12"/>
    </row>
    <row r="935" ht="19.5" customHeight="1">
      <c r="A935" s="12"/>
      <c r="C935" s="12"/>
      <c r="D935" s="13"/>
      <c r="F935" s="14"/>
      <c r="G935" s="14"/>
      <c r="H935" s="14"/>
      <c r="I935" s="14"/>
      <c r="J935" s="14"/>
      <c r="K935" s="12"/>
    </row>
    <row r="936" ht="19.5" customHeight="1">
      <c r="A936" s="12"/>
      <c r="C936" s="12"/>
      <c r="D936" s="13"/>
      <c r="F936" s="14"/>
      <c r="G936" s="14"/>
      <c r="H936" s="14"/>
      <c r="I936" s="14"/>
      <c r="J936" s="14"/>
      <c r="K936" s="12"/>
    </row>
    <row r="937" ht="19.5" customHeight="1">
      <c r="A937" s="12"/>
      <c r="C937" s="12"/>
      <c r="D937" s="13"/>
      <c r="F937" s="14"/>
      <c r="G937" s="14"/>
      <c r="H937" s="14"/>
      <c r="I937" s="14"/>
      <c r="J937" s="14"/>
      <c r="K937" s="12"/>
    </row>
    <row r="938" ht="19.5" customHeight="1">
      <c r="A938" s="12"/>
      <c r="C938" s="12"/>
      <c r="D938" s="13"/>
      <c r="F938" s="14"/>
      <c r="G938" s="14"/>
      <c r="H938" s="14"/>
      <c r="I938" s="14"/>
      <c r="J938" s="14"/>
      <c r="K938" s="12"/>
    </row>
    <row r="939" ht="19.5" customHeight="1">
      <c r="A939" s="12"/>
      <c r="C939" s="12"/>
      <c r="D939" s="13"/>
      <c r="F939" s="14"/>
      <c r="G939" s="14"/>
      <c r="H939" s="14"/>
      <c r="I939" s="14"/>
      <c r="J939" s="14"/>
      <c r="K939" s="12"/>
    </row>
    <row r="940" ht="19.5" customHeight="1">
      <c r="A940" s="12"/>
      <c r="C940" s="12"/>
      <c r="D940" s="13"/>
      <c r="F940" s="14"/>
      <c r="G940" s="14"/>
      <c r="H940" s="14"/>
      <c r="I940" s="14"/>
      <c r="J940" s="14"/>
      <c r="K940" s="12"/>
    </row>
    <row r="941" ht="19.5" customHeight="1">
      <c r="A941" s="12"/>
      <c r="C941" s="12"/>
      <c r="D941" s="13"/>
      <c r="F941" s="14"/>
      <c r="G941" s="14"/>
      <c r="H941" s="14"/>
      <c r="I941" s="14"/>
      <c r="J941" s="14"/>
      <c r="K941" s="12"/>
    </row>
    <row r="942" ht="19.5" customHeight="1">
      <c r="A942" s="12"/>
      <c r="C942" s="12"/>
      <c r="D942" s="13"/>
      <c r="F942" s="14"/>
      <c r="G942" s="14"/>
      <c r="H942" s="14"/>
      <c r="I942" s="14"/>
      <c r="J942" s="14"/>
      <c r="K942" s="12"/>
    </row>
    <row r="943" ht="19.5" customHeight="1">
      <c r="A943" s="12"/>
      <c r="C943" s="12"/>
      <c r="D943" s="13"/>
      <c r="F943" s="14"/>
      <c r="G943" s="14"/>
      <c r="H943" s="14"/>
      <c r="I943" s="14"/>
      <c r="J943" s="14"/>
      <c r="K943" s="12"/>
    </row>
    <row r="944" ht="19.5" customHeight="1">
      <c r="A944" s="12"/>
      <c r="C944" s="12"/>
      <c r="D944" s="13"/>
      <c r="F944" s="14"/>
      <c r="G944" s="14"/>
      <c r="H944" s="14"/>
      <c r="I944" s="14"/>
      <c r="J944" s="14"/>
      <c r="K944" s="12"/>
    </row>
    <row r="945" ht="19.5" customHeight="1">
      <c r="A945" s="12"/>
      <c r="C945" s="12"/>
      <c r="D945" s="13"/>
      <c r="F945" s="14"/>
      <c r="G945" s="14"/>
      <c r="H945" s="14"/>
      <c r="I945" s="14"/>
      <c r="J945" s="14"/>
      <c r="K945" s="12"/>
    </row>
    <row r="946" ht="19.5" customHeight="1">
      <c r="A946" s="12"/>
      <c r="C946" s="12"/>
      <c r="D946" s="13"/>
      <c r="F946" s="14"/>
      <c r="G946" s="14"/>
      <c r="H946" s="14"/>
      <c r="I946" s="14"/>
      <c r="J946" s="14"/>
      <c r="K946" s="12"/>
    </row>
    <row r="947" ht="19.5" customHeight="1">
      <c r="A947" s="12"/>
      <c r="C947" s="12"/>
      <c r="D947" s="13"/>
      <c r="F947" s="14"/>
      <c r="G947" s="14"/>
      <c r="H947" s="14"/>
      <c r="I947" s="14"/>
      <c r="J947" s="14"/>
      <c r="K947" s="12"/>
    </row>
    <row r="948" ht="19.5" customHeight="1">
      <c r="A948" s="12"/>
      <c r="C948" s="12"/>
      <c r="D948" s="13"/>
      <c r="F948" s="14"/>
      <c r="G948" s="14"/>
      <c r="H948" s="14"/>
      <c r="I948" s="14"/>
      <c r="J948" s="14"/>
      <c r="K948" s="12"/>
    </row>
    <row r="949" ht="19.5" customHeight="1">
      <c r="A949" s="12"/>
      <c r="C949" s="12"/>
      <c r="D949" s="13"/>
      <c r="F949" s="14"/>
      <c r="G949" s="14"/>
      <c r="H949" s="14"/>
      <c r="I949" s="14"/>
      <c r="J949" s="14"/>
      <c r="K949" s="12"/>
    </row>
    <row r="950" ht="19.5" customHeight="1">
      <c r="A950" s="12"/>
      <c r="C950" s="12"/>
      <c r="D950" s="13"/>
      <c r="F950" s="14"/>
      <c r="G950" s="14"/>
      <c r="H950" s="14"/>
      <c r="I950" s="14"/>
      <c r="J950" s="14"/>
      <c r="K950" s="12"/>
    </row>
    <row r="951" ht="19.5" customHeight="1">
      <c r="A951" s="12"/>
      <c r="C951" s="12"/>
      <c r="D951" s="13"/>
      <c r="F951" s="14"/>
      <c r="G951" s="14"/>
      <c r="H951" s="14"/>
      <c r="I951" s="14"/>
      <c r="J951" s="14"/>
      <c r="K951" s="12"/>
    </row>
    <row r="952" ht="19.5" customHeight="1">
      <c r="A952" s="12"/>
      <c r="C952" s="12"/>
      <c r="D952" s="13"/>
      <c r="F952" s="14"/>
      <c r="G952" s="14"/>
      <c r="H952" s="14"/>
      <c r="I952" s="14"/>
      <c r="J952" s="14"/>
      <c r="K952" s="12"/>
    </row>
    <row r="953" ht="19.5" customHeight="1">
      <c r="A953" s="12"/>
      <c r="C953" s="12"/>
      <c r="D953" s="13"/>
      <c r="F953" s="14"/>
      <c r="G953" s="14"/>
      <c r="H953" s="14"/>
      <c r="I953" s="14"/>
      <c r="J953" s="14"/>
      <c r="K953" s="12"/>
    </row>
    <row r="954" ht="19.5" customHeight="1">
      <c r="A954" s="12"/>
      <c r="C954" s="12"/>
      <c r="D954" s="13"/>
      <c r="F954" s="14"/>
      <c r="G954" s="14"/>
      <c r="H954" s="14"/>
      <c r="I954" s="14"/>
      <c r="J954" s="14"/>
      <c r="K954" s="12"/>
    </row>
    <row r="955" ht="19.5" customHeight="1">
      <c r="A955" s="12"/>
      <c r="C955" s="12"/>
      <c r="D955" s="13"/>
      <c r="F955" s="14"/>
      <c r="G955" s="14"/>
      <c r="H955" s="14"/>
      <c r="I955" s="14"/>
      <c r="J955" s="14"/>
      <c r="K955" s="12"/>
    </row>
    <row r="956" ht="19.5" customHeight="1">
      <c r="A956" s="12"/>
      <c r="C956" s="12"/>
      <c r="D956" s="13"/>
      <c r="F956" s="14"/>
      <c r="G956" s="14"/>
      <c r="H956" s="14"/>
      <c r="I956" s="14"/>
      <c r="J956" s="14"/>
      <c r="K956" s="12"/>
    </row>
    <row r="957" ht="19.5" customHeight="1">
      <c r="A957" s="12"/>
      <c r="C957" s="12"/>
      <c r="D957" s="13"/>
      <c r="F957" s="14"/>
      <c r="G957" s="14"/>
      <c r="H957" s="14"/>
      <c r="I957" s="14"/>
      <c r="J957" s="14"/>
      <c r="K957" s="12"/>
    </row>
    <row r="958" ht="19.5" customHeight="1">
      <c r="A958" s="12"/>
      <c r="C958" s="12"/>
      <c r="D958" s="13"/>
      <c r="F958" s="14"/>
      <c r="G958" s="14"/>
      <c r="H958" s="14"/>
      <c r="I958" s="14"/>
      <c r="J958" s="14"/>
      <c r="K958" s="12"/>
    </row>
    <row r="959" ht="19.5" customHeight="1">
      <c r="A959" s="12"/>
      <c r="C959" s="12"/>
      <c r="D959" s="13"/>
      <c r="F959" s="14"/>
      <c r="G959" s="14"/>
      <c r="H959" s="14"/>
      <c r="I959" s="14"/>
      <c r="J959" s="14"/>
      <c r="K959" s="12"/>
    </row>
    <row r="960" ht="19.5" customHeight="1">
      <c r="A960" s="12"/>
      <c r="C960" s="12"/>
      <c r="D960" s="13"/>
      <c r="F960" s="14"/>
      <c r="G960" s="14"/>
      <c r="H960" s="14"/>
      <c r="I960" s="14"/>
      <c r="J960" s="14"/>
      <c r="K960" s="12"/>
    </row>
    <row r="961" ht="19.5" customHeight="1">
      <c r="A961" s="12"/>
      <c r="C961" s="12"/>
      <c r="D961" s="13"/>
      <c r="F961" s="14"/>
      <c r="G961" s="14"/>
      <c r="H961" s="14"/>
      <c r="I961" s="14"/>
      <c r="J961" s="14"/>
      <c r="K961" s="12"/>
    </row>
    <row r="962" ht="19.5" customHeight="1">
      <c r="A962" s="12"/>
      <c r="C962" s="12"/>
      <c r="D962" s="13"/>
      <c r="F962" s="14"/>
      <c r="G962" s="14"/>
      <c r="H962" s="14"/>
      <c r="I962" s="14"/>
      <c r="J962" s="14"/>
      <c r="K962" s="12"/>
    </row>
    <row r="963" ht="19.5" customHeight="1">
      <c r="A963" s="12"/>
      <c r="C963" s="12"/>
      <c r="D963" s="13"/>
      <c r="F963" s="14"/>
      <c r="G963" s="14"/>
      <c r="H963" s="14"/>
      <c r="I963" s="14"/>
      <c r="J963" s="14"/>
      <c r="K963" s="12"/>
    </row>
    <row r="964" ht="19.5" customHeight="1">
      <c r="A964" s="12"/>
      <c r="C964" s="12"/>
      <c r="D964" s="13"/>
      <c r="F964" s="14"/>
      <c r="G964" s="14"/>
      <c r="H964" s="14"/>
      <c r="I964" s="14"/>
      <c r="J964" s="14"/>
      <c r="K964" s="12"/>
    </row>
    <row r="965" ht="19.5" customHeight="1">
      <c r="A965" s="12"/>
      <c r="C965" s="12"/>
      <c r="D965" s="13"/>
      <c r="F965" s="14"/>
      <c r="G965" s="14"/>
      <c r="H965" s="14"/>
      <c r="I965" s="14"/>
      <c r="J965" s="14"/>
      <c r="K965" s="12"/>
    </row>
    <row r="966" ht="19.5" customHeight="1">
      <c r="A966" s="12"/>
      <c r="C966" s="12"/>
      <c r="D966" s="13"/>
      <c r="F966" s="14"/>
      <c r="G966" s="14"/>
      <c r="H966" s="14"/>
      <c r="I966" s="14"/>
      <c r="J966" s="14"/>
      <c r="K966" s="12"/>
    </row>
    <row r="967" ht="19.5" customHeight="1">
      <c r="A967" s="12"/>
      <c r="C967" s="12"/>
      <c r="D967" s="13"/>
      <c r="F967" s="14"/>
      <c r="G967" s="14"/>
      <c r="H967" s="14"/>
      <c r="I967" s="14"/>
      <c r="J967" s="14"/>
      <c r="K967" s="12"/>
    </row>
    <row r="968" ht="19.5" customHeight="1">
      <c r="A968" s="12"/>
      <c r="C968" s="12"/>
      <c r="D968" s="13"/>
      <c r="F968" s="14"/>
      <c r="G968" s="14"/>
      <c r="H968" s="14"/>
      <c r="I968" s="14"/>
      <c r="J968" s="14"/>
      <c r="K968" s="12"/>
    </row>
    <row r="969" ht="19.5" customHeight="1">
      <c r="A969" s="12"/>
      <c r="C969" s="12"/>
      <c r="D969" s="13"/>
      <c r="F969" s="14"/>
      <c r="G969" s="14"/>
      <c r="H969" s="14"/>
      <c r="I969" s="14"/>
      <c r="J969" s="14"/>
      <c r="K969" s="12"/>
    </row>
    <row r="970" ht="19.5" customHeight="1">
      <c r="A970" s="12"/>
      <c r="C970" s="12"/>
      <c r="D970" s="13"/>
      <c r="F970" s="14"/>
      <c r="G970" s="14"/>
      <c r="H970" s="14"/>
      <c r="I970" s="14"/>
      <c r="J970" s="14"/>
      <c r="K970" s="12"/>
    </row>
    <row r="971" ht="19.5" customHeight="1">
      <c r="A971" s="12"/>
      <c r="C971" s="12"/>
      <c r="D971" s="13"/>
      <c r="F971" s="14"/>
      <c r="G971" s="14"/>
      <c r="H971" s="14"/>
      <c r="I971" s="14"/>
      <c r="J971" s="14"/>
      <c r="K971" s="12"/>
    </row>
    <row r="972" ht="19.5" customHeight="1">
      <c r="A972" s="12"/>
      <c r="C972" s="12"/>
      <c r="D972" s="13"/>
      <c r="F972" s="14"/>
      <c r="G972" s="14"/>
      <c r="H972" s="14"/>
      <c r="I972" s="14"/>
      <c r="J972" s="14"/>
      <c r="K972" s="12"/>
    </row>
    <row r="973" ht="19.5" customHeight="1">
      <c r="A973" s="12"/>
      <c r="C973" s="12"/>
      <c r="D973" s="13"/>
      <c r="F973" s="14"/>
      <c r="G973" s="14"/>
      <c r="H973" s="14"/>
      <c r="I973" s="14"/>
      <c r="J973" s="14"/>
      <c r="K973" s="12"/>
    </row>
    <row r="974" ht="19.5" customHeight="1">
      <c r="A974" s="12"/>
      <c r="C974" s="12"/>
      <c r="D974" s="13"/>
      <c r="F974" s="14"/>
      <c r="G974" s="14"/>
      <c r="H974" s="14"/>
      <c r="I974" s="14"/>
      <c r="J974" s="14"/>
      <c r="K974" s="12"/>
    </row>
    <row r="975" ht="19.5" customHeight="1">
      <c r="A975" s="12"/>
      <c r="C975" s="12"/>
      <c r="D975" s="13"/>
      <c r="F975" s="14"/>
      <c r="G975" s="14"/>
      <c r="H975" s="14"/>
      <c r="I975" s="14"/>
      <c r="J975" s="14"/>
      <c r="K975" s="12"/>
    </row>
    <row r="976" ht="19.5" customHeight="1">
      <c r="A976" s="12"/>
      <c r="C976" s="12"/>
      <c r="D976" s="13"/>
      <c r="F976" s="14"/>
      <c r="G976" s="14"/>
      <c r="H976" s="14"/>
      <c r="I976" s="14"/>
      <c r="J976" s="14"/>
      <c r="K976" s="12"/>
    </row>
    <row r="977" ht="19.5" customHeight="1">
      <c r="A977" s="12"/>
      <c r="C977" s="12"/>
      <c r="D977" s="13"/>
      <c r="F977" s="14"/>
      <c r="G977" s="14"/>
      <c r="H977" s="14"/>
      <c r="I977" s="14"/>
      <c r="J977" s="14"/>
      <c r="K977" s="12"/>
    </row>
    <row r="978" ht="19.5" customHeight="1">
      <c r="A978" s="12"/>
      <c r="C978" s="12"/>
      <c r="D978" s="13"/>
      <c r="F978" s="14"/>
      <c r="G978" s="14"/>
      <c r="H978" s="14"/>
      <c r="I978" s="14"/>
      <c r="J978" s="14"/>
      <c r="K978" s="12"/>
    </row>
    <row r="979" ht="19.5" customHeight="1">
      <c r="A979" s="12"/>
      <c r="C979" s="12"/>
      <c r="D979" s="13"/>
      <c r="F979" s="14"/>
      <c r="G979" s="14"/>
      <c r="H979" s="14"/>
      <c r="I979" s="14"/>
      <c r="J979" s="14"/>
      <c r="K979" s="12"/>
    </row>
    <row r="980" ht="19.5" customHeight="1">
      <c r="A980" s="12"/>
      <c r="C980" s="12"/>
      <c r="D980" s="13"/>
      <c r="F980" s="14"/>
      <c r="G980" s="14"/>
      <c r="H980" s="14"/>
      <c r="I980" s="14"/>
      <c r="J980" s="14"/>
      <c r="K980" s="12"/>
    </row>
    <row r="981" ht="19.5" customHeight="1">
      <c r="A981" s="12"/>
      <c r="C981" s="12"/>
      <c r="D981" s="13"/>
      <c r="F981" s="14"/>
      <c r="G981" s="14"/>
      <c r="H981" s="14"/>
      <c r="I981" s="14"/>
      <c r="J981" s="14"/>
      <c r="K981" s="12"/>
    </row>
    <row r="982" ht="19.5" customHeight="1">
      <c r="A982" s="12"/>
      <c r="C982" s="12"/>
      <c r="D982" s="13"/>
      <c r="F982" s="14"/>
      <c r="G982" s="14"/>
      <c r="H982" s="14"/>
      <c r="I982" s="14"/>
      <c r="J982" s="14"/>
      <c r="K982" s="12"/>
    </row>
    <row r="983" ht="19.5" customHeight="1">
      <c r="A983" s="12"/>
      <c r="C983" s="12"/>
      <c r="D983" s="13"/>
      <c r="F983" s="14"/>
      <c r="G983" s="14"/>
      <c r="H983" s="14"/>
      <c r="I983" s="14"/>
      <c r="J983" s="14"/>
      <c r="K983" s="12"/>
    </row>
    <row r="984" ht="19.5" customHeight="1">
      <c r="A984" s="12"/>
      <c r="C984" s="12"/>
      <c r="D984" s="13"/>
      <c r="F984" s="14"/>
      <c r="G984" s="14"/>
      <c r="H984" s="14"/>
      <c r="I984" s="14"/>
      <c r="J984" s="14"/>
      <c r="K984" s="12"/>
    </row>
    <row r="985" ht="19.5" customHeight="1">
      <c r="A985" s="12"/>
      <c r="C985" s="12"/>
      <c r="D985" s="13"/>
      <c r="F985" s="14"/>
      <c r="G985" s="14"/>
      <c r="H985" s="14"/>
      <c r="I985" s="14"/>
      <c r="J985" s="14"/>
      <c r="K985" s="12"/>
    </row>
    <row r="986" ht="19.5" customHeight="1">
      <c r="A986" s="12"/>
      <c r="C986" s="12"/>
      <c r="D986" s="13"/>
      <c r="F986" s="14"/>
      <c r="G986" s="14"/>
      <c r="H986" s="14"/>
      <c r="I986" s="14"/>
      <c r="J986" s="14"/>
      <c r="K986" s="12"/>
    </row>
    <row r="987" ht="19.5" customHeight="1">
      <c r="A987" s="12"/>
      <c r="C987" s="12"/>
      <c r="D987" s="13"/>
      <c r="F987" s="14"/>
      <c r="G987" s="14"/>
      <c r="H987" s="14"/>
      <c r="I987" s="14"/>
      <c r="J987" s="14"/>
      <c r="K987" s="12"/>
    </row>
    <row r="988" ht="19.5" customHeight="1">
      <c r="A988" s="12"/>
      <c r="C988" s="12"/>
      <c r="D988" s="13"/>
      <c r="F988" s="14"/>
      <c r="G988" s="14"/>
      <c r="H988" s="14"/>
      <c r="I988" s="14"/>
      <c r="J988" s="14"/>
      <c r="K988" s="12"/>
    </row>
    <row r="989" ht="19.5" customHeight="1">
      <c r="A989" s="12"/>
      <c r="C989" s="12"/>
      <c r="D989" s="13"/>
      <c r="F989" s="14"/>
      <c r="G989" s="14"/>
      <c r="H989" s="14"/>
      <c r="I989" s="14"/>
      <c r="J989" s="14"/>
      <c r="K989" s="12"/>
    </row>
    <row r="990" ht="19.5" customHeight="1">
      <c r="A990" s="12"/>
      <c r="C990" s="12"/>
      <c r="D990" s="13"/>
      <c r="F990" s="14"/>
      <c r="G990" s="14"/>
      <c r="H990" s="14"/>
      <c r="I990" s="14"/>
      <c r="J990" s="14"/>
      <c r="K990" s="12"/>
    </row>
    <row r="991" ht="19.5" customHeight="1">
      <c r="A991" s="12"/>
      <c r="C991" s="12"/>
      <c r="D991" s="13"/>
      <c r="F991" s="14"/>
      <c r="G991" s="14"/>
      <c r="H991" s="14"/>
      <c r="I991" s="14"/>
      <c r="J991" s="14"/>
      <c r="K991" s="12"/>
    </row>
    <row r="992" ht="19.5" customHeight="1">
      <c r="A992" s="12"/>
      <c r="C992" s="12"/>
      <c r="D992" s="13"/>
      <c r="F992" s="14"/>
      <c r="G992" s="14"/>
      <c r="H992" s="14"/>
      <c r="I992" s="14"/>
      <c r="J992" s="14"/>
      <c r="K992" s="12"/>
    </row>
    <row r="993" ht="19.5" customHeight="1">
      <c r="A993" s="12"/>
      <c r="C993" s="12"/>
      <c r="D993" s="13"/>
      <c r="F993" s="14"/>
      <c r="G993" s="14"/>
      <c r="H993" s="14"/>
      <c r="I993" s="14"/>
      <c r="J993" s="14"/>
      <c r="K993" s="12"/>
    </row>
    <row r="994" ht="19.5" customHeight="1">
      <c r="A994" s="12"/>
      <c r="C994" s="12"/>
      <c r="D994" s="13"/>
      <c r="F994" s="14"/>
      <c r="G994" s="14"/>
      <c r="H994" s="14"/>
      <c r="I994" s="14"/>
      <c r="J994" s="14"/>
      <c r="K994" s="12"/>
    </row>
    <row r="995" ht="19.5" customHeight="1">
      <c r="A995" s="12"/>
      <c r="C995" s="12"/>
      <c r="D995" s="13"/>
      <c r="F995" s="14"/>
      <c r="G995" s="14"/>
      <c r="H995" s="14"/>
      <c r="I995" s="14"/>
      <c r="J995" s="14"/>
      <c r="K995" s="12"/>
    </row>
    <row r="996" ht="19.5" customHeight="1">
      <c r="A996" s="12"/>
      <c r="C996" s="12"/>
      <c r="D996" s="13"/>
      <c r="F996" s="14"/>
      <c r="G996" s="14"/>
      <c r="H996" s="14"/>
      <c r="I996" s="14"/>
      <c r="J996" s="14"/>
      <c r="K996" s="12"/>
    </row>
    <row r="997" ht="19.5" customHeight="1">
      <c r="A997" s="12"/>
      <c r="C997" s="12"/>
      <c r="D997" s="13"/>
      <c r="F997" s="14"/>
      <c r="G997" s="14"/>
      <c r="H997" s="14"/>
      <c r="I997" s="14"/>
      <c r="J997" s="14"/>
      <c r="K997" s="12"/>
    </row>
    <row r="998" ht="19.5" customHeight="1">
      <c r="A998" s="12"/>
      <c r="C998" s="12"/>
      <c r="D998" s="13"/>
      <c r="F998" s="14"/>
      <c r="G998" s="14"/>
      <c r="H998" s="14"/>
      <c r="I998" s="14"/>
      <c r="J998" s="14"/>
      <c r="K998" s="12"/>
    </row>
    <row r="999" ht="19.5" customHeight="1">
      <c r="A999" s="12"/>
      <c r="C999" s="12"/>
      <c r="D999" s="13"/>
      <c r="F999" s="14"/>
      <c r="G999" s="14"/>
      <c r="H999" s="14"/>
      <c r="I999" s="14"/>
      <c r="J999" s="14"/>
      <c r="K999" s="12"/>
    </row>
    <row r="1000" ht="19.5" customHeight="1">
      <c r="A1000" s="12"/>
      <c r="C1000" s="12"/>
      <c r="D1000" s="13"/>
      <c r="F1000" s="14"/>
      <c r="G1000" s="14"/>
      <c r="H1000" s="14"/>
      <c r="I1000" s="14"/>
      <c r="J1000" s="14"/>
      <c r="K1000" s="12"/>
    </row>
  </sheetData>
  <mergeCells count="12">
    <mergeCell ref="E9:G9"/>
    <mergeCell ref="J9:J10"/>
    <mergeCell ref="J15:J16"/>
    <mergeCell ref="J36:J37"/>
    <mergeCell ref="A6:K6"/>
    <mergeCell ref="A7:K7"/>
    <mergeCell ref="A8:K8"/>
    <mergeCell ref="A9:A10"/>
    <mergeCell ref="B9:B10"/>
    <mergeCell ref="C9:C10"/>
    <mergeCell ref="D9:D10"/>
    <mergeCell ref="K9:K10"/>
  </mergeCells>
  <printOptions/>
  <pageMargins bottom="0.787401575" footer="0.0" header="0.0" left="0.511811024" right="0.511811024" top="0.787401575"/>
  <pageSetup orientation="landscape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57.13"/>
    <col customWidth="1" min="3" max="3" width="9.13"/>
    <col customWidth="1" min="4" max="4" width="16.25"/>
    <col customWidth="1" min="5" max="5" width="25.0"/>
    <col customWidth="1" min="6" max="6" width="22.25"/>
    <col customWidth="1" min="7" max="8" width="23.88"/>
    <col customWidth="1" min="9" max="9" width="23.63"/>
    <col customWidth="1" min="10" max="10" width="20.63"/>
    <col customWidth="1" min="11" max="11" width="39.0"/>
    <col customWidth="1" min="12" max="26" width="8.63"/>
  </cols>
  <sheetData>
    <row r="1" ht="19.5" customHeight="1">
      <c r="A1" s="4"/>
      <c r="B1" s="5"/>
      <c r="C1" s="6"/>
      <c r="D1" s="7"/>
      <c r="E1" s="5"/>
      <c r="F1" s="8"/>
      <c r="G1" s="8"/>
      <c r="H1" s="8"/>
      <c r="I1" s="8"/>
      <c r="J1" s="8"/>
      <c r="K1" s="9"/>
    </row>
    <row r="2" ht="19.5" customHeight="1">
      <c r="A2" s="10" t="s">
        <v>83</v>
      </c>
      <c r="B2" s="11" t="s">
        <v>84</v>
      </c>
      <c r="C2" s="12"/>
      <c r="D2" s="13"/>
      <c r="F2" s="14"/>
      <c r="G2" s="14"/>
      <c r="H2" s="14"/>
      <c r="I2" s="14"/>
      <c r="J2" s="17" t="s">
        <v>144</v>
      </c>
      <c r="K2" s="18"/>
    </row>
    <row r="3" ht="19.5" customHeight="1">
      <c r="A3" s="10" t="s">
        <v>86</v>
      </c>
      <c r="B3" s="11" t="s">
        <v>87</v>
      </c>
      <c r="C3" s="12"/>
      <c r="D3" s="13"/>
      <c r="F3" s="14"/>
      <c r="G3" s="14"/>
      <c r="H3" s="14"/>
      <c r="I3" s="14"/>
      <c r="J3" s="14"/>
      <c r="K3" s="18"/>
    </row>
    <row r="4" ht="19.5" customHeight="1">
      <c r="A4" s="19"/>
      <c r="C4" s="12"/>
      <c r="D4" s="13"/>
      <c r="F4" s="14"/>
      <c r="G4" s="14"/>
      <c r="H4" s="14"/>
      <c r="I4" s="14"/>
      <c r="J4" s="14"/>
      <c r="K4" s="18"/>
    </row>
    <row r="5" ht="19.5" customHeight="1">
      <c r="A5" s="19"/>
      <c r="C5" s="12"/>
      <c r="D5" s="13"/>
      <c r="F5" s="14"/>
      <c r="G5" s="14"/>
      <c r="H5" s="14"/>
      <c r="I5" s="14"/>
      <c r="J5" s="14"/>
      <c r="K5" s="18"/>
    </row>
    <row r="6" ht="159.0" customHeight="1">
      <c r="A6" s="20" t="s">
        <v>1881</v>
      </c>
      <c r="K6" s="21"/>
    </row>
    <row r="7" ht="64.5" customHeight="1">
      <c r="A7" s="22" t="s">
        <v>1882</v>
      </c>
      <c r="K7" s="21"/>
    </row>
    <row r="8" ht="42.0" customHeight="1">
      <c r="A8" s="88" t="s">
        <v>90</v>
      </c>
      <c r="B8" s="24"/>
      <c r="C8" s="24"/>
      <c r="D8" s="24"/>
      <c r="E8" s="24"/>
      <c r="F8" s="24"/>
      <c r="G8" s="24"/>
      <c r="H8" s="24"/>
      <c r="I8" s="24"/>
      <c r="J8" s="24"/>
      <c r="K8" s="25"/>
    </row>
    <row r="9" ht="19.5" customHeight="1">
      <c r="A9" s="26" t="s">
        <v>1</v>
      </c>
      <c r="B9" s="26" t="s">
        <v>91</v>
      </c>
      <c r="C9" s="26" t="s">
        <v>92</v>
      </c>
      <c r="D9" s="26" t="s">
        <v>93</v>
      </c>
      <c r="E9" s="27" t="s">
        <v>94</v>
      </c>
      <c r="F9" s="28"/>
      <c r="G9" s="29"/>
      <c r="H9" s="30"/>
      <c r="I9" s="30"/>
      <c r="J9" s="31" t="s">
        <v>95</v>
      </c>
      <c r="K9" s="26" t="s">
        <v>96</v>
      </c>
    </row>
    <row r="10" ht="19.5" customHeight="1">
      <c r="A10" s="32"/>
      <c r="B10" s="32"/>
      <c r="C10" s="32"/>
      <c r="D10" s="32"/>
      <c r="E10" s="33" t="s">
        <v>97</v>
      </c>
      <c r="F10" s="34" t="s">
        <v>121</v>
      </c>
      <c r="G10" s="34" t="s">
        <v>99</v>
      </c>
      <c r="H10" s="35" t="s">
        <v>100</v>
      </c>
      <c r="I10" s="35" t="s">
        <v>101</v>
      </c>
      <c r="J10" s="32"/>
      <c r="K10" s="32"/>
    </row>
    <row r="11" ht="19.5" customHeight="1">
      <c r="A11" s="46">
        <v>1.0</v>
      </c>
      <c r="B11" s="37" t="s">
        <v>147</v>
      </c>
      <c r="C11" s="46" t="s">
        <v>148</v>
      </c>
      <c r="D11" s="78">
        <v>4.0</v>
      </c>
      <c r="E11" s="37">
        <v>2.0</v>
      </c>
      <c r="F11" s="40">
        <v>4.0</v>
      </c>
      <c r="G11" s="40">
        <v>4.0</v>
      </c>
      <c r="H11" s="40">
        <f>G11*F11*E11*D11</f>
        <v>128</v>
      </c>
      <c r="I11" s="42"/>
      <c r="J11" s="43">
        <f t="shared" ref="J11:J13" si="1">H11-I11</f>
        <v>128</v>
      </c>
      <c r="K11" s="46"/>
    </row>
    <row r="12" ht="19.5" customHeight="1">
      <c r="A12" s="46"/>
      <c r="B12" s="37"/>
      <c r="C12" s="46"/>
      <c r="D12" s="78"/>
      <c r="E12" s="37"/>
      <c r="F12" s="40"/>
      <c r="G12" s="40" t="s">
        <v>1858</v>
      </c>
      <c r="H12" s="40"/>
      <c r="I12" s="42"/>
      <c r="J12" s="43">
        <f t="shared" si="1"/>
        <v>0</v>
      </c>
      <c r="K12" s="79"/>
    </row>
    <row r="13" ht="19.5" customHeight="1">
      <c r="A13" s="46"/>
      <c r="B13" s="37"/>
      <c r="C13" s="46"/>
      <c r="D13" s="78"/>
      <c r="E13" s="37"/>
      <c r="F13" s="40"/>
      <c r="G13" s="40"/>
      <c r="H13" s="40"/>
      <c r="I13" s="42"/>
      <c r="J13" s="43">
        <f t="shared" si="1"/>
        <v>0</v>
      </c>
      <c r="K13" s="79"/>
    </row>
    <row r="14" ht="19.5" customHeight="1">
      <c r="A14" s="74" t="s">
        <v>1</v>
      </c>
      <c r="B14" s="74" t="s">
        <v>91</v>
      </c>
      <c r="C14" s="74" t="s">
        <v>92</v>
      </c>
      <c r="D14" s="74" t="s">
        <v>93</v>
      </c>
      <c r="E14" s="50" t="s">
        <v>97</v>
      </c>
      <c r="F14" s="53" t="s">
        <v>121</v>
      </c>
      <c r="G14" s="53" t="s">
        <v>99</v>
      </c>
      <c r="H14" s="75" t="s">
        <v>100</v>
      </c>
      <c r="I14" s="75" t="s">
        <v>101</v>
      </c>
      <c r="J14" s="76" t="s">
        <v>95</v>
      </c>
      <c r="K14" s="74" t="s">
        <v>96</v>
      </c>
    </row>
    <row r="15" ht="19.5" customHeight="1">
      <c r="A15" s="46">
        <v>1.0</v>
      </c>
      <c r="B15" s="37" t="s">
        <v>1320</v>
      </c>
      <c r="C15" s="46" t="s">
        <v>148</v>
      </c>
      <c r="D15" s="78">
        <v>4.0</v>
      </c>
      <c r="E15" s="37">
        <v>0.15</v>
      </c>
      <c r="F15" s="78">
        <v>4.0</v>
      </c>
      <c r="G15" s="40">
        <v>4.0</v>
      </c>
      <c r="H15" s="40">
        <f>G15*F15*E15*D15</f>
        <v>9.6</v>
      </c>
      <c r="I15" s="42"/>
      <c r="J15" s="264">
        <f>SUM(H15:H16)</f>
        <v>9.6</v>
      </c>
      <c r="K15" s="46"/>
    </row>
    <row r="16" ht="19.5" customHeight="1">
      <c r="A16" s="46"/>
      <c r="B16" s="37"/>
      <c r="C16" s="46"/>
      <c r="D16" s="78"/>
      <c r="E16" s="37"/>
      <c r="F16" s="78"/>
      <c r="G16" s="40"/>
      <c r="H16" s="40"/>
      <c r="I16" s="42"/>
      <c r="J16" s="32"/>
      <c r="K16" s="46"/>
    </row>
    <row r="17" ht="19.5" customHeight="1">
      <c r="A17" s="74" t="s">
        <v>1</v>
      </c>
      <c r="B17" s="74" t="s">
        <v>91</v>
      </c>
      <c r="C17" s="74" t="s">
        <v>92</v>
      </c>
      <c r="D17" s="74" t="s">
        <v>93</v>
      </c>
      <c r="E17" s="50" t="s">
        <v>97</v>
      </c>
      <c r="F17" s="53" t="s">
        <v>121</v>
      </c>
      <c r="G17" s="53" t="s">
        <v>99</v>
      </c>
      <c r="H17" s="75" t="s">
        <v>100</v>
      </c>
      <c r="I17" s="75" t="s">
        <v>101</v>
      </c>
      <c r="J17" s="76" t="s">
        <v>95</v>
      </c>
      <c r="K17" s="74" t="s">
        <v>96</v>
      </c>
    </row>
    <row r="18" ht="19.5" customHeight="1">
      <c r="A18" s="46">
        <v>1.0</v>
      </c>
      <c r="B18" s="37" t="s">
        <v>345</v>
      </c>
      <c r="C18" s="46" t="s">
        <v>148</v>
      </c>
      <c r="D18" s="78"/>
      <c r="E18" s="37"/>
      <c r="F18" s="78"/>
      <c r="G18" s="40"/>
      <c r="H18" s="40"/>
      <c r="I18" s="42"/>
      <c r="J18" s="40"/>
      <c r="K18" s="46"/>
    </row>
    <row r="19" ht="19.5" customHeight="1">
      <c r="A19" s="46"/>
      <c r="B19" s="37"/>
      <c r="C19" s="46"/>
      <c r="D19" s="78"/>
      <c r="E19" s="37"/>
      <c r="F19" s="78"/>
      <c r="G19" s="40"/>
      <c r="H19" s="40"/>
      <c r="I19" s="42"/>
      <c r="J19" s="43">
        <f>SUM(H18:H19)</f>
        <v>0</v>
      </c>
      <c r="K19" s="46"/>
    </row>
    <row r="20" ht="19.5" customHeight="1">
      <c r="A20" s="74" t="s">
        <v>1</v>
      </c>
      <c r="B20" s="74" t="s">
        <v>91</v>
      </c>
      <c r="C20" s="74" t="s">
        <v>92</v>
      </c>
      <c r="D20" s="74" t="s">
        <v>93</v>
      </c>
      <c r="E20" s="50" t="s">
        <v>347</v>
      </c>
      <c r="F20" s="53" t="s">
        <v>121</v>
      </c>
      <c r="G20" s="53" t="s">
        <v>99</v>
      </c>
      <c r="H20" s="75" t="s">
        <v>100</v>
      </c>
      <c r="I20" s="75" t="s">
        <v>101</v>
      </c>
      <c r="J20" s="76" t="s">
        <v>95</v>
      </c>
      <c r="K20" s="74" t="s">
        <v>96</v>
      </c>
    </row>
    <row r="21" ht="19.5" customHeight="1">
      <c r="A21" s="46">
        <v>1.0</v>
      </c>
      <c r="B21" s="37" t="s">
        <v>912</v>
      </c>
      <c r="C21" s="46" t="s">
        <v>103</v>
      </c>
      <c r="D21" s="78"/>
      <c r="E21" s="37"/>
      <c r="F21" s="40"/>
      <c r="G21" s="40"/>
      <c r="H21" s="40"/>
      <c r="I21" s="42"/>
      <c r="J21" s="107"/>
      <c r="K21" s="46" t="s">
        <v>1322</v>
      </c>
    </row>
    <row r="22" ht="19.5" customHeight="1">
      <c r="A22" s="74" t="s">
        <v>1</v>
      </c>
      <c r="B22" s="74" t="s">
        <v>91</v>
      </c>
      <c r="C22" s="74" t="s">
        <v>92</v>
      </c>
      <c r="D22" s="74" t="s">
        <v>93</v>
      </c>
      <c r="E22" s="50" t="s">
        <v>187</v>
      </c>
      <c r="F22" s="53"/>
      <c r="G22" s="53"/>
      <c r="H22" s="75" t="s">
        <v>100</v>
      </c>
      <c r="I22" s="75" t="s">
        <v>101</v>
      </c>
      <c r="J22" s="76" t="s">
        <v>95</v>
      </c>
      <c r="K22" s="74" t="s">
        <v>96</v>
      </c>
    </row>
    <row r="23" ht="19.5" customHeight="1">
      <c r="A23" s="46">
        <v>1.0</v>
      </c>
      <c r="B23" s="37" t="s">
        <v>1323</v>
      </c>
      <c r="C23" s="46" t="s">
        <v>158</v>
      </c>
      <c r="D23" s="78" t="str">
        <f>D21</f>
        <v/>
      </c>
      <c r="E23" s="37">
        <v>100.0</v>
      </c>
      <c r="F23" s="40"/>
      <c r="G23" s="40"/>
      <c r="H23" s="40">
        <f>E23*D23</f>
        <v>0</v>
      </c>
      <c r="I23" s="42"/>
      <c r="J23" s="43">
        <f>H23-I23</f>
        <v>0</v>
      </c>
      <c r="K23" s="46" t="s">
        <v>355</v>
      </c>
    </row>
    <row r="24" ht="19.5" customHeight="1">
      <c r="A24" s="50" t="s">
        <v>1</v>
      </c>
      <c r="B24" s="50" t="s">
        <v>91</v>
      </c>
      <c r="C24" s="50" t="s">
        <v>92</v>
      </c>
      <c r="D24" s="50" t="s">
        <v>93</v>
      </c>
      <c r="E24" s="50" t="s">
        <v>97</v>
      </c>
      <c r="F24" s="53" t="s">
        <v>121</v>
      </c>
      <c r="G24" s="53" t="s">
        <v>99</v>
      </c>
      <c r="H24" s="53" t="s">
        <v>100</v>
      </c>
      <c r="I24" s="53" t="s">
        <v>101</v>
      </c>
      <c r="J24" s="53" t="s">
        <v>95</v>
      </c>
      <c r="K24" s="50" t="s">
        <v>96</v>
      </c>
    </row>
    <row r="25" ht="19.5" customHeight="1">
      <c r="A25" s="46">
        <v>1.0</v>
      </c>
      <c r="B25" s="416" t="s">
        <v>1337</v>
      </c>
      <c r="C25" s="46" t="s">
        <v>108</v>
      </c>
      <c r="D25" s="78">
        <v>1.0</v>
      </c>
      <c r="E25" s="37"/>
      <c r="F25" s="78"/>
      <c r="G25" s="40"/>
      <c r="H25" s="40"/>
      <c r="I25" s="42"/>
      <c r="J25" s="43">
        <f t="shared" ref="J25:J29" si="2">D25</f>
        <v>1</v>
      </c>
      <c r="K25" s="46"/>
    </row>
    <row r="26" ht="19.5" customHeight="1">
      <c r="A26" s="46">
        <v>2.0</v>
      </c>
      <c r="B26" s="416" t="s">
        <v>1338</v>
      </c>
      <c r="C26" s="46" t="s">
        <v>108</v>
      </c>
      <c r="D26" s="78">
        <v>1.0</v>
      </c>
      <c r="E26" s="37"/>
      <c r="F26" s="78"/>
      <c r="G26" s="40"/>
      <c r="H26" s="40"/>
      <c r="I26" s="42"/>
      <c r="J26" s="43">
        <f t="shared" si="2"/>
        <v>1</v>
      </c>
      <c r="K26" s="46"/>
    </row>
    <row r="27" ht="19.5" customHeight="1">
      <c r="A27" s="46">
        <v>3.0</v>
      </c>
      <c r="B27" s="416" t="s">
        <v>1339</v>
      </c>
      <c r="C27" s="46" t="s">
        <v>106</v>
      </c>
      <c r="D27" s="78">
        <v>1.0</v>
      </c>
      <c r="E27" s="37"/>
      <c r="F27" s="78"/>
      <c r="G27" s="40"/>
      <c r="H27" s="40"/>
      <c r="I27" s="42"/>
      <c r="J27" s="43">
        <f t="shared" si="2"/>
        <v>1</v>
      </c>
      <c r="K27" s="40"/>
    </row>
    <row r="28" ht="19.5" customHeight="1">
      <c r="A28" s="46">
        <v>3.0</v>
      </c>
      <c r="B28" s="416" t="s">
        <v>1340</v>
      </c>
      <c r="C28" s="46" t="s">
        <v>106</v>
      </c>
      <c r="D28" s="78">
        <v>6.0</v>
      </c>
      <c r="E28" s="37"/>
      <c r="F28" s="78"/>
      <c r="G28" s="40"/>
      <c r="H28" s="40"/>
      <c r="I28" s="42"/>
      <c r="J28" s="43">
        <f t="shared" si="2"/>
        <v>6</v>
      </c>
      <c r="K28" s="40"/>
    </row>
    <row r="29" ht="19.5" customHeight="1">
      <c r="A29" s="46">
        <v>3.0</v>
      </c>
      <c r="B29" s="416" t="s">
        <v>1341</v>
      </c>
      <c r="C29" s="46" t="s">
        <v>1342</v>
      </c>
      <c r="D29" s="78">
        <v>1.0</v>
      </c>
      <c r="E29" s="37"/>
      <c r="F29" s="78"/>
      <c r="G29" s="40"/>
      <c r="H29" s="40"/>
      <c r="I29" s="42"/>
      <c r="J29" s="43">
        <f t="shared" si="2"/>
        <v>1</v>
      </c>
      <c r="K29" s="40"/>
    </row>
    <row r="30" ht="19.5" customHeight="1">
      <c r="A30" s="12"/>
      <c r="C30" s="12"/>
      <c r="D30" s="13"/>
      <c r="F30" s="14"/>
      <c r="G30" s="14"/>
      <c r="H30" s="14"/>
      <c r="I30" s="14"/>
      <c r="J30" s="14"/>
      <c r="K30" s="12"/>
    </row>
    <row r="31" ht="19.5" customHeight="1">
      <c r="A31" s="74" t="s">
        <v>1</v>
      </c>
      <c r="B31" s="74" t="s">
        <v>91</v>
      </c>
      <c r="C31" s="74" t="s">
        <v>92</v>
      </c>
      <c r="D31" s="74" t="s">
        <v>93</v>
      </c>
      <c r="E31" s="50" t="s">
        <v>97</v>
      </c>
      <c r="F31" s="53" t="s">
        <v>121</v>
      </c>
      <c r="G31" s="53" t="s">
        <v>99</v>
      </c>
      <c r="H31" s="53" t="s">
        <v>100</v>
      </c>
      <c r="I31" s="53" t="s">
        <v>101</v>
      </c>
      <c r="J31" s="53" t="s">
        <v>95</v>
      </c>
      <c r="K31" s="50" t="s">
        <v>96</v>
      </c>
    </row>
    <row r="32" ht="19.5" customHeight="1">
      <c r="A32" s="46">
        <v>1.0</v>
      </c>
      <c r="B32" s="37" t="s">
        <v>1343</v>
      </c>
      <c r="C32" s="46" t="s">
        <v>103</v>
      </c>
      <c r="D32" s="78">
        <v>1.0</v>
      </c>
      <c r="E32" s="37">
        <v>1.0</v>
      </c>
      <c r="F32" s="78">
        <v>1.0</v>
      </c>
      <c r="G32" s="40">
        <v>1.0</v>
      </c>
      <c r="H32" s="40">
        <v>1.0</v>
      </c>
      <c r="I32" s="42"/>
      <c r="J32" s="40"/>
      <c r="K32" s="46"/>
    </row>
    <row r="33" ht="19.5" customHeight="1">
      <c r="A33" s="46"/>
      <c r="B33" s="37"/>
      <c r="C33" s="46"/>
      <c r="D33" s="78"/>
      <c r="E33" s="37"/>
      <c r="F33" s="78"/>
      <c r="G33" s="40"/>
      <c r="H33" s="40"/>
      <c r="I33" s="42"/>
      <c r="J33" s="43">
        <f>SUM(H32:H33)</f>
        <v>1</v>
      </c>
      <c r="K33" s="46"/>
    </row>
    <row r="34" ht="19.5" customHeight="1">
      <c r="A34" s="12"/>
      <c r="C34" s="12"/>
      <c r="D34" s="13"/>
      <c r="F34" s="14"/>
      <c r="G34" s="14"/>
      <c r="H34" s="14"/>
      <c r="I34" s="14"/>
      <c r="J34" s="14"/>
      <c r="K34" s="12"/>
    </row>
    <row r="35" ht="19.5" customHeight="1">
      <c r="A35" s="74" t="s">
        <v>1</v>
      </c>
      <c r="B35" s="74" t="s">
        <v>91</v>
      </c>
      <c r="C35" s="74" t="s">
        <v>92</v>
      </c>
      <c r="D35" s="74" t="s">
        <v>93</v>
      </c>
      <c r="E35" s="50" t="s">
        <v>97</v>
      </c>
      <c r="F35" s="53" t="s">
        <v>121</v>
      </c>
      <c r="G35" s="53" t="s">
        <v>99</v>
      </c>
      <c r="H35" s="53" t="s">
        <v>100</v>
      </c>
      <c r="I35" s="53" t="s">
        <v>101</v>
      </c>
      <c r="J35" s="53" t="s">
        <v>95</v>
      </c>
      <c r="K35" s="50" t="s">
        <v>96</v>
      </c>
    </row>
    <row r="36" ht="19.5" customHeight="1">
      <c r="A36" s="46">
        <v>1.0</v>
      </c>
      <c r="B36" s="37" t="s">
        <v>1778</v>
      </c>
      <c r="C36" s="46" t="s">
        <v>103</v>
      </c>
      <c r="D36" s="78">
        <v>4.0</v>
      </c>
      <c r="E36" s="37">
        <v>1.0</v>
      </c>
      <c r="F36" s="78">
        <v>10.0</v>
      </c>
      <c r="G36" s="40">
        <v>10.0</v>
      </c>
      <c r="H36" s="40">
        <f>F36*E36*D36</f>
        <v>40</v>
      </c>
      <c r="I36" s="42"/>
      <c r="J36" s="327">
        <f>SUM(H36:H37)</f>
        <v>40</v>
      </c>
      <c r="K36" s="46"/>
    </row>
    <row r="37" ht="19.5" customHeight="1">
      <c r="A37" s="46"/>
      <c r="B37" s="37"/>
      <c r="C37" s="46"/>
      <c r="D37" s="78"/>
      <c r="E37" s="37"/>
      <c r="F37" s="78"/>
      <c r="G37" s="40"/>
      <c r="H37" s="40"/>
      <c r="I37" s="42"/>
      <c r="J37" s="32"/>
      <c r="K37" s="46"/>
    </row>
    <row r="38" ht="19.5" customHeight="1">
      <c r="A38" s="12"/>
      <c r="C38" s="12"/>
      <c r="D38" s="13"/>
      <c r="F38" s="14"/>
      <c r="G38" s="14"/>
      <c r="H38" s="14"/>
      <c r="I38" s="14"/>
      <c r="J38" s="14"/>
      <c r="K38" s="12"/>
    </row>
    <row r="39" ht="19.5" customHeight="1">
      <c r="A39" s="12"/>
      <c r="C39" s="12"/>
      <c r="D39" s="13"/>
      <c r="F39" s="14"/>
      <c r="G39" s="14"/>
      <c r="H39" s="14"/>
      <c r="I39" s="14"/>
      <c r="J39" s="14"/>
      <c r="K39" s="12"/>
    </row>
    <row r="40" ht="19.5" customHeight="1">
      <c r="A40" s="12"/>
      <c r="C40" s="12"/>
      <c r="D40" s="13"/>
      <c r="F40" s="14"/>
      <c r="G40" s="14"/>
      <c r="H40" s="14"/>
      <c r="I40" s="14"/>
      <c r="J40" s="14"/>
      <c r="K40" s="12"/>
    </row>
    <row r="41" ht="19.5" customHeight="1">
      <c r="A41" s="12"/>
      <c r="C41" s="12"/>
      <c r="D41" s="13"/>
      <c r="F41" s="14"/>
      <c r="G41" s="14"/>
      <c r="H41" s="14"/>
      <c r="I41" s="14"/>
      <c r="J41" s="14"/>
      <c r="K41" s="12"/>
    </row>
    <row r="42" ht="19.5" customHeight="1">
      <c r="A42" s="12"/>
      <c r="C42" s="12"/>
      <c r="D42" s="13"/>
      <c r="F42" s="14"/>
      <c r="G42" s="14"/>
      <c r="H42" s="14"/>
      <c r="I42" s="14"/>
      <c r="J42" s="14"/>
      <c r="K42" s="12"/>
    </row>
    <row r="43" ht="19.5" customHeight="1">
      <c r="A43" s="12"/>
      <c r="C43" s="12"/>
      <c r="D43" s="13"/>
      <c r="F43" s="14"/>
      <c r="G43" s="14"/>
      <c r="H43" s="14"/>
      <c r="I43" s="14"/>
      <c r="J43" s="14"/>
      <c r="K43" s="12"/>
    </row>
    <row r="44" ht="19.5" customHeight="1">
      <c r="A44" s="12"/>
      <c r="C44" s="12"/>
      <c r="D44" s="13"/>
      <c r="F44" s="14"/>
      <c r="G44" s="14"/>
      <c r="H44" s="14"/>
      <c r="I44" s="14"/>
      <c r="J44" s="14"/>
      <c r="K44" s="12"/>
    </row>
    <row r="45" ht="19.5" customHeight="1">
      <c r="A45" s="12"/>
      <c r="C45" s="12"/>
      <c r="D45" s="13"/>
      <c r="F45" s="14"/>
      <c r="G45" s="14"/>
      <c r="H45" s="14"/>
      <c r="I45" s="14"/>
      <c r="J45" s="14"/>
      <c r="K45" s="12"/>
    </row>
    <row r="46" ht="19.5" customHeight="1">
      <c r="A46" s="12"/>
      <c r="C46" s="12"/>
      <c r="D46" s="13"/>
      <c r="F46" s="14"/>
      <c r="G46" s="14"/>
      <c r="H46" s="14"/>
      <c r="I46" s="14"/>
      <c r="J46" s="14"/>
      <c r="K46" s="12"/>
    </row>
    <row r="47" ht="19.5" customHeight="1">
      <c r="A47" s="12"/>
      <c r="C47" s="12"/>
      <c r="D47" s="13"/>
      <c r="F47" s="14"/>
      <c r="G47" s="14"/>
      <c r="H47" s="14"/>
      <c r="I47" s="14"/>
      <c r="J47" s="14"/>
      <c r="K47" s="12"/>
    </row>
    <row r="48" ht="19.5" customHeight="1">
      <c r="A48" s="12"/>
      <c r="C48" s="12"/>
      <c r="D48" s="13"/>
      <c r="F48" s="14"/>
      <c r="G48" s="14"/>
      <c r="H48" s="14"/>
      <c r="I48" s="14"/>
      <c r="J48" s="14"/>
      <c r="K48" s="12"/>
    </row>
    <row r="49" ht="19.5" customHeight="1">
      <c r="A49" s="12"/>
      <c r="C49" s="12"/>
      <c r="D49" s="13"/>
      <c r="F49" s="14"/>
      <c r="G49" s="14"/>
      <c r="H49" s="14"/>
      <c r="I49" s="14"/>
      <c r="J49" s="14"/>
      <c r="K49" s="12"/>
    </row>
    <row r="50" ht="19.5" customHeight="1">
      <c r="A50" s="12"/>
      <c r="C50" s="12"/>
      <c r="D50" s="13"/>
      <c r="F50" s="14"/>
      <c r="G50" s="14"/>
      <c r="H50" s="14"/>
      <c r="I50" s="14"/>
      <c r="J50" s="14"/>
      <c r="K50" s="12"/>
    </row>
    <row r="51" ht="19.5" customHeight="1">
      <c r="A51" s="12"/>
      <c r="C51" s="12"/>
      <c r="D51" s="13"/>
      <c r="F51" s="14"/>
      <c r="G51" s="14"/>
      <c r="H51" s="14"/>
      <c r="I51" s="14"/>
      <c r="J51" s="14"/>
      <c r="K51" s="12"/>
    </row>
    <row r="52" ht="19.5" customHeight="1">
      <c r="A52" s="12"/>
      <c r="C52" s="12"/>
      <c r="D52" s="13"/>
      <c r="F52" s="14"/>
      <c r="G52" s="14"/>
      <c r="H52" s="14"/>
      <c r="I52" s="14"/>
      <c r="J52" s="14"/>
      <c r="K52" s="12"/>
    </row>
    <row r="53" ht="19.5" customHeight="1">
      <c r="A53" s="12"/>
      <c r="C53" s="12"/>
      <c r="D53" s="13"/>
      <c r="F53" s="14"/>
      <c r="G53" s="14"/>
      <c r="H53" s="14"/>
      <c r="I53" s="14"/>
      <c r="J53" s="14"/>
      <c r="K53" s="12"/>
    </row>
    <row r="54" ht="19.5" customHeight="1">
      <c r="A54" s="12"/>
      <c r="C54" s="12"/>
      <c r="D54" s="13"/>
      <c r="F54" s="14"/>
      <c r="G54" s="14"/>
      <c r="H54" s="14"/>
      <c r="I54" s="14"/>
      <c r="J54" s="14"/>
      <c r="K54" s="12"/>
    </row>
    <row r="55" ht="19.5" customHeight="1">
      <c r="A55" s="12"/>
      <c r="C55" s="12"/>
      <c r="D55" s="13"/>
      <c r="F55" s="14"/>
      <c r="G55" s="14"/>
      <c r="H55" s="14"/>
      <c r="I55" s="14"/>
      <c r="J55" s="14"/>
      <c r="K55" s="12"/>
    </row>
    <row r="56" ht="19.5" customHeight="1">
      <c r="A56" s="12"/>
      <c r="C56" s="12"/>
      <c r="D56" s="13"/>
      <c r="F56" s="14"/>
      <c r="G56" s="14"/>
      <c r="H56" s="14"/>
      <c r="I56" s="14"/>
      <c r="J56" s="14"/>
      <c r="K56" s="12"/>
    </row>
    <row r="57" ht="19.5" customHeight="1">
      <c r="A57" s="12"/>
      <c r="C57" s="12"/>
      <c r="D57" s="13"/>
      <c r="F57" s="14"/>
      <c r="G57" s="14"/>
      <c r="H57" s="14"/>
      <c r="I57" s="14"/>
      <c r="J57" s="14"/>
      <c r="K57" s="12"/>
    </row>
    <row r="58" ht="19.5" customHeight="1">
      <c r="A58" s="12"/>
      <c r="C58" s="12"/>
      <c r="D58" s="13"/>
      <c r="F58" s="14"/>
      <c r="G58" s="14"/>
      <c r="H58" s="14"/>
      <c r="I58" s="14"/>
      <c r="J58" s="14"/>
      <c r="K58" s="12"/>
    </row>
    <row r="59" ht="19.5" customHeight="1">
      <c r="A59" s="12"/>
      <c r="C59" s="12"/>
      <c r="D59" s="13"/>
      <c r="F59" s="14"/>
      <c r="G59" s="14"/>
      <c r="H59" s="14"/>
      <c r="I59" s="14"/>
      <c r="J59" s="14"/>
      <c r="K59" s="12"/>
    </row>
    <row r="60" ht="19.5" customHeight="1">
      <c r="A60" s="12"/>
      <c r="C60" s="12"/>
      <c r="D60" s="13"/>
      <c r="F60" s="14"/>
      <c r="G60" s="14"/>
      <c r="H60" s="14"/>
      <c r="I60" s="14"/>
      <c r="J60" s="14"/>
      <c r="K60" s="12"/>
    </row>
    <row r="61" ht="19.5" customHeight="1">
      <c r="A61" s="12"/>
      <c r="C61" s="12"/>
      <c r="D61" s="13"/>
      <c r="F61" s="14"/>
      <c r="G61" s="14"/>
      <c r="H61" s="14"/>
      <c r="I61" s="14"/>
      <c r="J61" s="14"/>
      <c r="K61" s="12"/>
    </row>
    <row r="62" ht="19.5" customHeight="1">
      <c r="A62" s="12"/>
      <c r="C62" s="12"/>
      <c r="D62" s="13"/>
      <c r="F62" s="14"/>
      <c r="G62" s="14"/>
      <c r="H62" s="14"/>
      <c r="I62" s="14"/>
      <c r="J62" s="14"/>
      <c r="K62" s="12"/>
    </row>
    <row r="63" ht="19.5" customHeight="1">
      <c r="A63" s="12"/>
      <c r="C63" s="12"/>
      <c r="D63" s="13"/>
      <c r="F63" s="14"/>
      <c r="G63" s="14"/>
      <c r="H63" s="14"/>
      <c r="I63" s="14"/>
      <c r="J63" s="14"/>
      <c r="K63" s="12"/>
    </row>
    <row r="64" ht="19.5" customHeight="1">
      <c r="A64" s="12"/>
      <c r="C64" s="12"/>
      <c r="D64" s="13"/>
      <c r="F64" s="14"/>
      <c r="G64" s="14"/>
      <c r="H64" s="14"/>
      <c r="I64" s="14"/>
      <c r="J64" s="14"/>
      <c r="K64" s="12"/>
    </row>
    <row r="65" ht="19.5" customHeight="1">
      <c r="A65" s="12"/>
      <c r="C65" s="12"/>
      <c r="D65" s="13"/>
      <c r="F65" s="14"/>
      <c r="G65" s="14"/>
      <c r="H65" s="14"/>
      <c r="I65" s="14"/>
      <c r="J65" s="14"/>
      <c r="K65" s="12"/>
    </row>
    <row r="66" ht="19.5" customHeight="1">
      <c r="A66" s="12"/>
      <c r="C66" s="12"/>
      <c r="D66" s="13"/>
      <c r="F66" s="14"/>
      <c r="G66" s="14"/>
      <c r="H66" s="14"/>
      <c r="I66" s="14"/>
      <c r="J66" s="14"/>
      <c r="K66" s="12"/>
    </row>
    <row r="67" ht="19.5" customHeight="1">
      <c r="A67" s="12"/>
      <c r="C67" s="12"/>
      <c r="D67" s="13"/>
      <c r="F67" s="14"/>
      <c r="G67" s="14"/>
      <c r="H67" s="14"/>
      <c r="I67" s="14"/>
      <c r="J67" s="14"/>
      <c r="K67" s="12"/>
    </row>
    <row r="68" ht="19.5" customHeight="1">
      <c r="A68" s="12"/>
      <c r="C68" s="12"/>
      <c r="D68" s="13"/>
      <c r="F68" s="14"/>
      <c r="G68" s="14"/>
      <c r="H68" s="14"/>
      <c r="I68" s="14"/>
      <c r="J68" s="14"/>
      <c r="K68" s="12"/>
    </row>
    <row r="69" ht="19.5" customHeight="1">
      <c r="A69" s="12"/>
      <c r="C69" s="12"/>
      <c r="D69" s="13"/>
      <c r="F69" s="14"/>
      <c r="G69" s="14"/>
      <c r="H69" s="14"/>
      <c r="I69" s="14"/>
      <c r="J69" s="14"/>
      <c r="K69" s="12"/>
    </row>
    <row r="70" ht="19.5" customHeight="1">
      <c r="A70" s="12"/>
      <c r="C70" s="12"/>
      <c r="D70" s="13"/>
      <c r="F70" s="14"/>
      <c r="G70" s="14"/>
      <c r="H70" s="14"/>
      <c r="I70" s="14"/>
      <c r="J70" s="14"/>
      <c r="K70" s="12"/>
    </row>
    <row r="71" ht="19.5" customHeight="1">
      <c r="A71" s="12"/>
      <c r="C71" s="12"/>
      <c r="D71" s="13"/>
      <c r="F71" s="14"/>
      <c r="G71" s="14"/>
      <c r="H71" s="14"/>
      <c r="I71" s="14"/>
      <c r="J71" s="14"/>
      <c r="K71" s="12"/>
    </row>
    <row r="72" ht="19.5" customHeight="1">
      <c r="A72" s="12"/>
      <c r="C72" s="12"/>
      <c r="D72" s="13"/>
      <c r="F72" s="14"/>
      <c r="G72" s="14"/>
      <c r="H72" s="14"/>
      <c r="I72" s="14"/>
      <c r="J72" s="14"/>
      <c r="K72" s="12"/>
    </row>
    <row r="73" ht="19.5" customHeight="1">
      <c r="A73" s="12"/>
      <c r="C73" s="12"/>
      <c r="D73" s="13"/>
      <c r="F73" s="14"/>
      <c r="G73" s="14"/>
      <c r="H73" s="14"/>
      <c r="I73" s="14"/>
      <c r="J73" s="14"/>
      <c r="K73" s="12"/>
    </row>
    <row r="74" ht="19.5" customHeight="1">
      <c r="A74" s="12"/>
      <c r="C74" s="12"/>
      <c r="D74" s="13"/>
      <c r="F74" s="14"/>
      <c r="G74" s="14"/>
      <c r="H74" s="14"/>
      <c r="I74" s="14"/>
      <c r="J74" s="14"/>
      <c r="K74" s="12"/>
    </row>
    <row r="75" ht="19.5" customHeight="1">
      <c r="A75" s="12"/>
      <c r="C75" s="12"/>
      <c r="D75" s="13"/>
      <c r="F75" s="14"/>
      <c r="G75" s="14"/>
      <c r="H75" s="14"/>
      <c r="I75" s="14"/>
      <c r="J75" s="14"/>
      <c r="K75" s="12"/>
    </row>
    <row r="76" ht="19.5" customHeight="1">
      <c r="A76" s="12"/>
      <c r="C76" s="12"/>
      <c r="D76" s="13"/>
      <c r="F76" s="14"/>
      <c r="G76" s="14"/>
      <c r="H76" s="14"/>
      <c r="I76" s="14"/>
      <c r="J76" s="14"/>
      <c r="K76" s="12"/>
    </row>
    <row r="77" ht="19.5" customHeight="1">
      <c r="A77" s="12"/>
      <c r="C77" s="12"/>
      <c r="D77" s="13"/>
      <c r="F77" s="14"/>
      <c r="G77" s="14"/>
      <c r="H77" s="14"/>
      <c r="I77" s="14"/>
      <c r="J77" s="14"/>
      <c r="K77" s="12"/>
    </row>
    <row r="78" ht="19.5" customHeight="1">
      <c r="A78" s="12"/>
      <c r="C78" s="12"/>
      <c r="D78" s="13"/>
      <c r="F78" s="14"/>
      <c r="G78" s="14"/>
      <c r="H78" s="14"/>
      <c r="I78" s="14"/>
      <c r="J78" s="14"/>
      <c r="K78" s="12"/>
    </row>
    <row r="79" ht="19.5" customHeight="1">
      <c r="A79" s="12"/>
      <c r="C79" s="12"/>
      <c r="D79" s="13"/>
      <c r="F79" s="14"/>
      <c r="G79" s="14"/>
      <c r="H79" s="14"/>
      <c r="I79" s="14"/>
      <c r="J79" s="14"/>
      <c r="K79" s="12"/>
    </row>
    <row r="80" ht="19.5" customHeight="1">
      <c r="A80" s="12"/>
      <c r="C80" s="12"/>
      <c r="D80" s="13"/>
      <c r="F80" s="14"/>
      <c r="G80" s="14"/>
      <c r="H80" s="14"/>
      <c r="I80" s="14"/>
      <c r="J80" s="14"/>
      <c r="K80" s="12"/>
    </row>
    <row r="81" ht="19.5" customHeight="1">
      <c r="A81" s="12"/>
      <c r="C81" s="12"/>
      <c r="D81" s="13"/>
      <c r="F81" s="14"/>
      <c r="G81" s="14"/>
      <c r="H81" s="14"/>
      <c r="I81" s="14"/>
      <c r="J81" s="14"/>
      <c r="K81" s="12"/>
    </row>
    <row r="82" ht="19.5" customHeight="1">
      <c r="A82" s="12"/>
      <c r="C82" s="12"/>
      <c r="D82" s="13"/>
      <c r="F82" s="14"/>
      <c r="G82" s="14"/>
      <c r="H82" s="14"/>
      <c r="I82" s="14"/>
      <c r="J82" s="14"/>
      <c r="K82" s="12"/>
    </row>
    <row r="83" ht="19.5" customHeight="1">
      <c r="A83" s="12"/>
      <c r="C83" s="12"/>
      <c r="D83" s="13"/>
      <c r="F83" s="14"/>
      <c r="G83" s="14"/>
      <c r="H83" s="14"/>
      <c r="I83" s="14"/>
      <c r="J83" s="14"/>
      <c r="K83" s="12"/>
    </row>
    <row r="84" ht="19.5" customHeight="1">
      <c r="A84" s="12"/>
      <c r="C84" s="12"/>
      <c r="D84" s="13"/>
      <c r="F84" s="14"/>
      <c r="G84" s="14"/>
      <c r="H84" s="14"/>
      <c r="I84" s="14"/>
      <c r="J84" s="14"/>
      <c r="K84" s="12"/>
    </row>
    <row r="85" ht="19.5" customHeight="1">
      <c r="A85" s="12"/>
      <c r="C85" s="12"/>
      <c r="D85" s="13"/>
      <c r="F85" s="14"/>
      <c r="G85" s="14"/>
      <c r="H85" s="14"/>
      <c r="I85" s="14"/>
      <c r="J85" s="14"/>
      <c r="K85" s="12"/>
    </row>
    <row r="86" ht="19.5" customHeight="1">
      <c r="A86" s="12"/>
      <c r="C86" s="12"/>
      <c r="D86" s="13"/>
      <c r="F86" s="14"/>
      <c r="G86" s="14"/>
      <c r="H86" s="14"/>
      <c r="I86" s="14"/>
      <c r="J86" s="14"/>
      <c r="K86" s="12"/>
    </row>
    <row r="87" ht="19.5" customHeight="1">
      <c r="A87" s="12"/>
      <c r="C87" s="12"/>
      <c r="D87" s="13"/>
      <c r="F87" s="14"/>
      <c r="G87" s="14"/>
      <c r="H87" s="14"/>
      <c r="I87" s="14"/>
      <c r="J87" s="14"/>
      <c r="K87" s="12"/>
    </row>
    <row r="88" ht="19.5" customHeight="1">
      <c r="A88" s="12"/>
      <c r="C88" s="12"/>
      <c r="D88" s="13"/>
      <c r="F88" s="14"/>
      <c r="G88" s="14"/>
      <c r="H88" s="14"/>
      <c r="I88" s="14"/>
      <c r="J88" s="14"/>
      <c r="K88" s="12"/>
    </row>
    <row r="89" ht="19.5" customHeight="1">
      <c r="A89" s="12"/>
      <c r="C89" s="12"/>
      <c r="D89" s="13"/>
      <c r="F89" s="14"/>
      <c r="G89" s="14"/>
      <c r="H89" s="14"/>
      <c r="I89" s="14"/>
      <c r="J89" s="14"/>
      <c r="K89" s="12"/>
    </row>
    <row r="90" ht="19.5" customHeight="1">
      <c r="A90" s="12"/>
      <c r="C90" s="12"/>
      <c r="D90" s="13"/>
      <c r="F90" s="14"/>
      <c r="G90" s="14"/>
      <c r="H90" s="14"/>
      <c r="I90" s="14"/>
      <c r="J90" s="14"/>
      <c r="K90" s="12"/>
    </row>
    <row r="91" ht="19.5" customHeight="1">
      <c r="A91" s="12"/>
      <c r="C91" s="12"/>
      <c r="D91" s="13"/>
      <c r="F91" s="14"/>
      <c r="G91" s="14"/>
      <c r="H91" s="14"/>
      <c r="I91" s="14"/>
      <c r="J91" s="14"/>
      <c r="K91" s="12"/>
    </row>
    <row r="92" ht="19.5" customHeight="1">
      <c r="A92" s="12"/>
      <c r="C92" s="12"/>
      <c r="D92" s="13"/>
      <c r="F92" s="14"/>
      <c r="G92" s="14"/>
      <c r="H92" s="14"/>
      <c r="I92" s="14"/>
      <c r="J92" s="14"/>
      <c r="K92" s="12"/>
    </row>
    <row r="93" ht="19.5" customHeight="1">
      <c r="A93" s="12"/>
      <c r="C93" s="12"/>
      <c r="D93" s="13"/>
      <c r="F93" s="14"/>
      <c r="G93" s="14"/>
      <c r="H93" s="14"/>
      <c r="I93" s="14"/>
      <c r="J93" s="14"/>
      <c r="K93" s="12"/>
    </row>
    <row r="94" ht="19.5" customHeight="1">
      <c r="A94" s="12"/>
      <c r="C94" s="12"/>
      <c r="D94" s="13"/>
      <c r="F94" s="14"/>
      <c r="G94" s="14"/>
      <c r="H94" s="14"/>
      <c r="I94" s="14"/>
      <c r="J94" s="14"/>
      <c r="K94" s="12"/>
    </row>
    <row r="95" ht="19.5" customHeight="1">
      <c r="A95" s="12"/>
      <c r="C95" s="12"/>
      <c r="D95" s="13"/>
      <c r="F95" s="14"/>
      <c r="G95" s="14"/>
      <c r="H95" s="14"/>
      <c r="I95" s="14"/>
      <c r="J95" s="14"/>
      <c r="K95" s="12"/>
    </row>
    <row r="96" ht="19.5" customHeight="1">
      <c r="A96" s="12"/>
      <c r="C96" s="12"/>
      <c r="D96" s="13"/>
      <c r="F96" s="14"/>
      <c r="G96" s="14"/>
      <c r="H96" s="14"/>
      <c r="I96" s="14"/>
      <c r="J96" s="14"/>
      <c r="K96" s="12"/>
    </row>
    <row r="97" ht="19.5" customHeight="1">
      <c r="A97" s="12"/>
      <c r="C97" s="12"/>
      <c r="D97" s="13"/>
      <c r="F97" s="14"/>
      <c r="G97" s="14"/>
      <c r="H97" s="14"/>
      <c r="I97" s="14"/>
      <c r="J97" s="14"/>
      <c r="K97" s="12"/>
    </row>
    <row r="98" ht="19.5" customHeight="1">
      <c r="A98" s="12"/>
      <c r="C98" s="12"/>
      <c r="D98" s="13"/>
      <c r="F98" s="14"/>
      <c r="G98" s="14"/>
      <c r="H98" s="14"/>
      <c r="I98" s="14"/>
      <c r="J98" s="14"/>
      <c r="K98" s="12"/>
    </row>
    <row r="99" ht="19.5" customHeight="1">
      <c r="A99" s="12"/>
      <c r="C99" s="12"/>
      <c r="D99" s="13"/>
      <c r="F99" s="14"/>
      <c r="G99" s="14"/>
      <c r="H99" s="14"/>
      <c r="I99" s="14"/>
      <c r="J99" s="14"/>
      <c r="K99" s="12"/>
    </row>
    <row r="100" ht="19.5" customHeight="1">
      <c r="A100" s="12"/>
      <c r="C100" s="12"/>
      <c r="D100" s="13"/>
      <c r="F100" s="14"/>
      <c r="G100" s="14"/>
      <c r="H100" s="14"/>
      <c r="I100" s="14"/>
      <c r="J100" s="14"/>
      <c r="K100" s="12"/>
    </row>
    <row r="101" ht="19.5" customHeight="1">
      <c r="A101" s="12"/>
      <c r="C101" s="12"/>
      <c r="D101" s="13"/>
      <c r="F101" s="14"/>
      <c r="G101" s="14"/>
      <c r="H101" s="14"/>
      <c r="I101" s="14"/>
      <c r="J101" s="14"/>
      <c r="K101" s="12"/>
    </row>
    <row r="102" ht="19.5" customHeight="1">
      <c r="A102" s="12"/>
      <c r="C102" s="12"/>
      <c r="D102" s="13"/>
      <c r="F102" s="14"/>
      <c r="G102" s="14"/>
      <c r="H102" s="14"/>
      <c r="I102" s="14"/>
      <c r="J102" s="14"/>
      <c r="K102" s="12"/>
    </row>
    <row r="103" ht="19.5" customHeight="1">
      <c r="A103" s="12"/>
      <c r="C103" s="12"/>
      <c r="D103" s="13"/>
      <c r="F103" s="14"/>
      <c r="G103" s="14"/>
      <c r="H103" s="14"/>
      <c r="I103" s="14"/>
      <c r="J103" s="14"/>
      <c r="K103" s="12"/>
    </row>
    <row r="104" ht="19.5" customHeight="1">
      <c r="A104" s="12"/>
      <c r="C104" s="12"/>
      <c r="D104" s="13"/>
      <c r="F104" s="14"/>
      <c r="G104" s="14"/>
      <c r="H104" s="14"/>
      <c r="I104" s="14"/>
      <c r="J104" s="14"/>
      <c r="K104" s="12"/>
    </row>
    <row r="105" ht="19.5" customHeight="1">
      <c r="A105" s="12"/>
      <c r="C105" s="12"/>
      <c r="D105" s="13"/>
      <c r="F105" s="14"/>
      <c r="G105" s="14"/>
      <c r="H105" s="14"/>
      <c r="I105" s="14"/>
      <c r="J105" s="14"/>
      <c r="K105" s="12"/>
    </row>
    <row r="106" ht="19.5" customHeight="1">
      <c r="A106" s="12"/>
      <c r="C106" s="12"/>
      <c r="D106" s="13"/>
      <c r="F106" s="14"/>
      <c r="G106" s="14"/>
      <c r="H106" s="14"/>
      <c r="I106" s="14"/>
      <c r="J106" s="14"/>
      <c r="K106" s="12"/>
    </row>
    <row r="107" ht="19.5" customHeight="1">
      <c r="A107" s="12"/>
      <c r="C107" s="12"/>
      <c r="D107" s="13"/>
      <c r="F107" s="14"/>
      <c r="G107" s="14"/>
      <c r="H107" s="14"/>
      <c r="I107" s="14"/>
      <c r="J107" s="14"/>
      <c r="K107" s="12"/>
    </row>
    <row r="108" ht="19.5" customHeight="1">
      <c r="A108" s="12"/>
      <c r="C108" s="12"/>
      <c r="D108" s="13"/>
      <c r="F108" s="14"/>
      <c r="G108" s="14"/>
      <c r="H108" s="14"/>
      <c r="I108" s="14"/>
      <c r="J108" s="14"/>
      <c r="K108" s="12"/>
    </row>
    <row r="109" ht="19.5" customHeight="1">
      <c r="A109" s="12"/>
      <c r="C109" s="12"/>
      <c r="D109" s="13"/>
      <c r="F109" s="14"/>
      <c r="G109" s="14"/>
      <c r="H109" s="14"/>
      <c r="I109" s="14"/>
      <c r="J109" s="14"/>
      <c r="K109" s="12"/>
    </row>
    <row r="110" ht="19.5" customHeight="1">
      <c r="A110" s="12"/>
      <c r="C110" s="12"/>
      <c r="D110" s="13"/>
      <c r="F110" s="14"/>
      <c r="G110" s="14"/>
      <c r="H110" s="14"/>
      <c r="I110" s="14"/>
      <c r="J110" s="14"/>
      <c r="K110" s="12"/>
    </row>
    <row r="111" ht="19.5" customHeight="1">
      <c r="A111" s="12"/>
      <c r="C111" s="12"/>
      <c r="D111" s="13"/>
      <c r="F111" s="14"/>
      <c r="G111" s="14"/>
      <c r="H111" s="14"/>
      <c r="I111" s="14"/>
      <c r="J111" s="14"/>
      <c r="K111" s="12"/>
    </row>
    <row r="112" ht="19.5" customHeight="1">
      <c r="A112" s="12"/>
      <c r="C112" s="12"/>
      <c r="D112" s="13"/>
      <c r="F112" s="14"/>
      <c r="G112" s="14"/>
      <c r="H112" s="14"/>
      <c r="I112" s="14"/>
      <c r="J112" s="14"/>
      <c r="K112" s="12"/>
    </row>
    <row r="113" ht="19.5" customHeight="1">
      <c r="A113" s="12"/>
      <c r="C113" s="12"/>
      <c r="D113" s="13"/>
      <c r="F113" s="14"/>
      <c r="G113" s="14"/>
      <c r="H113" s="14"/>
      <c r="I113" s="14"/>
      <c r="J113" s="14"/>
      <c r="K113" s="12"/>
    </row>
    <row r="114" ht="19.5" customHeight="1">
      <c r="A114" s="12"/>
      <c r="C114" s="12"/>
      <c r="D114" s="13"/>
      <c r="F114" s="14"/>
      <c r="G114" s="14"/>
      <c r="H114" s="14"/>
      <c r="I114" s="14"/>
      <c r="J114" s="14"/>
      <c r="K114" s="12"/>
    </row>
    <row r="115" ht="19.5" customHeight="1">
      <c r="A115" s="12"/>
      <c r="C115" s="12"/>
      <c r="D115" s="13"/>
      <c r="F115" s="14"/>
      <c r="G115" s="14"/>
      <c r="H115" s="14"/>
      <c r="I115" s="14"/>
      <c r="J115" s="14"/>
      <c r="K115" s="12"/>
    </row>
    <row r="116" ht="19.5" customHeight="1">
      <c r="A116" s="12"/>
      <c r="C116" s="12"/>
      <c r="D116" s="13"/>
      <c r="F116" s="14"/>
      <c r="G116" s="14"/>
      <c r="H116" s="14"/>
      <c r="I116" s="14"/>
      <c r="J116" s="14"/>
      <c r="K116" s="12"/>
    </row>
    <row r="117" ht="19.5" customHeight="1">
      <c r="A117" s="12"/>
      <c r="C117" s="12"/>
      <c r="D117" s="13"/>
      <c r="F117" s="14"/>
      <c r="G117" s="14"/>
      <c r="H117" s="14"/>
      <c r="I117" s="14"/>
      <c r="J117" s="14"/>
      <c r="K117" s="12"/>
    </row>
    <row r="118" ht="19.5" customHeight="1">
      <c r="A118" s="12"/>
      <c r="C118" s="12"/>
      <c r="D118" s="13"/>
      <c r="F118" s="14"/>
      <c r="G118" s="14"/>
      <c r="H118" s="14"/>
      <c r="I118" s="14"/>
      <c r="J118" s="14"/>
      <c r="K118" s="12"/>
    </row>
    <row r="119" ht="19.5" customHeight="1">
      <c r="A119" s="12"/>
      <c r="C119" s="12"/>
      <c r="D119" s="13"/>
      <c r="F119" s="14"/>
      <c r="G119" s="14"/>
      <c r="H119" s="14"/>
      <c r="I119" s="14"/>
      <c r="J119" s="14"/>
      <c r="K119" s="12"/>
    </row>
    <row r="120" ht="19.5" customHeight="1">
      <c r="A120" s="12"/>
      <c r="C120" s="12"/>
      <c r="D120" s="13"/>
      <c r="F120" s="14"/>
      <c r="G120" s="14"/>
      <c r="H120" s="14"/>
      <c r="I120" s="14"/>
      <c r="J120" s="14"/>
      <c r="K120" s="12"/>
    </row>
    <row r="121" ht="19.5" customHeight="1">
      <c r="A121" s="12"/>
      <c r="C121" s="12"/>
      <c r="D121" s="13"/>
      <c r="F121" s="14"/>
      <c r="G121" s="14"/>
      <c r="H121" s="14"/>
      <c r="I121" s="14"/>
      <c r="J121" s="14"/>
      <c r="K121" s="12"/>
    </row>
    <row r="122" ht="19.5" customHeight="1">
      <c r="A122" s="12"/>
      <c r="C122" s="12"/>
      <c r="D122" s="13"/>
      <c r="F122" s="14"/>
      <c r="G122" s="14"/>
      <c r="H122" s="14"/>
      <c r="I122" s="14"/>
      <c r="J122" s="14"/>
      <c r="K122" s="12"/>
    </row>
    <row r="123" ht="19.5" customHeight="1">
      <c r="A123" s="12"/>
      <c r="C123" s="12"/>
      <c r="D123" s="13"/>
      <c r="F123" s="14"/>
      <c r="G123" s="14"/>
      <c r="H123" s="14"/>
      <c r="I123" s="14"/>
      <c r="J123" s="14"/>
      <c r="K123" s="12"/>
    </row>
    <row r="124" ht="19.5" customHeight="1">
      <c r="A124" s="12"/>
      <c r="C124" s="12"/>
      <c r="D124" s="13"/>
      <c r="F124" s="14"/>
      <c r="G124" s="14"/>
      <c r="H124" s="14"/>
      <c r="I124" s="14"/>
      <c r="J124" s="14"/>
      <c r="K124" s="12"/>
    </row>
    <row r="125" ht="19.5" customHeight="1">
      <c r="A125" s="12"/>
      <c r="C125" s="12"/>
      <c r="D125" s="13"/>
      <c r="F125" s="14"/>
      <c r="G125" s="14"/>
      <c r="H125" s="14"/>
      <c r="I125" s="14"/>
      <c r="J125" s="14"/>
      <c r="K125" s="12"/>
    </row>
    <row r="126" ht="19.5" customHeight="1">
      <c r="A126" s="12"/>
      <c r="C126" s="12"/>
      <c r="D126" s="13"/>
      <c r="F126" s="14"/>
      <c r="G126" s="14"/>
      <c r="H126" s="14"/>
      <c r="I126" s="14"/>
      <c r="J126" s="14"/>
      <c r="K126" s="12"/>
    </row>
    <row r="127" ht="19.5" customHeight="1">
      <c r="A127" s="12"/>
      <c r="C127" s="12"/>
      <c r="D127" s="13"/>
      <c r="F127" s="14"/>
      <c r="G127" s="14"/>
      <c r="H127" s="14"/>
      <c r="I127" s="14"/>
      <c r="J127" s="14"/>
      <c r="K127" s="12"/>
    </row>
    <row r="128" ht="19.5" customHeight="1">
      <c r="A128" s="12"/>
      <c r="C128" s="12"/>
      <c r="D128" s="13"/>
      <c r="F128" s="14"/>
      <c r="G128" s="14"/>
      <c r="H128" s="14"/>
      <c r="I128" s="14"/>
      <c r="J128" s="14"/>
      <c r="K128" s="12"/>
    </row>
    <row r="129" ht="19.5" customHeight="1">
      <c r="A129" s="12"/>
      <c r="C129" s="12"/>
      <c r="D129" s="13"/>
      <c r="F129" s="14"/>
      <c r="G129" s="14"/>
      <c r="H129" s="14"/>
      <c r="I129" s="14"/>
      <c r="J129" s="14"/>
      <c r="K129" s="12"/>
    </row>
    <row r="130" ht="19.5" customHeight="1">
      <c r="A130" s="12"/>
      <c r="C130" s="12"/>
      <c r="D130" s="13"/>
      <c r="F130" s="14"/>
      <c r="G130" s="14"/>
      <c r="H130" s="14"/>
      <c r="I130" s="14"/>
      <c r="J130" s="14"/>
      <c r="K130" s="12"/>
    </row>
    <row r="131" ht="19.5" customHeight="1">
      <c r="A131" s="12"/>
      <c r="C131" s="12"/>
      <c r="D131" s="13"/>
      <c r="F131" s="14"/>
      <c r="G131" s="14"/>
      <c r="H131" s="14"/>
      <c r="I131" s="14"/>
      <c r="J131" s="14"/>
      <c r="K131" s="12"/>
    </row>
    <row r="132" ht="19.5" customHeight="1">
      <c r="A132" s="12"/>
      <c r="C132" s="12"/>
      <c r="D132" s="13"/>
      <c r="F132" s="14"/>
      <c r="G132" s="14"/>
      <c r="H132" s="14"/>
      <c r="I132" s="14"/>
      <c r="J132" s="14"/>
      <c r="K132" s="12"/>
    </row>
    <row r="133" ht="19.5" customHeight="1">
      <c r="A133" s="12"/>
      <c r="C133" s="12"/>
      <c r="D133" s="13"/>
      <c r="F133" s="14"/>
      <c r="G133" s="14"/>
      <c r="H133" s="14"/>
      <c r="I133" s="14"/>
      <c r="J133" s="14"/>
      <c r="K133" s="12"/>
    </row>
    <row r="134" ht="19.5" customHeight="1">
      <c r="A134" s="12"/>
      <c r="C134" s="12"/>
      <c r="D134" s="13"/>
      <c r="F134" s="14"/>
      <c r="G134" s="14"/>
      <c r="H134" s="14"/>
      <c r="I134" s="14"/>
      <c r="J134" s="14"/>
      <c r="K134" s="12"/>
    </row>
    <row r="135" ht="19.5" customHeight="1">
      <c r="A135" s="12"/>
      <c r="C135" s="12"/>
      <c r="D135" s="13"/>
      <c r="F135" s="14"/>
      <c r="G135" s="14"/>
      <c r="H135" s="14"/>
      <c r="I135" s="14"/>
      <c r="J135" s="14"/>
      <c r="K135" s="12"/>
    </row>
    <row r="136" ht="19.5" customHeight="1">
      <c r="A136" s="12"/>
      <c r="C136" s="12"/>
      <c r="D136" s="13"/>
      <c r="F136" s="14"/>
      <c r="G136" s="14"/>
      <c r="H136" s="14"/>
      <c r="I136" s="14"/>
      <c r="J136" s="14"/>
      <c r="K136" s="12"/>
    </row>
    <row r="137" ht="19.5" customHeight="1">
      <c r="A137" s="12"/>
      <c r="C137" s="12"/>
      <c r="D137" s="13"/>
      <c r="F137" s="14"/>
      <c r="G137" s="14"/>
      <c r="H137" s="14"/>
      <c r="I137" s="14"/>
      <c r="J137" s="14"/>
      <c r="K137" s="12"/>
    </row>
    <row r="138" ht="19.5" customHeight="1">
      <c r="A138" s="12"/>
      <c r="C138" s="12"/>
      <c r="D138" s="13"/>
      <c r="F138" s="14"/>
      <c r="G138" s="14"/>
      <c r="H138" s="14"/>
      <c r="I138" s="14"/>
      <c r="J138" s="14"/>
      <c r="K138" s="12"/>
    </row>
    <row r="139" ht="19.5" customHeight="1">
      <c r="A139" s="12"/>
      <c r="C139" s="12"/>
      <c r="D139" s="13"/>
      <c r="F139" s="14"/>
      <c r="G139" s="14"/>
      <c r="H139" s="14"/>
      <c r="I139" s="14"/>
      <c r="J139" s="14"/>
      <c r="K139" s="12"/>
    </row>
    <row r="140" ht="19.5" customHeight="1">
      <c r="A140" s="12"/>
      <c r="C140" s="12"/>
      <c r="D140" s="13"/>
      <c r="F140" s="14"/>
      <c r="G140" s="14"/>
      <c r="H140" s="14"/>
      <c r="I140" s="14"/>
      <c r="J140" s="14"/>
      <c r="K140" s="12"/>
    </row>
    <row r="141" ht="19.5" customHeight="1">
      <c r="A141" s="12"/>
      <c r="C141" s="12"/>
      <c r="D141" s="13"/>
      <c r="F141" s="14"/>
      <c r="G141" s="14"/>
      <c r="H141" s="14"/>
      <c r="I141" s="14"/>
      <c r="J141" s="14"/>
      <c r="K141" s="12"/>
    </row>
    <row r="142" ht="19.5" customHeight="1">
      <c r="A142" s="12"/>
      <c r="C142" s="12"/>
      <c r="D142" s="13"/>
      <c r="F142" s="14"/>
      <c r="G142" s="14"/>
      <c r="H142" s="14"/>
      <c r="I142" s="14"/>
      <c r="J142" s="14"/>
      <c r="K142" s="12"/>
    </row>
    <row r="143" ht="19.5" customHeight="1">
      <c r="A143" s="12"/>
      <c r="C143" s="12"/>
      <c r="D143" s="13"/>
      <c r="F143" s="14"/>
      <c r="G143" s="14"/>
      <c r="H143" s="14"/>
      <c r="I143" s="14"/>
      <c r="J143" s="14"/>
      <c r="K143" s="12"/>
    </row>
    <row r="144" ht="19.5" customHeight="1">
      <c r="A144" s="12"/>
      <c r="C144" s="12"/>
      <c r="D144" s="13"/>
      <c r="F144" s="14"/>
      <c r="G144" s="14"/>
      <c r="H144" s="14"/>
      <c r="I144" s="14"/>
      <c r="J144" s="14"/>
      <c r="K144" s="12"/>
    </row>
    <row r="145" ht="19.5" customHeight="1">
      <c r="A145" s="12"/>
      <c r="C145" s="12"/>
      <c r="D145" s="13"/>
      <c r="F145" s="14"/>
      <c r="G145" s="14"/>
      <c r="H145" s="14"/>
      <c r="I145" s="14"/>
      <c r="J145" s="14"/>
      <c r="K145" s="12"/>
    </row>
    <row r="146" ht="19.5" customHeight="1">
      <c r="A146" s="12"/>
      <c r="C146" s="12"/>
      <c r="D146" s="13"/>
      <c r="F146" s="14"/>
      <c r="G146" s="14"/>
      <c r="H146" s="14"/>
      <c r="I146" s="14"/>
      <c r="J146" s="14"/>
      <c r="K146" s="12"/>
    </row>
    <row r="147" ht="19.5" customHeight="1">
      <c r="A147" s="12"/>
      <c r="C147" s="12"/>
      <c r="D147" s="13"/>
      <c r="F147" s="14"/>
      <c r="G147" s="14"/>
      <c r="H147" s="14"/>
      <c r="I147" s="14"/>
      <c r="J147" s="14"/>
      <c r="K147" s="12"/>
    </row>
    <row r="148" ht="19.5" customHeight="1">
      <c r="A148" s="12"/>
      <c r="C148" s="12"/>
      <c r="D148" s="13"/>
      <c r="F148" s="14"/>
      <c r="G148" s="14"/>
      <c r="H148" s="14"/>
      <c r="I148" s="14"/>
      <c r="J148" s="14"/>
      <c r="K148" s="12"/>
    </row>
    <row r="149" ht="19.5" customHeight="1">
      <c r="A149" s="12"/>
      <c r="C149" s="12"/>
      <c r="D149" s="13"/>
      <c r="F149" s="14"/>
      <c r="G149" s="14"/>
      <c r="H149" s="14"/>
      <c r="I149" s="14"/>
      <c r="J149" s="14"/>
      <c r="K149" s="12"/>
    </row>
    <row r="150" ht="19.5" customHeight="1">
      <c r="A150" s="12"/>
      <c r="C150" s="12"/>
      <c r="D150" s="13"/>
      <c r="F150" s="14"/>
      <c r="G150" s="14"/>
      <c r="H150" s="14"/>
      <c r="I150" s="14"/>
      <c r="J150" s="14"/>
      <c r="K150" s="12"/>
    </row>
    <row r="151" ht="19.5" customHeight="1">
      <c r="A151" s="12"/>
      <c r="C151" s="12"/>
      <c r="D151" s="13"/>
      <c r="F151" s="14"/>
      <c r="G151" s="14"/>
      <c r="H151" s="14"/>
      <c r="I151" s="14"/>
      <c r="J151" s="14"/>
      <c r="K151" s="12"/>
    </row>
    <row r="152" ht="19.5" customHeight="1">
      <c r="A152" s="12"/>
      <c r="C152" s="12"/>
      <c r="D152" s="13"/>
      <c r="F152" s="14"/>
      <c r="G152" s="14"/>
      <c r="H152" s="14"/>
      <c r="I152" s="14"/>
      <c r="J152" s="14"/>
      <c r="K152" s="12"/>
    </row>
    <row r="153" ht="19.5" customHeight="1">
      <c r="A153" s="12"/>
      <c r="C153" s="12"/>
      <c r="D153" s="13"/>
      <c r="F153" s="14"/>
      <c r="G153" s="14"/>
      <c r="H153" s="14"/>
      <c r="I153" s="14"/>
      <c r="J153" s="14"/>
      <c r="K153" s="12"/>
    </row>
    <row r="154" ht="19.5" customHeight="1">
      <c r="A154" s="12"/>
      <c r="C154" s="12"/>
      <c r="D154" s="13"/>
      <c r="F154" s="14"/>
      <c r="G154" s="14"/>
      <c r="H154" s="14"/>
      <c r="I154" s="14"/>
      <c r="J154" s="14"/>
      <c r="K154" s="12"/>
    </row>
    <row r="155" ht="19.5" customHeight="1">
      <c r="A155" s="12"/>
      <c r="C155" s="12"/>
      <c r="D155" s="13"/>
      <c r="F155" s="14"/>
      <c r="G155" s="14"/>
      <c r="H155" s="14"/>
      <c r="I155" s="14"/>
      <c r="J155" s="14"/>
      <c r="K155" s="12"/>
    </row>
    <row r="156" ht="19.5" customHeight="1">
      <c r="A156" s="12"/>
      <c r="C156" s="12"/>
      <c r="D156" s="13"/>
      <c r="F156" s="14"/>
      <c r="G156" s="14"/>
      <c r="H156" s="14"/>
      <c r="I156" s="14"/>
      <c r="J156" s="14"/>
      <c r="K156" s="12"/>
    </row>
    <row r="157" ht="19.5" customHeight="1">
      <c r="A157" s="12"/>
      <c r="C157" s="12"/>
      <c r="D157" s="13"/>
      <c r="F157" s="14"/>
      <c r="G157" s="14"/>
      <c r="H157" s="14"/>
      <c r="I157" s="14"/>
      <c r="J157" s="14"/>
      <c r="K157" s="12"/>
    </row>
    <row r="158" ht="19.5" customHeight="1">
      <c r="A158" s="12"/>
      <c r="C158" s="12"/>
      <c r="D158" s="13"/>
      <c r="F158" s="14"/>
      <c r="G158" s="14"/>
      <c r="H158" s="14"/>
      <c r="I158" s="14"/>
      <c r="J158" s="14"/>
      <c r="K158" s="12"/>
    </row>
    <row r="159" ht="19.5" customHeight="1">
      <c r="A159" s="12"/>
      <c r="C159" s="12"/>
      <c r="D159" s="13"/>
      <c r="F159" s="14"/>
      <c r="G159" s="14"/>
      <c r="H159" s="14"/>
      <c r="I159" s="14"/>
      <c r="J159" s="14"/>
      <c r="K159" s="12"/>
    </row>
    <row r="160" ht="19.5" customHeight="1">
      <c r="A160" s="12"/>
      <c r="C160" s="12"/>
      <c r="D160" s="13"/>
      <c r="F160" s="14"/>
      <c r="G160" s="14"/>
      <c r="H160" s="14"/>
      <c r="I160" s="14"/>
      <c r="J160" s="14"/>
      <c r="K160" s="12"/>
    </row>
    <row r="161" ht="19.5" customHeight="1">
      <c r="A161" s="12"/>
      <c r="C161" s="12"/>
      <c r="D161" s="13"/>
      <c r="F161" s="14"/>
      <c r="G161" s="14"/>
      <c r="H161" s="14"/>
      <c r="I161" s="14"/>
      <c r="J161" s="14"/>
      <c r="K161" s="12"/>
    </row>
    <row r="162" ht="19.5" customHeight="1">
      <c r="A162" s="12"/>
      <c r="C162" s="12"/>
      <c r="D162" s="13"/>
      <c r="F162" s="14"/>
      <c r="G162" s="14"/>
      <c r="H162" s="14"/>
      <c r="I162" s="14"/>
      <c r="J162" s="14"/>
      <c r="K162" s="12"/>
    </row>
    <row r="163" ht="19.5" customHeight="1">
      <c r="A163" s="12"/>
      <c r="C163" s="12"/>
      <c r="D163" s="13"/>
      <c r="F163" s="14"/>
      <c r="G163" s="14"/>
      <c r="H163" s="14"/>
      <c r="I163" s="14"/>
      <c r="J163" s="14"/>
      <c r="K163" s="12"/>
    </row>
    <row r="164" ht="19.5" customHeight="1">
      <c r="A164" s="12"/>
      <c r="C164" s="12"/>
      <c r="D164" s="13"/>
      <c r="F164" s="14"/>
      <c r="G164" s="14"/>
      <c r="H164" s="14"/>
      <c r="I164" s="14"/>
      <c r="J164" s="14"/>
      <c r="K164" s="12"/>
    </row>
    <row r="165" ht="19.5" customHeight="1">
      <c r="A165" s="12"/>
      <c r="C165" s="12"/>
      <c r="D165" s="13"/>
      <c r="F165" s="14"/>
      <c r="G165" s="14"/>
      <c r="H165" s="14"/>
      <c r="I165" s="14"/>
      <c r="J165" s="14"/>
      <c r="K165" s="12"/>
    </row>
    <row r="166" ht="19.5" customHeight="1">
      <c r="A166" s="12"/>
      <c r="C166" s="12"/>
      <c r="D166" s="13"/>
      <c r="F166" s="14"/>
      <c r="G166" s="14"/>
      <c r="H166" s="14"/>
      <c r="I166" s="14"/>
      <c r="J166" s="14"/>
      <c r="K166" s="12"/>
    </row>
    <row r="167" ht="19.5" customHeight="1">
      <c r="A167" s="12"/>
      <c r="C167" s="12"/>
      <c r="D167" s="13"/>
      <c r="F167" s="14"/>
      <c r="G167" s="14"/>
      <c r="H167" s="14"/>
      <c r="I167" s="14"/>
      <c r="J167" s="14"/>
      <c r="K167" s="12"/>
    </row>
    <row r="168" ht="19.5" customHeight="1">
      <c r="A168" s="12"/>
      <c r="C168" s="12"/>
      <c r="D168" s="13"/>
      <c r="F168" s="14"/>
      <c r="G168" s="14"/>
      <c r="H168" s="14"/>
      <c r="I168" s="14"/>
      <c r="J168" s="14"/>
      <c r="K168" s="12"/>
    </row>
    <row r="169" ht="19.5" customHeight="1">
      <c r="A169" s="12"/>
      <c r="C169" s="12"/>
      <c r="D169" s="13"/>
      <c r="F169" s="14"/>
      <c r="G169" s="14"/>
      <c r="H169" s="14"/>
      <c r="I169" s="14"/>
      <c r="J169" s="14"/>
      <c r="K169" s="12"/>
    </row>
    <row r="170" ht="19.5" customHeight="1">
      <c r="A170" s="12"/>
      <c r="C170" s="12"/>
      <c r="D170" s="13"/>
      <c r="F170" s="14"/>
      <c r="G170" s="14"/>
      <c r="H170" s="14"/>
      <c r="I170" s="14"/>
      <c r="J170" s="14"/>
      <c r="K170" s="12"/>
    </row>
    <row r="171" ht="19.5" customHeight="1">
      <c r="A171" s="12"/>
      <c r="C171" s="12"/>
      <c r="D171" s="13"/>
      <c r="F171" s="14"/>
      <c r="G171" s="14"/>
      <c r="H171" s="14"/>
      <c r="I171" s="14"/>
      <c r="J171" s="14"/>
      <c r="K171" s="12"/>
    </row>
    <row r="172" ht="19.5" customHeight="1">
      <c r="A172" s="12"/>
      <c r="C172" s="12"/>
      <c r="D172" s="13"/>
      <c r="F172" s="14"/>
      <c r="G172" s="14"/>
      <c r="H172" s="14"/>
      <c r="I172" s="14"/>
      <c r="J172" s="14"/>
      <c r="K172" s="12"/>
    </row>
    <row r="173" ht="19.5" customHeight="1">
      <c r="A173" s="12"/>
      <c r="C173" s="12"/>
      <c r="D173" s="13"/>
      <c r="F173" s="14"/>
      <c r="G173" s="14"/>
      <c r="H173" s="14"/>
      <c r="I173" s="14"/>
      <c r="J173" s="14"/>
      <c r="K173" s="12"/>
    </row>
    <row r="174" ht="19.5" customHeight="1">
      <c r="A174" s="12"/>
      <c r="C174" s="12"/>
      <c r="D174" s="13"/>
      <c r="F174" s="14"/>
      <c r="G174" s="14"/>
      <c r="H174" s="14"/>
      <c r="I174" s="14"/>
      <c r="J174" s="14"/>
      <c r="K174" s="12"/>
    </row>
    <row r="175" ht="19.5" customHeight="1">
      <c r="A175" s="12"/>
      <c r="C175" s="12"/>
      <c r="D175" s="13"/>
      <c r="F175" s="14"/>
      <c r="G175" s="14"/>
      <c r="H175" s="14"/>
      <c r="I175" s="14"/>
      <c r="J175" s="14"/>
      <c r="K175" s="12"/>
    </row>
    <row r="176" ht="19.5" customHeight="1">
      <c r="A176" s="12"/>
      <c r="C176" s="12"/>
      <c r="D176" s="13"/>
      <c r="F176" s="14"/>
      <c r="G176" s="14"/>
      <c r="H176" s="14"/>
      <c r="I176" s="14"/>
      <c r="J176" s="14"/>
      <c r="K176" s="12"/>
    </row>
    <row r="177" ht="19.5" customHeight="1">
      <c r="A177" s="12"/>
      <c r="C177" s="12"/>
      <c r="D177" s="13"/>
      <c r="F177" s="14"/>
      <c r="G177" s="14"/>
      <c r="H177" s="14"/>
      <c r="I177" s="14"/>
      <c r="J177" s="14"/>
      <c r="K177" s="12"/>
    </row>
    <row r="178" ht="19.5" customHeight="1">
      <c r="A178" s="12"/>
      <c r="C178" s="12"/>
      <c r="D178" s="13"/>
      <c r="F178" s="14"/>
      <c r="G178" s="14"/>
      <c r="H178" s="14"/>
      <c r="I178" s="14"/>
      <c r="J178" s="14"/>
      <c r="K178" s="12"/>
    </row>
    <row r="179" ht="19.5" customHeight="1">
      <c r="A179" s="12"/>
      <c r="C179" s="12"/>
      <c r="D179" s="13"/>
      <c r="F179" s="14"/>
      <c r="G179" s="14"/>
      <c r="H179" s="14"/>
      <c r="I179" s="14"/>
      <c r="J179" s="14"/>
      <c r="K179" s="12"/>
    </row>
    <row r="180" ht="19.5" customHeight="1">
      <c r="A180" s="12"/>
      <c r="C180" s="12"/>
      <c r="D180" s="13"/>
      <c r="F180" s="14"/>
      <c r="G180" s="14"/>
      <c r="H180" s="14"/>
      <c r="I180" s="14"/>
      <c r="J180" s="14"/>
      <c r="K180" s="12"/>
    </row>
    <row r="181" ht="19.5" customHeight="1">
      <c r="A181" s="12"/>
      <c r="C181" s="12"/>
      <c r="D181" s="13"/>
      <c r="F181" s="14"/>
      <c r="G181" s="14"/>
      <c r="H181" s="14"/>
      <c r="I181" s="14"/>
      <c r="J181" s="14"/>
      <c r="K181" s="12"/>
    </row>
    <row r="182" ht="19.5" customHeight="1">
      <c r="A182" s="12"/>
      <c r="C182" s="12"/>
      <c r="D182" s="13"/>
      <c r="F182" s="14"/>
      <c r="G182" s="14"/>
      <c r="H182" s="14"/>
      <c r="I182" s="14"/>
      <c r="J182" s="14"/>
      <c r="K182" s="12"/>
    </row>
    <row r="183" ht="19.5" customHeight="1">
      <c r="A183" s="12"/>
      <c r="C183" s="12"/>
      <c r="D183" s="13"/>
      <c r="F183" s="14"/>
      <c r="G183" s="14"/>
      <c r="H183" s="14"/>
      <c r="I183" s="14"/>
      <c r="J183" s="14"/>
      <c r="K183" s="12"/>
    </row>
    <row r="184" ht="19.5" customHeight="1">
      <c r="A184" s="12"/>
      <c r="C184" s="12"/>
      <c r="D184" s="13"/>
      <c r="F184" s="14"/>
      <c r="G184" s="14"/>
      <c r="H184" s="14"/>
      <c r="I184" s="14"/>
      <c r="J184" s="14"/>
      <c r="K184" s="12"/>
    </row>
    <row r="185" ht="19.5" customHeight="1">
      <c r="A185" s="12"/>
      <c r="C185" s="12"/>
      <c r="D185" s="13"/>
      <c r="F185" s="14"/>
      <c r="G185" s="14"/>
      <c r="H185" s="14"/>
      <c r="I185" s="14"/>
      <c r="J185" s="14"/>
      <c r="K185" s="12"/>
    </row>
    <row r="186" ht="19.5" customHeight="1">
      <c r="A186" s="12"/>
      <c r="C186" s="12"/>
      <c r="D186" s="13"/>
      <c r="F186" s="14"/>
      <c r="G186" s="14"/>
      <c r="H186" s="14"/>
      <c r="I186" s="14"/>
      <c r="J186" s="14"/>
      <c r="K186" s="12"/>
    </row>
    <row r="187" ht="19.5" customHeight="1">
      <c r="A187" s="12"/>
      <c r="C187" s="12"/>
      <c r="D187" s="13"/>
      <c r="F187" s="14"/>
      <c r="G187" s="14"/>
      <c r="H187" s="14"/>
      <c r="I187" s="14"/>
      <c r="J187" s="14"/>
      <c r="K187" s="12"/>
    </row>
    <row r="188" ht="19.5" customHeight="1">
      <c r="A188" s="12"/>
      <c r="C188" s="12"/>
      <c r="D188" s="13"/>
      <c r="F188" s="14"/>
      <c r="G188" s="14"/>
      <c r="H188" s="14"/>
      <c r="I188" s="14"/>
      <c r="J188" s="14"/>
      <c r="K188" s="12"/>
    </row>
    <row r="189" ht="19.5" customHeight="1">
      <c r="A189" s="12"/>
      <c r="C189" s="12"/>
      <c r="D189" s="13"/>
      <c r="F189" s="14"/>
      <c r="G189" s="14"/>
      <c r="H189" s="14"/>
      <c r="I189" s="14"/>
      <c r="J189" s="14"/>
      <c r="K189" s="12"/>
    </row>
    <row r="190" ht="19.5" customHeight="1">
      <c r="A190" s="12"/>
      <c r="C190" s="12"/>
      <c r="D190" s="13"/>
      <c r="F190" s="14"/>
      <c r="G190" s="14"/>
      <c r="H190" s="14"/>
      <c r="I190" s="14"/>
      <c r="J190" s="14"/>
      <c r="K190" s="12"/>
    </row>
    <row r="191" ht="19.5" customHeight="1">
      <c r="A191" s="12"/>
      <c r="C191" s="12"/>
      <c r="D191" s="13"/>
      <c r="F191" s="14"/>
      <c r="G191" s="14"/>
      <c r="H191" s="14"/>
      <c r="I191" s="14"/>
      <c r="J191" s="14"/>
      <c r="K191" s="12"/>
    </row>
    <row r="192" ht="19.5" customHeight="1">
      <c r="A192" s="12"/>
      <c r="C192" s="12"/>
      <c r="D192" s="13"/>
      <c r="F192" s="14"/>
      <c r="G192" s="14"/>
      <c r="H192" s="14"/>
      <c r="I192" s="14"/>
      <c r="J192" s="14"/>
      <c r="K192" s="12"/>
    </row>
    <row r="193" ht="19.5" customHeight="1">
      <c r="A193" s="12"/>
      <c r="C193" s="12"/>
      <c r="D193" s="13"/>
      <c r="F193" s="14"/>
      <c r="G193" s="14"/>
      <c r="H193" s="14"/>
      <c r="I193" s="14"/>
      <c r="J193" s="14"/>
      <c r="K193" s="12"/>
    </row>
    <row r="194" ht="19.5" customHeight="1">
      <c r="A194" s="12"/>
      <c r="C194" s="12"/>
      <c r="D194" s="13"/>
      <c r="F194" s="14"/>
      <c r="G194" s="14"/>
      <c r="H194" s="14"/>
      <c r="I194" s="14"/>
      <c r="J194" s="14"/>
      <c r="K194" s="12"/>
    </row>
    <row r="195" ht="19.5" customHeight="1">
      <c r="A195" s="12"/>
      <c r="C195" s="12"/>
      <c r="D195" s="13"/>
      <c r="F195" s="14"/>
      <c r="G195" s="14"/>
      <c r="H195" s="14"/>
      <c r="I195" s="14"/>
      <c r="J195" s="14"/>
      <c r="K195" s="12"/>
    </row>
    <row r="196" ht="19.5" customHeight="1">
      <c r="A196" s="12"/>
      <c r="C196" s="12"/>
      <c r="D196" s="13"/>
      <c r="F196" s="14"/>
      <c r="G196" s="14"/>
      <c r="H196" s="14"/>
      <c r="I196" s="14"/>
      <c r="J196" s="14"/>
      <c r="K196" s="12"/>
    </row>
    <row r="197" ht="19.5" customHeight="1">
      <c r="A197" s="12"/>
      <c r="C197" s="12"/>
      <c r="D197" s="13"/>
      <c r="F197" s="14"/>
      <c r="G197" s="14"/>
      <c r="H197" s="14"/>
      <c r="I197" s="14"/>
      <c r="J197" s="14"/>
      <c r="K197" s="12"/>
    </row>
    <row r="198" ht="19.5" customHeight="1">
      <c r="A198" s="12"/>
      <c r="C198" s="12"/>
      <c r="D198" s="13"/>
      <c r="F198" s="14"/>
      <c r="G198" s="14"/>
      <c r="H198" s="14"/>
      <c r="I198" s="14"/>
      <c r="J198" s="14"/>
      <c r="K198" s="12"/>
    </row>
    <row r="199" ht="19.5" customHeight="1">
      <c r="A199" s="12"/>
      <c r="C199" s="12"/>
      <c r="D199" s="13"/>
      <c r="F199" s="14"/>
      <c r="G199" s="14"/>
      <c r="H199" s="14"/>
      <c r="I199" s="14"/>
      <c r="J199" s="14"/>
      <c r="K199" s="12"/>
    </row>
    <row r="200" ht="19.5" customHeight="1">
      <c r="A200" s="12"/>
      <c r="C200" s="12"/>
      <c r="D200" s="13"/>
      <c r="F200" s="14"/>
      <c r="G200" s="14"/>
      <c r="H200" s="14"/>
      <c r="I200" s="14"/>
      <c r="J200" s="14"/>
      <c r="K200" s="12"/>
    </row>
    <row r="201" ht="19.5" customHeight="1">
      <c r="A201" s="12"/>
      <c r="C201" s="12"/>
      <c r="D201" s="13"/>
      <c r="F201" s="14"/>
      <c r="G201" s="14"/>
      <c r="H201" s="14"/>
      <c r="I201" s="14"/>
      <c r="J201" s="14"/>
      <c r="K201" s="12"/>
    </row>
    <row r="202" ht="19.5" customHeight="1">
      <c r="A202" s="12"/>
      <c r="C202" s="12"/>
      <c r="D202" s="13"/>
      <c r="F202" s="14"/>
      <c r="G202" s="14"/>
      <c r="H202" s="14"/>
      <c r="I202" s="14"/>
      <c r="J202" s="14"/>
      <c r="K202" s="12"/>
    </row>
    <row r="203" ht="19.5" customHeight="1">
      <c r="A203" s="12"/>
      <c r="C203" s="12"/>
      <c r="D203" s="13"/>
      <c r="F203" s="14"/>
      <c r="G203" s="14"/>
      <c r="H203" s="14"/>
      <c r="I203" s="14"/>
      <c r="J203" s="14"/>
      <c r="K203" s="12"/>
    </row>
    <row r="204" ht="19.5" customHeight="1">
      <c r="A204" s="12"/>
      <c r="C204" s="12"/>
      <c r="D204" s="13"/>
      <c r="F204" s="14"/>
      <c r="G204" s="14"/>
      <c r="H204" s="14"/>
      <c r="I204" s="14"/>
      <c r="J204" s="14"/>
      <c r="K204" s="12"/>
    </row>
    <row r="205" ht="19.5" customHeight="1">
      <c r="A205" s="12"/>
      <c r="C205" s="12"/>
      <c r="D205" s="13"/>
      <c r="F205" s="14"/>
      <c r="G205" s="14"/>
      <c r="H205" s="14"/>
      <c r="I205" s="14"/>
      <c r="J205" s="14"/>
      <c r="K205" s="12"/>
    </row>
    <row r="206" ht="19.5" customHeight="1">
      <c r="A206" s="12"/>
      <c r="C206" s="12"/>
      <c r="D206" s="13"/>
      <c r="F206" s="14"/>
      <c r="G206" s="14"/>
      <c r="H206" s="14"/>
      <c r="I206" s="14"/>
      <c r="J206" s="14"/>
      <c r="K206" s="12"/>
    </row>
    <row r="207" ht="19.5" customHeight="1">
      <c r="A207" s="12"/>
      <c r="C207" s="12"/>
      <c r="D207" s="13"/>
      <c r="F207" s="14"/>
      <c r="G207" s="14"/>
      <c r="H207" s="14"/>
      <c r="I207" s="14"/>
      <c r="J207" s="14"/>
      <c r="K207" s="12"/>
    </row>
    <row r="208" ht="19.5" customHeight="1">
      <c r="A208" s="12"/>
      <c r="C208" s="12"/>
      <c r="D208" s="13"/>
      <c r="F208" s="14"/>
      <c r="G208" s="14"/>
      <c r="H208" s="14"/>
      <c r="I208" s="14"/>
      <c r="J208" s="14"/>
      <c r="K208" s="12"/>
    </row>
    <row r="209" ht="19.5" customHeight="1">
      <c r="A209" s="12"/>
      <c r="C209" s="12"/>
      <c r="D209" s="13"/>
      <c r="F209" s="14"/>
      <c r="G209" s="14"/>
      <c r="H209" s="14"/>
      <c r="I209" s="14"/>
      <c r="J209" s="14"/>
      <c r="K209" s="12"/>
    </row>
    <row r="210" ht="19.5" customHeight="1">
      <c r="A210" s="12"/>
      <c r="C210" s="12"/>
      <c r="D210" s="13"/>
      <c r="F210" s="14"/>
      <c r="G210" s="14"/>
      <c r="H210" s="14"/>
      <c r="I210" s="14"/>
      <c r="J210" s="14"/>
      <c r="K210" s="12"/>
    </row>
    <row r="211" ht="19.5" customHeight="1">
      <c r="A211" s="12"/>
      <c r="C211" s="12"/>
      <c r="D211" s="13"/>
      <c r="F211" s="14"/>
      <c r="G211" s="14"/>
      <c r="H211" s="14"/>
      <c r="I211" s="14"/>
      <c r="J211" s="14"/>
      <c r="K211" s="12"/>
    </row>
    <row r="212" ht="19.5" customHeight="1">
      <c r="A212" s="12"/>
      <c r="C212" s="12"/>
      <c r="D212" s="13"/>
      <c r="F212" s="14"/>
      <c r="G212" s="14"/>
      <c r="H212" s="14"/>
      <c r="I212" s="14"/>
      <c r="J212" s="14"/>
      <c r="K212" s="12"/>
    </row>
    <row r="213" ht="19.5" customHeight="1">
      <c r="A213" s="12"/>
      <c r="C213" s="12"/>
      <c r="D213" s="13"/>
      <c r="F213" s="14"/>
      <c r="G213" s="14"/>
      <c r="H213" s="14"/>
      <c r="I213" s="14"/>
      <c r="J213" s="14"/>
      <c r="K213" s="12"/>
    </row>
    <row r="214" ht="19.5" customHeight="1">
      <c r="A214" s="12"/>
      <c r="C214" s="12"/>
      <c r="D214" s="13"/>
      <c r="F214" s="14"/>
      <c r="G214" s="14"/>
      <c r="H214" s="14"/>
      <c r="I214" s="14"/>
      <c r="J214" s="14"/>
      <c r="K214" s="12"/>
    </row>
    <row r="215" ht="19.5" customHeight="1">
      <c r="A215" s="12"/>
      <c r="C215" s="12"/>
      <c r="D215" s="13"/>
      <c r="F215" s="14"/>
      <c r="G215" s="14"/>
      <c r="H215" s="14"/>
      <c r="I215" s="14"/>
      <c r="J215" s="14"/>
      <c r="K215" s="12"/>
    </row>
    <row r="216" ht="19.5" customHeight="1">
      <c r="A216" s="12"/>
      <c r="C216" s="12"/>
      <c r="D216" s="13"/>
      <c r="F216" s="14"/>
      <c r="G216" s="14"/>
      <c r="H216" s="14"/>
      <c r="I216" s="14"/>
      <c r="J216" s="14"/>
      <c r="K216" s="12"/>
    </row>
    <row r="217" ht="19.5" customHeight="1">
      <c r="A217" s="12"/>
      <c r="C217" s="12"/>
      <c r="D217" s="13"/>
      <c r="F217" s="14"/>
      <c r="G217" s="14"/>
      <c r="H217" s="14"/>
      <c r="I217" s="14"/>
      <c r="J217" s="14"/>
      <c r="K217" s="12"/>
    </row>
    <row r="218" ht="19.5" customHeight="1">
      <c r="A218" s="12"/>
      <c r="C218" s="12"/>
      <c r="D218" s="13"/>
      <c r="F218" s="14"/>
      <c r="G218" s="14"/>
      <c r="H218" s="14"/>
      <c r="I218" s="14"/>
      <c r="J218" s="14"/>
      <c r="K218" s="12"/>
    </row>
    <row r="219" ht="19.5" customHeight="1">
      <c r="A219" s="12"/>
      <c r="C219" s="12"/>
      <c r="D219" s="13"/>
      <c r="F219" s="14"/>
      <c r="G219" s="14"/>
      <c r="H219" s="14"/>
      <c r="I219" s="14"/>
      <c r="J219" s="14"/>
      <c r="K219" s="12"/>
    </row>
    <row r="220" ht="19.5" customHeight="1">
      <c r="A220" s="12"/>
      <c r="C220" s="12"/>
      <c r="D220" s="13"/>
      <c r="F220" s="14"/>
      <c r="G220" s="14"/>
      <c r="H220" s="14"/>
      <c r="I220" s="14"/>
      <c r="J220" s="14"/>
      <c r="K220" s="12"/>
    </row>
    <row r="221" ht="19.5" customHeight="1">
      <c r="A221" s="12"/>
      <c r="C221" s="12"/>
      <c r="D221" s="13"/>
      <c r="F221" s="14"/>
      <c r="G221" s="14"/>
      <c r="H221" s="14"/>
      <c r="I221" s="14"/>
      <c r="J221" s="14"/>
      <c r="K221" s="12"/>
    </row>
    <row r="222" ht="19.5" customHeight="1">
      <c r="A222" s="12"/>
      <c r="C222" s="12"/>
      <c r="D222" s="13"/>
      <c r="F222" s="14"/>
      <c r="G222" s="14"/>
      <c r="H222" s="14"/>
      <c r="I222" s="14"/>
      <c r="J222" s="14"/>
      <c r="K222" s="12"/>
    </row>
    <row r="223" ht="19.5" customHeight="1">
      <c r="A223" s="12"/>
      <c r="C223" s="12"/>
      <c r="D223" s="13"/>
      <c r="F223" s="14"/>
      <c r="G223" s="14"/>
      <c r="H223" s="14"/>
      <c r="I223" s="14"/>
      <c r="J223" s="14"/>
      <c r="K223" s="12"/>
    </row>
    <row r="224" ht="19.5" customHeight="1">
      <c r="A224" s="12"/>
      <c r="C224" s="12"/>
      <c r="D224" s="13"/>
      <c r="F224" s="14"/>
      <c r="G224" s="14"/>
      <c r="H224" s="14"/>
      <c r="I224" s="14"/>
      <c r="J224" s="14"/>
      <c r="K224" s="12"/>
    </row>
    <row r="225" ht="19.5" customHeight="1">
      <c r="A225" s="12"/>
      <c r="C225" s="12"/>
      <c r="D225" s="13"/>
      <c r="F225" s="14"/>
      <c r="G225" s="14"/>
      <c r="H225" s="14"/>
      <c r="I225" s="14"/>
      <c r="J225" s="14"/>
      <c r="K225" s="12"/>
    </row>
    <row r="226" ht="19.5" customHeight="1">
      <c r="A226" s="12"/>
      <c r="C226" s="12"/>
      <c r="D226" s="13"/>
      <c r="F226" s="14"/>
      <c r="G226" s="14"/>
      <c r="H226" s="14"/>
      <c r="I226" s="14"/>
      <c r="J226" s="14"/>
      <c r="K226" s="12"/>
    </row>
    <row r="227" ht="19.5" customHeight="1">
      <c r="A227" s="12"/>
      <c r="C227" s="12"/>
      <c r="D227" s="13"/>
      <c r="F227" s="14"/>
      <c r="G227" s="14"/>
      <c r="H227" s="14"/>
      <c r="I227" s="14"/>
      <c r="J227" s="14"/>
      <c r="K227" s="12"/>
    </row>
    <row r="228" ht="19.5" customHeight="1">
      <c r="A228" s="12"/>
      <c r="C228" s="12"/>
      <c r="D228" s="13"/>
      <c r="F228" s="14"/>
      <c r="G228" s="14"/>
      <c r="H228" s="14"/>
      <c r="I228" s="14"/>
      <c r="J228" s="14"/>
      <c r="K228" s="12"/>
    </row>
    <row r="229" ht="19.5" customHeight="1">
      <c r="A229" s="12"/>
      <c r="C229" s="12"/>
      <c r="D229" s="13"/>
      <c r="F229" s="14"/>
      <c r="G229" s="14"/>
      <c r="H229" s="14"/>
      <c r="I229" s="14"/>
      <c r="J229" s="14"/>
      <c r="K229" s="12"/>
    </row>
    <row r="230" ht="19.5" customHeight="1">
      <c r="A230" s="12"/>
      <c r="C230" s="12"/>
      <c r="D230" s="13"/>
      <c r="F230" s="14"/>
      <c r="G230" s="14"/>
      <c r="H230" s="14"/>
      <c r="I230" s="14"/>
      <c r="J230" s="14"/>
      <c r="K230" s="12"/>
    </row>
    <row r="231" ht="19.5" customHeight="1">
      <c r="A231" s="12"/>
      <c r="C231" s="12"/>
      <c r="D231" s="13"/>
      <c r="F231" s="14"/>
      <c r="G231" s="14"/>
      <c r="H231" s="14"/>
      <c r="I231" s="14"/>
      <c r="J231" s="14"/>
      <c r="K231" s="12"/>
    </row>
    <row r="232" ht="19.5" customHeight="1">
      <c r="A232" s="12"/>
      <c r="C232" s="12"/>
      <c r="D232" s="13"/>
      <c r="F232" s="14"/>
      <c r="G232" s="14"/>
      <c r="H232" s="14"/>
      <c r="I232" s="14"/>
      <c r="J232" s="14"/>
      <c r="K232" s="12"/>
    </row>
    <row r="233" ht="19.5" customHeight="1">
      <c r="A233" s="12"/>
      <c r="C233" s="12"/>
      <c r="D233" s="13"/>
      <c r="F233" s="14"/>
      <c r="G233" s="14"/>
      <c r="H233" s="14"/>
      <c r="I233" s="14"/>
      <c r="J233" s="14"/>
      <c r="K233" s="12"/>
    </row>
    <row r="234" ht="19.5" customHeight="1">
      <c r="A234" s="12"/>
      <c r="C234" s="12"/>
      <c r="D234" s="13"/>
      <c r="F234" s="14"/>
      <c r="G234" s="14"/>
      <c r="H234" s="14"/>
      <c r="I234" s="14"/>
      <c r="J234" s="14"/>
      <c r="K234" s="12"/>
    </row>
    <row r="235" ht="19.5" customHeight="1">
      <c r="A235" s="12"/>
      <c r="C235" s="12"/>
      <c r="D235" s="13"/>
      <c r="F235" s="14"/>
      <c r="G235" s="14"/>
      <c r="H235" s="14"/>
      <c r="I235" s="14"/>
      <c r="J235" s="14"/>
      <c r="K235" s="12"/>
    </row>
    <row r="236" ht="19.5" customHeight="1">
      <c r="A236" s="12"/>
      <c r="C236" s="12"/>
      <c r="D236" s="13"/>
      <c r="F236" s="14"/>
      <c r="G236" s="14"/>
      <c r="H236" s="14"/>
      <c r="I236" s="14"/>
      <c r="J236" s="14"/>
      <c r="K236" s="12"/>
    </row>
    <row r="237" ht="19.5" customHeight="1">
      <c r="A237" s="12"/>
      <c r="C237" s="12"/>
      <c r="D237" s="13"/>
      <c r="F237" s="14"/>
      <c r="G237" s="14"/>
      <c r="H237" s="14"/>
      <c r="I237" s="14"/>
      <c r="J237" s="14"/>
      <c r="K237" s="12"/>
    </row>
    <row r="238" ht="19.5" customHeight="1">
      <c r="A238" s="12"/>
      <c r="C238" s="12"/>
      <c r="D238" s="13"/>
      <c r="F238" s="14"/>
      <c r="G238" s="14"/>
      <c r="H238" s="14"/>
      <c r="I238" s="14"/>
      <c r="J238" s="14"/>
      <c r="K238" s="12"/>
    </row>
    <row r="239" ht="19.5" customHeight="1">
      <c r="A239" s="12"/>
      <c r="C239" s="12"/>
      <c r="D239" s="13"/>
      <c r="F239" s="14"/>
      <c r="G239" s="14"/>
      <c r="H239" s="14"/>
      <c r="I239" s="14"/>
      <c r="J239" s="14"/>
      <c r="K239" s="12"/>
    </row>
    <row r="240" ht="19.5" customHeight="1">
      <c r="A240" s="12"/>
      <c r="C240" s="12"/>
      <c r="D240" s="13"/>
      <c r="F240" s="14"/>
      <c r="G240" s="14"/>
      <c r="H240" s="14"/>
      <c r="I240" s="14"/>
      <c r="J240" s="14"/>
      <c r="K240" s="12"/>
    </row>
    <row r="241" ht="19.5" customHeight="1">
      <c r="A241" s="12"/>
      <c r="C241" s="12"/>
      <c r="D241" s="13"/>
      <c r="F241" s="14"/>
      <c r="G241" s="14"/>
      <c r="H241" s="14"/>
      <c r="I241" s="14"/>
      <c r="J241" s="14"/>
      <c r="K241" s="12"/>
    </row>
    <row r="242" ht="19.5" customHeight="1">
      <c r="A242" s="12"/>
      <c r="C242" s="12"/>
      <c r="D242" s="13"/>
      <c r="F242" s="14"/>
      <c r="G242" s="14"/>
      <c r="H242" s="14"/>
      <c r="I242" s="14"/>
      <c r="J242" s="14"/>
      <c r="K242" s="12"/>
    </row>
    <row r="243" ht="19.5" customHeight="1">
      <c r="A243" s="12"/>
      <c r="C243" s="12"/>
      <c r="D243" s="13"/>
      <c r="F243" s="14"/>
      <c r="G243" s="14"/>
      <c r="H243" s="14"/>
      <c r="I243" s="14"/>
      <c r="J243" s="14"/>
      <c r="K243" s="12"/>
    </row>
    <row r="244" ht="19.5" customHeight="1">
      <c r="A244" s="12"/>
      <c r="C244" s="12"/>
      <c r="D244" s="13"/>
      <c r="F244" s="14"/>
      <c r="G244" s="14"/>
      <c r="H244" s="14"/>
      <c r="I244" s="14"/>
      <c r="J244" s="14"/>
      <c r="K244" s="12"/>
    </row>
    <row r="245" ht="19.5" customHeight="1">
      <c r="A245" s="12"/>
      <c r="C245" s="12"/>
      <c r="D245" s="13"/>
      <c r="F245" s="14"/>
      <c r="G245" s="14"/>
      <c r="H245" s="14"/>
      <c r="I245" s="14"/>
      <c r="J245" s="14"/>
      <c r="K245" s="12"/>
    </row>
    <row r="246" ht="19.5" customHeight="1">
      <c r="A246" s="12"/>
      <c r="C246" s="12"/>
      <c r="D246" s="13"/>
      <c r="F246" s="14"/>
      <c r="G246" s="14"/>
      <c r="H246" s="14"/>
      <c r="I246" s="14"/>
      <c r="J246" s="14"/>
      <c r="K246" s="12"/>
    </row>
    <row r="247" ht="19.5" customHeight="1">
      <c r="A247" s="12"/>
      <c r="C247" s="12"/>
      <c r="D247" s="13"/>
      <c r="F247" s="14"/>
      <c r="G247" s="14"/>
      <c r="H247" s="14"/>
      <c r="I247" s="14"/>
      <c r="J247" s="14"/>
      <c r="K247" s="12"/>
    </row>
    <row r="248" ht="19.5" customHeight="1">
      <c r="A248" s="12"/>
      <c r="C248" s="12"/>
      <c r="D248" s="13"/>
      <c r="F248" s="14"/>
      <c r="G248" s="14"/>
      <c r="H248" s="14"/>
      <c r="I248" s="14"/>
      <c r="J248" s="14"/>
      <c r="K248" s="12"/>
    </row>
    <row r="249" ht="19.5" customHeight="1">
      <c r="A249" s="12"/>
      <c r="C249" s="12"/>
      <c r="D249" s="13"/>
      <c r="F249" s="14"/>
      <c r="G249" s="14"/>
      <c r="H249" s="14"/>
      <c r="I249" s="14"/>
      <c r="J249" s="14"/>
      <c r="K249" s="12"/>
    </row>
    <row r="250" ht="19.5" customHeight="1">
      <c r="A250" s="12"/>
      <c r="C250" s="12"/>
      <c r="D250" s="13"/>
      <c r="F250" s="14"/>
      <c r="G250" s="14"/>
      <c r="H250" s="14"/>
      <c r="I250" s="14"/>
      <c r="J250" s="14"/>
      <c r="K250" s="12"/>
    </row>
    <row r="251" ht="19.5" customHeight="1">
      <c r="A251" s="12"/>
      <c r="C251" s="12"/>
      <c r="D251" s="13"/>
      <c r="F251" s="14"/>
      <c r="G251" s="14"/>
      <c r="H251" s="14"/>
      <c r="I251" s="14"/>
      <c r="J251" s="14"/>
      <c r="K251" s="12"/>
    </row>
    <row r="252" ht="19.5" customHeight="1">
      <c r="A252" s="12"/>
      <c r="C252" s="12"/>
      <c r="D252" s="13"/>
      <c r="F252" s="14"/>
      <c r="G252" s="14"/>
      <c r="H252" s="14"/>
      <c r="I252" s="14"/>
      <c r="J252" s="14"/>
      <c r="K252" s="12"/>
    </row>
    <row r="253" ht="19.5" customHeight="1">
      <c r="A253" s="12"/>
      <c r="C253" s="12"/>
      <c r="D253" s="13"/>
      <c r="F253" s="14"/>
      <c r="G253" s="14"/>
      <c r="H253" s="14"/>
      <c r="I253" s="14"/>
      <c r="J253" s="14"/>
      <c r="K253" s="12"/>
    </row>
    <row r="254" ht="19.5" customHeight="1">
      <c r="A254" s="12"/>
      <c r="C254" s="12"/>
      <c r="D254" s="13"/>
      <c r="F254" s="14"/>
      <c r="G254" s="14"/>
      <c r="H254" s="14"/>
      <c r="I254" s="14"/>
      <c r="J254" s="14"/>
      <c r="K254" s="12"/>
    </row>
    <row r="255" ht="19.5" customHeight="1">
      <c r="A255" s="12"/>
      <c r="C255" s="12"/>
      <c r="D255" s="13"/>
      <c r="F255" s="14"/>
      <c r="G255" s="14"/>
      <c r="H255" s="14"/>
      <c r="I255" s="14"/>
      <c r="J255" s="14"/>
      <c r="K255" s="12"/>
    </row>
    <row r="256" ht="19.5" customHeight="1">
      <c r="A256" s="12"/>
      <c r="C256" s="12"/>
      <c r="D256" s="13"/>
      <c r="F256" s="14"/>
      <c r="G256" s="14"/>
      <c r="H256" s="14"/>
      <c r="I256" s="14"/>
      <c r="J256" s="14"/>
      <c r="K256" s="12"/>
    </row>
    <row r="257" ht="19.5" customHeight="1">
      <c r="A257" s="12"/>
      <c r="C257" s="12"/>
      <c r="D257" s="13"/>
      <c r="F257" s="14"/>
      <c r="G257" s="14"/>
      <c r="H257" s="14"/>
      <c r="I257" s="14"/>
      <c r="J257" s="14"/>
      <c r="K257" s="12"/>
    </row>
    <row r="258" ht="19.5" customHeight="1">
      <c r="A258" s="12"/>
      <c r="C258" s="12"/>
      <c r="D258" s="13"/>
      <c r="F258" s="14"/>
      <c r="G258" s="14"/>
      <c r="H258" s="14"/>
      <c r="I258" s="14"/>
      <c r="J258" s="14"/>
      <c r="K258" s="12"/>
    </row>
    <row r="259" ht="19.5" customHeight="1">
      <c r="A259" s="12"/>
      <c r="C259" s="12"/>
      <c r="D259" s="13"/>
      <c r="F259" s="14"/>
      <c r="G259" s="14"/>
      <c r="H259" s="14"/>
      <c r="I259" s="14"/>
      <c r="J259" s="14"/>
      <c r="K259" s="12"/>
    </row>
    <row r="260" ht="19.5" customHeight="1">
      <c r="A260" s="12"/>
      <c r="C260" s="12"/>
      <c r="D260" s="13"/>
      <c r="F260" s="14"/>
      <c r="G260" s="14"/>
      <c r="H260" s="14"/>
      <c r="I260" s="14"/>
      <c r="J260" s="14"/>
      <c r="K260" s="12"/>
    </row>
    <row r="261" ht="19.5" customHeight="1">
      <c r="A261" s="12"/>
      <c r="C261" s="12"/>
      <c r="D261" s="13"/>
      <c r="F261" s="14"/>
      <c r="G261" s="14"/>
      <c r="H261" s="14"/>
      <c r="I261" s="14"/>
      <c r="J261" s="14"/>
      <c r="K261" s="12"/>
    </row>
    <row r="262" ht="19.5" customHeight="1">
      <c r="A262" s="12"/>
      <c r="C262" s="12"/>
      <c r="D262" s="13"/>
      <c r="F262" s="14"/>
      <c r="G262" s="14"/>
      <c r="H262" s="14"/>
      <c r="I262" s="14"/>
      <c r="J262" s="14"/>
      <c r="K262" s="12"/>
    </row>
    <row r="263" ht="19.5" customHeight="1">
      <c r="A263" s="12"/>
      <c r="C263" s="12"/>
      <c r="D263" s="13"/>
      <c r="F263" s="14"/>
      <c r="G263" s="14"/>
      <c r="H263" s="14"/>
      <c r="I263" s="14"/>
      <c r="J263" s="14"/>
      <c r="K263" s="12"/>
    </row>
    <row r="264" ht="19.5" customHeight="1">
      <c r="A264" s="12"/>
      <c r="C264" s="12"/>
      <c r="D264" s="13"/>
      <c r="F264" s="14"/>
      <c r="G264" s="14"/>
      <c r="H264" s="14"/>
      <c r="I264" s="14"/>
      <c r="J264" s="14"/>
      <c r="K264" s="12"/>
    </row>
    <row r="265" ht="19.5" customHeight="1">
      <c r="A265" s="12"/>
      <c r="C265" s="12"/>
      <c r="D265" s="13"/>
      <c r="F265" s="14"/>
      <c r="G265" s="14"/>
      <c r="H265" s="14"/>
      <c r="I265" s="14"/>
      <c r="J265" s="14"/>
      <c r="K265" s="12"/>
    </row>
    <row r="266" ht="19.5" customHeight="1">
      <c r="A266" s="12"/>
      <c r="C266" s="12"/>
      <c r="D266" s="13"/>
      <c r="F266" s="14"/>
      <c r="G266" s="14"/>
      <c r="H266" s="14"/>
      <c r="I266" s="14"/>
      <c r="J266" s="14"/>
      <c r="K266" s="12"/>
    </row>
    <row r="267" ht="19.5" customHeight="1">
      <c r="A267" s="12"/>
      <c r="C267" s="12"/>
      <c r="D267" s="13"/>
      <c r="F267" s="14"/>
      <c r="G267" s="14"/>
      <c r="H267" s="14"/>
      <c r="I267" s="14"/>
      <c r="J267" s="14"/>
      <c r="K267" s="12"/>
    </row>
    <row r="268" ht="19.5" customHeight="1">
      <c r="A268" s="12"/>
      <c r="C268" s="12"/>
      <c r="D268" s="13"/>
      <c r="F268" s="14"/>
      <c r="G268" s="14"/>
      <c r="H268" s="14"/>
      <c r="I268" s="14"/>
      <c r="J268" s="14"/>
      <c r="K268" s="12"/>
    </row>
    <row r="269" ht="19.5" customHeight="1">
      <c r="A269" s="12"/>
      <c r="C269" s="12"/>
      <c r="D269" s="13"/>
      <c r="F269" s="14"/>
      <c r="G269" s="14"/>
      <c r="H269" s="14"/>
      <c r="I269" s="14"/>
      <c r="J269" s="14"/>
      <c r="K269" s="12"/>
    </row>
    <row r="270" ht="19.5" customHeight="1">
      <c r="A270" s="12"/>
      <c r="C270" s="12"/>
      <c r="D270" s="13"/>
      <c r="F270" s="14"/>
      <c r="G270" s="14"/>
      <c r="H270" s="14"/>
      <c r="I270" s="14"/>
      <c r="J270" s="14"/>
      <c r="K270" s="12"/>
    </row>
    <row r="271" ht="19.5" customHeight="1">
      <c r="A271" s="12"/>
      <c r="C271" s="12"/>
      <c r="D271" s="13"/>
      <c r="F271" s="14"/>
      <c r="G271" s="14"/>
      <c r="H271" s="14"/>
      <c r="I271" s="14"/>
      <c r="J271" s="14"/>
      <c r="K271" s="12"/>
    </row>
    <row r="272" ht="19.5" customHeight="1">
      <c r="A272" s="12"/>
      <c r="C272" s="12"/>
      <c r="D272" s="13"/>
      <c r="F272" s="14"/>
      <c r="G272" s="14"/>
      <c r="H272" s="14"/>
      <c r="I272" s="14"/>
      <c r="J272" s="14"/>
      <c r="K272" s="12"/>
    </row>
    <row r="273" ht="19.5" customHeight="1">
      <c r="A273" s="12"/>
      <c r="C273" s="12"/>
      <c r="D273" s="13"/>
      <c r="F273" s="14"/>
      <c r="G273" s="14"/>
      <c r="H273" s="14"/>
      <c r="I273" s="14"/>
      <c r="J273" s="14"/>
      <c r="K273" s="12"/>
    </row>
    <row r="274" ht="19.5" customHeight="1">
      <c r="A274" s="12"/>
      <c r="C274" s="12"/>
      <c r="D274" s="13"/>
      <c r="F274" s="14"/>
      <c r="G274" s="14"/>
      <c r="H274" s="14"/>
      <c r="I274" s="14"/>
      <c r="J274" s="14"/>
      <c r="K274" s="12"/>
    </row>
    <row r="275" ht="19.5" customHeight="1">
      <c r="A275" s="12"/>
      <c r="C275" s="12"/>
      <c r="D275" s="13"/>
      <c r="F275" s="14"/>
      <c r="G275" s="14"/>
      <c r="H275" s="14"/>
      <c r="I275" s="14"/>
      <c r="J275" s="14"/>
      <c r="K275" s="12"/>
    </row>
    <row r="276" ht="19.5" customHeight="1">
      <c r="A276" s="12"/>
      <c r="C276" s="12"/>
      <c r="D276" s="13"/>
      <c r="F276" s="14"/>
      <c r="G276" s="14"/>
      <c r="H276" s="14"/>
      <c r="I276" s="14"/>
      <c r="J276" s="14"/>
      <c r="K276" s="12"/>
    </row>
    <row r="277" ht="19.5" customHeight="1">
      <c r="A277" s="12"/>
      <c r="C277" s="12"/>
      <c r="D277" s="13"/>
      <c r="F277" s="14"/>
      <c r="G277" s="14"/>
      <c r="H277" s="14"/>
      <c r="I277" s="14"/>
      <c r="J277" s="14"/>
      <c r="K277" s="12"/>
    </row>
    <row r="278" ht="19.5" customHeight="1">
      <c r="A278" s="12"/>
      <c r="C278" s="12"/>
      <c r="D278" s="13"/>
      <c r="F278" s="14"/>
      <c r="G278" s="14"/>
      <c r="H278" s="14"/>
      <c r="I278" s="14"/>
      <c r="J278" s="14"/>
      <c r="K278" s="12"/>
    </row>
    <row r="279" ht="19.5" customHeight="1">
      <c r="A279" s="12"/>
      <c r="C279" s="12"/>
      <c r="D279" s="13"/>
      <c r="F279" s="14"/>
      <c r="G279" s="14"/>
      <c r="H279" s="14"/>
      <c r="I279" s="14"/>
      <c r="J279" s="14"/>
      <c r="K279" s="12"/>
    </row>
    <row r="280" ht="19.5" customHeight="1">
      <c r="A280" s="12"/>
      <c r="C280" s="12"/>
      <c r="D280" s="13"/>
      <c r="F280" s="14"/>
      <c r="G280" s="14"/>
      <c r="H280" s="14"/>
      <c r="I280" s="14"/>
      <c r="J280" s="14"/>
      <c r="K280" s="12"/>
    </row>
    <row r="281" ht="19.5" customHeight="1">
      <c r="A281" s="12"/>
      <c r="C281" s="12"/>
      <c r="D281" s="13"/>
      <c r="F281" s="14"/>
      <c r="G281" s="14"/>
      <c r="H281" s="14"/>
      <c r="I281" s="14"/>
      <c r="J281" s="14"/>
      <c r="K281" s="12"/>
    </row>
    <row r="282" ht="19.5" customHeight="1">
      <c r="A282" s="12"/>
      <c r="C282" s="12"/>
      <c r="D282" s="13"/>
      <c r="F282" s="14"/>
      <c r="G282" s="14"/>
      <c r="H282" s="14"/>
      <c r="I282" s="14"/>
      <c r="J282" s="14"/>
      <c r="K282" s="12"/>
    </row>
    <row r="283" ht="19.5" customHeight="1">
      <c r="A283" s="12"/>
      <c r="C283" s="12"/>
      <c r="D283" s="13"/>
      <c r="F283" s="14"/>
      <c r="G283" s="14"/>
      <c r="H283" s="14"/>
      <c r="I283" s="14"/>
      <c r="J283" s="14"/>
      <c r="K283" s="12"/>
    </row>
    <row r="284" ht="19.5" customHeight="1">
      <c r="A284" s="12"/>
      <c r="C284" s="12"/>
      <c r="D284" s="13"/>
      <c r="F284" s="14"/>
      <c r="G284" s="14"/>
      <c r="H284" s="14"/>
      <c r="I284" s="14"/>
      <c r="J284" s="14"/>
      <c r="K284" s="12"/>
    </row>
    <row r="285" ht="19.5" customHeight="1">
      <c r="A285" s="12"/>
      <c r="C285" s="12"/>
      <c r="D285" s="13"/>
      <c r="F285" s="14"/>
      <c r="G285" s="14"/>
      <c r="H285" s="14"/>
      <c r="I285" s="14"/>
      <c r="J285" s="14"/>
      <c r="K285" s="12"/>
    </row>
    <row r="286" ht="19.5" customHeight="1">
      <c r="A286" s="12"/>
      <c r="C286" s="12"/>
      <c r="D286" s="13"/>
      <c r="F286" s="14"/>
      <c r="G286" s="14"/>
      <c r="H286" s="14"/>
      <c r="I286" s="14"/>
      <c r="J286" s="14"/>
      <c r="K286" s="12"/>
    </row>
    <row r="287" ht="19.5" customHeight="1">
      <c r="A287" s="12"/>
      <c r="C287" s="12"/>
      <c r="D287" s="13"/>
      <c r="F287" s="14"/>
      <c r="G287" s="14"/>
      <c r="H287" s="14"/>
      <c r="I287" s="14"/>
      <c r="J287" s="14"/>
      <c r="K287" s="12"/>
    </row>
    <row r="288" ht="19.5" customHeight="1">
      <c r="A288" s="12"/>
      <c r="C288" s="12"/>
      <c r="D288" s="13"/>
      <c r="F288" s="14"/>
      <c r="G288" s="14"/>
      <c r="H288" s="14"/>
      <c r="I288" s="14"/>
      <c r="J288" s="14"/>
      <c r="K288" s="12"/>
    </row>
    <row r="289" ht="19.5" customHeight="1">
      <c r="A289" s="12"/>
      <c r="C289" s="12"/>
      <c r="D289" s="13"/>
      <c r="F289" s="14"/>
      <c r="G289" s="14"/>
      <c r="H289" s="14"/>
      <c r="I289" s="14"/>
      <c r="J289" s="14"/>
      <c r="K289" s="12"/>
    </row>
    <row r="290" ht="19.5" customHeight="1">
      <c r="A290" s="12"/>
      <c r="C290" s="12"/>
      <c r="D290" s="13"/>
      <c r="F290" s="14"/>
      <c r="G290" s="14"/>
      <c r="H290" s="14"/>
      <c r="I290" s="14"/>
      <c r="J290" s="14"/>
      <c r="K290" s="12"/>
    </row>
    <row r="291" ht="19.5" customHeight="1">
      <c r="A291" s="12"/>
      <c r="C291" s="12"/>
      <c r="D291" s="13"/>
      <c r="F291" s="14"/>
      <c r="G291" s="14"/>
      <c r="H291" s="14"/>
      <c r="I291" s="14"/>
      <c r="J291" s="14"/>
      <c r="K291" s="12"/>
    </row>
    <row r="292" ht="19.5" customHeight="1">
      <c r="A292" s="12"/>
      <c r="C292" s="12"/>
      <c r="D292" s="13"/>
      <c r="F292" s="14"/>
      <c r="G292" s="14"/>
      <c r="H292" s="14"/>
      <c r="I292" s="14"/>
      <c r="J292" s="14"/>
      <c r="K292" s="12"/>
    </row>
    <row r="293" ht="19.5" customHeight="1">
      <c r="A293" s="12"/>
      <c r="C293" s="12"/>
      <c r="D293" s="13"/>
      <c r="F293" s="14"/>
      <c r="G293" s="14"/>
      <c r="H293" s="14"/>
      <c r="I293" s="14"/>
      <c r="J293" s="14"/>
      <c r="K293" s="12"/>
    </row>
    <row r="294" ht="19.5" customHeight="1">
      <c r="A294" s="12"/>
      <c r="C294" s="12"/>
      <c r="D294" s="13"/>
      <c r="F294" s="14"/>
      <c r="G294" s="14"/>
      <c r="H294" s="14"/>
      <c r="I294" s="14"/>
      <c r="J294" s="14"/>
      <c r="K294" s="12"/>
    </row>
    <row r="295" ht="19.5" customHeight="1">
      <c r="A295" s="12"/>
      <c r="C295" s="12"/>
      <c r="D295" s="13"/>
      <c r="F295" s="14"/>
      <c r="G295" s="14"/>
      <c r="H295" s="14"/>
      <c r="I295" s="14"/>
      <c r="J295" s="14"/>
      <c r="K295" s="12"/>
    </row>
    <row r="296" ht="19.5" customHeight="1">
      <c r="A296" s="12"/>
      <c r="C296" s="12"/>
      <c r="D296" s="13"/>
      <c r="F296" s="14"/>
      <c r="G296" s="14"/>
      <c r="H296" s="14"/>
      <c r="I296" s="14"/>
      <c r="J296" s="14"/>
      <c r="K296" s="12"/>
    </row>
    <row r="297" ht="19.5" customHeight="1">
      <c r="A297" s="12"/>
      <c r="C297" s="12"/>
      <c r="D297" s="13"/>
      <c r="F297" s="14"/>
      <c r="G297" s="14"/>
      <c r="H297" s="14"/>
      <c r="I297" s="14"/>
      <c r="J297" s="14"/>
      <c r="K297" s="12"/>
    </row>
    <row r="298" ht="19.5" customHeight="1">
      <c r="A298" s="12"/>
      <c r="C298" s="12"/>
      <c r="D298" s="13"/>
      <c r="F298" s="14"/>
      <c r="G298" s="14"/>
      <c r="H298" s="14"/>
      <c r="I298" s="14"/>
      <c r="J298" s="14"/>
      <c r="K298" s="12"/>
    </row>
    <row r="299" ht="19.5" customHeight="1">
      <c r="A299" s="12"/>
      <c r="C299" s="12"/>
      <c r="D299" s="13"/>
      <c r="F299" s="14"/>
      <c r="G299" s="14"/>
      <c r="H299" s="14"/>
      <c r="I299" s="14"/>
      <c r="J299" s="14"/>
      <c r="K299" s="12"/>
    </row>
    <row r="300" ht="19.5" customHeight="1">
      <c r="A300" s="12"/>
      <c r="C300" s="12"/>
      <c r="D300" s="13"/>
      <c r="F300" s="14"/>
      <c r="G300" s="14"/>
      <c r="H300" s="14"/>
      <c r="I300" s="14"/>
      <c r="J300" s="14"/>
      <c r="K300" s="12"/>
    </row>
    <row r="301" ht="19.5" customHeight="1">
      <c r="A301" s="12"/>
      <c r="C301" s="12"/>
      <c r="D301" s="13"/>
      <c r="F301" s="14"/>
      <c r="G301" s="14"/>
      <c r="H301" s="14"/>
      <c r="I301" s="14"/>
      <c r="J301" s="14"/>
      <c r="K301" s="12"/>
    </row>
    <row r="302" ht="19.5" customHeight="1">
      <c r="A302" s="12"/>
      <c r="C302" s="12"/>
      <c r="D302" s="13"/>
      <c r="F302" s="14"/>
      <c r="G302" s="14"/>
      <c r="H302" s="14"/>
      <c r="I302" s="14"/>
      <c r="J302" s="14"/>
      <c r="K302" s="12"/>
    </row>
    <row r="303" ht="19.5" customHeight="1">
      <c r="A303" s="12"/>
      <c r="C303" s="12"/>
      <c r="D303" s="13"/>
      <c r="F303" s="14"/>
      <c r="G303" s="14"/>
      <c r="H303" s="14"/>
      <c r="I303" s="14"/>
      <c r="J303" s="14"/>
      <c r="K303" s="12"/>
    </row>
    <row r="304" ht="19.5" customHeight="1">
      <c r="A304" s="12"/>
      <c r="C304" s="12"/>
      <c r="D304" s="13"/>
      <c r="F304" s="14"/>
      <c r="G304" s="14"/>
      <c r="H304" s="14"/>
      <c r="I304" s="14"/>
      <c r="J304" s="14"/>
      <c r="K304" s="12"/>
    </row>
    <row r="305" ht="19.5" customHeight="1">
      <c r="A305" s="12"/>
      <c r="C305" s="12"/>
      <c r="D305" s="13"/>
      <c r="F305" s="14"/>
      <c r="G305" s="14"/>
      <c r="H305" s="14"/>
      <c r="I305" s="14"/>
      <c r="J305" s="14"/>
      <c r="K305" s="12"/>
    </row>
    <row r="306" ht="19.5" customHeight="1">
      <c r="A306" s="12"/>
      <c r="C306" s="12"/>
      <c r="D306" s="13"/>
      <c r="F306" s="14"/>
      <c r="G306" s="14"/>
      <c r="H306" s="14"/>
      <c r="I306" s="14"/>
      <c r="J306" s="14"/>
      <c r="K306" s="12"/>
    </row>
    <row r="307" ht="19.5" customHeight="1">
      <c r="A307" s="12"/>
      <c r="C307" s="12"/>
      <c r="D307" s="13"/>
      <c r="F307" s="14"/>
      <c r="G307" s="14"/>
      <c r="H307" s="14"/>
      <c r="I307" s="14"/>
      <c r="J307" s="14"/>
      <c r="K307" s="12"/>
    </row>
    <row r="308" ht="19.5" customHeight="1">
      <c r="A308" s="12"/>
      <c r="C308" s="12"/>
      <c r="D308" s="13"/>
      <c r="F308" s="14"/>
      <c r="G308" s="14"/>
      <c r="H308" s="14"/>
      <c r="I308" s="14"/>
      <c r="J308" s="14"/>
      <c r="K308" s="12"/>
    </row>
    <row r="309" ht="19.5" customHeight="1">
      <c r="A309" s="12"/>
      <c r="C309" s="12"/>
      <c r="D309" s="13"/>
      <c r="F309" s="14"/>
      <c r="G309" s="14"/>
      <c r="H309" s="14"/>
      <c r="I309" s="14"/>
      <c r="J309" s="14"/>
      <c r="K309" s="12"/>
    </row>
    <row r="310" ht="19.5" customHeight="1">
      <c r="A310" s="12"/>
      <c r="C310" s="12"/>
      <c r="D310" s="13"/>
      <c r="F310" s="14"/>
      <c r="G310" s="14"/>
      <c r="H310" s="14"/>
      <c r="I310" s="14"/>
      <c r="J310" s="14"/>
      <c r="K310" s="12"/>
    </row>
    <row r="311" ht="19.5" customHeight="1">
      <c r="A311" s="12"/>
      <c r="C311" s="12"/>
      <c r="D311" s="13"/>
      <c r="F311" s="14"/>
      <c r="G311" s="14"/>
      <c r="H311" s="14"/>
      <c r="I311" s="14"/>
      <c r="J311" s="14"/>
      <c r="K311" s="12"/>
    </row>
    <row r="312" ht="19.5" customHeight="1">
      <c r="A312" s="12"/>
      <c r="C312" s="12"/>
      <c r="D312" s="13"/>
      <c r="F312" s="14"/>
      <c r="G312" s="14"/>
      <c r="H312" s="14"/>
      <c r="I312" s="14"/>
      <c r="J312" s="14"/>
      <c r="K312" s="12"/>
    </row>
    <row r="313" ht="19.5" customHeight="1">
      <c r="A313" s="12"/>
      <c r="C313" s="12"/>
      <c r="D313" s="13"/>
      <c r="F313" s="14"/>
      <c r="G313" s="14"/>
      <c r="H313" s="14"/>
      <c r="I313" s="14"/>
      <c r="J313" s="14"/>
      <c r="K313" s="12"/>
    </row>
    <row r="314" ht="19.5" customHeight="1">
      <c r="A314" s="12"/>
      <c r="C314" s="12"/>
      <c r="D314" s="13"/>
      <c r="F314" s="14"/>
      <c r="G314" s="14"/>
      <c r="H314" s="14"/>
      <c r="I314" s="14"/>
      <c r="J314" s="14"/>
      <c r="K314" s="12"/>
    </row>
    <row r="315" ht="19.5" customHeight="1">
      <c r="A315" s="12"/>
      <c r="C315" s="12"/>
      <c r="D315" s="13"/>
      <c r="F315" s="14"/>
      <c r="G315" s="14"/>
      <c r="H315" s="14"/>
      <c r="I315" s="14"/>
      <c r="J315" s="14"/>
      <c r="K315" s="12"/>
    </row>
    <row r="316" ht="19.5" customHeight="1">
      <c r="A316" s="12"/>
      <c r="C316" s="12"/>
      <c r="D316" s="13"/>
      <c r="F316" s="14"/>
      <c r="G316" s="14"/>
      <c r="H316" s="14"/>
      <c r="I316" s="14"/>
      <c r="J316" s="14"/>
      <c r="K316" s="12"/>
    </row>
    <row r="317" ht="19.5" customHeight="1">
      <c r="A317" s="12"/>
      <c r="C317" s="12"/>
      <c r="D317" s="13"/>
      <c r="F317" s="14"/>
      <c r="G317" s="14"/>
      <c r="H317" s="14"/>
      <c r="I317" s="14"/>
      <c r="J317" s="14"/>
      <c r="K317" s="12"/>
    </row>
    <row r="318" ht="19.5" customHeight="1">
      <c r="A318" s="12"/>
      <c r="C318" s="12"/>
      <c r="D318" s="13"/>
      <c r="F318" s="14"/>
      <c r="G318" s="14"/>
      <c r="H318" s="14"/>
      <c r="I318" s="14"/>
      <c r="J318" s="14"/>
      <c r="K318" s="12"/>
    </row>
    <row r="319" ht="19.5" customHeight="1">
      <c r="A319" s="12"/>
      <c r="C319" s="12"/>
      <c r="D319" s="13"/>
      <c r="F319" s="14"/>
      <c r="G319" s="14"/>
      <c r="H319" s="14"/>
      <c r="I319" s="14"/>
      <c r="J319" s="14"/>
      <c r="K319" s="12"/>
    </row>
    <row r="320" ht="19.5" customHeight="1">
      <c r="A320" s="12"/>
      <c r="C320" s="12"/>
      <c r="D320" s="13"/>
      <c r="F320" s="14"/>
      <c r="G320" s="14"/>
      <c r="H320" s="14"/>
      <c r="I320" s="14"/>
      <c r="J320" s="14"/>
      <c r="K320" s="12"/>
    </row>
    <row r="321" ht="19.5" customHeight="1">
      <c r="A321" s="12"/>
      <c r="C321" s="12"/>
      <c r="D321" s="13"/>
      <c r="F321" s="14"/>
      <c r="G321" s="14"/>
      <c r="H321" s="14"/>
      <c r="I321" s="14"/>
      <c r="J321" s="14"/>
      <c r="K321" s="12"/>
    </row>
    <row r="322" ht="19.5" customHeight="1">
      <c r="A322" s="12"/>
      <c r="C322" s="12"/>
      <c r="D322" s="13"/>
      <c r="F322" s="14"/>
      <c r="G322" s="14"/>
      <c r="H322" s="14"/>
      <c r="I322" s="14"/>
      <c r="J322" s="14"/>
      <c r="K322" s="12"/>
    </row>
    <row r="323" ht="19.5" customHeight="1">
      <c r="A323" s="12"/>
      <c r="C323" s="12"/>
      <c r="D323" s="13"/>
      <c r="F323" s="14"/>
      <c r="G323" s="14"/>
      <c r="H323" s="14"/>
      <c r="I323" s="14"/>
      <c r="J323" s="14"/>
      <c r="K323" s="12"/>
    </row>
    <row r="324" ht="19.5" customHeight="1">
      <c r="A324" s="12"/>
      <c r="C324" s="12"/>
      <c r="D324" s="13"/>
      <c r="F324" s="14"/>
      <c r="G324" s="14"/>
      <c r="H324" s="14"/>
      <c r="I324" s="14"/>
      <c r="J324" s="14"/>
      <c r="K324" s="12"/>
    </row>
    <row r="325" ht="19.5" customHeight="1">
      <c r="A325" s="12"/>
      <c r="C325" s="12"/>
      <c r="D325" s="13"/>
      <c r="F325" s="14"/>
      <c r="G325" s="14"/>
      <c r="H325" s="14"/>
      <c r="I325" s="14"/>
      <c r="J325" s="14"/>
      <c r="K325" s="12"/>
    </row>
    <row r="326" ht="19.5" customHeight="1">
      <c r="A326" s="12"/>
      <c r="C326" s="12"/>
      <c r="D326" s="13"/>
      <c r="F326" s="14"/>
      <c r="G326" s="14"/>
      <c r="H326" s="14"/>
      <c r="I326" s="14"/>
      <c r="J326" s="14"/>
      <c r="K326" s="12"/>
    </row>
    <row r="327" ht="19.5" customHeight="1">
      <c r="A327" s="12"/>
      <c r="C327" s="12"/>
      <c r="D327" s="13"/>
      <c r="F327" s="14"/>
      <c r="G327" s="14"/>
      <c r="H327" s="14"/>
      <c r="I327" s="14"/>
      <c r="J327" s="14"/>
      <c r="K327" s="12"/>
    </row>
    <row r="328" ht="19.5" customHeight="1">
      <c r="A328" s="12"/>
      <c r="C328" s="12"/>
      <c r="D328" s="13"/>
      <c r="F328" s="14"/>
      <c r="G328" s="14"/>
      <c r="H328" s="14"/>
      <c r="I328" s="14"/>
      <c r="J328" s="14"/>
      <c r="K328" s="12"/>
    </row>
    <row r="329" ht="19.5" customHeight="1">
      <c r="A329" s="12"/>
      <c r="C329" s="12"/>
      <c r="D329" s="13"/>
      <c r="F329" s="14"/>
      <c r="G329" s="14"/>
      <c r="H329" s="14"/>
      <c r="I329" s="14"/>
      <c r="J329" s="14"/>
      <c r="K329" s="12"/>
    </row>
    <row r="330" ht="19.5" customHeight="1">
      <c r="A330" s="12"/>
      <c r="C330" s="12"/>
      <c r="D330" s="13"/>
      <c r="F330" s="14"/>
      <c r="G330" s="14"/>
      <c r="H330" s="14"/>
      <c r="I330" s="14"/>
      <c r="J330" s="14"/>
      <c r="K330" s="12"/>
    </row>
    <row r="331" ht="19.5" customHeight="1">
      <c r="A331" s="12"/>
      <c r="C331" s="12"/>
      <c r="D331" s="13"/>
      <c r="F331" s="14"/>
      <c r="G331" s="14"/>
      <c r="H331" s="14"/>
      <c r="I331" s="14"/>
      <c r="J331" s="14"/>
      <c r="K331" s="12"/>
    </row>
    <row r="332" ht="19.5" customHeight="1">
      <c r="A332" s="12"/>
      <c r="C332" s="12"/>
      <c r="D332" s="13"/>
      <c r="F332" s="14"/>
      <c r="G332" s="14"/>
      <c r="H332" s="14"/>
      <c r="I332" s="14"/>
      <c r="J332" s="14"/>
      <c r="K332" s="12"/>
    </row>
    <row r="333" ht="19.5" customHeight="1">
      <c r="A333" s="12"/>
      <c r="C333" s="12"/>
      <c r="D333" s="13"/>
      <c r="F333" s="14"/>
      <c r="G333" s="14"/>
      <c r="H333" s="14"/>
      <c r="I333" s="14"/>
      <c r="J333" s="14"/>
      <c r="K333" s="12"/>
    </row>
    <row r="334" ht="19.5" customHeight="1">
      <c r="A334" s="12"/>
      <c r="C334" s="12"/>
      <c r="D334" s="13"/>
      <c r="F334" s="14"/>
      <c r="G334" s="14"/>
      <c r="H334" s="14"/>
      <c r="I334" s="14"/>
      <c r="J334" s="14"/>
      <c r="K334" s="12"/>
    </row>
    <row r="335" ht="19.5" customHeight="1">
      <c r="A335" s="12"/>
      <c r="C335" s="12"/>
      <c r="D335" s="13"/>
      <c r="F335" s="14"/>
      <c r="G335" s="14"/>
      <c r="H335" s="14"/>
      <c r="I335" s="14"/>
      <c r="J335" s="14"/>
      <c r="K335" s="12"/>
    </row>
    <row r="336" ht="19.5" customHeight="1">
      <c r="A336" s="12"/>
      <c r="C336" s="12"/>
      <c r="D336" s="13"/>
      <c r="F336" s="14"/>
      <c r="G336" s="14"/>
      <c r="H336" s="14"/>
      <c r="I336" s="14"/>
      <c r="J336" s="14"/>
      <c r="K336" s="12"/>
    </row>
    <row r="337" ht="19.5" customHeight="1">
      <c r="A337" s="12"/>
      <c r="C337" s="12"/>
      <c r="D337" s="13"/>
      <c r="F337" s="14"/>
      <c r="G337" s="14"/>
      <c r="H337" s="14"/>
      <c r="I337" s="14"/>
      <c r="J337" s="14"/>
      <c r="K337" s="12"/>
    </row>
    <row r="338" ht="19.5" customHeight="1">
      <c r="A338" s="12"/>
      <c r="C338" s="12"/>
      <c r="D338" s="13"/>
      <c r="F338" s="14"/>
      <c r="G338" s="14"/>
      <c r="H338" s="14"/>
      <c r="I338" s="14"/>
      <c r="J338" s="14"/>
      <c r="K338" s="12"/>
    </row>
    <row r="339" ht="19.5" customHeight="1">
      <c r="A339" s="12"/>
      <c r="C339" s="12"/>
      <c r="D339" s="13"/>
      <c r="F339" s="14"/>
      <c r="G339" s="14"/>
      <c r="H339" s="14"/>
      <c r="I339" s="14"/>
      <c r="J339" s="14"/>
      <c r="K339" s="12"/>
    </row>
    <row r="340" ht="19.5" customHeight="1">
      <c r="A340" s="12"/>
      <c r="C340" s="12"/>
      <c r="D340" s="13"/>
      <c r="F340" s="14"/>
      <c r="G340" s="14"/>
      <c r="H340" s="14"/>
      <c r="I340" s="14"/>
      <c r="J340" s="14"/>
      <c r="K340" s="12"/>
    </row>
    <row r="341" ht="19.5" customHeight="1">
      <c r="A341" s="12"/>
      <c r="C341" s="12"/>
      <c r="D341" s="13"/>
      <c r="F341" s="14"/>
      <c r="G341" s="14"/>
      <c r="H341" s="14"/>
      <c r="I341" s="14"/>
      <c r="J341" s="14"/>
      <c r="K341" s="12"/>
    </row>
    <row r="342" ht="19.5" customHeight="1">
      <c r="A342" s="12"/>
      <c r="C342" s="12"/>
      <c r="D342" s="13"/>
      <c r="F342" s="14"/>
      <c r="G342" s="14"/>
      <c r="H342" s="14"/>
      <c r="I342" s="14"/>
      <c r="J342" s="14"/>
      <c r="K342" s="12"/>
    </row>
    <row r="343" ht="19.5" customHeight="1">
      <c r="A343" s="12"/>
      <c r="C343" s="12"/>
      <c r="D343" s="13"/>
      <c r="F343" s="14"/>
      <c r="G343" s="14"/>
      <c r="H343" s="14"/>
      <c r="I343" s="14"/>
      <c r="J343" s="14"/>
      <c r="K343" s="12"/>
    </row>
    <row r="344" ht="19.5" customHeight="1">
      <c r="A344" s="12"/>
      <c r="C344" s="12"/>
      <c r="D344" s="13"/>
      <c r="F344" s="14"/>
      <c r="G344" s="14"/>
      <c r="H344" s="14"/>
      <c r="I344" s="14"/>
      <c r="J344" s="14"/>
      <c r="K344" s="12"/>
    </row>
    <row r="345" ht="19.5" customHeight="1">
      <c r="A345" s="12"/>
      <c r="C345" s="12"/>
      <c r="D345" s="13"/>
      <c r="F345" s="14"/>
      <c r="G345" s="14"/>
      <c r="H345" s="14"/>
      <c r="I345" s="14"/>
      <c r="J345" s="14"/>
      <c r="K345" s="12"/>
    </row>
    <row r="346" ht="19.5" customHeight="1">
      <c r="A346" s="12"/>
      <c r="C346" s="12"/>
      <c r="D346" s="13"/>
      <c r="F346" s="14"/>
      <c r="G346" s="14"/>
      <c r="H346" s="14"/>
      <c r="I346" s="14"/>
      <c r="J346" s="14"/>
      <c r="K346" s="12"/>
    </row>
    <row r="347" ht="19.5" customHeight="1">
      <c r="A347" s="12"/>
      <c r="C347" s="12"/>
      <c r="D347" s="13"/>
      <c r="F347" s="14"/>
      <c r="G347" s="14"/>
      <c r="H347" s="14"/>
      <c r="I347" s="14"/>
      <c r="J347" s="14"/>
      <c r="K347" s="12"/>
    </row>
    <row r="348" ht="19.5" customHeight="1">
      <c r="A348" s="12"/>
      <c r="C348" s="12"/>
      <c r="D348" s="13"/>
      <c r="F348" s="14"/>
      <c r="G348" s="14"/>
      <c r="H348" s="14"/>
      <c r="I348" s="14"/>
      <c r="J348" s="14"/>
      <c r="K348" s="12"/>
    </row>
    <row r="349" ht="19.5" customHeight="1">
      <c r="A349" s="12"/>
      <c r="C349" s="12"/>
      <c r="D349" s="13"/>
      <c r="F349" s="14"/>
      <c r="G349" s="14"/>
      <c r="H349" s="14"/>
      <c r="I349" s="14"/>
      <c r="J349" s="14"/>
      <c r="K349" s="12"/>
    </row>
    <row r="350" ht="19.5" customHeight="1">
      <c r="A350" s="12"/>
      <c r="C350" s="12"/>
      <c r="D350" s="13"/>
      <c r="F350" s="14"/>
      <c r="G350" s="14"/>
      <c r="H350" s="14"/>
      <c r="I350" s="14"/>
      <c r="J350" s="14"/>
      <c r="K350" s="12"/>
    </row>
    <row r="351" ht="19.5" customHeight="1">
      <c r="A351" s="12"/>
      <c r="C351" s="12"/>
      <c r="D351" s="13"/>
      <c r="F351" s="14"/>
      <c r="G351" s="14"/>
      <c r="H351" s="14"/>
      <c r="I351" s="14"/>
      <c r="J351" s="14"/>
      <c r="K351" s="12"/>
    </row>
    <row r="352" ht="19.5" customHeight="1">
      <c r="A352" s="12"/>
      <c r="C352" s="12"/>
      <c r="D352" s="13"/>
      <c r="F352" s="14"/>
      <c r="G352" s="14"/>
      <c r="H352" s="14"/>
      <c r="I352" s="14"/>
      <c r="J352" s="14"/>
      <c r="K352" s="12"/>
    </row>
    <row r="353" ht="19.5" customHeight="1">
      <c r="A353" s="12"/>
      <c r="C353" s="12"/>
      <c r="D353" s="13"/>
      <c r="F353" s="14"/>
      <c r="G353" s="14"/>
      <c r="H353" s="14"/>
      <c r="I353" s="14"/>
      <c r="J353" s="14"/>
      <c r="K353" s="12"/>
    </row>
    <row r="354" ht="19.5" customHeight="1">
      <c r="A354" s="12"/>
      <c r="C354" s="12"/>
      <c r="D354" s="13"/>
      <c r="F354" s="14"/>
      <c r="G354" s="14"/>
      <c r="H354" s="14"/>
      <c r="I354" s="14"/>
      <c r="J354" s="14"/>
      <c r="K354" s="12"/>
    </row>
    <row r="355" ht="19.5" customHeight="1">
      <c r="A355" s="12"/>
      <c r="C355" s="12"/>
      <c r="D355" s="13"/>
      <c r="F355" s="14"/>
      <c r="G355" s="14"/>
      <c r="H355" s="14"/>
      <c r="I355" s="14"/>
      <c r="J355" s="14"/>
      <c r="K355" s="12"/>
    </row>
    <row r="356" ht="19.5" customHeight="1">
      <c r="A356" s="12"/>
      <c r="C356" s="12"/>
      <c r="D356" s="13"/>
      <c r="F356" s="14"/>
      <c r="G356" s="14"/>
      <c r="H356" s="14"/>
      <c r="I356" s="14"/>
      <c r="J356" s="14"/>
      <c r="K356" s="12"/>
    </row>
    <row r="357" ht="19.5" customHeight="1">
      <c r="A357" s="12"/>
      <c r="C357" s="12"/>
      <c r="D357" s="13"/>
      <c r="F357" s="14"/>
      <c r="G357" s="14"/>
      <c r="H357" s="14"/>
      <c r="I357" s="14"/>
      <c r="J357" s="14"/>
      <c r="K357" s="12"/>
    </row>
    <row r="358" ht="19.5" customHeight="1">
      <c r="A358" s="12"/>
      <c r="C358" s="12"/>
      <c r="D358" s="13"/>
      <c r="F358" s="14"/>
      <c r="G358" s="14"/>
      <c r="H358" s="14"/>
      <c r="I358" s="14"/>
      <c r="J358" s="14"/>
      <c r="K358" s="12"/>
    </row>
    <row r="359" ht="19.5" customHeight="1">
      <c r="A359" s="12"/>
      <c r="C359" s="12"/>
      <c r="D359" s="13"/>
      <c r="F359" s="14"/>
      <c r="G359" s="14"/>
      <c r="H359" s="14"/>
      <c r="I359" s="14"/>
      <c r="J359" s="14"/>
      <c r="K359" s="12"/>
    </row>
    <row r="360" ht="19.5" customHeight="1">
      <c r="A360" s="12"/>
      <c r="C360" s="12"/>
      <c r="D360" s="13"/>
      <c r="F360" s="14"/>
      <c r="G360" s="14"/>
      <c r="H360" s="14"/>
      <c r="I360" s="14"/>
      <c r="J360" s="14"/>
      <c r="K360" s="12"/>
    </row>
    <row r="361" ht="19.5" customHeight="1">
      <c r="A361" s="12"/>
      <c r="C361" s="12"/>
      <c r="D361" s="13"/>
      <c r="F361" s="14"/>
      <c r="G361" s="14"/>
      <c r="H361" s="14"/>
      <c r="I361" s="14"/>
      <c r="J361" s="14"/>
      <c r="K361" s="12"/>
    </row>
    <row r="362" ht="19.5" customHeight="1">
      <c r="A362" s="12"/>
      <c r="C362" s="12"/>
      <c r="D362" s="13"/>
      <c r="F362" s="14"/>
      <c r="G362" s="14"/>
      <c r="H362" s="14"/>
      <c r="I362" s="14"/>
      <c r="J362" s="14"/>
      <c r="K362" s="12"/>
    </row>
    <row r="363" ht="19.5" customHeight="1">
      <c r="A363" s="12"/>
      <c r="C363" s="12"/>
      <c r="D363" s="13"/>
      <c r="F363" s="14"/>
      <c r="G363" s="14"/>
      <c r="H363" s="14"/>
      <c r="I363" s="14"/>
      <c r="J363" s="14"/>
      <c r="K363" s="12"/>
    </row>
    <row r="364" ht="19.5" customHeight="1">
      <c r="A364" s="12"/>
      <c r="C364" s="12"/>
      <c r="D364" s="13"/>
      <c r="F364" s="14"/>
      <c r="G364" s="14"/>
      <c r="H364" s="14"/>
      <c r="I364" s="14"/>
      <c r="J364" s="14"/>
      <c r="K364" s="12"/>
    </row>
    <row r="365" ht="19.5" customHeight="1">
      <c r="A365" s="12"/>
      <c r="C365" s="12"/>
      <c r="D365" s="13"/>
      <c r="F365" s="14"/>
      <c r="G365" s="14"/>
      <c r="H365" s="14"/>
      <c r="I365" s="14"/>
      <c r="J365" s="14"/>
      <c r="K365" s="12"/>
    </row>
    <row r="366" ht="19.5" customHeight="1">
      <c r="A366" s="12"/>
      <c r="C366" s="12"/>
      <c r="D366" s="13"/>
      <c r="F366" s="14"/>
      <c r="G366" s="14"/>
      <c r="H366" s="14"/>
      <c r="I366" s="14"/>
      <c r="J366" s="14"/>
      <c r="K366" s="12"/>
    </row>
    <row r="367" ht="19.5" customHeight="1">
      <c r="A367" s="12"/>
      <c r="C367" s="12"/>
      <c r="D367" s="13"/>
      <c r="F367" s="14"/>
      <c r="G367" s="14"/>
      <c r="H367" s="14"/>
      <c r="I367" s="14"/>
      <c r="J367" s="14"/>
      <c r="K367" s="12"/>
    </row>
    <row r="368" ht="19.5" customHeight="1">
      <c r="A368" s="12"/>
      <c r="C368" s="12"/>
      <c r="D368" s="13"/>
      <c r="F368" s="14"/>
      <c r="G368" s="14"/>
      <c r="H368" s="14"/>
      <c r="I368" s="14"/>
      <c r="J368" s="14"/>
      <c r="K368" s="12"/>
    </row>
    <row r="369" ht="19.5" customHeight="1">
      <c r="A369" s="12"/>
      <c r="C369" s="12"/>
      <c r="D369" s="13"/>
      <c r="F369" s="14"/>
      <c r="G369" s="14"/>
      <c r="H369" s="14"/>
      <c r="I369" s="14"/>
      <c r="J369" s="14"/>
      <c r="K369" s="12"/>
    </row>
    <row r="370" ht="19.5" customHeight="1">
      <c r="A370" s="12"/>
      <c r="C370" s="12"/>
      <c r="D370" s="13"/>
      <c r="F370" s="14"/>
      <c r="G370" s="14"/>
      <c r="H370" s="14"/>
      <c r="I370" s="14"/>
      <c r="J370" s="14"/>
      <c r="K370" s="12"/>
    </row>
    <row r="371" ht="19.5" customHeight="1">
      <c r="A371" s="12"/>
      <c r="C371" s="12"/>
      <c r="D371" s="13"/>
      <c r="F371" s="14"/>
      <c r="G371" s="14"/>
      <c r="H371" s="14"/>
      <c r="I371" s="14"/>
      <c r="J371" s="14"/>
      <c r="K371" s="12"/>
    </row>
    <row r="372" ht="19.5" customHeight="1">
      <c r="A372" s="12"/>
      <c r="C372" s="12"/>
      <c r="D372" s="13"/>
      <c r="F372" s="14"/>
      <c r="G372" s="14"/>
      <c r="H372" s="14"/>
      <c r="I372" s="14"/>
      <c r="J372" s="14"/>
      <c r="K372" s="12"/>
    </row>
    <row r="373" ht="19.5" customHeight="1">
      <c r="A373" s="12"/>
      <c r="C373" s="12"/>
      <c r="D373" s="13"/>
      <c r="F373" s="14"/>
      <c r="G373" s="14"/>
      <c r="H373" s="14"/>
      <c r="I373" s="14"/>
      <c r="J373" s="14"/>
      <c r="K373" s="12"/>
    </row>
    <row r="374" ht="19.5" customHeight="1">
      <c r="A374" s="12"/>
      <c r="C374" s="12"/>
      <c r="D374" s="13"/>
      <c r="F374" s="14"/>
      <c r="G374" s="14"/>
      <c r="H374" s="14"/>
      <c r="I374" s="14"/>
      <c r="J374" s="14"/>
      <c r="K374" s="12"/>
    </row>
    <row r="375" ht="19.5" customHeight="1">
      <c r="A375" s="12"/>
      <c r="C375" s="12"/>
      <c r="D375" s="13"/>
      <c r="F375" s="14"/>
      <c r="G375" s="14"/>
      <c r="H375" s="14"/>
      <c r="I375" s="14"/>
      <c r="J375" s="14"/>
      <c r="K375" s="12"/>
    </row>
    <row r="376" ht="19.5" customHeight="1">
      <c r="A376" s="12"/>
      <c r="C376" s="12"/>
      <c r="D376" s="13"/>
      <c r="F376" s="14"/>
      <c r="G376" s="14"/>
      <c r="H376" s="14"/>
      <c r="I376" s="14"/>
      <c r="J376" s="14"/>
      <c r="K376" s="12"/>
    </row>
    <row r="377" ht="19.5" customHeight="1">
      <c r="A377" s="12"/>
      <c r="C377" s="12"/>
      <c r="D377" s="13"/>
      <c r="F377" s="14"/>
      <c r="G377" s="14"/>
      <c r="H377" s="14"/>
      <c r="I377" s="14"/>
      <c r="J377" s="14"/>
      <c r="K377" s="12"/>
    </row>
    <row r="378" ht="19.5" customHeight="1">
      <c r="A378" s="12"/>
      <c r="C378" s="12"/>
      <c r="D378" s="13"/>
      <c r="F378" s="14"/>
      <c r="G378" s="14"/>
      <c r="H378" s="14"/>
      <c r="I378" s="14"/>
      <c r="J378" s="14"/>
      <c r="K378" s="12"/>
    </row>
    <row r="379" ht="19.5" customHeight="1">
      <c r="A379" s="12"/>
      <c r="C379" s="12"/>
      <c r="D379" s="13"/>
      <c r="F379" s="14"/>
      <c r="G379" s="14"/>
      <c r="H379" s="14"/>
      <c r="I379" s="14"/>
      <c r="J379" s="14"/>
      <c r="K379" s="12"/>
    </row>
    <row r="380" ht="19.5" customHeight="1">
      <c r="A380" s="12"/>
      <c r="C380" s="12"/>
      <c r="D380" s="13"/>
      <c r="F380" s="14"/>
      <c r="G380" s="14"/>
      <c r="H380" s="14"/>
      <c r="I380" s="14"/>
      <c r="J380" s="14"/>
      <c r="K380" s="12"/>
    </row>
    <row r="381" ht="19.5" customHeight="1">
      <c r="A381" s="12"/>
      <c r="C381" s="12"/>
      <c r="D381" s="13"/>
      <c r="F381" s="14"/>
      <c r="G381" s="14"/>
      <c r="H381" s="14"/>
      <c r="I381" s="14"/>
      <c r="J381" s="14"/>
      <c r="K381" s="12"/>
    </row>
    <row r="382" ht="19.5" customHeight="1">
      <c r="A382" s="12"/>
      <c r="C382" s="12"/>
      <c r="D382" s="13"/>
      <c r="F382" s="14"/>
      <c r="G382" s="14"/>
      <c r="H382" s="14"/>
      <c r="I382" s="14"/>
      <c r="J382" s="14"/>
      <c r="K382" s="12"/>
    </row>
    <row r="383" ht="19.5" customHeight="1">
      <c r="A383" s="12"/>
      <c r="C383" s="12"/>
      <c r="D383" s="13"/>
      <c r="F383" s="14"/>
      <c r="G383" s="14"/>
      <c r="H383" s="14"/>
      <c r="I383" s="14"/>
      <c r="J383" s="14"/>
      <c r="K383" s="12"/>
    </row>
    <row r="384" ht="19.5" customHeight="1">
      <c r="A384" s="12"/>
      <c r="C384" s="12"/>
      <c r="D384" s="13"/>
      <c r="F384" s="14"/>
      <c r="G384" s="14"/>
      <c r="H384" s="14"/>
      <c r="I384" s="14"/>
      <c r="J384" s="14"/>
      <c r="K384" s="12"/>
    </row>
    <row r="385" ht="19.5" customHeight="1">
      <c r="A385" s="12"/>
      <c r="C385" s="12"/>
      <c r="D385" s="13"/>
      <c r="F385" s="14"/>
      <c r="G385" s="14"/>
      <c r="H385" s="14"/>
      <c r="I385" s="14"/>
      <c r="J385" s="14"/>
      <c r="K385" s="12"/>
    </row>
    <row r="386" ht="19.5" customHeight="1">
      <c r="A386" s="12"/>
      <c r="C386" s="12"/>
      <c r="D386" s="13"/>
      <c r="F386" s="14"/>
      <c r="G386" s="14"/>
      <c r="H386" s="14"/>
      <c r="I386" s="14"/>
      <c r="J386" s="14"/>
      <c r="K386" s="12"/>
    </row>
    <row r="387" ht="19.5" customHeight="1">
      <c r="A387" s="12"/>
      <c r="C387" s="12"/>
      <c r="D387" s="13"/>
      <c r="F387" s="14"/>
      <c r="G387" s="14"/>
      <c r="H387" s="14"/>
      <c r="I387" s="14"/>
      <c r="J387" s="14"/>
      <c r="K387" s="12"/>
    </row>
    <row r="388" ht="19.5" customHeight="1">
      <c r="A388" s="12"/>
      <c r="C388" s="12"/>
      <c r="D388" s="13"/>
      <c r="F388" s="14"/>
      <c r="G388" s="14"/>
      <c r="H388" s="14"/>
      <c r="I388" s="14"/>
      <c r="J388" s="14"/>
      <c r="K388" s="12"/>
    </row>
    <row r="389" ht="19.5" customHeight="1">
      <c r="A389" s="12"/>
      <c r="C389" s="12"/>
      <c r="D389" s="13"/>
      <c r="F389" s="14"/>
      <c r="G389" s="14"/>
      <c r="H389" s="14"/>
      <c r="I389" s="14"/>
      <c r="J389" s="14"/>
      <c r="K389" s="12"/>
    </row>
    <row r="390" ht="19.5" customHeight="1">
      <c r="A390" s="12"/>
      <c r="C390" s="12"/>
      <c r="D390" s="13"/>
      <c r="F390" s="14"/>
      <c r="G390" s="14"/>
      <c r="H390" s="14"/>
      <c r="I390" s="14"/>
      <c r="J390" s="14"/>
      <c r="K390" s="12"/>
    </row>
    <row r="391" ht="19.5" customHeight="1">
      <c r="A391" s="12"/>
      <c r="C391" s="12"/>
      <c r="D391" s="13"/>
      <c r="F391" s="14"/>
      <c r="G391" s="14"/>
      <c r="H391" s="14"/>
      <c r="I391" s="14"/>
      <c r="J391" s="14"/>
      <c r="K391" s="12"/>
    </row>
    <row r="392" ht="19.5" customHeight="1">
      <c r="A392" s="12"/>
      <c r="C392" s="12"/>
      <c r="D392" s="13"/>
      <c r="F392" s="14"/>
      <c r="G392" s="14"/>
      <c r="H392" s="14"/>
      <c r="I392" s="14"/>
      <c r="J392" s="14"/>
      <c r="K392" s="12"/>
    </row>
    <row r="393" ht="19.5" customHeight="1">
      <c r="A393" s="12"/>
      <c r="C393" s="12"/>
      <c r="D393" s="13"/>
      <c r="F393" s="14"/>
      <c r="G393" s="14"/>
      <c r="H393" s="14"/>
      <c r="I393" s="14"/>
      <c r="J393" s="14"/>
      <c r="K393" s="12"/>
    </row>
    <row r="394" ht="19.5" customHeight="1">
      <c r="A394" s="12"/>
      <c r="C394" s="12"/>
      <c r="D394" s="13"/>
      <c r="F394" s="14"/>
      <c r="G394" s="14"/>
      <c r="H394" s="14"/>
      <c r="I394" s="14"/>
      <c r="J394" s="14"/>
      <c r="K394" s="12"/>
    </row>
    <row r="395" ht="19.5" customHeight="1">
      <c r="A395" s="12"/>
      <c r="C395" s="12"/>
      <c r="D395" s="13"/>
      <c r="F395" s="14"/>
      <c r="G395" s="14"/>
      <c r="H395" s="14"/>
      <c r="I395" s="14"/>
      <c r="J395" s="14"/>
      <c r="K395" s="12"/>
    </row>
    <row r="396" ht="19.5" customHeight="1">
      <c r="A396" s="12"/>
      <c r="C396" s="12"/>
      <c r="D396" s="13"/>
      <c r="F396" s="14"/>
      <c r="G396" s="14"/>
      <c r="H396" s="14"/>
      <c r="I396" s="14"/>
      <c r="J396" s="14"/>
      <c r="K396" s="12"/>
    </row>
    <row r="397" ht="19.5" customHeight="1">
      <c r="A397" s="12"/>
      <c r="C397" s="12"/>
      <c r="D397" s="13"/>
      <c r="F397" s="14"/>
      <c r="G397" s="14"/>
      <c r="H397" s="14"/>
      <c r="I397" s="14"/>
      <c r="J397" s="14"/>
      <c r="K397" s="12"/>
    </row>
    <row r="398" ht="19.5" customHeight="1">
      <c r="A398" s="12"/>
      <c r="C398" s="12"/>
      <c r="D398" s="13"/>
      <c r="F398" s="14"/>
      <c r="G398" s="14"/>
      <c r="H398" s="14"/>
      <c r="I398" s="14"/>
      <c r="J398" s="14"/>
      <c r="K398" s="12"/>
    </row>
    <row r="399" ht="19.5" customHeight="1">
      <c r="A399" s="12"/>
      <c r="C399" s="12"/>
      <c r="D399" s="13"/>
      <c r="F399" s="14"/>
      <c r="G399" s="14"/>
      <c r="H399" s="14"/>
      <c r="I399" s="14"/>
      <c r="J399" s="14"/>
      <c r="K399" s="12"/>
    </row>
    <row r="400" ht="19.5" customHeight="1">
      <c r="A400" s="12"/>
      <c r="C400" s="12"/>
      <c r="D400" s="13"/>
      <c r="F400" s="14"/>
      <c r="G400" s="14"/>
      <c r="H400" s="14"/>
      <c r="I400" s="14"/>
      <c r="J400" s="14"/>
      <c r="K400" s="12"/>
    </row>
    <row r="401" ht="19.5" customHeight="1">
      <c r="A401" s="12"/>
      <c r="C401" s="12"/>
      <c r="D401" s="13"/>
      <c r="F401" s="14"/>
      <c r="G401" s="14"/>
      <c r="H401" s="14"/>
      <c r="I401" s="14"/>
      <c r="J401" s="14"/>
      <c r="K401" s="12"/>
    </row>
    <row r="402" ht="19.5" customHeight="1">
      <c r="A402" s="12"/>
      <c r="C402" s="12"/>
      <c r="D402" s="13"/>
      <c r="F402" s="14"/>
      <c r="G402" s="14"/>
      <c r="H402" s="14"/>
      <c r="I402" s="14"/>
      <c r="J402" s="14"/>
      <c r="K402" s="12"/>
    </row>
    <row r="403" ht="19.5" customHeight="1">
      <c r="A403" s="12"/>
      <c r="C403" s="12"/>
      <c r="D403" s="13"/>
      <c r="F403" s="14"/>
      <c r="G403" s="14"/>
      <c r="H403" s="14"/>
      <c r="I403" s="14"/>
      <c r="J403" s="14"/>
      <c r="K403" s="12"/>
    </row>
    <row r="404" ht="19.5" customHeight="1">
      <c r="A404" s="12"/>
      <c r="C404" s="12"/>
      <c r="D404" s="13"/>
      <c r="F404" s="14"/>
      <c r="G404" s="14"/>
      <c r="H404" s="14"/>
      <c r="I404" s="14"/>
      <c r="J404" s="14"/>
      <c r="K404" s="12"/>
    </row>
    <row r="405" ht="19.5" customHeight="1">
      <c r="A405" s="12"/>
      <c r="C405" s="12"/>
      <c r="D405" s="13"/>
      <c r="F405" s="14"/>
      <c r="G405" s="14"/>
      <c r="H405" s="14"/>
      <c r="I405" s="14"/>
      <c r="J405" s="14"/>
      <c r="K405" s="12"/>
    </row>
    <row r="406" ht="19.5" customHeight="1">
      <c r="A406" s="12"/>
      <c r="C406" s="12"/>
      <c r="D406" s="13"/>
      <c r="F406" s="14"/>
      <c r="G406" s="14"/>
      <c r="H406" s="14"/>
      <c r="I406" s="14"/>
      <c r="J406" s="14"/>
      <c r="K406" s="12"/>
    </row>
    <row r="407" ht="19.5" customHeight="1">
      <c r="A407" s="12"/>
      <c r="C407" s="12"/>
      <c r="D407" s="13"/>
      <c r="F407" s="14"/>
      <c r="G407" s="14"/>
      <c r="H407" s="14"/>
      <c r="I407" s="14"/>
      <c r="J407" s="14"/>
      <c r="K407" s="12"/>
    </row>
    <row r="408" ht="19.5" customHeight="1">
      <c r="A408" s="12"/>
      <c r="C408" s="12"/>
      <c r="D408" s="13"/>
      <c r="F408" s="14"/>
      <c r="G408" s="14"/>
      <c r="H408" s="14"/>
      <c r="I408" s="14"/>
      <c r="J408" s="14"/>
      <c r="K408" s="12"/>
    </row>
    <row r="409" ht="19.5" customHeight="1">
      <c r="A409" s="12"/>
      <c r="C409" s="12"/>
      <c r="D409" s="13"/>
      <c r="F409" s="14"/>
      <c r="G409" s="14"/>
      <c r="H409" s="14"/>
      <c r="I409" s="14"/>
      <c r="J409" s="14"/>
      <c r="K409" s="12"/>
    </row>
    <row r="410" ht="19.5" customHeight="1">
      <c r="A410" s="12"/>
      <c r="C410" s="12"/>
      <c r="D410" s="13"/>
      <c r="F410" s="14"/>
      <c r="G410" s="14"/>
      <c r="H410" s="14"/>
      <c r="I410" s="14"/>
      <c r="J410" s="14"/>
      <c r="K410" s="12"/>
    </row>
    <row r="411" ht="19.5" customHeight="1">
      <c r="A411" s="12"/>
      <c r="C411" s="12"/>
      <c r="D411" s="13"/>
      <c r="F411" s="14"/>
      <c r="G411" s="14"/>
      <c r="H411" s="14"/>
      <c r="I411" s="14"/>
      <c r="J411" s="14"/>
      <c r="K411" s="12"/>
    </row>
    <row r="412" ht="19.5" customHeight="1">
      <c r="A412" s="12"/>
      <c r="C412" s="12"/>
      <c r="D412" s="13"/>
      <c r="F412" s="14"/>
      <c r="G412" s="14"/>
      <c r="H412" s="14"/>
      <c r="I412" s="14"/>
      <c r="J412" s="14"/>
      <c r="K412" s="12"/>
    </row>
    <row r="413" ht="19.5" customHeight="1">
      <c r="A413" s="12"/>
      <c r="C413" s="12"/>
      <c r="D413" s="13"/>
      <c r="F413" s="14"/>
      <c r="G413" s="14"/>
      <c r="H413" s="14"/>
      <c r="I413" s="14"/>
      <c r="J413" s="14"/>
      <c r="K413" s="12"/>
    </row>
    <row r="414" ht="19.5" customHeight="1">
      <c r="A414" s="12"/>
      <c r="C414" s="12"/>
      <c r="D414" s="13"/>
      <c r="F414" s="14"/>
      <c r="G414" s="14"/>
      <c r="H414" s="14"/>
      <c r="I414" s="14"/>
      <c r="J414" s="14"/>
      <c r="K414" s="12"/>
    </row>
    <row r="415" ht="19.5" customHeight="1">
      <c r="A415" s="12"/>
      <c r="C415" s="12"/>
      <c r="D415" s="13"/>
      <c r="F415" s="14"/>
      <c r="G415" s="14"/>
      <c r="H415" s="14"/>
      <c r="I415" s="14"/>
      <c r="J415" s="14"/>
      <c r="K415" s="12"/>
    </row>
    <row r="416" ht="19.5" customHeight="1">
      <c r="A416" s="12"/>
      <c r="C416" s="12"/>
      <c r="D416" s="13"/>
      <c r="F416" s="14"/>
      <c r="G416" s="14"/>
      <c r="H416" s="14"/>
      <c r="I416" s="14"/>
      <c r="J416" s="14"/>
      <c r="K416" s="12"/>
    </row>
    <row r="417" ht="19.5" customHeight="1">
      <c r="A417" s="12"/>
      <c r="C417" s="12"/>
      <c r="D417" s="13"/>
      <c r="F417" s="14"/>
      <c r="G417" s="14"/>
      <c r="H417" s="14"/>
      <c r="I417" s="14"/>
      <c r="J417" s="14"/>
      <c r="K417" s="12"/>
    </row>
    <row r="418" ht="19.5" customHeight="1">
      <c r="A418" s="12"/>
      <c r="C418" s="12"/>
      <c r="D418" s="13"/>
      <c r="F418" s="14"/>
      <c r="G418" s="14"/>
      <c r="H418" s="14"/>
      <c r="I418" s="14"/>
      <c r="J418" s="14"/>
      <c r="K418" s="12"/>
    </row>
    <row r="419" ht="19.5" customHeight="1">
      <c r="A419" s="12"/>
      <c r="C419" s="12"/>
      <c r="D419" s="13"/>
      <c r="F419" s="14"/>
      <c r="G419" s="14"/>
      <c r="H419" s="14"/>
      <c r="I419" s="14"/>
      <c r="J419" s="14"/>
      <c r="K419" s="12"/>
    </row>
    <row r="420" ht="19.5" customHeight="1">
      <c r="A420" s="12"/>
      <c r="C420" s="12"/>
      <c r="D420" s="13"/>
      <c r="F420" s="14"/>
      <c r="G420" s="14"/>
      <c r="H420" s="14"/>
      <c r="I420" s="14"/>
      <c r="J420" s="14"/>
      <c r="K420" s="12"/>
    </row>
    <row r="421" ht="19.5" customHeight="1">
      <c r="A421" s="12"/>
      <c r="C421" s="12"/>
      <c r="D421" s="13"/>
      <c r="F421" s="14"/>
      <c r="G421" s="14"/>
      <c r="H421" s="14"/>
      <c r="I421" s="14"/>
      <c r="J421" s="14"/>
      <c r="K421" s="12"/>
    </row>
    <row r="422" ht="19.5" customHeight="1">
      <c r="A422" s="12"/>
      <c r="C422" s="12"/>
      <c r="D422" s="13"/>
      <c r="F422" s="14"/>
      <c r="G422" s="14"/>
      <c r="H422" s="14"/>
      <c r="I422" s="14"/>
      <c r="J422" s="14"/>
      <c r="K422" s="12"/>
    </row>
    <row r="423" ht="19.5" customHeight="1">
      <c r="A423" s="12"/>
      <c r="C423" s="12"/>
      <c r="D423" s="13"/>
      <c r="F423" s="14"/>
      <c r="G423" s="14"/>
      <c r="H423" s="14"/>
      <c r="I423" s="14"/>
      <c r="J423" s="14"/>
      <c r="K423" s="12"/>
    </row>
    <row r="424" ht="19.5" customHeight="1">
      <c r="A424" s="12"/>
      <c r="C424" s="12"/>
      <c r="D424" s="13"/>
      <c r="F424" s="14"/>
      <c r="G424" s="14"/>
      <c r="H424" s="14"/>
      <c r="I424" s="14"/>
      <c r="J424" s="14"/>
      <c r="K424" s="12"/>
    </row>
    <row r="425" ht="19.5" customHeight="1">
      <c r="A425" s="12"/>
      <c r="C425" s="12"/>
      <c r="D425" s="13"/>
      <c r="F425" s="14"/>
      <c r="G425" s="14"/>
      <c r="H425" s="14"/>
      <c r="I425" s="14"/>
      <c r="J425" s="14"/>
      <c r="K425" s="12"/>
    </row>
    <row r="426" ht="19.5" customHeight="1">
      <c r="A426" s="12"/>
      <c r="C426" s="12"/>
      <c r="D426" s="13"/>
      <c r="F426" s="14"/>
      <c r="G426" s="14"/>
      <c r="H426" s="14"/>
      <c r="I426" s="14"/>
      <c r="J426" s="14"/>
      <c r="K426" s="12"/>
    </row>
    <row r="427" ht="19.5" customHeight="1">
      <c r="A427" s="12"/>
      <c r="C427" s="12"/>
      <c r="D427" s="13"/>
      <c r="F427" s="14"/>
      <c r="G427" s="14"/>
      <c r="H427" s="14"/>
      <c r="I427" s="14"/>
      <c r="J427" s="14"/>
      <c r="K427" s="12"/>
    </row>
    <row r="428" ht="19.5" customHeight="1">
      <c r="A428" s="12"/>
      <c r="C428" s="12"/>
      <c r="D428" s="13"/>
      <c r="F428" s="14"/>
      <c r="G428" s="14"/>
      <c r="H428" s="14"/>
      <c r="I428" s="14"/>
      <c r="J428" s="14"/>
      <c r="K428" s="12"/>
    </row>
    <row r="429" ht="19.5" customHeight="1">
      <c r="A429" s="12"/>
      <c r="C429" s="12"/>
      <c r="D429" s="13"/>
      <c r="F429" s="14"/>
      <c r="G429" s="14"/>
      <c r="H429" s="14"/>
      <c r="I429" s="14"/>
      <c r="J429" s="14"/>
      <c r="K429" s="12"/>
    </row>
    <row r="430" ht="19.5" customHeight="1">
      <c r="A430" s="12"/>
      <c r="C430" s="12"/>
      <c r="D430" s="13"/>
      <c r="F430" s="14"/>
      <c r="G430" s="14"/>
      <c r="H430" s="14"/>
      <c r="I430" s="14"/>
      <c r="J430" s="14"/>
      <c r="K430" s="12"/>
    </row>
    <row r="431" ht="19.5" customHeight="1">
      <c r="A431" s="12"/>
      <c r="C431" s="12"/>
      <c r="D431" s="13"/>
      <c r="F431" s="14"/>
      <c r="G431" s="14"/>
      <c r="H431" s="14"/>
      <c r="I431" s="14"/>
      <c r="J431" s="14"/>
      <c r="K431" s="12"/>
    </row>
    <row r="432" ht="19.5" customHeight="1">
      <c r="A432" s="12"/>
      <c r="C432" s="12"/>
      <c r="D432" s="13"/>
      <c r="F432" s="14"/>
      <c r="G432" s="14"/>
      <c r="H432" s="14"/>
      <c r="I432" s="14"/>
      <c r="J432" s="14"/>
      <c r="K432" s="12"/>
    </row>
    <row r="433" ht="19.5" customHeight="1">
      <c r="A433" s="12"/>
      <c r="C433" s="12"/>
      <c r="D433" s="13"/>
      <c r="F433" s="14"/>
      <c r="G433" s="14"/>
      <c r="H433" s="14"/>
      <c r="I433" s="14"/>
      <c r="J433" s="14"/>
      <c r="K433" s="12"/>
    </row>
    <row r="434" ht="19.5" customHeight="1">
      <c r="A434" s="12"/>
      <c r="C434" s="12"/>
      <c r="D434" s="13"/>
      <c r="F434" s="14"/>
      <c r="G434" s="14"/>
      <c r="H434" s="14"/>
      <c r="I434" s="14"/>
      <c r="J434" s="14"/>
      <c r="K434" s="12"/>
    </row>
    <row r="435" ht="19.5" customHeight="1">
      <c r="A435" s="12"/>
      <c r="C435" s="12"/>
      <c r="D435" s="13"/>
      <c r="F435" s="14"/>
      <c r="G435" s="14"/>
      <c r="H435" s="14"/>
      <c r="I435" s="14"/>
      <c r="J435" s="14"/>
      <c r="K435" s="12"/>
    </row>
    <row r="436" ht="19.5" customHeight="1">
      <c r="A436" s="12"/>
      <c r="C436" s="12"/>
      <c r="D436" s="13"/>
      <c r="F436" s="14"/>
      <c r="G436" s="14"/>
      <c r="H436" s="14"/>
      <c r="I436" s="14"/>
      <c r="J436" s="14"/>
      <c r="K436" s="12"/>
    </row>
    <row r="437" ht="19.5" customHeight="1">
      <c r="A437" s="12"/>
      <c r="C437" s="12"/>
      <c r="D437" s="13"/>
      <c r="F437" s="14"/>
      <c r="G437" s="14"/>
      <c r="H437" s="14"/>
      <c r="I437" s="14"/>
      <c r="J437" s="14"/>
      <c r="K437" s="12"/>
    </row>
    <row r="438" ht="19.5" customHeight="1">
      <c r="A438" s="12"/>
      <c r="C438" s="12"/>
      <c r="D438" s="13"/>
      <c r="F438" s="14"/>
      <c r="G438" s="14"/>
      <c r="H438" s="14"/>
      <c r="I438" s="14"/>
      <c r="J438" s="14"/>
      <c r="K438" s="12"/>
    </row>
    <row r="439" ht="19.5" customHeight="1">
      <c r="A439" s="12"/>
      <c r="C439" s="12"/>
      <c r="D439" s="13"/>
      <c r="F439" s="14"/>
      <c r="G439" s="14"/>
      <c r="H439" s="14"/>
      <c r="I439" s="14"/>
      <c r="J439" s="14"/>
      <c r="K439" s="12"/>
    </row>
    <row r="440" ht="19.5" customHeight="1">
      <c r="A440" s="12"/>
      <c r="C440" s="12"/>
      <c r="D440" s="13"/>
      <c r="F440" s="14"/>
      <c r="G440" s="14"/>
      <c r="H440" s="14"/>
      <c r="I440" s="14"/>
      <c r="J440" s="14"/>
      <c r="K440" s="12"/>
    </row>
    <row r="441" ht="19.5" customHeight="1">
      <c r="A441" s="12"/>
      <c r="C441" s="12"/>
      <c r="D441" s="13"/>
      <c r="F441" s="14"/>
      <c r="G441" s="14"/>
      <c r="H441" s="14"/>
      <c r="I441" s="14"/>
      <c r="J441" s="14"/>
      <c r="K441" s="12"/>
    </row>
    <row r="442" ht="19.5" customHeight="1">
      <c r="A442" s="12"/>
      <c r="C442" s="12"/>
      <c r="D442" s="13"/>
      <c r="F442" s="14"/>
      <c r="G442" s="14"/>
      <c r="H442" s="14"/>
      <c r="I442" s="14"/>
      <c r="J442" s="14"/>
      <c r="K442" s="12"/>
    </row>
    <row r="443" ht="19.5" customHeight="1">
      <c r="A443" s="12"/>
      <c r="C443" s="12"/>
      <c r="D443" s="13"/>
      <c r="F443" s="14"/>
      <c r="G443" s="14"/>
      <c r="H443" s="14"/>
      <c r="I443" s="14"/>
      <c r="J443" s="14"/>
      <c r="K443" s="12"/>
    </row>
    <row r="444" ht="19.5" customHeight="1">
      <c r="A444" s="12"/>
      <c r="C444" s="12"/>
      <c r="D444" s="13"/>
      <c r="F444" s="14"/>
      <c r="G444" s="14"/>
      <c r="H444" s="14"/>
      <c r="I444" s="14"/>
      <c r="J444" s="14"/>
      <c r="K444" s="12"/>
    </row>
    <row r="445" ht="19.5" customHeight="1">
      <c r="A445" s="12"/>
      <c r="C445" s="12"/>
      <c r="D445" s="13"/>
      <c r="F445" s="14"/>
      <c r="G445" s="14"/>
      <c r="H445" s="14"/>
      <c r="I445" s="14"/>
      <c r="J445" s="14"/>
      <c r="K445" s="12"/>
    </row>
    <row r="446" ht="19.5" customHeight="1">
      <c r="A446" s="12"/>
      <c r="C446" s="12"/>
      <c r="D446" s="13"/>
      <c r="F446" s="14"/>
      <c r="G446" s="14"/>
      <c r="H446" s="14"/>
      <c r="I446" s="14"/>
      <c r="J446" s="14"/>
      <c r="K446" s="12"/>
    </row>
    <row r="447" ht="19.5" customHeight="1">
      <c r="A447" s="12"/>
      <c r="C447" s="12"/>
      <c r="D447" s="13"/>
      <c r="F447" s="14"/>
      <c r="G447" s="14"/>
      <c r="H447" s="14"/>
      <c r="I447" s="14"/>
      <c r="J447" s="14"/>
      <c r="K447" s="12"/>
    </row>
    <row r="448" ht="19.5" customHeight="1">
      <c r="A448" s="12"/>
      <c r="C448" s="12"/>
      <c r="D448" s="13"/>
      <c r="F448" s="14"/>
      <c r="G448" s="14"/>
      <c r="H448" s="14"/>
      <c r="I448" s="14"/>
      <c r="J448" s="14"/>
      <c r="K448" s="12"/>
    </row>
    <row r="449" ht="19.5" customHeight="1">
      <c r="A449" s="12"/>
      <c r="C449" s="12"/>
      <c r="D449" s="13"/>
      <c r="F449" s="14"/>
      <c r="G449" s="14"/>
      <c r="H449" s="14"/>
      <c r="I449" s="14"/>
      <c r="J449" s="14"/>
      <c r="K449" s="12"/>
    </row>
    <row r="450" ht="19.5" customHeight="1">
      <c r="A450" s="12"/>
      <c r="C450" s="12"/>
      <c r="D450" s="13"/>
      <c r="F450" s="14"/>
      <c r="G450" s="14"/>
      <c r="H450" s="14"/>
      <c r="I450" s="14"/>
      <c r="J450" s="14"/>
      <c r="K450" s="12"/>
    </row>
    <row r="451" ht="19.5" customHeight="1">
      <c r="A451" s="12"/>
      <c r="C451" s="12"/>
      <c r="D451" s="13"/>
      <c r="F451" s="14"/>
      <c r="G451" s="14"/>
      <c r="H451" s="14"/>
      <c r="I451" s="14"/>
      <c r="J451" s="14"/>
      <c r="K451" s="12"/>
    </row>
    <row r="452" ht="19.5" customHeight="1">
      <c r="A452" s="12"/>
      <c r="C452" s="12"/>
      <c r="D452" s="13"/>
      <c r="F452" s="14"/>
      <c r="G452" s="14"/>
      <c r="H452" s="14"/>
      <c r="I452" s="14"/>
      <c r="J452" s="14"/>
      <c r="K452" s="12"/>
    </row>
    <row r="453" ht="19.5" customHeight="1">
      <c r="A453" s="12"/>
      <c r="C453" s="12"/>
      <c r="D453" s="13"/>
      <c r="F453" s="14"/>
      <c r="G453" s="14"/>
      <c r="H453" s="14"/>
      <c r="I453" s="14"/>
      <c r="J453" s="14"/>
      <c r="K453" s="12"/>
    </row>
    <row r="454" ht="19.5" customHeight="1">
      <c r="A454" s="12"/>
      <c r="C454" s="12"/>
      <c r="D454" s="13"/>
      <c r="F454" s="14"/>
      <c r="G454" s="14"/>
      <c r="H454" s="14"/>
      <c r="I454" s="14"/>
      <c r="J454" s="14"/>
      <c r="K454" s="12"/>
    </row>
    <row r="455" ht="19.5" customHeight="1">
      <c r="A455" s="12"/>
      <c r="C455" s="12"/>
      <c r="D455" s="13"/>
      <c r="F455" s="14"/>
      <c r="G455" s="14"/>
      <c r="H455" s="14"/>
      <c r="I455" s="14"/>
      <c r="J455" s="14"/>
      <c r="K455" s="12"/>
    </row>
    <row r="456" ht="19.5" customHeight="1">
      <c r="A456" s="12"/>
      <c r="C456" s="12"/>
      <c r="D456" s="13"/>
      <c r="F456" s="14"/>
      <c r="G456" s="14"/>
      <c r="H456" s="14"/>
      <c r="I456" s="14"/>
      <c r="J456" s="14"/>
      <c r="K456" s="12"/>
    </row>
    <row r="457" ht="19.5" customHeight="1">
      <c r="A457" s="12"/>
      <c r="C457" s="12"/>
      <c r="D457" s="13"/>
      <c r="F457" s="14"/>
      <c r="G457" s="14"/>
      <c r="H457" s="14"/>
      <c r="I457" s="14"/>
      <c r="J457" s="14"/>
      <c r="K457" s="12"/>
    </row>
    <row r="458" ht="19.5" customHeight="1">
      <c r="A458" s="12"/>
      <c r="C458" s="12"/>
      <c r="D458" s="13"/>
      <c r="F458" s="14"/>
      <c r="G458" s="14"/>
      <c r="H458" s="14"/>
      <c r="I458" s="14"/>
      <c r="J458" s="14"/>
      <c r="K458" s="12"/>
    </row>
    <row r="459" ht="19.5" customHeight="1">
      <c r="A459" s="12"/>
      <c r="C459" s="12"/>
      <c r="D459" s="13"/>
      <c r="F459" s="14"/>
      <c r="G459" s="14"/>
      <c r="H459" s="14"/>
      <c r="I459" s="14"/>
      <c r="J459" s="14"/>
      <c r="K459" s="12"/>
    </row>
    <row r="460" ht="19.5" customHeight="1">
      <c r="A460" s="12"/>
      <c r="C460" s="12"/>
      <c r="D460" s="13"/>
      <c r="F460" s="14"/>
      <c r="G460" s="14"/>
      <c r="H460" s="14"/>
      <c r="I460" s="14"/>
      <c r="J460" s="14"/>
      <c r="K460" s="12"/>
    </row>
    <row r="461" ht="19.5" customHeight="1">
      <c r="A461" s="12"/>
      <c r="C461" s="12"/>
      <c r="D461" s="13"/>
      <c r="F461" s="14"/>
      <c r="G461" s="14"/>
      <c r="H461" s="14"/>
      <c r="I461" s="14"/>
      <c r="J461" s="14"/>
      <c r="K461" s="12"/>
    </row>
    <row r="462" ht="19.5" customHeight="1">
      <c r="A462" s="12"/>
      <c r="C462" s="12"/>
      <c r="D462" s="13"/>
      <c r="F462" s="14"/>
      <c r="G462" s="14"/>
      <c r="H462" s="14"/>
      <c r="I462" s="14"/>
      <c r="J462" s="14"/>
      <c r="K462" s="12"/>
    </row>
    <row r="463" ht="19.5" customHeight="1">
      <c r="A463" s="12"/>
      <c r="C463" s="12"/>
      <c r="D463" s="13"/>
      <c r="F463" s="14"/>
      <c r="G463" s="14"/>
      <c r="H463" s="14"/>
      <c r="I463" s="14"/>
      <c r="J463" s="14"/>
      <c r="K463" s="12"/>
    </row>
    <row r="464" ht="19.5" customHeight="1">
      <c r="A464" s="12"/>
      <c r="C464" s="12"/>
      <c r="D464" s="13"/>
      <c r="F464" s="14"/>
      <c r="G464" s="14"/>
      <c r="H464" s="14"/>
      <c r="I464" s="14"/>
      <c r="J464" s="14"/>
      <c r="K464" s="12"/>
    </row>
    <row r="465" ht="19.5" customHeight="1">
      <c r="A465" s="12"/>
      <c r="C465" s="12"/>
      <c r="D465" s="13"/>
      <c r="F465" s="14"/>
      <c r="G465" s="14"/>
      <c r="H465" s="14"/>
      <c r="I465" s="14"/>
      <c r="J465" s="14"/>
      <c r="K465" s="12"/>
    </row>
    <row r="466" ht="19.5" customHeight="1">
      <c r="A466" s="12"/>
      <c r="C466" s="12"/>
      <c r="D466" s="13"/>
      <c r="F466" s="14"/>
      <c r="G466" s="14"/>
      <c r="H466" s="14"/>
      <c r="I466" s="14"/>
      <c r="J466" s="14"/>
      <c r="K466" s="12"/>
    </row>
    <row r="467" ht="19.5" customHeight="1">
      <c r="A467" s="12"/>
      <c r="C467" s="12"/>
      <c r="D467" s="13"/>
      <c r="F467" s="14"/>
      <c r="G467" s="14"/>
      <c r="H467" s="14"/>
      <c r="I467" s="14"/>
      <c r="J467" s="14"/>
      <c r="K467" s="12"/>
    </row>
    <row r="468" ht="19.5" customHeight="1">
      <c r="A468" s="12"/>
      <c r="C468" s="12"/>
      <c r="D468" s="13"/>
      <c r="F468" s="14"/>
      <c r="G468" s="14"/>
      <c r="H468" s="14"/>
      <c r="I468" s="14"/>
      <c r="J468" s="14"/>
      <c r="K468" s="12"/>
    </row>
    <row r="469" ht="19.5" customHeight="1">
      <c r="A469" s="12"/>
      <c r="C469" s="12"/>
      <c r="D469" s="13"/>
      <c r="F469" s="14"/>
      <c r="G469" s="14"/>
      <c r="H469" s="14"/>
      <c r="I469" s="14"/>
      <c r="J469" s="14"/>
      <c r="K469" s="12"/>
    </row>
    <row r="470" ht="19.5" customHeight="1">
      <c r="A470" s="12"/>
      <c r="C470" s="12"/>
      <c r="D470" s="13"/>
      <c r="F470" s="14"/>
      <c r="G470" s="14"/>
      <c r="H470" s="14"/>
      <c r="I470" s="14"/>
      <c r="J470" s="14"/>
      <c r="K470" s="12"/>
    </row>
    <row r="471" ht="19.5" customHeight="1">
      <c r="A471" s="12"/>
      <c r="C471" s="12"/>
      <c r="D471" s="13"/>
      <c r="F471" s="14"/>
      <c r="G471" s="14"/>
      <c r="H471" s="14"/>
      <c r="I471" s="14"/>
      <c r="J471" s="14"/>
      <c r="K471" s="12"/>
    </row>
    <row r="472" ht="19.5" customHeight="1">
      <c r="A472" s="12"/>
      <c r="C472" s="12"/>
      <c r="D472" s="13"/>
      <c r="F472" s="14"/>
      <c r="G472" s="14"/>
      <c r="H472" s="14"/>
      <c r="I472" s="14"/>
      <c r="J472" s="14"/>
      <c r="K472" s="12"/>
    </row>
    <row r="473" ht="19.5" customHeight="1">
      <c r="A473" s="12"/>
      <c r="C473" s="12"/>
      <c r="D473" s="13"/>
      <c r="F473" s="14"/>
      <c r="G473" s="14"/>
      <c r="H473" s="14"/>
      <c r="I473" s="14"/>
      <c r="J473" s="14"/>
      <c r="K473" s="12"/>
    </row>
    <row r="474" ht="19.5" customHeight="1">
      <c r="A474" s="12"/>
      <c r="C474" s="12"/>
      <c r="D474" s="13"/>
      <c r="F474" s="14"/>
      <c r="G474" s="14"/>
      <c r="H474" s="14"/>
      <c r="I474" s="14"/>
      <c r="J474" s="14"/>
      <c r="K474" s="12"/>
    </row>
    <row r="475" ht="19.5" customHeight="1">
      <c r="A475" s="12"/>
      <c r="C475" s="12"/>
      <c r="D475" s="13"/>
      <c r="F475" s="14"/>
      <c r="G475" s="14"/>
      <c r="H475" s="14"/>
      <c r="I475" s="14"/>
      <c r="J475" s="14"/>
      <c r="K475" s="12"/>
    </row>
    <row r="476" ht="19.5" customHeight="1">
      <c r="A476" s="12"/>
      <c r="C476" s="12"/>
      <c r="D476" s="13"/>
      <c r="F476" s="14"/>
      <c r="G476" s="14"/>
      <c r="H476" s="14"/>
      <c r="I476" s="14"/>
      <c r="J476" s="14"/>
      <c r="K476" s="12"/>
    </row>
    <row r="477" ht="19.5" customHeight="1">
      <c r="A477" s="12"/>
      <c r="C477" s="12"/>
      <c r="D477" s="13"/>
      <c r="F477" s="14"/>
      <c r="G477" s="14"/>
      <c r="H477" s="14"/>
      <c r="I477" s="14"/>
      <c r="J477" s="14"/>
      <c r="K477" s="12"/>
    </row>
    <row r="478" ht="19.5" customHeight="1">
      <c r="A478" s="12"/>
      <c r="C478" s="12"/>
      <c r="D478" s="13"/>
      <c r="F478" s="14"/>
      <c r="G478" s="14"/>
      <c r="H478" s="14"/>
      <c r="I478" s="14"/>
      <c r="J478" s="14"/>
      <c r="K478" s="12"/>
    </row>
    <row r="479" ht="19.5" customHeight="1">
      <c r="A479" s="12"/>
      <c r="C479" s="12"/>
      <c r="D479" s="13"/>
      <c r="F479" s="14"/>
      <c r="G479" s="14"/>
      <c r="H479" s="14"/>
      <c r="I479" s="14"/>
      <c r="J479" s="14"/>
      <c r="K479" s="12"/>
    </row>
    <row r="480" ht="19.5" customHeight="1">
      <c r="A480" s="12"/>
      <c r="C480" s="12"/>
      <c r="D480" s="13"/>
      <c r="F480" s="14"/>
      <c r="G480" s="14"/>
      <c r="H480" s="14"/>
      <c r="I480" s="14"/>
      <c r="J480" s="14"/>
      <c r="K480" s="12"/>
    </row>
    <row r="481" ht="19.5" customHeight="1">
      <c r="A481" s="12"/>
      <c r="C481" s="12"/>
      <c r="D481" s="13"/>
      <c r="F481" s="14"/>
      <c r="G481" s="14"/>
      <c r="H481" s="14"/>
      <c r="I481" s="14"/>
      <c r="J481" s="14"/>
      <c r="K481" s="12"/>
    </row>
    <row r="482" ht="19.5" customHeight="1">
      <c r="A482" s="12"/>
      <c r="C482" s="12"/>
      <c r="D482" s="13"/>
      <c r="F482" s="14"/>
      <c r="G482" s="14"/>
      <c r="H482" s="14"/>
      <c r="I482" s="14"/>
      <c r="J482" s="14"/>
      <c r="K482" s="12"/>
    </row>
    <row r="483" ht="19.5" customHeight="1">
      <c r="A483" s="12"/>
      <c r="C483" s="12"/>
      <c r="D483" s="13"/>
      <c r="F483" s="14"/>
      <c r="G483" s="14"/>
      <c r="H483" s="14"/>
      <c r="I483" s="14"/>
      <c r="J483" s="14"/>
      <c r="K483" s="12"/>
    </row>
    <row r="484" ht="19.5" customHeight="1">
      <c r="A484" s="12"/>
      <c r="C484" s="12"/>
      <c r="D484" s="13"/>
      <c r="F484" s="14"/>
      <c r="G484" s="14"/>
      <c r="H484" s="14"/>
      <c r="I484" s="14"/>
      <c r="J484" s="14"/>
      <c r="K484" s="12"/>
    </row>
    <row r="485" ht="19.5" customHeight="1">
      <c r="A485" s="12"/>
      <c r="C485" s="12"/>
      <c r="D485" s="13"/>
      <c r="F485" s="14"/>
      <c r="G485" s="14"/>
      <c r="H485" s="14"/>
      <c r="I485" s="14"/>
      <c r="J485" s="14"/>
      <c r="K485" s="12"/>
    </row>
    <row r="486" ht="19.5" customHeight="1">
      <c r="A486" s="12"/>
      <c r="C486" s="12"/>
      <c r="D486" s="13"/>
      <c r="F486" s="14"/>
      <c r="G486" s="14"/>
      <c r="H486" s="14"/>
      <c r="I486" s="14"/>
      <c r="J486" s="14"/>
      <c r="K486" s="12"/>
    </row>
    <row r="487" ht="19.5" customHeight="1">
      <c r="A487" s="12"/>
      <c r="C487" s="12"/>
      <c r="D487" s="13"/>
      <c r="F487" s="14"/>
      <c r="G487" s="14"/>
      <c r="H487" s="14"/>
      <c r="I487" s="14"/>
      <c r="J487" s="14"/>
      <c r="K487" s="12"/>
    </row>
    <row r="488" ht="19.5" customHeight="1">
      <c r="A488" s="12"/>
      <c r="C488" s="12"/>
      <c r="D488" s="13"/>
      <c r="F488" s="14"/>
      <c r="G488" s="14"/>
      <c r="H488" s="14"/>
      <c r="I488" s="14"/>
      <c r="J488" s="14"/>
      <c r="K488" s="12"/>
    </row>
    <row r="489" ht="19.5" customHeight="1">
      <c r="A489" s="12"/>
      <c r="C489" s="12"/>
      <c r="D489" s="13"/>
      <c r="F489" s="14"/>
      <c r="G489" s="14"/>
      <c r="H489" s="14"/>
      <c r="I489" s="14"/>
      <c r="J489" s="14"/>
      <c r="K489" s="12"/>
    </row>
    <row r="490" ht="19.5" customHeight="1">
      <c r="A490" s="12"/>
      <c r="C490" s="12"/>
      <c r="D490" s="13"/>
      <c r="F490" s="14"/>
      <c r="G490" s="14"/>
      <c r="H490" s="14"/>
      <c r="I490" s="14"/>
      <c r="J490" s="14"/>
      <c r="K490" s="12"/>
    </row>
    <row r="491" ht="19.5" customHeight="1">
      <c r="A491" s="12"/>
      <c r="C491" s="12"/>
      <c r="D491" s="13"/>
      <c r="F491" s="14"/>
      <c r="G491" s="14"/>
      <c r="H491" s="14"/>
      <c r="I491" s="14"/>
      <c r="J491" s="14"/>
      <c r="K491" s="12"/>
    </row>
    <row r="492" ht="19.5" customHeight="1">
      <c r="A492" s="12"/>
      <c r="C492" s="12"/>
      <c r="D492" s="13"/>
      <c r="F492" s="14"/>
      <c r="G492" s="14"/>
      <c r="H492" s="14"/>
      <c r="I492" s="14"/>
      <c r="J492" s="14"/>
      <c r="K492" s="12"/>
    </row>
    <row r="493" ht="19.5" customHeight="1">
      <c r="A493" s="12"/>
      <c r="C493" s="12"/>
      <c r="D493" s="13"/>
      <c r="F493" s="14"/>
      <c r="G493" s="14"/>
      <c r="H493" s="14"/>
      <c r="I493" s="14"/>
      <c r="J493" s="14"/>
      <c r="K493" s="12"/>
    </row>
    <row r="494" ht="19.5" customHeight="1">
      <c r="A494" s="12"/>
      <c r="C494" s="12"/>
      <c r="D494" s="13"/>
      <c r="F494" s="14"/>
      <c r="G494" s="14"/>
      <c r="H494" s="14"/>
      <c r="I494" s="14"/>
      <c r="J494" s="14"/>
      <c r="K494" s="12"/>
    </row>
    <row r="495" ht="19.5" customHeight="1">
      <c r="A495" s="12"/>
      <c r="C495" s="12"/>
      <c r="D495" s="13"/>
      <c r="F495" s="14"/>
      <c r="G495" s="14"/>
      <c r="H495" s="14"/>
      <c r="I495" s="14"/>
      <c r="J495" s="14"/>
      <c r="K495" s="12"/>
    </row>
    <row r="496" ht="19.5" customHeight="1">
      <c r="A496" s="12"/>
      <c r="C496" s="12"/>
      <c r="D496" s="13"/>
      <c r="F496" s="14"/>
      <c r="G496" s="14"/>
      <c r="H496" s="14"/>
      <c r="I496" s="14"/>
      <c r="J496" s="14"/>
      <c r="K496" s="12"/>
    </row>
    <row r="497" ht="19.5" customHeight="1">
      <c r="A497" s="12"/>
      <c r="C497" s="12"/>
      <c r="D497" s="13"/>
      <c r="F497" s="14"/>
      <c r="G497" s="14"/>
      <c r="H497" s="14"/>
      <c r="I497" s="14"/>
      <c r="J497" s="14"/>
      <c r="K497" s="12"/>
    </row>
    <row r="498" ht="19.5" customHeight="1">
      <c r="A498" s="12"/>
      <c r="C498" s="12"/>
      <c r="D498" s="13"/>
      <c r="F498" s="14"/>
      <c r="G498" s="14"/>
      <c r="H498" s="14"/>
      <c r="I498" s="14"/>
      <c r="J498" s="14"/>
      <c r="K498" s="12"/>
    </row>
    <row r="499" ht="19.5" customHeight="1">
      <c r="A499" s="12"/>
      <c r="C499" s="12"/>
      <c r="D499" s="13"/>
      <c r="F499" s="14"/>
      <c r="G499" s="14"/>
      <c r="H499" s="14"/>
      <c r="I499" s="14"/>
      <c r="J499" s="14"/>
      <c r="K499" s="12"/>
    </row>
    <row r="500" ht="19.5" customHeight="1">
      <c r="A500" s="12"/>
      <c r="C500" s="12"/>
      <c r="D500" s="13"/>
      <c r="F500" s="14"/>
      <c r="G500" s="14"/>
      <c r="H500" s="14"/>
      <c r="I500" s="14"/>
      <c r="J500" s="14"/>
      <c r="K500" s="12"/>
    </row>
    <row r="501" ht="19.5" customHeight="1">
      <c r="A501" s="12"/>
      <c r="C501" s="12"/>
      <c r="D501" s="13"/>
      <c r="F501" s="14"/>
      <c r="G501" s="14"/>
      <c r="H501" s="14"/>
      <c r="I501" s="14"/>
      <c r="J501" s="14"/>
      <c r="K501" s="12"/>
    </row>
    <row r="502" ht="19.5" customHeight="1">
      <c r="A502" s="12"/>
      <c r="C502" s="12"/>
      <c r="D502" s="13"/>
      <c r="F502" s="14"/>
      <c r="G502" s="14"/>
      <c r="H502" s="14"/>
      <c r="I502" s="14"/>
      <c r="J502" s="14"/>
      <c r="K502" s="12"/>
    </row>
    <row r="503" ht="19.5" customHeight="1">
      <c r="A503" s="12"/>
      <c r="C503" s="12"/>
      <c r="D503" s="13"/>
      <c r="F503" s="14"/>
      <c r="G503" s="14"/>
      <c r="H503" s="14"/>
      <c r="I503" s="14"/>
      <c r="J503" s="14"/>
      <c r="K503" s="12"/>
    </row>
    <row r="504" ht="19.5" customHeight="1">
      <c r="A504" s="12"/>
      <c r="C504" s="12"/>
      <c r="D504" s="13"/>
      <c r="F504" s="14"/>
      <c r="G504" s="14"/>
      <c r="H504" s="14"/>
      <c r="I504" s="14"/>
      <c r="J504" s="14"/>
      <c r="K504" s="12"/>
    </row>
    <row r="505" ht="19.5" customHeight="1">
      <c r="A505" s="12"/>
      <c r="C505" s="12"/>
      <c r="D505" s="13"/>
      <c r="F505" s="14"/>
      <c r="G505" s="14"/>
      <c r="H505" s="14"/>
      <c r="I505" s="14"/>
      <c r="J505" s="14"/>
      <c r="K505" s="12"/>
    </row>
    <row r="506" ht="19.5" customHeight="1">
      <c r="A506" s="12"/>
      <c r="C506" s="12"/>
      <c r="D506" s="13"/>
      <c r="F506" s="14"/>
      <c r="G506" s="14"/>
      <c r="H506" s="14"/>
      <c r="I506" s="14"/>
      <c r="J506" s="14"/>
      <c r="K506" s="12"/>
    </row>
    <row r="507" ht="19.5" customHeight="1">
      <c r="A507" s="12"/>
      <c r="C507" s="12"/>
      <c r="D507" s="13"/>
      <c r="F507" s="14"/>
      <c r="G507" s="14"/>
      <c r="H507" s="14"/>
      <c r="I507" s="14"/>
      <c r="J507" s="14"/>
      <c r="K507" s="12"/>
    </row>
    <row r="508" ht="19.5" customHeight="1">
      <c r="A508" s="12"/>
      <c r="C508" s="12"/>
      <c r="D508" s="13"/>
      <c r="F508" s="14"/>
      <c r="G508" s="14"/>
      <c r="H508" s="14"/>
      <c r="I508" s="14"/>
      <c r="J508" s="14"/>
      <c r="K508" s="12"/>
    </row>
    <row r="509" ht="19.5" customHeight="1">
      <c r="A509" s="12"/>
      <c r="C509" s="12"/>
      <c r="D509" s="13"/>
      <c r="F509" s="14"/>
      <c r="G509" s="14"/>
      <c r="H509" s="14"/>
      <c r="I509" s="14"/>
      <c r="J509" s="14"/>
      <c r="K509" s="12"/>
    </row>
    <row r="510" ht="19.5" customHeight="1">
      <c r="A510" s="12"/>
      <c r="C510" s="12"/>
      <c r="D510" s="13"/>
      <c r="F510" s="14"/>
      <c r="G510" s="14"/>
      <c r="H510" s="14"/>
      <c r="I510" s="14"/>
      <c r="J510" s="14"/>
      <c r="K510" s="12"/>
    </row>
    <row r="511" ht="19.5" customHeight="1">
      <c r="A511" s="12"/>
      <c r="C511" s="12"/>
      <c r="D511" s="13"/>
      <c r="F511" s="14"/>
      <c r="G511" s="14"/>
      <c r="H511" s="14"/>
      <c r="I511" s="14"/>
      <c r="J511" s="14"/>
      <c r="K511" s="12"/>
    </row>
    <row r="512" ht="19.5" customHeight="1">
      <c r="A512" s="12"/>
      <c r="C512" s="12"/>
      <c r="D512" s="13"/>
      <c r="F512" s="14"/>
      <c r="G512" s="14"/>
      <c r="H512" s="14"/>
      <c r="I512" s="14"/>
      <c r="J512" s="14"/>
      <c r="K512" s="12"/>
    </row>
    <row r="513" ht="19.5" customHeight="1">
      <c r="A513" s="12"/>
      <c r="C513" s="12"/>
      <c r="D513" s="13"/>
      <c r="F513" s="14"/>
      <c r="G513" s="14"/>
      <c r="H513" s="14"/>
      <c r="I513" s="14"/>
      <c r="J513" s="14"/>
      <c r="K513" s="12"/>
    </row>
    <row r="514" ht="19.5" customHeight="1">
      <c r="A514" s="12"/>
      <c r="C514" s="12"/>
      <c r="D514" s="13"/>
      <c r="F514" s="14"/>
      <c r="G514" s="14"/>
      <c r="H514" s="14"/>
      <c r="I514" s="14"/>
      <c r="J514" s="14"/>
      <c r="K514" s="12"/>
    </row>
    <row r="515" ht="19.5" customHeight="1">
      <c r="A515" s="12"/>
      <c r="C515" s="12"/>
      <c r="D515" s="13"/>
      <c r="F515" s="14"/>
      <c r="G515" s="14"/>
      <c r="H515" s="14"/>
      <c r="I515" s="14"/>
      <c r="J515" s="14"/>
      <c r="K515" s="12"/>
    </row>
    <row r="516" ht="19.5" customHeight="1">
      <c r="A516" s="12"/>
      <c r="C516" s="12"/>
      <c r="D516" s="13"/>
      <c r="F516" s="14"/>
      <c r="G516" s="14"/>
      <c r="H516" s="14"/>
      <c r="I516" s="14"/>
      <c r="J516" s="14"/>
      <c r="K516" s="12"/>
    </row>
    <row r="517" ht="19.5" customHeight="1">
      <c r="A517" s="12"/>
      <c r="C517" s="12"/>
      <c r="D517" s="13"/>
      <c r="F517" s="14"/>
      <c r="G517" s="14"/>
      <c r="H517" s="14"/>
      <c r="I517" s="14"/>
      <c r="J517" s="14"/>
      <c r="K517" s="12"/>
    </row>
    <row r="518" ht="19.5" customHeight="1">
      <c r="A518" s="12"/>
      <c r="C518" s="12"/>
      <c r="D518" s="13"/>
      <c r="F518" s="14"/>
      <c r="G518" s="14"/>
      <c r="H518" s="14"/>
      <c r="I518" s="14"/>
      <c r="J518" s="14"/>
      <c r="K518" s="12"/>
    </row>
    <row r="519" ht="19.5" customHeight="1">
      <c r="A519" s="12"/>
      <c r="C519" s="12"/>
      <c r="D519" s="13"/>
      <c r="F519" s="14"/>
      <c r="G519" s="14"/>
      <c r="H519" s="14"/>
      <c r="I519" s="14"/>
      <c r="J519" s="14"/>
      <c r="K519" s="12"/>
    </row>
    <row r="520" ht="19.5" customHeight="1">
      <c r="A520" s="12"/>
      <c r="C520" s="12"/>
      <c r="D520" s="13"/>
      <c r="F520" s="14"/>
      <c r="G520" s="14"/>
      <c r="H520" s="14"/>
      <c r="I520" s="14"/>
      <c r="J520" s="14"/>
      <c r="K520" s="12"/>
    </row>
    <row r="521" ht="19.5" customHeight="1">
      <c r="A521" s="12"/>
      <c r="C521" s="12"/>
      <c r="D521" s="13"/>
      <c r="F521" s="14"/>
      <c r="G521" s="14"/>
      <c r="H521" s="14"/>
      <c r="I521" s="14"/>
      <c r="J521" s="14"/>
      <c r="K521" s="12"/>
    </row>
    <row r="522" ht="19.5" customHeight="1">
      <c r="A522" s="12"/>
      <c r="C522" s="12"/>
      <c r="D522" s="13"/>
      <c r="F522" s="14"/>
      <c r="G522" s="14"/>
      <c r="H522" s="14"/>
      <c r="I522" s="14"/>
      <c r="J522" s="14"/>
      <c r="K522" s="12"/>
    </row>
    <row r="523" ht="19.5" customHeight="1">
      <c r="A523" s="12"/>
      <c r="C523" s="12"/>
      <c r="D523" s="13"/>
      <c r="F523" s="14"/>
      <c r="G523" s="14"/>
      <c r="H523" s="14"/>
      <c r="I523" s="14"/>
      <c r="J523" s="14"/>
      <c r="K523" s="12"/>
    </row>
    <row r="524" ht="19.5" customHeight="1">
      <c r="A524" s="12"/>
      <c r="C524" s="12"/>
      <c r="D524" s="13"/>
      <c r="F524" s="14"/>
      <c r="G524" s="14"/>
      <c r="H524" s="14"/>
      <c r="I524" s="14"/>
      <c r="J524" s="14"/>
      <c r="K524" s="12"/>
    </row>
    <row r="525" ht="19.5" customHeight="1">
      <c r="A525" s="12"/>
      <c r="C525" s="12"/>
      <c r="D525" s="13"/>
      <c r="F525" s="14"/>
      <c r="G525" s="14"/>
      <c r="H525" s="14"/>
      <c r="I525" s="14"/>
      <c r="J525" s="14"/>
      <c r="K525" s="12"/>
    </row>
    <row r="526" ht="19.5" customHeight="1">
      <c r="A526" s="12"/>
      <c r="C526" s="12"/>
      <c r="D526" s="13"/>
      <c r="F526" s="14"/>
      <c r="G526" s="14"/>
      <c r="H526" s="14"/>
      <c r="I526" s="14"/>
      <c r="J526" s="14"/>
      <c r="K526" s="12"/>
    </row>
    <row r="527" ht="19.5" customHeight="1">
      <c r="A527" s="12"/>
      <c r="C527" s="12"/>
      <c r="D527" s="13"/>
      <c r="F527" s="14"/>
      <c r="G527" s="14"/>
      <c r="H527" s="14"/>
      <c r="I527" s="14"/>
      <c r="J527" s="14"/>
      <c r="K527" s="12"/>
    </row>
    <row r="528" ht="19.5" customHeight="1">
      <c r="A528" s="12"/>
      <c r="C528" s="12"/>
      <c r="D528" s="13"/>
      <c r="F528" s="14"/>
      <c r="G528" s="14"/>
      <c r="H528" s="14"/>
      <c r="I528" s="14"/>
      <c r="J528" s="14"/>
      <c r="K528" s="12"/>
    </row>
    <row r="529" ht="19.5" customHeight="1">
      <c r="A529" s="12"/>
      <c r="C529" s="12"/>
      <c r="D529" s="13"/>
      <c r="F529" s="14"/>
      <c r="G529" s="14"/>
      <c r="H529" s="14"/>
      <c r="I529" s="14"/>
      <c r="J529" s="14"/>
      <c r="K529" s="12"/>
    </row>
    <row r="530" ht="19.5" customHeight="1">
      <c r="A530" s="12"/>
      <c r="C530" s="12"/>
      <c r="D530" s="13"/>
      <c r="F530" s="14"/>
      <c r="G530" s="14"/>
      <c r="H530" s="14"/>
      <c r="I530" s="14"/>
      <c r="J530" s="14"/>
      <c r="K530" s="12"/>
    </row>
    <row r="531" ht="19.5" customHeight="1">
      <c r="A531" s="12"/>
      <c r="C531" s="12"/>
      <c r="D531" s="13"/>
      <c r="F531" s="14"/>
      <c r="G531" s="14"/>
      <c r="H531" s="14"/>
      <c r="I531" s="14"/>
      <c r="J531" s="14"/>
      <c r="K531" s="12"/>
    </row>
    <row r="532" ht="19.5" customHeight="1">
      <c r="A532" s="12"/>
      <c r="C532" s="12"/>
      <c r="D532" s="13"/>
      <c r="F532" s="14"/>
      <c r="G532" s="14"/>
      <c r="H532" s="14"/>
      <c r="I532" s="14"/>
      <c r="J532" s="14"/>
      <c r="K532" s="12"/>
    </row>
    <row r="533" ht="19.5" customHeight="1">
      <c r="A533" s="12"/>
      <c r="C533" s="12"/>
      <c r="D533" s="13"/>
      <c r="F533" s="14"/>
      <c r="G533" s="14"/>
      <c r="H533" s="14"/>
      <c r="I533" s="14"/>
      <c r="J533" s="14"/>
      <c r="K533" s="12"/>
    </row>
    <row r="534" ht="19.5" customHeight="1">
      <c r="A534" s="12"/>
      <c r="C534" s="12"/>
      <c r="D534" s="13"/>
      <c r="F534" s="14"/>
      <c r="G534" s="14"/>
      <c r="H534" s="14"/>
      <c r="I534" s="14"/>
      <c r="J534" s="14"/>
      <c r="K534" s="12"/>
    </row>
    <row r="535" ht="19.5" customHeight="1">
      <c r="A535" s="12"/>
      <c r="C535" s="12"/>
      <c r="D535" s="13"/>
      <c r="F535" s="14"/>
      <c r="G535" s="14"/>
      <c r="H535" s="14"/>
      <c r="I535" s="14"/>
      <c r="J535" s="14"/>
      <c r="K535" s="12"/>
    </row>
    <row r="536" ht="19.5" customHeight="1">
      <c r="A536" s="12"/>
      <c r="C536" s="12"/>
      <c r="D536" s="13"/>
      <c r="F536" s="14"/>
      <c r="G536" s="14"/>
      <c r="H536" s="14"/>
      <c r="I536" s="14"/>
      <c r="J536" s="14"/>
      <c r="K536" s="12"/>
    </row>
    <row r="537" ht="19.5" customHeight="1">
      <c r="A537" s="12"/>
      <c r="C537" s="12"/>
      <c r="D537" s="13"/>
      <c r="F537" s="14"/>
      <c r="G537" s="14"/>
      <c r="H537" s="14"/>
      <c r="I537" s="14"/>
      <c r="J537" s="14"/>
      <c r="K537" s="12"/>
    </row>
    <row r="538" ht="19.5" customHeight="1">
      <c r="A538" s="12"/>
      <c r="C538" s="12"/>
      <c r="D538" s="13"/>
      <c r="F538" s="14"/>
      <c r="G538" s="14"/>
      <c r="H538" s="14"/>
      <c r="I538" s="14"/>
      <c r="J538" s="14"/>
      <c r="K538" s="12"/>
    </row>
    <row r="539" ht="19.5" customHeight="1">
      <c r="A539" s="12"/>
      <c r="C539" s="12"/>
      <c r="D539" s="13"/>
      <c r="F539" s="14"/>
      <c r="G539" s="14"/>
      <c r="H539" s="14"/>
      <c r="I539" s="14"/>
      <c r="J539" s="14"/>
      <c r="K539" s="12"/>
    </row>
    <row r="540" ht="19.5" customHeight="1">
      <c r="A540" s="12"/>
      <c r="C540" s="12"/>
      <c r="D540" s="13"/>
      <c r="F540" s="14"/>
      <c r="G540" s="14"/>
      <c r="H540" s="14"/>
      <c r="I540" s="14"/>
      <c r="J540" s="14"/>
      <c r="K540" s="12"/>
    </row>
    <row r="541" ht="19.5" customHeight="1">
      <c r="A541" s="12"/>
      <c r="C541" s="12"/>
      <c r="D541" s="13"/>
      <c r="F541" s="14"/>
      <c r="G541" s="14"/>
      <c r="H541" s="14"/>
      <c r="I541" s="14"/>
      <c r="J541" s="14"/>
      <c r="K541" s="12"/>
    </row>
    <row r="542" ht="19.5" customHeight="1">
      <c r="A542" s="12"/>
      <c r="C542" s="12"/>
      <c r="D542" s="13"/>
      <c r="F542" s="14"/>
      <c r="G542" s="14"/>
      <c r="H542" s="14"/>
      <c r="I542" s="14"/>
      <c r="J542" s="14"/>
      <c r="K542" s="12"/>
    </row>
    <row r="543" ht="19.5" customHeight="1">
      <c r="A543" s="12"/>
      <c r="C543" s="12"/>
      <c r="D543" s="13"/>
      <c r="F543" s="14"/>
      <c r="G543" s="14"/>
      <c r="H543" s="14"/>
      <c r="I543" s="14"/>
      <c r="J543" s="14"/>
      <c r="K543" s="12"/>
    </row>
    <row r="544" ht="19.5" customHeight="1">
      <c r="A544" s="12"/>
      <c r="C544" s="12"/>
      <c r="D544" s="13"/>
      <c r="F544" s="14"/>
      <c r="G544" s="14"/>
      <c r="H544" s="14"/>
      <c r="I544" s="14"/>
      <c r="J544" s="14"/>
      <c r="K544" s="12"/>
    </row>
    <row r="545" ht="19.5" customHeight="1">
      <c r="A545" s="12"/>
      <c r="C545" s="12"/>
      <c r="D545" s="13"/>
      <c r="F545" s="14"/>
      <c r="G545" s="14"/>
      <c r="H545" s="14"/>
      <c r="I545" s="14"/>
      <c r="J545" s="14"/>
      <c r="K545" s="12"/>
    </row>
    <row r="546" ht="19.5" customHeight="1">
      <c r="A546" s="12"/>
      <c r="C546" s="12"/>
      <c r="D546" s="13"/>
      <c r="F546" s="14"/>
      <c r="G546" s="14"/>
      <c r="H546" s="14"/>
      <c r="I546" s="14"/>
      <c r="J546" s="14"/>
      <c r="K546" s="12"/>
    </row>
    <row r="547" ht="19.5" customHeight="1">
      <c r="A547" s="12"/>
      <c r="C547" s="12"/>
      <c r="D547" s="13"/>
      <c r="F547" s="14"/>
      <c r="G547" s="14"/>
      <c r="H547" s="14"/>
      <c r="I547" s="14"/>
      <c r="J547" s="14"/>
      <c r="K547" s="12"/>
    </row>
    <row r="548" ht="19.5" customHeight="1">
      <c r="A548" s="12"/>
      <c r="C548" s="12"/>
      <c r="D548" s="13"/>
      <c r="F548" s="14"/>
      <c r="G548" s="14"/>
      <c r="H548" s="14"/>
      <c r="I548" s="14"/>
      <c r="J548" s="14"/>
      <c r="K548" s="12"/>
    </row>
    <row r="549" ht="19.5" customHeight="1">
      <c r="A549" s="12"/>
      <c r="C549" s="12"/>
      <c r="D549" s="13"/>
      <c r="F549" s="14"/>
      <c r="G549" s="14"/>
      <c r="H549" s="14"/>
      <c r="I549" s="14"/>
      <c r="J549" s="14"/>
      <c r="K549" s="12"/>
    </row>
    <row r="550" ht="19.5" customHeight="1">
      <c r="A550" s="12"/>
      <c r="C550" s="12"/>
      <c r="D550" s="13"/>
      <c r="F550" s="14"/>
      <c r="G550" s="14"/>
      <c r="H550" s="14"/>
      <c r="I550" s="14"/>
      <c r="J550" s="14"/>
      <c r="K550" s="12"/>
    </row>
    <row r="551" ht="19.5" customHeight="1">
      <c r="A551" s="12"/>
      <c r="C551" s="12"/>
      <c r="D551" s="13"/>
      <c r="F551" s="14"/>
      <c r="G551" s="14"/>
      <c r="H551" s="14"/>
      <c r="I551" s="14"/>
      <c r="J551" s="14"/>
      <c r="K551" s="12"/>
    </row>
    <row r="552" ht="19.5" customHeight="1">
      <c r="A552" s="12"/>
      <c r="C552" s="12"/>
      <c r="D552" s="13"/>
      <c r="F552" s="14"/>
      <c r="G552" s="14"/>
      <c r="H552" s="14"/>
      <c r="I552" s="14"/>
      <c r="J552" s="14"/>
      <c r="K552" s="12"/>
    </row>
    <row r="553" ht="19.5" customHeight="1">
      <c r="A553" s="12"/>
      <c r="C553" s="12"/>
      <c r="D553" s="13"/>
      <c r="F553" s="14"/>
      <c r="G553" s="14"/>
      <c r="H553" s="14"/>
      <c r="I553" s="14"/>
      <c r="J553" s="14"/>
      <c r="K553" s="12"/>
    </row>
    <row r="554" ht="19.5" customHeight="1">
      <c r="A554" s="12"/>
      <c r="C554" s="12"/>
      <c r="D554" s="13"/>
      <c r="F554" s="14"/>
      <c r="G554" s="14"/>
      <c r="H554" s="14"/>
      <c r="I554" s="14"/>
      <c r="J554" s="14"/>
      <c r="K554" s="12"/>
    </row>
    <row r="555" ht="19.5" customHeight="1">
      <c r="A555" s="12"/>
      <c r="C555" s="12"/>
      <c r="D555" s="13"/>
      <c r="F555" s="14"/>
      <c r="G555" s="14"/>
      <c r="H555" s="14"/>
      <c r="I555" s="14"/>
      <c r="J555" s="14"/>
      <c r="K555" s="12"/>
    </row>
    <row r="556" ht="19.5" customHeight="1">
      <c r="A556" s="12"/>
      <c r="C556" s="12"/>
      <c r="D556" s="13"/>
      <c r="F556" s="14"/>
      <c r="G556" s="14"/>
      <c r="H556" s="14"/>
      <c r="I556" s="14"/>
      <c r="J556" s="14"/>
      <c r="K556" s="12"/>
    </row>
    <row r="557" ht="19.5" customHeight="1">
      <c r="A557" s="12"/>
      <c r="C557" s="12"/>
      <c r="D557" s="13"/>
      <c r="F557" s="14"/>
      <c r="G557" s="14"/>
      <c r="H557" s="14"/>
      <c r="I557" s="14"/>
      <c r="J557" s="14"/>
      <c r="K557" s="12"/>
    </row>
    <row r="558" ht="19.5" customHeight="1">
      <c r="A558" s="12"/>
      <c r="C558" s="12"/>
      <c r="D558" s="13"/>
      <c r="F558" s="14"/>
      <c r="G558" s="14"/>
      <c r="H558" s="14"/>
      <c r="I558" s="14"/>
      <c r="J558" s="14"/>
      <c r="K558" s="12"/>
    </row>
    <row r="559" ht="19.5" customHeight="1">
      <c r="A559" s="12"/>
      <c r="C559" s="12"/>
      <c r="D559" s="13"/>
      <c r="F559" s="14"/>
      <c r="G559" s="14"/>
      <c r="H559" s="14"/>
      <c r="I559" s="14"/>
      <c r="J559" s="14"/>
      <c r="K559" s="12"/>
    </row>
    <row r="560" ht="19.5" customHeight="1">
      <c r="A560" s="12"/>
      <c r="C560" s="12"/>
      <c r="D560" s="13"/>
      <c r="F560" s="14"/>
      <c r="G560" s="14"/>
      <c r="H560" s="14"/>
      <c r="I560" s="14"/>
      <c r="J560" s="14"/>
      <c r="K560" s="12"/>
    </row>
    <row r="561" ht="19.5" customHeight="1">
      <c r="A561" s="12"/>
      <c r="C561" s="12"/>
      <c r="D561" s="13"/>
      <c r="F561" s="14"/>
      <c r="G561" s="14"/>
      <c r="H561" s="14"/>
      <c r="I561" s="14"/>
      <c r="J561" s="14"/>
      <c r="K561" s="12"/>
    </row>
    <row r="562" ht="19.5" customHeight="1">
      <c r="A562" s="12"/>
      <c r="C562" s="12"/>
      <c r="D562" s="13"/>
      <c r="F562" s="14"/>
      <c r="G562" s="14"/>
      <c r="H562" s="14"/>
      <c r="I562" s="14"/>
      <c r="J562" s="14"/>
      <c r="K562" s="12"/>
    </row>
    <row r="563" ht="19.5" customHeight="1">
      <c r="A563" s="12"/>
      <c r="C563" s="12"/>
      <c r="D563" s="13"/>
      <c r="F563" s="14"/>
      <c r="G563" s="14"/>
      <c r="H563" s="14"/>
      <c r="I563" s="14"/>
      <c r="J563" s="14"/>
      <c r="K563" s="12"/>
    </row>
    <row r="564" ht="19.5" customHeight="1">
      <c r="A564" s="12"/>
      <c r="C564" s="12"/>
      <c r="D564" s="13"/>
      <c r="F564" s="14"/>
      <c r="G564" s="14"/>
      <c r="H564" s="14"/>
      <c r="I564" s="14"/>
      <c r="J564" s="14"/>
      <c r="K564" s="12"/>
    </row>
    <row r="565" ht="19.5" customHeight="1">
      <c r="A565" s="12"/>
      <c r="C565" s="12"/>
      <c r="D565" s="13"/>
      <c r="F565" s="14"/>
      <c r="G565" s="14"/>
      <c r="H565" s="14"/>
      <c r="I565" s="14"/>
      <c r="J565" s="14"/>
      <c r="K565" s="12"/>
    </row>
    <row r="566" ht="19.5" customHeight="1">
      <c r="A566" s="12"/>
      <c r="C566" s="12"/>
      <c r="D566" s="13"/>
      <c r="F566" s="14"/>
      <c r="G566" s="14"/>
      <c r="H566" s="14"/>
      <c r="I566" s="14"/>
      <c r="J566" s="14"/>
      <c r="K566" s="12"/>
    </row>
    <row r="567" ht="19.5" customHeight="1">
      <c r="A567" s="12"/>
      <c r="C567" s="12"/>
      <c r="D567" s="13"/>
      <c r="F567" s="14"/>
      <c r="G567" s="14"/>
      <c r="H567" s="14"/>
      <c r="I567" s="14"/>
      <c r="J567" s="14"/>
      <c r="K567" s="12"/>
    </row>
    <row r="568" ht="19.5" customHeight="1">
      <c r="A568" s="12"/>
      <c r="C568" s="12"/>
      <c r="D568" s="13"/>
      <c r="F568" s="14"/>
      <c r="G568" s="14"/>
      <c r="H568" s="14"/>
      <c r="I568" s="14"/>
      <c r="J568" s="14"/>
      <c r="K568" s="12"/>
    </row>
    <row r="569" ht="19.5" customHeight="1">
      <c r="A569" s="12"/>
      <c r="C569" s="12"/>
      <c r="D569" s="13"/>
      <c r="F569" s="14"/>
      <c r="G569" s="14"/>
      <c r="H569" s="14"/>
      <c r="I569" s="14"/>
      <c r="J569" s="14"/>
      <c r="K569" s="12"/>
    </row>
    <row r="570" ht="19.5" customHeight="1">
      <c r="A570" s="12"/>
      <c r="C570" s="12"/>
      <c r="D570" s="13"/>
      <c r="F570" s="14"/>
      <c r="G570" s="14"/>
      <c r="H570" s="14"/>
      <c r="I570" s="14"/>
      <c r="J570" s="14"/>
      <c r="K570" s="12"/>
    </row>
    <row r="571" ht="19.5" customHeight="1">
      <c r="A571" s="12"/>
      <c r="C571" s="12"/>
      <c r="D571" s="13"/>
      <c r="F571" s="14"/>
      <c r="G571" s="14"/>
      <c r="H571" s="14"/>
      <c r="I571" s="14"/>
      <c r="J571" s="14"/>
      <c r="K571" s="12"/>
    </row>
    <row r="572" ht="19.5" customHeight="1">
      <c r="A572" s="12"/>
      <c r="C572" s="12"/>
      <c r="D572" s="13"/>
      <c r="F572" s="14"/>
      <c r="G572" s="14"/>
      <c r="H572" s="14"/>
      <c r="I572" s="14"/>
      <c r="J572" s="14"/>
      <c r="K572" s="12"/>
    </row>
    <row r="573" ht="19.5" customHeight="1">
      <c r="A573" s="12"/>
      <c r="C573" s="12"/>
      <c r="D573" s="13"/>
      <c r="F573" s="14"/>
      <c r="G573" s="14"/>
      <c r="H573" s="14"/>
      <c r="I573" s="14"/>
      <c r="J573" s="14"/>
      <c r="K573" s="12"/>
    </row>
    <row r="574" ht="19.5" customHeight="1">
      <c r="A574" s="12"/>
      <c r="C574" s="12"/>
      <c r="D574" s="13"/>
      <c r="F574" s="14"/>
      <c r="G574" s="14"/>
      <c r="H574" s="14"/>
      <c r="I574" s="14"/>
      <c r="J574" s="14"/>
      <c r="K574" s="12"/>
    </row>
    <row r="575" ht="19.5" customHeight="1">
      <c r="A575" s="12"/>
      <c r="C575" s="12"/>
      <c r="D575" s="13"/>
      <c r="F575" s="14"/>
      <c r="G575" s="14"/>
      <c r="H575" s="14"/>
      <c r="I575" s="14"/>
      <c r="J575" s="14"/>
      <c r="K575" s="12"/>
    </row>
    <row r="576" ht="19.5" customHeight="1">
      <c r="A576" s="12"/>
      <c r="C576" s="12"/>
      <c r="D576" s="13"/>
      <c r="F576" s="14"/>
      <c r="G576" s="14"/>
      <c r="H576" s="14"/>
      <c r="I576" s="14"/>
      <c r="J576" s="14"/>
      <c r="K576" s="12"/>
    </row>
    <row r="577" ht="19.5" customHeight="1">
      <c r="A577" s="12"/>
      <c r="C577" s="12"/>
      <c r="D577" s="13"/>
      <c r="F577" s="14"/>
      <c r="G577" s="14"/>
      <c r="H577" s="14"/>
      <c r="I577" s="14"/>
      <c r="J577" s="14"/>
      <c r="K577" s="12"/>
    </row>
    <row r="578" ht="19.5" customHeight="1">
      <c r="A578" s="12"/>
      <c r="C578" s="12"/>
      <c r="D578" s="13"/>
      <c r="F578" s="14"/>
      <c r="G578" s="14"/>
      <c r="H578" s="14"/>
      <c r="I578" s="14"/>
      <c r="J578" s="14"/>
      <c r="K578" s="12"/>
    </row>
    <row r="579" ht="19.5" customHeight="1">
      <c r="A579" s="12"/>
      <c r="C579" s="12"/>
      <c r="D579" s="13"/>
      <c r="F579" s="14"/>
      <c r="G579" s="14"/>
      <c r="H579" s="14"/>
      <c r="I579" s="14"/>
      <c r="J579" s="14"/>
      <c r="K579" s="12"/>
    </row>
    <row r="580" ht="19.5" customHeight="1">
      <c r="A580" s="12"/>
      <c r="C580" s="12"/>
      <c r="D580" s="13"/>
      <c r="F580" s="14"/>
      <c r="G580" s="14"/>
      <c r="H580" s="14"/>
      <c r="I580" s="14"/>
      <c r="J580" s="14"/>
      <c r="K580" s="12"/>
    </row>
    <row r="581" ht="19.5" customHeight="1">
      <c r="A581" s="12"/>
      <c r="C581" s="12"/>
      <c r="D581" s="13"/>
      <c r="F581" s="14"/>
      <c r="G581" s="14"/>
      <c r="H581" s="14"/>
      <c r="I581" s="14"/>
      <c r="J581" s="14"/>
      <c r="K581" s="12"/>
    </row>
    <row r="582" ht="19.5" customHeight="1">
      <c r="A582" s="12"/>
      <c r="C582" s="12"/>
      <c r="D582" s="13"/>
      <c r="F582" s="14"/>
      <c r="G582" s="14"/>
      <c r="H582" s="14"/>
      <c r="I582" s="14"/>
      <c r="J582" s="14"/>
      <c r="K582" s="12"/>
    </row>
    <row r="583" ht="19.5" customHeight="1">
      <c r="A583" s="12"/>
      <c r="C583" s="12"/>
      <c r="D583" s="13"/>
      <c r="F583" s="14"/>
      <c r="G583" s="14"/>
      <c r="H583" s="14"/>
      <c r="I583" s="14"/>
      <c r="J583" s="14"/>
      <c r="K583" s="12"/>
    </row>
    <row r="584" ht="19.5" customHeight="1">
      <c r="A584" s="12"/>
      <c r="C584" s="12"/>
      <c r="D584" s="13"/>
      <c r="F584" s="14"/>
      <c r="G584" s="14"/>
      <c r="H584" s="14"/>
      <c r="I584" s="14"/>
      <c r="J584" s="14"/>
      <c r="K584" s="12"/>
    </row>
    <row r="585" ht="19.5" customHeight="1">
      <c r="A585" s="12"/>
      <c r="C585" s="12"/>
      <c r="D585" s="13"/>
      <c r="F585" s="14"/>
      <c r="G585" s="14"/>
      <c r="H585" s="14"/>
      <c r="I585" s="14"/>
      <c r="J585" s="14"/>
      <c r="K585" s="12"/>
    </row>
    <row r="586" ht="19.5" customHeight="1">
      <c r="A586" s="12"/>
      <c r="C586" s="12"/>
      <c r="D586" s="13"/>
      <c r="F586" s="14"/>
      <c r="G586" s="14"/>
      <c r="H586" s="14"/>
      <c r="I586" s="14"/>
      <c r="J586" s="14"/>
      <c r="K586" s="12"/>
    </row>
    <row r="587" ht="19.5" customHeight="1">
      <c r="A587" s="12"/>
      <c r="C587" s="12"/>
      <c r="D587" s="13"/>
      <c r="F587" s="14"/>
      <c r="G587" s="14"/>
      <c r="H587" s="14"/>
      <c r="I587" s="14"/>
      <c r="J587" s="14"/>
      <c r="K587" s="12"/>
    </row>
    <row r="588" ht="19.5" customHeight="1">
      <c r="A588" s="12"/>
      <c r="C588" s="12"/>
      <c r="D588" s="13"/>
      <c r="F588" s="14"/>
      <c r="G588" s="14"/>
      <c r="H588" s="14"/>
      <c r="I588" s="14"/>
      <c r="J588" s="14"/>
      <c r="K588" s="12"/>
    </row>
    <row r="589" ht="19.5" customHeight="1">
      <c r="A589" s="12"/>
      <c r="C589" s="12"/>
      <c r="D589" s="13"/>
      <c r="F589" s="14"/>
      <c r="G589" s="14"/>
      <c r="H589" s="14"/>
      <c r="I589" s="14"/>
      <c r="J589" s="14"/>
      <c r="K589" s="12"/>
    </row>
    <row r="590" ht="19.5" customHeight="1">
      <c r="A590" s="12"/>
      <c r="C590" s="12"/>
      <c r="D590" s="13"/>
      <c r="F590" s="14"/>
      <c r="G590" s="14"/>
      <c r="H590" s="14"/>
      <c r="I590" s="14"/>
      <c r="J590" s="14"/>
      <c r="K590" s="12"/>
    </row>
    <row r="591" ht="19.5" customHeight="1">
      <c r="A591" s="12"/>
      <c r="C591" s="12"/>
      <c r="D591" s="13"/>
      <c r="F591" s="14"/>
      <c r="G591" s="14"/>
      <c r="H591" s="14"/>
      <c r="I591" s="14"/>
      <c r="J591" s="14"/>
      <c r="K591" s="12"/>
    </row>
    <row r="592" ht="19.5" customHeight="1">
      <c r="A592" s="12"/>
      <c r="C592" s="12"/>
      <c r="D592" s="13"/>
      <c r="F592" s="14"/>
      <c r="G592" s="14"/>
      <c r="H592" s="14"/>
      <c r="I592" s="14"/>
      <c r="J592" s="14"/>
      <c r="K592" s="12"/>
    </row>
    <row r="593" ht="19.5" customHeight="1">
      <c r="A593" s="12"/>
      <c r="C593" s="12"/>
      <c r="D593" s="13"/>
      <c r="F593" s="14"/>
      <c r="G593" s="14"/>
      <c r="H593" s="14"/>
      <c r="I593" s="14"/>
      <c r="J593" s="14"/>
      <c r="K593" s="12"/>
    </row>
    <row r="594" ht="19.5" customHeight="1">
      <c r="A594" s="12"/>
      <c r="C594" s="12"/>
      <c r="D594" s="13"/>
      <c r="F594" s="14"/>
      <c r="G594" s="14"/>
      <c r="H594" s="14"/>
      <c r="I594" s="14"/>
      <c r="J594" s="14"/>
      <c r="K594" s="12"/>
    </row>
    <row r="595" ht="19.5" customHeight="1">
      <c r="A595" s="12"/>
      <c r="C595" s="12"/>
      <c r="D595" s="13"/>
      <c r="F595" s="14"/>
      <c r="G595" s="14"/>
      <c r="H595" s="14"/>
      <c r="I595" s="14"/>
      <c r="J595" s="14"/>
      <c r="K595" s="12"/>
    </row>
    <row r="596" ht="19.5" customHeight="1">
      <c r="A596" s="12"/>
      <c r="C596" s="12"/>
      <c r="D596" s="13"/>
      <c r="F596" s="14"/>
      <c r="G596" s="14"/>
      <c r="H596" s="14"/>
      <c r="I596" s="14"/>
      <c r="J596" s="14"/>
      <c r="K596" s="12"/>
    </row>
    <row r="597" ht="19.5" customHeight="1">
      <c r="A597" s="12"/>
      <c r="C597" s="12"/>
      <c r="D597" s="13"/>
      <c r="F597" s="14"/>
      <c r="G597" s="14"/>
      <c r="H597" s="14"/>
      <c r="I597" s="14"/>
      <c r="J597" s="14"/>
      <c r="K597" s="12"/>
    </row>
    <row r="598" ht="19.5" customHeight="1">
      <c r="A598" s="12"/>
      <c r="C598" s="12"/>
      <c r="D598" s="13"/>
      <c r="F598" s="14"/>
      <c r="G598" s="14"/>
      <c r="H598" s="14"/>
      <c r="I598" s="14"/>
      <c r="J598" s="14"/>
      <c r="K598" s="12"/>
    </row>
    <row r="599" ht="19.5" customHeight="1">
      <c r="A599" s="12"/>
      <c r="C599" s="12"/>
      <c r="D599" s="13"/>
      <c r="F599" s="14"/>
      <c r="G599" s="14"/>
      <c r="H599" s="14"/>
      <c r="I599" s="14"/>
      <c r="J599" s="14"/>
      <c r="K599" s="12"/>
    </row>
    <row r="600" ht="19.5" customHeight="1">
      <c r="A600" s="12"/>
      <c r="C600" s="12"/>
      <c r="D600" s="13"/>
      <c r="F600" s="14"/>
      <c r="G600" s="14"/>
      <c r="H600" s="14"/>
      <c r="I600" s="14"/>
      <c r="J600" s="14"/>
      <c r="K600" s="12"/>
    </row>
    <row r="601" ht="19.5" customHeight="1">
      <c r="A601" s="12"/>
      <c r="C601" s="12"/>
      <c r="D601" s="13"/>
      <c r="F601" s="14"/>
      <c r="G601" s="14"/>
      <c r="H601" s="14"/>
      <c r="I601" s="14"/>
      <c r="J601" s="14"/>
      <c r="K601" s="12"/>
    </row>
    <row r="602" ht="19.5" customHeight="1">
      <c r="A602" s="12"/>
      <c r="C602" s="12"/>
      <c r="D602" s="13"/>
      <c r="F602" s="14"/>
      <c r="G602" s="14"/>
      <c r="H602" s="14"/>
      <c r="I602" s="14"/>
      <c r="J602" s="14"/>
      <c r="K602" s="12"/>
    </row>
    <row r="603" ht="19.5" customHeight="1">
      <c r="A603" s="12"/>
      <c r="C603" s="12"/>
      <c r="D603" s="13"/>
      <c r="F603" s="14"/>
      <c r="G603" s="14"/>
      <c r="H603" s="14"/>
      <c r="I603" s="14"/>
      <c r="J603" s="14"/>
      <c r="K603" s="12"/>
    </row>
    <row r="604" ht="19.5" customHeight="1">
      <c r="A604" s="12"/>
      <c r="C604" s="12"/>
      <c r="D604" s="13"/>
      <c r="F604" s="14"/>
      <c r="G604" s="14"/>
      <c r="H604" s="14"/>
      <c r="I604" s="14"/>
      <c r="J604" s="14"/>
      <c r="K604" s="12"/>
    </row>
    <row r="605" ht="19.5" customHeight="1">
      <c r="A605" s="12"/>
      <c r="C605" s="12"/>
      <c r="D605" s="13"/>
      <c r="F605" s="14"/>
      <c r="G605" s="14"/>
      <c r="H605" s="14"/>
      <c r="I605" s="14"/>
      <c r="J605" s="14"/>
      <c r="K605" s="12"/>
    </row>
    <row r="606" ht="19.5" customHeight="1">
      <c r="A606" s="12"/>
      <c r="C606" s="12"/>
      <c r="D606" s="13"/>
      <c r="F606" s="14"/>
      <c r="G606" s="14"/>
      <c r="H606" s="14"/>
      <c r="I606" s="14"/>
      <c r="J606" s="14"/>
      <c r="K606" s="12"/>
    </row>
    <row r="607" ht="19.5" customHeight="1">
      <c r="A607" s="12"/>
      <c r="C607" s="12"/>
      <c r="D607" s="13"/>
      <c r="F607" s="14"/>
      <c r="G607" s="14"/>
      <c r="H607" s="14"/>
      <c r="I607" s="14"/>
      <c r="J607" s="14"/>
      <c r="K607" s="12"/>
    </row>
    <row r="608" ht="19.5" customHeight="1">
      <c r="A608" s="12"/>
      <c r="C608" s="12"/>
      <c r="D608" s="13"/>
      <c r="F608" s="14"/>
      <c r="G608" s="14"/>
      <c r="H608" s="14"/>
      <c r="I608" s="14"/>
      <c r="J608" s="14"/>
      <c r="K608" s="12"/>
    </row>
    <row r="609" ht="19.5" customHeight="1">
      <c r="A609" s="12"/>
      <c r="C609" s="12"/>
      <c r="D609" s="13"/>
      <c r="F609" s="14"/>
      <c r="G609" s="14"/>
      <c r="H609" s="14"/>
      <c r="I609" s="14"/>
      <c r="J609" s="14"/>
      <c r="K609" s="12"/>
    </row>
    <row r="610" ht="19.5" customHeight="1">
      <c r="A610" s="12"/>
      <c r="C610" s="12"/>
      <c r="D610" s="13"/>
      <c r="F610" s="14"/>
      <c r="G610" s="14"/>
      <c r="H610" s="14"/>
      <c r="I610" s="14"/>
      <c r="J610" s="14"/>
      <c r="K610" s="12"/>
    </row>
    <row r="611" ht="19.5" customHeight="1">
      <c r="A611" s="12"/>
      <c r="C611" s="12"/>
      <c r="D611" s="13"/>
      <c r="F611" s="14"/>
      <c r="G611" s="14"/>
      <c r="H611" s="14"/>
      <c r="I611" s="14"/>
      <c r="J611" s="14"/>
      <c r="K611" s="12"/>
    </row>
    <row r="612" ht="19.5" customHeight="1">
      <c r="A612" s="12"/>
      <c r="C612" s="12"/>
      <c r="D612" s="13"/>
      <c r="F612" s="14"/>
      <c r="G612" s="14"/>
      <c r="H612" s="14"/>
      <c r="I612" s="14"/>
      <c r="J612" s="14"/>
      <c r="K612" s="12"/>
    </row>
    <row r="613" ht="19.5" customHeight="1">
      <c r="A613" s="12"/>
      <c r="C613" s="12"/>
      <c r="D613" s="13"/>
      <c r="F613" s="14"/>
      <c r="G613" s="14"/>
      <c r="H613" s="14"/>
      <c r="I613" s="14"/>
      <c r="J613" s="14"/>
      <c r="K613" s="12"/>
    </row>
    <row r="614" ht="19.5" customHeight="1">
      <c r="A614" s="12"/>
      <c r="C614" s="12"/>
      <c r="D614" s="13"/>
      <c r="F614" s="14"/>
      <c r="G614" s="14"/>
      <c r="H614" s="14"/>
      <c r="I614" s="14"/>
      <c r="J614" s="14"/>
      <c r="K614" s="12"/>
    </row>
    <row r="615" ht="19.5" customHeight="1">
      <c r="A615" s="12"/>
      <c r="C615" s="12"/>
      <c r="D615" s="13"/>
      <c r="F615" s="14"/>
      <c r="G615" s="14"/>
      <c r="H615" s="14"/>
      <c r="I615" s="14"/>
      <c r="J615" s="14"/>
      <c r="K615" s="12"/>
    </row>
    <row r="616" ht="19.5" customHeight="1">
      <c r="A616" s="12"/>
      <c r="C616" s="12"/>
      <c r="D616" s="13"/>
      <c r="F616" s="14"/>
      <c r="G616" s="14"/>
      <c r="H616" s="14"/>
      <c r="I616" s="14"/>
      <c r="J616" s="14"/>
      <c r="K616" s="12"/>
    </row>
    <row r="617" ht="19.5" customHeight="1">
      <c r="A617" s="12"/>
      <c r="C617" s="12"/>
      <c r="D617" s="13"/>
      <c r="F617" s="14"/>
      <c r="G617" s="14"/>
      <c r="H617" s="14"/>
      <c r="I617" s="14"/>
      <c r="J617" s="14"/>
      <c r="K617" s="12"/>
    </row>
    <row r="618" ht="19.5" customHeight="1">
      <c r="A618" s="12"/>
      <c r="C618" s="12"/>
      <c r="D618" s="13"/>
      <c r="F618" s="14"/>
      <c r="G618" s="14"/>
      <c r="H618" s="14"/>
      <c r="I618" s="14"/>
      <c r="J618" s="14"/>
      <c r="K618" s="12"/>
    </row>
    <row r="619" ht="19.5" customHeight="1">
      <c r="A619" s="12"/>
      <c r="C619" s="12"/>
      <c r="D619" s="13"/>
      <c r="F619" s="14"/>
      <c r="G619" s="14"/>
      <c r="H619" s="14"/>
      <c r="I619" s="14"/>
      <c r="J619" s="14"/>
      <c r="K619" s="12"/>
    </row>
    <row r="620" ht="19.5" customHeight="1">
      <c r="A620" s="12"/>
      <c r="C620" s="12"/>
      <c r="D620" s="13"/>
      <c r="F620" s="14"/>
      <c r="G620" s="14"/>
      <c r="H620" s="14"/>
      <c r="I620" s="14"/>
      <c r="J620" s="14"/>
      <c r="K620" s="12"/>
    </row>
    <row r="621" ht="19.5" customHeight="1">
      <c r="A621" s="12"/>
      <c r="C621" s="12"/>
      <c r="D621" s="13"/>
      <c r="F621" s="14"/>
      <c r="G621" s="14"/>
      <c r="H621" s="14"/>
      <c r="I621" s="14"/>
      <c r="J621" s="14"/>
      <c r="K621" s="12"/>
    </row>
    <row r="622" ht="19.5" customHeight="1">
      <c r="A622" s="12"/>
      <c r="C622" s="12"/>
      <c r="D622" s="13"/>
      <c r="F622" s="14"/>
      <c r="G622" s="14"/>
      <c r="H622" s="14"/>
      <c r="I622" s="14"/>
      <c r="J622" s="14"/>
      <c r="K622" s="12"/>
    </row>
    <row r="623" ht="19.5" customHeight="1">
      <c r="A623" s="12"/>
      <c r="C623" s="12"/>
      <c r="D623" s="13"/>
      <c r="F623" s="14"/>
      <c r="G623" s="14"/>
      <c r="H623" s="14"/>
      <c r="I623" s="14"/>
      <c r="J623" s="14"/>
      <c r="K623" s="12"/>
    </row>
    <row r="624" ht="19.5" customHeight="1">
      <c r="A624" s="12"/>
      <c r="C624" s="12"/>
      <c r="D624" s="13"/>
      <c r="F624" s="14"/>
      <c r="G624" s="14"/>
      <c r="H624" s="14"/>
      <c r="I624" s="14"/>
      <c r="J624" s="14"/>
      <c r="K624" s="12"/>
    </row>
    <row r="625" ht="19.5" customHeight="1">
      <c r="A625" s="12"/>
      <c r="C625" s="12"/>
      <c r="D625" s="13"/>
      <c r="F625" s="14"/>
      <c r="G625" s="14"/>
      <c r="H625" s="14"/>
      <c r="I625" s="14"/>
      <c r="J625" s="14"/>
      <c r="K625" s="12"/>
    </row>
    <row r="626" ht="19.5" customHeight="1">
      <c r="A626" s="12"/>
      <c r="C626" s="12"/>
      <c r="D626" s="13"/>
      <c r="F626" s="14"/>
      <c r="G626" s="14"/>
      <c r="H626" s="14"/>
      <c r="I626" s="14"/>
      <c r="J626" s="14"/>
      <c r="K626" s="12"/>
    </row>
    <row r="627" ht="19.5" customHeight="1">
      <c r="A627" s="12"/>
      <c r="C627" s="12"/>
      <c r="D627" s="13"/>
      <c r="F627" s="14"/>
      <c r="G627" s="14"/>
      <c r="H627" s="14"/>
      <c r="I627" s="14"/>
      <c r="J627" s="14"/>
      <c r="K627" s="12"/>
    </row>
    <row r="628" ht="19.5" customHeight="1">
      <c r="A628" s="12"/>
      <c r="C628" s="12"/>
      <c r="D628" s="13"/>
      <c r="F628" s="14"/>
      <c r="G628" s="14"/>
      <c r="H628" s="14"/>
      <c r="I628" s="14"/>
      <c r="J628" s="14"/>
      <c r="K628" s="12"/>
    </row>
    <row r="629" ht="19.5" customHeight="1">
      <c r="A629" s="12"/>
      <c r="C629" s="12"/>
      <c r="D629" s="13"/>
      <c r="F629" s="14"/>
      <c r="G629" s="14"/>
      <c r="H629" s="14"/>
      <c r="I629" s="14"/>
      <c r="J629" s="14"/>
      <c r="K629" s="12"/>
    </row>
    <row r="630" ht="19.5" customHeight="1">
      <c r="A630" s="12"/>
      <c r="C630" s="12"/>
      <c r="D630" s="13"/>
      <c r="F630" s="14"/>
      <c r="G630" s="14"/>
      <c r="H630" s="14"/>
      <c r="I630" s="14"/>
      <c r="J630" s="14"/>
      <c r="K630" s="12"/>
    </row>
    <row r="631" ht="19.5" customHeight="1">
      <c r="A631" s="12"/>
      <c r="C631" s="12"/>
      <c r="D631" s="13"/>
      <c r="F631" s="14"/>
      <c r="G631" s="14"/>
      <c r="H631" s="14"/>
      <c r="I631" s="14"/>
      <c r="J631" s="14"/>
      <c r="K631" s="12"/>
    </row>
    <row r="632" ht="19.5" customHeight="1">
      <c r="A632" s="12"/>
      <c r="C632" s="12"/>
      <c r="D632" s="13"/>
      <c r="F632" s="14"/>
      <c r="G632" s="14"/>
      <c r="H632" s="14"/>
      <c r="I632" s="14"/>
      <c r="J632" s="14"/>
      <c r="K632" s="12"/>
    </row>
    <row r="633" ht="19.5" customHeight="1">
      <c r="A633" s="12"/>
      <c r="C633" s="12"/>
      <c r="D633" s="13"/>
      <c r="F633" s="14"/>
      <c r="G633" s="14"/>
      <c r="H633" s="14"/>
      <c r="I633" s="14"/>
      <c r="J633" s="14"/>
      <c r="K633" s="12"/>
    </row>
    <row r="634" ht="19.5" customHeight="1">
      <c r="A634" s="12"/>
      <c r="C634" s="12"/>
      <c r="D634" s="13"/>
      <c r="F634" s="14"/>
      <c r="G634" s="14"/>
      <c r="H634" s="14"/>
      <c r="I634" s="14"/>
      <c r="J634" s="14"/>
      <c r="K634" s="12"/>
    </row>
    <row r="635" ht="19.5" customHeight="1">
      <c r="A635" s="12"/>
      <c r="C635" s="12"/>
      <c r="D635" s="13"/>
      <c r="F635" s="14"/>
      <c r="G635" s="14"/>
      <c r="H635" s="14"/>
      <c r="I635" s="14"/>
      <c r="J635" s="14"/>
      <c r="K635" s="12"/>
    </row>
    <row r="636" ht="19.5" customHeight="1">
      <c r="A636" s="12"/>
      <c r="C636" s="12"/>
      <c r="D636" s="13"/>
      <c r="F636" s="14"/>
      <c r="G636" s="14"/>
      <c r="H636" s="14"/>
      <c r="I636" s="14"/>
      <c r="J636" s="14"/>
      <c r="K636" s="12"/>
    </row>
    <row r="637" ht="19.5" customHeight="1">
      <c r="A637" s="12"/>
      <c r="C637" s="12"/>
      <c r="D637" s="13"/>
      <c r="F637" s="14"/>
      <c r="G637" s="14"/>
      <c r="H637" s="14"/>
      <c r="I637" s="14"/>
      <c r="J637" s="14"/>
      <c r="K637" s="12"/>
    </row>
    <row r="638" ht="19.5" customHeight="1">
      <c r="A638" s="12"/>
      <c r="C638" s="12"/>
      <c r="D638" s="13"/>
      <c r="F638" s="14"/>
      <c r="G638" s="14"/>
      <c r="H638" s="14"/>
      <c r="I638" s="14"/>
      <c r="J638" s="14"/>
      <c r="K638" s="12"/>
    </row>
    <row r="639" ht="19.5" customHeight="1">
      <c r="A639" s="12"/>
      <c r="C639" s="12"/>
      <c r="D639" s="13"/>
      <c r="F639" s="14"/>
      <c r="G639" s="14"/>
      <c r="H639" s="14"/>
      <c r="I639" s="14"/>
      <c r="J639" s="14"/>
      <c r="K639" s="12"/>
    </row>
    <row r="640" ht="19.5" customHeight="1">
      <c r="A640" s="12"/>
      <c r="C640" s="12"/>
      <c r="D640" s="13"/>
      <c r="F640" s="14"/>
      <c r="G640" s="14"/>
      <c r="H640" s="14"/>
      <c r="I640" s="14"/>
      <c r="J640" s="14"/>
      <c r="K640" s="12"/>
    </row>
    <row r="641" ht="19.5" customHeight="1">
      <c r="A641" s="12"/>
      <c r="C641" s="12"/>
      <c r="D641" s="13"/>
      <c r="F641" s="14"/>
      <c r="G641" s="14"/>
      <c r="H641" s="14"/>
      <c r="I641" s="14"/>
      <c r="J641" s="14"/>
      <c r="K641" s="12"/>
    </row>
    <row r="642" ht="19.5" customHeight="1">
      <c r="A642" s="12"/>
      <c r="C642" s="12"/>
      <c r="D642" s="13"/>
      <c r="F642" s="14"/>
      <c r="G642" s="14"/>
      <c r="H642" s="14"/>
      <c r="I642" s="14"/>
      <c r="J642" s="14"/>
      <c r="K642" s="12"/>
    </row>
    <row r="643" ht="19.5" customHeight="1">
      <c r="A643" s="12"/>
      <c r="C643" s="12"/>
      <c r="D643" s="13"/>
      <c r="F643" s="14"/>
      <c r="G643" s="14"/>
      <c r="H643" s="14"/>
      <c r="I643" s="14"/>
      <c r="J643" s="14"/>
      <c r="K643" s="12"/>
    </row>
    <row r="644" ht="19.5" customHeight="1">
      <c r="A644" s="12"/>
      <c r="C644" s="12"/>
      <c r="D644" s="13"/>
      <c r="F644" s="14"/>
      <c r="G644" s="14"/>
      <c r="H644" s="14"/>
      <c r="I644" s="14"/>
      <c r="J644" s="14"/>
      <c r="K644" s="12"/>
    </row>
    <row r="645" ht="19.5" customHeight="1">
      <c r="A645" s="12"/>
      <c r="C645" s="12"/>
      <c r="D645" s="13"/>
      <c r="F645" s="14"/>
      <c r="G645" s="14"/>
      <c r="H645" s="14"/>
      <c r="I645" s="14"/>
      <c r="J645" s="14"/>
      <c r="K645" s="12"/>
    </row>
    <row r="646" ht="19.5" customHeight="1">
      <c r="A646" s="12"/>
      <c r="C646" s="12"/>
      <c r="D646" s="13"/>
      <c r="F646" s="14"/>
      <c r="G646" s="14"/>
      <c r="H646" s="14"/>
      <c r="I646" s="14"/>
      <c r="J646" s="14"/>
      <c r="K646" s="12"/>
    </row>
    <row r="647" ht="19.5" customHeight="1">
      <c r="A647" s="12"/>
      <c r="C647" s="12"/>
      <c r="D647" s="13"/>
      <c r="F647" s="14"/>
      <c r="G647" s="14"/>
      <c r="H647" s="14"/>
      <c r="I647" s="14"/>
      <c r="J647" s="14"/>
      <c r="K647" s="12"/>
    </row>
    <row r="648" ht="19.5" customHeight="1">
      <c r="A648" s="12"/>
      <c r="C648" s="12"/>
      <c r="D648" s="13"/>
      <c r="F648" s="14"/>
      <c r="G648" s="14"/>
      <c r="H648" s="14"/>
      <c r="I648" s="14"/>
      <c r="J648" s="14"/>
      <c r="K648" s="12"/>
    </row>
    <row r="649" ht="19.5" customHeight="1">
      <c r="A649" s="12"/>
      <c r="C649" s="12"/>
      <c r="D649" s="13"/>
      <c r="F649" s="14"/>
      <c r="G649" s="14"/>
      <c r="H649" s="14"/>
      <c r="I649" s="14"/>
      <c r="J649" s="14"/>
      <c r="K649" s="12"/>
    </row>
    <row r="650" ht="19.5" customHeight="1">
      <c r="A650" s="12"/>
      <c r="C650" s="12"/>
      <c r="D650" s="13"/>
      <c r="F650" s="14"/>
      <c r="G650" s="14"/>
      <c r="H650" s="14"/>
      <c r="I650" s="14"/>
      <c r="J650" s="14"/>
      <c r="K650" s="12"/>
    </row>
    <row r="651" ht="19.5" customHeight="1">
      <c r="A651" s="12"/>
      <c r="C651" s="12"/>
      <c r="D651" s="13"/>
      <c r="F651" s="14"/>
      <c r="G651" s="14"/>
      <c r="H651" s="14"/>
      <c r="I651" s="14"/>
      <c r="J651" s="14"/>
      <c r="K651" s="12"/>
    </row>
    <row r="652" ht="19.5" customHeight="1">
      <c r="A652" s="12"/>
      <c r="C652" s="12"/>
      <c r="D652" s="13"/>
      <c r="F652" s="14"/>
      <c r="G652" s="14"/>
      <c r="H652" s="14"/>
      <c r="I652" s="14"/>
      <c r="J652" s="14"/>
      <c r="K652" s="12"/>
    </row>
    <row r="653" ht="19.5" customHeight="1">
      <c r="A653" s="12"/>
      <c r="C653" s="12"/>
      <c r="D653" s="13"/>
      <c r="F653" s="14"/>
      <c r="G653" s="14"/>
      <c r="H653" s="14"/>
      <c r="I653" s="14"/>
      <c r="J653" s="14"/>
      <c r="K653" s="12"/>
    </row>
    <row r="654" ht="19.5" customHeight="1">
      <c r="A654" s="12"/>
      <c r="C654" s="12"/>
      <c r="D654" s="13"/>
      <c r="F654" s="14"/>
      <c r="G654" s="14"/>
      <c r="H654" s="14"/>
      <c r="I654" s="14"/>
      <c r="J654" s="14"/>
      <c r="K654" s="12"/>
    </row>
    <row r="655" ht="19.5" customHeight="1">
      <c r="A655" s="12"/>
      <c r="C655" s="12"/>
      <c r="D655" s="13"/>
      <c r="F655" s="14"/>
      <c r="G655" s="14"/>
      <c r="H655" s="14"/>
      <c r="I655" s="14"/>
      <c r="J655" s="14"/>
      <c r="K655" s="12"/>
    </row>
    <row r="656" ht="19.5" customHeight="1">
      <c r="A656" s="12"/>
      <c r="C656" s="12"/>
      <c r="D656" s="13"/>
      <c r="F656" s="14"/>
      <c r="G656" s="14"/>
      <c r="H656" s="14"/>
      <c r="I656" s="14"/>
      <c r="J656" s="14"/>
      <c r="K656" s="12"/>
    </row>
    <row r="657" ht="19.5" customHeight="1">
      <c r="A657" s="12"/>
      <c r="C657" s="12"/>
      <c r="D657" s="13"/>
      <c r="F657" s="14"/>
      <c r="G657" s="14"/>
      <c r="H657" s="14"/>
      <c r="I657" s="14"/>
      <c r="J657" s="14"/>
      <c r="K657" s="12"/>
    </row>
    <row r="658" ht="19.5" customHeight="1">
      <c r="A658" s="12"/>
      <c r="C658" s="12"/>
      <c r="D658" s="13"/>
      <c r="F658" s="14"/>
      <c r="G658" s="14"/>
      <c r="H658" s="14"/>
      <c r="I658" s="14"/>
      <c r="J658" s="14"/>
      <c r="K658" s="12"/>
    </row>
    <row r="659" ht="19.5" customHeight="1">
      <c r="A659" s="12"/>
      <c r="C659" s="12"/>
      <c r="D659" s="13"/>
      <c r="F659" s="14"/>
      <c r="G659" s="14"/>
      <c r="H659" s="14"/>
      <c r="I659" s="14"/>
      <c r="J659" s="14"/>
      <c r="K659" s="12"/>
    </row>
    <row r="660" ht="19.5" customHeight="1">
      <c r="A660" s="12"/>
      <c r="C660" s="12"/>
      <c r="D660" s="13"/>
      <c r="F660" s="14"/>
      <c r="G660" s="14"/>
      <c r="H660" s="14"/>
      <c r="I660" s="14"/>
      <c r="J660" s="14"/>
      <c r="K660" s="12"/>
    </row>
    <row r="661" ht="19.5" customHeight="1">
      <c r="A661" s="12"/>
      <c r="C661" s="12"/>
      <c r="D661" s="13"/>
      <c r="F661" s="14"/>
      <c r="G661" s="14"/>
      <c r="H661" s="14"/>
      <c r="I661" s="14"/>
      <c r="J661" s="14"/>
      <c r="K661" s="12"/>
    </row>
    <row r="662" ht="19.5" customHeight="1">
      <c r="A662" s="12"/>
      <c r="C662" s="12"/>
      <c r="D662" s="13"/>
      <c r="F662" s="14"/>
      <c r="G662" s="14"/>
      <c r="H662" s="14"/>
      <c r="I662" s="14"/>
      <c r="J662" s="14"/>
      <c r="K662" s="12"/>
    </row>
    <row r="663" ht="19.5" customHeight="1">
      <c r="A663" s="12"/>
      <c r="C663" s="12"/>
      <c r="D663" s="13"/>
      <c r="F663" s="14"/>
      <c r="G663" s="14"/>
      <c r="H663" s="14"/>
      <c r="I663" s="14"/>
      <c r="J663" s="14"/>
      <c r="K663" s="12"/>
    </row>
    <row r="664" ht="19.5" customHeight="1">
      <c r="A664" s="12"/>
      <c r="C664" s="12"/>
      <c r="D664" s="13"/>
      <c r="F664" s="14"/>
      <c r="G664" s="14"/>
      <c r="H664" s="14"/>
      <c r="I664" s="14"/>
      <c r="J664" s="14"/>
      <c r="K664" s="12"/>
    </row>
    <row r="665" ht="19.5" customHeight="1">
      <c r="A665" s="12"/>
      <c r="C665" s="12"/>
      <c r="D665" s="13"/>
      <c r="F665" s="14"/>
      <c r="G665" s="14"/>
      <c r="H665" s="14"/>
      <c r="I665" s="14"/>
      <c r="J665" s="14"/>
      <c r="K665" s="12"/>
    </row>
    <row r="666" ht="19.5" customHeight="1">
      <c r="A666" s="12"/>
      <c r="C666" s="12"/>
      <c r="D666" s="13"/>
      <c r="F666" s="14"/>
      <c r="G666" s="14"/>
      <c r="H666" s="14"/>
      <c r="I666" s="14"/>
      <c r="J666" s="14"/>
      <c r="K666" s="12"/>
    </row>
    <row r="667" ht="19.5" customHeight="1">
      <c r="A667" s="12"/>
      <c r="C667" s="12"/>
      <c r="D667" s="13"/>
      <c r="F667" s="14"/>
      <c r="G667" s="14"/>
      <c r="H667" s="14"/>
      <c r="I667" s="14"/>
      <c r="J667" s="14"/>
      <c r="K667" s="12"/>
    </row>
    <row r="668" ht="19.5" customHeight="1">
      <c r="A668" s="12"/>
      <c r="C668" s="12"/>
      <c r="D668" s="13"/>
      <c r="F668" s="14"/>
      <c r="G668" s="14"/>
      <c r="H668" s="14"/>
      <c r="I668" s="14"/>
      <c r="J668" s="14"/>
      <c r="K668" s="12"/>
    </row>
    <row r="669" ht="19.5" customHeight="1">
      <c r="A669" s="12"/>
      <c r="C669" s="12"/>
      <c r="D669" s="13"/>
      <c r="F669" s="14"/>
      <c r="G669" s="14"/>
      <c r="H669" s="14"/>
      <c r="I669" s="14"/>
      <c r="J669" s="14"/>
      <c r="K669" s="12"/>
    </row>
    <row r="670" ht="19.5" customHeight="1">
      <c r="A670" s="12"/>
      <c r="C670" s="12"/>
      <c r="D670" s="13"/>
      <c r="F670" s="14"/>
      <c r="G670" s="14"/>
      <c r="H670" s="14"/>
      <c r="I670" s="14"/>
      <c r="J670" s="14"/>
      <c r="K670" s="12"/>
    </row>
    <row r="671" ht="19.5" customHeight="1">
      <c r="A671" s="12"/>
      <c r="C671" s="12"/>
      <c r="D671" s="13"/>
      <c r="F671" s="14"/>
      <c r="G671" s="14"/>
      <c r="H671" s="14"/>
      <c r="I671" s="14"/>
      <c r="J671" s="14"/>
      <c r="K671" s="12"/>
    </row>
    <row r="672" ht="19.5" customHeight="1">
      <c r="A672" s="12"/>
      <c r="C672" s="12"/>
      <c r="D672" s="13"/>
      <c r="F672" s="14"/>
      <c r="G672" s="14"/>
      <c r="H672" s="14"/>
      <c r="I672" s="14"/>
      <c r="J672" s="14"/>
      <c r="K672" s="12"/>
    </row>
    <row r="673" ht="19.5" customHeight="1">
      <c r="A673" s="12"/>
      <c r="C673" s="12"/>
      <c r="D673" s="13"/>
      <c r="F673" s="14"/>
      <c r="G673" s="14"/>
      <c r="H673" s="14"/>
      <c r="I673" s="14"/>
      <c r="J673" s="14"/>
      <c r="K673" s="12"/>
    </row>
    <row r="674" ht="19.5" customHeight="1">
      <c r="A674" s="12"/>
      <c r="C674" s="12"/>
      <c r="D674" s="13"/>
      <c r="F674" s="14"/>
      <c r="G674" s="14"/>
      <c r="H674" s="14"/>
      <c r="I674" s="14"/>
      <c r="J674" s="14"/>
      <c r="K674" s="12"/>
    </row>
    <row r="675" ht="19.5" customHeight="1">
      <c r="A675" s="12"/>
      <c r="C675" s="12"/>
      <c r="D675" s="13"/>
      <c r="F675" s="14"/>
      <c r="G675" s="14"/>
      <c r="H675" s="14"/>
      <c r="I675" s="14"/>
      <c r="J675" s="14"/>
      <c r="K675" s="12"/>
    </row>
    <row r="676" ht="19.5" customHeight="1">
      <c r="A676" s="12"/>
      <c r="C676" s="12"/>
      <c r="D676" s="13"/>
      <c r="F676" s="14"/>
      <c r="G676" s="14"/>
      <c r="H676" s="14"/>
      <c r="I676" s="14"/>
      <c r="J676" s="14"/>
      <c r="K676" s="12"/>
    </row>
    <row r="677" ht="19.5" customHeight="1">
      <c r="A677" s="12"/>
      <c r="C677" s="12"/>
      <c r="D677" s="13"/>
      <c r="F677" s="14"/>
      <c r="G677" s="14"/>
      <c r="H677" s="14"/>
      <c r="I677" s="14"/>
      <c r="J677" s="14"/>
      <c r="K677" s="12"/>
    </row>
    <row r="678" ht="19.5" customHeight="1">
      <c r="A678" s="12"/>
      <c r="C678" s="12"/>
      <c r="D678" s="13"/>
      <c r="F678" s="14"/>
      <c r="G678" s="14"/>
      <c r="H678" s="14"/>
      <c r="I678" s="14"/>
      <c r="J678" s="14"/>
      <c r="K678" s="12"/>
    </row>
    <row r="679" ht="19.5" customHeight="1">
      <c r="A679" s="12"/>
      <c r="C679" s="12"/>
      <c r="D679" s="13"/>
      <c r="F679" s="14"/>
      <c r="G679" s="14"/>
      <c r="H679" s="14"/>
      <c r="I679" s="14"/>
      <c r="J679" s="14"/>
      <c r="K679" s="12"/>
    </row>
    <row r="680" ht="19.5" customHeight="1">
      <c r="A680" s="12"/>
      <c r="C680" s="12"/>
      <c r="D680" s="13"/>
      <c r="F680" s="14"/>
      <c r="G680" s="14"/>
      <c r="H680" s="14"/>
      <c r="I680" s="14"/>
      <c r="J680" s="14"/>
      <c r="K680" s="12"/>
    </row>
    <row r="681" ht="19.5" customHeight="1">
      <c r="A681" s="12"/>
      <c r="C681" s="12"/>
      <c r="D681" s="13"/>
      <c r="F681" s="14"/>
      <c r="G681" s="14"/>
      <c r="H681" s="14"/>
      <c r="I681" s="14"/>
      <c r="J681" s="14"/>
      <c r="K681" s="12"/>
    </row>
    <row r="682" ht="19.5" customHeight="1">
      <c r="A682" s="12"/>
      <c r="C682" s="12"/>
      <c r="D682" s="13"/>
      <c r="F682" s="14"/>
      <c r="G682" s="14"/>
      <c r="H682" s="14"/>
      <c r="I682" s="14"/>
      <c r="J682" s="14"/>
      <c r="K682" s="12"/>
    </row>
    <row r="683" ht="19.5" customHeight="1">
      <c r="A683" s="12"/>
      <c r="C683" s="12"/>
      <c r="D683" s="13"/>
      <c r="F683" s="14"/>
      <c r="G683" s="14"/>
      <c r="H683" s="14"/>
      <c r="I683" s="14"/>
      <c r="J683" s="14"/>
      <c r="K683" s="12"/>
    </row>
    <row r="684" ht="19.5" customHeight="1">
      <c r="A684" s="12"/>
      <c r="C684" s="12"/>
      <c r="D684" s="13"/>
      <c r="F684" s="14"/>
      <c r="G684" s="14"/>
      <c r="H684" s="14"/>
      <c r="I684" s="14"/>
      <c r="J684" s="14"/>
      <c r="K684" s="12"/>
    </row>
    <row r="685" ht="19.5" customHeight="1">
      <c r="A685" s="12"/>
      <c r="C685" s="12"/>
      <c r="D685" s="13"/>
      <c r="F685" s="14"/>
      <c r="G685" s="14"/>
      <c r="H685" s="14"/>
      <c r="I685" s="14"/>
      <c r="J685" s="14"/>
      <c r="K685" s="12"/>
    </row>
    <row r="686" ht="19.5" customHeight="1">
      <c r="A686" s="12"/>
      <c r="C686" s="12"/>
      <c r="D686" s="13"/>
      <c r="F686" s="14"/>
      <c r="G686" s="14"/>
      <c r="H686" s="14"/>
      <c r="I686" s="14"/>
      <c r="J686" s="14"/>
      <c r="K686" s="12"/>
    </row>
    <row r="687" ht="19.5" customHeight="1">
      <c r="A687" s="12"/>
      <c r="C687" s="12"/>
      <c r="D687" s="13"/>
      <c r="F687" s="14"/>
      <c r="G687" s="14"/>
      <c r="H687" s="14"/>
      <c r="I687" s="14"/>
      <c r="J687" s="14"/>
      <c r="K687" s="12"/>
    </row>
    <row r="688" ht="19.5" customHeight="1">
      <c r="A688" s="12"/>
      <c r="C688" s="12"/>
      <c r="D688" s="13"/>
      <c r="F688" s="14"/>
      <c r="G688" s="14"/>
      <c r="H688" s="14"/>
      <c r="I688" s="14"/>
      <c r="J688" s="14"/>
      <c r="K688" s="12"/>
    </row>
    <row r="689" ht="19.5" customHeight="1">
      <c r="A689" s="12"/>
      <c r="C689" s="12"/>
      <c r="D689" s="13"/>
      <c r="F689" s="14"/>
      <c r="G689" s="14"/>
      <c r="H689" s="14"/>
      <c r="I689" s="14"/>
      <c r="J689" s="14"/>
      <c r="K689" s="12"/>
    </row>
    <row r="690" ht="19.5" customHeight="1">
      <c r="A690" s="12"/>
      <c r="C690" s="12"/>
      <c r="D690" s="13"/>
      <c r="F690" s="14"/>
      <c r="G690" s="14"/>
      <c r="H690" s="14"/>
      <c r="I690" s="14"/>
      <c r="J690" s="14"/>
      <c r="K690" s="12"/>
    </row>
    <row r="691" ht="19.5" customHeight="1">
      <c r="A691" s="12"/>
      <c r="C691" s="12"/>
      <c r="D691" s="13"/>
      <c r="F691" s="14"/>
      <c r="G691" s="14"/>
      <c r="H691" s="14"/>
      <c r="I691" s="14"/>
      <c r="J691" s="14"/>
      <c r="K691" s="12"/>
    </row>
    <row r="692" ht="19.5" customHeight="1">
      <c r="A692" s="12"/>
      <c r="C692" s="12"/>
      <c r="D692" s="13"/>
      <c r="F692" s="14"/>
      <c r="G692" s="14"/>
      <c r="H692" s="14"/>
      <c r="I692" s="14"/>
      <c r="J692" s="14"/>
      <c r="K692" s="12"/>
    </row>
    <row r="693" ht="19.5" customHeight="1">
      <c r="A693" s="12"/>
      <c r="C693" s="12"/>
      <c r="D693" s="13"/>
      <c r="F693" s="14"/>
      <c r="G693" s="14"/>
      <c r="H693" s="14"/>
      <c r="I693" s="14"/>
      <c r="J693" s="14"/>
      <c r="K693" s="12"/>
    </row>
    <row r="694" ht="19.5" customHeight="1">
      <c r="A694" s="12"/>
      <c r="C694" s="12"/>
      <c r="D694" s="13"/>
      <c r="F694" s="14"/>
      <c r="G694" s="14"/>
      <c r="H694" s="14"/>
      <c r="I694" s="14"/>
      <c r="J694" s="14"/>
      <c r="K694" s="12"/>
    </row>
    <row r="695" ht="19.5" customHeight="1">
      <c r="A695" s="12"/>
      <c r="C695" s="12"/>
      <c r="D695" s="13"/>
      <c r="F695" s="14"/>
      <c r="G695" s="14"/>
      <c r="H695" s="14"/>
      <c r="I695" s="14"/>
      <c r="J695" s="14"/>
      <c r="K695" s="12"/>
    </row>
    <row r="696" ht="19.5" customHeight="1">
      <c r="A696" s="12"/>
      <c r="C696" s="12"/>
      <c r="D696" s="13"/>
      <c r="F696" s="14"/>
      <c r="G696" s="14"/>
      <c r="H696" s="14"/>
      <c r="I696" s="14"/>
      <c r="J696" s="14"/>
      <c r="K696" s="12"/>
    </row>
    <row r="697" ht="19.5" customHeight="1">
      <c r="A697" s="12"/>
      <c r="C697" s="12"/>
      <c r="D697" s="13"/>
      <c r="F697" s="14"/>
      <c r="G697" s="14"/>
      <c r="H697" s="14"/>
      <c r="I697" s="14"/>
      <c r="J697" s="14"/>
      <c r="K697" s="12"/>
    </row>
    <row r="698" ht="19.5" customHeight="1">
      <c r="A698" s="12"/>
      <c r="C698" s="12"/>
      <c r="D698" s="13"/>
      <c r="F698" s="14"/>
      <c r="G698" s="14"/>
      <c r="H698" s="14"/>
      <c r="I698" s="14"/>
      <c r="J698" s="14"/>
      <c r="K698" s="12"/>
    </row>
    <row r="699" ht="19.5" customHeight="1">
      <c r="A699" s="12"/>
      <c r="C699" s="12"/>
      <c r="D699" s="13"/>
      <c r="F699" s="14"/>
      <c r="G699" s="14"/>
      <c r="H699" s="14"/>
      <c r="I699" s="14"/>
      <c r="J699" s="14"/>
      <c r="K699" s="12"/>
    </row>
    <row r="700" ht="19.5" customHeight="1">
      <c r="A700" s="12"/>
      <c r="C700" s="12"/>
      <c r="D700" s="13"/>
      <c r="F700" s="14"/>
      <c r="G700" s="14"/>
      <c r="H700" s="14"/>
      <c r="I700" s="14"/>
      <c r="J700" s="14"/>
      <c r="K700" s="12"/>
    </row>
    <row r="701" ht="19.5" customHeight="1">
      <c r="A701" s="12"/>
      <c r="C701" s="12"/>
      <c r="D701" s="13"/>
      <c r="F701" s="14"/>
      <c r="G701" s="14"/>
      <c r="H701" s="14"/>
      <c r="I701" s="14"/>
      <c r="J701" s="14"/>
      <c r="K701" s="12"/>
    </row>
    <row r="702" ht="19.5" customHeight="1">
      <c r="A702" s="12"/>
      <c r="C702" s="12"/>
      <c r="D702" s="13"/>
      <c r="F702" s="14"/>
      <c r="G702" s="14"/>
      <c r="H702" s="14"/>
      <c r="I702" s="14"/>
      <c r="J702" s="14"/>
      <c r="K702" s="12"/>
    </row>
    <row r="703" ht="19.5" customHeight="1">
      <c r="A703" s="12"/>
      <c r="C703" s="12"/>
      <c r="D703" s="13"/>
      <c r="F703" s="14"/>
      <c r="G703" s="14"/>
      <c r="H703" s="14"/>
      <c r="I703" s="14"/>
      <c r="J703" s="14"/>
      <c r="K703" s="12"/>
    </row>
    <row r="704" ht="19.5" customHeight="1">
      <c r="A704" s="12"/>
      <c r="C704" s="12"/>
      <c r="D704" s="13"/>
      <c r="F704" s="14"/>
      <c r="G704" s="14"/>
      <c r="H704" s="14"/>
      <c r="I704" s="14"/>
      <c r="J704" s="14"/>
      <c r="K704" s="12"/>
    </row>
    <row r="705" ht="19.5" customHeight="1">
      <c r="A705" s="12"/>
      <c r="C705" s="12"/>
      <c r="D705" s="13"/>
      <c r="F705" s="14"/>
      <c r="G705" s="14"/>
      <c r="H705" s="14"/>
      <c r="I705" s="14"/>
      <c r="J705" s="14"/>
      <c r="K705" s="12"/>
    </row>
    <row r="706" ht="19.5" customHeight="1">
      <c r="A706" s="12"/>
      <c r="C706" s="12"/>
      <c r="D706" s="13"/>
      <c r="F706" s="14"/>
      <c r="G706" s="14"/>
      <c r="H706" s="14"/>
      <c r="I706" s="14"/>
      <c r="J706" s="14"/>
      <c r="K706" s="12"/>
    </row>
    <row r="707" ht="19.5" customHeight="1">
      <c r="A707" s="12"/>
      <c r="C707" s="12"/>
      <c r="D707" s="13"/>
      <c r="F707" s="14"/>
      <c r="G707" s="14"/>
      <c r="H707" s="14"/>
      <c r="I707" s="14"/>
      <c r="J707" s="14"/>
      <c r="K707" s="12"/>
    </row>
    <row r="708" ht="19.5" customHeight="1">
      <c r="A708" s="12"/>
      <c r="C708" s="12"/>
      <c r="D708" s="13"/>
      <c r="F708" s="14"/>
      <c r="G708" s="14"/>
      <c r="H708" s="14"/>
      <c r="I708" s="14"/>
      <c r="J708" s="14"/>
      <c r="K708" s="12"/>
    </row>
    <row r="709" ht="19.5" customHeight="1">
      <c r="A709" s="12"/>
      <c r="C709" s="12"/>
      <c r="D709" s="13"/>
      <c r="F709" s="14"/>
      <c r="G709" s="14"/>
      <c r="H709" s="14"/>
      <c r="I709" s="14"/>
      <c r="J709" s="14"/>
      <c r="K709" s="12"/>
    </row>
    <row r="710" ht="19.5" customHeight="1">
      <c r="A710" s="12"/>
      <c r="C710" s="12"/>
      <c r="D710" s="13"/>
      <c r="F710" s="14"/>
      <c r="G710" s="14"/>
      <c r="H710" s="14"/>
      <c r="I710" s="14"/>
      <c r="J710" s="14"/>
      <c r="K710" s="12"/>
    </row>
    <row r="711" ht="19.5" customHeight="1">
      <c r="A711" s="12"/>
      <c r="C711" s="12"/>
      <c r="D711" s="13"/>
      <c r="F711" s="14"/>
      <c r="G711" s="14"/>
      <c r="H711" s="14"/>
      <c r="I711" s="14"/>
      <c r="J711" s="14"/>
      <c r="K711" s="12"/>
    </row>
    <row r="712" ht="19.5" customHeight="1">
      <c r="A712" s="12"/>
      <c r="C712" s="12"/>
      <c r="D712" s="13"/>
      <c r="F712" s="14"/>
      <c r="G712" s="14"/>
      <c r="H712" s="14"/>
      <c r="I712" s="14"/>
      <c r="J712" s="14"/>
      <c r="K712" s="12"/>
    </row>
    <row r="713" ht="19.5" customHeight="1">
      <c r="A713" s="12"/>
      <c r="C713" s="12"/>
      <c r="D713" s="13"/>
      <c r="F713" s="14"/>
      <c r="G713" s="14"/>
      <c r="H713" s="14"/>
      <c r="I713" s="14"/>
      <c r="J713" s="14"/>
      <c r="K713" s="12"/>
    </row>
    <row r="714" ht="19.5" customHeight="1">
      <c r="A714" s="12"/>
      <c r="C714" s="12"/>
      <c r="D714" s="13"/>
      <c r="F714" s="14"/>
      <c r="G714" s="14"/>
      <c r="H714" s="14"/>
      <c r="I714" s="14"/>
      <c r="J714" s="14"/>
      <c r="K714" s="12"/>
    </row>
    <row r="715" ht="19.5" customHeight="1">
      <c r="A715" s="12"/>
      <c r="C715" s="12"/>
      <c r="D715" s="13"/>
      <c r="F715" s="14"/>
      <c r="G715" s="14"/>
      <c r="H715" s="14"/>
      <c r="I715" s="14"/>
      <c r="J715" s="14"/>
      <c r="K715" s="12"/>
    </row>
    <row r="716" ht="19.5" customHeight="1">
      <c r="A716" s="12"/>
      <c r="C716" s="12"/>
      <c r="D716" s="13"/>
      <c r="F716" s="14"/>
      <c r="G716" s="14"/>
      <c r="H716" s="14"/>
      <c r="I716" s="14"/>
      <c r="J716" s="14"/>
      <c r="K716" s="12"/>
    </row>
    <row r="717" ht="19.5" customHeight="1">
      <c r="A717" s="12"/>
      <c r="C717" s="12"/>
      <c r="D717" s="13"/>
      <c r="F717" s="14"/>
      <c r="G717" s="14"/>
      <c r="H717" s="14"/>
      <c r="I717" s="14"/>
      <c r="J717" s="14"/>
      <c r="K717" s="12"/>
    </row>
    <row r="718" ht="19.5" customHeight="1">
      <c r="A718" s="12"/>
      <c r="C718" s="12"/>
      <c r="D718" s="13"/>
      <c r="F718" s="14"/>
      <c r="G718" s="14"/>
      <c r="H718" s="14"/>
      <c r="I718" s="14"/>
      <c r="J718" s="14"/>
      <c r="K718" s="12"/>
    </row>
    <row r="719" ht="19.5" customHeight="1">
      <c r="A719" s="12"/>
      <c r="C719" s="12"/>
      <c r="D719" s="13"/>
      <c r="F719" s="14"/>
      <c r="G719" s="14"/>
      <c r="H719" s="14"/>
      <c r="I719" s="14"/>
      <c r="J719" s="14"/>
      <c r="K719" s="12"/>
    </row>
    <row r="720" ht="19.5" customHeight="1">
      <c r="A720" s="12"/>
      <c r="C720" s="12"/>
      <c r="D720" s="13"/>
      <c r="F720" s="14"/>
      <c r="G720" s="14"/>
      <c r="H720" s="14"/>
      <c r="I720" s="14"/>
      <c r="J720" s="14"/>
      <c r="K720" s="12"/>
    </row>
    <row r="721" ht="19.5" customHeight="1">
      <c r="A721" s="12"/>
      <c r="C721" s="12"/>
      <c r="D721" s="13"/>
      <c r="F721" s="14"/>
      <c r="G721" s="14"/>
      <c r="H721" s="14"/>
      <c r="I721" s="14"/>
      <c r="J721" s="14"/>
      <c r="K721" s="12"/>
    </row>
    <row r="722" ht="19.5" customHeight="1">
      <c r="A722" s="12"/>
      <c r="C722" s="12"/>
      <c r="D722" s="13"/>
      <c r="F722" s="14"/>
      <c r="G722" s="14"/>
      <c r="H722" s="14"/>
      <c r="I722" s="14"/>
      <c r="J722" s="14"/>
      <c r="K722" s="12"/>
    </row>
    <row r="723" ht="19.5" customHeight="1">
      <c r="A723" s="12"/>
      <c r="C723" s="12"/>
      <c r="D723" s="13"/>
      <c r="F723" s="14"/>
      <c r="G723" s="14"/>
      <c r="H723" s="14"/>
      <c r="I723" s="14"/>
      <c r="J723" s="14"/>
      <c r="K723" s="12"/>
    </row>
    <row r="724" ht="19.5" customHeight="1">
      <c r="A724" s="12"/>
      <c r="C724" s="12"/>
      <c r="D724" s="13"/>
      <c r="F724" s="14"/>
      <c r="G724" s="14"/>
      <c r="H724" s="14"/>
      <c r="I724" s="14"/>
      <c r="J724" s="14"/>
      <c r="K724" s="12"/>
    </row>
    <row r="725" ht="19.5" customHeight="1">
      <c r="A725" s="12"/>
      <c r="C725" s="12"/>
      <c r="D725" s="13"/>
      <c r="F725" s="14"/>
      <c r="G725" s="14"/>
      <c r="H725" s="14"/>
      <c r="I725" s="14"/>
      <c r="J725" s="14"/>
      <c r="K725" s="12"/>
    </row>
    <row r="726" ht="19.5" customHeight="1">
      <c r="A726" s="12"/>
      <c r="C726" s="12"/>
      <c r="D726" s="13"/>
      <c r="F726" s="14"/>
      <c r="G726" s="14"/>
      <c r="H726" s="14"/>
      <c r="I726" s="14"/>
      <c r="J726" s="14"/>
      <c r="K726" s="12"/>
    </row>
    <row r="727" ht="19.5" customHeight="1">
      <c r="A727" s="12"/>
      <c r="C727" s="12"/>
      <c r="D727" s="13"/>
      <c r="F727" s="14"/>
      <c r="G727" s="14"/>
      <c r="H727" s="14"/>
      <c r="I727" s="14"/>
      <c r="J727" s="14"/>
      <c r="K727" s="12"/>
    </row>
    <row r="728" ht="19.5" customHeight="1">
      <c r="A728" s="12"/>
      <c r="C728" s="12"/>
      <c r="D728" s="13"/>
      <c r="F728" s="14"/>
      <c r="G728" s="14"/>
      <c r="H728" s="14"/>
      <c r="I728" s="14"/>
      <c r="J728" s="14"/>
      <c r="K728" s="12"/>
    </row>
    <row r="729" ht="19.5" customHeight="1">
      <c r="A729" s="12"/>
      <c r="C729" s="12"/>
      <c r="D729" s="13"/>
      <c r="F729" s="14"/>
      <c r="G729" s="14"/>
      <c r="H729" s="14"/>
      <c r="I729" s="14"/>
      <c r="J729" s="14"/>
      <c r="K729" s="12"/>
    </row>
    <row r="730" ht="19.5" customHeight="1">
      <c r="A730" s="12"/>
      <c r="C730" s="12"/>
      <c r="D730" s="13"/>
      <c r="F730" s="14"/>
      <c r="G730" s="14"/>
      <c r="H730" s="14"/>
      <c r="I730" s="14"/>
      <c r="J730" s="14"/>
      <c r="K730" s="12"/>
    </row>
    <row r="731" ht="19.5" customHeight="1">
      <c r="A731" s="12"/>
      <c r="C731" s="12"/>
      <c r="D731" s="13"/>
      <c r="F731" s="14"/>
      <c r="G731" s="14"/>
      <c r="H731" s="14"/>
      <c r="I731" s="14"/>
      <c r="J731" s="14"/>
      <c r="K731" s="12"/>
    </row>
    <row r="732" ht="19.5" customHeight="1">
      <c r="A732" s="12"/>
      <c r="C732" s="12"/>
      <c r="D732" s="13"/>
      <c r="F732" s="14"/>
      <c r="G732" s="14"/>
      <c r="H732" s="14"/>
      <c r="I732" s="14"/>
      <c r="J732" s="14"/>
      <c r="K732" s="12"/>
    </row>
    <row r="733" ht="19.5" customHeight="1">
      <c r="A733" s="12"/>
      <c r="C733" s="12"/>
      <c r="D733" s="13"/>
      <c r="F733" s="14"/>
      <c r="G733" s="14"/>
      <c r="H733" s="14"/>
      <c r="I733" s="14"/>
      <c r="J733" s="14"/>
      <c r="K733" s="12"/>
    </row>
    <row r="734" ht="19.5" customHeight="1">
      <c r="A734" s="12"/>
      <c r="C734" s="12"/>
      <c r="D734" s="13"/>
      <c r="F734" s="14"/>
      <c r="G734" s="14"/>
      <c r="H734" s="14"/>
      <c r="I734" s="14"/>
      <c r="J734" s="14"/>
      <c r="K734" s="12"/>
    </row>
    <row r="735" ht="19.5" customHeight="1">
      <c r="A735" s="12"/>
      <c r="C735" s="12"/>
      <c r="D735" s="13"/>
      <c r="F735" s="14"/>
      <c r="G735" s="14"/>
      <c r="H735" s="14"/>
      <c r="I735" s="14"/>
      <c r="J735" s="14"/>
      <c r="K735" s="12"/>
    </row>
    <row r="736" ht="19.5" customHeight="1">
      <c r="A736" s="12"/>
      <c r="C736" s="12"/>
      <c r="D736" s="13"/>
      <c r="F736" s="14"/>
      <c r="G736" s="14"/>
      <c r="H736" s="14"/>
      <c r="I736" s="14"/>
      <c r="J736" s="14"/>
      <c r="K736" s="12"/>
    </row>
    <row r="737" ht="19.5" customHeight="1">
      <c r="A737" s="12"/>
      <c r="C737" s="12"/>
      <c r="D737" s="13"/>
      <c r="F737" s="14"/>
      <c r="G737" s="14"/>
      <c r="H737" s="14"/>
      <c r="I737" s="14"/>
      <c r="J737" s="14"/>
      <c r="K737" s="12"/>
    </row>
    <row r="738" ht="19.5" customHeight="1">
      <c r="A738" s="12"/>
      <c r="C738" s="12"/>
      <c r="D738" s="13"/>
      <c r="F738" s="14"/>
      <c r="G738" s="14"/>
      <c r="H738" s="14"/>
      <c r="I738" s="14"/>
      <c r="J738" s="14"/>
      <c r="K738" s="12"/>
    </row>
    <row r="739" ht="19.5" customHeight="1">
      <c r="A739" s="12"/>
      <c r="C739" s="12"/>
      <c r="D739" s="13"/>
      <c r="F739" s="14"/>
      <c r="G739" s="14"/>
      <c r="H739" s="14"/>
      <c r="I739" s="14"/>
      <c r="J739" s="14"/>
      <c r="K739" s="12"/>
    </row>
    <row r="740" ht="19.5" customHeight="1">
      <c r="A740" s="12"/>
      <c r="C740" s="12"/>
      <c r="D740" s="13"/>
      <c r="F740" s="14"/>
      <c r="G740" s="14"/>
      <c r="H740" s="14"/>
      <c r="I740" s="14"/>
      <c r="J740" s="14"/>
      <c r="K740" s="12"/>
    </row>
    <row r="741" ht="19.5" customHeight="1">
      <c r="A741" s="12"/>
      <c r="C741" s="12"/>
      <c r="D741" s="13"/>
      <c r="F741" s="14"/>
      <c r="G741" s="14"/>
      <c r="H741" s="14"/>
      <c r="I741" s="14"/>
      <c r="J741" s="14"/>
      <c r="K741" s="12"/>
    </row>
    <row r="742" ht="19.5" customHeight="1">
      <c r="A742" s="12"/>
      <c r="C742" s="12"/>
      <c r="D742" s="13"/>
      <c r="F742" s="14"/>
      <c r="G742" s="14"/>
      <c r="H742" s="14"/>
      <c r="I742" s="14"/>
      <c r="J742" s="14"/>
      <c r="K742" s="12"/>
    </row>
    <row r="743" ht="19.5" customHeight="1">
      <c r="A743" s="12"/>
      <c r="C743" s="12"/>
      <c r="D743" s="13"/>
      <c r="F743" s="14"/>
      <c r="G743" s="14"/>
      <c r="H743" s="14"/>
      <c r="I743" s="14"/>
      <c r="J743" s="14"/>
      <c r="K743" s="12"/>
    </row>
    <row r="744" ht="19.5" customHeight="1">
      <c r="A744" s="12"/>
      <c r="C744" s="12"/>
      <c r="D744" s="13"/>
      <c r="F744" s="14"/>
      <c r="G744" s="14"/>
      <c r="H744" s="14"/>
      <c r="I744" s="14"/>
      <c r="J744" s="14"/>
      <c r="K744" s="12"/>
    </row>
    <row r="745" ht="19.5" customHeight="1">
      <c r="A745" s="12"/>
      <c r="C745" s="12"/>
      <c r="D745" s="13"/>
      <c r="F745" s="14"/>
      <c r="G745" s="14"/>
      <c r="H745" s="14"/>
      <c r="I745" s="14"/>
      <c r="J745" s="14"/>
      <c r="K745" s="12"/>
    </row>
    <row r="746" ht="19.5" customHeight="1">
      <c r="A746" s="12"/>
      <c r="C746" s="12"/>
      <c r="D746" s="13"/>
      <c r="F746" s="14"/>
      <c r="G746" s="14"/>
      <c r="H746" s="14"/>
      <c r="I746" s="14"/>
      <c r="J746" s="14"/>
      <c r="K746" s="12"/>
    </row>
    <row r="747" ht="19.5" customHeight="1">
      <c r="A747" s="12"/>
      <c r="C747" s="12"/>
      <c r="D747" s="13"/>
      <c r="F747" s="14"/>
      <c r="G747" s="14"/>
      <c r="H747" s="14"/>
      <c r="I747" s="14"/>
      <c r="J747" s="14"/>
      <c r="K747" s="12"/>
    </row>
    <row r="748" ht="19.5" customHeight="1">
      <c r="A748" s="12"/>
      <c r="C748" s="12"/>
      <c r="D748" s="13"/>
      <c r="F748" s="14"/>
      <c r="G748" s="14"/>
      <c r="H748" s="14"/>
      <c r="I748" s="14"/>
      <c r="J748" s="14"/>
      <c r="K748" s="12"/>
    </row>
    <row r="749" ht="19.5" customHeight="1">
      <c r="A749" s="12"/>
      <c r="C749" s="12"/>
      <c r="D749" s="13"/>
      <c r="F749" s="14"/>
      <c r="G749" s="14"/>
      <c r="H749" s="14"/>
      <c r="I749" s="14"/>
      <c r="J749" s="14"/>
      <c r="K749" s="12"/>
    </row>
    <row r="750" ht="19.5" customHeight="1">
      <c r="A750" s="12"/>
      <c r="C750" s="12"/>
      <c r="D750" s="13"/>
      <c r="F750" s="14"/>
      <c r="G750" s="14"/>
      <c r="H750" s="14"/>
      <c r="I750" s="14"/>
      <c r="J750" s="14"/>
      <c r="K750" s="12"/>
    </row>
    <row r="751" ht="19.5" customHeight="1">
      <c r="A751" s="12"/>
      <c r="C751" s="12"/>
      <c r="D751" s="13"/>
      <c r="F751" s="14"/>
      <c r="G751" s="14"/>
      <c r="H751" s="14"/>
      <c r="I751" s="14"/>
      <c r="J751" s="14"/>
      <c r="K751" s="12"/>
    </row>
    <row r="752" ht="19.5" customHeight="1">
      <c r="A752" s="12"/>
      <c r="C752" s="12"/>
      <c r="D752" s="13"/>
      <c r="F752" s="14"/>
      <c r="G752" s="14"/>
      <c r="H752" s="14"/>
      <c r="I752" s="14"/>
      <c r="J752" s="14"/>
      <c r="K752" s="12"/>
    </row>
    <row r="753" ht="19.5" customHeight="1">
      <c r="A753" s="12"/>
      <c r="C753" s="12"/>
      <c r="D753" s="13"/>
      <c r="F753" s="14"/>
      <c r="G753" s="14"/>
      <c r="H753" s="14"/>
      <c r="I753" s="14"/>
      <c r="J753" s="14"/>
      <c r="K753" s="12"/>
    </row>
    <row r="754" ht="19.5" customHeight="1">
      <c r="A754" s="12"/>
      <c r="C754" s="12"/>
      <c r="D754" s="13"/>
      <c r="F754" s="14"/>
      <c r="G754" s="14"/>
      <c r="H754" s="14"/>
      <c r="I754" s="14"/>
      <c r="J754" s="14"/>
      <c r="K754" s="12"/>
    </row>
    <row r="755" ht="19.5" customHeight="1">
      <c r="A755" s="12"/>
      <c r="C755" s="12"/>
      <c r="D755" s="13"/>
      <c r="F755" s="14"/>
      <c r="G755" s="14"/>
      <c r="H755" s="14"/>
      <c r="I755" s="14"/>
      <c r="J755" s="14"/>
      <c r="K755" s="12"/>
    </row>
    <row r="756" ht="19.5" customHeight="1">
      <c r="A756" s="12"/>
      <c r="C756" s="12"/>
      <c r="D756" s="13"/>
      <c r="F756" s="14"/>
      <c r="G756" s="14"/>
      <c r="H756" s="14"/>
      <c r="I756" s="14"/>
      <c r="J756" s="14"/>
      <c r="K756" s="12"/>
    </row>
    <row r="757" ht="19.5" customHeight="1">
      <c r="A757" s="12"/>
      <c r="C757" s="12"/>
      <c r="D757" s="13"/>
      <c r="F757" s="14"/>
      <c r="G757" s="14"/>
      <c r="H757" s="14"/>
      <c r="I757" s="14"/>
      <c r="J757" s="14"/>
      <c r="K757" s="12"/>
    </row>
    <row r="758" ht="19.5" customHeight="1">
      <c r="A758" s="12"/>
      <c r="C758" s="12"/>
      <c r="D758" s="13"/>
      <c r="F758" s="14"/>
      <c r="G758" s="14"/>
      <c r="H758" s="14"/>
      <c r="I758" s="14"/>
      <c r="J758" s="14"/>
      <c r="K758" s="12"/>
    </row>
    <row r="759" ht="19.5" customHeight="1">
      <c r="A759" s="12"/>
      <c r="C759" s="12"/>
      <c r="D759" s="13"/>
      <c r="F759" s="14"/>
      <c r="G759" s="14"/>
      <c r="H759" s="14"/>
      <c r="I759" s="14"/>
      <c r="J759" s="14"/>
      <c r="K759" s="12"/>
    </row>
    <row r="760" ht="19.5" customHeight="1">
      <c r="A760" s="12"/>
      <c r="C760" s="12"/>
      <c r="D760" s="13"/>
      <c r="F760" s="14"/>
      <c r="G760" s="14"/>
      <c r="H760" s="14"/>
      <c r="I760" s="14"/>
      <c r="J760" s="14"/>
      <c r="K760" s="12"/>
    </row>
    <row r="761" ht="19.5" customHeight="1">
      <c r="A761" s="12"/>
      <c r="C761" s="12"/>
      <c r="D761" s="13"/>
      <c r="F761" s="14"/>
      <c r="G761" s="14"/>
      <c r="H761" s="14"/>
      <c r="I761" s="14"/>
      <c r="J761" s="14"/>
      <c r="K761" s="12"/>
    </row>
    <row r="762" ht="19.5" customHeight="1">
      <c r="A762" s="12"/>
      <c r="C762" s="12"/>
      <c r="D762" s="13"/>
      <c r="F762" s="14"/>
      <c r="G762" s="14"/>
      <c r="H762" s="14"/>
      <c r="I762" s="14"/>
      <c r="J762" s="14"/>
      <c r="K762" s="12"/>
    </row>
    <row r="763" ht="19.5" customHeight="1">
      <c r="A763" s="12"/>
      <c r="C763" s="12"/>
      <c r="D763" s="13"/>
      <c r="F763" s="14"/>
      <c r="G763" s="14"/>
      <c r="H763" s="14"/>
      <c r="I763" s="14"/>
      <c r="J763" s="14"/>
      <c r="K763" s="12"/>
    </row>
    <row r="764" ht="19.5" customHeight="1">
      <c r="A764" s="12"/>
      <c r="C764" s="12"/>
      <c r="D764" s="13"/>
      <c r="F764" s="14"/>
      <c r="G764" s="14"/>
      <c r="H764" s="14"/>
      <c r="I764" s="14"/>
      <c r="J764" s="14"/>
      <c r="K764" s="12"/>
    </row>
    <row r="765" ht="19.5" customHeight="1">
      <c r="A765" s="12"/>
      <c r="C765" s="12"/>
      <c r="D765" s="13"/>
      <c r="F765" s="14"/>
      <c r="G765" s="14"/>
      <c r="H765" s="14"/>
      <c r="I765" s="14"/>
      <c r="J765" s="14"/>
      <c r="K765" s="12"/>
    </row>
    <row r="766" ht="19.5" customHeight="1">
      <c r="A766" s="12"/>
      <c r="C766" s="12"/>
      <c r="D766" s="13"/>
      <c r="F766" s="14"/>
      <c r="G766" s="14"/>
      <c r="H766" s="14"/>
      <c r="I766" s="14"/>
      <c r="J766" s="14"/>
      <c r="K766" s="12"/>
    </row>
    <row r="767" ht="19.5" customHeight="1">
      <c r="A767" s="12"/>
      <c r="C767" s="12"/>
      <c r="D767" s="13"/>
      <c r="F767" s="14"/>
      <c r="G767" s="14"/>
      <c r="H767" s="14"/>
      <c r="I767" s="14"/>
      <c r="J767" s="14"/>
      <c r="K767" s="12"/>
    </row>
    <row r="768" ht="19.5" customHeight="1">
      <c r="A768" s="12"/>
      <c r="C768" s="12"/>
      <c r="D768" s="13"/>
      <c r="F768" s="14"/>
      <c r="G768" s="14"/>
      <c r="H768" s="14"/>
      <c r="I768" s="14"/>
      <c r="J768" s="14"/>
      <c r="K768" s="12"/>
    </row>
    <row r="769" ht="19.5" customHeight="1">
      <c r="A769" s="12"/>
      <c r="C769" s="12"/>
      <c r="D769" s="13"/>
      <c r="F769" s="14"/>
      <c r="G769" s="14"/>
      <c r="H769" s="14"/>
      <c r="I769" s="14"/>
      <c r="J769" s="14"/>
      <c r="K769" s="12"/>
    </row>
    <row r="770" ht="19.5" customHeight="1">
      <c r="A770" s="12"/>
      <c r="C770" s="12"/>
      <c r="D770" s="13"/>
      <c r="F770" s="14"/>
      <c r="G770" s="14"/>
      <c r="H770" s="14"/>
      <c r="I770" s="14"/>
      <c r="J770" s="14"/>
      <c r="K770" s="12"/>
    </row>
    <row r="771" ht="19.5" customHeight="1">
      <c r="A771" s="12"/>
      <c r="C771" s="12"/>
      <c r="D771" s="13"/>
      <c r="F771" s="14"/>
      <c r="G771" s="14"/>
      <c r="H771" s="14"/>
      <c r="I771" s="14"/>
      <c r="J771" s="14"/>
      <c r="K771" s="12"/>
    </row>
    <row r="772" ht="19.5" customHeight="1">
      <c r="A772" s="12"/>
      <c r="C772" s="12"/>
      <c r="D772" s="13"/>
      <c r="F772" s="14"/>
      <c r="G772" s="14"/>
      <c r="H772" s="14"/>
      <c r="I772" s="14"/>
      <c r="J772" s="14"/>
      <c r="K772" s="12"/>
    </row>
    <row r="773" ht="19.5" customHeight="1">
      <c r="A773" s="12"/>
      <c r="C773" s="12"/>
      <c r="D773" s="13"/>
      <c r="F773" s="14"/>
      <c r="G773" s="14"/>
      <c r="H773" s="14"/>
      <c r="I773" s="14"/>
      <c r="J773" s="14"/>
      <c r="K773" s="12"/>
    </row>
    <row r="774" ht="19.5" customHeight="1">
      <c r="A774" s="12"/>
      <c r="C774" s="12"/>
      <c r="D774" s="13"/>
      <c r="F774" s="14"/>
      <c r="G774" s="14"/>
      <c r="H774" s="14"/>
      <c r="I774" s="14"/>
      <c r="J774" s="14"/>
      <c r="K774" s="12"/>
    </row>
    <row r="775" ht="19.5" customHeight="1">
      <c r="A775" s="12"/>
      <c r="C775" s="12"/>
      <c r="D775" s="13"/>
      <c r="F775" s="14"/>
      <c r="G775" s="14"/>
      <c r="H775" s="14"/>
      <c r="I775" s="14"/>
      <c r="J775" s="14"/>
      <c r="K775" s="12"/>
    </row>
    <row r="776" ht="19.5" customHeight="1">
      <c r="A776" s="12"/>
      <c r="C776" s="12"/>
      <c r="D776" s="13"/>
      <c r="F776" s="14"/>
      <c r="G776" s="14"/>
      <c r="H776" s="14"/>
      <c r="I776" s="14"/>
      <c r="J776" s="14"/>
      <c r="K776" s="12"/>
    </row>
    <row r="777" ht="19.5" customHeight="1">
      <c r="A777" s="12"/>
      <c r="C777" s="12"/>
      <c r="D777" s="13"/>
      <c r="F777" s="14"/>
      <c r="G777" s="14"/>
      <c r="H777" s="14"/>
      <c r="I777" s="14"/>
      <c r="J777" s="14"/>
      <c r="K777" s="12"/>
    </row>
    <row r="778" ht="19.5" customHeight="1">
      <c r="A778" s="12"/>
      <c r="C778" s="12"/>
      <c r="D778" s="13"/>
      <c r="F778" s="14"/>
      <c r="G778" s="14"/>
      <c r="H778" s="14"/>
      <c r="I778" s="14"/>
      <c r="J778" s="14"/>
      <c r="K778" s="12"/>
    </row>
    <row r="779" ht="19.5" customHeight="1">
      <c r="A779" s="12"/>
      <c r="C779" s="12"/>
      <c r="D779" s="13"/>
      <c r="F779" s="14"/>
      <c r="G779" s="14"/>
      <c r="H779" s="14"/>
      <c r="I779" s="14"/>
      <c r="J779" s="14"/>
      <c r="K779" s="12"/>
    </row>
    <row r="780" ht="19.5" customHeight="1">
      <c r="A780" s="12"/>
      <c r="C780" s="12"/>
      <c r="D780" s="13"/>
      <c r="F780" s="14"/>
      <c r="G780" s="14"/>
      <c r="H780" s="14"/>
      <c r="I780" s="14"/>
      <c r="J780" s="14"/>
      <c r="K780" s="12"/>
    </row>
    <row r="781" ht="19.5" customHeight="1">
      <c r="A781" s="12"/>
      <c r="C781" s="12"/>
      <c r="D781" s="13"/>
      <c r="F781" s="14"/>
      <c r="G781" s="14"/>
      <c r="H781" s="14"/>
      <c r="I781" s="14"/>
      <c r="J781" s="14"/>
      <c r="K781" s="12"/>
    </row>
    <row r="782" ht="19.5" customHeight="1">
      <c r="A782" s="12"/>
      <c r="C782" s="12"/>
      <c r="D782" s="13"/>
      <c r="F782" s="14"/>
      <c r="G782" s="14"/>
      <c r="H782" s="14"/>
      <c r="I782" s="14"/>
      <c r="J782" s="14"/>
      <c r="K782" s="12"/>
    </row>
    <row r="783" ht="19.5" customHeight="1">
      <c r="A783" s="12"/>
      <c r="C783" s="12"/>
      <c r="D783" s="13"/>
      <c r="F783" s="14"/>
      <c r="G783" s="14"/>
      <c r="H783" s="14"/>
      <c r="I783" s="14"/>
      <c r="J783" s="14"/>
      <c r="K783" s="12"/>
    </row>
    <row r="784" ht="19.5" customHeight="1">
      <c r="A784" s="12"/>
      <c r="C784" s="12"/>
      <c r="D784" s="13"/>
      <c r="F784" s="14"/>
      <c r="G784" s="14"/>
      <c r="H784" s="14"/>
      <c r="I784" s="14"/>
      <c r="J784" s="14"/>
      <c r="K784" s="12"/>
    </row>
    <row r="785" ht="19.5" customHeight="1">
      <c r="A785" s="12"/>
      <c r="C785" s="12"/>
      <c r="D785" s="13"/>
      <c r="F785" s="14"/>
      <c r="G785" s="14"/>
      <c r="H785" s="14"/>
      <c r="I785" s="14"/>
      <c r="J785" s="14"/>
      <c r="K785" s="12"/>
    </row>
    <row r="786" ht="19.5" customHeight="1">
      <c r="A786" s="12"/>
      <c r="C786" s="12"/>
      <c r="D786" s="13"/>
      <c r="F786" s="14"/>
      <c r="G786" s="14"/>
      <c r="H786" s="14"/>
      <c r="I786" s="14"/>
      <c r="J786" s="14"/>
      <c r="K786" s="12"/>
    </row>
    <row r="787" ht="19.5" customHeight="1">
      <c r="A787" s="12"/>
      <c r="C787" s="12"/>
      <c r="D787" s="13"/>
      <c r="F787" s="14"/>
      <c r="G787" s="14"/>
      <c r="H787" s="14"/>
      <c r="I787" s="14"/>
      <c r="J787" s="14"/>
      <c r="K787" s="12"/>
    </row>
    <row r="788" ht="19.5" customHeight="1">
      <c r="A788" s="12"/>
      <c r="C788" s="12"/>
      <c r="D788" s="13"/>
      <c r="F788" s="14"/>
      <c r="G788" s="14"/>
      <c r="H788" s="14"/>
      <c r="I788" s="14"/>
      <c r="J788" s="14"/>
      <c r="K788" s="12"/>
    </row>
    <row r="789" ht="19.5" customHeight="1">
      <c r="A789" s="12"/>
      <c r="C789" s="12"/>
      <c r="D789" s="13"/>
      <c r="F789" s="14"/>
      <c r="G789" s="14"/>
      <c r="H789" s="14"/>
      <c r="I789" s="14"/>
      <c r="J789" s="14"/>
      <c r="K789" s="12"/>
    </row>
    <row r="790" ht="19.5" customHeight="1">
      <c r="A790" s="12"/>
      <c r="C790" s="12"/>
      <c r="D790" s="13"/>
      <c r="F790" s="14"/>
      <c r="G790" s="14"/>
      <c r="H790" s="14"/>
      <c r="I790" s="14"/>
      <c r="J790" s="14"/>
      <c r="K790" s="12"/>
    </row>
    <row r="791" ht="19.5" customHeight="1">
      <c r="A791" s="12"/>
      <c r="C791" s="12"/>
      <c r="D791" s="13"/>
      <c r="F791" s="14"/>
      <c r="G791" s="14"/>
      <c r="H791" s="14"/>
      <c r="I791" s="14"/>
      <c r="J791" s="14"/>
      <c r="K791" s="12"/>
    </row>
    <row r="792" ht="19.5" customHeight="1">
      <c r="A792" s="12"/>
      <c r="C792" s="12"/>
      <c r="D792" s="13"/>
      <c r="F792" s="14"/>
      <c r="G792" s="14"/>
      <c r="H792" s="14"/>
      <c r="I792" s="14"/>
      <c r="J792" s="14"/>
      <c r="K792" s="12"/>
    </row>
    <row r="793" ht="19.5" customHeight="1">
      <c r="A793" s="12"/>
      <c r="C793" s="12"/>
      <c r="D793" s="13"/>
      <c r="F793" s="14"/>
      <c r="G793" s="14"/>
      <c r="H793" s="14"/>
      <c r="I793" s="14"/>
      <c r="J793" s="14"/>
      <c r="K793" s="12"/>
    </row>
    <row r="794" ht="19.5" customHeight="1">
      <c r="A794" s="12"/>
      <c r="C794" s="12"/>
      <c r="D794" s="13"/>
      <c r="F794" s="14"/>
      <c r="G794" s="14"/>
      <c r="H794" s="14"/>
      <c r="I794" s="14"/>
      <c r="J794" s="14"/>
      <c r="K794" s="12"/>
    </row>
    <row r="795" ht="19.5" customHeight="1">
      <c r="A795" s="12"/>
      <c r="C795" s="12"/>
      <c r="D795" s="13"/>
      <c r="F795" s="14"/>
      <c r="G795" s="14"/>
      <c r="H795" s="14"/>
      <c r="I795" s="14"/>
      <c r="J795" s="14"/>
      <c r="K795" s="12"/>
    </row>
    <row r="796" ht="19.5" customHeight="1">
      <c r="A796" s="12"/>
      <c r="C796" s="12"/>
      <c r="D796" s="13"/>
      <c r="F796" s="14"/>
      <c r="G796" s="14"/>
      <c r="H796" s="14"/>
      <c r="I796" s="14"/>
      <c r="J796" s="14"/>
      <c r="K796" s="12"/>
    </row>
    <row r="797" ht="19.5" customHeight="1">
      <c r="A797" s="12"/>
      <c r="C797" s="12"/>
      <c r="D797" s="13"/>
      <c r="F797" s="14"/>
      <c r="G797" s="14"/>
      <c r="H797" s="14"/>
      <c r="I797" s="14"/>
      <c r="J797" s="14"/>
      <c r="K797" s="12"/>
    </row>
    <row r="798" ht="19.5" customHeight="1">
      <c r="A798" s="12"/>
      <c r="C798" s="12"/>
      <c r="D798" s="13"/>
      <c r="F798" s="14"/>
      <c r="G798" s="14"/>
      <c r="H798" s="14"/>
      <c r="I798" s="14"/>
      <c r="J798" s="14"/>
      <c r="K798" s="12"/>
    </row>
    <row r="799" ht="19.5" customHeight="1">
      <c r="A799" s="12"/>
      <c r="C799" s="12"/>
      <c r="D799" s="13"/>
      <c r="F799" s="14"/>
      <c r="G799" s="14"/>
      <c r="H799" s="14"/>
      <c r="I799" s="14"/>
      <c r="J799" s="14"/>
      <c r="K799" s="12"/>
    </row>
    <row r="800" ht="19.5" customHeight="1">
      <c r="A800" s="12"/>
      <c r="C800" s="12"/>
      <c r="D800" s="13"/>
      <c r="F800" s="14"/>
      <c r="G800" s="14"/>
      <c r="H800" s="14"/>
      <c r="I800" s="14"/>
      <c r="J800" s="14"/>
      <c r="K800" s="12"/>
    </row>
    <row r="801" ht="19.5" customHeight="1">
      <c r="A801" s="12"/>
      <c r="C801" s="12"/>
      <c r="D801" s="13"/>
      <c r="F801" s="14"/>
      <c r="G801" s="14"/>
      <c r="H801" s="14"/>
      <c r="I801" s="14"/>
      <c r="J801" s="14"/>
      <c r="K801" s="12"/>
    </row>
    <row r="802" ht="19.5" customHeight="1">
      <c r="A802" s="12"/>
      <c r="C802" s="12"/>
      <c r="D802" s="13"/>
      <c r="F802" s="14"/>
      <c r="G802" s="14"/>
      <c r="H802" s="14"/>
      <c r="I802" s="14"/>
      <c r="J802" s="14"/>
      <c r="K802" s="12"/>
    </row>
    <row r="803" ht="19.5" customHeight="1">
      <c r="A803" s="12"/>
      <c r="C803" s="12"/>
      <c r="D803" s="13"/>
      <c r="F803" s="14"/>
      <c r="G803" s="14"/>
      <c r="H803" s="14"/>
      <c r="I803" s="14"/>
      <c r="J803" s="14"/>
      <c r="K803" s="12"/>
    </row>
    <row r="804" ht="19.5" customHeight="1">
      <c r="A804" s="12"/>
      <c r="C804" s="12"/>
      <c r="D804" s="13"/>
      <c r="F804" s="14"/>
      <c r="G804" s="14"/>
      <c r="H804" s="14"/>
      <c r="I804" s="14"/>
      <c r="J804" s="14"/>
      <c r="K804" s="12"/>
    </row>
    <row r="805" ht="19.5" customHeight="1">
      <c r="A805" s="12"/>
      <c r="C805" s="12"/>
      <c r="D805" s="13"/>
      <c r="F805" s="14"/>
      <c r="G805" s="14"/>
      <c r="H805" s="14"/>
      <c r="I805" s="14"/>
      <c r="J805" s="14"/>
      <c r="K805" s="12"/>
    </row>
    <row r="806" ht="19.5" customHeight="1">
      <c r="A806" s="12"/>
      <c r="C806" s="12"/>
      <c r="D806" s="13"/>
      <c r="F806" s="14"/>
      <c r="G806" s="14"/>
      <c r="H806" s="14"/>
      <c r="I806" s="14"/>
      <c r="J806" s="14"/>
      <c r="K806" s="12"/>
    </row>
    <row r="807" ht="19.5" customHeight="1">
      <c r="A807" s="12"/>
      <c r="C807" s="12"/>
      <c r="D807" s="13"/>
      <c r="F807" s="14"/>
      <c r="G807" s="14"/>
      <c r="H807" s="14"/>
      <c r="I807" s="14"/>
      <c r="J807" s="14"/>
      <c r="K807" s="12"/>
    </row>
    <row r="808" ht="19.5" customHeight="1">
      <c r="A808" s="12"/>
      <c r="C808" s="12"/>
      <c r="D808" s="13"/>
      <c r="F808" s="14"/>
      <c r="G808" s="14"/>
      <c r="H808" s="14"/>
      <c r="I808" s="14"/>
      <c r="J808" s="14"/>
      <c r="K808" s="12"/>
    </row>
    <row r="809" ht="19.5" customHeight="1">
      <c r="A809" s="12"/>
      <c r="C809" s="12"/>
      <c r="D809" s="13"/>
      <c r="F809" s="14"/>
      <c r="G809" s="14"/>
      <c r="H809" s="14"/>
      <c r="I809" s="14"/>
      <c r="J809" s="14"/>
      <c r="K809" s="12"/>
    </row>
    <row r="810" ht="19.5" customHeight="1">
      <c r="A810" s="12"/>
      <c r="C810" s="12"/>
      <c r="D810" s="13"/>
      <c r="F810" s="14"/>
      <c r="G810" s="14"/>
      <c r="H810" s="14"/>
      <c r="I810" s="14"/>
      <c r="J810" s="14"/>
      <c r="K810" s="12"/>
    </row>
    <row r="811" ht="19.5" customHeight="1">
      <c r="A811" s="12"/>
      <c r="C811" s="12"/>
      <c r="D811" s="13"/>
      <c r="F811" s="14"/>
      <c r="G811" s="14"/>
      <c r="H811" s="14"/>
      <c r="I811" s="14"/>
      <c r="J811" s="14"/>
      <c r="K811" s="12"/>
    </row>
    <row r="812" ht="19.5" customHeight="1">
      <c r="A812" s="12"/>
      <c r="C812" s="12"/>
      <c r="D812" s="13"/>
      <c r="F812" s="14"/>
      <c r="G812" s="14"/>
      <c r="H812" s="14"/>
      <c r="I812" s="14"/>
      <c r="J812" s="14"/>
      <c r="K812" s="12"/>
    </row>
    <row r="813" ht="19.5" customHeight="1">
      <c r="A813" s="12"/>
      <c r="C813" s="12"/>
      <c r="D813" s="13"/>
      <c r="F813" s="14"/>
      <c r="G813" s="14"/>
      <c r="H813" s="14"/>
      <c r="I813" s="14"/>
      <c r="J813" s="14"/>
      <c r="K813" s="12"/>
    </row>
    <row r="814" ht="19.5" customHeight="1">
      <c r="A814" s="12"/>
      <c r="C814" s="12"/>
      <c r="D814" s="13"/>
      <c r="F814" s="14"/>
      <c r="G814" s="14"/>
      <c r="H814" s="14"/>
      <c r="I814" s="14"/>
      <c r="J814" s="14"/>
      <c r="K814" s="12"/>
    </row>
    <row r="815" ht="19.5" customHeight="1">
      <c r="A815" s="12"/>
      <c r="C815" s="12"/>
      <c r="D815" s="13"/>
      <c r="F815" s="14"/>
      <c r="G815" s="14"/>
      <c r="H815" s="14"/>
      <c r="I815" s="14"/>
      <c r="J815" s="14"/>
      <c r="K815" s="12"/>
    </row>
    <row r="816" ht="19.5" customHeight="1">
      <c r="A816" s="12"/>
      <c r="C816" s="12"/>
      <c r="D816" s="13"/>
      <c r="F816" s="14"/>
      <c r="G816" s="14"/>
      <c r="H816" s="14"/>
      <c r="I816" s="14"/>
      <c r="J816" s="14"/>
      <c r="K816" s="12"/>
    </row>
    <row r="817" ht="19.5" customHeight="1">
      <c r="A817" s="12"/>
      <c r="C817" s="12"/>
      <c r="D817" s="13"/>
      <c r="F817" s="14"/>
      <c r="G817" s="14"/>
      <c r="H817" s="14"/>
      <c r="I817" s="14"/>
      <c r="J817" s="14"/>
      <c r="K817" s="12"/>
    </row>
    <row r="818" ht="19.5" customHeight="1">
      <c r="A818" s="12"/>
      <c r="C818" s="12"/>
      <c r="D818" s="13"/>
      <c r="F818" s="14"/>
      <c r="G818" s="14"/>
      <c r="H818" s="14"/>
      <c r="I818" s="14"/>
      <c r="J818" s="14"/>
      <c r="K818" s="12"/>
    </row>
    <row r="819" ht="19.5" customHeight="1">
      <c r="A819" s="12"/>
      <c r="C819" s="12"/>
      <c r="D819" s="13"/>
      <c r="F819" s="14"/>
      <c r="G819" s="14"/>
      <c r="H819" s="14"/>
      <c r="I819" s="14"/>
      <c r="J819" s="14"/>
      <c r="K819" s="12"/>
    </row>
    <row r="820" ht="19.5" customHeight="1">
      <c r="A820" s="12"/>
      <c r="C820" s="12"/>
      <c r="D820" s="13"/>
      <c r="F820" s="14"/>
      <c r="G820" s="14"/>
      <c r="H820" s="14"/>
      <c r="I820" s="14"/>
      <c r="J820" s="14"/>
      <c r="K820" s="12"/>
    </row>
    <row r="821" ht="19.5" customHeight="1">
      <c r="A821" s="12"/>
      <c r="C821" s="12"/>
      <c r="D821" s="13"/>
      <c r="F821" s="14"/>
      <c r="G821" s="14"/>
      <c r="H821" s="14"/>
      <c r="I821" s="14"/>
      <c r="J821" s="14"/>
      <c r="K821" s="12"/>
    </row>
    <row r="822" ht="19.5" customHeight="1">
      <c r="A822" s="12"/>
      <c r="C822" s="12"/>
      <c r="D822" s="13"/>
      <c r="F822" s="14"/>
      <c r="G822" s="14"/>
      <c r="H822" s="14"/>
      <c r="I822" s="14"/>
      <c r="J822" s="14"/>
      <c r="K822" s="12"/>
    </row>
    <row r="823" ht="19.5" customHeight="1">
      <c r="A823" s="12"/>
      <c r="C823" s="12"/>
      <c r="D823" s="13"/>
      <c r="F823" s="14"/>
      <c r="G823" s="14"/>
      <c r="H823" s="14"/>
      <c r="I823" s="14"/>
      <c r="J823" s="14"/>
      <c r="K823" s="12"/>
    </row>
    <row r="824" ht="19.5" customHeight="1">
      <c r="A824" s="12"/>
      <c r="C824" s="12"/>
      <c r="D824" s="13"/>
      <c r="F824" s="14"/>
      <c r="G824" s="14"/>
      <c r="H824" s="14"/>
      <c r="I824" s="14"/>
      <c r="J824" s="14"/>
      <c r="K824" s="12"/>
    </row>
    <row r="825" ht="19.5" customHeight="1">
      <c r="A825" s="12"/>
      <c r="C825" s="12"/>
      <c r="D825" s="13"/>
      <c r="F825" s="14"/>
      <c r="G825" s="14"/>
      <c r="H825" s="14"/>
      <c r="I825" s="14"/>
      <c r="J825" s="14"/>
      <c r="K825" s="12"/>
    </row>
    <row r="826" ht="19.5" customHeight="1">
      <c r="A826" s="12"/>
      <c r="C826" s="12"/>
      <c r="D826" s="13"/>
      <c r="F826" s="14"/>
      <c r="G826" s="14"/>
      <c r="H826" s="14"/>
      <c r="I826" s="14"/>
      <c r="J826" s="14"/>
      <c r="K826" s="12"/>
    </row>
    <row r="827" ht="19.5" customHeight="1">
      <c r="A827" s="12"/>
      <c r="C827" s="12"/>
      <c r="D827" s="13"/>
      <c r="F827" s="14"/>
      <c r="G827" s="14"/>
      <c r="H827" s="14"/>
      <c r="I827" s="14"/>
      <c r="J827" s="14"/>
      <c r="K827" s="12"/>
    </row>
    <row r="828" ht="19.5" customHeight="1">
      <c r="A828" s="12"/>
      <c r="C828" s="12"/>
      <c r="D828" s="13"/>
      <c r="F828" s="14"/>
      <c r="G828" s="14"/>
      <c r="H828" s="14"/>
      <c r="I828" s="14"/>
      <c r="J828" s="14"/>
      <c r="K828" s="12"/>
    </row>
    <row r="829" ht="19.5" customHeight="1">
      <c r="A829" s="12"/>
      <c r="C829" s="12"/>
      <c r="D829" s="13"/>
      <c r="F829" s="14"/>
      <c r="G829" s="14"/>
      <c r="H829" s="14"/>
      <c r="I829" s="14"/>
      <c r="J829" s="14"/>
      <c r="K829" s="12"/>
    </row>
    <row r="830" ht="19.5" customHeight="1">
      <c r="A830" s="12"/>
      <c r="C830" s="12"/>
      <c r="D830" s="13"/>
      <c r="F830" s="14"/>
      <c r="G830" s="14"/>
      <c r="H830" s="14"/>
      <c r="I830" s="14"/>
      <c r="J830" s="14"/>
      <c r="K830" s="12"/>
    </row>
    <row r="831" ht="19.5" customHeight="1">
      <c r="A831" s="12"/>
      <c r="C831" s="12"/>
      <c r="D831" s="13"/>
      <c r="F831" s="14"/>
      <c r="G831" s="14"/>
      <c r="H831" s="14"/>
      <c r="I831" s="14"/>
      <c r="J831" s="14"/>
      <c r="K831" s="12"/>
    </row>
    <row r="832" ht="19.5" customHeight="1">
      <c r="A832" s="12"/>
      <c r="C832" s="12"/>
      <c r="D832" s="13"/>
      <c r="F832" s="14"/>
      <c r="G832" s="14"/>
      <c r="H832" s="14"/>
      <c r="I832" s="14"/>
      <c r="J832" s="14"/>
      <c r="K832" s="12"/>
    </row>
    <row r="833" ht="19.5" customHeight="1">
      <c r="A833" s="12"/>
      <c r="C833" s="12"/>
      <c r="D833" s="13"/>
      <c r="F833" s="14"/>
      <c r="G833" s="14"/>
      <c r="H833" s="14"/>
      <c r="I833" s="14"/>
      <c r="J833" s="14"/>
      <c r="K833" s="12"/>
    </row>
    <row r="834" ht="19.5" customHeight="1">
      <c r="A834" s="12"/>
      <c r="C834" s="12"/>
      <c r="D834" s="13"/>
      <c r="F834" s="14"/>
      <c r="G834" s="14"/>
      <c r="H834" s="14"/>
      <c r="I834" s="14"/>
      <c r="J834" s="14"/>
      <c r="K834" s="12"/>
    </row>
    <row r="835" ht="19.5" customHeight="1">
      <c r="A835" s="12"/>
      <c r="C835" s="12"/>
      <c r="D835" s="13"/>
      <c r="F835" s="14"/>
      <c r="G835" s="14"/>
      <c r="H835" s="14"/>
      <c r="I835" s="14"/>
      <c r="J835" s="14"/>
      <c r="K835" s="12"/>
    </row>
    <row r="836" ht="19.5" customHeight="1">
      <c r="A836" s="12"/>
      <c r="C836" s="12"/>
      <c r="D836" s="13"/>
      <c r="F836" s="14"/>
      <c r="G836" s="14"/>
      <c r="H836" s="14"/>
      <c r="I836" s="14"/>
      <c r="J836" s="14"/>
      <c r="K836" s="12"/>
    </row>
    <row r="837" ht="19.5" customHeight="1">
      <c r="A837" s="12"/>
      <c r="C837" s="12"/>
      <c r="D837" s="13"/>
      <c r="F837" s="14"/>
      <c r="G837" s="14"/>
      <c r="H837" s="14"/>
      <c r="I837" s="14"/>
      <c r="J837" s="14"/>
      <c r="K837" s="12"/>
    </row>
    <row r="838" ht="19.5" customHeight="1">
      <c r="A838" s="12"/>
      <c r="C838" s="12"/>
      <c r="D838" s="13"/>
      <c r="F838" s="14"/>
      <c r="G838" s="14"/>
      <c r="H838" s="14"/>
      <c r="I838" s="14"/>
      <c r="J838" s="14"/>
      <c r="K838" s="12"/>
    </row>
    <row r="839" ht="19.5" customHeight="1">
      <c r="A839" s="12"/>
      <c r="C839" s="12"/>
      <c r="D839" s="13"/>
      <c r="F839" s="14"/>
      <c r="G839" s="14"/>
      <c r="H839" s="14"/>
      <c r="I839" s="14"/>
      <c r="J839" s="14"/>
      <c r="K839" s="12"/>
    </row>
    <row r="840" ht="19.5" customHeight="1">
      <c r="A840" s="12"/>
      <c r="C840" s="12"/>
      <c r="D840" s="13"/>
      <c r="F840" s="14"/>
      <c r="G840" s="14"/>
      <c r="H840" s="14"/>
      <c r="I840" s="14"/>
      <c r="J840" s="14"/>
      <c r="K840" s="12"/>
    </row>
    <row r="841" ht="19.5" customHeight="1">
      <c r="A841" s="12"/>
      <c r="C841" s="12"/>
      <c r="D841" s="13"/>
      <c r="F841" s="14"/>
      <c r="G841" s="14"/>
      <c r="H841" s="14"/>
      <c r="I841" s="14"/>
      <c r="J841" s="14"/>
      <c r="K841" s="12"/>
    </row>
    <row r="842" ht="19.5" customHeight="1">
      <c r="A842" s="12"/>
      <c r="C842" s="12"/>
      <c r="D842" s="13"/>
      <c r="F842" s="14"/>
      <c r="G842" s="14"/>
      <c r="H842" s="14"/>
      <c r="I842" s="14"/>
      <c r="J842" s="14"/>
      <c r="K842" s="12"/>
    </row>
    <row r="843" ht="19.5" customHeight="1">
      <c r="A843" s="12"/>
      <c r="C843" s="12"/>
      <c r="D843" s="13"/>
      <c r="F843" s="14"/>
      <c r="G843" s="14"/>
      <c r="H843" s="14"/>
      <c r="I843" s="14"/>
      <c r="J843" s="14"/>
      <c r="K843" s="12"/>
    </row>
    <row r="844" ht="19.5" customHeight="1">
      <c r="A844" s="12"/>
      <c r="C844" s="12"/>
      <c r="D844" s="13"/>
      <c r="F844" s="14"/>
      <c r="G844" s="14"/>
      <c r="H844" s="14"/>
      <c r="I844" s="14"/>
      <c r="J844" s="14"/>
      <c r="K844" s="12"/>
    </row>
    <row r="845" ht="19.5" customHeight="1">
      <c r="A845" s="12"/>
      <c r="C845" s="12"/>
      <c r="D845" s="13"/>
      <c r="F845" s="14"/>
      <c r="G845" s="14"/>
      <c r="H845" s="14"/>
      <c r="I845" s="14"/>
      <c r="J845" s="14"/>
      <c r="K845" s="12"/>
    </row>
    <row r="846" ht="19.5" customHeight="1">
      <c r="A846" s="12"/>
      <c r="C846" s="12"/>
      <c r="D846" s="13"/>
      <c r="F846" s="14"/>
      <c r="G846" s="14"/>
      <c r="H846" s="14"/>
      <c r="I846" s="14"/>
      <c r="J846" s="14"/>
      <c r="K846" s="12"/>
    </row>
    <row r="847" ht="19.5" customHeight="1">
      <c r="A847" s="12"/>
      <c r="C847" s="12"/>
      <c r="D847" s="13"/>
      <c r="F847" s="14"/>
      <c r="G847" s="14"/>
      <c r="H847" s="14"/>
      <c r="I847" s="14"/>
      <c r="J847" s="14"/>
      <c r="K847" s="12"/>
    </row>
    <row r="848" ht="19.5" customHeight="1">
      <c r="A848" s="12"/>
      <c r="C848" s="12"/>
      <c r="D848" s="13"/>
      <c r="F848" s="14"/>
      <c r="G848" s="14"/>
      <c r="H848" s="14"/>
      <c r="I848" s="14"/>
      <c r="J848" s="14"/>
      <c r="K848" s="12"/>
    </row>
    <row r="849" ht="19.5" customHeight="1">
      <c r="A849" s="12"/>
      <c r="C849" s="12"/>
      <c r="D849" s="13"/>
      <c r="F849" s="14"/>
      <c r="G849" s="14"/>
      <c r="H849" s="14"/>
      <c r="I849" s="14"/>
      <c r="J849" s="14"/>
      <c r="K849" s="12"/>
    </row>
    <row r="850" ht="19.5" customHeight="1">
      <c r="A850" s="12"/>
      <c r="C850" s="12"/>
      <c r="D850" s="13"/>
      <c r="F850" s="14"/>
      <c r="G850" s="14"/>
      <c r="H850" s="14"/>
      <c r="I850" s="14"/>
      <c r="J850" s="14"/>
      <c r="K850" s="12"/>
    </row>
    <row r="851" ht="19.5" customHeight="1">
      <c r="A851" s="12"/>
      <c r="C851" s="12"/>
      <c r="D851" s="13"/>
      <c r="F851" s="14"/>
      <c r="G851" s="14"/>
      <c r="H851" s="14"/>
      <c r="I851" s="14"/>
      <c r="J851" s="14"/>
      <c r="K851" s="12"/>
    </row>
    <row r="852" ht="19.5" customHeight="1">
      <c r="A852" s="12"/>
      <c r="C852" s="12"/>
      <c r="D852" s="13"/>
      <c r="F852" s="14"/>
      <c r="G852" s="14"/>
      <c r="H852" s="14"/>
      <c r="I852" s="14"/>
      <c r="J852" s="14"/>
      <c r="K852" s="12"/>
    </row>
    <row r="853" ht="19.5" customHeight="1">
      <c r="A853" s="12"/>
      <c r="C853" s="12"/>
      <c r="D853" s="13"/>
      <c r="F853" s="14"/>
      <c r="G853" s="14"/>
      <c r="H853" s="14"/>
      <c r="I853" s="14"/>
      <c r="J853" s="14"/>
      <c r="K853" s="12"/>
    </row>
    <row r="854" ht="19.5" customHeight="1">
      <c r="A854" s="12"/>
      <c r="C854" s="12"/>
      <c r="D854" s="13"/>
      <c r="F854" s="14"/>
      <c r="G854" s="14"/>
      <c r="H854" s="14"/>
      <c r="I854" s="14"/>
      <c r="J854" s="14"/>
      <c r="K854" s="12"/>
    </row>
    <row r="855" ht="19.5" customHeight="1">
      <c r="A855" s="12"/>
      <c r="C855" s="12"/>
      <c r="D855" s="13"/>
      <c r="F855" s="14"/>
      <c r="G855" s="14"/>
      <c r="H855" s="14"/>
      <c r="I855" s="14"/>
      <c r="J855" s="14"/>
      <c r="K855" s="12"/>
    </row>
    <row r="856" ht="19.5" customHeight="1">
      <c r="A856" s="12"/>
      <c r="C856" s="12"/>
      <c r="D856" s="13"/>
      <c r="F856" s="14"/>
      <c r="G856" s="14"/>
      <c r="H856" s="14"/>
      <c r="I856" s="14"/>
      <c r="J856" s="14"/>
      <c r="K856" s="12"/>
    </row>
    <row r="857" ht="19.5" customHeight="1">
      <c r="A857" s="12"/>
      <c r="C857" s="12"/>
      <c r="D857" s="13"/>
      <c r="F857" s="14"/>
      <c r="G857" s="14"/>
      <c r="H857" s="14"/>
      <c r="I857" s="14"/>
      <c r="J857" s="14"/>
      <c r="K857" s="12"/>
    </row>
    <row r="858" ht="19.5" customHeight="1">
      <c r="A858" s="12"/>
      <c r="C858" s="12"/>
      <c r="D858" s="13"/>
      <c r="F858" s="14"/>
      <c r="G858" s="14"/>
      <c r="H858" s="14"/>
      <c r="I858" s="14"/>
      <c r="J858" s="14"/>
      <c r="K858" s="12"/>
    </row>
    <row r="859" ht="19.5" customHeight="1">
      <c r="A859" s="12"/>
      <c r="C859" s="12"/>
      <c r="D859" s="13"/>
      <c r="F859" s="14"/>
      <c r="G859" s="14"/>
      <c r="H859" s="14"/>
      <c r="I859" s="14"/>
      <c r="J859" s="14"/>
      <c r="K859" s="12"/>
    </row>
    <row r="860" ht="19.5" customHeight="1">
      <c r="A860" s="12"/>
      <c r="C860" s="12"/>
      <c r="D860" s="13"/>
      <c r="F860" s="14"/>
      <c r="G860" s="14"/>
      <c r="H860" s="14"/>
      <c r="I860" s="14"/>
      <c r="J860" s="14"/>
      <c r="K860" s="12"/>
    </row>
    <row r="861" ht="19.5" customHeight="1">
      <c r="A861" s="12"/>
      <c r="C861" s="12"/>
      <c r="D861" s="13"/>
      <c r="F861" s="14"/>
      <c r="G861" s="14"/>
      <c r="H861" s="14"/>
      <c r="I861" s="14"/>
      <c r="J861" s="14"/>
      <c r="K861" s="12"/>
    </row>
    <row r="862" ht="19.5" customHeight="1">
      <c r="A862" s="12"/>
      <c r="C862" s="12"/>
      <c r="D862" s="13"/>
      <c r="F862" s="14"/>
      <c r="G862" s="14"/>
      <c r="H862" s="14"/>
      <c r="I862" s="14"/>
      <c r="J862" s="14"/>
      <c r="K862" s="12"/>
    </row>
    <row r="863" ht="19.5" customHeight="1">
      <c r="A863" s="12"/>
      <c r="C863" s="12"/>
      <c r="D863" s="13"/>
      <c r="F863" s="14"/>
      <c r="G863" s="14"/>
      <c r="H863" s="14"/>
      <c r="I863" s="14"/>
      <c r="J863" s="14"/>
      <c r="K863" s="12"/>
    </row>
    <row r="864" ht="19.5" customHeight="1">
      <c r="A864" s="12"/>
      <c r="C864" s="12"/>
      <c r="D864" s="13"/>
      <c r="F864" s="14"/>
      <c r="G864" s="14"/>
      <c r="H864" s="14"/>
      <c r="I864" s="14"/>
      <c r="J864" s="14"/>
      <c r="K864" s="12"/>
    </row>
    <row r="865" ht="19.5" customHeight="1">
      <c r="A865" s="12"/>
      <c r="C865" s="12"/>
      <c r="D865" s="13"/>
      <c r="F865" s="14"/>
      <c r="G865" s="14"/>
      <c r="H865" s="14"/>
      <c r="I865" s="14"/>
      <c r="J865" s="14"/>
      <c r="K865" s="12"/>
    </row>
    <row r="866" ht="19.5" customHeight="1">
      <c r="A866" s="12"/>
      <c r="C866" s="12"/>
      <c r="D866" s="13"/>
      <c r="F866" s="14"/>
      <c r="G866" s="14"/>
      <c r="H866" s="14"/>
      <c r="I866" s="14"/>
      <c r="J866" s="14"/>
      <c r="K866" s="12"/>
    </row>
    <row r="867" ht="19.5" customHeight="1">
      <c r="A867" s="12"/>
      <c r="C867" s="12"/>
      <c r="D867" s="13"/>
      <c r="F867" s="14"/>
      <c r="G867" s="14"/>
      <c r="H867" s="14"/>
      <c r="I867" s="14"/>
      <c r="J867" s="14"/>
      <c r="K867" s="12"/>
    </row>
    <row r="868" ht="19.5" customHeight="1">
      <c r="A868" s="12"/>
      <c r="C868" s="12"/>
      <c r="D868" s="13"/>
      <c r="F868" s="14"/>
      <c r="G868" s="14"/>
      <c r="H868" s="14"/>
      <c r="I868" s="14"/>
      <c r="J868" s="14"/>
      <c r="K868" s="12"/>
    </row>
    <row r="869" ht="19.5" customHeight="1">
      <c r="A869" s="12"/>
      <c r="C869" s="12"/>
      <c r="D869" s="13"/>
      <c r="F869" s="14"/>
      <c r="G869" s="14"/>
      <c r="H869" s="14"/>
      <c r="I869" s="14"/>
      <c r="J869" s="14"/>
      <c r="K869" s="12"/>
    </row>
    <row r="870" ht="19.5" customHeight="1">
      <c r="A870" s="12"/>
      <c r="C870" s="12"/>
      <c r="D870" s="13"/>
      <c r="F870" s="14"/>
      <c r="G870" s="14"/>
      <c r="H870" s="14"/>
      <c r="I870" s="14"/>
      <c r="J870" s="14"/>
      <c r="K870" s="12"/>
    </row>
    <row r="871" ht="19.5" customHeight="1">
      <c r="A871" s="12"/>
      <c r="C871" s="12"/>
      <c r="D871" s="13"/>
      <c r="F871" s="14"/>
      <c r="G871" s="14"/>
      <c r="H871" s="14"/>
      <c r="I871" s="14"/>
      <c r="J871" s="14"/>
      <c r="K871" s="12"/>
    </row>
    <row r="872" ht="19.5" customHeight="1">
      <c r="A872" s="12"/>
      <c r="C872" s="12"/>
      <c r="D872" s="13"/>
      <c r="F872" s="14"/>
      <c r="G872" s="14"/>
      <c r="H872" s="14"/>
      <c r="I872" s="14"/>
      <c r="J872" s="14"/>
      <c r="K872" s="12"/>
    </row>
    <row r="873" ht="19.5" customHeight="1">
      <c r="A873" s="12"/>
      <c r="C873" s="12"/>
      <c r="D873" s="13"/>
      <c r="F873" s="14"/>
      <c r="G873" s="14"/>
      <c r="H873" s="14"/>
      <c r="I873" s="14"/>
      <c r="J873" s="14"/>
      <c r="K873" s="12"/>
    </row>
    <row r="874" ht="19.5" customHeight="1">
      <c r="A874" s="12"/>
      <c r="C874" s="12"/>
      <c r="D874" s="13"/>
      <c r="F874" s="14"/>
      <c r="G874" s="14"/>
      <c r="H874" s="14"/>
      <c r="I874" s="14"/>
      <c r="J874" s="14"/>
      <c r="K874" s="12"/>
    </row>
    <row r="875" ht="19.5" customHeight="1">
      <c r="A875" s="12"/>
      <c r="C875" s="12"/>
      <c r="D875" s="13"/>
      <c r="F875" s="14"/>
      <c r="G875" s="14"/>
      <c r="H875" s="14"/>
      <c r="I875" s="14"/>
      <c r="J875" s="14"/>
      <c r="K875" s="12"/>
    </row>
    <row r="876" ht="19.5" customHeight="1">
      <c r="A876" s="12"/>
      <c r="C876" s="12"/>
      <c r="D876" s="13"/>
      <c r="F876" s="14"/>
      <c r="G876" s="14"/>
      <c r="H876" s="14"/>
      <c r="I876" s="14"/>
      <c r="J876" s="14"/>
      <c r="K876" s="12"/>
    </row>
    <row r="877" ht="19.5" customHeight="1">
      <c r="A877" s="12"/>
      <c r="C877" s="12"/>
      <c r="D877" s="13"/>
      <c r="F877" s="14"/>
      <c r="G877" s="14"/>
      <c r="H877" s="14"/>
      <c r="I877" s="14"/>
      <c r="J877" s="14"/>
      <c r="K877" s="12"/>
    </row>
    <row r="878" ht="19.5" customHeight="1">
      <c r="A878" s="12"/>
      <c r="C878" s="12"/>
      <c r="D878" s="13"/>
      <c r="F878" s="14"/>
      <c r="G878" s="14"/>
      <c r="H878" s="14"/>
      <c r="I878" s="14"/>
      <c r="J878" s="14"/>
      <c r="K878" s="12"/>
    </row>
    <row r="879" ht="19.5" customHeight="1">
      <c r="A879" s="12"/>
      <c r="C879" s="12"/>
      <c r="D879" s="13"/>
      <c r="F879" s="14"/>
      <c r="G879" s="14"/>
      <c r="H879" s="14"/>
      <c r="I879" s="14"/>
      <c r="J879" s="14"/>
      <c r="K879" s="12"/>
    </row>
    <row r="880" ht="19.5" customHeight="1">
      <c r="A880" s="12"/>
      <c r="C880" s="12"/>
      <c r="D880" s="13"/>
      <c r="F880" s="14"/>
      <c r="G880" s="14"/>
      <c r="H880" s="14"/>
      <c r="I880" s="14"/>
      <c r="J880" s="14"/>
      <c r="K880" s="12"/>
    </row>
    <row r="881" ht="19.5" customHeight="1">
      <c r="A881" s="12"/>
      <c r="C881" s="12"/>
      <c r="D881" s="13"/>
      <c r="F881" s="14"/>
      <c r="G881" s="14"/>
      <c r="H881" s="14"/>
      <c r="I881" s="14"/>
      <c r="J881" s="14"/>
      <c r="K881" s="12"/>
    </row>
    <row r="882" ht="19.5" customHeight="1">
      <c r="A882" s="12"/>
      <c r="C882" s="12"/>
      <c r="D882" s="13"/>
      <c r="F882" s="14"/>
      <c r="G882" s="14"/>
      <c r="H882" s="14"/>
      <c r="I882" s="14"/>
      <c r="J882" s="14"/>
      <c r="K882" s="12"/>
    </row>
    <row r="883" ht="19.5" customHeight="1">
      <c r="A883" s="12"/>
      <c r="C883" s="12"/>
      <c r="D883" s="13"/>
      <c r="F883" s="14"/>
      <c r="G883" s="14"/>
      <c r="H883" s="14"/>
      <c r="I883" s="14"/>
      <c r="J883" s="14"/>
      <c r="K883" s="12"/>
    </row>
    <row r="884" ht="19.5" customHeight="1">
      <c r="A884" s="12"/>
      <c r="C884" s="12"/>
      <c r="D884" s="13"/>
      <c r="F884" s="14"/>
      <c r="G884" s="14"/>
      <c r="H884" s="14"/>
      <c r="I884" s="14"/>
      <c r="J884" s="14"/>
      <c r="K884" s="12"/>
    </row>
    <row r="885" ht="19.5" customHeight="1">
      <c r="A885" s="12"/>
      <c r="C885" s="12"/>
      <c r="D885" s="13"/>
      <c r="F885" s="14"/>
      <c r="G885" s="14"/>
      <c r="H885" s="14"/>
      <c r="I885" s="14"/>
      <c r="J885" s="14"/>
      <c r="K885" s="12"/>
    </row>
    <row r="886" ht="19.5" customHeight="1">
      <c r="A886" s="12"/>
      <c r="C886" s="12"/>
      <c r="D886" s="13"/>
      <c r="F886" s="14"/>
      <c r="G886" s="14"/>
      <c r="H886" s="14"/>
      <c r="I886" s="14"/>
      <c r="J886" s="14"/>
      <c r="K886" s="12"/>
    </row>
    <row r="887" ht="19.5" customHeight="1">
      <c r="A887" s="12"/>
      <c r="C887" s="12"/>
      <c r="D887" s="13"/>
      <c r="F887" s="14"/>
      <c r="G887" s="14"/>
      <c r="H887" s="14"/>
      <c r="I887" s="14"/>
      <c r="J887" s="14"/>
      <c r="K887" s="12"/>
    </row>
    <row r="888" ht="19.5" customHeight="1">
      <c r="A888" s="12"/>
      <c r="C888" s="12"/>
      <c r="D888" s="13"/>
      <c r="F888" s="14"/>
      <c r="G888" s="14"/>
      <c r="H888" s="14"/>
      <c r="I888" s="14"/>
      <c r="J888" s="14"/>
      <c r="K888" s="12"/>
    </row>
    <row r="889" ht="19.5" customHeight="1">
      <c r="A889" s="12"/>
      <c r="C889" s="12"/>
      <c r="D889" s="13"/>
      <c r="F889" s="14"/>
      <c r="G889" s="14"/>
      <c r="H889" s="14"/>
      <c r="I889" s="14"/>
      <c r="J889" s="14"/>
      <c r="K889" s="12"/>
    </row>
    <row r="890" ht="19.5" customHeight="1">
      <c r="A890" s="12"/>
      <c r="C890" s="12"/>
      <c r="D890" s="13"/>
      <c r="F890" s="14"/>
      <c r="G890" s="14"/>
      <c r="H890" s="14"/>
      <c r="I890" s="14"/>
      <c r="J890" s="14"/>
      <c r="K890" s="12"/>
    </row>
    <row r="891" ht="19.5" customHeight="1">
      <c r="A891" s="12"/>
      <c r="C891" s="12"/>
      <c r="D891" s="13"/>
      <c r="F891" s="14"/>
      <c r="G891" s="14"/>
      <c r="H891" s="14"/>
      <c r="I891" s="14"/>
      <c r="J891" s="14"/>
      <c r="K891" s="12"/>
    </row>
    <row r="892" ht="19.5" customHeight="1">
      <c r="A892" s="12"/>
      <c r="C892" s="12"/>
      <c r="D892" s="13"/>
      <c r="F892" s="14"/>
      <c r="G892" s="14"/>
      <c r="H892" s="14"/>
      <c r="I892" s="14"/>
      <c r="J892" s="14"/>
      <c r="K892" s="12"/>
    </row>
    <row r="893" ht="19.5" customHeight="1">
      <c r="A893" s="12"/>
      <c r="C893" s="12"/>
      <c r="D893" s="13"/>
      <c r="F893" s="14"/>
      <c r="G893" s="14"/>
      <c r="H893" s="14"/>
      <c r="I893" s="14"/>
      <c r="J893" s="14"/>
      <c r="K893" s="12"/>
    </row>
    <row r="894" ht="19.5" customHeight="1">
      <c r="A894" s="12"/>
      <c r="C894" s="12"/>
      <c r="D894" s="13"/>
      <c r="F894" s="14"/>
      <c r="G894" s="14"/>
      <c r="H894" s="14"/>
      <c r="I894" s="14"/>
      <c r="J894" s="14"/>
      <c r="K894" s="12"/>
    </row>
    <row r="895" ht="19.5" customHeight="1">
      <c r="A895" s="12"/>
      <c r="C895" s="12"/>
      <c r="D895" s="13"/>
      <c r="F895" s="14"/>
      <c r="G895" s="14"/>
      <c r="H895" s="14"/>
      <c r="I895" s="14"/>
      <c r="J895" s="14"/>
      <c r="K895" s="12"/>
    </row>
    <row r="896" ht="19.5" customHeight="1">
      <c r="A896" s="12"/>
      <c r="C896" s="12"/>
      <c r="D896" s="13"/>
      <c r="F896" s="14"/>
      <c r="G896" s="14"/>
      <c r="H896" s="14"/>
      <c r="I896" s="14"/>
      <c r="J896" s="14"/>
      <c r="K896" s="12"/>
    </row>
    <row r="897" ht="19.5" customHeight="1">
      <c r="A897" s="12"/>
      <c r="C897" s="12"/>
      <c r="D897" s="13"/>
      <c r="F897" s="14"/>
      <c r="G897" s="14"/>
      <c r="H897" s="14"/>
      <c r="I897" s="14"/>
      <c r="J897" s="14"/>
      <c r="K897" s="12"/>
    </row>
    <row r="898" ht="19.5" customHeight="1">
      <c r="A898" s="12"/>
      <c r="C898" s="12"/>
      <c r="D898" s="13"/>
      <c r="F898" s="14"/>
      <c r="G898" s="14"/>
      <c r="H898" s="14"/>
      <c r="I898" s="14"/>
      <c r="J898" s="14"/>
      <c r="K898" s="12"/>
    </row>
    <row r="899" ht="19.5" customHeight="1">
      <c r="A899" s="12"/>
      <c r="C899" s="12"/>
      <c r="D899" s="13"/>
      <c r="F899" s="14"/>
      <c r="G899" s="14"/>
      <c r="H899" s="14"/>
      <c r="I899" s="14"/>
      <c r="J899" s="14"/>
      <c r="K899" s="12"/>
    </row>
    <row r="900" ht="19.5" customHeight="1">
      <c r="A900" s="12"/>
      <c r="C900" s="12"/>
      <c r="D900" s="13"/>
      <c r="F900" s="14"/>
      <c r="G900" s="14"/>
      <c r="H900" s="14"/>
      <c r="I900" s="14"/>
      <c r="J900" s="14"/>
      <c r="K900" s="12"/>
    </row>
    <row r="901" ht="19.5" customHeight="1">
      <c r="A901" s="12"/>
      <c r="C901" s="12"/>
      <c r="D901" s="13"/>
      <c r="F901" s="14"/>
      <c r="G901" s="14"/>
      <c r="H901" s="14"/>
      <c r="I901" s="14"/>
      <c r="J901" s="14"/>
      <c r="K901" s="12"/>
    </row>
    <row r="902" ht="19.5" customHeight="1">
      <c r="A902" s="12"/>
      <c r="C902" s="12"/>
      <c r="D902" s="13"/>
      <c r="F902" s="14"/>
      <c r="G902" s="14"/>
      <c r="H902" s="14"/>
      <c r="I902" s="14"/>
      <c r="J902" s="14"/>
      <c r="K902" s="12"/>
    </row>
    <row r="903" ht="19.5" customHeight="1">
      <c r="A903" s="12"/>
      <c r="C903" s="12"/>
      <c r="D903" s="13"/>
      <c r="F903" s="14"/>
      <c r="G903" s="14"/>
      <c r="H903" s="14"/>
      <c r="I903" s="14"/>
      <c r="J903" s="14"/>
      <c r="K903" s="12"/>
    </row>
    <row r="904" ht="19.5" customHeight="1">
      <c r="A904" s="12"/>
      <c r="C904" s="12"/>
      <c r="D904" s="13"/>
      <c r="F904" s="14"/>
      <c r="G904" s="14"/>
      <c r="H904" s="14"/>
      <c r="I904" s="14"/>
      <c r="J904" s="14"/>
      <c r="K904" s="12"/>
    </row>
    <row r="905" ht="19.5" customHeight="1">
      <c r="A905" s="12"/>
      <c r="C905" s="12"/>
      <c r="D905" s="13"/>
      <c r="F905" s="14"/>
      <c r="G905" s="14"/>
      <c r="H905" s="14"/>
      <c r="I905" s="14"/>
      <c r="J905" s="14"/>
      <c r="K905" s="12"/>
    </row>
    <row r="906" ht="19.5" customHeight="1">
      <c r="A906" s="12"/>
      <c r="C906" s="12"/>
      <c r="D906" s="13"/>
      <c r="F906" s="14"/>
      <c r="G906" s="14"/>
      <c r="H906" s="14"/>
      <c r="I906" s="14"/>
      <c r="J906" s="14"/>
      <c r="K906" s="12"/>
    </row>
    <row r="907" ht="19.5" customHeight="1">
      <c r="A907" s="12"/>
      <c r="C907" s="12"/>
      <c r="D907" s="13"/>
      <c r="F907" s="14"/>
      <c r="G907" s="14"/>
      <c r="H907" s="14"/>
      <c r="I907" s="14"/>
      <c r="J907" s="14"/>
      <c r="K907" s="12"/>
    </row>
    <row r="908" ht="19.5" customHeight="1">
      <c r="A908" s="12"/>
      <c r="C908" s="12"/>
      <c r="D908" s="13"/>
      <c r="F908" s="14"/>
      <c r="G908" s="14"/>
      <c r="H908" s="14"/>
      <c r="I908" s="14"/>
      <c r="J908" s="14"/>
      <c r="K908" s="12"/>
    </row>
    <row r="909" ht="19.5" customHeight="1">
      <c r="A909" s="12"/>
      <c r="C909" s="12"/>
      <c r="D909" s="13"/>
      <c r="F909" s="14"/>
      <c r="G909" s="14"/>
      <c r="H909" s="14"/>
      <c r="I909" s="14"/>
      <c r="J909" s="14"/>
      <c r="K909" s="12"/>
    </row>
    <row r="910" ht="19.5" customHeight="1">
      <c r="A910" s="12"/>
      <c r="C910" s="12"/>
      <c r="D910" s="13"/>
      <c r="F910" s="14"/>
      <c r="G910" s="14"/>
      <c r="H910" s="14"/>
      <c r="I910" s="14"/>
      <c r="J910" s="14"/>
      <c r="K910" s="12"/>
    </row>
    <row r="911" ht="19.5" customHeight="1">
      <c r="A911" s="12"/>
      <c r="C911" s="12"/>
      <c r="D911" s="13"/>
      <c r="F911" s="14"/>
      <c r="G911" s="14"/>
      <c r="H911" s="14"/>
      <c r="I911" s="14"/>
      <c r="J911" s="14"/>
      <c r="K911" s="12"/>
    </row>
    <row r="912" ht="19.5" customHeight="1">
      <c r="A912" s="12"/>
      <c r="C912" s="12"/>
      <c r="D912" s="13"/>
      <c r="F912" s="14"/>
      <c r="G912" s="14"/>
      <c r="H912" s="14"/>
      <c r="I912" s="14"/>
      <c r="J912" s="14"/>
      <c r="K912" s="12"/>
    </row>
    <row r="913" ht="19.5" customHeight="1">
      <c r="A913" s="12"/>
      <c r="C913" s="12"/>
      <c r="D913" s="13"/>
      <c r="F913" s="14"/>
      <c r="G913" s="14"/>
      <c r="H913" s="14"/>
      <c r="I913" s="14"/>
      <c r="J913" s="14"/>
      <c r="K913" s="12"/>
    </row>
    <row r="914" ht="19.5" customHeight="1">
      <c r="A914" s="12"/>
      <c r="C914" s="12"/>
      <c r="D914" s="13"/>
      <c r="F914" s="14"/>
      <c r="G914" s="14"/>
      <c r="H914" s="14"/>
      <c r="I914" s="14"/>
      <c r="J914" s="14"/>
      <c r="K914" s="12"/>
    </row>
    <row r="915" ht="19.5" customHeight="1">
      <c r="A915" s="12"/>
      <c r="C915" s="12"/>
      <c r="D915" s="13"/>
      <c r="F915" s="14"/>
      <c r="G915" s="14"/>
      <c r="H915" s="14"/>
      <c r="I915" s="14"/>
      <c r="J915" s="14"/>
      <c r="K915" s="12"/>
    </row>
    <row r="916" ht="19.5" customHeight="1">
      <c r="A916" s="12"/>
      <c r="C916" s="12"/>
      <c r="D916" s="13"/>
      <c r="F916" s="14"/>
      <c r="G916" s="14"/>
      <c r="H916" s="14"/>
      <c r="I916" s="14"/>
      <c r="J916" s="14"/>
      <c r="K916" s="12"/>
    </row>
    <row r="917" ht="19.5" customHeight="1">
      <c r="A917" s="12"/>
      <c r="C917" s="12"/>
      <c r="D917" s="13"/>
      <c r="F917" s="14"/>
      <c r="G917" s="14"/>
      <c r="H917" s="14"/>
      <c r="I917" s="14"/>
      <c r="J917" s="14"/>
      <c r="K917" s="12"/>
    </row>
    <row r="918" ht="19.5" customHeight="1">
      <c r="A918" s="12"/>
      <c r="C918" s="12"/>
      <c r="D918" s="13"/>
      <c r="F918" s="14"/>
      <c r="G918" s="14"/>
      <c r="H918" s="14"/>
      <c r="I918" s="14"/>
      <c r="J918" s="14"/>
      <c r="K918" s="12"/>
    </row>
    <row r="919" ht="19.5" customHeight="1">
      <c r="A919" s="12"/>
      <c r="C919" s="12"/>
      <c r="D919" s="13"/>
      <c r="F919" s="14"/>
      <c r="G919" s="14"/>
      <c r="H919" s="14"/>
      <c r="I919" s="14"/>
      <c r="J919" s="14"/>
      <c r="K919" s="12"/>
    </row>
    <row r="920" ht="19.5" customHeight="1">
      <c r="A920" s="12"/>
      <c r="C920" s="12"/>
      <c r="D920" s="13"/>
      <c r="F920" s="14"/>
      <c r="G920" s="14"/>
      <c r="H920" s="14"/>
      <c r="I920" s="14"/>
      <c r="J920" s="14"/>
      <c r="K920" s="12"/>
    </row>
    <row r="921" ht="19.5" customHeight="1">
      <c r="A921" s="12"/>
      <c r="C921" s="12"/>
      <c r="D921" s="13"/>
      <c r="F921" s="14"/>
      <c r="G921" s="14"/>
      <c r="H921" s="14"/>
      <c r="I921" s="14"/>
      <c r="J921" s="14"/>
      <c r="K921" s="12"/>
    </row>
    <row r="922" ht="19.5" customHeight="1">
      <c r="A922" s="12"/>
      <c r="C922" s="12"/>
      <c r="D922" s="13"/>
      <c r="F922" s="14"/>
      <c r="G922" s="14"/>
      <c r="H922" s="14"/>
      <c r="I922" s="14"/>
      <c r="J922" s="14"/>
      <c r="K922" s="12"/>
    </row>
    <row r="923" ht="19.5" customHeight="1">
      <c r="A923" s="12"/>
      <c r="C923" s="12"/>
      <c r="D923" s="13"/>
      <c r="F923" s="14"/>
      <c r="G923" s="14"/>
      <c r="H923" s="14"/>
      <c r="I923" s="14"/>
      <c r="J923" s="14"/>
      <c r="K923" s="12"/>
    </row>
    <row r="924" ht="19.5" customHeight="1">
      <c r="A924" s="12"/>
      <c r="C924" s="12"/>
      <c r="D924" s="13"/>
      <c r="F924" s="14"/>
      <c r="G924" s="14"/>
      <c r="H924" s="14"/>
      <c r="I924" s="14"/>
      <c r="J924" s="14"/>
      <c r="K924" s="12"/>
    </row>
    <row r="925" ht="19.5" customHeight="1">
      <c r="A925" s="12"/>
      <c r="C925" s="12"/>
      <c r="D925" s="13"/>
      <c r="F925" s="14"/>
      <c r="G925" s="14"/>
      <c r="H925" s="14"/>
      <c r="I925" s="14"/>
      <c r="J925" s="14"/>
      <c r="K925" s="12"/>
    </row>
    <row r="926" ht="19.5" customHeight="1">
      <c r="A926" s="12"/>
      <c r="C926" s="12"/>
      <c r="D926" s="13"/>
      <c r="F926" s="14"/>
      <c r="G926" s="14"/>
      <c r="H926" s="14"/>
      <c r="I926" s="14"/>
      <c r="J926" s="14"/>
      <c r="K926" s="12"/>
    </row>
    <row r="927" ht="19.5" customHeight="1">
      <c r="A927" s="12"/>
      <c r="C927" s="12"/>
      <c r="D927" s="13"/>
      <c r="F927" s="14"/>
      <c r="G927" s="14"/>
      <c r="H927" s="14"/>
      <c r="I927" s="14"/>
      <c r="J927" s="14"/>
      <c r="K927" s="12"/>
    </row>
    <row r="928" ht="19.5" customHeight="1">
      <c r="A928" s="12"/>
      <c r="C928" s="12"/>
      <c r="D928" s="13"/>
      <c r="F928" s="14"/>
      <c r="G928" s="14"/>
      <c r="H928" s="14"/>
      <c r="I928" s="14"/>
      <c r="J928" s="14"/>
      <c r="K928" s="12"/>
    </row>
    <row r="929" ht="19.5" customHeight="1">
      <c r="A929" s="12"/>
      <c r="C929" s="12"/>
      <c r="D929" s="13"/>
      <c r="F929" s="14"/>
      <c r="G929" s="14"/>
      <c r="H929" s="14"/>
      <c r="I929" s="14"/>
      <c r="J929" s="14"/>
      <c r="K929" s="12"/>
    </row>
    <row r="930" ht="19.5" customHeight="1">
      <c r="A930" s="12"/>
      <c r="C930" s="12"/>
      <c r="D930" s="13"/>
      <c r="F930" s="14"/>
      <c r="G930" s="14"/>
      <c r="H930" s="14"/>
      <c r="I930" s="14"/>
      <c r="J930" s="14"/>
      <c r="K930" s="12"/>
    </row>
    <row r="931" ht="19.5" customHeight="1">
      <c r="A931" s="12"/>
      <c r="C931" s="12"/>
      <c r="D931" s="13"/>
      <c r="F931" s="14"/>
      <c r="G931" s="14"/>
      <c r="H931" s="14"/>
      <c r="I931" s="14"/>
      <c r="J931" s="14"/>
      <c r="K931" s="12"/>
    </row>
    <row r="932" ht="19.5" customHeight="1">
      <c r="A932" s="12"/>
      <c r="C932" s="12"/>
      <c r="D932" s="13"/>
      <c r="F932" s="14"/>
      <c r="G932" s="14"/>
      <c r="H932" s="14"/>
      <c r="I932" s="14"/>
      <c r="J932" s="14"/>
      <c r="K932" s="12"/>
    </row>
    <row r="933" ht="19.5" customHeight="1">
      <c r="A933" s="12"/>
      <c r="C933" s="12"/>
      <c r="D933" s="13"/>
      <c r="F933" s="14"/>
      <c r="G933" s="14"/>
      <c r="H933" s="14"/>
      <c r="I933" s="14"/>
      <c r="J933" s="14"/>
      <c r="K933" s="12"/>
    </row>
    <row r="934" ht="19.5" customHeight="1">
      <c r="A934" s="12"/>
      <c r="C934" s="12"/>
      <c r="D934" s="13"/>
      <c r="F934" s="14"/>
      <c r="G934" s="14"/>
      <c r="H934" s="14"/>
      <c r="I934" s="14"/>
      <c r="J934" s="14"/>
      <c r="K934" s="12"/>
    </row>
    <row r="935" ht="19.5" customHeight="1">
      <c r="A935" s="12"/>
      <c r="C935" s="12"/>
      <c r="D935" s="13"/>
      <c r="F935" s="14"/>
      <c r="G935" s="14"/>
      <c r="H935" s="14"/>
      <c r="I935" s="14"/>
      <c r="J935" s="14"/>
      <c r="K935" s="12"/>
    </row>
    <row r="936" ht="19.5" customHeight="1">
      <c r="A936" s="12"/>
      <c r="C936" s="12"/>
      <c r="D936" s="13"/>
      <c r="F936" s="14"/>
      <c r="G936" s="14"/>
      <c r="H936" s="14"/>
      <c r="I936" s="14"/>
      <c r="J936" s="14"/>
      <c r="K936" s="12"/>
    </row>
    <row r="937" ht="19.5" customHeight="1">
      <c r="A937" s="12"/>
      <c r="C937" s="12"/>
      <c r="D937" s="13"/>
      <c r="F937" s="14"/>
      <c r="G937" s="14"/>
      <c r="H937" s="14"/>
      <c r="I937" s="14"/>
      <c r="J937" s="14"/>
      <c r="K937" s="12"/>
    </row>
    <row r="938" ht="19.5" customHeight="1">
      <c r="A938" s="12"/>
      <c r="C938" s="12"/>
      <c r="D938" s="13"/>
      <c r="F938" s="14"/>
      <c r="G938" s="14"/>
      <c r="H938" s="14"/>
      <c r="I938" s="14"/>
      <c r="J938" s="14"/>
      <c r="K938" s="12"/>
    </row>
    <row r="939" ht="19.5" customHeight="1">
      <c r="A939" s="12"/>
      <c r="C939" s="12"/>
      <c r="D939" s="13"/>
      <c r="F939" s="14"/>
      <c r="G939" s="14"/>
      <c r="H939" s="14"/>
      <c r="I939" s="14"/>
      <c r="J939" s="14"/>
      <c r="K939" s="12"/>
    </row>
    <row r="940" ht="19.5" customHeight="1">
      <c r="A940" s="12"/>
      <c r="C940" s="12"/>
      <c r="D940" s="13"/>
      <c r="F940" s="14"/>
      <c r="G940" s="14"/>
      <c r="H940" s="14"/>
      <c r="I940" s="14"/>
      <c r="J940" s="14"/>
      <c r="K940" s="12"/>
    </row>
    <row r="941" ht="19.5" customHeight="1">
      <c r="A941" s="12"/>
      <c r="C941" s="12"/>
      <c r="D941" s="13"/>
      <c r="F941" s="14"/>
      <c r="G941" s="14"/>
      <c r="H941" s="14"/>
      <c r="I941" s="14"/>
      <c r="J941" s="14"/>
      <c r="K941" s="12"/>
    </row>
    <row r="942" ht="19.5" customHeight="1">
      <c r="A942" s="12"/>
      <c r="C942" s="12"/>
      <c r="D942" s="13"/>
      <c r="F942" s="14"/>
      <c r="G942" s="14"/>
      <c r="H942" s="14"/>
      <c r="I942" s="14"/>
      <c r="J942" s="14"/>
      <c r="K942" s="12"/>
    </row>
    <row r="943" ht="19.5" customHeight="1">
      <c r="A943" s="12"/>
      <c r="C943" s="12"/>
      <c r="D943" s="13"/>
      <c r="F943" s="14"/>
      <c r="G943" s="14"/>
      <c r="H943" s="14"/>
      <c r="I943" s="14"/>
      <c r="J943" s="14"/>
      <c r="K943" s="12"/>
    </row>
    <row r="944" ht="19.5" customHeight="1">
      <c r="A944" s="12"/>
      <c r="C944" s="12"/>
      <c r="D944" s="13"/>
      <c r="F944" s="14"/>
      <c r="G944" s="14"/>
      <c r="H944" s="14"/>
      <c r="I944" s="14"/>
      <c r="J944" s="14"/>
      <c r="K944" s="12"/>
    </row>
    <row r="945" ht="19.5" customHeight="1">
      <c r="A945" s="12"/>
      <c r="C945" s="12"/>
      <c r="D945" s="13"/>
      <c r="F945" s="14"/>
      <c r="G945" s="14"/>
      <c r="H945" s="14"/>
      <c r="I945" s="14"/>
      <c r="J945" s="14"/>
      <c r="K945" s="12"/>
    </row>
    <row r="946" ht="19.5" customHeight="1">
      <c r="A946" s="12"/>
      <c r="C946" s="12"/>
      <c r="D946" s="13"/>
      <c r="F946" s="14"/>
      <c r="G946" s="14"/>
      <c r="H946" s="14"/>
      <c r="I946" s="14"/>
      <c r="J946" s="14"/>
      <c r="K946" s="12"/>
    </row>
    <row r="947" ht="19.5" customHeight="1">
      <c r="A947" s="12"/>
      <c r="C947" s="12"/>
      <c r="D947" s="13"/>
      <c r="F947" s="14"/>
      <c r="G947" s="14"/>
      <c r="H947" s="14"/>
      <c r="I947" s="14"/>
      <c r="J947" s="14"/>
      <c r="K947" s="12"/>
    </row>
    <row r="948" ht="19.5" customHeight="1">
      <c r="A948" s="12"/>
      <c r="C948" s="12"/>
      <c r="D948" s="13"/>
      <c r="F948" s="14"/>
      <c r="G948" s="14"/>
      <c r="H948" s="14"/>
      <c r="I948" s="14"/>
      <c r="J948" s="14"/>
      <c r="K948" s="12"/>
    </row>
    <row r="949" ht="19.5" customHeight="1">
      <c r="A949" s="12"/>
      <c r="C949" s="12"/>
      <c r="D949" s="13"/>
      <c r="F949" s="14"/>
      <c r="G949" s="14"/>
      <c r="H949" s="14"/>
      <c r="I949" s="14"/>
      <c r="J949" s="14"/>
      <c r="K949" s="12"/>
    </row>
    <row r="950" ht="19.5" customHeight="1">
      <c r="A950" s="12"/>
      <c r="C950" s="12"/>
      <c r="D950" s="13"/>
      <c r="F950" s="14"/>
      <c r="G950" s="14"/>
      <c r="H950" s="14"/>
      <c r="I950" s="14"/>
      <c r="J950" s="14"/>
      <c r="K950" s="12"/>
    </row>
    <row r="951" ht="19.5" customHeight="1">
      <c r="A951" s="12"/>
      <c r="C951" s="12"/>
      <c r="D951" s="13"/>
      <c r="F951" s="14"/>
      <c r="G951" s="14"/>
      <c r="H951" s="14"/>
      <c r="I951" s="14"/>
      <c r="J951" s="14"/>
      <c r="K951" s="12"/>
    </row>
    <row r="952" ht="19.5" customHeight="1">
      <c r="A952" s="12"/>
      <c r="C952" s="12"/>
      <c r="D952" s="13"/>
      <c r="F952" s="14"/>
      <c r="G952" s="14"/>
      <c r="H952" s="14"/>
      <c r="I952" s="14"/>
      <c r="J952" s="14"/>
      <c r="K952" s="12"/>
    </row>
    <row r="953" ht="19.5" customHeight="1">
      <c r="A953" s="12"/>
      <c r="C953" s="12"/>
      <c r="D953" s="13"/>
      <c r="F953" s="14"/>
      <c r="G953" s="14"/>
      <c r="H953" s="14"/>
      <c r="I953" s="14"/>
      <c r="J953" s="14"/>
      <c r="K953" s="12"/>
    </row>
    <row r="954" ht="19.5" customHeight="1">
      <c r="A954" s="12"/>
      <c r="C954" s="12"/>
      <c r="D954" s="13"/>
      <c r="F954" s="14"/>
      <c r="G954" s="14"/>
      <c r="H954" s="14"/>
      <c r="I954" s="14"/>
      <c r="J954" s="14"/>
      <c r="K954" s="12"/>
    </row>
    <row r="955" ht="19.5" customHeight="1">
      <c r="A955" s="12"/>
      <c r="C955" s="12"/>
      <c r="D955" s="13"/>
      <c r="F955" s="14"/>
      <c r="G955" s="14"/>
      <c r="H955" s="14"/>
      <c r="I955" s="14"/>
      <c r="J955" s="14"/>
      <c r="K955" s="12"/>
    </row>
    <row r="956" ht="19.5" customHeight="1">
      <c r="A956" s="12"/>
      <c r="C956" s="12"/>
      <c r="D956" s="13"/>
      <c r="F956" s="14"/>
      <c r="G956" s="14"/>
      <c r="H956" s="14"/>
      <c r="I956" s="14"/>
      <c r="J956" s="14"/>
      <c r="K956" s="12"/>
    </row>
    <row r="957" ht="19.5" customHeight="1">
      <c r="A957" s="12"/>
      <c r="C957" s="12"/>
      <c r="D957" s="13"/>
      <c r="F957" s="14"/>
      <c r="G957" s="14"/>
      <c r="H957" s="14"/>
      <c r="I957" s="14"/>
      <c r="J957" s="14"/>
      <c r="K957" s="12"/>
    </row>
    <row r="958" ht="19.5" customHeight="1">
      <c r="A958" s="12"/>
      <c r="C958" s="12"/>
      <c r="D958" s="13"/>
      <c r="F958" s="14"/>
      <c r="G958" s="14"/>
      <c r="H958" s="14"/>
      <c r="I958" s="14"/>
      <c r="J958" s="14"/>
      <c r="K958" s="12"/>
    </row>
    <row r="959" ht="19.5" customHeight="1">
      <c r="A959" s="12"/>
      <c r="C959" s="12"/>
      <c r="D959" s="13"/>
      <c r="F959" s="14"/>
      <c r="G959" s="14"/>
      <c r="H959" s="14"/>
      <c r="I959" s="14"/>
      <c r="J959" s="14"/>
      <c r="K959" s="12"/>
    </row>
    <row r="960" ht="19.5" customHeight="1">
      <c r="A960" s="12"/>
      <c r="C960" s="12"/>
      <c r="D960" s="13"/>
      <c r="F960" s="14"/>
      <c r="G960" s="14"/>
      <c r="H960" s="14"/>
      <c r="I960" s="14"/>
      <c r="J960" s="14"/>
      <c r="K960" s="12"/>
    </row>
    <row r="961" ht="19.5" customHeight="1">
      <c r="A961" s="12"/>
      <c r="C961" s="12"/>
      <c r="D961" s="13"/>
      <c r="F961" s="14"/>
      <c r="G961" s="14"/>
      <c r="H961" s="14"/>
      <c r="I961" s="14"/>
      <c r="J961" s="14"/>
      <c r="K961" s="12"/>
    </row>
    <row r="962" ht="19.5" customHeight="1">
      <c r="A962" s="12"/>
      <c r="C962" s="12"/>
      <c r="D962" s="13"/>
      <c r="F962" s="14"/>
      <c r="G962" s="14"/>
      <c r="H962" s="14"/>
      <c r="I962" s="14"/>
      <c r="J962" s="14"/>
      <c r="K962" s="12"/>
    </row>
    <row r="963" ht="19.5" customHeight="1">
      <c r="A963" s="12"/>
      <c r="C963" s="12"/>
      <c r="D963" s="13"/>
      <c r="F963" s="14"/>
      <c r="G963" s="14"/>
      <c r="H963" s="14"/>
      <c r="I963" s="14"/>
      <c r="J963" s="14"/>
      <c r="K963" s="12"/>
    </row>
    <row r="964" ht="19.5" customHeight="1">
      <c r="A964" s="12"/>
      <c r="C964" s="12"/>
      <c r="D964" s="13"/>
      <c r="F964" s="14"/>
      <c r="G964" s="14"/>
      <c r="H964" s="14"/>
      <c r="I964" s="14"/>
      <c r="J964" s="14"/>
      <c r="K964" s="12"/>
    </row>
    <row r="965" ht="19.5" customHeight="1">
      <c r="A965" s="12"/>
      <c r="C965" s="12"/>
      <c r="D965" s="13"/>
      <c r="F965" s="14"/>
      <c r="G965" s="14"/>
      <c r="H965" s="14"/>
      <c r="I965" s="14"/>
      <c r="J965" s="14"/>
      <c r="K965" s="12"/>
    </row>
    <row r="966" ht="19.5" customHeight="1">
      <c r="A966" s="12"/>
      <c r="C966" s="12"/>
      <c r="D966" s="13"/>
      <c r="F966" s="14"/>
      <c r="G966" s="14"/>
      <c r="H966" s="14"/>
      <c r="I966" s="14"/>
      <c r="J966" s="14"/>
      <c r="K966" s="12"/>
    </row>
    <row r="967" ht="19.5" customHeight="1">
      <c r="A967" s="12"/>
      <c r="C967" s="12"/>
      <c r="D967" s="13"/>
      <c r="F967" s="14"/>
      <c r="G967" s="14"/>
      <c r="H967" s="14"/>
      <c r="I967" s="14"/>
      <c r="J967" s="14"/>
      <c r="K967" s="12"/>
    </row>
    <row r="968" ht="19.5" customHeight="1">
      <c r="A968" s="12"/>
      <c r="C968" s="12"/>
      <c r="D968" s="13"/>
      <c r="F968" s="14"/>
      <c r="G968" s="14"/>
      <c r="H968" s="14"/>
      <c r="I968" s="14"/>
      <c r="J968" s="14"/>
      <c r="K968" s="12"/>
    </row>
    <row r="969" ht="19.5" customHeight="1">
      <c r="A969" s="12"/>
      <c r="C969" s="12"/>
      <c r="D969" s="13"/>
      <c r="F969" s="14"/>
      <c r="G969" s="14"/>
      <c r="H969" s="14"/>
      <c r="I969" s="14"/>
      <c r="J969" s="14"/>
      <c r="K969" s="12"/>
    </row>
    <row r="970" ht="19.5" customHeight="1">
      <c r="A970" s="12"/>
      <c r="C970" s="12"/>
      <c r="D970" s="13"/>
      <c r="F970" s="14"/>
      <c r="G970" s="14"/>
      <c r="H970" s="14"/>
      <c r="I970" s="14"/>
      <c r="J970" s="14"/>
      <c r="K970" s="12"/>
    </row>
    <row r="971" ht="19.5" customHeight="1">
      <c r="A971" s="12"/>
      <c r="C971" s="12"/>
      <c r="D971" s="13"/>
      <c r="F971" s="14"/>
      <c r="G971" s="14"/>
      <c r="H971" s="14"/>
      <c r="I971" s="14"/>
      <c r="J971" s="14"/>
      <c r="K971" s="12"/>
    </row>
    <row r="972" ht="19.5" customHeight="1">
      <c r="A972" s="12"/>
      <c r="C972" s="12"/>
      <c r="D972" s="13"/>
      <c r="F972" s="14"/>
      <c r="G972" s="14"/>
      <c r="H972" s="14"/>
      <c r="I972" s="14"/>
      <c r="J972" s="14"/>
      <c r="K972" s="12"/>
    </row>
    <row r="973" ht="19.5" customHeight="1">
      <c r="A973" s="12"/>
      <c r="C973" s="12"/>
      <c r="D973" s="13"/>
      <c r="F973" s="14"/>
      <c r="G973" s="14"/>
      <c r="H973" s="14"/>
      <c r="I973" s="14"/>
      <c r="J973" s="14"/>
      <c r="K973" s="12"/>
    </row>
    <row r="974" ht="19.5" customHeight="1">
      <c r="A974" s="12"/>
      <c r="C974" s="12"/>
      <c r="D974" s="13"/>
      <c r="F974" s="14"/>
      <c r="G974" s="14"/>
      <c r="H974" s="14"/>
      <c r="I974" s="14"/>
      <c r="J974" s="14"/>
      <c r="K974" s="12"/>
    </row>
    <row r="975" ht="19.5" customHeight="1">
      <c r="A975" s="12"/>
      <c r="C975" s="12"/>
      <c r="D975" s="13"/>
      <c r="F975" s="14"/>
      <c r="G975" s="14"/>
      <c r="H975" s="14"/>
      <c r="I975" s="14"/>
      <c r="J975" s="14"/>
      <c r="K975" s="12"/>
    </row>
    <row r="976" ht="19.5" customHeight="1">
      <c r="A976" s="12"/>
      <c r="C976" s="12"/>
      <c r="D976" s="13"/>
      <c r="F976" s="14"/>
      <c r="G976" s="14"/>
      <c r="H976" s="14"/>
      <c r="I976" s="14"/>
      <c r="J976" s="14"/>
      <c r="K976" s="12"/>
    </row>
    <row r="977" ht="19.5" customHeight="1">
      <c r="A977" s="12"/>
      <c r="C977" s="12"/>
      <c r="D977" s="13"/>
      <c r="F977" s="14"/>
      <c r="G977" s="14"/>
      <c r="H977" s="14"/>
      <c r="I977" s="14"/>
      <c r="J977" s="14"/>
      <c r="K977" s="12"/>
    </row>
    <row r="978" ht="19.5" customHeight="1">
      <c r="A978" s="12"/>
      <c r="C978" s="12"/>
      <c r="D978" s="13"/>
      <c r="F978" s="14"/>
      <c r="G978" s="14"/>
      <c r="H978" s="14"/>
      <c r="I978" s="14"/>
      <c r="J978" s="14"/>
      <c r="K978" s="12"/>
    </row>
    <row r="979" ht="19.5" customHeight="1">
      <c r="A979" s="12"/>
      <c r="C979" s="12"/>
      <c r="D979" s="13"/>
      <c r="F979" s="14"/>
      <c r="G979" s="14"/>
      <c r="H979" s="14"/>
      <c r="I979" s="14"/>
      <c r="J979" s="14"/>
      <c r="K979" s="12"/>
    </row>
    <row r="980" ht="19.5" customHeight="1">
      <c r="A980" s="12"/>
      <c r="C980" s="12"/>
      <c r="D980" s="13"/>
      <c r="F980" s="14"/>
      <c r="G980" s="14"/>
      <c r="H980" s="14"/>
      <c r="I980" s="14"/>
      <c r="J980" s="14"/>
      <c r="K980" s="12"/>
    </row>
    <row r="981" ht="19.5" customHeight="1">
      <c r="A981" s="12"/>
      <c r="C981" s="12"/>
      <c r="D981" s="13"/>
      <c r="F981" s="14"/>
      <c r="G981" s="14"/>
      <c r="H981" s="14"/>
      <c r="I981" s="14"/>
      <c r="J981" s="14"/>
      <c r="K981" s="12"/>
    </row>
    <row r="982" ht="19.5" customHeight="1">
      <c r="A982" s="12"/>
      <c r="C982" s="12"/>
      <c r="D982" s="13"/>
      <c r="F982" s="14"/>
      <c r="G982" s="14"/>
      <c r="H982" s="14"/>
      <c r="I982" s="14"/>
      <c r="J982" s="14"/>
      <c r="K982" s="12"/>
    </row>
    <row r="983" ht="19.5" customHeight="1">
      <c r="A983" s="12"/>
      <c r="C983" s="12"/>
      <c r="D983" s="13"/>
      <c r="F983" s="14"/>
      <c r="G983" s="14"/>
      <c r="H983" s="14"/>
      <c r="I983" s="14"/>
      <c r="J983" s="14"/>
      <c r="K983" s="12"/>
    </row>
    <row r="984" ht="19.5" customHeight="1">
      <c r="A984" s="12"/>
      <c r="C984" s="12"/>
      <c r="D984" s="13"/>
      <c r="F984" s="14"/>
      <c r="G984" s="14"/>
      <c r="H984" s="14"/>
      <c r="I984" s="14"/>
      <c r="J984" s="14"/>
      <c r="K984" s="12"/>
    </row>
    <row r="985" ht="19.5" customHeight="1">
      <c r="A985" s="12"/>
      <c r="C985" s="12"/>
      <c r="D985" s="13"/>
      <c r="F985" s="14"/>
      <c r="G985" s="14"/>
      <c r="H985" s="14"/>
      <c r="I985" s="14"/>
      <c r="J985" s="14"/>
      <c r="K985" s="12"/>
    </row>
    <row r="986" ht="19.5" customHeight="1">
      <c r="A986" s="12"/>
      <c r="C986" s="12"/>
      <c r="D986" s="13"/>
      <c r="F986" s="14"/>
      <c r="G986" s="14"/>
      <c r="H986" s="14"/>
      <c r="I986" s="14"/>
      <c r="J986" s="14"/>
      <c r="K986" s="12"/>
    </row>
    <row r="987" ht="19.5" customHeight="1">
      <c r="A987" s="12"/>
      <c r="C987" s="12"/>
      <c r="D987" s="13"/>
      <c r="F987" s="14"/>
      <c r="G987" s="14"/>
      <c r="H987" s="14"/>
      <c r="I987" s="14"/>
      <c r="J987" s="14"/>
      <c r="K987" s="12"/>
    </row>
    <row r="988" ht="19.5" customHeight="1">
      <c r="A988" s="12"/>
      <c r="C988" s="12"/>
      <c r="D988" s="13"/>
      <c r="F988" s="14"/>
      <c r="G988" s="14"/>
      <c r="H988" s="14"/>
      <c r="I988" s="14"/>
      <c r="J988" s="14"/>
      <c r="K988" s="12"/>
    </row>
    <row r="989" ht="19.5" customHeight="1">
      <c r="A989" s="12"/>
      <c r="C989" s="12"/>
      <c r="D989" s="13"/>
      <c r="F989" s="14"/>
      <c r="G989" s="14"/>
      <c r="H989" s="14"/>
      <c r="I989" s="14"/>
      <c r="J989" s="14"/>
      <c r="K989" s="12"/>
    </row>
    <row r="990" ht="19.5" customHeight="1">
      <c r="A990" s="12"/>
      <c r="C990" s="12"/>
      <c r="D990" s="13"/>
      <c r="F990" s="14"/>
      <c r="G990" s="14"/>
      <c r="H990" s="14"/>
      <c r="I990" s="14"/>
      <c r="J990" s="14"/>
      <c r="K990" s="12"/>
    </row>
    <row r="991" ht="19.5" customHeight="1">
      <c r="A991" s="12"/>
      <c r="C991" s="12"/>
      <c r="D991" s="13"/>
      <c r="F991" s="14"/>
      <c r="G991" s="14"/>
      <c r="H991" s="14"/>
      <c r="I991" s="14"/>
      <c r="J991" s="14"/>
      <c r="K991" s="12"/>
    </row>
    <row r="992" ht="19.5" customHeight="1">
      <c r="A992" s="12"/>
      <c r="C992" s="12"/>
      <c r="D992" s="13"/>
      <c r="F992" s="14"/>
      <c r="G992" s="14"/>
      <c r="H992" s="14"/>
      <c r="I992" s="14"/>
      <c r="J992" s="14"/>
      <c r="K992" s="12"/>
    </row>
    <row r="993" ht="19.5" customHeight="1">
      <c r="A993" s="12"/>
      <c r="C993" s="12"/>
      <c r="D993" s="13"/>
      <c r="F993" s="14"/>
      <c r="G993" s="14"/>
      <c r="H993" s="14"/>
      <c r="I993" s="14"/>
      <c r="J993" s="14"/>
      <c r="K993" s="12"/>
    </row>
    <row r="994" ht="19.5" customHeight="1">
      <c r="A994" s="12"/>
      <c r="C994" s="12"/>
      <c r="D994" s="13"/>
      <c r="F994" s="14"/>
      <c r="G994" s="14"/>
      <c r="H994" s="14"/>
      <c r="I994" s="14"/>
      <c r="J994" s="14"/>
      <c r="K994" s="12"/>
    </row>
    <row r="995" ht="19.5" customHeight="1">
      <c r="A995" s="12"/>
      <c r="C995" s="12"/>
      <c r="D995" s="13"/>
      <c r="F995" s="14"/>
      <c r="G995" s="14"/>
      <c r="H995" s="14"/>
      <c r="I995" s="14"/>
      <c r="J995" s="14"/>
      <c r="K995" s="12"/>
    </row>
    <row r="996" ht="19.5" customHeight="1">
      <c r="A996" s="12"/>
      <c r="C996" s="12"/>
      <c r="D996" s="13"/>
      <c r="F996" s="14"/>
      <c r="G996" s="14"/>
      <c r="H996" s="14"/>
      <c r="I996" s="14"/>
      <c r="J996" s="14"/>
      <c r="K996" s="12"/>
    </row>
    <row r="997" ht="19.5" customHeight="1">
      <c r="A997" s="12"/>
      <c r="C997" s="12"/>
      <c r="D997" s="13"/>
      <c r="F997" s="14"/>
      <c r="G997" s="14"/>
      <c r="H997" s="14"/>
      <c r="I997" s="14"/>
      <c r="J997" s="14"/>
      <c r="K997" s="12"/>
    </row>
    <row r="998" ht="19.5" customHeight="1">
      <c r="A998" s="12"/>
      <c r="C998" s="12"/>
      <c r="D998" s="13"/>
      <c r="F998" s="14"/>
      <c r="G998" s="14"/>
      <c r="H998" s="14"/>
      <c r="I998" s="14"/>
      <c r="J998" s="14"/>
      <c r="K998" s="12"/>
    </row>
    <row r="999" ht="19.5" customHeight="1">
      <c r="A999" s="12"/>
      <c r="C999" s="12"/>
      <c r="D999" s="13"/>
      <c r="F999" s="14"/>
      <c r="G999" s="14"/>
      <c r="H999" s="14"/>
      <c r="I999" s="14"/>
      <c r="J999" s="14"/>
      <c r="K999" s="12"/>
    </row>
    <row r="1000" ht="19.5" customHeight="1">
      <c r="A1000" s="12"/>
      <c r="C1000" s="12"/>
      <c r="D1000" s="13"/>
      <c r="F1000" s="14"/>
      <c r="G1000" s="14"/>
      <c r="H1000" s="14"/>
      <c r="I1000" s="14"/>
      <c r="J1000" s="14"/>
      <c r="K1000" s="12"/>
    </row>
  </sheetData>
  <mergeCells count="12">
    <mergeCell ref="E9:G9"/>
    <mergeCell ref="J9:J10"/>
    <mergeCell ref="J15:J16"/>
    <mergeCell ref="J36:J37"/>
    <mergeCell ref="A6:K6"/>
    <mergeCell ref="A7:K7"/>
    <mergeCell ref="A8:K8"/>
    <mergeCell ref="A9:A10"/>
    <mergeCell ref="B9:B10"/>
    <mergeCell ref="C9:C10"/>
    <mergeCell ref="D9:D10"/>
    <mergeCell ref="K9:K10"/>
  </mergeCells>
  <printOptions/>
  <pageMargins bottom="0.787401575" footer="0.0" header="0.0" left="0.511811024" right="0.511811024" top="0.787401575"/>
  <pageSetup orientation="landscape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57.13"/>
    <col customWidth="1" min="3" max="3" width="9.13"/>
    <col customWidth="1" min="4" max="4" width="16.25"/>
    <col customWidth="1" min="5" max="5" width="25.0"/>
    <col customWidth="1" min="6" max="6" width="22.25"/>
    <col customWidth="1" min="7" max="8" width="23.88"/>
    <col customWidth="1" min="9" max="9" width="23.63"/>
    <col customWidth="1" min="10" max="10" width="20.63"/>
    <col customWidth="1" min="11" max="11" width="39.0"/>
    <col customWidth="1" min="12" max="26" width="8.63"/>
  </cols>
  <sheetData>
    <row r="1" ht="19.5" customHeight="1">
      <c r="A1" s="4"/>
      <c r="B1" s="5"/>
      <c r="C1" s="6"/>
      <c r="D1" s="7"/>
      <c r="E1" s="5"/>
      <c r="F1" s="8"/>
      <c r="G1" s="8"/>
      <c r="H1" s="8"/>
      <c r="I1" s="8"/>
      <c r="J1" s="8"/>
      <c r="K1" s="9"/>
    </row>
    <row r="2" ht="19.5" customHeight="1">
      <c r="A2" s="10" t="s">
        <v>83</v>
      </c>
      <c r="B2" s="11" t="s">
        <v>84</v>
      </c>
      <c r="C2" s="12"/>
      <c r="D2" s="13"/>
      <c r="F2" s="14"/>
      <c r="G2" s="14"/>
      <c r="H2" s="14"/>
      <c r="I2" s="14"/>
      <c r="J2" s="17" t="s">
        <v>144</v>
      </c>
      <c r="K2" s="18"/>
    </row>
    <row r="3" ht="19.5" customHeight="1">
      <c r="A3" s="10" t="s">
        <v>86</v>
      </c>
      <c r="B3" s="11" t="s">
        <v>87</v>
      </c>
      <c r="C3" s="12"/>
      <c r="D3" s="13"/>
      <c r="F3" s="14"/>
      <c r="G3" s="14"/>
      <c r="H3" s="14"/>
      <c r="I3" s="14"/>
      <c r="J3" s="14"/>
      <c r="K3" s="18"/>
    </row>
    <row r="4" ht="19.5" customHeight="1">
      <c r="A4" s="19"/>
      <c r="C4" s="12"/>
      <c r="D4" s="13"/>
      <c r="F4" s="14"/>
      <c r="G4" s="14"/>
      <c r="H4" s="14"/>
      <c r="I4" s="14"/>
      <c r="J4" s="14"/>
      <c r="K4" s="18"/>
    </row>
    <row r="5" ht="19.5" customHeight="1">
      <c r="A5" s="19"/>
      <c r="C5" s="12"/>
      <c r="D5" s="13"/>
      <c r="F5" s="14"/>
      <c r="G5" s="14"/>
      <c r="H5" s="14"/>
      <c r="I5" s="14"/>
      <c r="J5" s="14"/>
      <c r="K5" s="18"/>
    </row>
    <row r="6" ht="159.0" customHeight="1">
      <c r="A6" s="20" t="s">
        <v>1883</v>
      </c>
      <c r="K6" s="21"/>
    </row>
    <row r="7" ht="64.5" customHeight="1">
      <c r="A7" s="22" t="s">
        <v>1884</v>
      </c>
      <c r="K7" s="21"/>
    </row>
    <row r="8" ht="42.0" customHeight="1">
      <c r="A8" s="88" t="s">
        <v>90</v>
      </c>
      <c r="B8" s="24"/>
      <c r="C8" s="24"/>
      <c r="D8" s="24"/>
      <c r="E8" s="24"/>
      <c r="F8" s="24"/>
      <c r="G8" s="24"/>
      <c r="H8" s="24"/>
      <c r="I8" s="24"/>
      <c r="J8" s="24"/>
      <c r="K8" s="25"/>
    </row>
    <row r="9" ht="19.5" customHeight="1">
      <c r="A9" s="26" t="s">
        <v>1</v>
      </c>
      <c r="B9" s="26" t="s">
        <v>91</v>
      </c>
      <c r="C9" s="26" t="s">
        <v>92</v>
      </c>
      <c r="D9" s="26" t="s">
        <v>93</v>
      </c>
      <c r="E9" s="27" t="s">
        <v>94</v>
      </c>
      <c r="F9" s="28"/>
      <c r="G9" s="29"/>
      <c r="H9" s="30"/>
      <c r="I9" s="30"/>
      <c r="J9" s="31" t="s">
        <v>95</v>
      </c>
      <c r="K9" s="26" t="s">
        <v>96</v>
      </c>
    </row>
    <row r="10" ht="19.5" customHeight="1">
      <c r="A10" s="32"/>
      <c r="B10" s="32"/>
      <c r="C10" s="32"/>
      <c r="D10" s="32"/>
      <c r="E10" s="33" t="s">
        <v>97</v>
      </c>
      <c r="F10" s="34" t="s">
        <v>121</v>
      </c>
      <c r="G10" s="34" t="s">
        <v>99</v>
      </c>
      <c r="H10" s="35" t="s">
        <v>100</v>
      </c>
      <c r="I10" s="35" t="s">
        <v>101</v>
      </c>
      <c r="J10" s="32"/>
      <c r="K10" s="32"/>
    </row>
    <row r="11" ht="19.5" customHeight="1">
      <c r="A11" s="46">
        <v>1.0</v>
      </c>
      <c r="B11" s="37" t="s">
        <v>147</v>
      </c>
      <c r="C11" s="46" t="s">
        <v>148</v>
      </c>
      <c r="D11" s="78">
        <v>4.0</v>
      </c>
      <c r="E11" s="37">
        <v>2.0</v>
      </c>
      <c r="F11" s="40">
        <v>4.0</v>
      </c>
      <c r="G11" s="40">
        <v>4.0</v>
      </c>
      <c r="H11" s="40">
        <f>G11*F11*E11*D11</f>
        <v>128</v>
      </c>
      <c r="I11" s="42"/>
      <c r="J11" s="43">
        <f t="shared" ref="J11:J13" si="1">H11-I11</f>
        <v>128</v>
      </c>
      <c r="K11" s="46"/>
    </row>
    <row r="12" ht="19.5" customHeight="1">
      <c r="A12" s="46"/>
      <c r="B12" s="37"/>
      <c r="C12" s="46"/>
      <c r="D12" s="78"/>
      <c r="E12" s="37"/>
      <c r="F12" s="40"/>
      <c r="G12" s="40" t="s">
        <v>1858</v>
      </c>
      <c r="H12" s="40"/>
      <c r="I12" s="42"/>
      <c r="J12" s="43">
        <f t="shared" si="1"/>
        <v>0</v>
      </c>
      <c r="K12" s="79"/>
    </row>
    <row r="13" ht="19.5" customHeight="1">
      <c r="A13" s="46"/>
      <c r="B13" s="37"/>
      <c r="C13" s="46"/>
      <c r="D13" s="78"/>
      <c r="E13" s="37"/>
      <c r="F13" s="40"/>
      <c r="G13" s="40"/>
      <c r="H13" s="40"/>
      <c r="I13" s="42"/>
      <c r="J13" s="43">
        <f t="shared" si="1"/>
        <v>0</v>
      </c>
      <c r="K13" s="79"/>
    </row>
    <row r="14" ht="19.5" customHeight="1">
      <c r="A14" s="74" t="s">
        <v>1</v>
      </c>
      <c r="B14" s="74" t="s">
        <v>91</v>
      </c>
      <c r="C14" s="74" t="s">
        <v>92</v>
      </c>
      <c r="D14" s="74" t="s">
        <v>93</v>
      </c>
      <c r="E14" s="50" t="s">
        <v>97</v>
      </c>
      <c r="F14" s="53" t="s">
        <v>121</v>
      </c>
      <c r="G14" s="53" t="s">
        <v>99</v>
      </c>
      <c r="H14" s="75" t="s">
        <v>100</v>
      </c>
      <c r="I14" s="75" t="s">
        <v>101</v>
      </c>
      <c r="J14" s="76" t="s">
        <v>95</v>
      </c>
      <c r="K14" s="74" t="s">
        <v>96</v>
      </c>
    </row>
    <row r="15" ht="19.5" customHeight="1">
      <c r="A15" s="46">
        <v>1.0</v>
      </c>
      <c r="B15" s="37" t="s">
        <v>1320</v>
      </c>
      <c r="C15" s="46" t="s">
        <v>148</v>
      </c>
      <c r="D15" s="78">
        <v>4.0</v>
      </c>
      <c r="E15" s="37">
        <v>0.15</v>
      </c>
      <c r="F15" s="78">
        <v>4.0</v>
      </c>
      <c r="G15" s="40">
        <v>4.0</v>
      </c>
      <c r="H15" s="40">
        <f>G15*F15*E15*D15</f>
        <v>9.6</v>
      </c>
      <c r="I15" s="42"/>
      <c r="J15" s="264">
        <f>SUM(H15:H16)</f>
        <v>9.6</v>
      </c>
      <c r="K15" s="46"/>
    </row>
    <row r="16" ht="19.5" customHeight="1">
      <c r="A16" s="46"/>
      <c r="B16" s="37"/>
      <c r="C16" s="46"/>
      <c r="D16" s="78"/>
      <c r="E16" s="37"/>
      <c r="F16" s="78"/>
      <c r="G16" s="40"/>
      <c r="H16" s="40"/>
      <c r="I16" s="42"/>
      <c r="J16" s="32"/>
      <c r="K16" s="46"/>
    </row>
    <row r="17" ht="19.5" customHeight="1">
      <c r="A17" s="74" t="s">
        <v>1</v>
      </c>
      <c r="B17" s="74" t="s">
        <v>91</v>
      </c>
      <c r="C17" s="74" t="s">
        <v>92</v>
      </c>
      <c r="D17" s="74" t="s">
        <v>93</v>
      </c>
      <c r="E17" s="50" t="s">
        <v>97</v>
      </c>
      <c r="F17" s="53" t="s">
        <v>121</v>
      </c>
      <c r="G17" s="53" t="s">
        <v>99</v>
      </c>
      <c r="H17" s="75" t="s">
        <v>100</v>
      </c>
      <c r="I17" s="75" t="s">
        <v>101</v>
      </c>
      <c r="J17" s="76" t="s">
        <v>95</v>
      </c>
      <c r="K17" s="74" t="s">
        <v>96</v>
      </c>
    </row>
    <row r="18" ht="19.5" customHeight="1">
      <c r="A18" s="46">
        <v>1.0</v>
      </c>
      <c r="B18" s="37" t="s">
        <v>345</v>
      </c>
      <c r="C18" s="46" t="s">
        <v>148</v>
      </c>
      <c r="D18" s="78"/>
      <c r="E18" s="37"/>
      <c r="F18" s="78"/>
      <c r="G18" s="40"/>
      <c r="H18" s="40"/>
      <c r="I18" s="42"/>
      <c r="J18" s="40"/>
      <c r="K18" s="46"/>
    </row>
    <row r="19" ht="19.5" customHeight="1">
      <c r="A19" s="46"/>
      <c r="B19" s="37"/>
      <c r="C19" s="46"/>
      <c r="D19" s="78"/>
      <c r="E19" s="37"/>
      <c r="F19" s="78"/>
      <c r="G19" s="40"/>
      <c r="H19" s="40"/>
      <c r="I19" s="42"/>
      <c r="J19" s="43">
        <f>SUM(H18:H19)</f>
        <v>0</v>
      </c>
      <c r="K19" s="46"/>
    </row>
    <row r="20" ht="19.5" customHeight="1">
      <c r="A20" s="74" t="s">
        <v>1</v>
      </c>
      <c r="B20" s="74" t="s">
        <v>91</v>
      </c>
      <c r="C20" s="74" t="s">
        <v>92</v>
      </c>
      <c r="D20" s="74" t="s">
        <v>93</v>
      </c>
      <c r="E20" s="50" t="s">
        <v>347</v>
      </c>
      <c r="F20" s="53" t="s">
        <v>121</v>
      </c>
      <c r="G20" s="53" t="s">
        <v>99</v>
      </c>
      <c r="H20" s="75" t="s">
        <v>100</v>
      </c>
      <c r="I20" s="75" t="s">
        <v>101</v>
      </c>
      <c r="J20" s="76" t="s">
        <v>95</v>
      </c>
      <c r="K20" s="74" t="s">
        <v>96</v>
      </c>
    </row>
    <row r="21" ht="19.5" customHeight="1">
      <c r="A21" s="46">
        <v>1.0</v>
      </c>
      <c r="B21" s="37" t="s">
        <v>912</v>
      </c>
      <c r="C21" s="46" t="s">
        <v>103</v>
      </c>
      <c r="D21" s="78"/>
      <c r="E21" s="37"/>
      <c r="F21" s="40"/>
      <c r="G21" s="40"/>
      <c r="H21" s="40"/>
      <c r="I21" s="42"/>
      <c r="J21" s="107"/>
      <c r="K21" s="46" t="s">
        <v>1322</v>
      </c>
    </row>
    <row r="22" ht="19.5" customHeight="1">
      <c r="A22" s="74" t="s">
        <v>1</v>
      </c>
      <c r="B22" s="74" t="s">
        <v>91</v>
      </c>
      <c r="C22" s="74" t="s">
        <v>92</v>
      </c>
      <c r="D22" s="74" t="s">
        <v>93</v>
      </c>
      <c r="E22" s="50" t="s">
        <v>187</v>
      </c>
      <c r="F22" s="53"/>
      <c r="G22" s="53"/>
      <c r="H22" s="75" t="s">
        <v>100</v>
      </c>
      <c r="I22" s="75" t="s">
        <v>101</v>
      </c>
      <c r="J22" s="76" t="s">
        <v>95</v>
      </c>
      <c r="K22" s="74" t="s">
        <v>96</v>
      </c>
    </row>
    <row r="23" ht="19.5" customHeight="1">
      <c r="A23" s="46">
        <v>1.0</v>
      </c>
      <c r="B23" s="37" t="s">
        <v>1323</v>
      </c>
      <c r="C23" s="46" t="s">
        <v>158</v>
      </c>
      <c r="D23" s="78" t="str">
        <f>D21</f>
        <v/>
      </c>
      <c r="E23" s="37">
        <v>100.0</v>
      </c>
      <c r="F23" s="40"/>
      <c r="G23" s="40"/>
      <c r="H23" s="40">
        <f>E23*D23</f>
        <v>0</v>
      </c>
      <c r="I23" s="42"/>
      <c r="J23" s="43">
        <f>H23-I23</f>
        <v>0</v>
      </c>
      <c r="K23" s="46" t="s">
        <v>355</v>
      </c>
    </row>
    <row r="24" ht="19.5" customHeight="1">
      <c r="A24" s="50" t="s">
        <v>1</v>
      </c>
      <c r="B24" s="50" t="s">
        <v>91</v>
      </c>
      <c r="C24" s="50" t="s">
        <v>92</v>
      </c>
      <c r="D24" s="50" t="s">
        <v>93</v>
      </c>
      <c r="E24" s="50" t="s">
        <v>97</v>
      </c>
      <c r="F24" s="53" t="s">
        <v>121</v>
      </c>
      <c r="G24" s="53" t="s">
        <v>99</v>
      </c>
      <c r="H24" s="53" t="s">
        <v>100</v>
      </c>
      <c r="I24" s="53" t="s">
        <v>101</v>
      </c>
      <c r="J24" s="53" t="s">
        <v>95</v>
      </c>
      <c r="K24" s="50" t="s">
        <v>96</v>
      </c>
    </row>
    <row r="25" ht="19.5" customHeight="1">
      <c r="A25" s="46">
        <v>1.0</v>
      </c>
      <c r="B25" s="416" t="s">
        <v>1337</v>
      </c>
      <c r="C25" s="46" t="s">
        <v>108</v>
      </c>
      <c r="D25" s="78">
        <v>1.0</v>
      </c>
      <c r="E25" s="37"/>
      <c r="F25" s="78"/>
      <c r="G25" s="40"/>
      <c r="H25" s="40"/>
      <c r="I25" s="42"/>
      <c r="J25" s="43">
        <f t="shared" ref="J25:J29" si="2">D25</f>
        <v>1</v>
      </c>
      <c r="K25" s="46"/>
    </row>
    <row r="26" ht="19.5" customHeight="1">
      <c r="A26" s="46">
        <v>2.0</v>
      </c>
      <c r="B26" s="416" t="s">
        <v>1338</v>
      </c>
      <c r="C26" s="46" t="s">
        <v>108</v>
      </c>
      <c r="D26" s="78">
        <v>1.0</v>
      </c>
      <c r="E26" s="37"/>
      <c r="F26" s="78"/>
      <c r="G26" s="40"/>
      <c r="H26" s="40"/>
      <c r="I26" s="42"/>
      <c r="J26" s="43">
        <f t="shared" si="2"/>
        <v>1</v>
      </c>
      <c r="K26" s="46"/>
    </row>
    <row r="27" ht="19.5" customHeight="1">
      <c r="A27" s="46">
        <v>3.0</v>
      </c>
      <c r="B27" s="416" t="s">
        <v>1339</v>
      </c>
      <c r="C27" s="46" t="s">
        <v>106</v>
      </c>
      <c r="D27" s="78">
        <v>1.0</v>
      </c>
      <c r="E27" s="37"/>
      <c r="F27" s="78"/>
      <c r="G27" s="40"/>
      <c r="H27" s="40"/>
      <c r="I27" s="42"/>
      <c r="J27" s="43">
        <f t="shared" si="2"/>
        <v>1</v>
      </c>
      <c r="K27" s="40"/>
    </row>
    <row r="28" ht="19.5" customHeight="1">
      <c r="A28" s="46">
        <v>3.0</v>
      </c>
      <c r="B28" s="416" t="s">
        <v>1340</v>
      </c>
      <c r="C28" s="46" t="s">
        <v>106</v>
      </c>
      <c r="D28" s="78">
        <v>6.0</v>
      </c>
      <c r="E28" s="37"/>
      <c r="F28" s="78"/>
      <c r="G28" s="40"/>
      <c r="H28" s="40"/>
      <c r="I28" s="42"/>
      <c r="J28" s="43">
        <f t="shared" si="2"/>
        <v>6</v>
      </c>
      <c r="K28" s="40"/>
    </row>
    <row r="29" ht="19.5" customHeight="1">
      <c r="A29" s="46">
        <v>3.0</v>
      </c>
      <c r="B29" s="416" t="s">
        <v>1341</v>
      </c>
      <c r="C29" s="46" t="s">
        <v>1342</v>
      </c>
      <c r="D29" s="78">
        <v>1.0</v>
      </c>
      <c r="E29" s="37"/>
      <c r="F29" s="78"/>
      <c r="G29" s="40"/>
      <c r="H29" s="40"/>
      <c r="I29" s="42"/>
      <c r="J29" s="43">
        <f t="shared" si="2"/>
        <v>1</v>
      </c>
      <c r="K29" s="40"/>
    </row>
    <row r="30" ht="19.5" customHeight="1">
      <c r="A30" s="12"/>
      <c r="C30" s="12"/>
      <c r="D30" s="13"/>
      <c r="F30" s="14"/>
      <c r="G30" s="14"/>
      <c r="H30" s="14"/>
      <c r="I30" s="14"/>
      <c r="J30" s="14"/>
      <c r="K30" s="12"/>
    </row>
    <row r="31" ht="19.5" customHeight="1">
      <c r="A31" s="74" t="s">
        <v>1</v>
      </c>
      <c r="B31" s="74" t="s">
        <v>91</v>
      </c>
      <c r="C31" s="74" t="s">
        <v>92</v>
      </c>
      <c r="D31" s="74" t="s">
        <v>93</v>
      </c>
      <c r="E31" s="50" t="s">
        <v>97</v>
      </c>
      <c r="F31" s="53" t="s">
        <v>121</v>
      </c>
      <c r="G31" s="53" t="s">
        <v>99</v>
      </c>
      <c r="H31" s="53" t="s">
        <v>100</v>
      </c>
      <c r="I31" s="53" t="s">
        <v>101</v>
      </c>
      <c r="J31" s="53" t="s">
        <v>95</v>
      </c>
      <c r="K31" s="50" t="s">
        <v>96</v>
      </c>
    </row>
    <row r="32" ht="19.5" customHeight="1">
      <c r="A32" s="46">
        <v>1.0</v>
      </c>
      <c r="B32" s="37" t="s">
        <v>1343</v>
      </c>
      <c r="C32" s="46" t="s">
        <v>103</v>
      </c>
      <c r="D32" s="78">
        <v>1.0</v>
      </c>
      <c r="E32" s="37">
        <v>1.0</v>
      </c>
      <c r="F32" s="78">
        <v>1.0</v>
      </c>
      <c r="G32" s="40">
        <v>1.0</v>
      </c>
      <c r="H32" s="40">
        <v>1.0</v>
      </c>
      <c r="I32" s="42"/>
      <c r="J32" s="40"/>
      <c r="K32" s="46"/>
    </row>
    <row r="33" ht="19.5" customHeight="1">
      <c r="A33" s="46"/>
      <c r="B33" s="37"/>
      <c r="C33" s="46"/>
      <c r="D33" s="78"/>
      <c r="E33" s="37"/>
      <c r="F33" s="78"/>
      <c r="G33" s="40"/>
      <c r="H33" s="40"/>
      <c r="I33" s="42"/>
      <c r="J33" s="43">
        <f>SUM(H32:H33)</f>
        <v>1</v>
      </c>
      <c r="K33" s="46"/>
    </row>
    <row r="34" ht="19.5" customHeight="1">
      <c r="A34" s="12"/>
      <c r="C34" s="12"/>
      <c r="D34" s="13"/>
      <c r="F34" s="14"/>
      <c r="G34" s="14"/>
      <c r="H34" s="14"/>
      <c r="I34" s="14"/>
      <c r="J34" s="14"/>
      <c r="K34" s="12"/>
    </row>
    <row r="35" ht="19.5" customHeight="1">
      <c r="A35" s="74" t="s">
        <v>1</v>
      </c>
      <c r="B35" s="74" t="s">
        <v>91</v>
      </c>
      <c r="C35" s="74" t="s">
        <v>92</v>
      </c>
      <c r="D35" s="74" t="s">
        <v>93</v>
      </c>
      <c r="E35" s="50" t="s">
        <v>97</v>
      </c>
      <c r="F35" s="53" t="s">
        <v>121</v>
      </c>
      <c r="G35" s="53" t="s">
        <v>99</v>
      </c>
      <c r="H35" s="53" t="s">
        <v>100</v>
      </c>
      <c r="I35" s="53" t="s">
        <v>101</v>
      </c>
      <c r="J35" s="53" t="s">
        <v>95</v>
      </c>
      <c r="K35" s="50" t="s">
        <v>96</v>
      </c>
    </row>
    <row r="36" ht="19.5" customHeight="1">
      <c r="A36" s="46">
        <v>1.0</v>
      </c>
      <c r="B36" s="37" t="s">
        <v>1778</v>
      </c>
      <c r="C36" s="46" t="s">
        <v>103</v>
      </c>
      <c r="D36" s="78">
        <v>4.0</v>
      </c>
      <c r="E36" s="37">
        <v>1.0</v>
      </c>
      <c r="F36" s="78">
        <v>10.0</v>
      </c>
      <c r="G36" s="40">
        <v>10.0</v>
      </c>
      <c r="H36" s="40">
        <f>F36*E36*D36</f>
        <v>40</v>
      </c>
      <c r="I36" s="42"/>
      <c r="J36" s="327">
        <f>SUM(H36:H37)</f>
        <v>40</v>
      </c>
      <c r="K36" s="46"/>
    </row>
    <row r="37" ht="19.5" customHeight="1">
      <c r="A37" s="46"/>
      <c r="B37" s="37"/>
      <c r="C37" s="46"/>
      <c r="D37" s="78"/>
      <c r="E37" s="37"/>
      <c r="F37" s="78"/>
      <c r="G37" s="40"/>
      <c r="H37" s="40"/>
      <c r="I37" s="42"/>
      <c r="J37" s="32"/>
      <c r="K37" s="46"/>
    </row>
    <row r="38" ht="19.5" customHeight="1">
      <c r="A38" s="12"/>
      <c r="C38" s="12"/>
      <c r="D38" s="13"/>
      <c r="F38" s="14"/>
      <c r="G38" s="14"/>
      <c r="H38" s="14"/>
      <c r="I38" s="14"/>
      <c r="J38" s="14"/>
      <c r="K38" s="12"/>
    </row>
    <row r="39" ht="19.5" customHeight="1">
      <c r="A39" s="12"/>
      <c r="C39" s="12"/>
      <c r="D39" s="13"/>
      <c r="F39" s="14"/>
      <c r="G39" s="14"/>
      <c r="H39" s="14"/>
      <c r="I39" s="14"/>
      <c r="J39" s="14"/>
      <c r="K39" s="12"/>
    </row>
    <row r="40" ht="19.5" customHeight="1">
      <c r="A40" s="12"/>
      <c r="C40" s="12"/>
      <c r="D40" s="13"/>
      <c r="F40" s="14"/>
      <c r="G40" s="14"/>
      <c r="H40" s="14"/>
      <c r="I40" s="14"/>
      <c r="J40" s="14"/>
      <c r="K40" s="12"/>
    </row>
    <row r="41" ht="19.5" customHeight="1">
      <c r="A41" s="12"/>
      <c r="C41" s="12"/>
      <c r="D41" s="13"/>
      <c r="F41" s="14"/>
      <c r="G41" s="14"/>
      <c r="H41" s="14"/>
      <c r="I41" s="14"/>
      <c r="J41" s="14"/>
      <c r="K41" s="12"/>
    </row>
    <row r="42" ht="19.5" customHeight="1">
      <c r="A42" s="12"/>
      <c r="C42" s="12"/>
      <c r="D42" s="13"/>
      <c r="F42" s="14"/>
      <c r="G42" s="14"/>
      <c r="H42" s="14"/>
      <c r="I42" s="14"/>
      <c r="J42" s="14"/>
      <c r="K42" s="12"/>
    </row>
    <row r="43" ht="19.5" customHeight="1">
      <c r="A43" s="12"/>
      <c r="C43" s="12"/>
      <c r="D43" s="13"/>
      <c r="F43" s="14"/>
      <c r="G43" s="14"/>
      <c r="H43" s="14"/>
      <c r="I43" s="14"/>
      <c r="J43" s="14"/>
      <c r="K43" s="12"/>
    </row>
    <row r="44" ht="19.5" customHeight="1">
      <c r="A44" s="12"/>
      <c r="C44" s="12"/>
      <c r="D44" s="13"/>
      <c r="F44" s="14"/>
      <c r="G44" s="14"/>
      <c r="H44" s="14"/>
      <c r="I44" s="14"/>
      <c r="J44" s="14"/>
      <c r="K44" s="12"/>
    </row>
    <row r="45" ht="19.5" customHeight="1">
      <c r="A45" s="12"/>
      <c r="C45" s="12"/>
      <c r="D45" s="13"/>
      <c r="F45" s="14"/>
      <c r="G45" s="14"/>
      <c r="H45" s="14"/>
      <c r="I45" s="14"/>
      <c r="J45" s="14"/>
      <c r="K45" s="12"/>
    </row>
    <row r="46" ht="19.5" customHeight="1">
      <c r="A46" s="12"/>
      <c r="C46" s="12"/>
      <c r="D46" s="13"/>
      <c r="F46" s="14"/>
      <c r="G46" s="14"/>
      <c r="H46" s="14"/>
      <c r="I46" s="14"/>
      <c r="J46" s="14"/>
      <c r="K46" s="12"/>
    </row>
    <row r="47" ht="19.5" customHeight="1">
      <c r="A47" s="12"/>
      <c r="C47" s="12"/>
      <c r="D47" s="13"/>
      <c r="F47" s="14"/>
      <c r="G47" s="14"/>
      <c r="H47" s="14"/>
      <c r="I47" s="14"/>
      <c r="J47" s="14"/>
      <c r="K47" s="12"/>
    </row>
    <row r="48" ht="19.5" customHeight="1">
      <c r="A48" s="12"/>
      <c r="C48" s="12"/>
      <c r="D48" s="13"/>
      <c r="F48" s="14"/>
      <c r="G48" s="14"/>
      <c r="H48" s="14"/>
      <c r="I48" s="14"/>
      <c r="J48" s="14"/>
      <c r="K48" s="12"/>
    </row>
    <row r="49" ht="19.5" customHeight="1">
      <c r="A49" s="12"/>
      <c r="C49" s="12"/>
      <c r="D49" s="13"/>
      <c r="F49" s="14"/>
      <c r="G49" s="14"/>
      <c r="H49" s="14"/>
      <c r="I49" s="14"/>
      <c r="J49" s="14"/>
      <c r="K49" s="12"/>
    </row>
    <row r="50" ht="19.5" customHeight="1">
      <c r="A50" s="12"/>
      <c r="C50" s="12"/>
      <c r="D50" s="13"/>
      <c r="F50" s="14"/>
      <c r="G50" s="14"/>
      <c r="H50" s="14"/>
      <c r="I50" s="14"/>
      <c r="J50" s="14"/>
      <c r="K50" s="12"/>
    </row>
    <row r="51" ht="19.5" customHeight="1">
      <c r="A51" s="12"/>
      <c r="C51" s="12"/>
      <c r="D51" s="13"/>
      <c r="F51" s="14"/>
      <c r="G51" s="14"/>
      <c r="H51" s="14"/>
      <c r="I51" s="14"/>
      <c r="J51" s="14"/>
      <c r="K51" s="12"/>
    </row>
    <row r="52" ht="19.5" customHeight="1">
      <c r="A52" s="12"/>
      <c r="C52" s="12"/>
      <c r="D52" s="13"/>
      <c r="F52" s="14"/>
      <c r="G52" s="14"/>
      <c r="H52" s="14"/>
      <c r="I52" s="14"/>
      <c r="J52" s="14"/>
      <c r="K52" s="12"/>
    </row>
    <row r="53" ht="19.5" customHeight="1">
      <c r="A53" s="12"/>
      <c r="C53" s="12"/>
      <c r="D53" s="13"/>
      <c r="F53" s="14"/>
      <c r="G53" s="14"/>
      <c r="H53" s="14"/>
      <c r="I53" s="14"/>
      <c r="J53" s="14"/>
      <c r="K53" s="12"/>
    </row>
    <row r="54" ht="19.5" customHeight="1">
      <c r="A54" s="12"/>
      <c r="C54" s="12"/>
      <c r="D54" s="13"/>
      <c r="F54" s="14"/>
      <c r="G54" s="14"/>
      <c r="H54" s="14"/>
      <c r="I54" s="14"/>
      <c r="J54" s="14"/>
      <c r="K54" s="12"/>
    </row>
    <row r="55" ht="19.5" customHeight="1">
      <c r="A55" s="12"/>
      <c r="C55" s="12"/>
      <c r="D55" s="13"/>
      <c r="F55" s="14"/>
      <c r="G55" s="14"/>
      <c r="H55" s="14"/>
      <c r="I55" s="14"/>
      <c r="J55" s="14"/>
      <c r="K55" s="12"/>
    </row>
    <row r="56" ht="19.5" customHeight="1">
      <c r="A56" s="12"/>
      <c r="C56" s="12"/>
      <c r="D56" s="13"/>
      <c r="F56" s="14"/>
      <c r="G56" s="14"/>
      <c r="H56" s="14"/>
      <c r="I56" s="14"/>
      <c r="J56" s="14"/>
      <c r="K56" s="12"/>
    </row>
    <row r="57" ht="19.5" customHeight="1">
      <c r="A57" s="12"/>
      <c r="C57" s="12"/>
      <c r="D57" s="13"/>
      <c r="F57" s="14"/>
      <c r="G57" s="14"/>
      <c r="H57" s="14"/>
      <c r="I57" s="14"/>
      <c r="J57" s="14"/>
      <c r="K57" s="12"/>
    </row>
    <row r="58" ht="19.5" customHeight="1">
      <c r="A58" s="12"/>
      <c r="C58" s="12"/>
      <c r="D58" s="13"/>
      <c r="F58" s="14"/>
      <c r="G58" s="14"/>
      <c r="H58" s="14"/>
      <c r="I58" s="14"/>
      <c r="J58" s="14"/>
      <c r="K58" s="12"/>
    </row>
    <row r="59" ht="19.5" customHeight="1">
      <c r="A59" s="12"/>
      <c r="C59" s="12"/>
      <c r="D59" s="13"/>
      <c r="F59" s="14"/>
      <c r="G59" s="14"/>
      <c r="H59" s="14"/>
      <c r="I59" s="14"/>
      <c r="J59" s="14"/>
      <c r="K59" s="12"/>
    </row>
    <row r="60" ht="19.5" customHeight="1">
      <c r="A60" s="12"/>
      <c r="C60" s="12"/>
      <c r="D60" s="13"/>
      <c r="F60" s="14"/>
      <c r="G60" s="14"/>
      <c r="H60" s="14"/>
      <c r="I60" s="14"/>
      <c r="J60" s="14"/>
      <c r="K60" s="12"/>
    </row>
    <row r="61" ht="19.5" customHeight="1">
      <c r="A61" s="12"/>
      <c r="C61" s="12"/>
      <c r="D61" s="13"/>
      <c r="F61" s="14"/>
      <c r="G61" s="14"/>
      <c r="H61" s="14"/>
      <c r="I61" s="14"/>
      <c r="J61" s="14"/>
      <c r="K61" s="12"/>
    </row>
    <row r="62" ht="19.5" customHeight="1">
      <c r="A62" s="12"/>
      <c r="C62" s="12"/>
      <c r="D62" s="13"/>
      <c r="F62" s="14"/>
      <c r="G62" s="14"/>
      <c r="H62" s="14"/>
      <c r="I62" s="14"/>
      <c r="J62" s="14"/>
      <c r="K62" s="12"/>
    </row>
    <row r="63" ht="19.5" customHeight="1">
      <c r="A63" s="12"/>
      <c r="C63" s="12"/>
      <c r="D63" s="13"/>
      <c r="F63" s="14"/>
      <c r="G63" s="14"/>
      <c r="H63" s="14"/>
      <c r="I63" s="14"/>
      <c r="J63" s="14"/>
      <c r="K63" s="12"/>
    </row>
    <row r="64" ht="19.5" customHeight="1">
      <c r="A64" s="12"/>
      <c r="C64" s="12"/>
      <c r="D64" s="13"/>
      <c r="F64" s="14"/>
      <c r="G64" s="14"/>
      <c r="H64" s="14"/>
      <c r="I64" s="14"/>
      <c r="J64" s="14"/>
      <c r="K64" s="12"/>
    </row>
    <row r="65" ht="19.5" customHeight="1">
      <c r="A65" s="12"/>
      <c r="C65" s="12"/>
      <c r="D65" s="13"/>
      <c r="F65" s="14"/>
      <c r="G65" s="14"/>
      <c r="H65" s="14"/>
      <c r="I65" s="14"/>
      <c r="J65" s="14"/>
      <c r="K65" s="12"/>
    </row>
    <row r="66" ht="19.5" customHeight="1">
      <c r="A66" s="12"/>
      <c r="C66" s="12"/>
      <c r="D66" s="13"/>
      <c r="F66" s="14"/>
      <c r="G66" s="14"/>
      <c r="H66" s="14"/>
      <c r="I66" s="14"/>
      <c r="J66" s="14"/>
      <c r="K66" s="12"/>
    </row>
    <row r="67" ht="19.5" customHeight="1">
      <c r="A67" s="12"/>
      <c r="C67" s="12"/>
      <c r="D67" s="13"/>
      <c r="F67" s="14"/>
      <c r="G67" s="14"/>
      <c r="H67" s="14"/>
      <c r="I67" s="14"/>
      <c r="J67" s="14"/>
      <c r="K67" s="12"/>
    </row>
    <row r="68" ht="19.5" customHeight="1">
      <c r="A68" s="12"/>
      <c r="C68" s="12"/>
      <c r="D68" s="13"/>
      <c r="F68" s="14"/>
      <c r="G68" s="14"/>
      <c r="H68" s="14"/>
      <c r="I68" s="14"/>
      <c r="J68" s="14"/>
      <c r="K68" s="12"/>
    </row>
    <row r="69" ht="19.5" customHeight="1">
      <c r="A69" s="12"/>
      <c r="C69" s="12"/>
      <c r="D69" s="13"/>
      <c r="F69" s="14"/>
      <c r="G69" s="14"/>
      <c r="H69" s="14"/>
      <c r="I69" s="14"/>
      <c r="J69" s="14"/>
      <c r="K69" s="12"/>
    </row>
    <row r="70" ht="19.5" customHeight="1">
      <c r="A70" s="12"/>
      <c r="C70" s="12"/>
      <c r="D70" s="13"/>
      <c r="F70" s="14"/>
      <c r="G70" s="14"/>
      <c r="H70" s="14"/>
      <c r="I70" s="14"/>
      <c r="J70" s="14"/>
      <c r="K70" s="12"/>
    </row>
    <row r="71" ht="19.5" customHeight="1">
      <c r="A71" s="12"/>
      <c r="C71" s="12"/>
      <c r="D71" s="13"/>
      <c r="F71" s="14"/>
      <c r="G71" s="14"/>
      <c r="H71" s="14"/>
      <c r="I71" s="14"/>
      <c r="J71" s="14"/>
      <c r="K71" s="12"/>
    </row>
    <row r="72" ht="19.5" customHeight="1">
      <c r="A72" s="12"/>
      <c r="C72" s="12"/>
      <c r="D72" s="13"/>
      <c r="F72" s="14"/>
      <c r="G72" s="14"/>
      <c r="H72" s="14"/>
      <c r="I72" s="14"/>
      <c r="J72" s="14"/>
      <c r="K72" s="12"/>
    </row>
    <row r="73" ht="19.5" customHeight="1">
      <c r="A73" s="12"/>
      <c r="C73" s="12"/>
      <c r="D73" s="13"/>
      <c r="F73" s="14"/>
      <c r="G73" s="14"/>
      <c r="H73" s="14"/>
      <c r="I73" s="14"/>
      <c r="J73" s="14"/>
      <c r="K73" s="12"/>
    </row>
    <row r="74" ht="19.5" customHeight="1">
      <c r="A74" s="12"/>
      <c r="C74" s="12"/>
      <c r="D74" s="13"/>
      <c r="F74" s="14"/>
      <c r="G74" s="14"/>
      <c r="H74" s="14"/>
      <c r="I74" s="14"/>
      <c r="J74" s="14"/>
      <c r="K74" s="12"/>
    </row>
    <row r="75" ht="19.5" customHeight="1">
      <c r="A75" s="12"/>
      <c r="C75" s="12"/>
      <c r="D75" s="13"/>
      <c r="F75" s="14"/>
      <c r="G75" s="14"/>
      <c r="H75" s="14"/>
      <c r="I75" s="14"/>
      <c r="J75" s="14"/>
      <c r="K75" s="12"/>
    </row>
    <row r="76" ht="19.5" customHeight="1">
      <c r="A76" s="12"/>
      <c r="C76" s="12"/>
      <c r="D76" s="13"/>
      <c r="F76" s="14"/>
      <c r="G76" s="14"/>
      <c r="H76" s="14"/>
      <c r="I76" s="14"/>
      <c r="J76" s="14"/>
      <c r="K76" s="12"/>
    </row>
    <row r="77" ht="19.5" customHeight="1">
      <c r="A77" s="12"/>
      <c r="C77" s="12"/>
      <c r="D77" s="13"/>
      <c r="F77" s="14"/>
      <c r="G77" s="14"/>
      <c r="H77" s="14"/>
      <c r="I77" s="14"/>
      <c r="J77" s="14"/>
      <c r="K77" s="12"/>
    </row>
    <row r="78" ht="19.5" customHeight="1">
      <c r="A78" s="12"/>
      <c r="C78" s="12"/>
      <c r="D78" s="13"/>
      <c r="F78" s="14"/>
      <c r="G78" s="14"/>
      <c r="H78" s="14"/>
      <c r="I78" s="14"/>
      <c r="J78" s="14"/>
      <c r="K78" s="12"/>
    </row>
    <row r="79" ht="19.5" customHeight="1">
      <c r="A79" s="12"/>
      <c r="C79" s="12"/>
      <c r="D79" s="13"/>
      <c r="F79" s="14"/>
      <c r="G79" s="14"/>
      <c r="H79" s="14"/>
      <c r="I79" s="14"/>
      <c r="J79" s="14"/>
      <c r="K79" s="12"/>
    </row>
    <row r="80" ht="19.5" customHeight="1">
      <c r="A80" s="12"/>
      <c r="C80" s="12"/>
      <c r="D80" s="13"/>
      <c r="F80" s="14"/>
      <c r="G80" s="14"/>
      <c r="H80" s="14"/>
      <c r="I80" s="14"/>
      <c r="J80" s="14"/>
      <c r="K80" s="12"/>
    </row>
    <row r="81" ht="19.5" customHeight="1">
      <c r="A81" s="12"/>
      <c r="C81" s="12"/>
      <c r="D81" s="13"/>
      <c r="F81" s="14"/>
      <c r="G81" s="14"/>
      <c r="H81" s="14"/>
      <c r="I81" s="14"/>
      <c r="J81" s="14"/>
      <c r="K81" s="12"/>
    </row>
    <row r="82" ht="19.5" customHeight="1">
      <c r="A82" s="12"/>
      <c r="C82" s="12"/>
      <c r="D82" s="13"/>
      <c r="F82" s="14"/>
      <c r="G82" s="14"/>
      <c r="H82" s="14"/>
      <c r="I82" s="14"/>
      <c r="J82" s="14"/>
      <c r="K82" s="12"/>
    </row>
    <row r="83" ht="19.5" customHeight="1">
      <c r="A83" s="12"/>
      <c r="C83" s="12"/>
      <c r="D83" s="13"/>
      <c r="F83" s="14"/>
      <c r="G83" s="14"/>
      <c r="H83" s="14"/>
      <c r="I83" s="14"/>
      <c r="J83" s="14"/>
      <c r="K83" s="12"/>
    </row>
    <row r="84" ht="19.5" customHeight="1">
      <c r="A84" s="12"/>
      <c r="C84" s="12"/>
      <c r="D84" s="13"/>
      <c r="F84" s="14"/>
      <c r="G84" s="14"/>
      <c r="H84" s="14"/>
      <c r="I84" s="14"/>
      <c r="J84" s="14"/>
      <c r="K84" s="12"/>
    </row>
    <row r="85" ht="19.5" customHeight="1">
      <c r="A85" s="12"/>
      <c r="C85" s="12"/>
      <c r="D85" s="13"/>
      <c r="F85" s="14"/>
      <c r="G85" s="14"/>
      <c r="H85" s="14"/>
      <c r="I85" s="14"/>
      <c r="J85" s="14"/>
      <c r="K85" s="12"/>
    </row>
    <row r="86" ht="19.5" customHeight="1">
      <c r="A86" s="12"/>
      <c r="C86" s="12"/>
      <c r="D86" s="13"/>
      <c r="F86" s="14"/>
      <c r="G86" s="14"/>
      <c r="H86" s="14"/>
      <c r="I86" s="14"/>
      <c r="J86" s="14"/>
      <c r="K86" s="12"/>
    </row>
    <row r="87" ht="19.5" customHeight="1">
      <c r="A87" s="12"/>
      <c r="C87" s="12"/>
      <c r="D87" s="13"/>
      <c r="F87" s="14"/>
      <c r="G87" s="14"/>
      <c r="H87" s="14"/>
      <c r="I87" s="14"/>
      <c r="J87" s="14"/>
      <c r="K87" s="12"/>
    </row>
    <row r="88" ht="19.5" customHeight="1">
      <c r="A88" s="12"/>
      <c r="C88" s="12"/>
      <c r="D88" s="13"/>
      <c r="F88" s="14"/>
      <c r="G88" s="14"/>
      <c r="H88" s="14"/>
      <c r="I88" s="14"/>
      <c r="J88" s="14"/>
      <c r="K88" s="12"/>
    </row>
    <row r="89" ht="19.5" customHeight="1">
      <c r="A89" s="12"/>
      <c r="C89" s="12"/>
      <c r="D89" s="13"/>
      <c r="F89" s="14"/>
      <c r="G89" s="14"/>
      <c r="H89" s="14"/>
      <c r="I89" s="14"/>
      <c r="J89" s="14"/>
      <c r="K89" s="12"/>
    </row>
    <row r="90" ht="19.5" customHeight="1">
      <c r="A90" s="12"/>
      <c r="C90" s="12"/>
      <c r="D90" s="13"/>
      <c r="F90" s="14"/>
      <c r="G90" s="14"/>
      <c r="H90" s="14"/>
      <c r="I90" s="14"/>
      <c r="J90" s="14"/>
      <c r="K90" s="12"/>
    </row>
    <row r="91" ht="19.5" customHeight="1">
      <c r="A91" s="12"/>
      <c r="C91" s="12"/>
      <c r="D91" s="13"/>
      <c r="F91" s="14"/>
      <c r="G91" s="14"/>
      <c r="H91" s="14"/>
      <c r="I91" s="14"/>
      <c r="J91" s="14"/>
      <c r="K91" s="12"/>
    </row>
    <row r="92" ht="19.5" customHeight="1">
      <c r="A92" s="12"/>
      <c r="C92" s="12"/>
      <c r="D92" s="13"/>
      <c r="F92" s="14"/>
      <c r="G92" s="14"/>
      <c r="H92" s="14"/>
      <c r="I92" s="14"/>
      <c r="J92" s="14"/>
      <c r="K92" s="12"/>
    </row>
    <row r="93" ht="19.5" customHeight="1">
      <c r="A93" s="12"/>
      <c r="C93" s="12"/>
      <c r="D93" s="13"/>
      <c r="F93" s="14"/>
      <c r="G93" s="14"/>
      <c r="H93" s="14"/>
      <c r="I93" s="14"/>
      <c r="J93" s="14"/>
      <c r="K93" s="12"/>
    </row>
    <row r="94" ht="19.5" customHeight="1">
      <c r="A94" s="12"/>
      <c r="C94" s="12"/>
      <c r="D94" s="13"/>
      <c r="F94" s="14"/>
      <c r="G94" s="14"/>
      <c r="H94" s="14"/>
      <c r="I94" s="14"/>
      <c r="J94" s="14"/>
      <c r="K94" s="12"/>
    </row>
    <row r="95" ht="19.5" customHeight="1">
      <c r="A95" s="12"/>
      <c r="C95" s="12"/>
      <c r="D95" s="13"/>
      <c r="F95" s="14"/>
      <c r="G95" s="14"/>
      <c r="H95" s="14"/>
      <c r="I95" s="14"/>
      <c r="J95" s="14"/>
      <c r="K95" s="12"/>
    </row>
    <row r="96" ht="19.5" customHeight="1">
      <c r="A96" s="12"/>
      <c r="C96" s="12"/>
      <c r="D96" s="13"/>
      <c r="F96" s="14"/>
      <c r="G96" s="14"/>
      <c r="H96" s="14"/>
      <c r="I96" s="14"/>
      <c r="J96" s="14"/>
      <c r="K96" s="12"/>
    </row>
    <row r="97" ht="19.5" customHeight="1">
      <c r="A97" s="12"/>
      <c r="C97" s="12"/>
      <c r="D97" s="13"/>
      <c r="F97" s="14"/>
      <c r="G97" s="14"/>
      <c r="H97" s="14"/>
      <c r="I97" s="14"/>
      <c r="J97" s="14"/>
      <c r="K97" s="12"/>
    </row>
    <row r="98" ht="19.5" customHeight="1">
      <c r="A98" s="12"/>
      <c r="C98" s="12"/>
      <c r="D98" s="13"/>
      <c r="F98" s="14"/>
      <c r="G98" s="14"/>
      <c r="H98" s="14"/>
      <c r="I98" s="14"/>
      <c r="J98" s="14"/>
      <c r="K98" s="12"/>
    </row>
    <row r="99" ht="19.5" customHeight="1">
      <c r="A99" s="12"/>
      <c r="C99" s="12"/>
      <c r="D99" s="13"/>
      <c r="F99" s="14"/>
      <c r="G99" s="14"/>
      <c r="H99" s="14"/>
      <c r="I99" s="14"/>
      <c r="J99" s="14"/>
      <c r="K99" s="12"/>
    </row>
    <row r="100" ht="19.5" customHeight="1">
      <c r="A100" s="12"/>
      <c r="C100" s="12"/>
      <c r="D100" s="13"/>
      <c r="F100" s="14"/>
      <c r="G100" s="14"/>
      <c r="H100" s="14"/>
      <c r="I100" s="14"/>
      <c r="J100" s="14"/>
      <c r="K100" s="12"/>
    </row>
    <row r="101" ht="19.5" customHeight="1">
      <c r="A101" s="12"/>
      <c r="C101" s="12"/>
      <c r="D101" s="13"/>
      <c r="F101" s="14"/>
      <c r="G101" s="14"/>
      <c r="H101" s="14"/>
      <c r="I101" s="14"/>
      <c r="J101" s="14"/>
      <c r="K101" s="12"/>
    </row>
    <row r="102" ht="19.5" customHeight="1">
      <c r="A102" s="12"/>
      <c r="C102" s="12"/>
      <c r="D102" s="13"/>
      <c r="F102" s="14"/>
      <c r="G102" s="14"/>
      <c r="H102" s="14"/>
      <c r="I102" s="14"/>
      <c r="J102" s="14"/>
      <c r="K102" s="12"/>
    </row>
    <row r="103" ht="19.5" customHeight="1">
      <c r="A103" s="12"/>
      <c r="C103" s="12"/>
      <c r="D103" s="13"/>
      <c r="F103" s="14"/>
      <c r="G103" s="14"/>
      <c r="H103" s="14"/>
      <c r="I103" s="14"/>
      <c r="J103" s="14"/>
      <c r="K103" s="12"/>
    </row>
    <row r="104" ht="19.5" customHeight="1">
      <c r="A104" s="12"/>
      <c r="C104" s="12"/>
      <c r="D104" s="13"/>
      <c r="F104" s="14"/>
      <c r="G104" s="14"/>
      <c r="H104" s="14"/>
      <c r="I104" s="14"/>
      <c r="J104" s="14"/>
      <c r="K104" s="12"/>
    </row>
    <row r="105" ht="19.5" customHeight="1">
      <c r="A105" s="12"/>
      <c r="C105" s="12"/>
      <c r="D105" s="13"/>
      <c r="F105" s="14"/>
      <c r="G105" s="14"/>
      <c r="H105" s="14"/>
      <c r="I105" s="14"/>
      <c r="J105" s="14"/>
      <c r="K105" s="12"/>
    </row>
    <row r="106" ht="19.5" customHeight="1">
      <c r="A106" s="12"/>
      <c r="C106" s="12"/>
      <c r="D106" s="13"/>
      <c r="F106" s="14"/>
      <c r="G106" s="14"/>
      <c r="H106" s="14"/>
      <c r="I106" s="14"/>
      <c r="J106" s="14"/>
      <c r="K106" s="12"/>
    </row>
    <row r="107" ht="19.5" customHeight="1">
      <c r="A107" s="12"/>
      <c r="C107" s="12"/>
      <c r="D107" s="13"/>
      <c r="F107" s="14"/>
      <c r="G107" s="14"/>
      <c r="H107" s="14"/>
      <c r="I107" s="14"/>
      <c r="J107" s="14"/>
      <c r="K107" s="12"/>
    </row>
    <row r="108" ht="19.5" customHeight="1">
      <c r="A108" s="12"/>
      <c r="C108" s="12"/>
      <c r="D108" s="13"/>
      <c r="F108" s="14"/>
      <c r="G108" s="14"/>
      <c r="H108" s="14"/>
      <c r="I108" s="14"/>
      <c r="J108" s="14"/>
      <c r="K108" s="12"/>
    </row>
    <row r="109" ht="19.5" customHeight="1">
      <c r="A109" s="12"/>
      <c r="C109" s="12"/>
      <c r="D109" s="13"/>
      <c r="F109" s="14"/>
      <c r="G109" s="14"/>
      <c r="H109" s="14"/>
      <c r="I109" s="14"/>
      <c r="J109" s="14"/>
      <c r="K109" s="12"/>
    </row>
    <row r="110" ht="19.5" customHeight="1">
      <c r="A110" s="12"/>
      <c r="C110" s="12"/>
      <c r="D110" s="13"/>
      <c r="F110" s="14"/>
      <c r="G110" s="14"/>
      <c r="H110" s="14"/>
      <c r="I110" s="14"/>
      <c r="J110" s="14"/>
      <c r="K110" s="12"/>
    </row>
    <row r="111" ht="19.5" customHeight="1">
      <c r="A111" s="12"/>
      <c r="C111" s="12"/>
      <c r="D111" s="13"/>
      <c r="F111" s="14"/>
      <c r="G111" s="14"/>
      <c r="H111" s="14"/>
      <c r="I111" s="14"/>
      <c r="J111" s="14"/>
      <c r="K111" s="12"/>
    </row>
    <row r="112" ht="19.5" customHeight="1">
      <c r="A112" s="12"/>
      <c r="C112" s="12"/>
      <c r="D112" s="13"/>
      <c r="F112" s="14"/>
      <c r="G112" s="14"/>
      <c r="H112" s="14"/>
      <c r="I112" s="14"/>
      <c r="J112" s="14"/>
      <c r="K112" s="12"/>
    </row>
    <row r="113" ht="19.5" customHeight="1">
      <c r="A113" s="12"/>
      <c r="C113" s="12"/>
      <c r="D113" s="13"/>
      <c r="F113" s="14"/>
      <c r="G113" s="14"/>
      <c r="H113" s="14"/>
      <c r="I113" s="14"/>
      <c r="J113" s="14"/>
      <c r="K113" s="12"/>
    </row>
    <row r="114" ht="19.5" customHeight="1">
      <c r="A114" s="12"/>
      <c r="C114" s="12"/>
      <c r="D114" s="13"/>
      <c r="F114" s="14"/>
      <c r="G114" s="14"/>
      <c r="H114" s="14"/>
      <c r="I114" s="14"/>
      <c r="J114" s="14"/>
      <c r="K114" s="12"/>
    </row>
    <row r="115" ht="19.5" customHeight="1">
      <c r="A115" s="12"/>
      <c r="C115" s="12"/>
      <c r="D115" s="13"/>
      <c r="F115" s="14"/>
      <c r="G115" s="14"/>
      <c r="H115" s="14"/>
      <c r="I115" s="14"/>
      <c r="J115" s="14"/>
      <c r="K115" s="12"/>
    </row>
    <row r="116" ht="19.5" customHeight="1">
      <c r="A116" s="12"/>
      <c r="C116" s="12"/>
      <c r="D116" s="13"/>
      <c r="F116" s="14"/>
      <c r="G116" s="14"/>
      <c r="H116" s="14"/>
      <c r="I116" s="14"/>
      <c r="J116" s="14"/>
      <c r="K116" s="12"/>
    </row>
    <row r="117" ht="19.5" customHeight="1">
      <c r="A117" s="12"/>
      <c r="C117" s="12"/>
      <c r="D117" s="13"/>
      <c r="F117" s="14"/>
      <c r="G117" s="14"/>
      <c r="H117" s="14"/>
      <c r="I117" s="14"/>
      <c r="J117" s="14"/>
      <c r="K117" s="12"/>
    </row>
    <row r="118" ht="19.5" customHeight="1">
      <c r="A118" s="12"/>
      <c r="C118" s="12"/>
      <c r="D118" s="13"/>
      <c r="F118" s="14"/>
      <c r="G118" s="14"/>
      <c r="H118" s="14"/>
      <c r="I118" s="14"/>
      <c r="J118" s="14"/>
      <c r="K118" s="12"/>
    </row>
    <row r="119" ht="19.5" customHeight="1">
      <c r="A119" s="12"/>
      <c r="C119" s="12"/>
      <c r="D119" s="13"/>
      <c r="F119" s="14"/>
      <c r="G119" s="14"/>
      <c r="H119" s="14"/>
      <c r="I119" s="14"/>
      <c r="J119" s="14"/>
      <c r="K119" s="12"/>
    </row>
    <row r="120" ht="19.5" customHeight="1">
      <c r="A120" s="12"/>
      <c r="C120" s="12"/>
      <c r="D120" s="13"/>
      <c r="F120" s="14"/>
      <c r="G120" s="14"/>
      <c r="H120" s="14"/>
      <c r="I120" s="14"/>
      <c r="J120" s="14"/>
      <c r="K120" s="12"/>
    </row>
    <row r="121" ht="19.5" customHeight="1">
      <c r="A121" s="12"/>
      <c r="C121" s="12"/>
      <c r="D121" s="13"/>
      <c r="F121" s="14"/>
      <c r="G121" s="14"/>
      <c r="H121" s="14"/>
      <c r="I121" s="14"/>
      <c r="J121" s="14"/>
      <c r="K121" s="12"/>
    </row>
    <row r="122" ht="19.5" customHeight="1">
      <c r="A122" s="12"/>
      <c r="C122" s="12"/>
      <c r="D122" s="13"/>
      <c r="F122" s="14"/>
      <c r="G122" s="14"/>
      <c r="H122" s="14"/>
      <c r="I122" s="14"/>
      <c r="J122" s="14"/>
      <c r="K122" s="12"/>
    </row>
    <row r="123" ht="19.5" customHeight="1">
      <c r="A123" s="12"/>
      <c r="C123" s="12"/>
      <c r="D123" s="13"/>
      <c r="F123" s="14"/>
      <c r="G123" s="14"/>
      <c r="H123" s="14"/>
      <c r="I123" s="14"/>
      <c r="J123" s="14"/>
      <c r="K123" s="12"/>
    </row>
    <row r="124" ht="19.5" customHeight="1">
      <c r="A124" s="12"/>
      <c r="C124" s="12"/>
      <c r="D124" s="13"/>
      <c r="F124" s="14"/>
      <c r="G124" s="14"/>
      <c r="H124" s="14"/>
      <c r="I124" s="14"/>
      <c r="J124" s="14"/>
      <c r="K124" s="12"/>
    </row>
    <row r="125" ht="19.5" customHeight="1">
      <c r="A125" s="12"/>
      <c r="C125" s="12"/>
      <c r="D125" s="13"/>
      <c r="F125" s="14"/>
      <c r="G125" s="14"/>
      <c r="H125" s="14"/>
      <c r="I125" s="14"/>
      <c r="J125" s="14"/>
      <c r="K125" s="12"/>
    </row>
    <row r="126" ht="19.5" customHeight="1">
      <c r="A126" s="12"/>
      <c r="C126" s="12"/>
      <c r="D126" s="13"/>
      <c r="F126" s="14"/>
      <c r="G126" s="14"/>
      <c r="H126" s="14"/>
      <c r="I126" s="14"/>
      <c r="J126" s="14"/>
      <c r="K126" s="12"/>
    </row>
    <row r="127" ht="19.5" customHeight="1">
      <c r="A127" s="12"/>
      <c r="C127" s="12"/>
      <c r="D127" s="13"/>
      <c r="F127" s="14"/>
      <c r="G127" s="14"/>
      <c r="H127" s="14"/>
      <c r="I127" s="14"/>
      <c r="J127" s="14"/>
      <c r="K127" s="12"/>
    </row>
    <row r="128" ht="19.5" customHeight="1">
      <c r="A128" s="12"/>
      <c r="C128" s="12"/>
      <c r="D128" s="13"/>
      <c r="F128" s="14"/>
      <c r="G128" s="14"/>
      <c r="H128" s="14"/>
      <c r="I128" s="14"/>
      <c r="J128" s="14"/>
      <c r="K128" s="12"/>
    </row>
    <row r="129" ht="19.5" customHeight="1">
      <c r="A129" s="12"/>
      <c r="C129" s="12"/>
      <c r="D129" s="13"/>
      <c r="F129" s="14"/>
      <c r="G129" s="14"/>
      <c r="H129" s="14"/>
      <c r="I129" s="14"/>
      <c r="J129" s="14"/>
      <c r="K129" s="12"/>
    </row>
    <row r="130" ht="19.5" customHeight="1">
      <c r="A130" s="12"/>
      <c r="C130" s="12"/>
      <c r="D130" s="13"/>
      <c r="F130" s="14"/>
      <c r="G130" s="14"/>
      <c r="H130" s="14"/>
      <c r="I130" s="14"/>
      <c r="J130" s="14"/>
      <c r="K130" s="12"/>
    </row>
    <row r="131" ht="19.5" customHeight="1">
      <c r="A131" s="12"/>
      <c r="C131" s="12"/>
      <c r="D131" s="13"/>
      <c r="F131" s="14"/>
      <c r="G131" s="14"/>
      <c r="H131" s="14"/>
      <c r="I131" s="14"/>
      <c r="J131" s="14"/>
      <c r="K131" s="12"/>
    </row>
    <row r="132" ht="19.5" customHeight="1">
      <c r="A132" s="12"/>
      <c r="C132" s="12"/>
      <c r="D132" s="13"/>
      <c r="F132" s="14"/>
      <c r="G132" s="14"/>
      <c r="H132" s="14"/>
      <c r="I132" s="14"/>
      <c r="J132" s="14"/>
      <c r="K132" s="12"/>
    </row>
    <row r="133" ht="19.5" customHeight="1">
      <c r="A133" s="12"/>
      <c r="C133" s="12"/>
      <c r="D133" s="13"/>
      <c r="F133" s="14"/>
      <c r="G133" s="14"/>
      <c r="H133" s="14"/>
      <c r="I133" s="14"/>
      <c r="J133" s="14"/>
      <c r="K133" s="12"/>
    </row>
    <row r="134" ht="19.5" customHeight="1">
      <c r="A134" s="12"/>
      <c r="C134" s="12"/>
      <c r="D134" s="13"/>
      <c r="F134" s="14"/>
      <c r="G134" s="14"/>
      <c r="H134" s="14"/>
      <c r="I134" s="14"/>
      <c r="J134" s="14"/>
      <c r="K134" s="12"/>
    </row>
    <row r="135" ht="19.5" customHeight="1">
      <c r="A135" s="12"/>
      <c r="C135" s="12"/>
      <c r="D135" s="13"/>
      <c r="F135" s="14"/>
      <c r="G135" s="14"/>
      <c r="H135" s="14"/>
      <c r="I135" s="14"/>
      <c r="J135" s="14"/>
      <c r="K135" s="12"/>
    </row>
    <row r="136" ht="19.5" customHeight="1">
      <c r="A136" s="12"/>
      <c r="C136" s="12"/>
      <c r="D136" s="13"/>
      <c r="F136" s="14"/>
      <c r="G136" s="14"/>
      <c r="H136" s="14"/>
      <c r="I136" s="14"/>
      <c r="J136" s="14"/>
      <c r="K136" s="12"/>
    </row>
    <row r="137" ht="19.5" customHeight="1">
      <c r="A137" s="12"/>
      <c r="C137" s="12"/>
      <c r="D137" s="13"/>
      <c r="F137" s="14"/>
      <c r="G137" s="14"/>
      <c r="H137" s="14"/>
      <c r="I137" s="14"/>
      <c r="J137" s="14"/>
      <c r="K137" s="12"/>
    </row>
    <row r="138" ht="19.5" customHeight="1">
      <c r="A138" s="12"/>
      <c r="C138" s="12"/>
      <c r="D138" s="13"/>
      <c r="F138" s="14"/>
      <c r="G138" s="14"/>
      <c r="H138" s="14"/>
      <c r="I138" s="14"/>
      <c r="J138" s="14"/>
      <c r="K138" s="12"/>
    </row>
    <row r="139" ht="19.5" customHeight="1">
      <c r="A139" s="12"/>
      <c r="C139" s="12"/>
      <c r="D139" s="13"/>
      <c r="F139" s="14"/>
      <c r="G139" s="14"/>
      <c r="H139" s="14"/>
      <c r="I139" s="14"/>
      <c r="J139" s="14"/>
      <c r="K139" s="12"/>
    </row>
    <row r="140" ht="19.5" customHeight="1">
      <c r="A140" s="12"/>
      <c r="C140" s="12"/>
      <c r="D140" s="13"/>
      <c r="F140" s="14"/>
      <c r="G140" s="14"/>
      <c r="H140" s="14"/>
      <c r="I140" s="14"/>
      <c r="J140" s="14"/>
      <c r="K140" s="12"/>
    </row>
    <row r="141" ht="19.5" customHeight="1">
      <c r="A141" s="12"/>
      <c r="C141" s="12"/>
      <c r="D141" s="13"/>
      <c r="F141" s="14"/>
      <c r="G141" s="14"/>
      <c r="H141" s="14"/>
      <c r="I141" s="14"/>
      <c r="J141" s="14"/>
      <c r="K141" s="12"/>
    </row>
    <row r="142" ht="19.5" customHeight="1">
      <c r="A142" s="12"/>
      <c r="C142" s="12"/>
      <c r="D142" s="13"/>
      <c r="F142" s="14"/>
      <c r="G142" s="14"/>
      <c r="H142" s="14"/>
      <c r="I142" s="14"/>
      <c r="J142" s="14"/>
      <c r="K142" s="12"/>
    </row>
    <row r="143" ht="19.5" customHeight="1">
      <c r="A143" s="12"/>
      <c r="C143" s="12"/>
      <c r="D143" s="13"/>
      <c r="F143" s="14"/>
      <c r="G143" s="14"/>
      <c r="H143" s="14"/>
      <c r="I143" s="14"/>
      <c r="J143" s="14"/>
      <c r="K143" s="12"/>
    </row>
    <row r="144" ht="19.5" customHeight="1">
      <c r="A144" s="12"/>
      <c r="C144" s="12"/>
      <c r="D144" s="13"/>
      <c r="F144" s="14"/>
      <c r="G144" s="14"/>
      <c r="H144" s="14"/>
      <c r="I144" s="14"/>
      <c r="J144" s="14"/>
      <c r="K144" s="12"/>
    </row>
    <row r="145" ht="19.5" customHeight="1">
      <c r="A145" s="12"/>
      <c r="C145" s="12"/>
      <c r="D145" s="13"/>
      <c r="F145" s="14"/>
      <c r="G145" s="14"/>
      <c r="H145" s="14"/>
      <c r="I145" s="14"/>
      <c r="J145" s="14"/>
      <c r="K145" s="12"/>
    </row>
    <row r="146" ht="19.5" customHeight="1">
      <c r="A146" s="12"/>
      <c r="C146" s="12"/>
      <c r="D146" s="13"/>
      <c r="F146" s="14"/>
      <c r="G146" s="14"/>
      <c r="H146" s="14"/>
      <c r="I146" s="14"/>
      <c r="J146" s="14"/>
      <c r="K146" s="12"/>
    </row>
    <row r="147" ht="19.5" customHeight="1">
      <c r="A147" s="12"/>
      <c r="C147" s="12"/>
      <c r="D147" s="13"/>
      <c r="F147" s="14"/>
      <c r="G147" s="14"/>
      <c r="H147" s="14"/>
      <c r="I147" s="14"/>
      <c r="J147" s="14"/>
      <c r="K147" s="12"/>
    </row>
    <row r="148" ht="19.5" customHeight="1">
      <c r="A148" s="12"/>
      <c r="C148" s="12"/>
      <c r="D148" s="13"/>
      <c r="F148" s="14"/>
      <c r="G148" s="14"/>
      <c r="H148" s="14"/>
      <c r="I148" s="14"/>
      <c r="J148" s="14"/>
      <c r="K148" s="12"/>
    </row>
    <row r="149" ht="19.5" customHeight="1">
      <c r="A149" s="12"/>
      <c r="C149" s="12"/>
      <c r="D149" s="13"/>
      <c r="F149" s="14"/>
      <c r="G149" s="14"/>
      <c r="H149" s="14"/>
      <c r="I149" s="14"/>
      <c r="J149" s="14"/>
      <c r="K149" s="12"/>
    </row>
    <row r="150" ht="19.5" customHeight="1">
      <c r="A150" s="12"/>
      <c r="C150" s="12"/>
      <c r="D150" s="13"/>
      <c r="F150" s="14"/>
      <c r="G150" s="14"/>
      <c r="H150" s="14"/>
      <c r="I150" s="14"/>
      <c r="J150" s="14"/>
      <c r="K150" s="12"/>
    </row>
    <row r="151" ht="19.5" customHeight="1">
      <c r="A151" s="12"/>
      <c r="C151" s="12"/>
      <c r="D151" s="13"/>
      <c r="F151" s="14"/>
      <c r="G151" s="14"/>
      <c r="H151" s="14"/>
      <c r="I151" s="14"/>
      <c r="J151" s="14"/>
      <c r="K151" s="12"/>
    </row>
    <row r="152" ht="19.5" customHeight="1">
      <c r="A152" s="12"/>
      <c r="C152" s="12"/>
      <c r="D152" s="13"/>
      <c r="F152" s="14"/>
      <c r="G152" s="14"/>
      <c r="H152" s="14"/>
      <c r="I152" s="14"/>
      <c r="J152" s="14"/>
      <c r="K152" s="12"/>
    </row>
    <row r="153" ht="19.5" customHeight="1">
      <c r="A153" s="12"/>
      <c r="C153" s="12"/>
      <c r="D153" s="13"/>
      <c r="F153" s="14"/>
      <c r="G153" s="14"/>
      <c r="H153" s="14"/>
      <c r="I153" s="14"/>
      <c r="J153" s="14"/>
      <c r="K153" s="12"/>
    </row>
    <row r="154" ht="19.5" customHeight="1">
      <c r="A154" s="12"/>
      <c r="C154" s="12"/>
      <c r="D154" s="13"/>
      <c r="F154" s="14"/>
      <c r="G154" s="14"/>
      <c r="H154" s="14"/>
      <c r="I154" s="14"/>
      <c r="J154" s="14"/>
      <c r="K154" s="12"/>
    </row>
    <row r="155" ht="19.5" customHeight="1">
      <c r="A155" s="12"/>
      <c r="C155" s="12"/>
      <c r="D155" s="13"/>
      <c r="F155" s="14"/>
      <c r="G155" s="14"/>
      <c r="H155" s="14"/>
      <c r="I155" s="14"/>
      <c r="J155" s="14"/>
      <c r="K155" s="12"/>
    </row>
    <row r="156" ht="19.5" customHeight="1">
      <c r="A156" s="12"/>
      <c r="C156" s="12"/>
      <c r="D156" s="13"/>
      <c r="F156" s="14"/>
      <c r="G156" s="14"/>
      <c r="H156" s="14"/>
      <c r="I156" s="14"/>
      <c r="J156" s="14"/>
      <c r="K156" s="12"/>
    </row>
    <row r="157" ht="19.5" customHeight="1">
      <c r="A157" s="12"/>
      <c r="C157" s="12"/>
      <c r="D157" s="13"/>
      <c r="F157" s="14"/>
      <c r="G157" s="14"/>
      <c r="H157" s="14"/>
      <c r="I157" s="14"/>
      <c r="J157" s="14"/>
      <c r="K157" s="12"/>
    </row>
    <row r="158" ht="19.5" customHeight="1">
      <c r="A158" s="12"/>
      <c r="C158" s="12"/>
      <c r="D158" s="13"/>
      <c r="F158" s="14"/>
      <c r="G158" s="14"/>
      <c r="H158" s="14"/>
      <c r="I158" s="14"/>
      <c r="J158" s="14"/>
      <c r="K158" s="12"/>
    </row>
    <row r="159" ht="19.5" customHeight="1">
      <c r="A159" s="12"/>
      <c r="C159" s="12"/>
      <c r="D159" s="13"/>
      <c r="F159" s="14"/>
      <c r="G159" s="14"/>
      <c r="H159" s="14"/>
      <c r="I159" s="14"/>
      <c r="J159" s="14"/>
      <c r="K159" s="12"/>
    </row>
    <row r="160" ht="19.5" customHeight="1">
      <c r="A160" s="12"/>
      <c r="C160" s="12"/>
      <c r="D160" s="13"/>
      <c r="F160" s="14"/>
      <c r="G160" s="14"/>
      <c r="H160" s="14"/>
      <c r="I160" s="14"/>
      <c r="J160" s="14"/>
      <c r="K160" s="12"/>
    </row>
    <row r="161" ht="19.5" customHeight="1">
      <c r="A161" s="12"/>
      <c r="C161" s="12"/>
      <c r="D161" s="13"/>
      <c r="F161" s="14"/>
      <c r="G161" s="14"/>
      <c r="H161" s="14"/>
      <c r="I161" s="14"/>
      <c r="J161" s="14"/>
      <c r="K161" s="12"/>
    </row>
    <row r="162" ht="19.5" customHeight="1">
      <c r="A162" s="12"/>
      <c r="C162" s="12"/>
      <c r="D162" s="13"/>
      <c r="F162" s="14"/>
      <c r="G162" s="14"/>
      <c r="H162" s="14"/>
      <c r="I162" s="14"/>
      <c r="J162" s="14"/>
      <c r="K162" s="12"/>
    </row>
    <row r="163" ht="19.5" customHeight="1">
      <c r="A163" s="12"/>
      <c r="C163" s="12"/>
      <c r="D163" s="13"/>
      <c r="F163" s="14"/>
      <c r="G163" s="14"/>
      <c r="H163" s="14"/>
      <c r="I163" s="14"/>
      <c r="J163" s="14"/>
      <c r="K163" s="12"/>
    </row>
    <row r="164" ht="19.5" customHeight="1">
      <c r="A164" s="12"/>
      <c r="C164" s="12"/>
      <c r="D164" s="13"/>
      <c r="F164" s="14"/>
      <c r="G164" s="14"/>
      <c r="H164" s="14"/>
      <c r="I164" s="14"/>
      <c r="J164" s="14"/>
      <c r="K164" s="12"/>
    </row>
    <row r="165" ht="19.5" customHeight="1">
      <c r="A165" s="12"/>
      <c r="C165" s="12"/>
      <c r="D165" s="13"/>
      <c r="F165" s="14"/>
      <c r="G165" s="14"/>
      <c r="H165" s="14"/>
      <c r="I165" s="14"/>
      <c r="J165" s="14"/>
      <c r="K165" s="12"/>
    </row>
    <row r="166" ht="19.5" customHeight="1">
      <c r="A166" s="12"/>
      <c r="C166" s="12"/>
      <c r="D166" s="13"/>
      <c r="F166" s="14"/>
      <c r="G166" s="14"/>
      <c r="H166" s="14"/>
      <c r="I166" s="14"/>
      <c r="J166" s="14"/>
      <c r="K166" s="12"/>
    </row>
    <row r="167" ht="19.5" customHeight="1">
      <c r="A167" s="12"/>
      <c r="C167" s="12"/>
      <c r="D167" s="13"/>
      <c r="F167" s="14"/>
      <c r="G167" s="14"/>
      <c r="H167" s="14"/>
      <c r="I167" s="14"/>
      <c r="J167" s="14"/>
      <c r="K167" s="12"/>
    </row>
    <row r="168" ht="19.5" customHeight="1">
      <c r="A168" s="12"/>
      <c r="C168" s="12"/>
      <c r="D168" s="13"/>
      <c r="F168" s="14"/>
      <c r="G168" s="14"/>
      <c r="H168" s="14"/>
      <c r="I168" s="14"/>
      <c r="J168" s="14"/>
      <c r="K168" s="12"/>
    </row>
    <row r="169" ht="19.5" customHeight="1">
      <c r="A169" s="12"/>
      <c r="C169" s="12"/>
      <c r="D169" s="13"/>
      <c r="F169" s="14"/>
      <c r="G169" s="14"/>
      <c r="H169" s="14"/>
      <c r="I169" s="14"/>
      <c r="J169" s="14"/>
      <c r="K169" s="12"/>
    </row>
    <row r="170" ht="19.5" customHeight="1">
      <c r="A170" s="12"/>
      <c r="C170" s="12"/>
      <c r="D170" s="13"/>
      <c r="F170" s="14"/>
      <c r="G170" s="14"/>
      <c r="H170" s="14"/>
      <c r="I170" s="14"/>
      <c r="J170" s="14"/>
      <c r="K170" s="12"/>
    </row>
    <row r="171" ht="19.5" customHeight="1">
      <c r="A171" s="12"/>
      <c r="C171" s="12"/>
      <c r="D171" s="13"/>
      <c r="F171" s="14"/>
      <c r="G171" s="14"/>
      <c r="H171" s="14"/>
      <c r="I171" s="14"/>
      <c r="J171" s="14"/>
      <c r="K171" s="12"/>
    </row>
    <row r="172" ht="19.5" customHeight="1">
      <c r="A172" s="12"/>
      <c r="C172" s="12"/>
      <c r="D172" s="13"/>
      <c r="F172" s="14"/>
      <c r="G172" s="14"/>
      <c r="H172" s="14"/>
      <c r="I172" s="14"/>
      <c r="J172" s="14"/>
      <c r="K172" s="12"/>
    </row>
    <row r="173" ht="19.5" customHeight="1">
      <c r="A173" s="12"/>
      <c r="C173" s="12"/>
      <c r="D173" s="13"/>
      <c r="F173" s="14"/>
      <c r="G173" s="14"/>
      <c r="H173" s="14"/>
      <c r="I173" s="14"/>
      <c r="J173" s="14"/>
      <c r="K173" s="12"/>
    </row>
    <row r="174" ht="19.5" customHeight="1">
      <c r="A174" s="12"/>
      <c r="C174" s="12"/>
      <c r="D174" s="13"/>
      <c r="F174" s="14"/>
      <c r="G174" s="14"/>
      <c r="H174" s="14"/>
      <c r="I174" s="14"/>
      <c r="J174" s="14"/>
      <c r="K174" s="12"/>
    </row>
    <row r="175" ht="19.5" customHeight="1">
      <c r="A175" s="12"/>
      <c r="C175" s="12"/>
      <c r="D175" s="13"/>
      <c r="F175" s="14"/>
      <c r="G175" s="14"/>
      <c r="H175" s="14"/>
      <c r="I175" s="14"/>
      <c r="J175" s="14"/>
      <c r="K175" s="12"/>
    </row>
    <row r="176" ht="19.5" customHeight="1">
      <c r="A176" s="12"/>
      <c r="C176" s="12"/>
      <c r="D176" s="13"/>
      <c r="F176" s="14"/>
      <c r="G176" s="14"/>
      <c r="H176" s="14"/>
      <c r="I176" s="14"/>
      <c r="J176" s="14"/>
      <c r="K176" s="12"/>
    </row>
    <row r="177" ht="19.5" customHeight="1">
      <c r="A177" s="12"/>
      <c r="C177" s="12"/>
      <c r="D177" s="13"/>
      <c r="F177" s="14"/>
      <c r="G177" s="14"/>
      <c r="H177" s="14"/>
      <c r="I177" s="14"/>
      <c r="J177" s="14"/>
      <c r="K177" s="12"/>
    </row>
    <row r="178" ht="19.5" customHeight="1">
      <c r="A178" s="12"/>
      <c r="C178" s="12"/>
      <c r="D178" s="13"/>
      <c r="F178" s="14"/>
      <c r="G178" s="14"/>
      <c r="H178" s="14"/>
      <c r="I178" s="14"/>
      <c r="J178" s="14"/>
      <c r="K178" s="12"/>
    </row>
    <row r="179" ht="19.5" customHeight="1">
      <c r="A179" s="12"/>
      <c r="C179" s="12"/>
      <c r="D179" s="13"/>
      <c r="F179" s="14"/>
      <c r="G179" s="14"/>
      <c r="H179" s="14"/>
      <c r="I179" s="14"/>
      <c r="J179" s="14"/>
      <c r="K179" s="12"/>
    </row>
    <row r="180" ht="19.5" customHeight="1">
      <c r="A180" s="12"/>
      <c r="C180" s="12"/>
      <c r="D180" s="13"/>
      <c r="F180" s="14"/>
      <c r="G180" s="14"/>
      <c r="H180" s="14"/>
      <c r="I180" s="14"/>
      <c r="J180" s="14"/>
      <c r="K180" s="12"/>
    </row>
    <row r="181" ht="19.5" customHeight="1">
      <c r="A181" s="12"/>
      <c r="C181" s="12"/>
      <c r="D181" s="13"/>
      <c r="F181" s="14"/>
      <c r="G181" s="14"/>
      <c r="H181" s="14"/>
      <c r="I181" s="14"/>
      <c r="J181" s="14"/>
      <c r="K181" s="12"/>
    </row>
    <row r="182" ht="19.5" customHeight="1">
      <c r="A182" s="12"/>
      <c r="C182" s="12"/>
      <c r="D182" s="13"/>
      <c r="F182" s="14"/>
      <c r="G182" s="14"/>
      <c r="H182" s="14"/>
      <c r="I182" s="14"/>
      <c r="J182" s="14"/>
      <c r="K182" s="12"/>
    </row>
    <row r="183" ht="19.5" customHeight="1">
      <c r="A183" s="12"/>
      <c r="C183" s="12"/>
      <c r="D183" s="13"/>
      <c r="F183" s="14"/>
      <c r="G183" s="14"/>
      <c r="H183" s="14"/>
      <c r="I183" s="14"/>
      <c r="J183" s="14"/>
      <c r="K183" s="12"/>
    </row>
    <row r="184" ht="19.5" customHeight="1">
      <c r="A184" s="12"/>
      <c r="C184" s="12"/>
      <c r="D184" s="13"/>
      <c r="F184" s="14"/>
      <c r="G184" s="14"/>
      <c r="H184" s="14"/>
      <c r="I184" s="14"/>
      <c r="J184" s="14"/>
      <c r="K184" s="12"/>
    </row>
    <row r="185" ht="19.5" customHeight="1">
      <c r="A185" s="12"/>
      <c r="C185" s="12"/>
      <c r="D185" s="13"/>
      <c r="F185" s="14"/>
      <c r="G185" s="14"/>
      <c r="H185" s="14"/>
      <c r="I185" s="14"/>
      <c r="J185" s="14"/>
      <c r="K185" s="12"/>
    </row>
    <row r="186" ht="19.5" customHeight="1">
      <c r="A186" s="12"/>
      <c r="C186" s="12"/>
      <c r="D186" s="13"/>
      <c r="F186" s="14"/>
      <c r="G186" s="14"/>
      <c r="H186" s="14"/>
      <c r="I186" s="14"/>
      <c r="J186" s="14"/>
      <c r="K186" s="12"/>
    </row>
    <row r="187" ht="19.5" customHeight="1">
      <c r="A187" s="12"/>
      <c r="C187" s="12"/>
      <c r="D187" s="13"/>
      <c r="F187" s="14"/>
      <c r="G187" s="14"/>
      <c r="H187" s="14"/>
      <c r="I187" s="14"/>
      <c r="J187" s="14"/>
      <c r="K187" s="12"/>
    </row>
    <row r="188" ht="19.5" customHeight="1">
      <c r="A188" s="12"/>
      <c r="C188" s="12"/>
      <c r="D188" s="13"/>
      <c r="F188" s="14"/>
      <c r="G188" s="14"/>
      <c r="H188" s="14"/>
      <c r="I188" s="14"/>
      <c r="J188" s="14"/>
      <c r="K188" s="12"/>
    </row>
    <row r="189" ht="19.5" customHeight="1">
      <c r="A189" s="12"/>
      <c r="C189" s="12"/>
      <c r="D189" s="13"/>
      <c r="F189" s="14"/>
      <c r="G189" s="14"/>
      <c r="H189" s="14"/>
      <c r="I189" s="14"/>
      <c r="J189" s="14"/>
      <c r="K189" s="12"/>
    </row>
    <row r="190" ht="19.5" customHeight="1">
      <c r="A190" s="12"/>
      <c r="C190" s="12"/>
      <c r="D190" s="13"/>
      <c r="F190" s="14"/>
      <c r="G190" s="14"/>
      <c r="H190" s="14"/>
      <c r="I190" s="14"/>
      <c r="J190" s="14"/>
      <c r="K190" s="12"/>
    </row>
    <row r="191" ht="19.5" customHeight="1">
      <c r="A191" s="12"/>
      <c r="C191" s="12"/>
      <c r="D191" s="13"/>
      <c r="F191" s="14"/>
      <c r="G191" s="14"/>
      <c r="H191" s="14"/>
      <c r="I191" s="14"/>
      <c r="J191" s="14"/>
      <c r="K191" s="12"/>
    </row>
    <row r="192" ht="19.5" customHeight="1">
      <c r="A192" s="12"/>
      <c r="C192" s="12"/>
      <c r="D192" s="13"/>
      <c r="F192" s="14"/>
      <c r="G192" s="14"/>
      <c r="H192" s="14"/>
      <c r="I192" s="14"/>
      <c r="J192" s="14"/>
      <c r="K192" s="12"/>
    </row>
    <row r="193" ht="19.5" customHeight="1">
      <c r="A193" s="12"/>
      <c r="C193" s="12"/>
      <c r="D193" s="13"/>
      <c r="F193" s="14"/>
      <c r="G193" s="14"/>
      <c r="H193" s="14"/>
      <c r="I193" s="14"/>
      <c r="J193" s="14"/>
      <c r="K193" s="12"/>
    </row>
    <row r="194" ht="19.5" customHeight="1">
      <c r="A194" s="12"/>
      <c r="C194" s="12"/>
      <c r="D194" s="13"/>
      <c r="F194" s="14"/>
      <c r="G194" s="14"/>
      <c r="H194" s="14"/>
      <c r="I194" s="14"/>
      <c r="J194" s="14"/>
      <c r="K194" s="12"/>
    </row>
    <row r="195" ht="19.5" customHeight="1">
      <c r="A195" s="12"/>
      <c r="C195" s="12"/>
      <c r="D195" s="13"/>
      <c r="F195" s="14"/>
      <c r="G195" s="14"/>
      <c r="H195" s="14"/>
      <c r="I195" s="14"/>
      <c r="J195" s="14"/>
      <c r="K195" s="12"/>
    </row>
    <row r="196" ht="19.5" customHeight="1">
      <c r="A196" s="12"/>
      <c r="C196" s="12"/>
      <c r="D196" s="13"/>
      <c r="F196" s="14"/>
      <c r="G196" s="14"/>
      <c r="H196" s="14"/>
      <c r="I196" s="14"/>
      <c r="J196" s="14"/>
      <c r="K196" s="12"/>
    </row>
    <row r="197" ht="19.5" customHeight="1">
      <c r="A197" s="12"/>
      <c r="C197" s="12"/>
      <c r="D197" s="13"/>
      <c r="F197" s="14"/>
      <c r="G197" s="14"/>
      <c r="H197" s="14"/>
      <c r="I197" s="14"/>
      <c r="J197" s="14"/>
      <c r="K197" s="12"/>
    </row>
    <row r="198" ht="19.5" customHeight="1">
      <c r="A198" s="12"/>
      <c r="C198" s="12"/>
      <c r="D198" s="13"/>
      <c r="F198" s="14"/>
      <c r="G198" s="14"/>
      <c r="H198" s="14"/>
      <c r="I198" s="14"/>
      <c r="J198" s="14"/>
      <c r="K198" s="12"/>
    </row>
    <row r="199" ht="19.5" customHeight="1">
      <c r="A199" s="12"/>
      <c r="C199" s="12"/>
      <c r="D199" s="13"/>
      <c r="F199" s="14"/>
      <c r="G199" s="14"/>
      <c r="H199" s="14"/>
      <c r="I199" s="14"/>
      <c r="J199" s="14"/>
      <c r="K199" s="12"/>
    </row>
    <row r="200" ht="19.5" customHeight="1">
      <c r="A200" s="12"/>
      <c r="C200" s="12"/>
      <c r="D200" s="13"/>
      <c r="F200" s="14"/>
      <c r="G200" s="14"/>
      <c r="H200" s="14"/>
      <c r="I200" s="14"/>
      <c r="J200" s="14"/>
      <c r="K200" s="12"/>
    </row>
    <row r="201" ht="19.5" customHeight="1">
      <c r="A201" s="12"/>
      <c r="C201" s="12"/>
      <c r="D201" s="13"/>
      <c r="F201" s="14"/>
      <c r="G201" s="14"/>
      <c r="H201" s="14"/>
      <c r="I201" s="14"/>
      <c r="J201" s="14"/>
      <c r="K201" s="12"/>
    </row>
    <row r="202" ht="19.5" customHeight="1">
      <c r="A202" s="12"/>
      <c r="C202" s="12"/>
      <c r="D202" s="13"/>
      <c r="F202" s="14"/>
      <c r="G202" s="14"/>
      <c r="H202" s="14"/>
      <c r="I202" s="14"/>
      <c r="J202" s="14"/>
      <c r="K202" s="12"/>
    </row>
    <row r="203" ht="19.5" customHeight="1">
      <c r="A203" s="12"/>
      <c r="C203" s="12"/>
      <c r="D203" s="13"/>
      <c r="F203" s="14"/>
      <c r="G203" s="14"/>
      <c r="H203" s="14"/>
      <c r="I203" s="14"/>
      <c r="J203" s="14"/>
      <c r="K203" s="12"/>
    </row>
    <row r="204" ht="19.5" customHeight="1">
      <c r="A204" s="12"/>
      <c r="C204" s="12"/>
      <c r="D204" s="13"/>
      <c r="F204" s="14"/>
      <c r="G204" s="14"/>
      <c r="H204" s="14"/>
      <c r="I204" s="14"/>
      <c r="J204" s="14"/>
      <c r="K204" s="12"/>
    </row>
    <row r="205" ht="19.5" customHeight="1">
      <c r="A205" s="12"/>
      <c r="C205" s="12"/>
      <c r="D205" s="13"/>
      <c r="F205" s="14"/>
      <c r="G205" s="14"/>
      <c r="H205" s="14"/>
      <c r="I205" s="14"/>
      <c r="J205" s="14"/>
      <c r="K205" s="12"/>
    </row>
    <row r="206" ht="19.5" customHeight="1">
      <c r="A206" s="12"/>
      <c r="C206" s="12"/>
      <c r="D206" s="13"/>
      <c r="F206" s="14"/>
      <c r="G206" s="14"/>
      <c r="H206" s="14"/>
      <c r="I206" s="14"/>
      <c r="J206" s="14"/>
      <c r="K206" s="12"/>
    </row>
    <row r="207" ht="19.5" customHeight="1">
      <c r="A207" s="12"/>
      <c r="C207" s="12"/>
      <c r="D207" s="13"/>
      <c r="F207" s="14"/>
      <c r="G207" s="14"/>
      <c r="H207" s="14"/>
      <c r="I207" s="14"/>
      <c r="J207" s="14"/>
      <c r="K207" s="12"/>
    </row>
    <row r="208" ht="19.5" customHeight="1">
      <c r="A208" s="12"/>
      <c r="C208" s="12"/>
      <c r="D208" s="13"/>
      <c r="F208" s="14"/>
      <c r="G208" s="14"/>
      <c r="H208" s="14"/>
      <c r="I208" s="14"/>
      <c r="J208" s="14"/>
      <c r="K208" s="12"/>
    </row>
    <row r="209" ht="19.5" customHeight="1">
      <c r="A209" s="12"/>
      <c r="C209" s="12"/>
      <c r="D209" s="13"/>
      <c r="F209" s="14"/>
      <c r="G209" s="14"/>
      <c r="H209" s="14"/>
      <c r="I209" s="14"/>
      <c r="J209" s="14"/>
      <c r="K209" s="12"/>
    </row>
    <row r="210" ht="19.5" customHeight="1">
      <c r="A210" s="12"/>
      <c r="C210" s="12"/>
      <c r="D210" s="13"/>
      <c r="F210" s="14"/>
      <c r="G210" s="14"/>
      <c r="H210" s="14"/>
      <c r="I210" s="14"/>
      <c r="J210" s="14"/>
      <c r="K210" s="12"/>
    </row>
    <row r="211" ht="19.5" customHeight="1">
      <c r="A211" s="12"/>
      <c r="C211" s="12"/>
      <c r="D211" s="13"/>
      <c r="F211" s="14"/>
      <c r="G211" s="14"/>
      <c r="H211" s="14"/>
      <c r="I211" s="14"/>
      <c r="J211" s="14"/>
      <c r="K211" s="12"/>
    </row>
    <row r="212" ht="19.5" customHeight="1">
      <c r="A212" s="12"/>
      <c r="C212" s="12"/>
      <c r="D212" s="13"/>
      <c r="F212" s="14"/>
      <c r="G212" s="14"/>
      <c r="H212" s="14"/>
      <c r="I212" s="14"/>
      <c r="J212" s="14"/>
      <c r="K212" s="12"/>
    </row>
    <row r="213" ht="19.5" customHeight="1">
      <c r="A213" s="12"/>
      <c r="C213" s="12"/>
      <c r="D213" s="13"/>
      <c r="F213" s="14"/>
      <c r="G213" s="14"/>
      <c r="H213" s="14"/>
      <c r="I213" s="14"/>
      <c r="J213" s="14"/>
      <c r="K213" s="12"/>
    </row>
    <row r="214" ht="19.5" customHeight="1">
      <c r="A214" s="12"/>
      <c r="C214" s="12"/>
      <c r="D214" s="13"/>
      <c r="F214" s="14"/>
      <c r="G214" s="14"/>
      <c r="H214" s="14"/>
      <c r="I214" s="14"/>
      <c r="J214" s="14"/>
      <c r="K214" s="12"/>
    </row>
    <row r="215" ht="19.5" customHeight="1">
      <c r="A215" s="12"/>
      <c r="C215" s="12"/>
      <c r="D215" s="13"/>
      <c r="F215" s="14"/>
      <c r="G215" s="14"/>
      <c r="H215" s="14"/>
      <c r="I215" s="14"/>
      <c r="J215" s="14"/>
      <c r="K215" s="12"/>
    </row>
    <row r="216" ht="19.5" customHeight="1">
      <c r="A216" s="12"/>
      <c r="C216" s="12"/>
      <c r="D216" s="13"/>
      <c r="F216" s="14"/>
      <c r="G216" s="14"/>
      <c r="H216" s="14"/>
      <c r="I216" s="14"/>
      <c r="J216" s="14"/>
      <c r="K216" s="12"/>
    </row>
    <row r="217" ht="19.5" customHeight="1">
      <c r="A217" s="12"/>
      <c r="C217" s="12"/>
      <c r="D217" s="13"/>
      <c r="F217" s="14"/>
      <c r="G217" s="14"/>
      <c r="H217" s="14"/>
      <c r="I217" s="14"/>
      <c r="J217" s="14"/>
      <c r="K217" s="12"/>
    </row>
    <row r="218" ht="19.5" customHeight="1">
      <c r="A218" s="12"/>
      <c r="C218" s="12"/>
      <c r="D218" s="13"/>
      <c r="F218" s="14"/>
      <c r="G218" s="14"/>
      <c r="H218" s="14"/>
      <c r="I218" s="14"/>
      <c r="J218" s="14"/>
      <c r="K218" s="12"/>
    </row>
    <row r="219" ht="19.5" customHeight="1">
      <c r="A219" s="12"/>
      <c r="C219" s="12"/>
      <c r="D219" s="13"/>
      <c r="F219" s="14"/>
      <c r="G219" s="14"/>
      <c r="H219" s="14"/>
      <c r="I219" s="14"/>
      <c r="J219" s="14"/>
      <c r="K219" s="12"/>
    </row>
    <row r="220" ht="19.5" customHeight="1">
      <c r="A220" s="12"/>
      <c r="C220" s="12"/>
      <c r="D220" s="13"/>
      <c r="F220" s="14"/>
      <c r="G220" s="14"/>
      <c r="H220" s="14"/>
      <c r="I220" s="14"/>
      <c r="J220" s="14"/>
      <c r="K220" s="12"/>
    </row>
    <row r="221" ht="19.5" customHeight="1">
      <c r="A221" s="12"/>
      <c r="C221" s="12"/>
      <c r="D221" s="13"/>
      <c r="F221" s="14"/>
      <c r="G221" s="14"/>
      <c r="H221" s="14"/>
      <c r="I221" s="14"/>
      <c r="J221" s="14"/>
      <c r="K221" s="12"/>
    </row>
    <row r="222" ht="19.5" customHeight="1">
      <c r="A222" s="12"/>
      <c r="C222" s="12"/>
      <c r="D222" s="13"/>
      <c r="F222" s="14"/>
      <c r="G222" s="14"/>
      <c r="H222" s="14"/>
      <c r="I222" s="14"/>
      <c r="J222" s="14"/>
      <c r="K222" s="12"/>
    </row>
    <row r="223" ht="19.5" customHeight="1">
      <c r="A223" s="12"/>
      <c r="C223" s="12"/>
      <c r="D223" s="13"/>
      <c r="F223" s="14"/>
      <c r="G223" s="14"/>
      <c r="H223" s="14"/>
      <c r="I223" s="14"/>
      <c r="J223" s="14"/>
      <c r="K223" s="12"/>
    </row>
    <row r="224" ht="19.5" customHeight="1">
      <c r="A224" s="12"/>
      <c r="C224" s="12"/>
      <c r="D224" s="13"/>
      <c r="F224" s="14"/>
      <c r="G224" s="14"/>
      <c r="H224" s="14"/>
      <c r="I224" s="14"/>
      <c r="J224" s="14"/>
      <c r="K224" s="12"/>
    </row>
    <row r="225" ht="19.5" customHeight="1">
      <c r="A225" s="12"/>
      <c r="C225" s="12"/>
      <c r="D225" s="13"/>
      <c r="F225" s="14"/>
      <c r="G225" s="14"/>
      <c r="H225" s="14"/>
      <c r="I225" s="14"/>
      <c r="J225" s="14"/>
      <c r="K225" s="12"/>
    </row>
    <row r="226" ht="19.5" customHeight="1">
      <c r="A226" s="12"/>
      <c r="C226" s="12"/>
      <c r="D226" s="13"/>
      <c r="F226" s="14"/>
      <c r="G226" s="14"/>
      <c r="H226" s="14"/>
      <c r="I226" s="14"/>
      <c r="J226" s="14"/>
      <c r="K226" s="12"/>
    </row>
    <row r="227" ht="19.5" customHeight="1">
      <c r="A227" s="12"/>
      <c r="C227" s="12"/>
      <c r="D227" s="13"/>
      <c r="F227" s="14"/>
      <c r="G227" s="14"/>
      <c r="H227" s="14"/>
      <c r="I227" s="14"/>
      <c r="J227" s="14"/>
      <c r="K227" s="12"/>
    </row>
    <row r="228" ht="19.5" customHeight="1">
      <c r="A228" s="12"/>
      <c r="C228" s="12"/>
      <c r="D228" s="13"/>
      <c r="F228" s="14"/>
      <c r="G228" s="14"/>
      <c r="H228" s="14"/>
      <c r="I228" s="14"/>
      <c r="J228" s="14"/>
      <c r="K228" s="12"/>
    </row>
    <row r="229" ht="19.5" customHeight="1">
      <c r="A229" s="12"/>
      <c r="C229" s="12"/>
      <c r="D229" s="13"/>
      <c r="F229" s="14"/>
      <c r="G229" s="14"/>
      <c r="H229" s="14"/>
      <c r="I229" s="14"/>
      <c r="J229" s="14"/>
      <c r="K229" s="12"/>
    </row>
    <row r="230" ht="19.5" customHeight="1">
      <c r="A230" s="12"/>
      <c r="C230" s="12"/>
      <c r="D230" s="13"/>
      <c r="F230" s="14"/>
      <c r="G230" s="14"/>
      <c r="H230" s="14"/>
      <c r="I230" s="14"/>
      <c r="J230" s="14"/>
      <c r="K230" s="12"/>
    </row>
    <row r="231" ht="19.5" customHeight="1">
      <c r="A231" s="12"/>
      <c r="C231" s="12"/>
      <c r="D231" s="13"/>
      <c r="F231" s="14"/>
      <c r="G231" s="14"/>
      <c r="H231" s="14"/>
      <c r="I231" s="14"/>
      <c r="J231" s="14"/>
      <c r="K231" s="12"/>
    </row>
    <row r="232" ht="19.5" customHeight="1">
      <c r="A232" s="12"/>
      <c r="C232" s="12"/>
      <c r="D232" s="13"/>
      <c r="F232" s="14"/>
      <c r="G232" s="14"/>
      <c r="H232" s="14"/>
      <c r="I232" s="14"/>
      <c r="J232" s="14"/>
      <c r="K232" s="12"/>
    </row>
    <row r="233" ht="19.5" customHeight="1">
      <c r="A233" s="12"/>
      <c r="C233" s="12"/>
      <c r="D233" s="13"/>
      <c r="F233" s="14"/>
      <c r="G233" s="14"/>
      <c r="H233" s="14"/>
      <c r="I233" s="14"/>
      <c r="J233" s="14"/>
      <c r="K233" s="12"/>
    </row>
    <row r="234" ht="19.5" customHeight="1">
      <c r="A234" s="12"/>
      <c r="C234" s="12"/>
      <c r="D234" s="13"/>
      <c r="F234" s="14"/>
      <c r="G234" s="14"/>
      <c r="H234" s="14"/>
      <c r="I234" s="14"/>
      <c r="J234" s="14"/>
      <c r="K234" s="12"/>
    </row>
    <row r="235" ht="19.5" customHeight="1">
      <c r="A235" s="12"/>
      <c r="C235" s="12"/>
      <c r="D235" s="13"/>
      <c r="F235" s="14"/>
      <c r="G235" s="14"/>
      <c r="H235" s="14"/>
      <c r="I235" s="14"/>
      <c r="J235" s="14"/>
      <c r="K235" s="12"/>
    </row>
    <row r="236" ht="19.5" customHeight="1">
      <c r="A236" s="12"/>
      <c r="C236" s="12"/>
      <c r="D236" s="13"/>
      <c r="F236" s="14"/>
      <c r="G236" s="14"/>
      <c r="H236" s="14"/>
      <c r="I236" s="14"/>
      <c r="J236" s="14"/>
      <c r="K236" s="12"/>
    </row>
    <row r="237" ht="19.5" customHeight="1">
      <c r="A237" s="12"/>
      <c r="C237" s="12"/>
      <c r="D237" s="13"/>
      <c r="F237" s="14"/>
      <c r="G237" s="14"/>
      <c r="H237" s="14"/>
      <c r="I237" s="14"/>
      <c r="J237" s="14"/>
      <c r="K237" s="12"/>
    </row>
    <row r="238" ht="19.5" customHeight="1">
      <c r="A238" s="12"/>
      <c r="C238" s="12"/>
      <c r="D238" s="13"/>
      <c r="F238" s="14"/>
      <c r="G238" s="14"/>
      <c r="H238" s="14"/>
      <c r="I238" s="14"/>
      <c r="J238" s="14"/>
      <c r="K238" s="12"/>
    </row>
    <row r="239" ht="19.5" customHeight="1">
      <c r="A239" s="12"/>
      <c r="C239" s="12"/>
      <c r="D239" s="13"/>
      <c r="F239" s="14"/>
      <c r="G239" s="14"/>
      <c r="H239" s="14"/>
      <c r="I239" s="14"/>
      <c r="J239" s="14"/>
      <c r="K239" s="12"/>
    </row>
    <row r="240" ht="19.5" customHeight="1">
      <c r="A240" s="12"/>
      <c r="C240" s="12"/>
      <c r="D240" s="13"/>
      <c r="F240" s="14"/>
      <c r="G240" s="14"/>
      <c r="H240" s="14"/>
      <c r="I240" s="14"/>
      <c r="J240" s="14"/>
      <c r="K240" s="12"/>
    </row>
    <row r="241" ht="19.5" customHeight="1">
      <c r="A241" s="12"/>
      <c r="C241" s="12"/>
      <c r="D241" s="13"/>
      <c r="F241" s="14"/>
      <c r="G241" s="14"/>
      <c r="H241" s="14"/>
      <c r="I241" s="14"/>
      <c r="J241" s="14"/>
      <c r="K241" s="12"/>
    </row>
    <row r="242" ht="19.5" customHeight="1">
      <c r="A242" s="12"/>
      <c r="C242" s="12"/>
      <c r="D242" s="13"/>
      <c r="F242" s="14"/>
      <c r="G242" s="14"/>
      <c r="H242" s="14"/>
      <c r="I242" s="14"/>
      <c r="J242" s="14"/>
      <c r="K242" s="12"/>
    </row>
    <row r="243" ht="19.5" customHeight="1">
      <c r="A243" s="12"/>
      <c r="C243" s="12"/>
      <c r="D243" s="13"/>
      <c r="F243" s="14"/>
      <c r="G243" s="14"/>
      <c r="H243" s="14"/>
      <c r="I243" s="14"/>
      <c r="J243" s="14"/>
      <c r="K243" s="12"/>
    </row>
    <row r="244" ht="19.5" customHeight="1">
      <c r="A244" s="12"/>
      <c r="C244" s="12"/>
      <c r="D244" s="13"/>
      <c r="F244" s="14"/>
      <c r="G244" s="14"/>
      <c r="H244" s="14"/>
      <c r="I244" s="14"/>
      <c r="J244" s="14"/>
      <c r="K244" s="12"/>
    </row>
    <row r="245" ht="19.5" customHeight="1">
      <c r="A245" s="12"/>
      <c r="C245" s="12"/>
      <c r="D245" s="13"/>
      <c r="F245" s="14"/>
      <c r="G245" s="14"/>
      <c r="H245" s="14"/>
      <c r="I245" s="14"/>
      <c r="J245" s="14"/>
      <c r="K245" s="12"/>
    </row>
    <row r="246" ht="19.5" customHeight="1">
      <c r="A246" s="12"/>
      <c r="C246" s="12"/>
      <c r="D246" s="13"/>
      <c r="F246" s="14"/>
      <c r="G246" s="14"/>
      <c r="H246" s="14"/>
      <c r="I246" s="14"/>
      <c r="J246" s="14"/>
      <c r="K246" s="12"/>
    </row>
    <row r="247" ht="19.5" customHeight="1">
      <c r="A247" s="12"/>
      <c r="C247" s="12"/>
      <c r="D247" s="13"/>
      <c r="F247" s="14"/>
      <c r="G247" s="14"/>
      <c r="H247" s="14"/>
      <c r="I247" s="14"/>
      <c r="J247" s="14"/>
      <c r="K247" s="12"/>
    </row>
    <row r="248" ht="19.5" customHeight="1">
      <c r="A248" s="12"/>
      <c r="C248" s="12"/>
      <c r="D248" s="13"/>
      <c r="F248" s="14"/>
      <c r="G248" s="14"/>
      <c r="H248" s="14"/>
      <c r="I248" s="14"/>
      <c r="J248" s="14"/>
      <c r="K248" s="12"/>
    </row>
    <row r="249" ht="19.5" customHeight="1">
      <c r="A249" s="12"/>
      <c r="C249" s="12"/>
      <c r="D249" s="13"/>
      <c r="F249" s="14"/>
      <c r="G249" s="14"/>
      <c r="H249" s="14"/>
      <c r="I249" s="14"/>
      <c r="J249" s="14"/>
      <c r="K249" s="12"/>
    </row>
    <row r="250" ht="19.5" customHeight="1">
      <c r="A250" s="12"/>
      <c r="C250" s="12"/>
      <c r="D250" s="13"/>
      <c r="F250" s="14"/>
      <c r="G250" s="14"/>
      <c r="H250" s="14"/>
      <c r="I250" s="14"/>
      <c r="J250" s="14"/>
      <c r="K250" s="12"/>
    </row>
    <row r="251" ht="19.5" customHeight="1">
      <c r="A251" s="12"/>
      <c r="C251" s="12"/>
      <c r="D251" s="13"/>
      <c r="F251" s="14"/>
      <c r="G251" s="14"/>
      <c r="H251" s="14"/>
      <c r="I251" s="14"/>
      <c r="J251" s="14"/>
      <c r="K251" s="12"/>
    </row>
    <row r="252" ht="19.5" customHeight="1">
      <c r="A252" s="12"/>
      <c r="C252" s="12"/>
      <c r="D252" s="13"/>
      <c r="F252" s="14"/>
      <c r="G252" s="14"/>
      <c r="H252" s="14"/>
      <c r="I252" s="14"/>
      <c r="J252" s="14"/>
      <c r="K252" s="12"/>
    </row>
    <row r="253" ht="19.5" customHeight="1">
      <c r="A253" s="12"/>
      <c r="C253" s="12"/>
      <c r="D253" s="13"/>
      <c r="F253" s="14"/>
      <c r="G253" s="14"/>
      <c r="H253" s="14"/>
      <c r="I253" s="14"/>
      <c r="J253" s="14"/>
      <c r="K253" s="12"/>
    </row>
    <row r="254" ht="19.5" customHeight="1">
      <c r="A254" s="12"/>
      <c r="C254" s="12"/>
      <c r="D254" s="13"/>
      <c r="F254" s="14"/>
      <c r="G254" s="14"/>
      <c r="H254" s="14"/>
      <c r="I254" s="14"/>
      <c r="J254" s="14"/>
      <c r="K254" s="12"/>
    </row>
    <row r="255" ht="19.5" customHeight="1">
      <c r="A255" s="12"/>
      <c r="C255" s="12"/>
      <c r="D255" s="13"/>
      <c r="F255" s="14"/>
      <c r="G255" s="14"/>
      <c r="H255" s="14"/>
      <c r="I255" s="14"/>
      <c r="J255" s="14"/>
      <c r="K255" s="12"/>
    </row>
    <row r="256" ht="19.5" customHeight="1">
      <c r="A256" s="12"/>
      <c r="C256" s="12"/>
      <c r="D256" s="13"/>
      <c r="F256" s="14"/>
      <c r="G256" s="14"/>
      <c r="H256" s="14"/>
      <c r="I256" s="14"/>
      <c r="J256" s="14"/>
      <c r="K256" s="12"/>
    </row>
    <row r="257" ht="19.5" customHeight="1">
      <c r="A257" s="12"/>
      <c r="C257" s="12"/>
      <c r="D257" s="13"/>
      <c r="F257" s="14"/>
      <c r="G257" s="14"/>
      <c r="H257" s="14"/>
      <c r="I257" s="14"/>
      <c r="J257" s="14"/>
      <c r="K257" s="12"/>
    </row>
    <row r="258" ht="19.5" customHeight="1">
      <c r="A258" s="12"/>
      <c r="C258" s="12"/>
      <c r="D258" s="13"/>
      <c r="F258" s="14"/>
      <c r="G258" s="14"/>
      <c r="H258" s="14"/>
      <c r="I258" s="14"/>
      <c r="J258" s="14"/>
      <c r="K258" s="12"/>
    </row>
    <row r="259" ht="19.5" customHeight="1">
      <c r="A259" s="12"/>
      <c r="C259" s="12"/>
      <c r="D259" s="13"/>
      <c r="F259" s="14"/>
      <c r="G259" s="14"/>
      <c r="H259" s="14"/>
      <c r="I259" s="14"/>
      <c r="J259" s="14"/>
      <c r="K259" s="12"/>
    </row>
    <row r="260" ht="19.5" customHeight="1">
      <c r="A260" s="12"/>
      <c r="C260" s="12"/>
      <c r="D260" s="13"/>
      <c r="F260" s="14"/>
      <c r="G260" s="14"/>
      <c r="H260" s="14"/>
      <c r="I260" s="14"/>
      <c r="J260" s="14"/>
      <c r="K260" s="12"/>
    </row>
    <row r="261" ht="19.5" customHeight="1">
      <c r="A261" s="12"/>
      <c r="C261" s="12"/>
      <c r="D261" s="13"/>
      <c r="F261" s="14"/>
      <c r="G261" s="14"/>
      <c r="H261" s="14"/>
      <c r="I261" s="14"/>
      <c r="J261" s="14"/>
      <c r="K261" s="12"/>
    </row>
    <row r="262" ht="19.5" customHeight="1">
      <c r="A262" s="12"/>
      <c r="C262" s="12"/>
      <c r="D262" s="13"/>
      <c r="F262" s="14"/>
      <c r="G262" s="14"/>
      <c r="H262" s="14"/>
      <c r="I262" s="14"/>
      <c r="J262" s="14"/>
      <c r="K262" s="12"/>
    </row>
    <row r="263" ht="19.5" customHeight="1">
      <c r="A263" s="12"/>
      <c r="C263" s="12"/>
      <c r="D263" s="13"/>
      <c r="F263" s="14"/>
      <c r="G263" s="14"/>
      <c r="H263" s="14"/>
      <c r="I263" s="14"/>
      <c r="J263" s="14"/>
      <c r="K263" s="12"/>
    </row>
    <row r="264" ht="19.5" customHeight="1">
      <c r="A264" s="12"/>
      <c r="C264" s="12"/>
      <c r="D264" s="13"/>
      <c r="F264" s="14"/>
      <c r="G264" s="14"/>
      <c r="H264" s="14"/>
      <c r="I264" s="14"/>
      <c r="J264" s="14"/>
      <c r="K264" s="12"/>
    </row>
    <row r="265" ht="19.5" customHeight="1">
      <c r="A265" s="12"/>
      <c r="C265" s="12"/>
      <c r="D265" s="13"/>
      <c r="F265" s="14"/>
      <c r="G265" s="14"/>
      <c r="H265" s="14"/>
      <c r="I265" s="14"/>
      <c r="J265" s="14"/>
      <c r="K265" s="12"/>
    </row>
    <row r="266" ht="19.5" customHeight="1">
      <c r="A266" s="12"/>
      <c r="C266" s="12"/>
      <c r="D266" s="13"/>
      <c r="F266" s="14"/>
      <c r="G266" s="14"/>
      <c r="H266" s="14"/>
      <c r="I266" s="14"/>
      <c r="J266" s="14"/>
      <c r="K266" s="12"/>
    </row>
    <row r="267" ht="19.5" customHeight="1">
      <c r="A267" s="12"/>
      <c r="C267" s="12"/>
      <c r="D267" s="13"/>
      <c r="F267" s="14"/>
      <c r="G267" s="14"/>
      <c r="H267" s="14"/>
      <c r="I267" s="14"/>
      <c r="J267" s="14"/>
      <c r="K267" s="12"/>
    </row>
    <row r="268" ht="19.5" customHeight="1">
      <c r="A268" s="12"/>
      <c r="C268" s="12"/>
      <c r="D268" s="13"/>
      <c r="F268" s="14"/>
      <c r="G268" s="14"/>
      <c r="H268" s="14"/>
      <c r="I268" s="14"/>
      <c r="J268" s="14"/>
      <c r="K268" s="12"/>
    </row>
    <row r="269" ht="19.5" customHeight="1">
      <c r="A269" s="12"/>
      <c r="C269" s="12"/>
      <c r="D269" s="13"/>
      <c r="F269" s="14"/>
      <c r="G269" s="14"/>
      <c r="H269" s="14"/>
      <c r="I269" s="14"/>
      <c r="J269" s="14"/>
      <c r="K269" s="12"/>
    </row>
    <row r="270" ht="19.5" customHeight="1">
      <c r="A270" s="12"/>
      <c r="C270" s="12"/>
      <c r="D270" s="13"/>
      <c r="F270" s="14"/>
      <c r="G270" s="14"/>
      <c r="H270" s="14"/>
      <c r="I270" s="14"/>
      <c r="J270" s="14"/>
      <c r="K270" s="12"/>
    </row>
    <row r="271" ht="19.5" customHeight="1">
      <c r="A271" s="12"/>
      <c r="C271" s="12"/>
      <c r="D271" s="13"/>
      <c r="F271" s="14"/>
      <c r="G271" s="14"/>
      <c r="H271" s="14"/>
      <c r="I271" s="14"/>
      <c r="J271" s="14"/>
      <c r="K271" s="12"/>
    </row>
    <row r="272" ht="19.5" customHeight="1">
      <c r="A272" s="12"/>
      <c r="C272" s="12"/>
      <c r="D272" s="13"/>
      <c r="F272" s="14"/>
      <c r="G272" s="14"/>
      <c r="H272" s="14"/>
      <c r="I272" s="14"/>
      <c r="J272" s="14"/>
      <c r="K272" s="12"/>
    </row>
    <row r="273" ht="19.5" customHeight="1">
      <c r="A273" s="12"/>
      <c r="C273" s="12"/>
      <c r="D273" s="13"/>
      <c r="F273" s="14"/>
      <c r="G273" s="14"/>
      <c r="H273" s="14"/>
      <c r="I273" s="14"/>
      <c r="J273" s="14"/>
      <c r="K273" s="12"/>
    </row>
    <row r="274" ht="19.5" customHeight="1">
      <c r="A274" s="12"/>
      <c r="C274" s="12"/>
      <c r="D274" s="13"/>
      <c r="F274" s="14"/>
      <c r="G274" s="14"/>
      <c r="H274" s="14"/>
      <c r="I274" s="14"/>
      <c r="J274" s="14"/>
      <c r="K274" s="12"/>
    </row>
    <row r="275" ht="19.5" customHeight="1">
      <c r="A275" s="12"/>
      <c r="C275" s="12"/>
      <c r="D275" s="13"/>
      <c r="F275" s="14"/>
      <c r="G275" s="14"/>
      <c r="H275" s="14"/>
      <c r="I275" s="14"/>
      <c r="J275" s="14"/>
      <c r="K275" s="12"/>
    </row>
    <row r="276" ht="19.5" customHeight="1">
      <c r="A276" s="12"/>
      <c r="C276" s="12"/>
      <c r="D276" s="13"/>
      <c r="F276" s="14"/>
      <c r="G276" s="14"/>
      <c r="H276" s="14"/>
      <c r="I276" s="14"/>
      <c r="J276" s="14"/>
      <c r="K276" s="12"/>
    </row>
    <row r="277" ht="19.5" customHeight="1">
      <c r="A277" s="12"/>
      <c r="C277" s="12"/>
      <c r="D277" s="13"/>
      <c r="F277" s="14"/>
      <c r="G277" s="14"/>
      <c r="H277" s="14"/>
      <c r="I277" s="14"/>
      <c r="J277" s="14"/>
      <c r="K277" s="12"/>
    </row>
    <row r="278" ht="19.5" customHeight="1">
      <c r="A278" s="12"/>
      <c r="C278" s="12"/>
      <c r="D278" s="13"/>
      <c r="F278" s="14"/>
      <c r="G278" s="14"/>
      <c r="H278" s="14"/>
      <c r="I278" s="14"/>
      <c r="J278" s="14"/>
      <c r="K278" s="12"/>
    </row>
    <row r="279" ht="19.5" customHeight="1">
      <c r="A279" s="12"/>
      <c r="C279" s="12"/>
      <c r="D279" s="13"/>
      <c r="F279" s="14"/>
      <c r="G279" s="14"/>
      <c r="H279" s="14"/>
      <c r="I279" s="14"/>
      <c r="J279" s="14"/>
      <c r="K279" s="12"/>
    </row>
    <row r="280" ht="19.5" customHeight="1">
      <c r="A280" s="12"/>
      <c r="C280" s="12"/>
      <c r="D280" s="13"/>
      <c r="F280" s="14"/>
      <c r="G280" s="14"/>
      <c r="H280" s="14"/>
      <c r="I280" s="14"/>
      <c r="J280" s="14"/>
      <c r="K280" s="12"/>
    </row>
    <row r="281" ht="19.5" customHeight="1">
      <c r="A281" s="12"/>
      <c r="C281" s="12"/>
      <c r="D281" s="13"/>
      <c r="F281" s="14"/>
      <c r="G281" s="14"/>
      <c r="H281" s="14"/>
      <c r="I281" s="14"/>
      <c r="J281" s="14"/>
      <c r="K281" s="12"/>
    </row>
    <row r="282" ht="19.5" customHeight="1">
      <c r="A282" s="12"/>
      <c r="C282" s="12"/>
      <c r="D282" s="13"/>
      <c r="F282" s="14"/>
      <c r="G282" s="14"/>
      <c r="H282" s="14"/>
      <c r="I282" s="14"/>
      <c r="J282" s="14"/>
      <c r="K282" s="12"/>
    </row>
    <row r="283" ht="19.5" customHeight="1">
      <c r="A283" s="12"/>
      <c r="C283" s="12"/>
      <c r="D283" s="13"/>
      <c r="F283" s="14"/>
      <c r="G283" s="14"/>
      <c r="H283" s="14"/>
      <c r="I283" s="14"/>
      <c r="J283" s="14"/>
      <c r="K283" s="12"/>
    </row>
    <row r="284" ht="19.5" customHeight="1">
      <c r="A284" s="12"/>
      <c r="C284" s="12"/>
      <c r="D284" s="13"/>
      <c r="F284" s="14"/>
      <c r="G284" s="14"/>
      <c r="H284" s="14"/>
      <c r="I284" s="14"/>
      <c r="J284" s="14"/>
      <c r="K284" s="12"/>
    </row>
    <row r="285" ht="19.5" customHeight="1">
      <c r="A285" s="12"/>
      <c r="C285" s="12"/>
      <c r="D285" s="13"/>
      <c r="F285" s="14"/>
      <c r="G285" s="14"/>
      <c r="H285" s="14"/>
      <c r="I285" s="14"/>
      <c r="J285" s="14"/>
      <c r="K285" s="12"/>
    </row>
    <row r="286" ht="19.5" customHeight="1">
      <c r="A286" s="12"/>
      <c r="C286" s="12"/>
      <c r="D286" s="13"/>
      <c r="F286" s="14"/>
      <c r="G286" s="14"/>
      <c r="H286" s="14"/>
      <c r="I286" s="14"/>
      <c r="J286" s="14"/>
      <c r="K286" s="12"/>
    </row>
    <row r="287" ht="19.5" customHeight="1">
      <c r="A287" s="12"/>
      <c r="C287" s="12"/>
      <c r="D287" s="13"/>
      <c r="F287" s="14"/>
      <c r="G287" s="14"/>
      <c r="H287" s="14"/>
      <c r="I287" s="14"/>
      <c r="J287" s="14"/>
      <c r="K287" s="12"/>
    </row>
    <row r="288" ht="19.5" customHeight="1">
      <c r="A288" s="12"/>
      <c r="C288" s="12"/>
      <c r="D288" s="13"/>
      <c r="F288" s="14"/>
      <c r="G288" s="14"/>
      <c r="H288" s="14"/>
      <c r="I288" s="14"/>
      <c r="J288" s="14"/>
      <c r="K288" s="12"/>
    </row>
    <row r="289" ht="19.5" customHeight="1">
      <c r="A289" s="12"/>
      <c r="C289" s="12"/>
      <c r="D289" s="13"/>
      <c r="F289" s="14"/>
      <c r="G289" s="14"/>
      <c r="H289" s="14"/>
      <c r="I289" s="14"/>
      <c r="J289" s="14"/>
      <c r="K289" s="12"/>
    </row>
    <row r="290" ht="19.5" customHeight="1">
      <c r="A290" s="12"/>
      <c r="C290" s="12"/>
      <c r="D290" s="13"/>
      <c r="F290" s="14"/>
      <c r="G290" s="14"/>
      <c r="H290" s="14"/>
      <c r="I290" s="14"/>
      <c r="J290" s="14"/>
      <c r="K290" s="12"/>
    </row>
    <row r="291" ht="19.5" customHeight="1">
      <c r="A291" s="12"/>
      <c r="C291" s="12"/>
      <c r="D291" s="13"/>
      <c r="F291" s="14"/>
      <c r="G291" s="14"/>
      <c r="H291" s="14"/>
      <c r="I291" s="14"/>
      <c r="J291" s="14"/>
      <c r="K291" s="12"/>
    </row>
    <row r="292" ht="19.5" customHeight="1">
      <c r="A292" s="12"/>
      <c r="C292" s="12"/>
      <c r="D292" s="13"/>
      <c r="F292" s="14"/>
      <c r="G292" s="14"/>
      <c r="H292" s="14"/>
      <c r="I292" s="14"/>
      <c r="J292" s="14"/>
      <c r="K292" s="12"/>
    </row>
    <row r="293" ht="19.5" customHeight="1">
      <c r="A293" s="12"/>
      <c r="C293" s="12"/>
      <c r="D293" s="13"/>
      <c r="F293" s="14"/>
      <c r="G293" s="14"/>
      <c r="H293" s="14"/>
      <c r="I293" s="14"/>
      <c r="J293" s="14"/>
      <c r="K293" s="12"/>
    </row>
    <row r="294" ht="19.5" customHeight="1">
      <c r="A294" s="12"/>
      <c r="C294" s="12"/>
      <c r="D294" s="13"/>
      <c r="F294" s="14"/>
      <c r="G294" s="14"/>
      <c r="H294" s="14"/>
      <c r="I294" s="14"/>
      <c r="J294" s="14"/>
      <c r="K294" s="12"/>
    </row>
    <row r="295" ht="19.5" customHeight="1">
      <c r="A295" s="12"/>
      <c r="C295" s="12"/>
      <c r="D295" s="13"/>
      <c r="F295" s="14"/>
      <c r="G295" s="14"/>
      <c r="H295" s="14"/>
      <c r="I295" s="14"/>
      <c r="J295" s="14"/>
      <c r="K295" s="12"/>
    </row>
    <row r="296" ht="19.5" customHeight="1">
      <c r="A296" s="12"/>
      <c r="C296" s="12"/>
      <c r="D296" s="13"/>
      <c r="F296" s="14"/>
      <c r="G296" s="14"/>
      <c r="H296" s="14"/>
      <c r="I296" s="14"/>
      <c r="J296" s="14"/>
      <c r="K296" s="12"/>
    </row>
    <row r="297" ht="19.5" customHeight="1">
      <c r="A297" s="12"/>
      <c r="C297" s="12"/>
      <c r="D297" s="13"/>
      <c r="F297" s="14"/>
      <c r="G297" s="14"/>
      <c r="H297" s="14"/>
      <c r="I297" s="14"/>
      <c r="J297" s="14"/>
      <c r="K297" s="12"/>
    </row>
    <row r="298" ht="19.5" customHeight="1">
      <c r="A298" s="12"/>
      <c r="C298" s="12"/>
      <c r="D298" s="13"/>
      <c r="F298" s="14"/>
      <c r="G298" s="14"/>
      <c r="H298" s="14"/>
      <c r="I298" s="14"/>
      <c r="J298" s="14"/>
      <c r="K298" s="12"/>
    </row>
    <row r="299" ht="19.5" customHeight="1">
      <c r="A299" s="12"/>
      <c r="C299" s="12"/>
      <c r="D299" s="13"/>
      <c r="F299" s="14"/>
      <c r="G299" s="14"/>
      <c r="H299" s="14"/>
      <c r="I299" s="14"/>
      <c r="J299" s="14"/>
      <c r="K299" s="12"/>
    </row>
    <row r="300" ht="19.5" customHeight="1">
      <c r="A300" s="12"/>
      <c r="C300" s="12"/>
      <c r="D300" s="13"/>
      <c r="F300" s="14"/>
      <c r="G300" s="14"/>
      <c r="H300" s="14"/>
      <c r="I300" s="14"/>
      <c r="J300" s="14"/>
      <c r="K300" s="12"/>
    </row>
    <row r="301" ht="19.5" customHeight="1">
      <c r="A301" s="12"/>
      <c r="C301" s="12"/>
      <c r="D301" s="13"/>
      <c r="F301" s="14"/>
      <c r="G301" s="14"/>
      <c r="H301" s="14"/>
      <c r="I301" s="14"/>
      <c r="J301" s="14"/>
      <c r="K301" s="12"/>
    </row>
    <row r="302" ht="19.5" customHeight="1">
      <c r="A302" s="12"/>
      <c r="C302" s="12"/>
      <c r="D302" s="13"/>
      <c r="F302" s="14"/>
      <c r="G302" s="14"/>
      <c r="H302" s="14"/>
      <c r="I302" s="14"/>
      <c r="J302" s="14"/>
      <c r="K302" s="12"/>
    </row>
    <row r="303" ht="19.5" customHeight="1">
      <c r="A303" s="12"/>
      <c r="C303" s="12"/>
      <c r="D303" s="13"/>
      <c r="F303" s="14"/>
      <c r="G303" s="14"/>
      <c r="H303" s="14"/>
      <c r="I303" s="14"/>
      <c r="J303" s="14"/>
      <c r="K303" s="12"/>
    </row>
    <row r="304" ht="19.5" customHeight="1">
      <c r="A304" s="12"/>
      <c r="C304" s="12"/>
      <c r="D304" s="13"/>
      <c r="F304" s="14"/>
      <c r="G304" s="14"/>
      <c r="H304" s="14"/>
      <c r="I304" s="14"/>
      <c r="J304" s="14"/>
      <c r="K304" s="12"/>
    </row>
    <row r="305" ht="19.5" customHeight="1">
      <c r="A305" s="12"/>
      <c r="C305" s="12"/>
      <c r="D305" s="13"/>
      <c r="F305" s="14"/>
      <c r="G305" s="14"/>
      <c r="H305" s="14"/>
      <c r="I305" s="14"/>
      <c r="J305" s="14"/>
      <c r="K305" s="12"/>
    </row>
    <row r="306" ht="19.5" customHeight="1">
      <c r="A306" s="12"/>
      <c r="C306" s="12"/>
      <c r="D306" s="13"/>
      <c r="F306" s="14"/>
      <c r="G306" s="14"/>
      <c r="H306" s="14"/>
      <c r="I306" s="14"/>
      <c r="J306" s="14"/>
      <c r="K306" s="12"/>
    </row>
    <row r="307" ht="19.5" customHeight="1">
      <c r="A307" s="12"/>
      <c r="C307" s="12"/>
      <c r="D307" s="13"/>
      <c r="F307" s="14"/>
      <c r="G307" s="14"/>
      <c r="H307" s="14"/>
      <c r="I307" s="14"/>
      <c r="J307" s="14"/>
      <c r="K307" s="12"/>
    </row>
    <row r="308" ht="19.5" customHeight="1">
      <c r="A308" s="12"/>
      <c r="C308" s="12"/>
      <c r="D308" s="13"/>
      <c r="F308" s="14"/>
      <c r="G308" s="14"/>
      <c r="H308" s="14"/>
      <c r="I308" s="14"/>
      <c r="J308" s="14"/>
      <c r="K308" s="12"/>
    </row>
    <row r="309" ht="19.5" customHeight="1">
      <c r="A309" s="12"/>
      <c r="C309" s="12"/>
      <c r="D309" s="13"/>
      <c r="F309" s="14"/>
      <c r="G309" s="14"/>
      <c r="H309" s="14"/>
      <c r="I309" s="14"/>
      <c r="J309" s="14"/>
      <c r="K309" s="12"/>
    </row>
    <row r="310" ht="19.5" customHeight="1">
      <c r="A310" s="12"/>
      <c r="C310" s="12"/>
      <c r="D310" s="13"/>
      <c r="F310" s="14"/>
      <c r="G310" s="14"/>
      <c r="H310" s="14"/>
      <c r="I310" s="14"/>
      <c r="J310" s="14"/>
      <c r="K310" s="12"/>
    </row>
    <row r="311" ht="19.5" customHeight="1">
      <c r="A311" s="12"/>
      <c r="C311" s="12"/>
      <c r="D311" s="13"/>
      <c r="F311" s="14"/>
      <c r="G311" s="14"/>
      <c r="H311" s="14"/>
      <c r="I311" s="14"/>
      <c r="J311" s="14"/>
      <c r="K311" s="12"/>
    </row>
    <row r="312" ht="19.5" customHeight="1">
      <c r="A312" s="12"/>
      <c r="C312" s="12"/>
      <c r="D312" s="13"/>
      <c r="F312" s="14"/>
      <c r="G312" s="14"/>
      <c r="H312" s="14"/>
      <c r="I312" s="14"/>
      <c r="J312" s="14"/>
      <c r="K312" s="12"/>
    </row>
    <row r="313" ht="19.5" customHeight="1">
      <c r="A313" s="12"/>
      <c r="C313" s="12"/>
      <c r="D313" s="13"/>
      <c r="F313" s="14"/>
      <c r="G313" s="14"/>
      <c r="H313" s="14"/>
      <c r="I313" s="14"/>
      <c r="J313" s="14"/>
      <c r="K313" s="12"/>
    </row>
    <row r="314" ht="19.5" customHeight="1">
      <c r="A314" s="12"/>
      <c r="C314" s="12"/>
      <c r="D314" s="13"/>
      <c r="F314" s="14"/>
      <c r="G314" s="14"/>
      <c r="H314" s="14"/>
      <c r="I314" s="14"/>
      <c r="J314" s="14"/>
      <c r="K314" s="12"/>
    </row>
    <row r="315" ht="19.5" customHeight="1">
      <c r="A315" s="12"/>
      <c r="C315" s="12"/>
      <c r="D315" s="13"/>
      <c r="F315" s="14"/>
      <c r="G315" s="14"/>
      <c r="H315" s="14"/>
      <c r="I315" s="14"/>
      <c r="J315" s="14"/>
      <c r="K315" s="12"/>
    </row>
    <row r="316" ht="19.5" customHeight="1">
      <c r="A316" s="12"/>
      <c r="C316" s="12"/>
      <c r="D316" s="13"/>
      <c r="F316" s="14"/>
      <c r="G316" s="14"/>
      <c r="H316" s="14"/>
      <c r="I316" s="14"/>
      <c r="J316" s="14"/>
      <c r="K316" s="12"/>
    </row>
    <row r="317" ht="19.5" customHeight="1">
      <c r="A317" s="12"/>
      <c r="C317" s="12"/>
      <c r="D317" s="13"/>
      <c r="F317" s="14"/>
      <c r="G317" s="14"/>
      <c r="H317" s="14"/>
      <c r="I317" s="14"/>
      <c r="J317" s="14"/>
      <c r="K317" s="12"/>
    </row>
    <row r="318" ht="19.5" customHeight="1">
      <c r="A318" s="12"/>
      <c r="C318" s="12"/>
      <c r="D318" s="13"/>
      <c r="F318" s="14"/>
      <c r="G318" s="14"/>
      <c r="H318" s="14"/>
      <c r="I318" s="14"/>
      <c r="J318" s="14"/>
      <c r="K318" s="12"/>
    </row>
    <row r="319" ht="19.5" customHeight="1">
      <c r="A319" s="12"/>
      <c r="C319" s="12"/>
      <c r="D319" s="13"/>
      <c r="F319" s="14"/>
      <c r="G319" s="14"/>
      <c r="H319" s="14"/>
      <c r="I319" s="14"/>
      <c r="J319" s="14"/>
      <c r="K319" s="12"/>
    </row>
    <row r="320" ht="19.5" customHeight="1">
      <c r="A320" s="12"/>
      <c r="C320" s="12"/>
      <c r="D320" s="13"/>
      <c r="F320" s="14"/>
      <c r="G320" s="14"/>
      <c r="H320" s="14"/>
      <c r="I320" s="14"/>
      <c r="J320" s="14"/>
      <c r="K320" s="12"/>
    </row>
    <row r="321" ht="19.5" customHeight="1">
      <c r="A321" s="12"/>
      <c r="C321" s="12"/>
      <c r="D321" s="13"/>
      <c r="F321" s="14"/>
      <c r="G321" s="14"/>
      <c r="H321" s="14"/>
      <c r="I321" s="14"/>
      <c r="J321" s="14"/>
      <c r="K321" s="12"/>
    </row>
    <row r="322" ht="19.5" customHeight="1">
      <c r="A322" s="12"/>
      <c r="C322" s="12"/>
      <c r="D322" s="13"/>
      <c r="F322" s="14"/>
      <c r="G322" s="14"/>
      <c r="H322" s="14"/>
      <c r="I322" s="14"/>
      <c r="J322" s="14"/>
      <c r="K322" s="12"/>
    </row>
    <row r="323" ht="19.5" customHeight="1">
      <c r="A323" s="12"/>
      <c r="C323" s="12"/>
      <c r="D323" s="13"/>
      <c r="F323" s="14"/>
      <c r="G323" s="14"/>
      <c r="H323" s="14"/>
      <c r="I323" s="14"/>
      <c r="J323" s="14"/>
      <c r="K323" s="12"/>
    </row>
    <row r="324" ht="19.5" customHeight="1">
      <c r="A324" s="12"/>
      <c r="C324" s="12"/>
      <c r="D324" s="13"/>
      <c r="F324" s="14"/>
      <c r="G324" s="14"/>
      <c r="H324" s="14"/>
      <c r="I324" s="14"/>
      <c r="J324" s="14"/>
      <c r="K324" s="12"/>
    </row>
    <row r="325" ht="19.5" customHeight="1">
      <c r="A325" s="12"/>
      <c r="C325" s="12"/>
      <c r="D325" s="13"/>
      <c r="F325" s="14"/>
      <c r="G325" s="14"/>
      <c r="H325" s="14"/>
      <c r="I325" s="14"/>
      <c r="J325" s="14"/>
      <c r="K325" s="12"/>
    </row>
    <row r="326" ht="19.5" customHeight="1">
      <c r="A326" s="12"/>
      <c r="C326" s="12"/>
      <c r="D326" s="13"/>
      <c r="F326" s="14"/>
      <c r="G326" s="14"/>
      <c r="H326" s="14"/>
      <c r="I326" s="14"/>
      <c r="J326" s="14"/>
      <c r="K326" s="12"/>
    </row>
    <row r="327" ht="19.5" customHeight="1">
      <c r="A327" s="12"/>
      <c r="C327" s="12"/>
      <c r="D327" s="13"/>
      <c r="F327" s="14"/>
      <c r="G327" s="14"/>
      <c r="H327" s="14"/>
      <c r="I327" s="14"/>
      <c r="J327" s="14"/>
      <c r="K327" s="12"/>
    </row>
    <row r="328" ht="19.5" customHeight="1">
      <c r="A328" s="12"/>
      <c r="C328" s="12"/>
      <c r="D328" s="13"/>
      <c r="F328" s="14"/>
      <c r="G328" s="14"/>
      <c r="H328" s="14"/>
      <c r="I328" s="14"/>
      <c r="J328" s="14"/>
      <c r="K328" s="12"/>
    </row>
    <row r="329" ht="19.5" customHeight="1">
      <c r="A329" s="12"/>
      <c r="C329" s="12"/>
      <c r="D329" s="13"/>
      <c r="F329" s="14"/>
      <c r="G329" s="14"/>
      <c r="H329" s="14"/>
      <c r="I329" s="14"/>
      <c r="J329" s="14"/>
      <c r="K329" s="12"/>
    </row>
    <row r="330" ht="19.5" customHeight="1">
      <c r="A330" s="12"/>
      <c r="C330" s="12"/>
      <c r="D330" s="13"/>
      <c r="F330" s="14"/>
      <c r="G330" s="14"/>
      <c r="H330" s="14"/>
      <c r="I330" s="14"/>
      <c r="J330" s="14"/>
      <c r="K330" s="12"/>
    </row>
    <row r="331" ht="19.5" customHeight="1">
      <c r="A331" s="12"/>
      <c r="C331" s="12"/>
      <c r="D331" s="13"/>
      <c r="F331" s="14"/>
      <c r="G331" s="14"/>
      <c r="H331" s="14"/>
      <c r="I331" s="14"/>
      <c r="J331" s="14"/>
      <c r="K331" s="12"/>
    </row>
    <row r="332" ht="19.5" customHeight="1">
      <c r="A332" s="12"/>
      <c r="C332" s="12"/>
      <c r="D332" s="13"/>
      <c r="F332" s="14"/>
      <c r="G332" s="14"/>
      <c r="H332" s="14"/>
      <c r="I332" s="14"/>
      <c r="J332" s="14"/>
      <c r="K332" s="12"/>
    </row>
    <row r="333" ht="19.5" customHeight="1">
      <c r="A333" s="12"/>
      <c r="C333" s="12"/>
      <c r="D333" s="13"/>
      <c r="F333" s="14"/>
      <c r="G333" s="14"/>
      <c r="H333" s="14"/>
      <c r="I333" s="14"/>
      <c r="J333" s="14"/>
      <c r="K333" s="12"/>
    </row>
    <row r="334" ht="19.5" customHeight="1">
      <c r="A334" s="12"/>
      <c r="C334" s="12"/>
      <c r="D334" s="13"/>
      <c r="F334" s="14"/>
      <c r="G334" s="14"/>
      <c r="H334" s="14"/>
      <c r="I334" s="14"/>
      <c r="J334" s="14"/>
      <c r="K334" s="12"/>
    </row>
    <row r="335" ht="19.5" customHeight="1">
      <c r="A335" s="12"/>
      <c r="C335" s="12"/>
      <c r="D335" s="13"/>
      <c r="F335" s="14"/>
      <c r="G335" s="14"/>
      <c r="H335" s="14"/>
      <c r="I335" s="14"/>
      <c r="J335" s="14"/>
      <c r="K335" s="12"/>
    </row>
    <row r="336" ht="19.5" customHeight="1">
      <c r="A336" s="12"/>
      <c r="C336" s="12"/>
      <c r="D336" s="13"/>
      <c r="F336" s="14"/>
      <c r="G336" s="14"/>
      <c r="H336" s="14"/>
      <c r="I336" s="14"/>
      <c r="J336" s="14"/>
      <c r="K336" s="12"/>
    </row>
    <row r="337" ht="19.5" customHeight="1">
      <c r="A337" s="12"/>
      <c r="C337" s="12"/>
      <c r="D337" s="13"/>
      <c r="F337" s="14"/>
      <c r="G337" s="14"/>
      <c r="H337" s="14"/>
      <c r="I337" s="14"/>
      <c r="J337" s="14"/>
      <c r="K337" s="12"/>
    </row>
    <row r="338" ht="19.5" customHeight="1">
      <c r="A338" s="12"/>
      <c r="C338" s="12"/>
      <c r="D338" s="13"/>
      <c r="F338" s="14"/>
      <c r="G338" s="14"/>
      <c r="H338" s="14"/>
      <c r="I338" s="14"/>
      <c r="J338" s="14"/>
      <c r="K338" s="12"/>
    </row>
    <row r="339" ht="19.5" customHeight="1">
      <c r="A339" s="12"/>
      <c r="C339" s="12"/>
      <c r="D339" s="13"/>
      <c r="F339" s="14"/>
      <c r="G339" s="14"/>
      <c r="H339" s="14"/>
      <c r="I339" s="14"/>
      <c r="J339" s="14"/>
      <c r="K339" s="12"/>
    </row>
    <row r="340" ht="19.5" customHeight="1">
      <c r="A340" s="12"/>
      <c r="C340" s="12"/>
      <c r="D340" s="13"/>
      <c r="F340" s="14"/>
      <c r="G340" s="14"/>
      <c r="H340" s="14"/>
      <c r="I340" s="14"/>
      <c r="J340" s="14"/>
      <c r="K340" s="12"/>
    </row>
    <row r="341" ht="19.5" customHeight="1">
      <c r="A341" s="12"/>
      <c r="C341" s="12"/>
      <c r="D341" s="13"/>
      <c r="F341" s="14"/>
      <c r="G341" s="14"/>
      <c r="H341" s="14"/>
      <c r="I341" s="14"/>
      <c r="J341" s="14"/>
      <c r="K341" s="12"/>
    </row>
    <row r="342" ht="19.5" customHeight="1">
      <c r="A342" s="12"/>
      <c r="C342" s="12"/>
      <c r="D342" s="13"/>
      <c r="F342" s="14"/>
      <c r="G342" s="14"/>
      <c r="H342" s="14"/>
      <c r="I342" s="14"/>
      <c r="J342" s="14"/>
      <c r="K342" s="12"/>
    </row>
    <row r="343" ht="19.5" customHeight="1">
      <c r="A343" s="12"/>
      <c r="C343" s="12"/>
      <c r="D343" s="13"/>
      <c r="F343" s="14"/>
      <c r="G343" s="14"/>
      <c r="H343" s="14"/>
      <c r="I343" s="14"/>
      <c r="J343" s="14"/>
      <c r="K343" s="12"/>
    </row>
    <row r="344" ht="19.5" customHeight="1">
      <c r="A344" s="12"/>
      <c r="C344" s="12"/>
      <c r="D344" s="13"/>
      <c r="F344" s="14"/>
      <c r="G344" s="14"/>
      <c r="H344" s="14"/>
      <c r="I344" s="14"/>
      <c r="J344" s="14"/>
      <c r="K344" s="12"/>
    </row>
    <row r="345" ht="19.5" customHeight="1">
      <c r="A345" s="12"/>
      <c r="C345" s="12"/>
      <c r="D345" s="13"/>
      <c r="F345" s="14"/>
      <c r="G345" s="14"/>
      <c r="H345" s="14"/>
      <c r="I345" s="14"/>
      <c r="J345" s="14"/>
      <c r="K345" s="12"/>
    </row>
    <row r="346" ht="19.5" customHeight="1">
      <c r="A346" s="12"/>
      <c r="C346" s="12"/>
      <c r="D346" s="13"/>
      <c r="F346" s="14"/>
      <c r="G346" s="14"/>
      <c r="H346" s="14"/>
      <c r="I346" s="14"/>
      <c r="J346" s="14"/>
      <c r="K346" s="12"/>
    </row>
    <row r="347" ht="19.5" customHeight="1">
      <c r="A347" s="12"/>
      <c r="C347" s="12"/>
      <c r="D347" s="13"/>
      <c r="F347" s="14"/>
      <c r="G347" s="14"/>
      <c r="H347" s="14"/>
      <c r="I347" s="14"/>
      <c r="J347" s="14"/>
      <c r="K347" s="12"/>
    </row>
    <row r="348" ht="19.5" customHeight="1">
      <c r="A348" s="12"/>
      <c r="C348" s="12"/>
      <c r="D348" s="13"/>
      <c r="F348" s="14"/>
      <c r="G348" s="14"/>
      <c r="H348" s="14"/>
      <c r="I348" s="14"/>
      <c r="J348" s="14"/>
      <c r="K348" s="12"/>
    </row>
    <row r="349" ht="19.5" customHeight="1">
      <c r="A349" s="12"/>
      <c r="C349" s="12"/>
      <c r="D349" s="13"/>
      <c r="F349" s="14"/>
      <c r="G349" s="14"/>
      <c r="H349" s="14"/>
      <c r="I349" s="14"/>
      <c r="J349" s="14"/>
      <c r="K349" s="12"/>
    </row>
    <row r="350" ht="19.5" customHeight="1">
      <c r="A350" s="12"/>
      <c r="C350" s="12"/>
      <c r="D350" s="13"/>
      <c r="F350" s="14"/>
      <c r="G350" s="14"/>
      <c r="H350" s="14"/>
      <c r="I350" s="14"/>
      <c r="J350" s="14"/>
      <c r="K350" s="12"/>
    </row>
    <row r="351" ht="19.5" customHeight="1">
      <c r="A351" s="12"/>
      <c r="C351" s="12"/>
      <c r="D351" s="13"/>
      <c r="F351" s="14"/>
      <c r="G351" s="14"/>
      <c r="H351" s="14"/>
      <c r="I351" s="14"/>
      <c r="J351" s="14"/>
      <c r="K351" s="12"/>
    </row>
    <row r="352" ht="19.5" customHeight="1">
      <c r="A352" s="12"/>
      <c r="C352" s="12"/>
      <c r="D352" s="13"/>
      <c r="F352" s="14"/>
      <c r="G352" s="14"/>
      <c r="H352" s="14"/>
      <c r="I352" s="14"/>
      <c r="J352" s="14"/>
      <c r="K352" s="12"/>
    </row>
    <row r="353" ht="19.5" customHeight="1">
      <c r="A353" s="12"/>
      <c r="C353" s="12"/>
      <c r="D353" s="13"/>
      <c r="F353" s="14"/>
      <c r="G353" s="14"/>
      <c r="H353" s="14"/>
      <c r="I353" s="14"/>
      <c r="J353" s="14"/>
      <c r="K353" s="12"/>
    </row>
    <row r="354" ht="19.5" customHeight="1">
      <c r="A354" s="12"/>
      <c r="C354" s="12"/>
      <c r="D354" s="13"/>
      <c r="F354" s="14"/>
      <c r="G354" s="14"/>
      <c r="H354" s="14"/>
      <c r="I354" s="14"/>
      <c r="J354" s="14"/>
      <c r="K354" s="12"/>
    </row>
    <row r="355" ht="19.5" customHeight="1">
      <c r="A355" s="12"/>
      <c r="C355" s="12"/>
      <c r="D355" s="13"/>
      <c r="F355" s="14"/>
      <c r="G355" s="14"/>
      <c r="H355" s="14"/>
      <c r="I355" s="14"/>
      <c r="J355" s="14"/>
      <c r="K355" s="12"/>
    </row>
    <row r="356" ht="19.5" customHeight="1">
      <c r="A356" s="12"/>
      <c r="C356" s="12"/>
      <c r="D356" s="13"/>
      <c r="F356" s="14"/>
      <c r="G356" s="14"/>
      <c r="H356" s="14"/>
      <c r="I356" s="14"/>
      <c r="J356" s="14"/>
      <c r="K356" s="12"/>
    </row>
    <row r="357" ht="19.5" customHeight="1">
      <c r="A357" s="12"/>
      <c r="C357" s="12"/>
      <c r="D357" s="13"/>
      <c r="F357" s="14"/>
      <c r="G357" s="14"/>
      <c r="H357" s="14"/>
      <c r="I357" s="14"/>
      <c r="J357" s="14"/>
      <c r="K357" s="12"/>
    </row>
    <row r="358" ht="19.5" customHeight="1">
      <c r="A358" s="12"/>
      <c r="C358" s="12"/>
      <c r="D358" s="13"/>
      <c r="F358" s="14"/>
      <c r="G358" s="14"/>
      <c r="H358" s="14"/>
      <c r="I358" s="14"/>
      <c r="J358" s="14"/>
      <c r="K358" s="12"/>
    </row>
    <row r="359" ht="19.5" customHeight="1">
      <c r="A359" s="12"/>
      <c r="C359" s="12"/>
      <c r="D359" s="13"/>
      <c r="F359" s="14"/>
      <c r="G359" s="14"/>
      <c r="H359" s="14"/>
      <c r="I359" s="14"/>
      <c r="J359" s="14"/>
      <c r="K359" s="12"/>
    </row>
    <row r="360" ht="19.5" customHeight="1">
      <c r="A360" s="12"/>
      <c r="C360" s="12"/>
      <c r="D360" s="13"/>
      <c r="F360" s="14"/>
      <c r="G360" s="14"/>
      <c r="H360" s="14"/>
      <c r="I360" s="14"/>
      <c r="J360" s="14"/>
      <c r="K360" s="12"/>
    </row>
    <row r="361" ht="19.5" customHeight="1">
      <c r="A361" s="12"/>
      <c r="C361" s="12"/>
      <c r="D361" s="13"/>
      <c r="F361" s="14"/>
      <c r="G361" s="14"/>
      <c r="H361" s="14"/>
      <c r="I361" s="14"/>
      <c r="J361" s="14"/>
      <c r="K361" s="12"/>
    </row>
    <row r="362" ht="19.5" customHeight="1">
      <c r="A362" s="12"/>
      <c r="C362" s="12"/>
      <c r="D362" s="13"/>
      <c r="F362" s="14"/>
      <c r="G362" s="14"/>
      <c r="H362" s="14"/>
      <c r="I362" s="14"/>
      <c r="J362" s="14"/>
      <c r="K362" s="12"/>
    </row>
    <row r="363" ht="19.5" customHeight="1">
      <c r="A363" s="12"/>
      <c r="C363" s="12"/>
      <c r="D363" s="13"/>
      <c r="F363" s="14"/>
      <c r="G363" s="14"/>
      <c r="H363" s="14"/>
      <c r="I363" s="14"/>
      <c r="J363" s="14"/>
      <c r="K363" s="12"/>
    </row>
    <row r="364" ht="19.5" customHeight="1">
      <c r="A364" s="12"/>
      <c r="C364" s="12"/>
      <c r="D364" s="13"/>
      <c r="F364" s="14"/>
      <c r="G364" s="14"/>
      <c r="H364" s="14"/>
      <c r="I364" s="14"/>
      <c r="J364" s="14"/>
      <c r="K364" s="12"/>
    </row>
    <row r="365" ht="19.5" customHeight="1">
      <c r="A365" s="12"/>
      <c r="C365" s="12"/>
      <c r="D365" s="13"/>
      <c r="F365" s="14"/>
      <c r="G365" s="14"/>
      <c r="H365" s="14"/>
      <c r="I365" s="14"/>
      <c r="J365" s="14"/>
      <c r="K365" s="12"/>
    </row>
    <row r="366" ht="19.5" customHeight="1">
      <c r="A366" s="12"/>
      <c r="C366" s="12"/>
      <c r="D366" s="13"/>
      <c r="F366" s="14"/>
      <c r="G366" s="14"/>
      <c r="H366" s="14"/>
      <c r="I366" s="14"/>
      <c r="J366" s="14"/>
      <c r="K366" s="12"/>
    </row>
    <row r="367" ht="19.5" customHeight="1">
      <c r="A367" s="12"/>
      <c r="C367" s="12"/>
      <c r="D367" s="13"/>
      <c r="F367" s="14"/>
      <c r="G367" s="14"/>
      <c r="H367" s="14"/>
      <c r="I367" s="14"/>
      <c r="J367" s="14"/>
      <c r="K367" s="12"/>
    </row>
    <row r="368" ht="19.5" customHeight="1">
      <c r="A368" s="12"/>
      <c r="C368" s="12"/>
      <c r="D368" s="13"/>
      <c r="F368" s="14"/>
      <c r="G368" s="14"/>
      <c r="H368" s="14"/>
      <c r="I368" s="14"/>
      <c r="J368" s="14"/>
      <c r="K368" s="12"/>
    </row>
    <row r="369" ht="19.5" customHeight="1">
      <c r="A369" s="12"/>
      <c r="C369" s="12"/>
      <c r="D369" s="13"/>
      <c r="F369" s="14"/>
      <c r="G369" s="14"/>
      <c r="H369" s="14"/>
      <c r="I369" s="14"/>
      <c r="J369" s="14"/>
      <c r="K369" s="12"/>
    </row>
    <row r="370" ht="19.5" customHeight="1">
      <c r="A370" s="12"/>
      <c r="C370" s="12"/>
      <c r="D370" s="13"/>
      <c r="F370" s="14"/>
      <c r="G370" s="14"/>
      <c r="H370" s="14"/>
      <c r="I370" s="14"/>
      <c r="J370" s="14"/>
      <c r="K370" s="12"/>
    </row>
    <row r="371" ht="19.5" customHeight="1">
      <c r="A371" s="12"/>
      <c r="C371" s="12"/>
      <c r="D371" s="13"/>
      <c r="F371" s="14"/>
      <c r="G371" s="14"/>
      <c r="H371" s="14"/>
      <c r="I371" s="14"/>
      <c r="J371" s="14"/>
      <c r="K371" s="12"/>
    </row>
    <row r="372" ht="19.5" customHeight="1">
      <c r="A372" s="12"/>
      <c r="C372" s="12"/>
      <c r="D372" s="13"/>
      <c r="F372" s="14"/>
      <c r="G372" s="14"/>
      <c r="H372" s="14"/>
      <c r="I372" s="14"/>
      <c r="J372" s="14"/>
      <c r="K372" s="12"/>
    </row>
    <row r="373" ht="19.5" customHeight="1">
      <c r="A373" s="12"/>
      <c r="C373" s="12"/>
      <c r="D373" s="13"/>
      <c r="F373" s="14"/>
      <c r="G373" s="14"/>
      <c r="H373" s="14"/>
      <c r="I373" s="14"/>
      <c r="J373" s="14"/>
      <c r="K373" s="12"/>
    </row>
    <row r="374" ht="19.5" customHeight="1">
      <c r="A374" s="12"/>
      <c r="C374" s="12"/>
      <c r="D374" s="13"/>
      <c r="F374" s="14"/>
      <c r="G374" s="14"/>
      <c r="H374" s="14"/>
      <c r="I374" s="14"/>
      <c r="J374" s="14"/>
      <c r="K374" s="12"/>
    </row>
    <row r="375" ht="19.5" customHeight="1">
      <c r="A375" s="12"/>
      <c r="C375" s="12"/>
      <c r="D375" s="13"/>
      <c r="F375" s="14"/>
      <c r="G375" s="14"/>
      <c r="H375" s="14"/>
      <c r="I375" s="14"/>
      <c r="J375" s="14"/>
      <c r="K375" s="12"/>
    </row>
    <row r="376" ht="19.5" customHeight="1">
      <c r="A376" s="12"/>
      <c r="C376" s="12"/>
      <c r="D376" s="13"/>
      <c r="F376" s="14"/>
      <c r="G376" s="14"/>
      <c r="H376" s="14"/>
      <c r="I376" s="14"/>
      <c r="J376" s="14"/>
      <c r="K376" s="12"/>
    </row>
    <row r="377" ht="19.5" customHeight="1">
      <c r="A377" s="12"/>
      <c r="C377" s="12"/>
      <c r="D377" s="13"/>
      <c r="F377" s="14"/>
      <c r="G377" s="14"/>
      <c r="H377" s="14"/>
      <c r="I377" s="14"/>
      <c r="J377" s="14"/>
      <c r="K377" s="12"/>
    </row>
    <row r="378" ht="19.5" customHeight="1">
      <c r="A378" s="12"/>
      <c r="C378" s="12"/>
      <c r="D378" s="13"/>
      <c r="F378" s="14"/>
      <c r="G378" s="14"/>
      <c r="H378" s="14"/>
      <c r="I378" s="14"/>
      <c r="J378" s="14"/>
      <c r="K378" s="12"/>
    </row>
    <row r="379" ht="19.5" customHeight="1">
      <c r="A379" s="12"/>
      <c r="C379" s="12"/>
      <c r="D379" s="13"/>
      <c r="F379" s="14"/>
      <c r="G379" s="14"/>
      <c r="H379" s="14"/>
      <c r="I379" s="14"/>
      <c r="J379" s="14"/>
      <c r="K379" s="12"/>
    </row>
    <row r="380" ht="19.5" customHeight="1">
      <c r="A380" s="12"/>
      <c r="C380" s="12"/>
      <c r="D380" s="13"/>
      <c r="F380" s="14"/>
      <c r="G380" s="14"/>
      <c r="H380" s="14"/>
      <c r="I380" s="14"/>
      <c r="J380" s="14"/>
      <c r="K380" s="12"/>
    </row>
    <row r="381" ht="19.5" customHeight="1">
      <c r="A381" s="12"/>
      <c r="C381" s="12"/>
      <c r="D381" s="13"/>
      <c r="F381" s="14"/>
      <c r="G381" s="14"/>
      <c r="H381" s="14"/>
      <c r="I381" s="14"/>
      <c r="J381" s="14"/>
      <c r="K381" s="12"/>
    </row>
    <row r="382" ht="19.5" customHeight="1">
      <c r="A382" s="12"/>
      <c r="C382" s="12"/>
      <c r="D382" s="13"/>
      <c r="F382" s="14"/>
      <c r="G382" s="14"/>
      <c r="H382" s="14"/>
      <c r="I382" s="14"/>
      <c r="J382" s="14"/>
      <c r="K382" s="12"/>
    </row>
    <row r="383" ht="19.5" customHeight="1">
      <c r="A383" s="12"/>
      <c r="C383" s="12"/>
      <c r="D383" s="13"/>
      <c r="F383" s="14"/>
      <c r="G383" s="14"/>
      <c r="H383" s="14"/>
      <c r="I383" s="14"/>
      <c r="J383" s="14"/>
      <c r="K383" s="12"/>
    </row>
    <row r="384" ht="19.5" customHeight="1">
      <c r="A384" s="12"/>
      <c r="C384" s="12"/>
      <c r="D384" s="13"/>
      <c r="F384" s="14"/>
      <c r="G384" s="14"/>
      <c r="H384" s="14"/>
      <c r="I384" s="14"/>
      <c r="J384" s="14"/>
      <c r="K384" s="12"/>
    </row>
    <row r="385" ht="19.5" customHeight="1">
      <c r="A385" s="12"/>
      <c r="C385" s="12"/>
      <c r="D385" s="13"/>
      <c r="F385" s="14"/>
      <c r="G385" s="14"/>
      <c r="H385" s="14"/>
      <c r="I385" s="14"/>
      <c r="J385" s="14"/>
      <c r="K385" s="12"/>
    </row>
    <row r="386" ht="19.5" customHeight="1">
      <c r="A386" s="12"/>
      <c r="C386" s="12"/>
      <c r="D386" s="13"/>
      <c r="F386" s="14"/>
      <c r="G386" s="14"/>
      <c r="H386" s="14"/>
      <c r="I386" s="14"/>
      <c r="J386" s="14"/>
      <c r="K386" s="12"/>
    </row>
    <row r="387" ht="19.5" customHeight="1">
      <c r="A387" s="12"/>
      <c r="C387" s="12"/>
      <c r="D387" s="13"/>
      <c r="F387" s="14"/>
      <c r="G387" s="14"/>
      <c r="H387" s="14"/>
      <c r="I387" s="14"/>
      <c r="J387" s="14"/>
      <c r="K387" s="12"/>
    </row>
    <row r="388" ht="19.5" customHeight="1">
      <c r="A388" s="12"/>
      <c r="C388" s="12"/>
      <c r="D388" s="13"/>
      <c r="F388" s="14"/>
      <c r="G388" s="14"/>
      <c r="H388" s="14"/>
      <c r="I388" s="14"/>
      <c r="J388" s="14"/>
      <c r="K388" s="12"/>
    </row>
    <row r="389" ht="19.5" customHeight="1">
      <c r="A389" s="12"/>
      <c r="C389" s="12"/>
      <c r="D389" s="13"/>
      <c r="F389" s="14"/>
      <c r="G389" s="14"/>
      <c r="H389" s="14"/>
      <c r="I389" s="14"/>
      <c r="J389" s="14"/>
      <c r="K389" s="12"/>
    </row>
    <row r="390" ht="19.5" customHeight="1">
      <c r="A390" s="12"/>
      <c r="C390" s="12"/>
      <c r="D390" s="13"/>
      <c r="F390" s="14"/>
      <c r="G390" s="14"/>
      <c r="H390" s="14"/>
      <c r="I390" s="14"/>
      <c r="J390" s="14"/>
      <c r="K390" s="12"/>
    </row>
    <row r="391" ht="19.5" customHeight="1">
      <c r="A391" s="12"/>
      <c r="C391" s="12"/>
      <c r="D391" s="13"/>
      <c r="F391" s="14"/>
      <c r="G391" s="14"/>
      <c r="H391" s="14"/>
      <c r="I391" s="14"/>
      <c r="J391" s="14"/>
      <c r="K391" s="12"/>
    </row>
    <row r="392" ht="19.5" customHeight="1">
      <c r="A392" s="12"/>
      <c r="C392" s="12"/>
      <c r="D392" s="13"/>
      <c r="F392" s="14"/>
      <c r="G392" s="14"/>
      <c r="H392" s="14"/>
      <c r="I392" s="14"/>
      <c r="J392" s="14"/>
      <c r="K392" s="12"/>
    </row>
    <row r="393" ht="19.5" customHeight="1">
      <c r="A393" s="12"/>
      <c r="C393" s="12"/>
      <c r="D393" s="13"/>
      <c r="F393" s="14"/>
      <c r="G393" s="14"/>
      <c r="H393" s="14"/>
      <c r="I393" s="14"/>
      <c r="J393" s="14"/>
      <c r="K393" s="12"/>
    </row>
    <row r="394" ht="19.5" customHeight="1">
      <c r="A394" s="12"/>
      <c r="C394" s="12"/>
      <c r="D394" s="13"/>
      <c r="F394" s="14"/>
      <c r="G394" s="14"/>
      <c r="H394" s="14"/>
      <c r="I394" s="14"/>
      <c r="J394" s="14"/>
      <c r="K394" s="12"/>
    </row>
    <row r="395" ht="19.5" customHeight="1">
      <c r="A395" s="12"/>
      <c r="C395" s="12"/>
      <c r="D395" s="13"/>
      <c r="F395" s="14"/>
      <c r="G395" s="14"/>
      <c r="H395" s="14"/>
      <c r="I395" s="14"/>
      <c r="J395" s="14"/>
      <c r="K395" s="12"/>
    </row>
    <row r="396" ht="19.5" customHeight="1">
      <c r="A396" s="12"/>
      <c r="C396" s="12"/>
      <c r="D396" s="13"/>
      <c r="F396" s="14"/>
      <c r="G396" s="14"/>
      <c r="H396" s="14"/>
      <c r="I396" s="14"/>
      <c r="J396" s="14"/>
      <c r="K396" s="12"/>
    </row>
    <row r="397" ht="19.5" customHeight="1">
      <c r="A397" s="12"/>
      <c r="C397" s="12"/>
      <c r="D397" s="13"/>
      <c r="F397" s="14"/>
      <c r="G397" s="14"/>
      <c r="H397" s="14"/>
      <c r="I397" s="14"/>
      <c r="J397" s="14"/>
      <c r="K397" s="12"/>
    </row>
    <row r="398" ht="19.5" customHeight="1">
      <c r="A398" s="12"/>
      <c r="C398" s="12"/>
      <c r="D398" s="13"/>
      <c r="F398" s="14"/>
      <c r="G398" s="14"/>
      <c r="H398" s="14"/>
      <c r="I398" s="14"/>
      <c r="J398" s="14"/>
      <c r="K398" s="12"/>
    </row>
    <row r="399" ht="19.5" customHeight="1">
      <c r="A399" s="12"/>
      <c r="C399" s="12"/>
      <c r="D399" s="13"/>
      <c r="F399" s="14"/>
      <c r="G399" s="14"/>
      <c r="H399" s="14"/>
      <c r="I399" s="14"/>
      <c r="J399" s="14"/>
      <c r="K399" s="12"/>
    </row>
    <row r="400" ht="19.5" customHeight="1">
      <c r="A400" s="12"/>
      <c r="C400" s="12"/>
      <c r="D400" s="13"/>
      <c r="F400" s="14"/>
      <c r="G400" s="14"/>
      <c r="H400" s="14"/>
      <c r="I400" s="14"/>
      <c r="J400" s="14"/>
      <c r="K400" s="12"/>
    </row>
    <row r="401" ht="19.5" customHeight="1">
      <c r="A401" s="12"/>
      <c r="C401" s="12"/>
      <c r="D401" s="13"/>
      <c r="F401" s="14"/>
      <c r="G401" s="14"/>
      <c r="H401" s="14"/>
      <c r="I401" s="14"/>
      <c r="J401" s="14"/>
      <c r="K401" s="12"/>
    </row>
    <row r="402" ht="19.5" customHeight="1">
      <c r="A402" s="12"/>
      <c r="C402" s="12"/>
      <c r="D402" s="13"/>
      <c r="F402" s="14"/>
      <c r="G402" s="14"/>
      <c r="H402" s="14"/>
      <c r="I402" s="14"/>
      <c r="J402" s="14"/>
      <c r="K402" s="12"/>
    </row>
    <row r="403" ht="19.5" customHeight="1">
      <c r="A403" s="12"/>
      <c r="C403" s="12"/>
      <c r="D403" s="13"/>
      <c r="F403" s="14"/>
      <c r="G403" s="14"/>
      <c r="H403" s="14"/>
      <c r="I403" s="14"/>
      <c r="J403" s="14"/>
      <c r="K403" s="12"/>
    </row>
    <row r="404" ht="19.5" customHeight="1">
      <c r="A404" s="12"/>
      <c r="C404" s="12"/>
      <c r="D404" s="13"/>
      <c r="F404" s="14"/>
      <c r="G404" s="14"/>
      <c r="H404" s="14"/>
      <c r="I404" s="14"/>
      <c r="J404" s="14"/>
      <c r="K404" s="12"/>
    </row>
    <row r="405" ht="19.5" customHeight="1">
      <c r="A405" s="12"/>
      <c r="C405" s="12"/>
      <c r="D405" s="13"/>
      <c r="F405" s="14"/>
      <c r="G405" s="14"/>
      <c r="H405" s="14"/>
      <c r="I405" s="14"/>
      <c r="J405" s="14"/>
      <c r="K405" s="12"/>
    </row>
    <row r="406" ht="19.5" customHeight="1">
      <c r="A406" s="12"/>
      <c r="C406" s="12"/>
      <c r="D406" s="13"/>
      <c r="F406" s="14"/>
      <c r="G406" s="14"/>
      <c r="H406" s="14"/>
      <c r="I406" s="14"/>
      <c r="J406" s="14"/>
      <c r="K406" s="12"/>
    </row>
    <row r="407" ht="19.5" customHeight="1">
      <c r="A407" s="12"/>
      <c r="C407" s="12"/>
      <c r="D407" s="13"/>
      <c r="F407" s="14"/>
      <c r="G407" s="14"/>
      <c r="H407" s="14"/>
      <c r="I407" s="14"/>
      <c r="J407" s="14"/>
      <c r="K407" s="12"/>
    </row>
    <row r="408" ht="19.5" customHeight="1">
      <c r="A408" s="12"/>
      <c r="C408" s="12"/>
      <c r="D408" s="13"/>
      <c r="F408" s="14"/>
      <c r="G408" s="14"/>
      <c r="H408" s="14"/>
      <c r="I408" s="14"/>
      <c r="J408" s="14"/>
      <c r="K408" s="12"/>
    </row>
    <row r="409" ht="19.5" customHeight="1">
      <c r="A409" s="12"/>
      <c r="C409" s="12"/>
      <c r="D409" s="13"/>
      <c r="F409" s="14"/>
      <c r="G409" s="14"/>
      <c r="H409" s="14"/>
      <c r="I409" s="14"/>
      <c r="J409" s="14"/>
      <c r="K409" s="12"/>
    </row>
    <row r="410" ht="19.5" customHeight="1">
      <c r="A410" s="12"/>
      <c r="C410" s="12"/>
      <c r="D410" s="13"/>
      <c r="F410" s="14"/>
      <c r="G410" s="14"/>
      <c r="H410" s="14"/>
      <c r="I410" s="14"/>
      <c r="J410" s="14"/>
      <c r="K410" s="12"/>
    </row>
    <row r="411" ht="19.5" customHeight="1">
      <c r="A411" s="12"/>
      <c r="C411" s="12"/>
      <c r="D411" s="13"/>
      <c r="F411" s="14"/>
      <c r="G411" s="14"/>
      <c r="H411" s="14"/>
      <c r="I411" s="14"/>
      <c r="J411" s="14"/>
      <c r="K411" s="12"/>
    </row>
    <row r="412" ht="19.5" customHeight="1">
      <c r="A412" s="12"/>
      <c r="C412" s="12"/>
      <c r="D412" s="13"/>
      <c r="F412" s="14"/>
      <c r="G412" s="14"/>
      <c r="H412" s="14"/>
      <c r="I412" s="14"/>
      <c r="J412" s="14"/>
      <c r="K412" s="12"/>
    </row>
    <row r="413" ht="19.5" customHeight="1">
      <c r="A413" s="12"/>
      <c r="C413" s="12"/>
      <c r="D413" s="13"/>
      <c r="F413" s="14"/>
      <c r="G413" s="14"/>
      <c r="H413" s="14"/>
      <c r="I413" s="14"/>
      <c r="J413" s="14"/>
      <c r="K413" s="12"/>
    </row>
    <row r="414" ht="19.5" customHeight="1">
      <c r="A414" s="12"/>
      <c r="C414" s="12"/>
      <c r="D414" s="13"/>
      <c r="F414" s="14"/>
      <c r="G414" s="14"/>
      <c r="H414" s="14"/>
      <c r="I414" s="14"/>
      <c r="J414" s="14"/>
      <c r="K414" s="12"/>
    </row>
    <row r="415" ht="19.5" customHeight="1">
      <c r="A415" s="12"/>
      <c r="C415" s="12"/>
      <c r="D415" s="13"/>
      <c r="F415" s="14"/>
      <c r="G415" s="14"/>
      <c r="H415" s="14"/>
      <c r="I415" s="14"/>
      <c r="J415" s="14"/>
      <c r="K415" s="12"/>
    </row>
    <row r="416" ht="19.5" customHeight="1">
      <c r="A416" s="12"/>
      <c r="C416" s="12"/>
      <c r="D416" s="13"/>
      <c r="F416" s="14"/>
      <c r="G416" s="14"/>
      <c r="H416" s="14"/>
      <c r="I416" s="14"/>
      <c r="J416" s="14"/>
      <c r="K416" s="12"/>
    </row>
    <row r="417" ht="19.5" customHeight="1">
      <c r="A417" s="12"/>
      <c r="C417" s="12"/>
      <c r="D417" s="13"/>
      <c r="F417" s="14"/>
      <c r="G417" s="14"/>
      <c r="H417" s="14"/>
      <c r="I417" s="14"/>
      <c r="J417" s="14"/>
      <c r="K417" s="12"/>
    </row>
    <row r="418" ht="19.5" customHeight="1">
      <c r="A418" s="12"/>
      <c r="C418" s="12"/>
      <c r="D418" s="13"/>
      <c r="F418" s="14"/>
      <c r="G418" s="14"/>
      <c r="H418" s="14"/>
      <c r="I418" s="14"/>
      <c r="J418" s="14"/>
      <c r="K418" s="12"/>
    </row>
    <row r="419" ht="19.5" customHeight="1">
      <c r="A419" s="12"/>
      <c r="C419" s="12"/>
      <c r="D419" s="13"/>
      <c r="F419" s="14"/>
      <c r="G419" s="14"/>
      <c r="H419" s="14"/>
      <c r="I419" s="14"/>
      <c r="J419" s="14"/>
      <c r="K419" s="12"/>
    </row>
    <row r="420" ht="19.5" customHeight="1">
      <c r="A420" s="12"/>
      <c r="C420" s="12"/>
      <c r="D420" s="13"/>
      <c r="F420" s="14"/>
      <c r="G420" s="14"/>
      <c r="H420" s="14"/>
      <c r="I420" s="14"/>
      <c r="J420" s="14"/>
      <c r="K420" s="12"/>
    </row>
    <row r="421" ht="19.5" customHeight="1">
      <c r="A421" s="12"/>
      <c r="C421" s="12"/>
      <c r="D421" s="13"/>
      <c r="F421" s="14"/>
      <c r="G421" s="14"/>
      <c r="H421" s="14"/>
      <c r="I421" s="14"/>
      <c r="J421" s="14"/>
      <c r="K421" s="12"/>
    </row>
    <row r="422" ht="19.5" customHeight="1">
      <c r="A422" s="12"/>
      <c r="C422" s="12"/>
      <c r="D422" s="13"/>
      <c r="F422" s="14"/>
      <c r="G422" s="14"/>
      <c r="H422" s="14"/>
      <c r="I422" s="14"/>
      <c r="J422" s="14"/>
      <c r="K422" s="12"/>
    </row>
    <row r="423" ht="19.5" customHeight="1">
      <c r="A423" s="12"/>
      <c r="C423" s="12"/>
      <c r="D423" s="13"/>
      <c r="F423" s="14"/>
      <c r="G423" s="14"/>
      <c r="H423" s="14"/>
      <c r="I423" s="14"/>
      <c r="J423" s="14"/>
      <c r="K423" s="12"/>
    </row>
    <row r="424" ht="19.5" customHeight="1">
      <c r="A424" s="12"/>
      <c r="C424" s="12"/>
      <c r="D424" s="13"/>
      <c r="F424" s="14"/>
      <c r="G424" s="14"/>
      <c r="H424" s="14"/>
      <c r="I424" s="14"/>
      <c r="J424" s="14"/>
      <c r="K424" s="12"/>
    </row>
    <row r="425" ht="19.5" customHeight="1">
      <c r="A425" s="12"/>
      <c r="C425" s="12"/>
      <c r="D425" s="13"/>
      <c r="F425" s="14"/>
      <c r="G425" s="14"/>
      <c r="H425" s="14"/>
      <c r="I425" s="14"/>
      <c r="J425" s="14"/>
      <c r="K425" s="12"/>
    </row>
    <row r="426" ht="19.5" customHeight="1">
      <c r="A426" s="12"/>
      <c r="C426" s="12"/>
      <c r="D426" s="13"/>
      <c r="F426" s="14"/>
      <c r="G426" s="14"/>
      <c r="H426" s="14"/>
      <c r="I426" s="14"/>
      <c r="J426" s="14"/>
      <c r="K426" s="12"/>
    </row>
    <row r="427" ht="19.5" customHeight="1">
      <c r="A427" s="12"/>
      <c r="C427" s="12"/>
      <c r="D427" s="13"/>
      <c r="F427" s="14"/>
      <c r="G427" s="14"/>
      <c r="H427" s="14"/>
      <c r="I427" s="14"/>
      <c r="J427" s="14"/>
      <c r="K427" s="12"/>
    </row>
    <row r="428" ht="19.5" customHeight="1">
      <c r="A428" s="12"/>
      <c r="C428" s="12"/>
      <c r="D428" s="13"/>
      <c r="F428" s="14"/>
      <c r="G428" s="14"/>
      <c r="H428" s="14"/>
      <c r="I428" s="14"/>
      <c r="J428" s="14"/>
      <c r="K428" s="12"/>
    </row>
    <row r="429" ht="19.5" customHeight="1">
      <c r="A429" s="12"/>
      <c r="C429" s="12"/>
      <c r="D429" s="13"/>
      <c r="F429" s="14"/>
      <c r="G429" s="14"/>
      <c r="H429" s="14"/>
      <c r="I429" s="14"/>
      <c r="J429" s="14"/>
      <c r="K429" s="12"/>
    </row>
    <row r="430" ht="19.5" customHeight="1">
      <c r="A430" s="12"/>
      <c r="C430" s="12"/>
      <c r="D430" s="13"/>
      <c r="F430" s="14"/>
      <c r="G430" s="14"/>
      <c r="H430" s="14"/>
      <c r="I430" s="14"/>
      <c r="J430" s="14"/>
      <c r="K430" s="12"/>
    </row>
    <row r="431" ht="19.5" customHeight="1">
      <c r="A431" s="12"/>
      <c r="C431" s="12"/>
      <c r="D431" s="13"/>
      <c r="F431" s="14"/>
      <c r="G431" s="14"/>
      <c r="H431" s="14"/>
      <c r="I431" s="14"/>
      <c r="J431" s="14"/>
      <c r="K431" s="12"/>
    </row>
    <row r="432" ht="19.5" customHeight="1">
      <c r="A432" s="12"/>
      <c r="C432" s="12"/>
      <c r="D432" s="13"/>
      <c r="F432" s="14"/>
      <c r="G432" s="14"/>
      <c r="H432" s="14"/>
      <c r="I432" s="14"/>
      <c r="J432" s="14"/>
      <c r="K432" s="12"/>
    </row>
    <row r="433" ht="19.5" customHeight="1">
      <c r="A433" s="12"/>
      <c r="C433" s="12"/>
      <c r="D433" s="13"/>
      <c r="F433" s="14"/>
      <c r="G433" s="14"/>
      <c r="H433" s="14"/>
      <c r="I433" s="14"/>
      <c r="J433" s="14"/>
      <c r="K433" s="12"/>
    </row>
    <row r="434" ht="19.5" customHeight="1">
      <c r="A434" s="12"/>
      <c r="C434" s="12"/>
      <c r="D434" s="13"/>
      <c r="F434" s="14"/>
      <c r="G434" s="14"/>
      <c r="H434" s="14"/>
      <c r="I434" s="14"/>
      <c r="J434" s="14"/>
      <c r="K434" s="12"/>
    </row>
    <row r="435" ht="19.5" customHeight="1">
      <c r="A435" s="12"/>
      <c r="C435" s="12"/>
      <c r="D435" s="13"/>
      <c r="F435" s="14"/>
      <c r="G435" s="14"/>
      <c r="H435" s="14"/>
      <c r="I435" s="14"/>
      <c r="J435" s="14"/>
      <c r="K435" s="12"/>
    </row>
    <row r="436" ht="19.5" customHeight="1">
      <c r="A436" s="12"/>
      <c r="C436" s="12"/>
      <c r="D436" s="13"/>
      <c r="F436" s="14"/>
      <c r="G436" s="14"/>
      <c r="H436" s="14"/>
      <c r="I436" s="14"/>
      <c r="J436" s="14"/>
      <c r="K436" s="12"/>
    </row>
    <row r="437" ht="19.5" customHeight="1">
      <c r="A437" s="12"/>
      <c r="C437" s="12"/>
      <c r="D437" s="13"/>
      <c r="F437" s="14"/>
      <c r="G437" s="14"/>
      <c r="H437" s="14"/>
      <c r="I437" s="14"/>
      <c r="J437" s="14"/>
      <c r="K437" s="12"/>
    </row>
    <row r="438" ht="19.5" customHeight="1">
      <c r="A438" s="12"/>
      <c r="C438" s="12"/>
      <c r="D438" s="13"/>
      <c r="F438" s="14"/>
      <c r="G438" s="14"/>
      <c r="H438" s="14"/>
      <c r="I438" s="14"/>
      <c r="J438" s="14"/>
      <c r="K438" s="12"/>
    </row>
    <row r="439" ht="19.5" customHeight="1">
      <c r="A439" s="12"/>
      <c r="C439" s="12"/>
      <c r="D439" s="13"/>
      <c r="F439" s="14"/>
      <c r="G439" s="14"/>
      <c r="H439" s="14"/>
      <c r="I439" s="14"/>
      <c r="J439" s="14"/>
      <c r="K439" s="12"/>
    </row>
    <row r="440" ht="19.5" customHeight="1">
      <c r="A440" s="12"/>
      <c r="C440" s="12"/>
      <c r="D440" s="13"/>
      <c r="F440" s="14"/>
      <c r="G440" s="14"/>
      <c r="H440" s="14"/>
      <c r="I440" s="14"/>
      <c r="J440" s="14"/>
      <c r="K440" s="12"/>
    </row>
    <row r="441" ht="19.5" customHeight="1">
      <c r="A441" s="12"/>
      <c r="C441" s="12"/>
      <c r="D441" s="13"/>
      <c r="F441" s="14"/>
      <c r="G441" s="14"/>
      <c r="H441" s="14"/>
      <c r="I441" s="14"/>
      <c r="J441" s="14"/>
      <c r="K441" s="12"/>
    </row>
    <row r="442" ht="19.5" customHeight="1">
      <c r="A442" s="12"/>
      <c r="C442" s="12"/>
      <c r="D442" s="13"/>
      <c r="F442" s="14"/>
      <c r="G442" s="14"/>
      <c r="H442" s="14"/>
      <c r="I442" s="14"/>
      <c r="J442" s="14"/>
      <c r="K442" s="12"/>
    </row>
    <row r="443" ht="19.5" customHeight="1">
      <c r="A443" s="12"/>
      <c r="C443" s="12"/>
      <c r="D443" s="13"/>
      <c r="F443" s="14"/>
      <c r="G443" s="14"/>
      <c r="H443" s="14"/>
      <c r="I443" s="14"/>
      <c r="J443" s="14"/>
      <c r="K443" s="12"/>
    </row>
    <row r="444" ht="19.5" customHeight="1">
      <c r="A444" s="12"/>
      <c r="C444" s="12"/>
      <c r="D444" s="13"/>
      <c r="F444" s="14"/>
      <c r="G444" s="14"/>
      <c r="H444" s="14"/>
      <c r="I444" s="14"/>
      <c r="J444" s="14"/>
      <c r="K444" s="12"/>
    </row>
    <row r="445" ht="19.5" customHeight="1">
      <c r="A445" s="12"/>
      <c r="C445" s="12"/>
      <c r="D445" s="13"/>
      <c r="F445" s="14"/>
      <c r="G445" s="14"/>
      <c r="H445" s="14"/>
      <c r="I445" s="14"/>
      <c r="J445" s="14"/>
      <c r="K445" s="12"/>
    </row>
    <row r="446" ht="19.5" customHeight="1">
      <c r="A446" s="12"/>
      <c r="C446" s="12"/>
      <c r="D446" s="13"/>
      <c r="F446" s="14"/>
      <c r="G446" s="14"/>
      <c r="H446" s="14"/>
      <c r="I446" s="14"/>
      <c r="J446" s="14"/>
      <c r="K446" s="12"/>
    </row>
    <row r="447" ht="19.5" customHeight="1">
      <c r="A447" s="12"/>
      <c r="C447" s="12"/>
      <c r="D447" s="13"/>
      <c r="F447" s="14"/>
      <c r="G447" s="14"/>
      <c r="H447" s="14"/>
      <c r="I447" s="14"/>
      <c r="J447" s="14"/>
      <c r="K447" s="12"/>
    </row>
    <row r="448" ht="19.5" customHeight="1">
      <c r="A448" s="12"/>
      <c r="C448" s="12"/>
      <c r="D448" s="13"/>
      <c r="F448" s="14"/>
      <c r="G448" s="14"/>
      <c r="H448" s="14"/>
      <c r="I448" s="14"/>
      <c r="J448" s="14"/>
      <c r="K448" s="12"/>
    </row>
    <row r="449" ht="19.5" customHeight="1">
      <c r="A449" s="12"/>
      <c r="C449" s="12"/>
      <c r="D449" s="13"/>
      <c r="F449" s="14"/>
      <c r="G449" s="14"/>
      <c r="H449" s="14"/>
      <c r="I449" s="14"/>
      <c r="J449" s="14"/>
      <c r="K449" s="12"/>
    </row>
    <row r="450" ht="19.5" customHeight="1">
      <c r="A450" s="12"/>
      <c r="C450" s="12"/>
      <c r="D450" s="13"/>
      <c r="F450" s="14"/>
      <c r="G450" s="14"/>
      <c r="H450" s="14"/>
      <c r="I450" s="14"/>
      <c r="J450" s="14"/>
      <c r="K450" s="12"/>
    </row>
    <row r="451" ht="19.5" customHeight="1">
      <c r="A451" s="12"/>
      <c r="C451" s="12"/>
      <c r="D451" s="13"/>
      <c r="F451" s="14"/>
      <c r="G451" s="14"/>
      <c r="H451" s="14"/>
      <c r="I451" s="14"/>
      <c r="J451" s="14"/>
      <c r="K451" s="12"/>
    </row>
    <row r="452" ht="19.5" customHeight="1">
      <c r="A452" s="12"/>
      <c r="C452" s="12"/>
      <c r="D452" s="13"/>
      <c r="F452" s="14"/>
      <c r="G452" s="14"/>
      <c r="H452" s="14"/>
      <c r="I452" s="14"/>
      <c r="J452" s="14"/>
      <c r="K452" s="12"/>
    </row>
    <row r="453" ht="19.5" customHeight="1">
      <c r="A453" s="12"/>
      <c r="C453" s="12"/>
      <c r="D453" s="13"/>
      <c r="F453" s="14"/>
      <c r="G453" s="14"/>
      <c r="H453" s="14"/>
      <c r="I453" s="14"/>
      <c r="J453" s="14"/>
      <c r="K453" s="12"/>
    </row>
    <row r="454" ht="19.5" customHeight="1">
      <c r="A454" s="12"/>
      <c r="C454" s="12"/>
      <c r="D454" s="13"/>
      <c r="F454" s="14"/>
      <c r="G454" s="14"/>
      <c r="H454" s="14"/>
      <c r="I454" s="14"/>
      <c r="J454" s="14"/>
      <c r="K454" s="12"/>
    </row>
    <row r="455" ht="19.5" customHeight="1">
      <c r="A455" s="12"/>
      <c r="C455" s="12"/>
      <c r="D455" s="13"/>
      <c r="F455" s="14"/>
      <c r="G455" s="14"/>
      <c r="H455" s="14"/>
      <c r="I455" s="14"/>
      <c r="J455" s="14"/>
      <c r="K455" s="12"/>
    </row>
    <row r="456" ht="19.5" customHeight="1">
      <c r="A456" s="12"/>
      <c r="C456" s="12"/>
      <c r="D456" s="13"/>
      <c r="F456" s="14"/>
      <c r="G456" s="14"/>
      <c r="H456" s="14"/>
      <c r="I456" s="14"/>
      <c r="J456" s="14"/>
      <c r="K456" s="12"/>
    </row>
    <row r="457" ht="19.5" customHeight="1">
      <c r="A457" s="12"/>
      <c r="C457" s="12"/>
      <c r="D457" s="13"/>
      <c r="F457" s="14"/>
      <c r="G457" s="14"/>
      <c r="H457" s="14"/>
      <c r="I457" s="14"/>
      <c r="J457" s="14"/>
      <c r="K457" s="12"/>
    </row>
    <row r="458" ht="19.5" customHeight="1">
      <c r="A458" s="12"/>
      <c r="C458" s="12"/>
      <c r="D458" s="13"/>
      <c r="F458" s="14"/>
      <c r="G458" s="14"/>
      <c r="H458" s="14"/>
      <c r="I458" s="14"/>
      <c r="J458" s="14"/>
      <c r="K458" s="12"/>
    </row>
    <row r="459" ht="19.5" customHeight="1">
      <c r="A459" s="12"/>
      <c r="C459" s="12"/>
      <c r="D459" s="13"/>
      <c r="F459" s="14"/>
      <c r="G459" s="14"/>
      <c r="H459" s="14"/>
      <c r="I459" s="14"/>
      <c r="J459" s="14"/>
      <c r="K459" s="12"/>
    </row>
    <row r="460" ht="19.5" customHeight="1">
      <c r="A460" s="12"/>
      <c r="C460" s="12"/>
      <c r="D460" s="13"/>
      <c r="F460" s="14"/>
      <c r="G460" s="14"/>
      <c r="H460" s="14"/>
      <c r="I460" s="14"/>
      <c r="J460" s="14"/>
      <c r="K460" s="12"/>
    </row>
    <row r="461" ht="19.5" customHeight="1">
      <c r="A461" s="12"/>
      <c r="C461" s="12"/>
      <c r="D461" s="13"/>
      <c r="F461" s="14"/>
      <c r="G461" s="14"/>
      <c r="H461" s="14"/>
      <c r="I461" s="14"/>
      <c r="J461" s="14"/>
      <c r="K461" s="12"/>
    </row>
    <row r="462" ht="19.5" customHeight="1">
      <c r="A462" s="12"/>
      <c r="C462" s="12"/>
      <c r="D462" s="13"/>
      <c r="F462" s="14"/>
      <c r="G462" s="14"/>
      <c r="H462" s="14"/>
      <c r="I462" s="14"/>
      <c r="J462" s="14"/>
      <c r="K462" s="12"/>
    </row>
    <row r="463" ht="19.5" customHeight="1">
      <c r="A463" s="12"/>
      <c r="C463" s="12"/>
      <c r="D463" s="13"/>
      <c r="F463" s="14"/>
      <c r="G463" s="14"/>
      <c r="H463" s="14"/>
      <c r="I463" s="14"/>
      <c r="J463" s="14"/>
      <c r="K463" s="12"/>
    </row>
    <row r="464" ht="19.5" customHeight="1">
      <c r="A464" s="12"/>
      <c r="C464" s="12"/>
      <c r="D464" s="13"/>
      <c r="F464" s="14"/>
      <c r="G464" s="14"/>
      <c r="H464" s="14"/>
      <c r="I464" s="14"/>
      <c r="J464" s="14"/>
      <c r="K464" s="12"/>
    </row>
    <row r="465" ht="19.5" customHeight="1">
      <c r="A465" s="12"/>
      <c r="C465" s="12"/>
      <c r="D465" s="13"/>
      <c r="F465" s="14"/>
      <c r="G465" s="14"/>
      <c r="H465" s="14"/>
      <c r="I465" s="14"/>
      <c r="J465" s="14"/>
      <c r="K465" s="12"/>
    </row>
    <row r="466" ht="19.5" customHeight="1">
      <c r="A466" s="12"/>
      <c r="C466" s="12"/>
      <c r="D466" s="13"/>
      <c r="F466" s="14"/>
      <c r="G466" s="14"/>
      <c r="H466" s="14"/>
      <c r="I466" s="14"/>
      <c r="J466" s="14"/>
      <c r="K466" s="12"/>
    </row>
    <row r="467" ht="19.5" customHeight="1">
      <c r="A467" s="12"/>
      <c r="C467" s="12"/>
      <c r="D467" s="13"/>
      <c r="F467" s="14"/>
      <c r="G467" s="14"/>
      <c r="H467" s="14"/>
      <c r="I467" s="14"/>
      <c r="J467" s="14"/>
      <c r="K467" s="12"/>
    </row>
    <row r="468" ht="19.5" customHeight="1">
      <c r="A468" s="12"/>
      <c r="C468" s="12"/>
      <c r="D468" s="13"/>
      <c r="F468" s="14"/>
      <c r="G468" s="14"/>
      <c r="H468" s="14"/>
      <c r="I468" s="14"/>
      <c r="J468" s="14"/>
      <c r="K468" s="12"/>
    </row>
    <row r="469" ht="19.5" customHeight="1">
      <c r="A469" s="12"/>
      <c r="C469" s="12"/>
      <c r="D469" s="13"/>
      <c r="F469" s="14"/>
      <c r="G469" s="14"/>
      <c r="H469" s="14"/>
      <c r="I469" s="14"/>
      <c r="J469" s="14"/>
      <c r="K469" s="12"/>
    </row>
    <row r="470" ht="19.5" customHeight="1">
      <c r="A470" s="12"/>
      <c r="C470" s="12"/>
      <c r="D470" s="13"/>
      <c r="F470" s="14"/>
      <c r="G470" s="14"/>
      <c r="H470" s="14"/>
      <c r="I470" s="14"/>
      <c r="J470" s="14"/>
      <c r="K470" s="12"/>
    </row>
    <row r="471" ht="19.5" customHeight="1">
      <c r="A471" s="12"/>
      <c r="C471" s="12"/>
      <c r="D471" s="13"/>
      <c r="F471" s="14"/>
      <c r="G471" s="14"/>
      <c r="H471" s="14"/>
      <c r="I471" s="14"/>
      <c r="J471" s="14"/>
      <c r="K471" s="12"/>
    </row>
    <row r="472" ht="19.5" customHeight="1">
      <c r="A472" s="12"/>
      <c r="C472" s="12"/>
      <c r="D472" s="13"/>
      <c r="F472" s="14"/>
      <c r="G472" s="14"/>
      <c r="H472" s="14"/>
      <c r="I472" s="14"/>
      <c r="J472" s="14"/>
      <c r="K472" s="12"/>
    </row>
    <row r="473" ht="19.5" customHeight="1">
      <c r="A473" s="12"/>
      <c r="C473" s="12"/>
      <c r="D473" s="13"/>
      <c r="F473" s="14"/>
      <c r="G473" s="14"/>
      <c r="H473" s="14"/>
      <c r="I473" s="14"/>
      <c r="J473" s="14"/>
      <c r="K473" s="12"/>
    </row>
    <row r="474" ht="19.5" customHeight="1">
      <c r="A474" s="12"/>
      <c r="C474" s="12"/>
      <c r="D474" s="13"/>
      <c r="F474" s="14"/>
      <c r="G474" s="14"/>
      <c r="H474" s="14"/>
      <c r="I474" s="14"/>
      <c r="J474" s="14"/>
      <c r="K474" s="12"/>
    </row>
    <row r="475" ht="19.5" customHeight="1">
      <c r="A475" s="12"/>
      <c r="C475" s="12"/>
      <c r="D475" s="13"/>
      <c r="F475" s="14"/>
      <c r="G475" s="14"/>
      <c r="H475" s="14"/>
      <c r="I475" s="14"/>
      <c r="J475" s="14"/>
      <c r="K475" s="12"/>
    </row>
    <row r="476" ht="19.5" customHeight="1">
      <c r="A476" s="12"/>
      <c r="C476" s="12"/>
      <c r="D476" s="13"/>
      <c r="F476" s="14"/>
      <c r="G476" s="14"/>
      <c r="H476" s="14"/>
      <c r="I476" s="14"/>
      <c r="J476" s="14"/>
      <c r="K476" s="12"/>
    </row>
    <row r="477" ht="19.5" customHeight="1">
      <c r="A477" s="12"/>
      <c r="C477" s="12"/>
      <c r="D477" s="13"/>
      <c r="F477" s="14"/>
      <c r="G477" s="14"/>
      <c r="H477" s="14"/>
      <c r="I477" s="14"/>
      <c r="J477" s="14"/>
      <c r="K477" s="12"/>
    </row>
    <row r="478" ht="19.5" customHeight="1">
      <c r="A478" s="12"/>
      <c r="C478" s="12"/>
      <c r="D478" s="13"/>
      <c r="F478" s="14"/>
      <c r="G478" s="14"/>
      <c r="H478" s="14"/>
      <c r="I478" s="14"/>
      <c r="J478" s="14"/>
      <c r="K478" s="12"/>
    </row>
    <row r="479" ht="19.5" customHeight="1">
      <c r="A479" s="12"/>
      <c r="C479" s="12"/>
      <c r="D479" s="13"/>
      <c r="F479" s="14"/>
      <c r="G479" s="14"/>
      <c r="H479" s="14"/>
      <c r="I479" s="14"/>
      <c r="J479" s="14"/>
      <c r="K479" s="12"/>
    </row>
    <row r="480" ht="19.5" customHeight="1">
      <c r="A480" s="12"/>
      <c r="C480" s="12"/>
      <c r="D480" s="13"/>
      <c r="F480" s="14"/>
      <c r="G480" s="14"/>
      <c r="H480" s="14"/>
      <c r="I480" s="14"/>
      <c r="J480" s="14"/>
      <c r="K480" s="12"/>
    </row>
    <row r="481" ht="19.5" customHeight="1">
      <c r="A481" s="12"/>
      <c r="C481" s="12"/>
      <c r="D481" s="13"/>
      <c r="F481" s="14"/>
      <c r="G481" s="14"/>
      <c r="H481" s="14"/>
      <c r="I481" s="14"/>
      <c r="J481" s="14"/>
      <c r="K481" s="12"/>
    </row>
    <row r="482" ht="19.5" customHeight="1">
      <c r="A482" s="12"/>
      <c r="C482" s="12"/>
      <c r="D482" s="13"/>
      <c r="F482" s="14"/>
      <c r="G482" s="14"/>
      <c r="H482" s="14"/>
      <c r="I482" s="14"/>
      <c r="J482" s="14"/>
      <c r="K482" s="12"/>
    </row>
    <row r="483" ht="19.5" customHeight="1">
      <c r="A483" s="12"/>
      <c r="C483" s="12"/>
      <c r="D483" s="13"/>
      <c r="F483" s="14"/>
      <c r="G483" s="14"/>
      <c r="H483" s="14"/>
      <c r="I483" s="14"/>
      <c r="J483" s="14"/>
      <c r="K483" s="12"/>
    </row>
    <row r="484" ht="19.5" customHeight="1">
      <c r="A484" s="12"/>
      <c r="C484" s="12"/>
      <c r="D484" s="13"/>
      <c r="F484" s="14"/>
      <c r="G484" s="14"/>
      <c r="H484" s="14"/>
      <c r="I484" s="14"/>
      <c r="J484" s="14"/>
      <c r="K484" s="12"/>
    </row>
    <row r="485" ht="19.5" customHeight="1">
      <c r="A485" s="12"/>
      <c r="C485" s="12"/>
      <c r="D485" s="13"/>
      <c r="F485" s="14"/>
      <c r="G485" s="14"/>
      <c r="H485" s="14"/>
      <c r="I485" s="14"/>
      <c r="J485" s="14"/>
      <c r="K485" s="12"/>
    </row>
    <row r="486" ht="19.5" customHeight="1">
      <c r="A486" s="12"/>
      <c r="C486" s="12"/>
      <c r="D486" s="13"/>
      <c r="F486" s="14"/>
      <c r="G486" s="14"/>
      <c r="H486" s="14"/>
      <c r="I486" s="14"/>
      <c r="J486" s="14"/>
      <c r="K486" s="12"/>
    </row>
    <row r="487" ht="19.5" customHeight="1">
      <c r="A487" s="12"/>
      <c r="C487" s="12"/>
      <c r="D487" s="13"/>
      <c r="F487" s="14"/>
      <c r="G487" s="14"/>
      <c r="H487" s="14"/>
      <c r="I487" s="14"/>
      <c r="J487" s="14"/>
      <c r="K487" s="12"/>
    </row>
    <row r="488" ht="19.5" customHeight="1">
      <c r="A488" s="12"/>
      <c r="C488" s="12"/>
      <c r="D488" s="13"/>
      <c r="F488" s="14"/>
      <c r="G488" s="14"/>
      <c r="H488" s="14"/>
      <c r="I488" s="14"/>
      <c r="J488" s="14"/>
      <c r="K488" s="12"/>
    </row>
    <row r="489" ht="19.5" customHeight="1">
      <c r="A489" s="12"/>
      <c r="C489" s="12"/>
      <c r="D489" s="13"/>
      <c r="F489" s="14"/>
      <c r="G489" s="14"/>
      <c r="H489" s="14"/>
      <c r="I489" s="14"/>
      <c r="J489" s="14"/>
      <c r="K489" s="12"/>
    </row>
    <row r="490" ht="19.5" customHeight="1">
      <c r="A490" s="12"/>
      <c r="C490" s="12"/>
      <c r="D490" s="13"/>
      <c r="F490" s="14"/>
      <c r="G490" s="14"/>
      <c r="H490" s="14"/>
      <c r="I490" s="14"/>
      <c r="J490" s="14"/>
      <c r="K490" s="12"/>
    </row>
    <row r="491" ht="19.5" customHeight="1">
      <c r="A491" s="12"/>
      <c r="C491" s="12"/>
      <c r="D491" s="13"/>
      <c r="F491" s="14"/>
      <c r="G491" s="14"/>
      <c r="H491" s="14"/>
      <c r="I491" s="14"/>
      <c r="J491" s="14"/>
      <c r="K491" s="12"/>
    </row>
    <row r="492" ht="19.5" customHeight="1">
      <c r="A492" s="12"/>
      <c r="C492" s="12"/>
      <c r="D492" s="13"/>
      <c r="F492" s="14"/>
      <c r="G492" s="14"/>
      <c r="H492" s="14"/>
      <c r="I492" s="14"/>
      <c r="J492" s="14"/>
      <c r="K492" s="12"/>
    </row>
    <row r="493" ht="19.5" customHeight="1">
      <c r="A493" s="12"/>
      <c r="C493" s="12"/>
      <c r="D493" s="13"/>
      <c r="F493" s="14"/>
      <c r="G493" s="14"/>
      <c r="H493" s="14"/>
      <c r="I493" s="14"/>
      <c r="J493" s="14"/>
      <c r="K493" s="12"/>
    </row>
    <row r="494" ht="19.5" customHeight="1">
      <c r="A494" s="12"/>
      <c r="C494" s="12"/>
      <c r="D494" s="13"/>
      <c r="F494" s="14"/>
      <c r="G494" s="14"/>
      <c r="H494" s="14"/>
      <c r="I494" s="14"/>
      <c r="J494" s="14"/>
      <c r="K494" s="12"/>
    </row>
    <row r="495" ht="19.5" customHeight="1">
      <c r="A495" s="12"/>
      <c r="C495" s="12"/>
      <c r="D495" s="13"/>
      <c r="F495" s="14"/>
      <c r="G495" s="14"/>
      <c r="H495" s="14"/>
      <c r="I495" s="14"/>
      <c r="J495" s="14"/>
      <c r="K495" s="12"/>
    </row>
    <row r="496" ht="19.5" customHeight="1">
      <c r="A496" s="12"/>
      <c r="C496" s="12"/>
      <c r="D496" s="13"/>
      <c r="F496" s="14"/>
      <c r="G496" s="14"/>
      <c r="H496" s="14"/>
      <c r="I496" s="14"/>
      <c r="J496" s="14"/>
      <c r="K496" s="12"/>
    </row>
    <row r="497" ht="19.5" customHeight="1">
      <c r="A497" s="12"/>
      <c r="C497" s="12"/>
      <c r="D497" s="13"/>
      <c r="F497" s="14"/>
      <c r="G497" s="14"/>
      <c r="H497" s="14"/>
      <c r="I497" s="14"/>
      <c r="J497" s="14"/>
      <c r="K497" s="12"/>
    </row>
    <row r="498" ht="19.5" customHeight="1">
      <c r="A498" s="12"/>
      <c r="C498" s="12"/>
      <c r="D498" s="13"/>
      <c r="F498" s="14"/>
      <c r="G498" s="14"/>
      <c r="H498" s="14"/>
      <c r="I498" s="14"/>
      <c r="J498" s="14"/>
      <c r="K498" s="12"/>
    </row>
    <row r="499" ht="19.5" customHeight="1">
      <c r="A499" s="12"/>
      <c r="C499" s="12"/>
      <c r="D499" s="13"/>
      <c r="F499" s="14"/>
      <c r="G499" s="14"/>
      <c r="H499" s="14"/>
      <c r="I499" s="14"/>
      <c r="J499" s="14"/>
      <c r="K499" s="12"/>
    </row>
    <row r="500" ht="19.5" customHeight="1">
      <c r="A500" s="12"/>
      <c r="C500" s="12"/>
      <c r="D500" s="13"/>
      <c r="F500" s="14"/>
      <c r="G500" s="14"/>
      <c r="H500" s="14"/>
      <c r="I500" s="14"/>
      <c r="J500" s="14"/>
      <c r="K500" s="12"/>
    </row>
    <row r="501" ht="19.5" customHeight="1">
      <c r="A501" s="12"/>
      <c r="C501" s="12"/>
      <c r="D501" s="13"/>
      <c r="F501" s="14"/>
      <c r="G501" s="14"/>
      <c r="H501" s="14"/>
      <c r="I501" s="14"/>
      <c r="J501" s="14"/>
      <c r="K501" s="12"/>
    </row>
    <row r="502" ht="19.5" customHeight="1">
      <c r="A502" s="12"/>
      <c r="C502" s="12"/>
      <c r="D502" s="13"/>
      <c r="F502" s="14"/>
      <c r="G502" s="14"/>
      <c r="H502" s="14"/>
      <c r="I502" s="14"/>
      <c r="J502" s="14"/>
      <c r="K502" s="12"/>
    </row>
    <row r="503" ht="19.5" customHeight="1">
      <c r="A503" s="12"/>
      <c r="C503" s="12"/>
      <c r="D503" s="13"/>
      <c r="F503" s="14"/>
      <c r="G503" s="14"/>
      <c r="H503" s="14"/>
      <c r="I503" s="14"/>
      <c r="J503" s="14"/>
      <c r="K503" s="12"/>
    </row>
    <row r="504" ht="19.5" customHeight="1">
      <c r="A504" s="12"/>
      <c r="C504" s="12"/>
      <c r="D504" s="13"/>
      <c r="F504" s="14"/>
      <c r="G504" s="14"/>
      <c r="H504" s="14"/>
      <c r="I504" s="14"/>
      <c r="J504" s="14"/>
      <c r="K504" s="12"/>
    </row>
    <row r="505" ht="19.5" customHeight="1">
      <c r="A505" s="12"/>
      <c r="C505" s="12"/>
      <c r="D505" s="13"/>
      <c r="F505" s="14"/>
      <c r="G505" s="14"/>
      <c r="H505" s="14"/>
      <c r="I505" s="14"/>
      <c r="J505" s="14"/>
      <c r="K505" s="12"/>
    </row>
    <row r="506" ht="19.5" customHeight="1">
      <c r="A506" s="12"/>
      <c r="C506" s="12"/>
      <c r="D506" s="13"/>
      <c r="F506" s="14"/>
      <c r="G506" s="14"/>
      <c r="H506" s="14"/>
      <c r="I506" s="14"/>
      <c r="J506" s="14"/>
      <c r="K506" s="12"/>
    </row>
    <row r="507" ht="19.5" customHeight="1">
      <c r="A507" s="12"/>
      <c r="C507" s="12"/>
      <c r="D507" s="13"/>
      <c r="F507" s="14"/>
      <c r="G507" s="14"/>
      <c r="H507" s="14"/>
      <c r="I507" s="14"/>
      <c r="J507" s="14"/>
      <c r="K507" s="12"/>
    </row>
    <row r="508" ht="19.5" customHeight="1">
      <c r="A508" s="12"/>
      <c r="C508" s="12"/>
      <c r="D508" s="13"/>
      <c r="F508" s="14"/>
      <c r="G508" s="14"/>
      <c r="H508" s="14"/>
      <c r="I508" s="14"/>
      <c r="J508" s="14"/>
      <c r="K508" s="12"/>
    </row>
    <row r="509" ht="19.5" customHeight="1">
      <c r="A509" s="12"/>
      <c r="C509" s="12"/>
      <c r="D509" s="13"/>
      <c r="F509" s="14"/>
      <c r="G509" s="14"/>
      <c r="H509" s="14"/>
      <c r="I509" s="14"/>
      <c r="J509" s="14"/>
      <c r="K509" s="12"/>
    </row>
    <row r="510" ht="19.5" customHeight="1">
      <c r="A510" s="12"/>
      <c r="C510" s="12"/>
      <c r="D510" s="13"/>
      <c r="F510" s="14"/>
      <c r="G510" s="14"/>
      <c r="H510" s="14"/>
      <c r="I510" s="14"/>
      <c r="J510" s="14"/>
      <c r="K510" s="12"/>
    </row>
    <row r="511" ht="19.5" customHeight="1">
      <c r="A511" s="12"/>
      <c r="C511" s="12"/>
      <c r="D511" s="13"/>
      <c r="F511" s="14"/>
      <c r="G511" s="14"/>
      <c r="H511" s="14"/>
      <c r="I511" s="14"/>
      <c r="J511" s="14"/>
      <c r="K511" s="12"/>
    </row>
    <row r="512" ht="19.5" customHeight="1">
      <c r="A512" s="12"/>
      <c r="C512" s="12"/>
      <c r="D512" s="13"/>
      <c r="F512" s="14"/>
      <c r="G512" s="14"/>
      <c r="H512" s="14"/>
      <c r="I512" s="14"/>
      <c r="J512" s="14"/>
      <c r="K512" s="12"/>
    </row>
    <row r="513" ht="19.5" customHeight="1">
      <c r="A513" s="12"/>
      <c r="C513" s="12"/>
      <c r="D513" s="13"/>
      <c r="F513" s="14"/>
      <c r="G513" s="14"/>
      <c r="H513" s="14"/>
      <c r="I513" s="14"/>
      <c r="J513" s="14"/>
      <c r="K513" s="12"/>
    </row>
    <row r="514" ht="19.5" customHeight="1">
      <c r="A514" s="12"/>
      <c r="C514" s="12"/>
      <c r="D514" s="13"/>
      <c r="F514" s="14"/>
      <c r="G514" s="14"/>
      <c r="H514" s="14"/>
      <c r="I514" s="14"/>
      <c r="J514" s="14"/>
      <c r="K514" s="12"/>
    </row>
    <row r="515" ht="19.5" customHeight="1">
      <c r="A515" s="12"/>
      <c r="C515" s="12"/>
      <c r="D515" s="13"/>
      <c r="F515" s="14"/>
      <c r="G515" s="14"/>
      <c r="H515" s="14"/>
      <c r="I515" s="14"/>
      <c r="J515" s="14"/>
      <c r="K515" s="12"/>
    </row>
    <row r="516" ht="19.5" customHeight="1">
      <c r="A516" s="12"/>
      <c r="C516" s="12"/>
      <c r="D516" s="13"/>
      <c r="F516" s="14"/>
      <c r="G516" s="14"/>
      <c r="H516" s="14"/>
      <c r="I516" s="14"/>
      <c r="J516" s="14"/>
      <c r="K516" s="12"/>
    </row>
    <row r="517" ht="19.5" customHeight="1">
      <c r="A517" s="12"/>
      <c r="C517" s="12"/>
      <c r="D517" s="13"/>
      <c r="F517" s="14"/>
      <c r="G517" s="14"/>
      <c r="H517" s="14"/>
      <c r="I517" s="14"/>
      <c r="J517" s="14"/>
      <c r="K517" s="12"/>
    </row>
    <row r="518" ht="19.5" customHeight="1">
      <c r="A518" s="12"/>
      <c r="C518" s="12"/>
      <c r="D518" s="13"/>
      <c r="F518" s="14"/>
      <c r="G518" s="14"/>
      <c r="H518" s="14"/>
      <c r="I518" s="14"/>
      <c r="J518" s="14"/>
      <c r="K518" s="12"/>
    </row>
    <row r="519" ht="19.5" customHeight="1">
      <c r="A519" s="12"/>
      <c r="C519" s="12"/>
      <c r="D519" s="13"/>
      <c r="F519" s="14"/>
      <c r="G519" s="14"/>
      <c r="H519" s="14"/>
      <c r="I519" s="14"/>
      <c r="J519" s="14"/>
      <c r="K519" s="12"/>
    </row>
    <row r="520" ht="19.5" customHeight="1">
      <c r="A520" s="12"/>
      <c r="C520" s="12"/>
      <c r="D520" s="13"/>
      <c r="F520" s="14"/>
      <c r="G520" s="14"/>
      <c r="H520" s="14"/>
      <c r="I520" s="14"/>
      <c r="J520" s="14"/>
      <c r="K520" s="12"/>
    </row>
    <row r="521" ht="19.5" customHeight="1">
      <c r="A521" s="12"/>
      <c r="C521" s="12"/>
      <c r="D521" s="13"/>
      <c r="F521" s="14"/>
      <c r="G521" s="14"/>
      <c r="H521" s="14"/>
      <c r="I521" s="14"/>
      <c r="J521" s="14"/>
      <c r="K521" s="12"/>
    </row>
    <row r="522" ht="19.5" customHeight="1">
      <c r="A522" s="12"/>
      <c r="C522" s="12"/>
      <c r="D522" s="13"/>
      <c r="F522" s="14"/>
      <c r="G522" s="14"/>
      <c r="H522" s="14"/>
      <c r="I522" s="14"/>
      <c r="J522" s="14"/>
      <c r="K522" s="12"/>
    </row>
    <row r="523" ht="19.5" customHeight="1">
      <c r="A523" s="12"/>
      <c r="C523" s="12"/>
      <c r="D523" s="13"/>
      <c r="F523" s="14"/>
      <c r="G523" s="14"/>
      <c r="H523" s="14"/>
      <c r="I523" s="14"/>
      <c r="J523" s="14"/>
      <c r="K523" s="12"/>
    </row>
    <row r="524" ht="19.5" customHeight="1">
      <c r="A524" s="12"/>
      <c r="C524" s="12"/>
      <c r="D524" s="13"/>
      <c r="F524" s="14"/>
      <c r="G524" s="14"/>
      <c r="H524" s="14"/>
      <c r="I524" s="14"/>
      <c r="J524" s="14"/>
      <c r="K524" s="12"/>
    </row>
    <row r="525" ht="19.5" customHeight="1">
      <c r="A525" s="12"/>
      <c r="C525" s="12"/>
      <c r="D525" s="13"/>
      <c r="F525" s="14"/>
      <c r="G525" s="14"/>
      <c r="H525" s="14"/>
      <c r="I525" s="14"/>
      <c r="J525" s="14"/>
      <c r="K525" s="12"/>
    </row>
    <row r="526" ht="19.5" customHeight="1">
      <c r="A526" s="12"/>
      <c r="C526" s="12"/>
      <c r="D526" s="13"/>
      <c r="F526" s="14"/>
      <c r="G526" s="14"/>
      <c r="H526" s="14"/>
      <c r="I526" s="14"/>
      <c r="J526" s="14"/>
      <c r="K526" s="12"/>
    </row>
    <row r="527" ht="19.5" customHeight="1">
      <c r="A527" s="12"/>
      <c r="C527" s="12"/>
      <c r="D527" s="13"/>
      <c r="F527" s="14"/>
      <c r="G527" s="14"/>
      <c r="H527" s="14"/>
      <c r="I527" s="14"/>
      <c r="J527" s="14"/>
      <c r="K527" s="12"/>
    </row>
    <row r="528" ht="19.5" customHeight="1">
      <c r="A528" s="12"/>
      <c r="C528" s="12"/>
      <c r="D528" s="13"/>
      <c r="F528" s="14"/>
      <c r="G528" s="14"/>
      <c r="H528" s="14"/>
      <c r="I528" s="14"/>
      <c r="J528" s="14"/>
      <c r="K528" s="12"/>
    </row>
    <row r="529" ht="19.5" customHeight="1">
      <c r="A529" s="12"/>
      <c r="C529" s="12"/>
      <c r="D529" s="13"/>
      <c r="F529" s="14"/>
      <c r="G529" s="14"/>
      <c r="H529" s="14"/>
      <c r="I529" s="14"/>
      <c r="J529" s="14"/>
      <c r="K529" s="12"/>
    </row>
    <row r="530" ht="19.5" customHeight="1">
      <c r="A530" s="12"/>
      <c r="C530" s="12"/>
      <c r="D530" s="13"/>
      <c r="F530" s="14"/>
      <c r="G530" s="14"/>
      <c r="H530" s="14"/>
      <c r="I530" s="14"/>
      <c r="J530" s="14"/>
      <c r="K530" s="12"/>
    </row>
    <row r="531" ht="19.5" customHeight="1">
      <c r="A531" s="12"/>
      <c r="C531" s="12"/>
      <c r="D531" s="13"/>
      <c r="F531" s="14"/>
      <c r="G531" s="14"/>
      <c r="H531" s="14"/>
      <c r="I531" s="14"/>
      <c r="J531" s="14"/>
      <c r="K531" s="12"/>
    </row>
    <row r="532" ht="19.5" customHeight="1">
      <c r="A532" s="12"/>
      <c r="C532" s="12"/>
      <c r="D532" s="13"/>
      <c r="F532" s="14"/>
      <c r="G532" s="14"/>
      <c r="H532" s="14"/>
      <c r="I532" s="14"/>
      <c r="J532" s="14"/>
      <c r="K532" s="12"/>
    </row>
    <row r="533" ht="19.5" customHeight="1">
      <c r="A533" s="12"/>
      <c r="C533" s="12"/>
      <c r="D533" s="13"/>
      <c r="F533" s="14"/>
      <c r="G533" s="14"/>
      <c r="H533" s="14"/>
      <c r="I533" s="14"/>
      <c r="J533" s="14"/>
      <c r="K533" s="12"/>
    </row>
    <row r="534" ht="19.5" customHeight="1">
      <c r="A534" s="12"/>
      <c r="C534" s="12"/>
      <c r="D534" s="13"/>
      <c r="F534" s="14"/>
      <c r="G534" s="14"/>
      <c r="H534" s="14"/>
      <c r="I534" s="14"/>
      <c r="J534" s="14"/>
      <c r="K534" s="12"/>
    </row>
    <row r="535" ht="19.5" customHeight="1">
      <c r="A535" s="12"/>
      <c r="C535" s="12"/>
      <c r="D535" s="13"/>
      <c r="F535" s="14"/>
      <c r="G535" s="14"/>
      <c r="H535" s="14"/>
      <c r="I535" s="14"/>
      <c r="J535" s="14"/>
      <c r="K535" s="12"/>
    </row>
    <row r="536" ht="19.5" customHeight="1">
      <c r="A536" s="12"/>
      <c r="C536" s="12"/>
      <c r="D536" s="13"/>
      <c r="F536" s="14"/>
      <c r="G536" s="14"/>
      <c r="H536" s="14"/>
      <c r="I536" s="14"/>
      <c r="J536" s="14"/>
      <c r="K536" s="12"/>
    </row>
    <row r="537" ht="19.5" customHeight="1">
      <c r="A537" s="12"/>
      <c r="C537" s="12"/>
      <c r="D537" s="13"/>
      <c r="F537" s="14"/>
      <c r="G537" s="14"/>
      <c r="H537" s="14"/>
      <c r="I537" s="14"/>
      <c r="J537" s="14"/>
      <c r="K537" s="12"/>
    </row>
    <row r="538" ht="19.5" customHeight="1">
      <c r="A538" s="12"/>
      <c r="C538" s="12"/>
      <c r="D538" s="13"/>
      <c r="F538" s="14"/>
      <c r="G538" s="14"/>
      <c r="H538" s="14"/>
      <c r="I538" s="14"/>
      <c r="J538" s="14"/>
      <c r="K538" s="12"/>
    </row>
    <row r="539" ht="19.5" customHeight="1">
      <c r="A539" s="12"/>
      <c r="C539" s="12"/>
      <c r="D539" s="13"/>
      <c r="F539" s="14"/>
      <c r="G539" s="14"/>
      <c r="H539" s="14"/>
      <c r="I539" s="14"/>
      <c r="J539" s="14"/>
      <c r="K539" s="12"/>
    </row>
    <row r="540" ht="19.5" customHeight="1">
      <c r="A540" s="12"/>
      <c r="C540" s="12"/>
      <c r="D540" s="13"/>
      <c r="F540" s="14"/>
      <c r="G540" s="14"/>
      <c r="H540" s="14"/>
      <c r="I540" s="14"/>
      <c r="J540" s="14"/>
      <c r="K540" s="12"/>
    </row>
    <row r="541" ht="19.5" customHeight="1">
      <c r="A541" s="12"/>
      <c r="C541" s="12"/>
      <c r="D541" s="13"/>
      <c r="F541" s="14"/>
      <c r="G541" s="14"/>
      <c r="H541" s="14"/>
      <c r="I541" s="14"/>
      <c r="J541" s="14"/>
      <c r="K541" s="12"/>
    </row>
    <row r="542" ht="19.5" customHeight="1">
      <c r="A542" s="12"/>
      <c r="C542" s="12"/>
      <c r="D542" s="13"/>
      <c r="F542" s="14"/>
      <c r="G542" s="14"/>
      <c r="H542" s="14"/>
      <c r="I542" s="14"/>
      <c r="J542" s="14"/>
      <c r="K542" s="12"/>
    </row>
    <row r="543" ht="19.5" customHeight="1">
      <c r="A543" s="12"/>
      <c r="C543" s="12"/>
      <c r="D543" s="13"/>
      <c r="F543" s="14"/>
      <c r="G543" s="14"/>
      <c r="H543" s="14"/>
      <c r="I543" s="14"/>
      <c r="J543" s="14"/>
      <c r="K543" s="12"/>
    </row>
    <row r="544" ht="19.5" customHeight="1">
      <c r="A544" s="12"/>
      <c r="C544" s="12"/>
      <c r="D544" s="13"/>
      <c r="F544" s="14"/>
      <c r="G544" s="14"/>
      <c r="H544" s="14"/>
      <c r="I544" s="14"/>
      <c r="J544" s="14"/>
      <c r="K544" s="12"/>
    </row>
    <row r="545" ht="19.5" customHeight="1">
      <c r="A545" s="12"/>
      <c r="C545" s="12"/>
      <c r="D545" s="13"/>
      <c r="F545" s="14"/>
      <c r="G545" s="14"/>
      <c r="H545" s="14"/>
      <c r="I545" s="14"/>
      <c r="J545" s="14"/>
      <c r="K545" s="12"/>
    </row>
    <row r="546" ht="19.5" customHeight="1">
      <c r="A546" s="12"/>
      <c r="C546" s="12"/>
      <c r="D546" s="13"/>
      <c r="F546" s="14"/>
      <c r="G546" s="14"/>
      <c r="H546" s="14"/>
      <c r="I546" s="14"/>
      <c r="J546" s="14"/>
      <c r="K546" s="12"/>
    </row>
    <row r="547" ht="19.5" customHeight="1">
      <c r="A547" s="12"/>
      <c r="C547" s="12"/>
      <c r="D547" s="13"/>
      <c r="F547" s="14"/>
      <c r="G547" s="14"/>
      <c r="H547" s="14"/>
      <c r="I547" s="14"/>
      <c r="J547" s="14"/>
      <c r="K547" s="12"/>
    </row>
    <row r="548" ht="19.5" customHeight="1">
      <c r="A548" s="12"/>
      <c r="C548" s="12"/>
      <c r="D548" s="13"/>
      <c r="F548" s="14"/>
      <c r="G548" s="14"/>
      <c r="H548" s="14"/>
      <c r="I548" s="14"/>
      <c r="J548" s="14"/>
      <c r="K548" s="12"/>
    </row>
    <row r="549" ht="19.5" customHeight="1">
      <c r="A549" s="12"/>
      <c r="C549" s="12"/>
      <c r="D549" s="13"/>
      <c r="F549" s="14"/>
      <c r="G549" s="14"/>
      <c r="H549" s="14"/>
      <c r="I549" s="14"/>
      <c r="J549" s="14"/>
      <c r="K549" s="12"/>
    </row>
    <row r="550" ht="19.5" customHeight="1">
      <c r="A550" s="12"/>
      <c r="C550" s="12"/>
      <c r="D550" s="13"/>
      <c r="F550" s="14"/>
      <c r="G550" s="14"/>
      <c r="H550" s="14"/>
      <c r="I550" s="14"/>
      <c r="J550" s="14"/>
      <c r="K550" s="12"/>
    </row>
    <row r="551" ht="19.5" customHeight="1">
      <c r="A551" s="12"/>
      <c r="C551" s="12"/>
      <c r="D551" s="13"/>
      <c r="F551" s="14"/>
      <c r="G551" s="14"/>
      <c r="H551" s="14"/>
      <c r="I551" s="14"/>
      <c r="J551" s="14"/>
      <c r="K551" s="12"/>
    </row>
    <row r="552" ht="19.5" customHeight="1">
      <c r="A552" s="12"/>
      <c r="C552" s="12"/>
      <c r="D552" s="13"/>
      <c r="F552" s="14"/>
      <c r="G552" s="14"/>
      <c r="H552" s="14"/>
      <c r="I552" s="14"/>
      <c r="J552" s="14"/>
      <c r="K552" s="12"/>
    </row>
    <row r="553" ht="19.5" customHeight="1">
      <c r="A553" s="12"/>
      <c r="C553" s="12"/>
      <c r="D553" s="13"/>
      <c r="F553" s="14"/>
      <c r="G553" s="14"/>
      <c r="H553" s="14"/>
      <c r="I553" s="14"/>
      <c r="J553" s="14"/>
      <c r="K553" s="12"/>
    </row>
    <row r="554" ht="19.5" customHeight="1">
      <c r="A554" s="12"/>
      <c r="C554" s="12"/>
      <c r="D554" s="13"/>
      <c r="F554" s="14"/>
      <c r="G554" s="14"/>
      <c r="H554" s="14"/>
      <c r="I554" s="14"/>
      <c r="J554" s="14"/>
      <c r="K554" s="12"/>
    </row>
    <row r="555" ht="19.5" customHeight="1">
      <c r="A555" s="12"/>
      <c r="C555" s="12"/>
      <c r="D555" s="13"/>
      <c r="F555" s="14"/>
      <c r="G555" s="14"/>
      <c r="H555" s="14"/>
      <c r="I555" s="14"/>
      <c r="J555" s="14"/>
      <c r="K555" s="12"/>
    </row>
    <row r="556" ht="19.5" customHeight="1">
      <c r="A556" s="12"/>
      <c r="C556" s="12"/>
      <c r="D556" s="13"/>
      <c r="F556" s="14"/>
      <c r="G556" s="14"/>
      <c r="H556" s="14"/>
      <c r="I556" s="14"/>
      <c r="J556" s="14"/>
      <c r="K556" s="12"/>
    </row>
    <row r="557" ht="19.5" customHeight="1">
      <c r="A557" s="12"/>
      <c r="C557" s="12"/>
      <c r="D557" s="13"/>
      <c r="F557" s="14"/>
      <c r="G557" s="14"/>
      <c r="H557" s="14"/>
      <c r="I557" s="14"/>
      <c r="J557" s="14"/>
      <c r="K557" s="12"/>
    </row>
    <row r="558" ht="19.5" customHeight="1">
      <c r="A558" s="12"/>
      <c r="C558" s="12"/>
      <c r="D558" s="13"/>
      <c r="F558" s="14"/>
      <c r="G558" s="14"/>
      <c r="H558" s="14"/>
      <c r="I558" s="14"/>
      <c r="J558" s="14"/>
      <c r="K558" s="12"/>
    </row>
    <row r="559" ht="19.5" customHeight="1">
      <c r="A559" s="12"/>
      <c r="C559" s="12"/>
      <c r="D559" s="13"/>
      <c r="F559" s="14"/>
      <c r="G559" s="14"/>
      <c r="H559" s="14"/>
      <c r="I559" s="14"/>
      <c r="J559" s="14"/>
      <c r="K559" s="12"/>
    </row>
    <row r="560" ht="19.5" customHeight="1">
      <c r="A560" s="12"/>
      <c r="C560" s="12"/>
      <c r="D560" s="13"/>
      <c r="F560" s="14"/>
      <c r="G560" s="14"/>
      <c r="H560" s="14"/>
      <c r="I560" s="14"/>
      <c r="J560" s="14"/>
      <c r="K560" s="12"/>
    </row>
    <row r="561" ht="19.5" customHeight="1">
      <c r="A561" s="12"/>
      <c r="C561" s="12"/>
      <c r="D561" s="13"/>
      <c r="F561" s="14"/>
      <c r="G561" s="14"/>
      <c r="H561" s="14"/>
      <c r="I561" s="14"/>
      <c r="J561" s="14"/>
      <c r="K561" s="12"/>
    </row>
    <row r="562" ht="19.5" customHeight="1">
      <c r="A562" s="12"/>
      <c r="C562" s="12"/>
      <c r="D562" s="13"/>
      <c r="F562" s="14"/>
      <c r="G562" s="14"/>
      <c r="H562" s="14"/>
      <c r="I562" s="14"/>
      <c r="J562" s="14"/>
      <c r="K562" s="12"/>
    </row>
    <row r="563" ht="19.5" customHeight="1">
      <c r="A563" s="12"/>
      <c r="C563" s="12"/>
      <c r="D563" s="13"/>
      <c r="F563" s="14"/>
      <c r="G563" s="14"/>
      <c r="H563" s="14"/>
      <c r="I563" s="14"/>
      <c r="J563" s="14"/>
      <c r="K563" s="12"/>
    </row>
    <row r="564" ht="19.5" customHeight="1">
      <c r="A564" s="12"/>
      <c r="C564" s="12"/>
      <c r="D564" s="13"/>
      <c r="F564" s="14"/>
      <c r="G564" s="14"/>
      <c r="H564" s="14"/>
      <c r="I564" s="14"/>
      <c r="J564" s="14"/>
      <c r="K564" s="12"/>
    </row>
    <row r="565" ht="19.5" customHeight="1">
      <c r="A565" s="12"/>
      <c r="C565" s="12"/>
      <c r="D565" s="13"/>
      <c r="F565" s="14"/>
      <c r="G565" s="14"/>
      <c r="H565" s="14"/>
      <c r="I565" s="14"/>
      <c r="J565" s="14"/>
      <c r="K565" s="12"/>
    </row>
    <row r="566" ht="19.5" customHeight="1">
      <c r="A566" s="12"/>
      <c r="C566" s="12"/>
      <c r="D566" s="13"/>
      <c r="F566" s="14"/>
      <c r="G566" s="14"/>
      <c r="H566" s="14"/>
      <c r="I566" s="14"/>
      <c r="J566" s="14"/>
      <c r="K566" s="12"/>
    </row>
    <row r="567" ht="19.5" customHeight="1">
      <c r="A567" s="12"/>
      <c r="C567" s="12"/>
      <c r="D567" s="13"/>
      <c r="F567" s="14"/>
      <c r="G567" s="14"/>
      <c r="H567" s="14"/>
      <c r="I567" s="14"/>
      <c r="J567" s="14"/>
      <c r="K567" s="12"/>
    </row>
    <row r="568" ht="19.5" customHeight="1">
      <c r="A568" s="12"/>
      <c r="C568" s="12"/>
      <c r="D568" s="13"/>
      <c r="F568" s="14"/>
      <c r="G568" s="14"/>
      <c r="H568" s="14"/>
      <c r="I568" s="14"/>
      <c r="J568" s="14"/>
      <c r="K568" s="12"/>
    </row>
    <row r="569" ht="19.5" customHeight="1">
      <c r="A569" s="12"/>
      <c r="C569" s="12"/>
      <c r="D569" s="13"/>
      <c r="F569" s="14"/>
      <c r="G569" s="14"/>
      <c r="H569" s="14"/>
      <c r="I569" s="14"/>
      <c r="J569" s="14"/>
      <c r="K569" s="12"/>
    </row>
    <row r="570" ht="19.5" customHeight="1">
      <c r="A570" s="12"/>
      <c r="C570" s="12"/>
      <c r="D570" s="13"/>
      <c r="F570" s="14"/>
      <c r="G570" s="14"/>
      <c r="H570" s="14"/>
      <c r="I570" s="14"/>
      <c r="J570" s="14"/>
      <c r="K570" s="12"/>
    </row>
    <row r="571" ht="19.5" customHeight="1">
      <c r="A571" s="12"/>
      <c r="C571" s="12"/>
      <c r="D571" s="13"/>
      <c r="F571" s="14"/>
      <c r="G571" s="14"/>
      <c r="H571" s="14"/>
      <c r="I571" s="14"/>
      <c r="J571" s="14"/>
      <c r="K571" s="12"/>
    </row>
    <row r="572" ht="19.5" customHeight="1">
      <c r="A572" s="12"/>
      <c r="C572" s="12"/>
      <c r="D572" s="13"/>
      <c r="F572" s="14"/>
      <c r="G572" s="14"/>
      <c r="H572" s="14"/>
      <c r="I572" s="14"/>
      <c r="J572" s="14"/>
      <c r="K572" s="12"/>
    </row>
    <row r="573" ht="19.5" customHeight="1">
      <c r="A573" s="12"/>
      <c r="C573" s="12"/>
      <c r="D573" s="13"/>
      <c r="F573" s="14"/>
      <c r="G573" s="14"/>
      <c r="H573" s="14"/>
      <c r="I573" s="14"/>
      <c r="J573" s="14"/>
      <c r="K573" s="12"/>
    </row>
    <row r="574" ht="19.5" customHeight="1">
      <c r="A574" s="12"/>
      <c r="C574" s="12"/>
      <c r="D574" s="13"/>
      <c r="F574" s="14"/>
      <c r="G574" s="14"/>
      <c r="H574" s="14"/>
      <c r="I574" s="14"/>
      <c r="J574" s="14"/>
      <c r="K574" s="12"/>
    </row>
    <row r="575" ht="19.5" customHeight="1">
      <c r="A575" s="12"/>
      <c r="C575" s="12"/>
      <c r="D575" s="13"/>
      <c r="F575" s="14"/>
      <c r="G575" s="14"/>
      <c r="H575" s="14"/>
      <c r="I575" s="14"/>
      <c r="J575" s="14"/>
      <c r="K575" s="12"/>
    </row>
    <row r="576" ht="19.5" customHeight="1">
      <c r="A576" s="12"/>
      <c r="C576" s="12"/>
      <c r="D576" s="13"/>
      <c r="F576" s="14"/>
      <c r="G576" s="14"/>
      <c r="H576" s="14"/>
      <c r="I576" s="14"/>
      <c r="J576" s="14"/>
      <c r="K576" s="12"/>
    </row>
    <row r="577" ht="19.5" customHeight="1">
      <c r="A577" s="12"/>
      <c r="C577" s="12"/>
      <c r="D577" s="13"/>
      <c r="F577" s="14"/>
      <c r="G577" s="14"/>
      <c r="H577" s="14"/>
      <c r="I577" s="14"/>
      <c r="J577" s="14"/>
      <c r="K577" s="12"/>
    </row>
    <row r="578" ht="19.5" customHeight="1">
      <c r="A578" s="12"/>
      <c r="C578" s="12"/>
      <c r="D578" s="13"/>
      <c r="F578" s="14"/>
      <c r="G578" s="14"/>
      <c r="H578" s="14"/>
      <c r="I578" s="14"/>
      <c r="J578" s="14"/>
      <c r="K578" s="12"/>
    </row>
    <row r="579" ht="19.5" customHeight="1">
      <c r="A579" s="12"/>
      <c r="C579" s="12"/>
      <c r="D579" s="13"/>
      <c r="F579" s="14"/>
      <c r="G579" s="14"/>
      <c r="H579" s="14"/>
      <c r="I579" s="14"/>
      <c r="J579" s="14"/>
      <c r="K579" s="12"/>
    </row>
    <row r="580" ht="19.5" customHeight="1">
      <c r="A580" s="12"/>
      <c r="C580" s="12"/>
      <c r="D580" s="13"/>
      <c r="F580" s="14"/>
      <c r="G580" s="14"/>
      <c r="H580" s="14"/>
      <c r="I580" s="14"/>
      <c r="J580" s="14"/>
      <c r="K580" s="12"/>
    </row>
    <row r="581" ht="19.5" customHeight="1">
      <c r="A581" s="12"/>
      <c r="C581" s="12"/>
      <c r="D581" s="13"/>
      <c r="F581" s="14"/>
      <c r="G581" s="14"/>
      <c r="H581" s="14"/>
      <c r="I581" s="14"/>
      <c r="J581" s="14"/>
      <c r="K581" s="12"/>
    </row>
    <row r="582" ht="19.5" customHeight="1">
      <c r="A582" s="12"/>
      <c r="C582" s="12"/>
      <c r="D582" s="13"/>
      <c r="F582" s="14"/>
      <c r="G582" s="14"/>
      <c r="H582" s="14"/>
      <c r="I582" s="14"/>
      <c r="J582" s="14"/>
      <c r="K582" s="12"/>
    </row>
    <row r="583" ht="19.5" customHeight="1">
      <c r="A583" s="12"/>
      <c r="C583" s="12"/>
      <c r="D583" s="13"/>
      <c r="F583" s="14"/>
      <c r="G583" s="14"/>
      <c r="H583" s="14"/>
      <c r="I583" s="14"/>
      <c r="J583" s="14"/>
      <c r="K583" s="12"/>
    </row>
    <row r="584" ht="19.5" customHeight="1">
      <c r="A584" s="12"/>
      <c r="C584" s="12"/>
      <c r="D584" s="13"/>
      <c r="F584" s="14"/>
      <c r="G584" s="14"/>
      <c r="H584" s="14"/>
      <c r="I584" s="14"/>
      <c r="J584" s="14"/>
      <c r="K584" s="12"/>
    </row>
    <row r="585" ht="19.5" customHeight="1">
      <c r="A585" s="12"/>
      <c r="C585" s="12"/>
      <c r="D585" s="13"/>
      <c r="F585" s="14"/>
      <c r="G585" s="14"/>
      <c r="H585" s="14"/>
      <c r="I585" s="14"/>
      <c r="J585" s="14"/>
      <c r="K585" s="12"/>
    </row>
    <row r="586" ht="19.5" customHeight="1">
      <c r="A586" s="12"/>
      <c r="C586" s="12"/>
      <c r="D586" s="13"/>
      <c r="F586" s="14"/>
      <c r="G586" s="14"/>
      <c r="H586" s="14"/>
      <c r="I586" s="14"/>
      <c r="J586" s="14"/>
      <c r="K586" s="12"/>
    </row>
    <row r="587" ht="19.5" customHeight="1">
      <c r="A587" s="12"/>
      <c r="C587" s="12"/>
      <c r="D587" s="13"/>
      <c r="F587" s="14"/>
      <c r="G587" s="14"/>
      <c r="H587" s="14"/>
      <c r="I587" s="14"/>
      <c r="J587" s="14"/>
      <c r="K587" s="12"/>
    </row>
    <row r="588" ht="19.5" customHeight="1">
      <c r="A588" s="12"/>
      <c r="C588" s="12"/>
      <c r="D588" s="13"/>
      <c r="F588" s="14"/>
      <c r="G588" s="14"/>
      <c r="H588" s="14"/>
      <c r="I588" s="14"/>
      <c r="J588" s="14"/>
      <c r="K588" s="12"/>
    </row>
    <row r="589" ht="19.5" customHeight="1">
      <c r="A589" s="12"/>
      <c r="C589" s="12"/>
      <c r="D589" s="13"/>
      <c r="F589" s="14"/>
      <c r="G589" s="14"/>
      <c r="H589" s="14"/>
      <c r="I589" s="14"/>
      <c r="J589" s="14"/>
      <c r="K589" s="12"/>
    </row>
    <row r="590" ht="19.5" customHeight="1">
      <c r="A590" s="12"/>
      <c r="C590" s="12"/>
      <c r="D590" s="13"/>
      <c r="F590" s="14"/>
      <c r="G590" s="14"/>
      <c r="H590" s="14"/>
      <c r="I590" s="14"/>
      <c r="J590" s="14"/>
      <c r="K590" s="12"/>
    </row>
    <row r="591" ht="19.5" customHeight="1">
      <c r="A591" s="12"/>
      <c r="C591" s="12"/>
      <c r="D591" s="13"/>
      <c r="F591" s="14"/>
      <c r="G591" s="14"/>
      <c r="H591" s="14"/>
      <c r="I591" s="14"/>
      <c r="J591" s="14"/>
      <c r="K591" s="12"/>
    </row>
    <row r="592" ht="19.5" customHeight="1">
      <c r="A592" s="12"/>
      <c r="C592" s="12"/>
      <c r="D592" s="13"/>
      <c r="F592" s="14"/>
      <c r="G592" s="14"/>
      <c r="H592" s="14"/>
      <c r="I592" s="14"/>
      <c r="J592" s="14"/>
      <c r="K592" s="12"/>
    </row>
    <row r="593" ht="19.5" customHeight="1">
      <c r="A593" s="12"/>
      <c r="C593" s="12"/>
      <c r="D593" s="13"/>
      <c r="F593" s="14"/>
      <c r="G593" s="14"/>
      <c r="H593" s="14"/>
      <c r="I593" s="14"/>
      <c r="J593" s="14"/>
      <c r="K593" s="12"/>
    </row>
    <row r="594" ht="19.5" customHeight="1">
      <c r="A594" s="12"/>
      <c r="C594" s="12"/>
      <c r="D594" s="13"/>
      <c r="F594" s="14"/>
      <c r="G594" s="14"/>
      <c r="H594" s="14"/>
      <c r="I594" s="14"/>
      <c r="J594" s="14"/>
      <c r="K594" s="12"/>
    </row>
    <row r="595" ht="19.5" customHeight="1">
      <c r="A595" s="12"/>
      <c r="C595" s="12"/>
      <c r="D595" s="13"/>
      <c r="F595" s="14"/>
      <c r="G595" s="14"/>
      <c r="H595" s="14"/>
      <c r="I595" s="14"/>
      <c r="J595" s="14"/>
      <c r="K595" s="12"/>
    </row>
    <row r="596" ht="19.5" customHeight="1">
      <c r="A596" s="12"/>
      <c r="C596" s="12"/>
      <c r="D596" s="13"/>
      <c r="F596" s="14"/>
      <c r="G596" s="14"/>
      <c r="H596" s="14"/>
      <c r="I596" s="14"/>
      <c r="J596" s="14"/>
      <c r="K596" s="12"/>
    </row>
    <row r="597" ht="19.5" customHeight="1">
      <c r="A597" s="12"/>
      <c r="C597" s="12"/>
      <c r="D597" s="13"/>
      <c r="F597" s="14"/>
      <c r="G597" s="14"/>
      <c r="H597" s="14"/>
      <c r="I597" s="14"/>
      <c r="J597" s="14"/>
      <c r="K597" s="12"/>
    </row>
    <row r="598" ht="19.5" customHeight="1">
      <c r="A598" s="12"/>
      <c r="C598" s="12"/>
      <c r="D598" s="13"/>
      <c r="F598" s="14"/>
      <c r="G598" s="14"/>
      <c r="H598" s="14"/>
      <c r="I598" s="14"/>
      <c r="J598" s="14"/>
      <c r="K598" s="12"/>
    </row>
    <row r="599" ht="19.5" customHeight="1">
      <c r="A599" s="12"/>
      <c r="C599" s="12"/>
      <c r="D599" s="13"/>
      <c r="F599" s="14"/>
      <c r="G599" s="14"/>
      <c r="H599" s="14"/>
      <c r="I599" s="14"/>
      <c r="J599" s="14"/>
      <c r="K599" s="12"/>
    </row>
    <row r="600" ht="19.5" customHeight="1">
      <c r="A600" s="12"/>
      <c r="C600" s="12"/>
      <c r="D600" s="13"/>
      <c r="F600" s="14"/>
      <c r="G600" s="14"/>
      <c r="H600" s="14"/>
      <c r="I600" s="14"/>
      <c r="J600" s="14"/>
      <c r="K600" s="12"/>
    </row>
    <row r="601" ht="19.5" customHeight="1">
      <c r="A601" s="12"/>
      <c r="C601" s="12"/>
      <c r="D601" s="13"/>
      <c r="F601" s="14"/>
      <c r="G601" s="14"/>
      <c r="H601" s="14"/>
      <c r="I601" s="14"/>
      <c r="J601" s="14"/>
      <c r="K601" s="12"/>
    </row>
    <row r="602" ht="19.5" customHeight="1">
      <c r="A602" s="12"/>
      <c r="C602" s="12"/>
      <c r="D602" s="13"/>
      <c r="F602" s="14"/>
      <c r="G602" s="14"/>
      <c r="H602" s="14"/>
      <c r="I602" s="14"/>
      <c r="J602" s="14"/>
      <c r="K602" s="12"/>
    </row>
    <row r="603" ht="19.5" customHeight="1">
      <c r="A603" s="12"/>
      <c r="C603" s="12"/>
      <c r="D603" s="13"/>
      <c r="F603" s="14"/>
      <c r="G603" s="14"/>
      <c r="H603" s="14"/>
      <c r="I603" s="14"/>
      <c r="J603" s="14"/>
      <c r="K603" s="12"/>
    </row>
    <row r="604" ht="19.5" customHeight="1">
      <c r="A604" s="12"/>
      <c r="C604" s="12"/>
      <c r="D604" s="13"/>
      <c r="F604" s="14"/>
      <c r="G604" s="14"/>
      <c r="H604" s="14"/>
      <c r="I604" s="14"/>
      <c r="J604" s="14"/>
      <c r="K604" s="12"/>
    </row>
    <row r="605" ht="19.5" customHeight="1">
      <c r="A605" s="12"/>
      <c r="C605" s="12"/>
      <c r="D605" s="13"/>
      <c r="F605" s="14"/>
      <c r="G605" s="14"/>
      <c r="H605" s="14"/>
      <c r="I605" s="14"/>
      <c r="J605" s="14"/>
      <c r="K605" s="12"/>
    </row>
    <row r="606" ht="19.5" customHeight="1">
      <c r="A606" s="12"/>
      <c r="C606" s="12"/>
      <c r="D606" s="13"/>
      <c r="F606" s="14"/>
      <c r="G606" s="14"/>
      <c r="H606" s="14"/>
      <c r="I606" s="14"/>
      <c r="J606" s="14"/>
      <c r="K606" s="12"/>
    </row>
    <row r="607" ht="19.5" customHeight="1">
      <c r="A607" s="12"/>
      <c r="C607" s="12"/>
      <c r="D607" s="13"/>
      <c r="F607" s="14"/>
      <c r="G607" s="14"/>
      <c r="H607" s="14"/>
      <c r="I607" s="14"/>
      <c r="J607" s="14"/>
      <c r="K607" s="12"/>
    </row>
    <row r="608" ht="19.5" customHeight="1">
      <c r="A608" s="12"/>
      <c r="C608" s="12"/>
      <c r="D608" s="13"/>
      <c r="F608" s="14"/>
      <c r="G608" s="14"/>
      <c r="H608" s="14"/>
      <c r="I608" s="14"/>
      <c r="J608" s="14"/>
      <c r="K608" s="12"/>
    </row>
    <row r="609" ht="19.5" customHeight="1">
      <c r="A609" s="12"/>
      <c r="C609" s="12"/>
      <c r="D609" s="13"/>
      <c r="F609" s="14"/>
      <c r="G609" s="14"/>
      <c r="H609" s="14"/>
      <c r="I609" s="14"/>
      <c r="J609" s="14"/>
      <c r="K609" s="12"/>
    </row>
    <row r="610" ht="19.5" customHeight="1">
      <c r="A610" s="12"/>
      <c r="C610" s="12"/>
      <c r="D610" s="13"/>
      <c r="F610" s="14"/>
      <c r="G610" s="14"/>
      <c r="H610" s="14"/>
      <c r="I610" s="14"/>
      <c r="J610" s="14"/>
      <c r="K610" s="12"/>
    </row>
    <row r="611" ht="19.5" customHeight="1">
      <c r="A611" s="12"/>
      <c r="C611" s="12"/>
      <c r="D611" s="13"/>
      <c r="F611" s="14"/>
      <c r="G611" s="14"/>
      <c r="H611" s="14"/>
      <c r="I611" s="14"/>
      <c r="J611" s="14"/>
      <c r="K611" s="12"/>
    </row>
    <row r="612" ht="19.5" customHeight="1">
      <c r="A612" s="12"/>
      <c r="C612" s="12"/>
      <c r="D612" s="13"/>
      <c r="F612" s="14"/>
      <c r="G612" s="14"/>
      <c r="H612" s="14"/>
      <c r="I612" s="14"/>
      <c r="J612" s="14"/>
      <c r="K612" s="12"/>
    </row>
    <row r="613" ht="19.5" customHeight="1">
      <c r="A613" s="12"/>
      <c r="C613" s="12"/>
      <c r="D613" s="13"/>
      <c r="F613" s="14"/>
      <c r="G613" s="14"/>
      <c r="H613" s="14"/>
      <c r="I613" s="14"/>
      <c r="J613" s="14"/>
      <c r="K613" s="12"/>
    </row>
    <row r="614" ht="19.5" customHeight="1">
      <c r="A614" s="12"/>
      <c r="C614" s="12"/>
      <c r="D614" s="13"/>
      <c r="F614" s="14"/>
      <c r="G614" s="14"/>
      <c r="H614" s="14"/>
      <c r="I614" s="14"/>
      <c r="J614" s="14"/>
      <c r="K614" s="12"/>
    </row>
    <row r="615" ht="19.5" customHeight="1">
      <c r="A615" s="12"/>
      <c r="C615" s="12"/>
      <c r="D615" s="13"/>
      <c r="F615" s="14"/>
      <c r="G615" s="14"/>
      <c r="H615" s="14"/>
      <c r="I615" s="14"/>
      <c r="J615" s="14"/>
      <c r="K615" s="12"/>
    </row>
    <row r="616" ht="19.5" customHeight="1">
      <c r="A616" s="12"/>
      <c r="C616" s="12"/>
      <c r="D616" s="13"/>
      <c r="F616" s="14"/>
      <c r="G616" s="14"/>
      <c r="H616" s="14"/>
      <c r="I616" s="14"/>
      <c r="J616" s="14"/>
      <c r="K616" s="12"/>
    </row>
    <row r="617" ht="19.5" customHeight="1">
      <c r="A617" s="12"/>
      <c r="C617" s="12"/>
      <c r="D617" s="13"/>
      <c r="F617" s="14"/>
      <c r="G617" s="14"/>
      <c r="H617" s="14"/>
      <c r="I617" s="14"/>
      <c r="J617" s="14"/>
      <c r="K617" s="12"/>
    </row>
    <row r="618" ht="19.5" customHeight="1">
      <c r="A618" s="12"/>
      <c r="C618" s="12"/>
      <c r="D618" s="13"/>
      <c r="F618" s="14"/>
      <c r="G618" s="14"/>
      <c r="H618" s="14"/>
      <c r="I618" s="14"/>
      <c r="J618" s="14"/>
      <c r="K618" s="12"/>
    </row>
    <row r="619" ht="19.5" customHeight="1">
      <c r="A619" s="12"/>
      <c r="C619" s="12"/>
      <c r="D619" s="13"/>
      <c r="F619" s="14"/>
      <c r="G619" s="14"/>
      <c r="H619" s="14"/>
      <c r="I619" s="14"/>
      <c r="J619" s="14"/>
      <c r="K619" s="12"/>
    </row>
    <row r="620" ht="19.5" customHeight="1">
      <c r="A620" s="12"/>
      <c r="C620" s="12"/>
      <c r="D620" s="13"/>
      <c r="F620" s="14"/>
      <c r="G620" s="14"/>
      <c r="H620" s="14"/>
      <c r="I620" s="14"/>
      <c r="J620" s="14"/>
      <c r="K620" s="12"/>
    </row>
    <row r="621" ht="19.5" customHeight="1">
      <c r="A621" s="12"/>
      <c r="C621" s="12"/>
      <c r="D621" s="13"/>
      <c r="F621" s="14"/>
      <c r="G621" s="14"/>
      <c r="H621" s="14"/>
      <c r="I621" s="14"/>
      <c r="J621" s="14"/>
      <c r="K621" s="12"/>
    </row>
    <row r="622" ht="19.5" customHeight="1">
      <c r="A622" s="12"/>
      <c r="C622" s="12"/>
      <c r="D622" s="13"/>
      <c r="F622" s="14"/>
      <c r="G622" s="14"/>
      <c r="H622" s="14"/>
      <c r="I622" s="14"/>
      <c r="J622" s="14"/>
      <c r="K622" s="12"/>
    </row>
    <row r="623" ht="19.5" customHeight="1">
      <c r="A623" s="12"/>
      <c r="C623" s="12"/>
      <c r="D623" s="13"/>
      <c r="F623" s="14"/>
      <c r="G623" s="14"/>
      <c r="H623" s="14"/>
      <c r="I623" s="14"/>
      <c r="J623" s="14"/>
      <c r="K623" s="12"/>
    </row>
    <row r="624" ht="19.5" customHeight="1">
      <c r="A624" s="12"/>
      <c r="C624" s="12"/>
      <c r="D624" s="13"/>
      <c r="F624" s="14"/>
      <c r="G624" s="14"/>
      <c r="H624" s="14"/>
      <c r="I624" s="14"/>
      <c r="J624" s="14"/>
      <c r="K624" s="12"/>
    </row>
    <row r="625" ht="19.5" customHeight="1">
      <c r="A625" s="12"/>
      <c r="C625" s="12"/>
      <c r="D625" s="13"/>
      <c r="F625" s="14"/>
      <c r="G625" s="14"/>
      <c r="H625" s="14"/>
      <c r="I625" s="14"/>
      <c r="J625" s="14"/>
      <c r="K625" s="12"/>
    </row>
    <row r="626" ht="19.5" customHeight="1">
      <c r="A626" s="12"/>
      <c r="C626" s="12"/>
      <c r="D626" s="13"/>
      <c r="F626" s="14"/>
      <c r="G626" s="14"/>
      <c r="H626" s="14"/>
      <c r="I626" s="14"/>
      <c r="J626" s="14"/>
      <c r="K626" s="12"/>
    </row>
    <row r="627" ht="19.5" customHeight="1">
      <c r="A627" s="12"/>
      <c r="C627" s="12"/>
      <c r="D627" s="13"/>
      <c r="F627" s="14"/>
      <c r="G627" s="14"/>
      <c r="H627" s="14"/>
      <c r="I627" s="14"/>
      <c r="J627" s="14"/>
      <c r="K627" s="12"/>
    </row>
    <row r="628" ht="19.5" customHeight="1">
      <c r="A628" s="12"/>
      <c r="C628" s="12"/>
      <c r="D628" s="13"/>
      <c r="F628" s="14"/>
      <c r="G628" s="14"/>
      <c r="H628" s="14"/>
      <c r="I628" s="14"/>
      <c r="J628" s="14"/>
      <c r="K628" s="12"/>
    </row>
    <row r="629" ht="19.5" customHeight="1">
      <c r="A629" s="12"/>
      <c r="C629" s="12"/>
      <c r="D629" s="13"/>
      <c r="F629" s="14"/>
      <c r="G629" s="14"/>
      <c r="H629" s="14"/>
      <c r="I629" s="14"/>
      <c r="J629" s="14"/>
      <c r="K629" s="12"/>
    </row>
    <row r="630" ht="19.5" customHeight="1">
      <c r="A630" s="12"/>
      <c r="C630" s="12"/>
      <c r="D630" s="13"/>
      <c r="F630" s="14"/>
      <c r="G630" s="14"/>
      <c r="H630" s="14"/>
      <c r="I630" s="14"/>
      <c r="J630" s="14"/>
      <c r="K630" s="12"/>
    </row>
    <row r="631" ht="19.5" customHeight="1">
      <c r="A631" s="12"/>
      <c r="C631" s="12"/>
      <c r="D631" s="13"/>
      <c r="F631" s="14"/>
      <c r="G631" s="14"/>
      <c r="H631" s="14"/>
      <c r="I631" s="14"/>
      <c r="J631" s="14"/>
      <c r="K631" s="12"/>
    </row>
    <row r="632" ht="19.5" customHeight="1">
      <c r="A632" s="12"/>
      <c r="C632" s="12"/>
      <c r="D632" s="13"/>
      <c r="F632" s="14"/>
      <c r="G632" s="14"/>
      <c r="H632" s="14"/>
      <c r="I632" s="14"/>
      <c r="J632" s="14"/>
      <c r="K632" s="12"/>
    </row>
    <row r="633" ht="19.5" customHeight="1">
      <c r="A633" s="12"/>
      <c r="C633" s="12"/>
      <c r="D633" s="13"/>
      <c r="F633" s="14"/>
      <c r="G633" s="14"/>
      <c r="H633" s="14"/>
      <c r="I633" s="14"/>
      <c r="J633" s="14"/>
      <c r="K633" s="12"/>
    </row>
    <row r="634" ht="19.5" customHeight="1">
      <c r="A634" s="12"/>
      <c r="C634" s="12"/>
      <c r="D634" s="13"/>
      <c r="F634" s="14"/>
      <c r="G634" s="14"/>
      <c r="H634" s="14"/>
      <c r="I634" s="14"/>
      <c r="J634" s="14"/>
      <c r="K634" s="12"/>
    </row>
    <row r="635" ht="19.5" customHeight="1">
      <c r="A635" s="12"/>
      <c r="C635" s="12"/>
      <c r="D635" s="13"/>
      <c r="F635" s="14"/>
      <c r="G635" s="14"/>
      <c r="H635" s="14"/>
      <c r="I635" s="14"/>
      <c r="J635" s="14"/>
      <c r="K635" s="12"/>
    </row>
    <row r="636" ht="19.5" customHeight="1">
      <c r="A636" s="12"/>
      <c r="C636" s="12"/>
      <c r="D636" s="13"/>
      <c r="F636" s="14"/>
      <c r="G636" s="14"/>
      <c r="H636" s="14"/>
      <c r="I636" s="14"/>
      <c r="J636" s="14"/>
      <c r="K636" s="12"/>
    </row>
    <row r="637" ht="19.5" customHeight="1">
      <c r="A637" s="12"/>
      <c r="C637" s="12"/>
      <c r="D637" s="13"/>
      <c r="F637" s="14"/>
      <c r="G637" s="14"/>
      <c r="H637" s="14"/>
      <c r="I637" s="14"/>
      <c r="J637" s="14"/>
      <c r="K637" s="12"/>
    </row>
    <row r="638" ht="19.5" customHeight="1">
      <c r="A638" s="12"/>
      <c r="C638" s="12"/>
      <c r="D638" s="13"/>
      <c r="F638" s="14"/>
      <c r="G638" s="14"/>
      <c r="H638" s="14"/>
      <c r="I638" s="14"/>
      <c r="J638" s="14"/>
      <c r="K638" s="12"/>
    </row>
    <row r="639" ht="19.5" customHeight="1">
      <c r="A639" s="12"/>
      <c r="C639" s="12"/>
      <c r="D639" s="13"/>
      <c r="F639" s="14"/>
      <c r="G639" s="14"/>
      <c r="H639" s="14"/>
      <c r="I639" s="14"/>
      <c r="J639" s="14"/>
      <c r="K639" s="12"/>
    </row>
    <row r="640" ht="19.5" customHeight="1">
      <c r="A640" s="12"/>
      <c r="C640" s="12"/>
      <c r="D640" s="13"/>
      <c r="F640" s="14"/>
      <c r="G640" s="14"/>
      <c r="H640" s="14"/>
      <c r="I640" s="14"/>
      <c r="J640" s="14"/>
      <c r="K640" s="12"/>
    </row>
    <row r="641" ht="19.5" customHeight="1">
      <c r="A641" s="12"/>
      <c r="C641" s="12"/>
      <c r="D641" s="13"/>
      <c r="F641" s="14"/>
      <c r="G641" s="14"/>
      <c r="H641" s="14"/>
      <c r="I641" s="14"/>
      <c r="J641" s="14"/>
      <c r="K641" s="12"/>
    </row>
    <row r="642" ht="19.5" customHeight="1">
      <c r="A642" s="12"/>
      <c r="C642" s="12"/>
      <c r="D642" s="13"/>
      <c r="F642" s="14"/>
      <c r="G642" s="14"/>
      <c r="H642" s="14"/>
      <c r="I642" s="14"/>
      <c r="J642" s="14"/>
      <c r="K642" s="12"/>
    </row>
    <row r="643" ht="19.5" customHeight="1">
      <c r="A643" s="12"/>
      <c r="C643" s="12"/>
      <c r="D643" s="13"/>
      <c r="F643" s="14"/>
      <c r="G643" s="14"/>
      <c r="H643" s="14"/>
      <c r="I643" s="14"/>
      <c r="J643" s="14"/>
      <c r="K643" s="12"/>
    </row>
    <row r="644" ht="19.5" customHeight="1">
      <c r="A644" s="12"/>
      <c r="C644" s="12"/>
      <c r="D644" s="13"/>
      <c r="F644" s="14"/>
      <c r="G644" s="14"/>
      <c r="H644" s="14"/>
      <c r="I644" s="14"/>
      <c r="J644" s="14"/>
      <c r="K644" s="12"/>
    </row>
    <row r="645" ht="19.5" customHeight="1">
      <c r="A645" s="12"/>
      <c r="C645" s="12"/>
      <c r="D645" s="13"/>
      <c r="F645" s="14"/>
      <c r="G645" s="14"/>
      <c r="H645" s="14"/>
      <c r="I645" s="14"/>
      <c r="J645" s="14"/>
      <c r="K645" s="12"/>
    </row>
    <row r="646" ht="19.5" customHeight="1">
      <c r="A646" s="12"/>
      <c r="C646" s="12"/>
      <c r="D646" s="13"/>
      <c r="F646" s="14"/>
      <c r="G646" s="14"/>
      <c r="H646" s="14"/>
      <c r="I646" s="14"/>
      <c r="J646" s="14"/>
      <c r="K646" s="12"/>
    </row>
    <row r="647" ht="19.5" customHeight="1">
      <c r="A647" s="12"/>
      <c r="C647" s="12"/>
      <c r="D647" s="13"/>
      <c r="F647" s="14"/>
      <c r="G647" s="14"/>
      <c r="H647" s="14"/>
      <c r="I647" s="14"/>
      <c r="J647" s="14"/>
      <c r="K647" s="12"/>
    </row>
    <row r="648" ht="19.5" customHeight="1">
      <c r="A648" s="12"/>
      <c r="C648" s="12"/>
      <c r="D648" s="13"/>
      <c r="F648" s="14"/>
      <c r="G648" s="14"/>
      <c r="H648" s="14"/>
      <c r="I648" s="14"/>
      <c r="J648" s="14"/>
      <c r="K648" s="12"/>
    </row>
    <row r="649" ht="19.5" customHeight="1">
      <c r="A649" s="12"/>
      <c r="C649" s="12"/>
      <c r="D649" s="13"/>
      <c r="F649" s="14"/>
      <c r="G649" s="14"/>
      <c r="H649" s="14"/>
      <c r="I649" s="14"/>
      <c r="J649" s="14"/>
      <c r="K649" s="12"/>
    </row>
    <row r="650" ht="19.5" customHeight="1">
      <c r="A650" s="12"/>
      <c r="C650" s="12"/>
      <c r="D650" s="13"/>
      <c r="F650" s="14"/>
      <c r="G650" s="14"/>
      <c r="H650" s="14"/>
      <c r="I650" s="14"/>
      <c r="J650" s="14"/>
      <c r="K650" s="12"/>
    </row>
    <row r="651" ht="19.5" customHeight="1">
      <c r="A651" s="12"/>
      <c r="C651" s="12"/>
      <c r="D651" s="13"/>
      <c r="F651" s="14"/>
      <c r="G651" s="14"/>
      <c r="H651" s="14"/>
      <c r="I651" s="14"/>
      <c r="J651" s="14"/>
      <c r="K651" s="12"/>
    </row>
    <row r="652" ht="19.5" customHeight="1">
      <c r="A652" s="12"/>
      <c r="C652" s="12"/>
      <c r="D652" s="13"/>
      <c r="F652" s="14"/>
      <c r="G652" s="14"/>
      <c r="H652" s="14"/>
      <c r="I652" s="14"/>
      <c r="J652" s="14"/>
      <c r="K652" s="12"/>
    </row>
    <row r="653" ht="19.5" customHeight="1">
      <c r="A653" s="12"/>
      <c r="C653" s="12"/>
      <c r="D653" s="13"/>
      <c r="F653" s="14"/>
      <c r="G653" s="14"/>
      <c r="H653" s="14"/>
      <c r="I653" s="14"/>
      <c r="J653" s="14"/>
      <c r="K653" s="12"/>
    </row>
    <row r="654" ht="19.5" customHeight="1">
      <c r="A654" s="12"/>
      <c r="C654" s="12"/>
      <c r="D654" s="13"/>
      <c r="F654" s="14"/>
      <c r="G654" s="14"/>
      <c r="H654" s="14"/>
      <c r="I654" s="14"/>
      <c r="J654" s="14"/>
      <c r="K654" s="12"/>
    </row>
    <row r="655" ht="19.5" customHeight="1">
      <c r="A655" s="12"/>
      <c r="C655" s="12"/>
      <c r="D655" s="13"/>
      <c r="F655" s="14"/>
      <c r="G655" s="14"/>
      <c r="H655" s="14"/>
      <c r="I655" s="14"/>
      <c r="J655" s="14"/>
      <c r="K655" s="12"/>
    </row>
    <row r="656" ht="19.5" customHeight="1">
      <c r="A656" s="12"/>
      <c r="C656" s="12"/>
      <c r="D656" s="13"/>
      <c r="F656" s="14"/>
      <c r="G656" s="14"/>
      <c r="H656" s="14"/>
      <c r="I656" s="14"/>
      <c r="J656" s="14"/>
      <c r="K656" s="12"/>
    </row>
    <row r="657" ht="19.5" customHeight="1">
      <c r="A657" s="12"/>
      <c r="C657" s="12"/>
      <c r="D657" s="13"/>
      <c r="F657" s="14"/>
      <c r="G657" s="14"/>
      <c r="H657" s="14"/>
      <c r="I657" s="14"/>
      <c r="J657" s="14"/>
      <c r="K657" s="12"/>
    </row>
    <row r="658" ht="19.5" customHeight="1">
      <c r="A658" s="12"/>
      <c r="C658" s="12"/>
      <c r="D658" s="13"/>
      <c r="F658" s="14"/>
      <c r="G658" s="14"/>
      <c r="H658" s="14"/>
      <c r="I658" s="14"/>
      <c r="J658" s="14"/>
      <c r="K658" s="12"/>
    </row>
    <row r="659" ht="19.5" customHeight="1">
      <c r="A659" s="12"/>
      <c r="C659" s="12"/>
      <c r="D659" s="13"/>
      <c r="F659" s="14"/>
      <c r="G659" s="14"/>
      <c r="H659" s="14"/>
      <c r="I659" s="14"/>
      <c r="J659" s="14"/>
      <c r="K659" s="12"/>
    </row>
    <row r="660" ht="19.5" customHeight="1">
      <c r="A660" s="12"/>
      <c r="C660" s="12"/>
      <c r="D660" s="13"/>
      <c r="F660" s="14"/>
      <c r="G660" s="14"/>
      <c r="H660" s="14"/>
      <c r="I660" s="14"/>
      <c r="J660" s="14"/>
      <c r="K660" s="12"/>
    </row>
    <row r="661" ht="19.5" customHeight="1">
      <c r="A661" s="12"/>
      <c r="C661" s="12"/>
      <c r="D661" s="13"/>
      <c r="F661" s="14"/>
      <c r="G661" s="14"/>
      <c r="H661" s="14"/>
      <c r="I661" s="14"/>
      <c r="J661" s="14"/>
      <c r="K661" s="12"/>
    </row>
    <row r="662" ht="19.5" customHeight="1">
      <c r="A662" s="12"/>
      <c r="C662" s="12"/>
      <c r="D662" s="13"/>
      <c r="F662" s="14"/>
      <c r="G662" s="14"/>
      <c r="H662" s="14"/>
      <c r="I662" s="14"/>
      <c r="J662" s="14"/>
      <c r="K662" s="12"/>
    </row>
    <row r="663" ht="19.5" customHeight="1">
      <c r="A663" s="12"/>
      <c r="C663" s="12"/>
      <c r="D663" s="13"/>
      <c r="F663" s="14"/>
      <c r="G663" s="14"/>
      <c r="H663" s="14"/>
      <c r="I663" s="14"/>
      <c r="J663" s="14"/>
      <c r="K663" s="12"/>
    </row>
    <row r="664" ht="19.5" customHeight="1">
      <c r="A664" s="12"/>
      <c r="C664" s="12"/>
      <c r="D664" s="13"/>
      <c r="F664" s="14"/>
      <c r="G664" s="14"/>
      <c r="H664" s="14"/>
      <c r="I664" s="14"/>
      <c r="J664" s="14"/>
      <c r="K664" s="12"/>
    </row>
    <row r="665" ht="19.5" customHeight="1">
      <c r="A665" s="12"/>
      <c r="C665" s="12"/>
      <c r="D665" s="13"/>
      <c r="F665" s="14"/>
      <c r="G665" s="14"/>
      <c r="H665" s="14"/>
      <c r="I665" s="14"/>
      <c r="J665" s="14"/>
      <c r="K665" s="12"/>
    </row>
    <row r="666" ht="19.5" customHeight="1">
      <c r="A666" s="12"/>
      <c r="C666" s="12"/>
      <c r="D666" s="13"/>
      <c r="F666" s="14"/>
      <c r="G666" s="14"/>
      <c r="H666" s="14"/>
      <c r="I666" s="14"/>
      <c r="J666" s="14"/>
      <c r="K666" s="12"/>
    </row>
    <row r="667" ht="19.5" customHeight="1">
      <c r="A667" s="12"/>
      <c r="C667" s="12"/>
      <c r="D667" s="13"/>
      <c r="F667" s="14"/>
      <c r="G667" s="14"/>
      <c r="H667" s="14"/>
      <c r="I667" s="14"/>
      <c r="J667" s="14"/>
      <c r="K667" s="12"/>
    </row>
    <row r="668" ht="19.5" customHeight="1">
      <c r="A668" s="12"/>
      <c r="C668" s="12"/>
      <c r="D668" s="13"/>
      <c r="F668" s="14"/>
      <c r="G668" s="14"/>
      <c r="H668" s="14"/>
      <c r="I668" s="14"/>
      <c r="J668" s="14"/>
      <c r="K668" s="12"/>
    </row>
    <row r="669" ht="19.5" customHeight="1">
      <c r="A669" s="12"/>
      <c r="C669" s="12"/>
      <c r="D669" s="13"/>
      <c r="F669" s="14"/>
      <c r="G669" s="14"/>
      <c r="H669" s="14"/>
      <c r="I669" s="14"/>
      <c r="J669" s="14"/>
      <c r="K669" s="12"/>
    </row>
    <row r="670" ht="19.5" customHeight="1">
      <c r="A670" s="12"/>
      <c r="C670" s="12"/>
      <c r="D670" s="13"/>
      <c r="F670" s="14"/>
      <c r="G670" s="14"/>
      <c r="H670" s="14"/>
      <c r="I670" s="14"/>
      <c r="J670" s="14"/>
      <c r="K670" s="12"/>
    </row>
    <row r="671" ht="19.5" customHeight="1">
      <c r="A671" s="12"/>
      <c r="C671" s="12"/>
      <c r="D671" s="13"/>
      <c r="F671" s="14"/>
      <c r="G671" s="14"/>
      <c r="H671" s="14"/>
      <c r="I671" s="14"/>
      <c r="J671" s="14"/>
      <c r="K671" s="12"/>
    </row>
    <row r="672" ht="19.5" customHeight="1">
      <c r="A672" s="12"/>
      <c r="C672" s="12"/>
      <c r="D672" s="13"/>
      <c r="F672" s="14"/>
      <c r="G672" s="14"/>
      <c r="H672" s="14"/>
      <c r="I672" s="14"/>
      <c r="J672" s="14"/>
      <c r="K672" s="12"/>
    </row>
    <row r="673" ht="19.5" customHeight="1">
      <c r="A673" s="12"/>
      <c r="C673" s="12"/>
      <c r="D673" s="13"/>
      <c r="F673" s="14"/>
      <c r="G673" s="14"/>
      <c r="H673" s="14"/>
      <c r="I673" s="14"/>
      <c r="J673" s="14"/>
      <c r="K673" s="12"/>
    </row>
    <row r="674" ht="19.5" customHeight="1">
      <c r="A674" s="12"/>
      <c r="C674" s="12"/>
      <c r="D674" s="13"/>
      <c r="F674" s="14"/>
      <c r="G674" s="14"/>
      <c r="H674" s="14"/>
      <c r="I674" s="14"/>
      <c r="J674" s="14"/>
      <c r="K674" s="12"/>
    </row>
    <row r="675" ht="19.5" customHeight="1">
      <c r="A675" s="12"/>
      <c r="C675" s="12"/>
      <c r="D675" s="13"/>
      <c r="F675" s="14"/>
      <c r="G675" s="14"/>
      <c r="H675" s="14"/>
      <c r="I675" s="14"/>
      <c r="J675" s="14"/>
      <c r="K675" s="12"/>
    </row>
    <row r="676" ht="19.5" customHeight="1">
      <c r="A676" s="12"/>
      <c r="C676" s="12"/>
      <c r="D676" s="13"/>
      <c r="F676" s="14"/>
      <c r="G676" s="14"/>
      <c r="H676" s="14"/>
      <c r="I676" s="14"/>
      <c r="J676" s="14"/>
      <c r="K676" s="12"/>
    </row>
    <row r="677" ht="19.5" customHeight="1">
      <c r="A677" s="12"/>
      <c r="C677" s="12"/>
      <c r="D677" s="13"/>
      <c r="F677" s="14"/>
      <c r="G677" s="14"/>
      <c r="H677" s="14"/>
      <c r="I677" s="14"/>
      <c r="J677" s="14"/>
      <c r="K677" s="12"/>
    </row>
    <row r="678" ht="19.5" customHeight="1">
      <c r="A678" s="12"/>
      <c r="C678" s="12"/>
      <c r="D678" s="13"/>
      <c r="F678" s="14"/>
      <c r="G678" s="14"/>
      <c r="H678" s="14"/>
      <c r="I678" s="14"/>
      <c r="J678" s="14"/>
      <c r="K678" s="12"/>
    </row>
    <row r="679" ht="19.5" customHeight="1">
      <c r="A679" s="12"/>
      <c r="C679" s="12"/>
      <c r="D679" s="13"/>
      <c r="F679" s="14"/>
      <c r="G679" s="14"/>
      <c r="H679" s="14"/>
      <c r="I679" s="14"/>
      <c r="J679" s="14"/>
      <c r="K679" s="12"/>
    </row>
    <row r="680" ht="19.5" customHeight="1">
      <c r="A680" s="12"/>
      <c r="C680" s="12"/>
      <c r="D680" s="13"/>
      <c r="F680" s="14"/>
      <c r="G680" s="14"/>
      <c r="H680" s="14"/>
      <c r="I680" s="14"/>
      <c r="J680" s="14"/>
      <c r="K680" s="12"/>
    </row>
    <row r="681" ht="19.5" customHeight="1">
      <c r="A681" s="12"/>
      <c r="C681" s="12"/>
      <c r="D681" s="13"/>
      <c r="F681" s="14"/>
      <c r="G681" s="14"/>
      <c r="H681" s="14"/>
      <c r="I681" s="14"/>
      <c r="J681" s="14"/>
      <c r="K681" s="12"/>
    </row>
    <row r="682" ht="19.5" customHeight="1">
      <c r="A682" s="12"/>
      <c r="C682" s="12"/>
      <c r="D682" s="13"/>
      <c r="F682" s="14"/>
      <c r="G682" s="14"/>
      <c r="H682" s="14"/>
      <c r="I682" s="14"/>
      <c r="J682" s="14"/>
      <c r="K682" s="12"/>
    </row>
    <row r="683" ht="19.5" customHeight="1">
      <c r="A683" s="12"/>
      <c r="C683" s="12"/>
      <c r="D683" s="13"/>
      <c r="F683" s="14"/>
      <c r="G683" s="14"/>
      <c r="H683" s="14"/>
      <c r="I683" s="14"/>
      <c r="J683" s="14"/>
      <c r="K683" s="12"/>
    </row>
    <row r="684" ht="19.5" customHeight="1">
      <c r="A684" s="12"/>
      <c r="C684" s="12"/>
      <c r="D684" s="13"/>
      <c r="F684" s="14"/>
      <c r="G684" s="14"/>
      <c r="H684" s="14"/>
      <c r="I684" s="14"/>
      <c r="J684" s="14"/>
      <c r="K684" s="12"/>
    </row>
    <row r="685" ht="19.5" customHeight="1">
      <c r="A685" s="12"/>
      <c r="C685" s="12"/>
      <c r="D685" s="13"/>
      <c r="F685" s="14"/>
      <c r="G685" s="14"/>
      <c r="H685" s="14"/>
      <c r="I685" s="14"/>
      <c r="J685" s="14"/>
      <c r="K685" s="12"/>
    </row>
    <row r="686" ht="19.5" customHeight="1">
      <c r="A686" s="12"/>
      <c r="C686" s="12"/>
      <c r="D686" s="13"/>
      <c r="F686" s="14"/>
      <c r="G686" s="14"/>
      <c r="H686" s="14"/>
      <c r="I686" s="14"/>
      <c r="J686" s="14"/>
      <c r="K686" s="12"/>
    </row>
    <row r="687" ht="19.5" customHeight="1">
      <c r="A687" s="12"/>
      <c r="C687" s="12"/>
      <c r="D687" s="13"/>
      <c r="F687" s="14"/>
      <c r="G687" s="14"/>
      <c r="H687" s="14"/>
      <c r="I687" s="14"/>
      <c r="J687" s="14"/>
      <c r="K687" s="12"/>
    </row>
    <row r="688" ht="19.5" customHeight="1">
      <c r="A688" s="12"/>
      <c r="C688" s="12"/>
      <c r="D688" s="13"/>
      <c r="F688" s="14"/>
      <c r="G688" s="14"/>
      <c r="H688" s="14"/>
      <c r="I688" s="14"/>
      <c r="J688" s="14"/>
      <c r="K688" s="12"/>
    </row>
    <row r="689" ht="19.5" customHeight="1">
      <c r="A689" s="12"/>
      <c r="C689" s="12"/>
      <c r="D689" s="13"/>
      <c r="F689" s="14"/>
      <c r="G689" s="14"/>
      <c r="H689" s="14"/>
      <c r="I689" s="14"/>
      <c r="J689" s="14"/>
      <c r="K689" s="12"/>
    </row>
    <row r="690" ht="19.5" customHeight="1">
      <c r="A690" s="12"/>
      <c r="C690" s="12"/>
      <c r="D690" s="13"/>
      <c r="F690" s="14"/>
      <c r="G690" s="14"/>
      <c r="H690" s="14"/>
      <c r="I690" s="14"/>
      <c r="J690" s="14"/>
      <c r="K690" s="12"/>
    </row>
    <row r="691" ht="19.5" customHeight="1">
      <c r="A691" s="12"/>
      <c r="C691" s="12"/>
      <c r="D691" s="13"/>
      <c r="F691" s="14"/>
      <c r="G691" s="14"/>
      <c r="H691" s="14"/>
      <c r="I691" s="14"/>
      <c r="J691" s="14"/>
      <c r="K691" s="12"/>
    </row>
    <row r="692" ht="19.5" customHeight="1">
      <c r="A692" s="12"/>
      <c r="C692" s="12"/>
      <c r="D692" s="13"/>
      <c r="F692" s="14"/>
      <c r="G692" s="14"/>
      <c r="H692" s="14"/>
      <c r="I692" s="14"/>
      <c r="J692" s="14"/>
      <c r="K692" s="12"/>
    </row>
    <row r="693" ht="19.5" customHeight="1">
      <c r="A693" s="12"/>
      <c r="C693" s="12"/>
      <c r="D693" s="13"/>
      <c r="F693" s="14"/>
      <c r="G693" s="14"/>
      <c r="H693" s="14"/>
      <c r="I693" s="14"/>
      <c r="J693" s="14"/>
      <c r="K693" s="12"/>
    </row>
    <row r="694" ht="19.5" customHeight="1">
      <c r="A694" s="12"/>
      <c r="C694" s="12"/>
      <c r="D694" s="13"/>
      <c r="F694" s="14"/>
      <c r="G694" s="14"/>
      <c r="H694" s="14"/>
      <c r="I694" s="14"/>
      <c r="J694" s="14"/>
      <c r="K694" s="12"/>
    </row>
    <row r="695" ht="19.5" customHeight="1">
      <c r="A695" s="12"/>
      <c r="C695" s="12"/>
      <c r="D695" s="13"/>
      <c r="F695" s="14"/>
      <c r="G695" s="14"/>
      <c r="H695" s="14"/>
      <c r="I695" s="14"/>
      <c r="J695" s="14"/>
      <c r="K695" s="12"/>
    </row>
    <row r="696" ht="19.5" customHeight="1">
      <c r="A696" s="12"/>
      <c r="C696" s="12"/>
      <c r="D696" s="13"/>
      <c r="F696" s="14"/>
      <c r="G696" s="14"/>
      <c r="H696" s="14"/>
      <c r="I696" s="14"/>
      <c r="J696" s="14"/>
      <c r="K696" s="12"/>
    </row>
    <row r="697" ht="19.5" customHeight="1">
      <c r="A697" s="12"/>
      <c r="C697" s="12"/>
      <c r="D697" s="13"/>
      <c r="F697" s="14"/>
      <c r="G697" s="14"/>
      <c r="H697" s="14"/>
      <c r="I697" s="14"/>
      <c r="J697" s="14"/>
      <c r="K697" s="12"/>
    </row>
    <row r="698" ht="19.5" customHeight="1">
      <c r="A698" s="12"/>
      <c r="C698" s="12"/>
      <c r="D698" s="13"/>
      <c r="F698" s="14"/>
      <c r="G698" s="14"/>
      <c r="H698" s="14"/>
      <c r="I698" s="14"/>
      <c r="J698" s="14"/>
      <c r="K698" s="12"/>
    </row>
    <row r="699" ht="19.5" customHeight="1">
      <c r="A699" s="12"/>
      <c r="C699" s="12"/>
      <c r="D699" s="13"/>
      <c r="F699" s="14"/>
      <c r="G699" s="14"/>
      <c r="H699" s="14"/>
      <c r="I699" s="14"/>
      <c r="J699" s="14"/>
      <c r="K699" s="12"/>
    </row>
    <row r="700" ht="19.5" customHeight="1">
      <c r="A700" s="12"/>
      <c r="C700" s="12"/>
      <c r="D700" s="13"/>
      <c r="F700" s="14"/>
      <c r="G700" s="14"/>
      <c r="H700" s="14"/>
      <c r="I700" s="14"/>
      <c r="J700" s="14"/>
      <c r="K700" s="12"/>
    </row>
    <row r="701" ht="19.5" customHeight="1">
      <c r="A701" s="12"/>
      <c r="C701" s="12"/>
      <c r="D701" s="13"/>
      <c r="F701" s="14"/>
      <c r="G701" s="14"/>
      <c r="H701" s="14"/>
      <c r="I701" s="14"/>
      <c r="J701" s="14"/>
      <c r="K701" s="12"/>
    </row>
    <row r="702" ht="19.5" customHeight="1">
      <c r="A702" s="12"/>
      <c r="C702" s="12"/>
      <c r="D702" s="13"/>
      <c r="F702" s="14"/>
      <c r="G702" s="14"/>
      <c r="H702" s="14"/>
      <c r="I702" s="14"/>
      <c r="J702" s="14"/>
      <c r="K702" s="12"/>
    </row>
    <row r="703" ht="19.5" customHeight="1">
      <c r="A703" s="12"/>
      <c r="C703" s="12"/>
      <c r="D703" s="13"/>
      <c r="F703" s="14"/>
      <c r="G703" s="14"/>
      <c r="H703" s="14"/>
      <c r="I703" s="14"/>
      <c r="J703" s="14"/>
      <c r="K703" s="12"/>
    </row>
    <row r="704" ht="19.5" customHeight="1">
      <c r="A704" s="12"/>
      <c r="C704" s="12"/>
      <c r="D704" s="13"/>
      <c r="F704" s="14"/>
      <c r="G704" s="14"/>
      <c r="H704" s="14"/>
      <c r="I704" s="14"/>
      <c r="J704" s="14"/>
      <c r="K704" s="12"/>
    </row>
    <row r="705" ht="19.5" customHeight="1">
      <c r="A705" s="12"/>
      <c r="C705" s="12"/>
      <c r="D705" s="13"/>
      <c r="F705" s="14"/>
      <c r="G705" s="14"/>
      <c r="H705" s="14"/>
      <c r="I705" s="14"/>
      <c r="J705" s="14"/>
      <c r="K705" s="12"/>
    </row>
    <row r="706" ht="19.5" customHeight="1">
      <c r="A706" s="12"/>
      <c r="C706" s="12"/>
      <c r="D706" s="13"/>
      <c r="F706" s="14"/>
      <c r="G706" s="14"/>
      <c r="H706" s="14"/>
      <c r="I706" s="14"/>
      <c r="J706" s="14"/>
      <c r="K706" s="12"/>
    </row>
    <row r="707" ht="19.5" customHeight="1">
      <c r="A707" s="12"/>
      <c r="C707" s="12"/>
      <c r="D707" s="13"/>
      <c r="F707" s="14"/>
      <c r="G707" s="14"/>
      <c r="H707" s="14"/>
      <c r="I707" s="14"/>
      <c r="J707" s="14"/>
      <c r="K707" s="12"/>
    </row>
    <row r="708" ht="19.5" customHeight="1">
      <c r="A708" s="12"/>
      <c r="C708" s="12"/>
      <c r="D708" s="13"/>
      <c r="F708" s="14"/>
      <c r="G708" s="14"/>
      <c r="H708" s="14"/>
      <c r="I708" s="14"/>
      <c r="J708" s="14"/>
      <c r="K708" s="12"/>
    </row>
    <row r="709" ht="19.5" customHeight="1">
      <c r="A709" s="12"/>
      <c r="C709" s="12"/>
      <c r="D709" s="13"/>
      <c r="F709" s="14"/>
      <c r="G709" s="14"/>
      <c r="H709" s="14"/>
      <c r="I709" s="14"/>
      <c r="J709" s="14"/>
      <c r="K709" s="12"/>
    </row>
    <row r="710" ht="19.5" customHeight="1">
      <c r="A710" s="12"/>
      <c r="C710" s="12"/>
      <c r="D710" s="13"/>
      <c r="F710" s="14"/>
      <c r="G710" s="14"/>
      <c r="H710" s="14"/>
      <c r="I710" s="14"/>
      <c r="J710" s="14"/>
      <c r="K710" s="12"/>
    </row>
    <row r="711" ht="19.5" customHeight="1">
      <c r="A711" s="12"/>
      <c r="C711" s="12"/>
      <c r="D711" s="13"/>
      <c r="F711" s="14"/>
      <c r="G711" s="14"/>
      <c r="H711" s="14"/>
      <c r="I711" s="14"/>
      <c r="J711" s="14"/>
      <c r="K711" s="12"/>
    </row>
    <row r="712" ht="19.5" customHeight="1">
      <c r="A712" s="12"/>
      <c r="C712" s="12"/>
      <c r="D712" s="13"/>
      <c r="F712" s="14"/>
      <c r="G712" s="14"/>
      <c r="H712" s="14"/>
      <c r="I712" s="14"/>
      <c r="J712" s="14"/>
      <c r="K712" s="12"/>
    </row>
    <row r="713" ht="19.5" customHeight="1">
      <c r="A713" s="12"/>
      <c r="C713" s="12"/>
      <c r="D713" s="13"/>
      <c r="F713" s="14"/>
      <c r="G713" s="14"/>
      <c r="H713" s="14"/>
      <c r="I713" s="14"/>
      <c r="J713" s="14"/>
      <c r="K713" s="12"/>
    </row>
    <row r="714" ht="19.5" customHeight="1">
      <c r="A714" s="12"/>
      <c r="C714" s="12"/>
      <c r="D714" s="13"/>
      <c r="F714" s="14"/>
      <c r="G714" s="14"/>
      <c r="H714" s="14"/>
      <c r="I714" s="14"/>
      <c r="J714" s="14"/>
      <c r="K714" s="12"/>
    </row>
    <row r="715" ht="19.5" customHeight="1">
      <c r="A715" s="12"/>
      <c r="C715" s="12"/>
      <c r="D715" s="13"/>
      <c r="F715" s="14"/>
      <c r="G715" s="14"/>
      <c r="H715" s="14"/>
      <c r="I715" s="14"/>
      <c r="J715" s="14"/>
      <c r="K715" s="12"/>
    </row>
    <row r="716" ht="19.5" customHeight="1">
      <c r="A716" s="12"/>
      <c r="C716" s="12"/>
      <c r="D716" s="13"/>
      <c r="F716" s="14"/>
      <c r="G716" s="14"/>
      <c r="H716" s="14"/>
      <c r="I716" s="14"/>
      <c r="J716" s="14"/>
      <c r="K716" s="12"/>
    </row>
    <row r="717" ht="19.5" customHeight="1">
      <c r="A717" s="12"/>
      <c r="C717" s="12"/>
      <c r="D717" s="13"/>
      <c r="F717" s="14"/>
      <c r="G717" s="14"/>
      <c r="H717" s="14"/>
      <c r="I717" s="14"/>
      <c r="J717" s="14"/>
      <c r="K717" s="12"/>
    </row>
    <row r="718" ht="19.5" customHeight="1">
      <c r="A718" s="12"/>
      <c r="C718" s="12"/>
      <c r="D718" s="13"/>
      <c r="F718" s="14"/>
      <c r="G718" s="14"/>
      <c r="H718" s="14"/>
      <c r="I718" s="14"/>
      <c r="J718" s="14"/>
      <c r="K718" s="12"/>
    </row>
    <row r="719" ht="19.5" customHeight="1">
      <c r="A719" s="12"/>
      <c r="C719" s="12"/>
      <c r="D719" s="13"/>
      <c r="F719" s="14"/>
      <c r="G719" s="14"/>
      <c r="H719" s="14"/>
      <c r="I719" s="14"/>
      <c r="J719" s="14"/>
      <c r="K719" s="12"/>
    </row>
    <row r="720" ht="19.5" customHeight="1">
      <c r="A720" s="12"/>
      <c r="C720" s="12"/>
      <c r="D720" s="13"/>
      <c r="F720" s="14"/>
      <c r="G720" s="14"/>
      <c r="H720" s="14"/>
      <c r="I720" s="14"/>
      <c r="J720" s="14"/>
      <c r="K720" s="12"/>
    </row>
    <row r="721" ht="19.5" customHeight="1">
      <c r="A721" s="12"/>
      <c r="C721" s="12"/>
      <c r="D721" s="13"/>
      <c r="F721" s="14"/>
      <c r="G721" s="14"/>
      <c r="H721" s="14"/>
      <c r="I721" s="14"/>
      <c r="J721" s="14"/>
      <c r="K721" s="12"/>
    </row>
    <row r="722" ht="19.5" customHeight="1">
      <c r="A722" s="12"/>
      <c r="C722" s="12"/>
      <c r="D722" s="13"/>
      <c r="F722" s="14"/>
      <c r="G722" s="14"/>
      <c r="H722" s="14"/>
      <c r="I722" s="14"/>
      <c r="J722" s="14"/>
      <c r="K722" s="12"/>
    </row>
    <row r="723" ht="19.5" customHeight="1">
      <c r="A723" s="12"/>
      <c r="C723" s="12"/>
      <c r="D723" s="13"/>
      <c r="F723" s="14"/>
      <c r="G723" s="14"/>
      <c r="H723" s="14"/>
      <c r="I723" s="14"/>
      <c r="J723" s="14"/>
      <c r="K723" s="12"/>
    </row>
    <row r="724" ht="19.5" customHeight="1">
      <c r="A724" s="12"/>
      <c r="C724" s="12"/>
      <c r="D724" s="13"/>
      <c r="F724" s="14"/>
      <c r="G724" s="14"/>
      <c r="H724" s="14"/>
      <c r="I724" s="14"/>
      <c r="J724" s="14"/>
      <c r="K724" s="12"/>
    </row>
    <row r="725" ht="19.5" customHeight="1">
      <c r="A725" s="12"/>
      <c r="C725" s="12"/>
      <c r="D725" s="13"/>
      <c r="F725" s="14"/>
      <c r="G725" s="14"/>
      <c r="H725" s="14"/>
      <c r="I725" s="14"/>
      <c r="J725" s="14"/>
      <c r="K725" s="12"/>
    </row>
    <row r="726" ht="19.5" customHeight="1">
      <c r="A726" s="12"/>
      <c r="C726" s="12"/>
      <c r="D726" s="13"/>
      <c r="F726" s="14"/>
      <c r="G726" s="14"/>
      <c r="H726" s="14"/>
      <c r="I726" s="14"/>
      <c r="J726" s="14"/>
      <c r="K726" s="12"/>
    </row>
    <row r="727" ht="19.5" customHeight="1">
      <c r="A727" s="12"/>
      <c r="C727" s="12"/>
      <c r="D727" s="13"/>
      <c r="F727" s="14"/>
      <c r="G727" s="14"/>
      <c r="H727" s="14"/>
      <c r="I727" s="14"/>
      <c r="J727" s="14"/>
      <c r="K727" s="12"/>
    </row>
    <row r="728" ht="19.5" customHeight="1">
      <c r="A728" s="12"/>
      <c r="C728" s="12"/>
      <c r="D728" s="13"/>
      <c r="F728" s="14"/>
      <c r="G728" s="14"/>
      <c r="H728" s="14"/>
      <c r="I728" s="14"/>
      <c r="J728" s="14"/>
      <c r="K728" s="12"/>
    </row>
    <row r="729" ht="19.5" customHeight="1">
      <c r="A729" s="12"/>
      <c r="C729" s="12"/>
      <c r="D729" s="13"/>
      <c r="F729" s="14"/>
      <c r="G729" s="14"/>
      <c r="H729" s="14"/>
      <c r="I729" s="14"/>
      <c r="J729" s="14"/>
      <c r="K729" s="12"/>
    </row>
    <row r="730" ht="19.5" customHeight="1">
      <c r="A730" s="12"/>
      <c r="C730" s="12"/>
      <c r="D730" s="13"/>
      <c r="F730" s="14"/>
      <c r="G730" s="14"/>
      <c r="H730" s="14"/>
      <c r="I730" s="14"/>
      <c r="J730" s="14"/>
      <c r="K730" s="12"/>
    </row>
    <row r="731" ht="19.5" customHeight="1">
      <c r="A731" s="12"/>
      <c r="C731" s="12"/>
      <c r="D731" s="13"/>
      <c r="F731" s="14"/>
      <c r="G731" s="14"/>
      <c r="H731" s="14"/>
      <c r="I731" s="14"/>
      <c r="J731" s="14"/>
      <c r="K731" s="12"/>
    </row>
    <row r="732" ht="19.5" customHeight="1">
      <c r="A732" s="12"/>
      <c r="C732" s="12"/>
      <c r="D732" s="13"/>
      <c r="F732" s="14"/>
      <c r="G732" s="14"/>
      <c r="H732" s="14"/>
      <c r="I732" s="14"/>
      <c r="J732" s="14"/>
      <c r="K732" s="12"/>
    </row>
    <row r="733" ht="19.5" customHeight="1">
      <c r="A733" s="12"/>
      <c r="C733" s="12"/>
      <c r="D733" s="13"/>
      <c r="F733" s="14"/>
      <c r="G733" s="14"/>
      <c r="H733" s="14"/>
      <c r="I733" s="14"/>
      <c r="J733" s="14"/>
      <c r="K733" s="12"/>
    </row>
    <row r="734" ht="19.5" customHeight="1">
      <c r="A734" s="12"/>
      <c r="C734" s="12"/>
      <c r="D734" s="13"/>
      <c r="F734" s="14"/>
      <c r="G734" s="14"/>
      <c r="H734" s="14"/>
      <c r="I734" s="14"/>
      <c r="J734" s="14"/>
      <c r="K734" s="12"/>
    </row>
    <row r="735" ht="19.5" customHeight="1">
      <c r="A735" s="12"/>
      <c r="C735" s="12"/>
      <c r="D735" s="13"/>
      <c r="F735" s="14"/>
      <c r="G735" s="14"/>
      <c r="H735" s="14"/>
      <c r="I735" s="14"/>
      <c r="J735" s="14"/>
      <c r="K735" s="12"/>
    </row>
    <row r="736" ht="19.5" customHeight="1">
      <c r="A736" s="12"/>
      <c r="C736" s="12"/>
      <c r="D736" s="13"/>
      <c r="F736" s="14"/>
      <c r="G736" s="14"/>
      <c r="H736" s="14"/>
      <c r="I736" s="14"/>
      <c r="J736" s="14"/>
      <c r="K736" s="12"/>
    </row>
    <row r="737" ht="19.5" customHeight="1">
      <c r="A737" s="12"/>
      <c r="C737" s="12"/>
      <c r="D737" s="13"/>
      <c r="F737" s="14"/>
      <c r="G737" s="14"/>
      <c r="H737" s="14"/>
      <c r="I737" s="14"/>
      <c r="J737" s="14"/>
      <c r="K737" s="12"/>
    </row>
    <row r="738" ht="19.5" customHeight="1">
      <c r="A738" s="12"/>
      <c r="C738" s="12"/>
      <c r="D738" s="13"/>
      <c r="F738" s="14"/>
      <c r="G738" s="14"/>
      <c r="H738" s="14"/>
      <c r="I738" s="14"/>
      <c r="J738" s="14"/>
      <c r="K738" s="12"/>
    </row>
    <row r="739" ht="19.5" customHeight="1">
      <c r="A739" s="12"/>
      <c r="C739" s="12"/>
      <c r="D739" s="13"/>
      <c r="F739" s="14"/>
      <c r="G739" s="14"/>
      <c r="H739" s="14"/>
      <c r="I739" s="14"/>
      <c r="J739" s="14"/>
      <c r="K739" s="12"/>
    </row>
    <row r="740" ht="19.5" customHeight="1">
      <c r="A740" s="12"/>
      <c r="C740" s="12"/>
      <c r="D740" s="13"/>
      <c r="F740" s="14"/>
      <c r="G740" s="14"/>
      <c r="H740" s="14"/>
      <c r="I740" s="14"/>
      <c r="J740" s="14"/>
      <c r="K740" s="12"/>
    </row>
    <row r="741" ht="19.5" customHeight="1">
      <c r="A741" s="12"/>
      <c r="C741" s="12"/>
      <c r="D741" s="13"/>
      <c r="F741" s="14"/>
      <c r="G741" s="14"/>
      <c r="H741" s="14"/>
      <c r="I741" s="14"/>
      <c r="J741" s="14"/>
      <c r="K741" s="12"/>
    </row>
    <row r="742" ht="19.5" customHeight="1">
      <c r="A742" s="12"/>
      <c r="C742" s="12"/>
      <c r="D742" s="13"/>
      <c r="F742" s="14"/>
      <c r="G742" s="14"/>
      <c r="H742" s="14"/>
      <c r="I742" s="14"/>
      <c r="J742" s="14"/>
      <c r="K742" s="12"/>
    </row>
    <row r="743" ht="19.5" customHeight="1">
      <c r="A743" s="12"/>
      <c r="C743" s="12"/>
      <c r="D743" s="13"/>
      <c r="F743" s="14"/>
      <c r="G743" s="14"/>
      <c r="H743" s="14"/>
      <c r="I743" s="14"/>
      <c r="J743" s="14"/>
      <c r="K743" s="12"/>
    </row>
    <row r="744" ht="19.5" customHeight="1">
      <c r="A744" s="12"/>
      <c r="C744" s="12"/>
      <c r="D744" s="13"/>
      <c r="F744" s="14"/>
      <c r="G744" s="14"/>
      <c r="H744" s="14"/>
      <c r="I744" s="14"/>
      <c r="J744" s="14"/>
      <c r="K744" s="12"/>
    </row>
    <row r="745" ht="19.5" customHeight="1">
      <c r="A745" s="12"/>
      <c r="C745" s="12"/>
      <c r="D745" s="13"/>
      <c r="F745" s="14"/>
      <c r="G745" s="14"/>
      <c r="H745" s="14"/>
      <c r="I745" s="14"/>
      <c r="J745" s="14"/>
      <c r="K745" s="12"/>
    </row>
    <row r="746" ht="19.5" customHeight="1">
      <c r="A746" s="12"/>
      <c r="C746" s="12"/>
      <c r="D746" s="13"/>
      <c r="F746" s="14"/>
      <c r="G746" s="14"/>
      <c r="H746" s="14"/>
      <c r="I746" s="14"/>
      <c r="J746" s="14"/>
      <c r="K746" s="12"/>
    </row>
    <row r="747" ht="19.5" customHeight="1">
      <c r="A747" s="12"/>
      <c r="C747" s="12"/>
      <c r="D747" s="13"/>
      <c r="F747" s="14"/>
      <c r="G747" s="14"/>
      <c r="H747" s="14"/>
      <c r="I747" s="14"/>
      <c r="J747" s="14"/>
      <c r="K747" s="12"/>
    </row>
    <row r="748" ht="19.5" customHeight="1">
      <c r="A748" s="12"/>
      <c r="C748" s="12"/>
      <c r="D748" s="13"/>
      <c r="F748" s="14"/>
      <c r="G748" s="14"/>
      <c r="H748" s="14"/>
      <c r="I748" s="14"/>
      <c r="J748" s="14"/>
      <c r="K748" s="12"/>
    </row>
    <row r="749" ht="19.5" customHeight="1">
      <c r="A749" s="12"/>
      <c r="C749" s="12"/>
      <c r="D749" s="13"/>
      <c r="F749" s="14"/>
      <c r="G749" s="14"/>
      <c r="H749" s="14"/>
      <c r="I749" s="14"/>
      <c r="J749" s="14"/>
      <c r="K749" s="12"/>
    </row>
    <row r="750" ht="19.5" customHeight="1">
      <c r="A750" s="12"/>
      <c r="C750" s="12"/>
      <c r="D750" s="13"/>
      <c r="F750" s="14"/>
      <c r="G750" s="14"/>
      <c r="H750" s="14"/>
      <c r="I750" s="14"/>
      <c r="J750" s="14"/>
      <c r="K750" s="12"/>
    </row>
    <row r="751" ht="19.5" customHeight="1">
      <c r="A751" s="12"/>
      <c r="C751" s="12"/>
      <c r="D751" s="13"/>
      <c r="F751" s="14"/>
      <c r="G751" s="14"/>
      <c r="H751" s="14"/>
      <c r="I751" s="14"/>
      <c r="J751" s="14"/>
      <c r="K751" s="12"/>
    </row>
    <row r="752" ht="19.5" customHeight="1">
      <c r="A752" s="12"/>
      <c r="C752" s="12"/>
      <c r="D752" s="13"/>
      <c r="F752" s="14"/>
      <c r="G752" s="14"/>
      <c r="H752" s="14"/>
      <c r="I752" s="14"/>
      <c r="J752" s="14"/>
      <c r="K752" s="12"/>
    </row>
    <row r="753" ht="19.5" customHeight="1">
      <c r="A753" s="12"/>
      <c r="C753" s="12"/>
      <c r="D753" s="13"/>
      <c r="F753" s="14"/>
      <c r="G753" s="14"/>
      <c r="H753" s="14"/>
      <c r="I753" s="14"/>
      <c r="J753" s="14"/>
      <c r="K753" s="12"/>
    </row>
    <row r="754" ht="19.5" customHeight="1">
      <c r="A754" s="12"/>
      <c r="C754" s="12"/>
      <c r="D754" s="13"/>
      <c r="F754" s="14"/>
      <c r="G754" s="14"/>
      <c r="H754" s="14"/>
      <c r="I754" s="14"/>
      <c r="J754" s="14"/>
      <c r="K754" s="12"/>
    </row>
    <row r="755" ht="19.5" customHeight="1">
      <c r="A755" s="12"/>
      <c r="C755" s="12"/>
      <c r="D755" s="13"/>
      <c r="F755" s="14"/>
      <c r="G755" s="14"/>
      <c r="H755" s="14"/>
      <c r="I755" s="14"/>
      <c r="J755" s="14"/>
      <c r="K755" s="12"/>
    </row>
    <row r="756" ht="19.5" customHeight="1">
      <c r="A756" s="12"/>
      <c r="C756" s="12"/>
      <c r="D756" s="13"/>
      <c r="F756" s="14"/>
      <c r="G756" s="14"/>
      <c r="H756" s="14"/>
      <c r="I756" s="14"/>
      <c r="J756" s="14"/>
      <c r="K756" s="12"/>
    </row>
    <row r="757" ht="19.5" customHeight="1">
      <c r="A757" s="12"/>
      <c r="C757" s="12"/>
      <c r="D757" s="13"/>
      <c r="F757" s="14"/>
      <c r="G757" s="14"/>
      <c r="H757" s="14"/>
      <c r="I757" s="14"/>
      <c r="J757" s="14"/>
      <c r="K757" s="12"/>
    </row>
    <row r="758" ht="19.5" customHeight="1">
      <c r="A758" s="12"/>
      <c r="C758" s="12"/>
      <c r="D758" s="13"/>
      <c r="F758" s="14"/>
      <c r="G758" s="14"/>
      <c r="H758" s="14"/>
      <c r="I758" s="14"/>
      <c r="J758" s="14"/>
      <c r="K758" s="12"/>
    </row>
    <row r="759" ht="19.5" customHeight="1">
      <c r="A759" s="12"/>
      <c r="C759" s="12"/>
      <c r="D759" s="13"/>
      <c r="F759" s="14"/>
      <c r="G759" s="14"/>
      <c r="H759" s="14"/>
      <c r="I759" s="14"/>
      <c r="J759" s="14"/>
      <c r="K759" s="12"/>
    </row>
    <row r="760" ht="19.5" customHeight="1">
      <c r="A760" s="12"/>
      <c r="C760" s="12"/>
      <c r="D760" s="13"/>
      <c r="F760" s="14"/>
      <c r="G760" s="14"/>
      <c r="H760" s="14"/>
      <c r="I760" s="14"/>
      <c r="J760" s="14"/>
      <c r="K760" s="12"/>
    </row>
    <row r="761" ht="19.5" customHeight="1">
      <c r="A761" s="12"/>
      <c r="C761" s="12"/>
      <c r="D761" s="13"/>
      <c r="F761" s="14"/>
      <c r="G761" s="14"/>
      <c r="H761" s="14"/>
      <c r="I761" s="14"/>
      <c r="J761" s="14"/>
      <c r="K761" s="12"/>
    </row>
    <row r="762" ht="19.5" customHeight="1">
      <c r="A762" s="12"/>
      <c r="C762" s="12"/>
      <c r="D762" s="13"/>
      <c r="F762" s="14"/>
      <c r="G762" s="14"/>
      <c r="H762" s="14"/>
      <c r="I762" s="14"/>
      <c r="J762" s="14"/>
      <c r="K762" s="12"/>
    </row>
    <row r="763" ht="19.5" customHeight="1">
      <c r="A763" s="12"/>
      <c r="C763" s="12"/>
      <c r="D763" s="13"/>
      <c r="F763" s="14"/>
      <c r="G763" s="14"/>
      <c r="H763" s="14"/>
      <c r="I763" s="14"/>
      <c r="J763" s="14"/>
      <c r="K763" s="12"/>
    </row>
    <row r="764" ht="19.5" customHeight="1">
      <c r="A764" s="12"/>
      <c r="C764" s="12"/>
      <c r="D764" s="13"/>
      <c r="F764" s="14"/>
      <c r="G764" s="14"/>
      <c r="H764" s="14"/>
      <c r="I764" s="14"/>
      <c r="J764" s="14"/>
      <c r="K764" s="12"/>
    </row>
    <row r="765" ht="19.5" customHeight="1">
      <c r="A765" s="12"/>
      <c r="C765" s="12"/>
      <c r="D765" s="13"/>
      <c r="F765" s="14"/>
      <c r="G765" s="14"/>
      <c r="H765" s="14"/>
      <c r="I765" s="14"/>
      <c r="J765" s="14"/>
      <c r="K765" s="12"/>
    </row>
    <row r="766" ht="19.5" customHeight="1">
      <c r="A766" s="12"/>
      <c r="C766" s="12"/>
      <c r="D766" s="13"/>
      <c r="F766" s="14"/>
      <c r="G766" s="14"/>
      <c r="H766" s="14"/>
      <c r="I766" s="14"/>
      <c r="J766" s="14"/>
      <c r="K766" s="12"/>
    </row>
    <row r="767" ht="19.5" customHeight="1">
      <c r="A767" s="12"/>
      <c r="C767" s="12"/>
      <c r="D767" s="13"/>
      <c r="F767" s="14"/>
      <c r="G767" s="14"/>
      <c r="H767" s="14"/>
      <c r="I767" s="14"/>
      <c r="J767" s="14"/>
      <c r="K767" s="12"/>
    </row>
    <row r="768" ht="19.5" customHeight="1">
      <c r="A768" s="12"/>
      <c r="C768" s="12"/>
      <c r="D768" s="13"/>
      <c r="F768" s="14"/>
      <c r="G768" s="14"/>
      <c r="H768" s="14"/>
      <c r="I768" s="14"/>
      <c r="J768" s="14"/>
      <c r="K768" s="12"/>
    </row>
    <row r="769" ht="19.5" customHeight="1">
      <c r="A769" s="12"/>
      <c r="C769" s="12"/>
      <c r="D769" s="13"/>
      <c r="F769" s="14"/>
      <c r="G769" s="14"/>
      <c r="H769" s="14"/>
      <c r="I769" s="14"/>
      <c r="J769" s="14"/>
      <c r="K769" s="12"/>
    </row>
    <row r="770" ht="19.5" customHeight="1">
      <c r="A770" s="12"/>
      <c r="C770" s="12"/>
      <c r="D770" s="13"/>
      <c r="F770" s="14"/>
      <c r="G770" s="14"/>
      <c r="H770" s="14"/>
      <c r="I770" s="14"/>
      <c r="J770" s="14"/>
      <c r="K770" s="12"/>
    </row>
    <row r="771" ht="19.5" customHeight="1">
      <c r="A771" s="12"/>
      <c r="C771" s="12"/>
      <c r="D771" s="13"/>
      <c r="F771" s="14"/>
      <c r="G771" s="14"/>
      <c r="H771" s="14"/>
      <c r="I771" s="14"/>
      <c r="J771" s="14"/>
      <c r="K771" s="12"/>
    </row>
    <row r="772" ht="19.5" customHeight="1">
      <c r="A772" s="12"/>
      <c r="C772" s="12"/>
      <c r="D772" s="13"/>
      <c r="F772" s="14"/>
      <c r="G772" s="14"/>
      <c r="H772" s="14"/>
      <c r="I772" s="14"/>
      <c r="J772" s="14"/>
      <c r="K772" s="12"/>
    </row>
    <row r="773" ht="19.5" customHeight="1">
      <c r="A773" s="12"/>
      <c r="C773" s="12"/>
      <c r="D773" s="13"/>
      <c r="F773" s="14"/>
      <c r="G773" s="14"/>
      <c r="H773" s="14"/>
      <c r="I773" s="14"/>
      <c r="J773" s="14"/>
      <c r="K773" s="12"/>
    </row>
    <row r="774" ht="19.5" customHeight="1">
      <c r="A774" s="12"/>
      <c r="C774" s="12"/>
      <c r="D774" s="13"/>
      <c r="F774" s="14"/>
      <c r="G774" s="14"/>
      <c r="H774" s="14"/>
      <c r="I774" s="14"/>
      <c r="J774" s="14"/>
      <c r="K774" s="12"/>
    </row>
    <row r="775" ht="19.5" customHeight="1">
      <c r="A775" s="12"/>
      <c r="C775" s="12"/>
      <c r="D775" s="13"/>
      <c r="F775" s="14"/>
      <c r="G775" s="14"/>
      <c r="H775" s="14"/>
      <c r="I775" s="14"/>
      <c r="J775" s="14"/>
      <c r="K775" s="12"/>
    </row>
    <row r="776" ht="19.5" customHeight="1">
      <c r="A776" s="12"/>
      <c r="C776" s="12"/>
      <c r="D776" s="13"/>
      <c r="F776" s="14"/>
      <c r="G776" s="14"/>
      <c r="H776" s="14"/>
      <c r="I776" s="14"/>
      <c r="J776" s="14"/>
      <c r="K776" s="12"/>
    </row>
    <row r="777" ht="19.5" customHeight="1">
      <c r="A777" s="12"/>
      <c r="C777" s="12"/>
      <c r="D777" s="13"/>
      <c r="F777" s="14"/>
      <c r="G777" s="14"/>
      <c r="H777" s="14"/>
      <c r="I777" s="14"/>
      <c r="J777" s="14"/>
      <c r="K777" s="12"/>
    </row>
    <row r="778" ht="19.5" customHeight="1">
      <c r="A778" s="12"/>
      <c r="C778" s="12"/>
      <c r="D778" s="13"/>
      <c r="F778" s="14"/>
      <c r="G778" s="14"/>
      <c r="H778" s="14"/>
      <c r="I778" s="14"/>
      <c r="J778" s="14"/>
      <c r="K778" s="12"/>
    </row>
    <row r="779" ht="19.5" customHeight="1">
      <c r="A779" s="12"/>
      <c r="C779" s="12"/>
      <c r="D779" s="13"/>
      <c r="F779" s="14"/>
      <c r="G779" s="14"/>
      <c r="H779" s="14"/>
      <c r="I779" s="14"/>
      <c r="J779" s="14"/>
      <c r="K779" s="12"/>
    </row>
    <row r="780" ht="19.5" customHeight="1">
      <c r="A780" s="12"/>
      <c r="C780" s="12"/>
      <c r="D780" s="13"/>
      <c r="F780" s="14"/>
      <c r="G780" s="14"/>
      <c r="H780" s="14"/>
      <c r="I780" s="14"/>
      <c r="J780" s="14"/>
      <c r="K780" s="12"/>
    </row>
    <row r="781" ht="19.5" customHeight="1">
      <c r="A781" s="12"/>
      <c r="C781" s="12"/>
      <c r="D781" s="13"/>
      <c r="F781" s="14"/>
      <c r="G781" s="14"/>
      <c r="H781" s="14"/>
      <c r="I781" s="14"/>
      <c r="J781" s="14"/>
      <c r="K781" s="12"/>
    </row>
    <row r="782" ht="19.5" customHeight="1">
      <c r="A782" s="12"/>
      <c r="C782" s="12"/>
      <c r="D782" s="13"/>
      <c r="F782" s="14"/>
      <c r="G782" s="14"/>
      <c r="H782" s="14"/>
      <c r="I782" s="14"/>
      <c r="J782" s="14"/>
      <c r="K782" s="12"/>
    </row>
    <row r="783" ht="19.5" customHeight="1">
      <c r="A783" s="12"/>
      <c r="C783" s="12"/>
      <c r="D783" s="13"/>
      <c r="F783" s="14"/>
      <c r="G783" s="14"/>
      <c r="H783" s="14"/>
      <c r="I783" s="14"/>
      <c r="J783" s="14"/>
      <c r="K783" s="12"/>
    </row>
    <row r="784" ht="19.5" customHeight="1">
      <c r="A784" s="12"/>
      <c r="C784" s="12"/>
      <c r="D784" s="13"/>
      <c r="F784" s="14"/>
      <c r="G784" s="14"/>
      <c r="H784" s="14"/>
      <c r="I784" s="14"/>
      <c r="J784" s="14"/>
      <c r="K784" s="12"/>
    </row>
    <row r="785" ht="19.5" customHeight="1">
      <c r="A785" s="12"/>
      <c r="C785" s="12"/>
      <c r="D785" s="13"/>
      <c r="F785" s="14"/>
      <c r="G785" s="14"/>
      <c r="H785" s="14"/>
      <c r="I785" s="14"/>
      <c r="J785" s="14"/>
      <c r="K785" s="12"/>
    </row>
    <row r="786" ht="19.5" customHeight="1">
      <c r="A786" s="12"/>
      <c r="C786" s="12"/>
      <c r="D786" s="13"/>
      <c r="F786" s="14"/>
      <c r="G786" s="14"/>
      <c r="H786" s="14"/>
      <c r="I786" s="14"/>
      <c r="J786" s="14"/>
      <c r="K786" s="12"/>
    </row>
    <row r="787" ht="19.5" customHeight="1">
      <c r="A787" s="12"/>
      <c r="C787" s="12"/>
      <c r="D787" s="13"/>
      <c r="F787" s="14"/>
      <c r="G787" s="14"/>
      <c r="H787" s="14"/>
      <c r="I787" s="14"/>
      <c r="J787" s="14"/>
      <c r="K787" s="12"/>
    </row>
    <row r="788" ht="19.5" customHeight="1">
      <c r="A788" s="12"/>
      <c r="C788" s="12"/>
      <c r="D788" s="13"/>
      <c r="F788" s="14"/>
      <c r="G788" s="14"/>
      <c r="H788" s="14"/>
      <c r="I788" s="14"/>
      <c r="J788" s="14"/>
      <c r="K788" s="12"/>
    </row>
    <row r="789" ht="19.5" customHeight="1">
      <c r="A789" s="12"/>
      <c r="C789" s="12"/>
      <c r="D789" s="13"/>
      <c r="F789" s="14"/>
      <c r="G789" s="14"/>
      <c r="H789" s="14"/>
      <c r="I789" s="14"/>
      <c r="J789" s="14"/>
      <c r="K789" s="12"/>
    </row>
    <row r="790" ht="19.5" customHeight="1">
      <c r="A790" s="12"/>
      <c r="C790" s="12"/>
      <c r="D790" s="13"/>
      <c r="F790" s="14"/>
      <c r="G790" s="14"/>
      <c r="H790" s="14"/>
      <c r="I790" s="14"/>
      <c r="J790" s="14"/>
      <c r="K790" s="12"/>
    </row>
    <row r="791" ht="19.5" customHeight="1">
      <c r="A791" s="12"/>
      <c r="C791" s="12"/>
      <c r="D791" s="13"/>
      <c r="F791" s="14"/>
      <c r="G791" s="14"/>
      <c r="H791" s="14"/>
      <c r="I791" s="14"/>
      <c r="J791" s="14"/>
      <c r="K791" s="12"/>
    </row>
    <row r="792" ht="19.5" customHeight="1">
      <c r="A792" s="12"/>
      <c r="C792" s="12"/>
      <c r="D792" s="13"/>
      <c r="F792" s="14"/>
      <c r="G792" s="14"/>
      <c r="H792" s="14"/>
      <c r="I792" s="14"/>
      <c r="J792" s="14"/>
      <c r="K792" s="12"/>
    </row>
    <row r="793" ht="19.5" customHeight="1">
      <c r="A793" s="12"/>
      <c r="C793" s="12"/>
      <c r="D793" s="13"/>
      <c r="F793" s="14"/>
      <c r="G793" s="14"/>
      <c r="H793" s="14"/>
      <c r="I793" s="14"/>
      <c r="J793" s="14"/>
      <c r="K793" s="12"/>
    </row>
    <row r="794" ht="19.5" customHeight="1">
      <c r="A794" s="12"/>
      <c r="C794" s="12"/>
      <c r="D794" s="13"/>
      <c r="F794" s="14"/>
      <c r="G794" s="14"/>
      <c r="H794" s="14"/>
      <c r="I794" s="14"/>
      <c r="J794" s="14"/>
      <c r="K794" s="12"/>
    </row>
    <row r="795" ht="19.5" customHeight="1">
      <c r="A795" s="12"/>
      <c r="C795" s="12"/>
      <c r="D795" s="13"/>
      <c r="F795" s="14"/>
      <c r="G795" s="14"/>
      <c r="H795" s="14"/>
      <c r="I795" s="14"/>
      <c r="J795" s="14"/>
      <c r="K795" s="12"/>
    </row>
    <row r="796" ht="19.5" customHeight="1">
      <c r="A796" s="12"/>
      <c r="C796" s="12"/>
      <c r="D796" s="13"/>
      <c r="F796" s="14"/>
      <c r="G796" s="14"/>
      <c r="H796" s="14"/>
      <c r="I796" s="14"/>
      <c r="J796" s="14"/>
      <c r="K796" s="12"/>
    </row>
    <row r="797" ht="19.5" customHeight="1">
      <c r="A797" s="12"/>
      <c r="C797" s="12"/>
      <c r="D797" s="13"/>
      <c r="F797" s="14"/>
      <c r="G797" s="14"/>
      <c r="H797" s="14"/>
      <c r="I797" s="14"/>
      <c r="J797" s="14"/>
      <c r="K797" s="12"/>
    </row>
    <row r="798" ht="19.5" customHeight="1">
      <c r="A798" s="12"/>
      <c r="C798" s="12"/>
      <c r="D798" s="13"/>
      <c r="F798" s="14"/>
      <c r="G798" s="14"/>
      <c r="H798" s="14"/>
      <c r="I798" s="14"/>
      <c r="J798" s="14"/>
      <c r="K798" s="12"/>
    </row>
    <row r="799" ht="19.5" customHeight="1">
      <c r="A799" s="12"/>
      <c r="C799" s="12"/>
      <c r="D799" s="13"/>
      <c r="F799" s="14"/>
      <c r="G799" s="14"/>
      <c r="H799" s="14"/>
      <c r="I799" s="14"/>
      <c r="J799" s="14"/>
      <c r="K799" s="12"/>
    </row>
    <row r="800" ht="19.5" customHeight="1">
      <c r="A800" s="12"/>
      <c r="C800" s="12"/>
      <c r="D800" s="13"/>
      <c r="F800" s="14"/>
      <c r="G800" s="14"/>
      <c r="H800" s="14"/>
      <c r="I800" s="14"/>
      <c r="J800" s="14"/>
      <c r="K800" s="12"/>
    </row>
    <row r="801" ht="19.5" customHeight="1">
      <c r="A801" s="12"/>
      <c r="C801" s="12"/>
      <c r="D801" s="13"/>
      <c r="F801" s="14"/>
      <c r="G801" s="14"/>
      <c r="H801" s="14"/>
      <c r="I801" s="14"/>
      <c r="J801" s="14"/>
      <c r="K801" s="12"/>
    </row>
    <row r="802" ht="19.5" customHeight="1">
      <c r="A802" s="12"/>
      <c r="C802" s="12"/>
      <c r="D802" s="13"/>
      <c r="F802" s="14"/>
      <c r="G802" s="14"/>
      <c r="H802" s="14"/>
      <c r="I802" s="14"/>
      <c r="J802" s="14"/>
      <c r="K802" s="12"/>
    </row>
    <row r="803" ht="19.5" customHeight="1">
      <c r="A803" s="12"/>
      <c r="C803" s="12"/>
      <c r="D803" s="13"/>
      <c r="F803" s="14"/>
      <c r="G803" s="14"/>
      <c r="H803" s="14"/>
      <c r="I803" s="14"/>
      <c r="J803" s="14"/>
      <c r="K803" s="12"/>
    </row>
    <row r="804" ht="19.5" customHeight="1">
      <c r="A804" s="12"/>
      <c r="C804" s="12"/>
      <c r="D804" s="13"/>
      <c r="F804" s="14"/>
      <c r="G804" s="14"/>
      <c r="H804" s="14"/>
      <c r="I804" s="14"/>
      <c r="J804" s="14"/>
      <c r="K804" s="12"/>
    </row>
    <row r="805" ht="19.5" customHeight="1">
      <c r="A805" s="12"/>
      <c r="C805" s="12"/>
      <c r="D805" s="13"/>
      <c r="F805" s="14"/>
      <c r="G805" s="14"/>
      <c r="H805" s="14"/>
      <c r="I805" s="14"/>
      <c r="J805" s="14"/>
      <c r="K805" s="12"/>
    </row>
    <row r="806" ht="19.5" customHeight="1">
      <c r="A806" s="12"/>
      <c r="C806" s="12"/>
      <c r="D806" s="13"/>
      <c r="F806" s="14"/>
      <c r="G806" s="14"/>
      <c r="H806" s="14"/>
      <c r="I806" s="14"/>
      <c r="J806" s="14"/>
      <c r="K806" s="12"/>
    </row>
    <row r="807" ht="19.5" customHeight="1">
      <c r="A807" s="12"/>
      <c r="C807" s="12"/>
      <c r="D807" s="13"/>
      <c r="F807" s="14"/>
      <c r="G807" s="14"/>
      <c r="H807" s="14"/>
      <c r="I807" s="14"/>
      <c r="J807" s="14"/>
      <c r="K807" s="12"/>
    </row>
    <row r="808" ht="19.5" customHeight="1">
      <c r="A808" s="12"/>
      <c r="C808" s="12"/>
      <c r="D808" s="13"/>
      <c r="F808" s="14"/>
      <c r="G808" s="14"/>
      <c r="H808" s="14"/>
      <c r="I808" s="14"/>
      <c r="J808" s="14"/>
      <c r="K808" s="12"/>
    </row>
    <row r="809" ht="19.5" customHeight="1">
      <c r="A809" s="12"/>
      <c r="C809" s="12"/>
      <c r="D809" s="13"/>
      <c r="F809" s="14"/>
      <c r="G809" s="14"/>
      <c r="H809" s="14"/>
      <c r="I809" s="14"/>
      <c r="J809" s="14"/>
      <c r="K809" s="12"/>
    </row>
    <row r="810" ht="19.5" customHeight="1">
      <c r="A810" s="12"/>
      <c r="C810" s="12"/>
      <c r="D810" s="13"/>
      <c r="F810" s="14"/>
      <c r="G810" s="14"/>
      <c r="H810" s="14"/>
      <c r="I810" s="14"/>
      <c r="J810" s="14"/>
      <c r="K810" s="12"/>
    </row>
    <row r="811" ht="19.5" customHeight="1">
      <c r="A811" s="12"/>
      <c r="C811" s="12"/>
      <c r="D811" s="13"/>
      <c r="F811" s="14"/>
      <c r="G811" s="14"/>
      <c r="H811" s="14"/>
      <c r="I811" s="14"/>
      <c r="J811" s="14"/>
      <c r="K811" s="12"/>
    </row>
    <row r="812" ht="19.5" customHeight="1">
      <c r="A812" s="12"/>
      <c r="C812" s="12"/>
      <c r="D812" s="13"/>
      <c r="F812" s="14"/>
      <c r="G812" s="14"/>
      <c r="H812" s="14"/>
      <c r="I812" s="14"/>
      <c r="J812" s="14"/>
      <c r="K812" s="12"/>
    </row>
    <row r="813" ht="19.5" customHeight="1">
      <c r="A813" s="12"/>
      <c r="C813" s="12"/>
      <c r="D813" s="13"/>
      <c r="F813" s="14"/>
      <c r="G813" s="14"/>
      <c r="H813" s="14"/>
      <c r="I813" s="14"/>
      <c r="J813" s="14"/>
      <c r="K813" s="12"/>
    </row>
    <row r="814" ht="19.5" customHeight="1">
      <c r="A814" s="12"/>
      <c r="C814" s="12"/>
      <c r="D814" s="13"/>
      <c r="F814" s="14"/>
      <c r="G814" s="14"/>
      <c r="H814" s="14"/>
      <c r="I814" s="14"/>
      <c r="J814" s="14"/>
      <c r="K814" s="12"/>
    </row>
    <row r="815" ht="19.5" customHeight="1">
      <c r="A815" s="12"/>
      <c r="C815" s="12"/>
      <c r="D815" s="13"/>
      <c r="F815" s="14"/>
      <c r="G815" s="14"/>
      <c r="H815" s="14"/>
      <c r="I815" s="14"/>
      <c r="J815" s="14"/>
      <c r="K815" s="12"/>
    </row>
    <row r="816" ht="19.5" customHeight="1">
      <c r="A816" s="12"/>
      <c r="C816" s="12"/>
      <c r="D816" s="13"/>
      <c r="F816" s="14"/>
      <c r="G816" s="14"/>
      <c r="H816" s="14"/>
      <c r="I816" s="14"/>
      <c r="J816" s="14"/>
      <c r="K816" s="12"/>
    </row>
    <row r="817" ht="19.5" customHeight="1">
      <c r="A817" s="12"/>
      <c r="C817" s="12"/>
      <c r="D817" s="13"/>
      <c r="F817" s="14"/>
      <c r="G817" s="14"/>
      <c r="H817" s="14"/>
      <c r="I817" s="14"/>
      <c r="J817" s="14"/>
      <c r="K817" s="12"/>
    </row>
    <row r="818" ht="19.5" customHeight="1">
      <c r="A818" s="12"/>
      <c r="C818" s="12"/>
      <c r="D818" s="13"/>
      <c r="F818" s="14"/>
      <c r="G818" s="14"/>
      <c r="H818" s="14"/>
      <c r="I818" s="14"/>
      <c r="J818" s="14"/>
      <c r="K818" s="12"/>
    </row>
    <row r="819" ht="19.5" customHeight="1">
      <c r="A819" s="12"/>
      <c r="C819" s="12"/>
      <c r="D819" s="13"/>
      <c r="F819" s="14"/>
      <c r="G819" s="14"/>
      <c r="H819" s="14"/>
      <c r="I819" s="14"/>
      <c r="J819" s="14"/>
      <c r="K819" s="12"/>
    </row>
    <row r="820" ht="19.5" customHeight="1">
      <c r="A820" s="12"/>
      <c r="C820" s="12"/>
      <c r="D820" s="13"/>
      <c r="F820" s="14"/>
      <c r="G820" s="14"/>
      <c r="H820" s="14"/>
      <c r="I820" s="14"/>
      <c r="J820" s="14"/>
      <c r="K820" s="12"/>
    </row>
    <row r="821" ht="19.5" customHeight="1">
      <c r="A821" s="12"/>
      <c r="C821" s="12"/>
      <c r="D821" s="13"/>
      <c r="F821" s="14"/>
      <c r="G821" s="14"/>
      <c r="H821" s="14"/>
      <c r="I821" s="14"/>
      <c r="J821" s="14"/>
      <c r="K821" s="12"/>
    </row>
    <row r="822" ht="19.5" customHeight="1">
      <c r="A822" s="12"/>
      <c r="C822" s="12"/>
      <c r="D822" s="13"/>
      <c r="F822" s="14"/>
      <c r="G822" s="14"/>
      <c r="H822" s="14"/>
      <c r="I822" s="14"/>
      <c r="J822" s="14"/>
      <c r="K822" s="12"/>
    </row>
    <row r="823" ht="19.5" customHeight="1">
      <c r="A823" s="12"/>
      <c r="C823" s="12"/>
      <c r="D823" s="13"/>
      <c r="F823" s="14"/>
      <c r="G823" s="14"/>
      <c r="H823" s="14"/>
      <c r="I823" s="14"/>
      <c r="J823" s="14"/>
      <c r="K823" s="12"/>
    </row>
    <row r="824" ht="19.5" customHeight="1">
      <c r="A824" s="12"/>
      <c r="C824" s="12"/>
      <c r="D824" s="13"/>
      <c r="F824" s="14"/>
      <c r="G824" s="14"/>
      <c r="H824" s="14"/>
      <c r="I824" s="14"/>
      <c r="J824" s="14"/>
      <c r="K824" s="12"/>
    </row>
    <row r="825" ht="19.5" customHeight="1">
      <c r="A825" s="12"/>
      <c r="C825" s="12"/>
      <c r="D825" s="13"/>
      <c r="F825" s="14"/>
      <c r="G825" s="14"/>
      <c r="H825" s="14"/>
      <c r="I825" s="14"/>
      <c r="J825" s="14"/>
      <c r="K825" s="12"/>
    </row>
    <row r="826" ht="19.5" customHeight="1">
      <c r="A826" s="12"/>
      <c r="C826" s="12"/>
      <c r="D826" s="13"/>
      <c r="F826" s="14"/>
      <c r="G826" s="14"/>
      <c r="H826" s="14"/>
      <c r="I826" s="14"/>
      <c r="J826" s="14"/>
      <c r="K826" s="12"/>
    </row>
    <row r="827" ht="19.5" customHeight="1">
      <c r="A827" s="12"/>
      <c r="C827" s="12"/>
      <c r="D827" s="13"/>
      <c r="F827" s="14"/>
      <c r="G827" s="14"/>
      <c r="H827" s="14"/>
      <c r="I827" s="14"/>
      <c r="J827" s="14"/>
      <c r="K827" s="12"/>
    </row>
    <row r="828" ht="19.5" customHeight="1">
      <c r="A828" s="12"/>
      <c r="C828" s="12"/>
      <c r="D828" s="13"/>
      <c r="F828" s="14"/>
      <c r="G828" s="14"/>
      <c r="H828" s="14"/>
      <c r="I828" s="14"/>
      <c r="J828" s="14"/>
      <c r="K828" s="12"/>
    </row>
    <row r="829" ht="19.5" customHeight="1">
      <c r="A829" s="12"/>
      <c r="C829" s="12"/>
      <c r="D829" s="13"/>
      <c r="F829" s="14"/>
      <c r="G829" s="14"/>
      <c r="H829" s="14"/>
      <c r="I829" s="14"/>
      <c r="J829" s="14"/>
      <c r="K829" s="12"/>
    </row>
    <row r="830" ht="19.5" customHeight="1">
      <c r="A830" s="12"/>
      <c r="C830" s="12"/>
      <c r="D830" s="13"/>
      <c r="F830" s="14"/>
      <c r="G830" s="14"/>
      <c r="H830" s="14"/>
      <c r="I830" s="14"/>
      <c r="J830" s="14"/>
      <c r="K830" s="12"/>
    </row>
    <row r="831" ht="19.5" customHeight="1">
      <c r="A831" s="12"/>
      <c r="C831" s="12"/>
      <c r="D831" s="13"/>
      <c r="F831" s="14"/>
      <c r="G831" s="14"/>
      <c r="H831" s="14"/>
      <c r="I831" s="14"/>
      <c r="J831" s="14"/>
      <c r="K831" s="12"/>
    </row>
    <row r="832" ht="19.5" customHeight="1">
      <c r="A832" s="12"/>
      <c r="C832" s="12"/>
      <c r="D832" s="13"/>
      <c r="F832" s="14"/>
      <c r="G832" s="14"/>
      <c r="H832" s="14"/>
      <c r="I832" s="14"/>
      <c r="J832" s="14"/>
      <c r="K832" s="12"/>
    </row>
    <row r="833" ht="19.5" customHeight="1">
      <c r="A833" s="12"/>
      <c r="C833" s="12"/>
      <c r="D833" s="13"/>
      <c r="F833" s="14"/>
      <c r="G833" s="14"/>
      <c r="H833" s="14"/>
      <c r="I833" s="14"/>
      <c r="J833" s="14"/>
      <c r="K833" s="12"/>
    </row>
    <row r="834" ht="19.5" customHeight="1">
      <c r="A834" s="12"/>
      <c r="C834" s="12"/>
      <c r="D834" s="13"/>
      <c r="F834" s="14"/>
      <c r="G834" s="14"/>
      <c r="H834" s="14"/>
      <c r="I834" s="14"/>
      <c r="J834" s="14"/>
      <c r="K834" s="12"/>
    </row>
    <row r="835" ht="19.5" customHeight="1">
      <c r="A835" s="12"/>
      <c r="C835" s="12"/>
      <c r="D835" s="13"/>
      <c r="F835" s="14"/>
      <c r="G835" s="14"/>
      <c r="H835" s="14"/>
      <c r="I835" s="14"/>
      <c r="J835" s="14"/>
      <c r="K835" s="12"/>
    </row>
    <row r="836" ht="19.5" customHeight="1">
      <c r="A836" s="12"/>
      <c r="C836" s="12"/>
      <c r="D836" s="13"/>
      <c r="F836" s="14"/>
      <c r="G836" s="14"/>
      <c r="H836" s="14"/>
      <c r="I836" s="14"/>
      <c r="J836" s="14"/>
      <c r="K836" s="12"/>
    </row>
    <row r="837" ht="19.5" customHeight="1">
      <c r="A837" s="12"/>
      <c r="C837" s="12"/>
      <c r="D837" s="13"/>
      <c r="F837" s="14"/>
      <c r="G837" s="14"/>
      <c r="H837" s="14"/>
      <c r="I837" s="14"/>
      <c r="J837" s="14"/>
      <c r="K837" s="12"/>
    </row>
    <row r="838" ht="19.5" customHeight="1">
      <c r="A838" s="12"/>
      <c r="C838" s="12"/>
      <c r="D838" s="13"/>
      <c r="F838" s="14"/>
      <c r="G838" s="14"/>
      <c r="H838" s="14"/>
      <c r="I838" s="14"/>
      <c r="J838" s="14"/>
      <c r="K838" s="12"/>
    </row>
    <row r="839" ht="19.5" customHeight="1">
      <c r="A839" s="12"/>
      <c r="C839" s="12"/>
      <c r="D839" s="13"/>
      <c r="F839" s="14"/>
      <c r="G839" s="14"/>
      <c r="H839" s="14"/>
      <c r="I839" s="14"/>
      <c r="J839" s="14"/>
      <c r="K839" s="12"/>
    </row>
    <row r="840" ht="19.5" customHeight="1">
      <c r="A840" s="12"/>
      <c r="C840" s="12"/>
      <c r="D840" s="13"/>
      <c r="F840" s="14"/>
      <c r="G840" s="14"/>
      <c r="H840" s="14"/>
      <c r="I840" s="14"/>
      <c r="J840" s="14"/>
      <c r="K840" s="12"/>
    </row>
    <row r="841" ht="19.5" customHeight="1">
      <c r="A841" s="12"/>
      <c r="C841" s="12"/>
      <c r="D841" s="13"/>
      <c r="F841" s="14"/>
      <c r="G841" s="14"/>
      <c r="H841" s="14"/>
      <c r="I841" s="14"/>
      <c r="J841" s="14"/>
      <c r="K841" s="12"/>
    </row>
    <row r="842" ht="19.5" customHeight="1">
      <c r="A842" s="12"/>
      <c r="C842" s="12"/>
      <c r="D842" s="13"/>
      <c r="F842" s="14"/>
      <c r="G842" s="14"/>
      <c r="H842" s="14"/>
      <c r="I842" s="14"/>
      <c r="J842" s="14"/>
      <c r="K842" s="12"/>
    </row>
    <row r="843" ht="19.5" customHeight="1">
      <c r="A843" s="12"/>
      <c r="C843" s="12"/>
      <c r="D843" s="13"/>
      <c r="F843" s="14"/>
      <c r="G843" s="14"/>
      <c r="H843" s="14"/>
      <c r="I843" s="14"/>
      <c r="J843" s="14"/>
      <c r="K843" s="12"/>
    </row>
    <row r="844" ht="19.5" customHeight="1">
      <c r="A844" s="12"/>
      <c r="C844" s="12"/>
      <c r="D844" s="13"/>
      <c r="F844" s="14"/>
      <c r="G844" s="14"/>
      <c r="H844" s="14"/>
      <c r="I844" s="14"/>
      <c r="J844" s="14"/>
      <c r="K844" s="12"/>
    </row>
    <row r="845" ht="19.5" customHeight="1">
      <c r="A845" s="12"/>
      <c r="C845" s="12"/>
      <c r="D845" s="13"/>
      <c r="F845" s="14"/>
      <c r="G845" s="14"/>
      <c r="H845" s="14"/>
      <c r="I845" s="14"/>
      <c r="J845" s="14"/>
      <c r="K845" s="12"/>
    </row>
    <row r="846" ht="19.5" customHeight="1">
      <c r="A846" s="12"/>
      <c r="C846" s="12"/>
      <c r="D846" s="13"/>
      <c r="F846" s="14"/>
      <c r="G846" s="14"/>
      <c r="H846" s="14"/>
      <c r="I846" s="14"/>
      <c r="J846" s="14"/>
      <c r="K846" s="12"/>
    </row>
    <row r="847" ht="19.5" customHeight="1">
      <c r="A847" s="12"/>
      <c r="C847" s="12"/>
      <c r="D847" s="13"/>
      <c r="F847" s="14"/>
      <c r="G847" s="14"/>
      <c r="H847" s="14"/>
      <c r="I847" s="14"/>
      <c r="J847" s="14"/>
      <c r="K847" s="12"/>
    </row>
    <row r="848" ht="19.5" customHeight="1">
      <c r="A848" s="12"/>
      <c r="C848" s="12"/>
      <c r="D848" s="13"/>
      <c r="F848" s="14"/>
      <c r="G848" s="14"/>
      <c r="H848" s="14"/>
      <c r="I848" s="14"/>
      <c r="J848" s="14"/>
      <c r="K848" s="12"/>
    </row>
    <row r="849" ht="19.5" customHeight="1">
      <c r="A849" s="12"/>
      <c r="C849" s="12"/>
      <c r="D849" s="13"/>
      <c r="F849" s="14"/>
      <c r="G849" s="14"/>
      <c r="H849" s="14"/>
      <c r="I849" s="14"/>
      <c r="J849" s="14"/>
      <c r="K849" s="12"/>
    </row>
    <row r="850" ht="19.5" customHeight="1">
      <c r="A850" s="12"/>
      <c r="C850" s="12"/>
      <c r="D850" s="13"/>
      <c r="F850" s="14"/>
      <c r="G850" s="14"/>
      <c r="H850" s="14"/>
      <c r="I850" s="14"/>
      <c r="J850" s="14"/>
      <c r="K850" s="12"/>
    </row>
    <row r="851" ht="19.5" customHeight="1">
      <c r="A851" s="12"/>
      <c r="C851" s="12"/>
      <c r="D851" s="13"/>
      <c r="F851" s="14"/>
      <c r="G851" s="14"/>
      <c r="H851" s="14"/>
      <c r="I851" s="14"/>
      <c r="J851" s="14"/>
      <c r="K851" s="12"/>
    </row>
    <row r="852" ht="19.5" customHeight="1">
      <c r="A852" s="12"/>
      <c r="C852" s="12"/>
      <c r="D852" s="13"/>
      <c r="F852" s="14"/>
      <c r="G852" s="14"/>
      <c r="H852" s="14"/>
      <c r="I852" s="14"/>
      <c r="J852" s="14"/>
      <c r="K852" s="12"/>
    </row>
    <row r="853" ht="19.5" customHeight="1">
      <c r="A853" s="12"/>
      <c r="C853" s="12"/>
      <c r="D853" s="13"/>
      <c r="F853" s="14"/>
      <c r="G853" s="14"/>
      <c r="H853" s="14"/>
      <c r="I853" s="14"/>
      <c r="J853" s="14"/>
      <c r="K853" s="12"/>
    </row>
    <row r="854" ht="19.5" customHeight="1">
      <c r="A854" s="12"/>
      <c r="C854" s="12"/>
      <c r="D854" s="13"/>
      <c r="F854" s="14"/>
      <c r="G854" s="14"/>
      <c r="H854" s="14"/>
      <c r="I854" s="14"/>
      <c r="J854" s="14"/>
      <c r="K854" s="12"/>
    </row>
    <row r="855" ht="19.5" customHeight="1">
      <c r="A855" s="12"/>
      <c r="C855" s="12"/>
      <c r="D855" s="13"/>
      <c r="F855" s="14"/>
      <c r="G855" s="14"/>
      <c r="H855" s="14"/>
      <c r="I855" s="14"/>
      <c r="J855" s="14"/>
      <c r="K855" s="12"/>
    </row>
    <row r="856" ht="19.5" customHeight="1">
      <c r="A856" s="12"/>
      <c r="C856" s="12"/>
      <c r="D856" s="13"/>
      <c r="F856" s="14"/>
      <c r="G856" s="14"/>
      <c r="H856" s="14"/>
      <c r="I856" s="14"/>
      <c r="J856" s="14"/>
      <c r="K856" s="12"/>
    </row>
    <row r="857" ht="19.5" customHeight="1">
      <c r="A857" s="12"/>
      <c r="C857" s="12"/>
      <c r="D857" s="13"/>
      <c r="F857" s="14"/>
      <c r="G857" s="14"/>
      <c r="H857" s="14"/>
      <c r="I857" s="14"/>
      <c r="J857" s="14"/>
      <c r="K857" s="12"/>
    </row>
    <row r="858" ht="19.5" customHeight="1">
      <c r="A858" s="12"/>
      <c r="C858" s="12"/>
      <c r="D858" s="13"/>
      <c r="F858" s="14"/>
      <c r="G858" s="14"/>
      <c r="H858" s="14"/>
      <c r="I858" s="14"/>
      <c r="J858" s="14"/>
      <c r="K858" s="12"/>
    </row>
    <row r="859" ht="19.5" customHeight="1">
      <c r="A859" s="12"/>
      <c r="C859" s="12"/>
      <c r="D859" s="13"/>
      <c r="F859" s="14"/>
      <c r="G859" s="14"/>
      <c r="H859" s="14"/>
      <c r="I859" s="14"/>
      <c r="J859" s="14"/>
      <c r="K859" s="12"/>
    </row>
    <row r="860" ht="19.5" customHeight="1">
      <c r="A860" s="12"/>
      <c r="C860" s="12"/>
      <c r="D860" s="13"/>
      <c r="F860" s="14"/>
      <c r="G860" s="14"/>
      <c r="H860" s="14"/>
      <c r="I860" s="14"/>
      <c r="J860" s="14"/>
      <c r="K860" s="12"/>
    </row>
    <row r="861" ht="19.5" customHeight="1">
      <c r="A861" s="12"/>
      <c r="C861" s="12"/>
      <c r="D861" s="13"/>
      <c r="F861" s="14"/>
      <c r="G861" s="14"/>
      <c r="H861" s="14"/>
      <c r="I861" s="14"/>
      <c r="J861" s="14"/>
      <c r="K861" s="12"/>
    </row>
    <row r="862" ht="19.5" customHeight="1">
      <c r="A862" s="12"/>
      <c r="C862" s="12"/>
      <c r="D862" s="13"/>
      <c r="F862" s="14"/>
      <c r="G862" s="14"/>
      <c r="H862" s="14"/>
      <c r="I862" s="14"/>
      <c r="J862" s="14"/>
      <c r="K862" s="12"/>
    </row>
    <row r="863" ht="19.5" customHeight="1">
      <c r="A863" s="12"/>
      <c r="C863" s="12"/>
      <c r="D863" s="13"/>
      <c r="F863" s="14"/>
      <c r="G863" s="14"/>
      <c r="H863" s="14"/>
      <c r="I863" s="14"/>
      <c r="J863" s="14"/>
      <c r="K863" s="12"/>
    </row>
    <row r="864" ht="19.5" customHeight="1">
      <c r="A864" s="12"/>
      <c r="C864" s="12"/>
      <c r="D864" s="13"/>
      <c r="F864" s="14"/>
      <c r="G864" s="14"/>
      <c r="H864" s="14"/>
      <c r="I864" s="14"/>
      <c r="J864" s="14"/>
      <c r="K864" s="12"/>
    </row>
    <row r="865" ht="19.5" customHeight="1">
      <c r="A865" s="12"/>
      <c r="C865" s="12"/>
      <c r="D865" s="13"/>
      <c r="F865" s="14"/>
      <c r="G865" s="14"/>
      <c r="H865" s="14"/>
      <c r="I865" s="14"/>
      <c r="J865" s="14"/>
      <c r="K865" s="12"/>
    </row>
    <row r="866" ht="19.5" customHeight="1">
      <c r="A866" s="12"/>
      <c r="C866" s="12"/>
      <c r="D866" s="13"/>
      <c r="F866" s="14"/>
      <c r="G866" s="14"/>
      <c r="H866" s="14"/>
      <c r="I866" s="14"/>
      <c r="J866" s="14"/>
      <c r="K866" s="12"/>
    </row>
    <row r="867" ht="19.5" customHeight="1">
      <c r="A867" s="12"/>
      <c r="C867" s="12"/>
      <c r="D867" s="13"/>
      <c r="F867" s="14"/>
      <c r="G867" s="14"/>
      <c r="H867" s="14"/>
      <c r="I867" s="14"/>
      <c r="J867" s="14"/>
      <c r="K867" s="12"/>
    </row>
    <row r="868" ht="19.5" customHeight="1">
      <c r="A868" s="12"/>
      <c r="C868" s="12"/>
      <c r="D868" s="13"/>
      <c r="F868" s="14"/>
      <c r="G868" s="14"/>
      <c r="H868" s="14"/>
      <c r="I868" s="14"/>
      <c r="J868" s="14"/>
      <c r="K868" s="12"/>
    </row>
    <row r="869" ht="19.5" customHeight="1">
      <c r="A869" s="12"/>
      <c r="C869" s="12"/>
      <c r="D869" s="13"/>
      <c r="F869" s="14"/>
      <c r="G869" s="14"/>
      <c r="H869" s="14"/>
      <c r="I869" s="14"/>
      <c r="J869" s="14"/>
      <c r="K869" s="12"/>
    </row>
    <row r="870" ht="19.5" customHeight="1">
      <c r="A870" s="12"/>
      <c r="C870" s="12"/>
      <c r="D870" s="13"/>
      <c r="F870" s="14"/>
      <c r="G870" s="14"/>
      <c r="H870" s="14"/>
      <c r="I870" s="14"/>
      <c r="J870" s="14"/>
      <c r="K870" s="12"/>
    </row>
    <row r="871" ht="19.5" customHeight="1">
      <c r="A871" s="12"/>
      <c r="C871" s="12"/>
      <c r="D871" s="13"/>
      <c r="F871" s="14"/>
      <c r="G871" s="14"/>
      <c r="H871" s="14"/>
      <c r="I871" s="14"/>
      <c r="J871" s="14"/>
      <c r="K871" s="12"/>
    </row>
    <row r="872" ht="19.5" customHeight="1">
      <c r="A872" s="12"/>
      <c r="C872" s="12"/>
      <c r="D872" s="13"/>
      <c r="F872" s="14"/>
      <c r="G872" s="14"/>
      <c r="H872" s="14"/>
      <c r="I872" s="14"/>
      <c r="J872" s="14"/>
      <c r="K872" s="12"/>
    </row>
    <row r="873" ht="19.5" customHeight="1">
      <c r="A873" s="12"/>
      <c r="C873" s="12"/>
      <c r="D873" s="13"/>
      <c r="F873" s="14"/>
      <c r="G873" s="14"/>
      <c r="H873" s="14"/>
      <c r="I873" s="14"/>
      <c r="J873" s="14"/>
      <c r="K873" s="12"/>
    </row>
    <row r="874" ht="19.5" customHeight="1">
      <c r="A874" s="12"/>
      <c r="C874" s="12"/>
      <c r="D874" s="13"/>
      <c r="F874" s="14"/>
      <c r="G874" s="14"/>
      <c r="H874" s="14"/>
      <c r="I874" s="14"/>
      <c r="J874" s="14"/>
      <c r="K874" s="12"/>
    </row>
    <row r="875" ht="19.5" customHeight="1">
      <c r="A875" s="12"/>
      <c r="C875" s="12"/>
      <c r="D875" s="13"/>
      <c r="F875" s="14"/>
      <c r="G875" s="14"/>
      <c r="H875" s="14"/>
      <c r="I875" s="14"/>
      <c r="J875" s="14"/>
      <c r="K875" s="12"/>
    </row>
    <row r="876" ht="19.5" customHeight="1">
      <c r="A876" s="12"/>
      <c r="C876" s="12"/>
      <c r="D876" s="13"/>
      <c r="F876" s="14"/>
      <c r="G876" s="14"/>
      <c r="H876" s="14"/>
      <c r="I876" s="14"/>
      <c r="J876" s="14"/>
      <c r="K876" s="12"/>
    </row>
    <row r="877" ht="19.5" customHeight="1">
      <c r="A877" s="12"/>
      <c r="C877" s="12"/>
      <c r="D877" s="13"/>
      <c r="F877" s="14"/>
      <c r="G877" s="14"/>
      <c r="H877" s="14"/>
      <c r="I877" s="14"/>
      <c r="J877" s="14"/>
      <c r="K877" s="12"/>
    </row>
    <row r="878" ht="19.5" customHeight="1">
      <c r="A878" s="12"/>
      <c r="C878" s="12"/>
      <c r="D878" s="13"/>
      <c r="F878" s="14"/>
      <c r="G878" s="14"/>
      <c r="H878" s="14"/>
      <c r="I878" s="14"/>
      <c r="J878" s="14"/>
      <c r="K878" s="12"/>
    </row>
    <row r="879" ht="19.5" customHeight="1">
      <c r="A879" s="12"/>
      <c r="C879" s="12"/>
      <c r="D879" s="13"/>
      <c r="F879" s="14"/>
      <c r="G879" s="14"/>
      <c r="H879" s="14"/>
      <c r="I879" s="14"/>
      <c r="J879" s="14"/>
      <c r="K879" s="12"/>
    </row>
    <row r="880" ht="19.5" customHeight="1">
      <c r="A880" s="12"/>
      <c r="C880" s="12"/>
      <c r="D880" s="13"/>
      <c r="F880" s="14"/>
      <c r="G880" s="14"/>
      <c r="H880" s="14"/>
      <c r="I880" s="14"/>
      <c r="J880" s="14"/>
      <c r="K880" s="12"/>
    </row>
    <row r="881" ht="19.5" customHeight="1">
      <c r="A881" s="12"/>
      <c r="C881" s="12"/>
      <c r="D881" s="13"/>
      <c r="F881" s="14"/>
      <c r="G881" s="14"/>
      <c r="H881" s="14"/>
      <c r="I881" s="14"/>
      <c r="J881" s="14"/>
      <c r="K881" s="12"/>
    </row>
    <row r="882" ht="19.5" customHeight="1">
      <c r="A882" s="12"/>
      <c r="C882" s="12"/>
      <c r="D882" s="13"/>
      <c r="F882" s="14"/>
      <c r="G882" s="14"/>
      <c r="H882" s="14"/>
      <c r="I882" s="14"/>
      <c r="J882" s="14"/>
      <c r="K882" s="12"/>
    </row>
    <row r="883" ht="19.5" customHeight="1">
      <c r="A883" s="12"/>
      <c r="C883" s="12"/>
      <c r="D883" s="13"/>
      <c r="F883" s="14"/>
      <c r="G883" s="14"/>
      <c r="H883" s="14"/>
      <c r="I883" s="14"/>
      <c r="J883" s="14"/>
      <c r="K883" s="12"/>
    </row>
    <row r="884" ht="19.5" customHeight="1">
      <c r="A884" s="12"/>
      <c r="C884" s="12"/>
      <c r="D884" s="13"/>
      <c r="F884" s="14"/>
      <c r="G884" s="14"/>
      <c r="H884" s="14"/>
      <c r="I884" s="14"/>
      <c r="J884" s="14"/>
      <c r="K884" s="12"/>
    </row>
    <row r="885" ht="19.5" customHeight="1">
      <c r="A885" s="12"/>
      <c r="C885" s="12"/>
      <c r="D885" s="13"/>
      <c r="F885" s="14"/>
      <c r="G885" s="14"/>
      <c r="H885" s="14"/>
      <c r="I885" s="14"/>
      <c r="J885" s="14"/>
      <c r="K885" s="12"/>
    </row>
    <row r="886" ht="19.5" customHeight="1">
      <c r="A886" s="12"/>
      <c r="C886" s="12"/>
      <c r="D886" s="13"/>
      <c r="F886" s="14"/>
      <c r="G886" s="14"/>
      <c r="H886" s="14"/>
      <c r="I886" s="14"/>
      <c r="J886" s="14"/>
      <c r="K886" s="12"/>
    </row>
    <row r="887" ht="19.5" customHeight="1">
      <c r="A887" s="12"/>
      <c r="C887" s="12"/>
      <c r="D887" s="13"/>
      <c r="F887" s="14"/>
      <c r="G887" s="14"/>
      <c r="H887" s="14"/>
      <c r="I887" s="14"/>
      <c r="J887" s="14"/>
      <c r="K887" s="12"/>
    </row>
    <row r="888" ht="19.5" customHeight="1">
      <c r="A888" s="12"/>
      <c r="C888" s="12"/>
      <c r="D888" s="13"/>
      <c r="F888" s="14"/>
      <c r="G888" s="14"/>
      <c r="H888" s="14"/>
      <c r="I888" s="14"/>
      <c r="J888" s="14"/>
      <c r="K888" s="12"/>
    </row>
    <row r="889" ht="19.5" customHeight="1">
      <c r="A889" s="12"/>
      <c r="C889" s="12"/>
      <c r="D889" s="13"/>
      <c r="F889" s="14"/>
      <c r="G889" s="14"/>
      <c r="H889" s="14"/>
      <c r="I889" s="14"/>
      <c r="J889" s="14"/>
      <c r="K889" s="12"/>
    </row>
    <row r="890" ht="19.5" customHeight="1">
      <c r="A890" s="12"/>
      <c r="C890" s="12"/>
      <c r="D890" s="13"/>
      <c r="F890" s="14"/>
      <c r="G890" s="14"/>
      <c r="H890" s="14"/>
      <c r="I890" s="14"/>
      <c r="J890" s="14"/>
      <c r="K890" s="12"/>
    </row>
    <row r="891" ht="19.5" customHeight="1">
      <c r="A891" s="12"/>
      <c r="C891" s="12"/>
      <c r="D891" s="13"/>
      <c r="F891" s="14"/>
      <c r="G891" s="14"/>
      <c r="H891" s="14"/>
      <c r="I891" s="14"/>
      <c r="J891" s="14"/>
      <c r="K891" s="12"/>
    </row>
    <row r="892" ht="19.5" customHeight="1">
      <c r="A892" s="12"/>
      <c r="C892" s="12"/>
      <c r="D892" s="13"/>
      <c r="F892" s="14"/>
      <c r="G892" s="14"/>
      <c r="H892" s="14"/>
      <c r="I892" s="14"/>
      <c r="J892" s="14"/>
      <c r="K892" s="12"/>
    </row>
    <row r="893" ht="19.5" customHeight="1">
      <c r="A893" s="12"/>
      <c r="C893" s="12"/>
      <c r="D893" s="13"/>
      <c r="F893" s="14"/>
      <c r="G893" s="14"/>
      <c r="H893" s="14"/>
      <c r="I893" s="14"/>
      <c r="J893" s="14"/>
      <c r="K893" s="12"/>
    </row>
    <row r="894" ht="19.5" customHeight="1">
      <c r="A894" s="12"/>
      <c r="C894" s="12"/>
      <c r="D894" s="13"/>
      <c r="F894" s="14"/>
      <c r="G894" s="14"/>
      <c r="H894" s="14"/>
      <c r="I894" s="14"/>
      <c r="J894" s="14"/>
      <c r="K894" s="12"/>
    </row>
    <row r="895" ht="19.5" customHeight="1">
      <c r="A895" s="12"/>
      <c r="C895" s="12"/>
      <c r="D895" s="13"/>
      <c r="F895" s="14"/>
      <c r="G895" s="14"/>
      <c r="H895" s="14"/>
      <c r="I895" s="14"/>
      <c r="J895" s="14"/>
      <c r="K895" s="12"/>
    </row>
    <row r="896" ht="19.5" customHeight="1">
      <c r="A896" s="12"/>
      <c r="C896" s="12"/>
      <c r="D896" s="13"/>
      <c r="F896" s="14"/>
      <c r="G896" s="14"/>
      <c r="H896" s="14"/>
      <c r="I896" s="14"/>
      <c r="J896" s="14"/>
      <c r="K896" s="12"/>
    </row>
    <row r="897" ht="19.5" customHeight="1">
      <c r="A897" s="12"/>
      <c r="C897" s="12"/>
      <c r="D897" s="13"/>
      <c r="F897" s="14"/>
      <c r="G897" s="14"/>
      <c r="H897" s="14"/>
      <c r="I897" s="14"/>
      <c r="J897" s="14"/>
      <c r="K897" s="12"/>
    </row>
    <row r="898" ht="19.5" customHeight="1">
      <c r="A898" s="12"/>
      <c r="C898" s="12"/>
      <c r="D898" s="13"/>
      <c r="F898" s="14"/>
      <c r="G898" s="14"/>
      <c r="H898" s="14"/>
      <c r="I898" s="14"/>
      <c r="J898" s="14"/>
      <c r="K898" s="12"/>
    </row>
    <row r="899" ht="19.5" customHeight="1">
      <c r="A899" s="12"/>
      <c r="C899" s="12"/>
      <c r="D899" s="13"/>
      <c r="F899" s="14"/>
      <c r="G899" s="14"/>
      <c r="H899" s="14"/>
      <c r="I899" s="14"/>
      <c r="J899" s="14"/>
      <c r="K899" s="12"/>
    </row>
    <row r="900" ht="19.5" customHeight="1">
      <c r="A900" s="12"/>
      <c r="C900" s="12"/>
      <c r="D900" s="13"/>
      <c r="F900" s="14"/>
      <c r="G900" s="14"/>
      <c r="H900" s="14"/>
      <c r="I900" s="14"/>
      <c r="J900" s="14"/>
      <c r="K900" s="12"/>
    </row>
    <row r="901" ht="19.5" customHeight="1">
      <c r="A901" s="12"/>
      <c r="C901" s="12"/>
      <c r="D901" s="13"/>
      <c r="F901" s="14"/>
      <c r="G901" s="14"/>
      <c r="H901" s="14"/>
      <c r="I901" s="14"/>
      <c r="J901" s="14"/>
      <c r="K901" s="12"/>
    </row>
    <row r="902" ht="19.5" customHeight="1">
      <c r="A902" s="12"/>
      <c r="C902" s="12"/>
      <c r="D902" s="13"/>
      <c r="F902" s="14"/>
      <c r="G902" s="14"/>
      <c r="H902" s="14"/>
      <c r="I902" s="14"/>
      <c r="J902" s="14"/>
      <c r="K902" s="12"/>
    </row>
    <row r="903" ht="19.5" customHeight="1">
      <c r="A903" s="12"/>
      <c r="C903" s="12"/>
      <c r="D903" s="13"/>
      <c r="F903" s="14"/>
      <c r="G903" s="14"/>
      <c r="H903" s="14"/>
      <c r="I903" s="14"/>
      <c r="J903" s="14"/>
      <c r="K903" s="12"/>
    </row>
    <row r="904" ht="19.5" customHeight="1">
      <c r="A904" s="12"/>
      <c r="C904" s="12"/>
      <c r="D904" s="13"/>
      <c r="F904" s="14"/>
      <c r="G904" s="14"/>
      <c r="H904" s="14"/>
      <c r="I904" s="14"/>
      <c r="J904" s="14"/>
      <c r="K904" s="12"/>
    </row>
    <row r="905" ht="19.5" customHeight="1">
      <c r="A905" s="12"/>
      <c r="C905" s="12"/>
      <c r="D905" s="13"/>
      <c r="F905" s="14"/>
      <c r="G905" s="14"/>
      <c r="H905" s="14"/>
      <c r="I905" s="14"/>
      <c r="J905" s="14"/>
      <c r="K905" s="12"/>
    </row>
    <row r="906" ht="19.5" customHeight="1">
      <c r="A906" s="12"/>
      <c r="C906" s="12"/>
      <c r="D906" s="13"/>
      <c r="F906" s="14"/>
      <c r="G906" s="14"/>
      <c r="H906" s="14"/>
      <c r="I906" s="14"/>
      <c r="J906" s="14"/>
      <c r="K906" s="12"/>
    </row>
    <row r="907" ht="19.5" customHeight="1">
      <c r="A907" s="12"/>
      <c r="C907" s="12"/>
      <c r="D907" s="13"/>
      <c r="F907" s="14"/>
      <c r="G907" s="14"/>
      <c r="H907" s="14"/>
      <c r="I907" s="14"/>
      <c r="J907" s="14"/>
      <c r="K907" s="12"/>
    </row>
    <row r="908" ht="19.5" customHeight="1">
      <c r="A908" s="12"/>
      <c r="C908" s="12"/>
      <c r="D908" s="13"/>
      <c r="F908" s="14"/>
      <c r="G908" s="14"/>
      <c r="H908" s="14"/>
      <c r="I908" s="14"/>
      <c r="J908" s="14"/>
      <c r="K908" s="12"/>
    </row>
    <row r="909" ht="19.5" customHeight="1">
      <c r="A909" s="12"/>
      <c r="C909" s="12"/>
      <c r="D909" s="13"/>
      <c r="F909" s="14"/>
      <c r="G909" s="14"/>
      <c r="H909" s="14"/>
      <c r="I909" s="14"/>
      <c r="J909" s="14"/>
      <c r="K909" s="12"/>
    </row>
    <row r="910" ht="19.5" customHeight="1">
      <c r="A910" s="12"/>
      <c r="C910" s="12"/>
      <c r="D910" s="13"/>
      <c r="F910" s="14"/>
      <c r="G910" s="14"/>
      <c r="H910" s="14"/>
      <c r="I910" s="14"/>
      <c r="J910" s="14"/>
      <c r="K910" s="12"/>
    </row>
    <row r="911" ht="19.5" customHeight="1">
      <c r="A911" s="12"/>
      <c r="C911" s="12"/>
      <c r="D911" s="13"/>
      <c r="F911" s="14"/>
      <c r="G911" s="14"/>
      <c r="H911" s="14"/>
      <c r="I911" s="14"/>
      <c r="J911" s="14"/>
      <c r="K911" s="12"/>
    </row>
    <row r="912" ht="19.5" customHeight="1">
      <c r="A912" s="12"/>
      <c r="C912" s="12"/>
      <c r="D912" s="13"/>
      <c r="F912" s="14"/>
      <c r="G912" s="14"/>
      <c r="H912" s="14"/>
      <c r="I912" s="14"/>
      <c r="J912" s="14"/>
      <c r="K912" s="12"/>
    </row>
    <row r="913" ht="19.5" customHeight="1">
      <c r="A913" s="12"/>
      <c r="C913" s="12"/>
      <c r="D913" s="13"/>
      <c r="F913" s="14"/>
      <c r="G913" s="14"/>
      <c r="H913" s="14"/>
      <c r="I913" s="14"/>
      <c r="J913" s="14"/>
      <c r="K913" s="12"/>
    </row>
    <row r="914" ht="19.5" customHeight="1">
      <c r="A914" s="12"/>
      <c r="C914" s="12"/>
      <c r="D914" s="13"/>
      <c r="F914" s="14"/>
      <c r="G914" s="14"/>
      <c r="H914" s="14"/>
      <c r="I914" s="14"/>
      <c r="J914" s="14"/>
      <c r="K914" s="12"/>
    </row>
    <row r="915" ht="19.5" customHeight="1">
      <c r="A915" s="12"/>
      <c r="C915" s="12"/>
      <c r="D915" s="13"/>
      <c r="F915" s="14"/>
      <c r="G915" s="14"/>
      <c r="H915" s="14"/>
      <c r="I915" s="14"/>
      <c r="J915" s="14"/>
      <c r="K915" s="12"/>
    </row>
    <row r="916" ht="19.5" customHeight="1">
      <c r="A916" s="12"/>
      <c r="C916" s="12"/>
      <c r="D916" s="13"/>
      <c r="F916" s="14"/>
      <c r="G916" s="14"/>
      <c r="H916" s="14"/>
      <c r="I916" s="14"/>
      <c r="J916" s="14"/>
      <c r="K916" s="12"/>
    </row>
    <row r="917" ht="19.5" customHeight="1">
      <c r="A917" s="12"/>
      <c r="C917" s="12"/>
      <c r="D917" s="13"/>
      <c r="F917" s="14"/>
      <c r="G917" s="14"/>
      <c r="H917" s="14"/>
      <c r="I917" s="14"/>
      <c r="J917" s="14"/>
      <c r="K917" s="12"/>
    </row>
    <row r="918" ht="19.5" customHeight="1">
      <c r="A918" s="12"/>
      <c r="C918" s="12"/>
      <c r="D918" s="13"/>
      <c r="F918" s="14"/>
      <c r="G918" s="14"/>
      <c r="H918" s="14"/>
      <c r="I918" s="14"/>
      <c r="J918" s="14"/>
      <c r="K918" s="12"/>
    </row>
    <row r="919" ht="19.5" customHeight="1">
      <c r="A919" s="12"/>
      <c r="C919" s="12"/>
      <c r="D919" s="13"/>
      <c r="F919" s="14"/>
      <c r="G919" s="14"/>
      <c r="H919" s="14"/>
      <c r="I919" s="14"/>
      <c r="J919" s="14"/>
      <c r="K919" s="12"/>
    </row>
    <row r="920" ht="19.5" customHeight="1">
      <c r="A920" s="12"/>
      <c r="C920" s="12"/>
      <c r="D920" s="13"/>
      <c r="F920" s="14"/>
      <c r="G920" s="14"/>
      <c r="H920" s="14"/>
      <c r="I920" s="14"/>
      <c r="J920" s="14"/>
      <c r="K920" s="12"/>
    </row>
    <row r="921" ht="19.5" customHeight="1">
      <c r="A921" s="12"/>
      <c r="C921" s="12"/>
      <c r="D921" s="13"/>
      <c r="F921" s="14"/>
      <c r="G921" s="14"/>
      <c r="H921" s="14"/>
      <c r="I921" s="14"/>
      <c r="J921" s="14"/>
      <c r="K921" s="12"/>
    </row>
    <row r="922" ht="19.5" customHeight="1">
      <c r="A922" s="12"/>
      <c r="C922" s="12"/>
      <c r="D922" s="13"/>
      <c r="F922" s="14"/>
      <c r="G922" s="14"/>
      <c r="H922" s="14"/>
      <c r="I922" s="14"/>
      <c r="J922" s="14"/>
      <c r="K922" s="12"/>
    </row>
    <row r="923" ht="19.5" customHeight="1">
      <c r="A923" s="12"/>
      <c r="C923" s="12"/>
      <c r="D923" s="13"/>
      <c r="F923" s="14"/>
      <c r="G923" s="14"/>
      <c r="H923" s="14"/>
      <c r="I923" s="14"/>
      <c r="J923" s="14"/>
      <c r="K923" s="12"/>
    </row>
    <row r="924" ht="19.5" customHeight="1">
      <c r="A924" s="12"/>
      <c r="C924" s="12"/>
      <c r="D924" s="13"/>
      <c r="F924" s="14"/>
      <c r="G924" s="14"/>
      <c r="H924" s="14"/>
      <c r="I924" s="14"/>
      <c r="J924" s="14"/>
      <c r="K924" s="12"/>
    </row>
    <row r="925" ht="19.5" customHeight="1">
      <c r="A925" s="12"/>
      <c r="C925" s="12"/>
      <c r="D925" s="13"/>
      <c r="F925" s="14"/>
      <c r="G925" s="14"/>
      <c r="H925" s="14"/>
      <c r="I925" s="14"/>
      <c r="J925" s="14"/>
      <c r="K925" s="12"/>
    </row>
    <row r="926" ht="19.5" customHeight="1">
      <c r="A926" s="12"/>
      <c r="C926" s="12"/>
      <c r="D926" s="13"/>
      <c r="F926" s="14"/>
      <c r="G926" s="14"/>
      <c r="H926" s="14"/>
      <c r="I926" s="14"/>
      <c r="J926" s="14"/>
      <c r="K926" s="12"/>
    </row>
    <row r="927" ht="19.5" customHeight="1">
      <c r="A927" s="12"/>
      <c r="C927" s="12"/>
      <c r="D927" s="13"/>
      <c r="F927" s="14"/>
      <c r="G927" s="14"/>
      <c r="H927" s="14"/>
      <c r="I927" s="14"/>
      <c r="J927" s="14"/>
      <c r="K927" s="12"/>
    </row>
    <row r="928" ht="19.5" customHeight="1">
      <c r="A928" s="12"/>
      <c r="C928" s="12"/>
      <c r="D928" s="13"/>
      <c r="F928" s="14"/>
      <c r="G928" s="14"/>
      <c r="H928" s="14"/>
      <c r="I928" s="14"/>
      <c r="J928" s="14"/>
      <c r="K928" s="12"/>
    </row>
    <row r="929" ht="19.5" customHeight="1">
      <c r="A929" s="12"/>
      <c r="C929" s="12"/>
      <c r="D929" s="13"/>
      <c r="F929" s="14"/>
      <c r="G929" s="14"/>
      <c r="H929" s="14"/>
      <c r="I929" s="14"/>
      <c r="J929" s="14"/>
      <c r="K929" s="12"/>
    </row>
    <row r="930" ht="19.5" customHeight="1">
      <c r="A930" s="12"/>
      <c r="C930" s="12"/>
      <c r="D930" s="13"/>
      <c r="F930" s="14"/>
      <c r="G930" s="14"/>
      <c r="H930" s="14"/>
      <c r="I930" s="14"/>
      <c r="J930" s="14"/>
      <c r="K930" s="12"/>
    </row>
    <row r="931" ht="19.5" customHeight="1">
      <c r="A931" s="12"/>
      <c r="C931" s="12"/>
      <c r="D931" s="13"/>
      <c r="F931" s="14"/>
      <c r="G931" s="14"/>
      <c r="H931" s="14"/>
      <c r="I931" s="14"/>
      <c r="J931" s="14"/>
      <c r="K931" s="12"/>
    </row>
    <row r="932" ht="19.5" customHeight="1">
      <c r="A932" s="12"/>
      <c r="C932" s="12"/>
      <c r="D932" s="13"/>
      <c r="F932" s="14"/>
      <c r="G932" s="14"/>
      <c r="H932" s="14"/>
      <c r="I932" s="14"/>
      <c r="J932" s="14"/>
      <c r="K932" s="12"/>
    </row>
    <row r="933" ht="19.5" customHeight="1">
      <c r="A933" s="12"/>
      <c r="C933" s="12"/>
      <c r="D933" s="13"/>
      <c r="F933" s="14"/>
      <c r="G933" s="14"/>
      <c r="H933" s="14"/>
      <c r="I933" s="14"/>
      <c r="J933" s="14"/>
      <c r="K933" s="12"/>
    </row>
    <row r="934" ht="19.5" customHeight="1">
      <c r="A934" s="12"/>
      <c r="C934" s="12"/>
      <c r="D934" s="13"/>
      <c r="F934" s="14"/>
      <c r="G934" s="14"/>
      <c r="H934" s="14"/>
      <c r="I934" s="14"/>
      <c r="J934" s="14"/>
      <c r="K934" s="12"/>
    </row>
    <row r="935" ht="19.5" customHeight="1">
      <c r="A935" s="12"/>
      <c r="C935" s="12"/>
      <c r="D935" s="13"/>
      <c r="F935" s="14"/>
      <c r="G935" s="14"/>
      <c r="H935" s="14"/>
      <c r="I935" s="14"/>
      <c r="J935" s="14"/>
      <c r="K935" s="12"/>
    </row>
    <row r="936" ht="19.5" customHeight="1">
      <c r="A936" s="12"/>
      <c r="C936" s="12"/>
      <c r="D936" s="13"/>
      <c r="F936" s="14"/>
      <c r="G936" s="14"/>
      <c r="H936" s="14"/>
      <c r="I936" s="14"/>
      <c r="J936" s="14"/>
      <c r="K936" s="12"/>
    </row>
    <row r="937" ht="19.5" customHeight="1">
      <c r="A937" s="12"/>
      <c r="C937" s="12"/>
      <c r="D937" s="13"/>
      <c r="F937" s="14"/>
      <c r="G937" s="14"/>
      <c r="H937" s="14"/>
      <c r="I937" s="14"/>
      <c r="J937" s="14"/>
      <c r="K937" s="12"/>
    </row>
    <row r="938" ht="19.5" customHeight="1">
      <c r="A938" s="12"/>
      <c r="C938" s="12"/>
      <c r="D938" s="13"/>
      <c r="F938" s="14"/>
      <c r="G938" s="14"/>
      <c r="H938" s="14"/>
      <c r="I938" s="14"/>
      <c r="J938" s="14"/>
      <c r="K938" s="12"/>
    </row>
    <row r="939" ht="19.5" customHeight="1">
      <c r="A939" s="12"/>
      <c r="C939" s="12"/>
      <c r="D939" s="13"/>
      <c r="F939" s="14"/>
      <c r="G939" s="14"/>
      <c r="H939" s="14"/>
      <c r="I939" s="14"/>
      <c r="J939" s="14"/>
      <c r="K939" s="12"/>
    </row>
    <row r="940" ht="19.5" customHeight="1">
      <c r="A940" s="12"/>
      <c r="C940" s="12"/>
      <c r="D940" s="13"/>
      <c r="F940" s="14"/>
      <c r="G940" s="14"/>
      <c r="H940" s="14"/>
      <c r="I940" s="14"/>
      <c r="J940" s="14"/>
      <c r="K940" s="12"/>
    </row>
    <row r="941" ht="19.5" customHeight="1">
      <c r="A941" s="12"/>
      <c r="C941" s="12"/>
      <c r="D941" s="13"/>
      <c r="F941" s="14"/>
      <c r="G941" s="14"/>
      <c r="H941" s="14"/>
      <c r="I941" s="14"/>
      <c r="J941" s="14"/>
      <c r="K941" s="12"/>
    </row>
    <row r="942" ht="19.5" customHeight="1">
      <c r="A942" s="12"/>
      <c r="C942" s="12"/>
      <c r="D942" s="13"/>
      <c r="F942" s="14"/>
      <c r="G942" s="14"/>
      <c r="H942" s="14"/>
      <c r="I942" s="14"/>
      <c r="J942" s="14"/>
      <c r="K942" s="12"/>
    </row>
    <row r="943" ht="19.5" customHeight="1">
      <c r="A943" s="12"/>
      <c r="C943" s="12"/>
      <c r="D943" s="13"/>
      <c r="F943" s="14"/>
      <c r="G943" s="14"/>
      <c r="H943" s="14"/>
      <c r="I943" s="14"/>
      <c r="J943" s="14"/>
      <c r="K943" s="12"/>
    </row>
    <row r="944" ht="19.5" customHeight="1">
      <c r="A944" s="12"/>
      <c r="C944" s="12"/>
      <c r="D944" s="13"/>
      <c r="F944" s="14"/>
      <c r="G944" s="14"/>
      <c r="H944" s="14"/>
      <c r="I944" s="14"/>
      <c r="J944" s="14"/>
      <c r="K944" s="12"/>
    </row>
    <row r="945" ht="19.5" customHeight="1">
      <c r="A945" s="12"/>
      <c r="C945" s="12"/>
      <c r="D945" s="13"/>
      <c r="F945" s="14"/>
      <c r="G945" s="14"/>
      <c r="H945" s="14"/>
      <c r="I945" s="14"/>
      <c r="J945" s="14"/>
      <c r="K945" s="12"/>
    </row>
    <row r="946" ht="19.5" customHeight="1">
      <c r="A946" s="12"/>
      <c r="C946" s="12"/>
      <c r="D946" s="13"/>
      <c r="F946" s="14"/>
      <c r="G946" s="14"/>
      <c r="H946" s="14"/>
      <c r="I946" s="14"/>
      <c r="J946" s="14"/>
      <c r="K946" s="12"/>
    </row>
    <row r="947" ht="19.5" customHeight="1">
      <c r="A947" s="12"/>
      <c r="C947" s="12"/>
      <c r="D947" s="13"/>
      <c r="F947" s="14"/>
      <c r="G947" s="14"/>
      <c r="H947" s="14"/>
      <c r="I947" s="14"/>
      <c r="J947" s="14"/>
      <c r="K947" s="12"/>
    </row>
    <row r="948" ht="19.5" customHeight="1">
      <c r="A948" s="12"/>
      <c r="C948" s="12"/>
      <c r="D948" s="13"/>
      <c r="F948" s="14"/>
      <c r="G948" s="14"/>
      <c r="H948" s="14"/>
      <c r="I948" s="14"/>
      <c r="J948" s="14"/>
      <c r="K948" s="12"/>
    </row>
    <row r="949" ht="19.5" customHeight="1">
      <c r="A949" s="12"/>
      <c r="C949" s="12"/>
      <c r="D949" s="13"/>
      <c r="F949" s="14"/>
      <c r="G949" s="14"/>
      <c r="H949" s="14"/>
      <c r="I949" s="14"/>
      <c r="J949" s="14"/>
      <c r="K949" s="12"/>
    </row>
    <row r="950" ht="19.5" customHeight="1">
      <c r="A950" s="12"/>
      <c r="C950" s="12"/>
      <c r="D950" s="13"/>
      <c r="F950" s="14"/>
      <c r="G950" s="14"/>
      <c r="H950" s="14"/>
      <c r="I950" s="14"/>
      <c r="J950" s="14"/>
      <c r="K950" s="12"/>
    </row>
    <row r="951" ht="19.5" customHeight="1">
      <c r="A951" s="12"/>
      <c r="C951" s="12"/>
      <c r="D951" s="13"/>
      <c r="F951" s="14"/>
      <c r="G951" s="14"/>
      <c r="H951" s="14"/>
      <c r="I951" s="14"/>
      <c r="J951" s="14"/>
      <c r="K951" s="12"/>
    </row>
    <row r="952" ht="19.5" customHeight="1">
      <c r="A952" s="12"/>
      <c r="C952" s="12"/>
      <c r="D952" s="13"/>
      <c r="F952" s="14"/>
      <c r="G952" s="14"/>
      <c r="H952" s="14"/>
      <c r="I952" s="14"/>
      <c r="J952" s="14"/>
      <c r="K952" s="12"/>
    </row>
    <row r="953" ht="19.5" customHeight="1">
      <c r="A953" s="12"/>
      <c r="C953" s="12"/>
      <c r="D953" s="13"/>
      <c r="F953" s="14"/>
      <c r="G953" s="14"/>
      <c r="H953" s="14"/>
      <c r="I953" s="14"/>
      <c r="J953" s="14"/>
      <c r="K953" s="12"/>
    </row>
    <row r="954" ht="19.5" customHeight="1">
      <c r="A954" s="12"/>
      <c r="C954" s="12"/>
      <c r="D954" s="13"/>
      <c r="F954" s="14"/>
      <c r="G954" s="14"/>
      <c r="H954" s="14"/>
      <c r="I954" s="14"/>
      <c r="J954" s="14"/>
      <c r="K954" s="12"/>
    </row>
    <row r="955" ht="19.5" customHeight="1">
      <c r="A955" s="12"/>
      <c r="C955" s="12"/>
      <c r="D955" s="13"/>
      <c r="F955" s="14"/>
      <c r="G955" s="14"/>
      <c r="H955" s="14"/>
      <c r="I955" s="14"/>
      <c r="J955" s="14"/>
      <c r="K955" s="12"/>
    </row>
    <row r="956" ht="19.5" customHeight="1">
      <c r="A956" s="12"/>
      <c r="C956" s="12"/>
      <c r="D956" s="13"/>
      <c r="F956" s="14"/>
      <c r="G956" s="14"/>
      <c r="H956" s="14"/>
      <c r="I956" s="14"/>
      <c r="J956" s="14"/>
      <c r="K956" s="12"/>
    </row>
    <row r="957" ht="19.5" customHeight="1">
      <c r="A957" s="12"/>
      <c r="C957" s="12"/>
      <c r="D957" s="13"/>
      <c r="F957" s="14"/>
      <c r="G957" s="14"/>
      <c r="H957" s="14"/>
      <c r="I957" s="14"/>
      <c r="J957" s="14"/>
      <c r="K957" s="12"/>
    </row>
    <row r="958" ht="19.5" customHeight="1">
      <c r="A958" s="12"/>
      <c r="C958" s="12"/>
      <c r="D958" s="13"/>
      <c r="F958" s="14"/>
      <c r="G958" s="14"/>
      <c r="H958" s="14"/>
      <c r="I958" s="14"/>
      <c r="J958" s="14"/>
      <c r="K958" s="12"/>
    </row>
    <row r="959" ht="19.5" customHeight="1">
      <c r="A959" s="12"/>
      <c r="C959" s="12"/>
      <c r="D959" s="13"/>
      <c r="F959" s="14"/>
      <c r="G959" s="14"/>
      <c r="H959" s="14"/>
      <c r="I959" s="14"/>
      <c r="J959" s="14"/>
      <c r="K959" s="12"/>
    </row>
    <row r="960" ht="19.5" customHeight="1">
      <c r="A960" s="12"/>
      <c r="C960" s="12"/>
      <c r="D960" s="13"/>
      <c r="F960" s="14"/>
      <c r="G960" s="14"/>
      <c r="H960" s="14"/>
      <c r="I960" s="14"/>
      <c r="J960" s="14"/>
      <c r="K960" s="12"/>
    </row>
    <row r="961" ht="19.5" customHeight="1">
      <c r="A961" s="12"/>
      <c r="C961" s="12"/>
      <c r="D961" s="13"/>
      <c r="F961" s="14"/>
      <c r="G961" s="14"/>
      <c r="H961" s="14"/>
      <c r="I961" s="14"/>
      <c r="J961" s="14"/>
      <c r="K961" s="12"/>
    </row>
    <row r="962" ht="19.5" customHeight="1">
      <c r="A962" s="12"/>
      <c r="C962" s="12"/>
      <c r="D962" s="13"/>
      <c r="F962" s="14"/>
      <c r="G962" s="14"/>
      <c r="H962" s="14"/>
      <c r="I962" s="14"/>
      <c r="J962" s="14"/>
      <c r="K962" s="12"/>
    </row>
    <row r="963" ht="19.5" customHeight="1">
      <c r="A963" s="12"/>
      <c r="C963" s="12"/>
      <c r="D963" s="13"/>
      <c r="F963" s="14"/>
      <c r="G963" s="14"/>
      <c r="H963" s="14"/>
      <c r="I963" s="14"/>
      <c r="J963" s="14"/>
      <c r="K963" s="12"/>
    </row>
    <row r="964" ht="19.5" customHeight="1">
      <c r="A964" s="12"/>
      <c r="C964" s="12"/>
      <c r="D964" s="13"/>
      <c r="F964" s="14"/>
      <c r="G964" s="14"/>
      <c r="H964" s="14"/>
      <c r="I964" s="14"/>
      <c r="J964" s="14"/>
      <c r="K964" s="12"/>
    </row>
    <row r="965" ht="19.5" customHeight="1">
      <c r="A965" s="12"/>
      <c r="C965" s="12"/>
      <c r="D965" s="13"/>
      <c r="F965" s="14"/>
      <c r="G965" s="14"/>
      <c r="H965" s="14"/>
      <c r="I965" s="14"/>
      <c r="J965" s="14"/>
      <c r="K965" s="12"/>
    </row>
    <row r="966" ht="19.5" customHeight="1">
      <c r="A966" s="12"/>
      <c r="C966" s="12"/>
      <c r="D966" s="13"/>
      <c r="F966" s="14"/>
      <c r="G966" s="14"/>
      <c r="H966" s="14"/>
      <c r="I966" s="14"/>
      <c r="J966" s="14"/>
      <c r="K966" s="12"/>
    </row>
    <row r="967" ht="19.5" customHeight="1">
      <c r="A967" s="12"/>
      <c r="C967" s="12"/>
      <c r="D967" s="13"/>
      <c r="F967" s="14"/>
      <c r="G967" s="14"/>
      <c r="H967" s="14"/>
      <c r="I967" s="14"/>
      <c r="J967" s="14"/>
      <c r="K967" s="12"/>
    </row>
    <row r="968" ht="19.5" customHeight="1">
      <c r="A968" s="12"/>
      <c r="C968" s="12"/>
      <c r="D968" s="13"/>
      <c r="F968" s="14"/>
      <c r="G968" s="14"/>
      <c r="H968" s="14"/>
      <c r="I968" s="14"/>
      <c r="J968" s="14"/>
      <c r="K968" s="12"/>
    </row>
    <row r="969" ht="19.5" customHeight="1">
      <c r="A969" s="12"/>
      <c r="C969" s="12"/>
      <c r="D969" s="13"/>
      <c r="F969" s="14"/>
      <c r="G969" s="14"/>
      <c r="H969" s="14"/>
      <c r="I969" s="14"/>
      <c r="J969" s="14"/>
      <c r="K969" s="12"/>
    </row>
    <row r="970" ht="19.5" customHeight="1">
      <c r="A970" s="12"/>
      <c r="C970" s="12"/>
      <c r="D970" s="13"/>
      <c r="F970" s="14"/>
      <c r="G970" s="14"/>
      <c r="H970" s="14"/>
      <c r="I970" s="14"/>
      <c r="J970" s="14"/>
      <c r="K970" s="12"/>
    </row>
    <row r="971" ht="19.5" customHeight="1">
      <c r="A971" s="12"/>
      <c r="C971" s="12"/>
      <c r="D971" s="13"/>
      <c r="F971" s="14"/>
      <c r="G971" s="14"/>
      <c r="H971" s="14"/>
      <c r="I971" s="14"/>
      <c r="J971" s="14"/>
      <c r="K971" s="12"/>
    </row>
    <row r="972" ht="19.5" customHeight="1">
      <c r="A972" s="12"/>
      <c r="C972" s="12"/>
      <c r="D972" s="13"/>
      <c r="F972" s="14"/>
      <c r="G972" s="14"/>
      <c r="H972" s="14"/>
      <c r="I972" s="14"/>
      <c r="J972" s="14"/>
      <c r="K972" s="12"/>
    </row>
    <row r="973" ht="19.5" customHeight="1">
      <c r="A973" s="12"/>
      <c r="C973" s="12"/>
      <c r="D973" s="13"/>
      <c r="F973" s="14"/>
      <c r="G973" s="14"/>
      <c r="H973" s="14"/>
      <c r="I973" s="14"/>
      <c r="J973" s="14"/>
      <c r="K973" s="12"/>
    </row>
    <row r="974" ht="19.5" customHeight="1">
      <c r="A974" s="12"/>
      <c r="C974" s="12"/>
      <c r="D974" s="13"/>
      <c r="F974" s="14"/>
      <c r="G974" s="14"/>
      <c r="H974" s="14"/>
      <c r="I974" s="14"/>
      <c r="J974" s="14"/>
      <c r="K974" s="12"/>
    </row>
    <row r="975" ht="19.5" customHeight="1">
      <c r="A975" s="12"/>
      <c r="C975" s="12"/>
      <c r="D975" s="13"/>
      <c r="F975" s="14"/>
      <c r="G975" s="14"/>
      <c r="H975" s="14"/>
      <c r="I975" s="14"/>
      <c r="J975" s="14"/>
      <c r="K975" s="12"/>
    </row>
    <row r="976" ht="19.5" customHeight="1">
      <c r="A976" s="12"/>
      <c r="C976" s="12"/>
      <c r="D976" s="13"/>
      <c r="F976" s="14"/>
      <c r="G976" s="14"/>
      <c r="H976" s="14"/>
      <c r="I976" s="14"/>
      <c r="J976" s="14"/>
      <c r="K976" s="12"/>
    </row>
    <row r="977" ht="19.5" customHeight="1">
      <c r="A977" s="12"/>
      <c r="C977" s="12"/>
      <c r="D977" s="13"/>
      <c r="F977" s="14"/>
      <c r="G977" s="14"/>
      <c r="H977" s="14"/>
      <c r="I977" s="14"/>
      <c r="J977" s="14"/>
      <c r="K977" s="12"/>
    </row>
    <row r="978" ht="19.5" customHeight="1">
      <c r="A978" s="12"/>
      <c r="C978" s="12"/>
      <c r="D978" s="13"/>
      <c r="F978" s="14"/>
      <c r="G978" s="14"/>
      <c r="H978" s="14"/>
      <c r="I978" s="14"/>
      <c r="J978" s="14"/>
      <c r="K978" s="12"/>
    </row>
    <row r="979" ht="19.5" customHeight="1">
      <c r="A979" s="12"/>
      <c r="C979" s="12"/>
      <c r="D979" s="13"/>
      <c r="F979" s="14"/>
      <c r="G979" s="14"/>
      <c r="H979" s="14"/>
      <c r="I979" s="14"/>
      <c r="J979" s="14"/>
      <c r="K979" s="12"/>
    </row>
    <row r="980" ht="19.5" customHeight="1">
      <c r="A980" s="12"/>
      <c r="C980" s="12"/>
      <c r="D980" s="13"/>
      <c r="F980" s="14"/>
      <c r="G980" s="14"/>
      <c r="H980" s="14"/>
      <c r="I980" s="14"/>
      <c r="J980" s="14"/>
      <c r="K980" s="12"/>
    </row>
    <row r="981" ht="19.5" customHeight="1">
      <c r="A981" s="12"/>
      <c r="C981" s="12"/>
      <c r="D981" s="13"/>
      <c r="F981" s="14"/>
      <c r="G981" s="14"/>
      <c r="H981" s="14"/>
      <c r="I981" s="14"/>
      <c r="J981" s="14"/>
      <c r="K981" s="12"/>
    </row>
    <row r="982" ht="19.5" customHeight="1">
      <c r="A982" s="12"/>
      <c r="C982" s="12"/>
      <c r="D982" s="13"/>
      <c r="F982" s="14"/>
      <c r="G982" s="14"/>
      <c r="H982" s="14"/>
      <c r="I982" s="14"/>
      <c r="J982" s="14"/>
      <c r="K982" s="12"/>
    </row>
    <row r="983" ht="19.5" customHeight="1">
      <c r="A983" s="12"/>
      <c r="C983" s="12"/>
      <c r="D983" s="13"/>
      <c r="F983" s="14"/>
      <c r="G983" s="14"/>
      <c r="H983" s="14"/>
      <c r="I983" s="14"/>
      <c r="J983" s="14"/>
      <c r="K983" s="12"/>
    </row>
    <row r="984" ht="19.5" customHeight="1">
      <c r="A984" s="12"/>
      <c r="C984" s="12"/>
      <c r="D984" s="13"/>
      <c r="F984" s="14"/>
      <c r="G984" s="14"/>
      <c r="H984" s="14"/>
      <c r="I984" s="14"/>
      <c r="J984" s="14"/>
      <c r="K984" s="12"/>
    </row>
    <row r="985" ht="19.5" customHeight="1">
      <c r="A985" s="12"/>
      <c r="C985" s="12"/>
      <c r="D985" s="13"/>
      <c r="F985" s="14"/>
      <c r="G985" s="14"/>
      <c r="H985" s="14"/>
      <c r="I985" s="14"/>
      <c r="J985" s="14"/>
      <c r="K985" s="12"/>
    </row>
    <row r="986" ht="19.5" customHeight="1">
      <c r="A986" s="12"/>
      <c r="C986" s="12"/>
      <c r="D986" s="13"/>
      <c r="F986" s="14"/>
      <c r="G986" s="14"/>
      <c r="H986" s="14"/>
      <c r="I986" s="14"/>
      <c r="J986" s="14"/>
      <c r="K986" s="12"/>
    </row>
    <row r="987" ht="19.5" customHeight="1">
      <c r="A987" s="12"/>
      <c r="C987" s="12"/>
      <c r="D987" s="13"/>
      <c r="F987" s="14"/>
      <c r="G987" s="14"/>
      <c r="H987" s="14"/>
      <c r="I987" s="14"/>
      <c r="J987" s="14"/>
      <c r="K987" s="12"/>
    </row>
    <row r="988" ht="19.5" customHeight="1">
      <c r="A988" s="12"/>
      <c r="C988" s="12"/>
      <c r="D988" s="13"/>
      <c r="F988" s="14"/>
      <c r="G988" s="14"/>
      <c r="H988" s="14"/>
      <c r="I988" s="14"/>
      <c r="J988" s="14"/>
      <c r="K988" s="12"/>
    </row>
    <row r="989" ht="19.5" customHeight="1">
      <c r="A989" s="12"/>
      <c r="C989" s="12"/>
      <c r="D989" s="13"/>
      <c r="F989" s="14"/>
      <c r="G989" s="14"/>
      <c r="H989" s="14"/>
      <c r="I989" s="14"/>
      <c r="J989" s="14"/>
      <c r="K989" s="12"/>
    </row>
    <row r="990" ht="19.5" customHeight="1">
      <c r="A990" s="12"/>
      <c r="C990" s="12"/>
      <c r="D990" s="13"/>
      <c r="F990" s="14"/>
      <c r="G990" s="14"/>
      <c r="H990" s="14"/>
      <c r="I990" s="14"/>
      <c r="J990" s="14"/>
      <c r="K990" s="12"/>
    </row>
    <row r="991" ht="19.5" customHeight="1">
      <c r="A991" s="12"/>
      <c r="C991" s="12"/>
      <c r="D991" s="13"/>
      <c r="F991" s="14"/>
      <c r="G991" s="14"/>
      <c r="H991" s="14"/>
      <c r="I991" s="14"/>
      <c r="J991" s="14"/>
      <c r="K991" s="12"/>
    </row>
    <row r="992" ht="19.5" customHeight="1">
      <c r="A992" s="12"/>
      <c r="C992" s="12"/>
      <c r="D992" s="13"/>
      <c r="F992" s="14"/>
      <c r="G992" s="14"/>
      <c r="H992" s="14"/>
      <c r="I992" s="14"/>
      <c r="J992" s="14"/>
      <c r="K992" s="12"/>
    </row>
    <row r="993" ht="19.5" customHeight="1">
      <c r="A993" s="12"/>
      <c r="C993" s="12"/>
      <c r="D993" s="13"/>
      <c r="F993" s="14"/>
      <c r="G993" s="14"/>
      <c r="H993" s="14"/>
      <c r="I993" s="14"/>
      <c r="J993" s="14"/>
      <c r="K993" s="12"/>
    </row>
    <row r="994" ht="19.5" customHeight="1">
      <c r="A994" s="12"/>
      <c r="C994" s="12"/>
      <c r="D994" s="13"/>
      <c r="F994" s="14"/>
      <c r="G994" s="14"/>
      <c r="H994" s="14"/>
      <c r="I994" s="14"/>
      <c r="J994" s="14"/>
      <c r="K994" s="12"/>
    </row>
    <row r="995" ht="19.5" customHeight="1">
      <c r="A995" s="12"/>
      <c r="C995" s="12"/>
      <c r="D995" s="13"/>
      <c r="F995" s="14"/>
      <c r="G995" s="14"/>
      <c r="H995" s="14"/>
      <c r="I995" s="14"/>
      <c r="J995" s="14"/>
      <c r="K995" s="12"/>
    </row>
    <row r="996" ht="19.5" customHeight="1">
      <c r="A996" s="12"/>
      <c r="C996" s="12"/>
      <c r="D996" s="13"/>
      <c r="F996" s="14"/>
      <c r="G996" s="14"/>
      <c r="H996" s="14"/>
      <c r="I996" s="14"/>
      <c r="J996" s="14"/>
      <c r="K996" s="12"/>
    </row>
    <row r="997" ht="19.5" customHeight="1">
      <c r="A997" s="12"/>
      <c r="C997" s="12"/>
      <c r="D997" s="13"/>
      <c r="F997" s="14"/>
      <c r="G997" s="14"/>
      <c r="H997" s="14"/>
      <c r="I997" s="14"/>
      <c r="J997" s="14"/>
      <c r="K997" s="12"/>
    </row>
    <row r="998" ht="19.5" customHeight="1">
      <c r="A998" s="12"/>
      <c r="C998" s="12"/>
      <c r="D998" s="13"/>
      <c r="F998" s="14"/>
      <c r="G998" s="14"/>
      <c r="H998" s="14"/>
      <c r="I998" s="14"/>
      <c r="J998" s="14"/>
      <c r="K998" s="12"/>
    </row>
    <row r="999" ht="19.5" customHeight="1">
      <c r="A999" s="12"/>
      <c r="C999" s="12"/>
      <c r="D999" s="13"/>
      <c r="F999" s="14"/>
      <c r="G999" s="14"/>
      <c r="H999" s="14"/>
      <c r="I999" s="14"/>
      <c r="J999" s="14"/>
      <c r="K999" s="12"/>
    </row>
    <row r="1000" ht="19.5" customHeight="1">
      <c r="A1000" s="12"/>
      <c r="C1000" s="12"/>
      <c r="D1000" s="13"/>
      <c r="F1000" s="14"/>
      <c r="G1000" s="14"/>
      <c r="H1000" s="14"/>
      <c r="I1000" s="14"/>
      <c r="J1000" s="14"/>
      <c r="K1000" s="12"/>
    </row>
  </sheetData>
  <mergeCells count="12">
    <mergeCell ref="E9:G9"/>
    <mergeCell ref="J9:J10"/>
    <mergeCell ref="J15:J16"/>
    <mergeCell ref="J36:J37"/>
    <mergeCell ref="A6:K6"/>
    <mergeCell ref="A7:K7"/>
    <mergeCell ref="A8:K8"/>
    <mergeCell ref="A9:A10"/>
    <mergeCell ref="B9:B10"/>
    <mergeCell ref="C9:C10"/>
    <mergeCell ref="D9:D10"/>
    <mergeCell ref="K9:K10"/>
  </mergeCells>
  <printOptions/>
  <pageMargins bottom="0.787401575" footer="0.0" header="0.0" left="0.511811024" right="0.511811024" top="0.787401575"/>
  <pageSetup orientation="landscape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57.13"/>
    <col customWidth="1" min="3" max="3" width="9.13"/>
    <col customWidth="1" min="4" max="4" width="16.25"/>
    <col customWidth="1" min="5" max="5" width="25.0"/>
    <col customWidth="1" min="6" max="6" width="22.25"/>
    <col customWidth="1" min="7" max="8" width="23.88"/>
    <col customWidth="1" min="9" max="9" width="23.63"/>
    <col customWidth="1" min="10" max="10" width="20.63"/>
    <col customWidth="1" min="11" max="11" width="39.0"/>
    <col customWidth="1" min="12" max="26" width="8.63"/>
  </cols>
  <sheetData>
    <row r="1" ht="19.5" customHeight="1">
      <c r="A1" s="4"/>
      <c r="B1" s="5"/>
      <c r="C1" s="6"/>
      <c r="D1" s="7"/>
      <c r="E1" s="5"/>
      <c r="F1" s="8"/>
      <c r="G1" s="8"/>
      <c r="H1" s="8"/>
      <c r="I1" s="8"/>
      <c r="J1" s="8"/>
      <c r="K1" s="9"/>
    </row>
    <row r="2" ht="19.5" customHeight="1">
      <c r="A2" s="10" t="s">
        <v>83</v>
      </c>
      <c r="B2" s="11" t="s">
        <v>84</v>
      </c>
      <c r="C2" s="12"/>
      <c r="D2" s="13"/>
      <c r="F2" s="14"/>
      <c r="G2" s="14"/>
      <c r="H2" s="14"/>
      <c r="I2" s="14"/>
      <c r="J2" s="17" t="s">
        <v>144</v>
      </c>
      <c r="K2" s="18"/>
    </row>
    <row r="3" ht="19.5" customHeight="1">
      <c r="A3" s="10" t="s">
        <v>86</v>
      </c>
      <c r="B3" s="11" t="s">
        <v>87</v>
      </c>
      <c r="C3" s="12"/>
      <c r="D3" s="13"/>
      <c r="F3" s="14"/>
      <c r="G3" s="14"/>
      <c r="H3" s="14"/>
      <c r="I3" s="14"/>
      <c r="J3" s="14"/>
      <c r="K3" s="18"/>
    </row>
    <row r="4" ht="19.5" customHeight="1">
      <c r="A4" s="19"/>
      <c r="C4" s="12"/>
      <c r="D4" s="13"/>
      <c r="F4" s="14"/>
      <c r="G4" s="14"/>
      <c r="H4" s="14"/>
      <c r="I4" s="14"/>
      <c r="J4" s="14"/>
      <c r="K4" s="18"/>
    </row>
    <row r="5" ht="19.5" customHeight="1">
      <c r="A5" s="19"/>
      <c r="C5" s="12"/>
      <c r="D5" s="13"/>
      <c r="F5" s="14"/>
      <c r="G5" s="14"/>
      <c r="H5" s="14"/>
      <c r="I5" s="14"/>
      <c r="J5" s="14"/>
      <c r="K5" s="18"/>
    </row>
    <row r="6" ht="159.0" customHeight="1">
      <c r="A6" s="20" t="s">
        <v>1885</v>
      </c>
      <c r="K6" s="21"/>
    </row>
    <row r="7" ht="64.5" customHeight="1">
      <c r="A7" s="22" t="s">
        <v>1886</v>
      </c>
      <c r="K7" s="21"/>
    </row>
    <row r="8" ht="42.0" customHeight="1">
      <c r="A8" s="88" t="s">
        <v>90</v>
      </c>
      <c r="B8" s="24"/>
      <c r="C8" s="24"/>
      <c r="D8" s="24"/>
      <c r="E8" s="24"/>
      <c r="F8" s="24"/>
      <c r="G8" s="24"/>
      <c r="H8" s="24"/>
      <c r="I8" s="24"/>
      <c r="J8" s="24"/>
      <c r="K8" s="25"/>
    </row>
    <row r="9" ht="19.5" customHeight="1">
      <c r="A9" s="26" t="s">
        <v>1</v>
      </c>
      <c r="B9" s="26" t="s">
        <v>91</v>
      </c>
      <c r="C9" s="26" t="s">
        <v>92</v>
      </c>
      <c r="D9" s="26" t="s">
        <v>93</v>
      </c>
      <c r="E9" s="27" t="s">
        <v>94</v>
      </c>
      <c r="F9" s="28"/>
      <c r="G9" s="29"/>
      <c r="H9" s="30"/>
      <c r="I9" s="30"/>
      <c r="J9" s="31" t="s">
        <v>95</v>
      </c>
      <c r="K9" s="26" t="s">
        <v>96</v>
      </c>
    </row>
    <row r="10" ht="19.5" customHeight="1">
      <c r="A10" s="32"/>
      <c r="B10" s="32"/>
      <c r="C10" s="32"/>
      <c r="D10" s="32"/>
      <c r="E10" s="33" t="s">
        <v>97</v>
      </c>
      <c r="F10" s="34" t="s">
        <v>121</v>
      </c>
      <c r="G10" s="34" t="s">
        <v>99</v>
      </c>
      <c r="H10" s="35" t="s">
        <v>100</v>
      </c>
      <c r="I10" s="35" t="s">
        <v>101</v>
      </c>
      <c r="J10" s="32"/>
      <c r="K10" s="32"/>
    </row>
    <row r="11" ht="19.5" customHeight="1">
      <c r="A11" s="46">
        <v>1.0</v>
      </c>
      <c r="B11" s="37" t="s">
        <v>147</v>
      </c>
      <c r="C11" s="46" t="s">
        <v>148</v>
      </c>
      <c r="D11" s="78">
        <v>4.0</v>
      </c>
      <c r="E11" s="37">
        <v>2.0</v>
      </c>
      <c r="F11" s="40">
        <v>4.0</v>
      </c>
      <c r="G11" s="40">
        <v>4.0</v>
      </c>
      <c r="H11" s="40">
        <f>G11*F11*E11*D11</f>
        <v>128</v>
      </c>
      <c r="I11" s="42"/>
      <c r="J11" s="43">
        <f t="shared" ref="J11:J13" si="1">H11-I11</f>
        <v>128</v>
      </c>
      <c r="K11" s="46"/>
    </row>
    <row r="12" ht="19.5" customHeight="1">
      <c r="A12" s="46"/>
      <c r="B12" s="37"/>
      <c r="C12" s="46"/>
      <c r="D12" s="78"/>
      <c r="E12" s="37"/>
      <c r="F12" s="40"/>
      <c r="G12" s="40" t="s">
        <v>1858</v>
      </c>
      <c r="H12" s="40"/>
      <c r="I12" s="42"/>
      <c r="J12" s="43">
        <f t="shared" si="1"/>
        <v>0</v>
      </c>
      <c r="K12" s="79"/>
    </row>
    <row r="13" ht="19.5" customHeight="1">
      <c r="A13" s="46"/>
      <c r="B13" s="37"/>
      <c r="C13" s="46"/>
      <c r="D13" s="78"/>
      <c r="E13" s="37"/>
      <c r="F13" s="40"/>
      <c r="G13" s="40"/>
      <c r="H13" s="40"/>
      <c r="I13" s="42"/>
      <c r="J13" s="43">
        <f t="shared" si="1"/>
        <v>0</v>
      </c>
      <c r="K13" s="79"/>
    </row>
    <row r="14" ht="19.5" customHeight="1">
      <c r="A14" s="74" t="s">
        <v>1</v>
      </c>
      <c r="B14" s="74" t="s">
        <v>91</v>
      </c>
      <c r="C14" s="74" t="s">
        <v>92</v>
      </c>
      <c r="D14" s="74" t="s">
        <v>93</v>
      </c>
      <c r="E14" s="50" t="s">
        <v>97</v>
      </c>
      <c r="F14" s="53" t="s">
        <v>121</v>
      </c>
      <c r="G14" s="53" t="s">
        <v>99</v>
      </c>
      <c r="H14" s="75" t="s">
        <v>100</v>
      </c>
      <c r="I14" s="75" t="s">
        <v>101</v>
      </c>
      <c r="J14" s="76" t="s">
        <v>95</v>
      </c>
      <c r="K14" s="74" t="s">
        <v>96</v>
      </c>
    </row>
    <row r="15" ht="19.5" customHeight="1">
      <c r="A15" s="46">
        <v>1.0</v>
      </c>
      <c r="B15" s="37" t="s">
        <v>1320</v>
      </c>
      <c r="C15" s="46" t="s">
        <v>148</v>
      </c>
      <c r="D15" s="78">
        <v>4.0</v>
      </c>
      <c r="E15" s="37">
        <v>0.15</v>
      </c>
      <c r="F15" s="78">
        <v>4.0</v>
      </c>
      <c r="G15" s="40">
        <v>4.0</v>
      </c>
      <c r="H15" s="40">
        <f>G15*F15*E15*D15</f>
        <v>9.6</v>
      </c>
      <c r="I15" s="42"/>
      <c r="J15" s="264">
        <f>SUM(H15:H16)</f>
        <v>9.6</v>
      </c>
      <c r="K15" s="46"/>
    </row>
    <row r="16" ht="19.5" customHeight="1">
      <c r="A16" s="46"/>
      <c r="B16" s="37"/>
      <c r="C16" s="46"/>
      <c r="D16" s="78"/>
      <c r="E16" s="37"/>
      <c r="F16" s="78"/>
      <c r="G16" s="40"/>
      <c r="H16" s="40"/>
      <c r="I16" s="42"/>
      <c r="J16" s="32"/>
      <c r="K16" s="46"/>
    </row>
    <row r="17" ht="19.5" customHeight="1">
      <c r="A17" s="74" t="s">
        <v>1</v>
      </c>
      <c r="B17" s="74" t="s">
        <v>91</v>
      </c>
      <c r="C17" s="74" t="s">
        <v>92</v>
      </c>
      <c r="D17" s="74" t="s">
        <v>93</v>
      </c>
      <c r="E17" s="50" t="s">
        <v>97</v>
      </c>
      <c r="F17" s="53" t="s">
        <v>121</v>
      </c>
      <c r="G17" s="53" t="s">
        <v>99</v>
      </c>
      <c r="H17" s="75" t="s">
        <v>100</v>
      </c>
      <c r="I17" s="75" t="s">
        <v>101</v>
      </c>
      <c r="J17" s="76" t="s">
        <v>95</v>
      </c>
      <c r="K17" s="74" t="s">
        <v>96</v>
      </c>
    </row>
    <row r="18" ht="19.5" customHeight="1">
      <c r="A18" s="46">
        <v>1.0</v>
      </c>
      <c r="B18" s="37" t="s">
        <v>345</v>
      </c>
      <c r="C18" s="46" t="s">
        <v>148</v>
      </c>
      <c r="D18" s="78"/>
      <c r="E18" s="37"/>
      <c r="F18" s="78"/>
      <c r="G18" s="40"/>
      <c r="H18" s="40"/>
      <c r="I18" s="42"/>
      <c r="J18" s="40"/>
      <c r="K18" s="46"/>
    </row>
    <row r="19" ht="19.5" customHeight="1">
      <c r="A19" s="46"/>
      <c r="B19" s="37"/>
      <c r="C19" s="46"/>
      <c r="D19" s="78"/>
      <c r="E19" s="37"/>
      <c r="F19" s="78"/>
      <c r="G19" s="40"/>
      <c r="H19" s="40"/>
      <c r="I19" s="42"/>
      <c r="J19" s="43">
        <f>SUM(H18:H19)</f>
        <v>0</v>
      </c>
      <c r="K19" s="46"/>
    </row>
    <row r="20" ht="19.5" customHeight="1">
      <c r="A20" s="74" t="s">
        <v>1</v>
      </c>
      <c r="B20" s="74" t="s">
        <v>91</v>
      </c>
      <c r="C20" s="74" t="s">
        <v>92</v>
      </c>
      <c r="D20" s="74" t="s">
        <v>93</v>
      </c>
      <c r="E20" s="50" t="s">
        <v>347</v>
      </c>
      <c r="F20" s="53" t="s">
        <v>121</v>
      </c>
      <c r="G20" s="53" t="s">
        <v>99</v>
      </c>
      <c r="H20" s="75" t="s">
        <v>100</v>
      </c>
      <c r="I20" s="75" t="s">
        <v>101</v>
      </c>
      <c r="J20" s="76" t="s">
        <v>95</v>
      </c>
      <c r="K20" s="74" t="s">
        <v>96</v>
      </c>
    </row>
    <row r="21" ht="19.5" customHeight="1">
      <c r="A21" s="46">
        <v>1.0</v>
      </c>
      <c r="B21" s="37" t="s">
        <v>912</v>
      </c>
      <c r="C21" s="46" t="s">
        <v>103</v>
      </c>
      <c r="D21" s="78"/>
      <c r="E21" s="37"/>
      <c r="F21" s="40"/>
      <c r="G21" s="40"/>
      <c r="H21" s="40"/>
      <c r="I21" s="42"/>
      <c r="J21" s="107"/>
      <c r="K21" s="46" t="s">
        <v>1322</v>
      </c>
    </row>
    <row r="22" ht="19.5" customHeight="1">
      <c r="A22" s="74" t="s">
        <v>1</v>
      </c>
      <c r="B22" s="74" t="s">
        <v>91</v>
      </c>
      <c r="C22" s="74" t="s">
        <v>92</v>
      </c>
      <c r="D22" s="74" t="s">
        <v>93</v>
      </c>
      <c r="E22" s="50" t="s">
        <v>187</v>
      </c>
      <c r="F22" s="53"/>
      <c r="G22" s="53"/>
      <c r="H22" s="75" t="s">
        <v>100</v>
      </c>
      <c r="I22" s="75" t="s">
        <v>101</v>
      </c>
      <c r="J22" s="76" t="s">
        <v>95</v>
      </c>
      <c r="K22" s="74" t="s">
        <v>96</v>
      </c>
    </row>
    <row r="23" ht="19.5" customHeight="1">
      <c r="A23" s="46">
        <v>1.0</v>
      </c>
      <c r="B23" s="37" t="s">
        <v>1323</v>
      </c>
      <c r="C23" s="46" t="s">
        <v>158</v>
      </c>
      <c r="D23" s="78" t="str">
        <f>D21</f>
        <v/>
      </c>
      <c r="E23" s="37">
        <v>100.0</v>
      </c>
      <c r="F23" s="40"/>
      <c r="G23" s="40"/>
      <c r="H23" s="40">
        <f>E23*D23</f>
        <v>0</v>
      </c>
      <c r="I23" s="42"/>
      <c r="J23" s="43">
        <f>H23-I23</f>
        <v>0</v>
      </c>
      <c r="K23" s="46" t="s">
        <v>355</v>
      </c>
    </row>
    <row r="24" ht="19.5" customHeight="1">
      <c r="A24" s="50" t="s">
        <v>1</v>
      </c>
      <c r="B24" s="50" t="s">
        <v>91</v>
      </c>
      <c r="C24" s="50" t="s">
        <v>92</v>
      </c>
      <c r="D24" s="50" t="s">
        <v>93</v>
      </c>
      <c r="E24" s="50" t="s">
        <v>97</v>
      </c>
      <c r="F24" s="53" t="s">
        <v>121</v>
      </c>
      <c r="G24" s="53" t="s">
        <v>99</v>
      </c>
      <c r="H24" s="53" t="s">
        <v>100</v>
      </c>
      <c r="I24" s="53" t="s">
        <v>101</v>
      </c>
      <c r="J24" s="53" t="s">
        <v>95</v>
      </c>
      <c r="K24" s="50" t="s">
        <v>96</v>
      </c>
    </row>
    <row r="25" ht="19.5" customHeight="1">
      <c r="A25" s="46">
        <v>1.0</v>
      </c>
      <c r="B25" s="416" t="s">
        <v>1337</v>
      </c>
      <c r="C25" s="46" t="s">
        <v>108</v>
      </c>
      <c r="D25" s="78">
        <v>1.0</v>
      </c>
      <c r="E25" s="37"/>
      <c r="F25" s="78"/>
      <c r="G25" s="40"/>
      <c r="H25" s="40"/>
      <c r="I25" s="42"/>
      <c r="J25" s="43">
        <f t="shared" ref="J25:J29" si="2">D25</f>
        <v>1</v>
      </c>
      <c r="K25" s="46"/>
    </row>
    <row r="26" ht="19.5" customHeight="1">
      <c r="A26" s="46">
        <v>2.0</v>
      </c>
      <c r="B26" s="416" t="s">
        <v>1338</v>
      </c>
      <c r="C26" s="46" t="s">
        <v>108</v>
      </c>
      <c r="D26" s="78">
        <v>1.0</v>
      </c>
      <c r="E26" s="37"/>
      <c r="F26" s="78"/>
      <c r="G26" s="40"/>
      <c r="H26" s="40"/>
      <c r="I26" s="42"/>
      <c r="J26" s="43">
        <f t="shared" si="2"/>
        <v>1</v>
      </c>
      <c r="K26" s="46"/>
    </row>
    <row r="27" ht="19.5" customHeight="1">
      <c r="A27" s="46">
        <v>3.0</v>
      </c>
      <c r="B27" s="416" t="s">
        <v>1339</v>
      </c>
      <c r="C27" s="46" t="s">
        <v>106</v>
      </c>
      <c r="D27" s="78">
        <v>1.0</v>
      </c>
      <c r="E27" s="37"/>
      <c r="F27" s="78"/>
      <c r="G27" s="40"/>
      <c r="H27" s="40"/>
      <c r="I27" s="42"/>
      <c r="J27" s="43">
        <f t="shared" si="2"/>
        <v>1</v>
      </c>
      <c r="K27" s="40"/>
    </row>
    <row r="28" ht="19.5" customHeight="1">
      <c r="A28" s="46">
        <v>3.0</v>
      </c>
      <c r="B28" s="416" t="s">
        <v>1340</v>
      </c>
      <c r="C28" s="46" t="s">
        <v>106</v>
      </c>
      <c r="D28" s="78">
        <v>6.0</v>
      </c>
      <c r="E28" s="37"/>
      <c r="F28" s="78"/>
      <c r="G28" s="40"/>
      <c r="H28" s="40"/>
      <c r="I28" s="42"/>
      <c r="J28" s="43">
        <f t="shared" si="2"/>
        <v>6</v>
      </c>
      <c r="K28" s="40"/>
    </row>
    <row r="29" ht="19.5" customHeight="1">
      <c r="A29" s="46">
        <v>3.0</v>
      </c>
      <c r="B29" s="416" t="s">
        <v>1341</v>
      </c>
      <c r="C29" s="46" t="s">
        <v>1342</v>
      </c>
      <c r="D29" s="78">
        <v>1.0</v>
      </c>
      <c r="E29" s="37"/>
      <c r="F29" s="78"/>
      <c r="G29" s="40"/>
      <c r="H29" s="40"/>
      <c r="I29" s="42"/>
      <c r="J29" s="43">
        <f t="shared" si="2"/>
        <v>1</v>
      </c>
      <c r="K29" s="40"/>
    </row>
    <row r="30" ht="19.5" customHeight="1">
      <c r="A30" s="12"/>
      <c r="C30" s="12"/>
      <c r="D30" s="13"/>
      <c r="F30" s="14"/>
      <c r="G30" s="14"/>
      <c r="H30" s="14"/>
      <c r="I30" s="14"/>
      <c r="J30" s="14"/>
      <c r="K30" s="12"/>
    </row>
    <row r="31" ht="19.5" customHeight="1">
      <c r="A31" s="74" t="s">
        <v>1</v>
      </c>
      <c r="B31" s="74" t="s">
        <v>91</v>
      </c>
      <c r="C31" s="74" t="s">
        <v>92</v>
      </c>
      <c r="D31" s="74" t="s">
        <v>93</v>
      </c>
      <c r="E31" s="50" t="s">
        <v>97</v>
      </c>
      <c r="F31" s="53" t="s">
        <v>121</v>
      </c>
      <c r="G31" s="53" t="s">
        <v>99</v>
      </c>
      <c r="H31" s="53" t="s">
        <v>100</v>
      </c>
      <c r="I31" s="53" t="s">
        <v>101</v>
      </c>
      <c r="J31" s="53" t="s">
        <v>95</v>
      </c>
      <c r="K31" s="50" t="s">
        <v>96</v>
      </c>
    </row>
    <row r="32" ht="19.5" customHeight="1">
      <c r="A32" s="46">
        <v>1.0</v>
      </c>
      <c r="B32" s="37" t="s">
        <v>1343</v>
      </c>
      <c r="C32" s="46" t="s">
        <v>103</v>
      </c>
      <c r="D32" s="78">
        <v>1.0</v>
      </c>
      <c r="E32" s="37">
        <v>1.0</v>
      </c>
      <c r="F32" s="78">
        <v>1.0</v>
      </c>
      <c r="G32" s="40">
        <v>1.0</v>
      </c>
      <c r="H32" s="40">
        <v>1.0</v>
      </c>
      <c r="I32" s="42"/>
      <c r="J32" s="40"/>
      <c r="K32" s="46"/>
    </row>
    <row r="33" ht="19.5" customHeight="1">
      <c r="A33" s="46"/>
      <c r="B33" s="37"/>
      <c r="C33" s="46"/>
      <c r="D33" s="78"/>
      <c r="E33" s="37"/>
      <c r="F33" s="78"/>
      <c r="G33" s="40"/>
      <c r="H33" s="40"/>
      <c r="I33" s="42"/>
      <c r="J33" s="43">
        <f>SUM(H32:H33)</f>
        <v>1</v>
      </c>
      <c r="K33" s="46"/>
    </row>
    <row r="34" ht="19.5" customHeight="1">
      <c r="A34" s="12"/>
      <c r="C34" s="12"/>
      <c r="D34" s="13"/>
      <c r="F34" s="14"/>
      <c r="G34" s="14"/>
      <c r="H34" s="14"/>
      <c r="I34" s="14"/>
      <c r="J34" s="14"/>
      <c r="K34" s="12"/>
    </row>
    <row r="35" ht="19.5" customHeight="1">
      <c r="A35" s="74" t="s">
        <v>1</v>
      </c>
      <c r="B35" s="74" t="s">
        <v>91</v>
      </c>
      <c r="C35" s="74" t="s">
        <v>92</v>
      </c>
      <c r="D35" s="74" t="s">
        <v>93</v>
      </c>
      <c r="E35" s="50" t="s">
        <v>97</v>
      </c>
      <c r="F35" s="53" t="s">
        <v>121</v>
      </c>
      <c r="G35" s="53" t="s">
        <v>99</v>
      </c>
      <c r="H35" s="53" t="s">
        <v>100</v>
      </c>
      <c r="I35" s="53" t="s">
        <v>101</v>
      </c>
      <c r="J35" s="53" t="s">
        <v>95</v>
      </c>
      <c r="K35" s="50" t="s">
        <v>96</v>
      </c>
    </row>
    <row r="36" ht="19.5" customHeight="1">
      <c r="A36" s="46">
        <v>1.0</v>
      </c>
      <c r="B36" s="37" t="s">
        <v>1778</v>
      </c>
      <c r="C36" s="46" t="s">
        <v>103</v>
      </c>
      <c r="D36" s="78">
        <v>4.0</v>
      </c>
      <c r="E36" s="37">
        <v>1.0</v>
      </c>
      <c r="F36" s="78">
        <v>10.0</v>
      </c>
      <c r="G36" s="40">
        <v>10.0</v>
      </c>
      <c r="H36" s="40">
        <f>F36*E36*D36</f>
        <v>40</v>
      </c>
      <c r="I36" s="42"/>
      <c r="J36" s="327">
        <f>SUM(H36:H37)</f>
        <v>40</v>
      </c>
      <c r="K36" s="46"/>
    </row>
    <row r="37" ht="19.5" customHeight="1">
      <c r="A37" s="46"/>
      <c r="B37" s="37"/>
      <c r="C37" s="46"/>
      <c r="D37" s="78"/>
      <c r="E37" s="37"/>
      <c r="F37" s="78"/>
      <c r="G37" s="40"/>
      <c r="H37" s="40"/>
      <c r="I37" s="42"/>
      <c r="J37" s="32"/>
      <c r="K37" s="46"/>
    </row>
    <row r="38" ht="19.5" customHeight="1">
      <c r="A38" s="12"/>
      <c r="C38" s="12"/>
      <c r="D38" s="13"/>
      <c r="F38" s="14"/>
      <c r="G38" s="14"/>
      <c r="H38" s="14"/>
      <c r="I38" s="14"/>
      <c r="J38" s="14"/>
      <c r="K38" s="12"/>
    </row>
    <row r="39" ht="19.5" customHeight="1">
      <c r="A39" s="12"/>
      <c r="C39" s="12"/>
      <c r="D39" s="13"/>
      <c r="F39" s="14"/>
      <c r="G39" s="14"/>
      <c r="H39" s="14"/>
      <c r="I39" s="14"/>
      <c r="J39" s="14"/>
      <c r="K39" s="12"/>
    </row>
    <row r="40" ht="19.5" customHeight="1">
      <c r="A40" s="12"/>
      <c r="C40" s="12"/>
      <c r="D40" s="13"/>
      <c r="F40" s="14"/>
      <c r="G40" s="14"/>
      <c r="H40" s="14"/>
      <c r="I40" s="14"/>
      <c r="J40" s="14"/>
      <c r="K40" s="12"/>
    </row>
    <row r="41" ht="19.5" customHeight="1">
      <c r="A41" s="12"/>
      <c r="C41" s="12"/>
      <c r="D41" s="13"/>
      <c r="F41" s="14"/>
      <c r="G41" s="14"/>
      <c r="H41" s="14"/>
      <c r="I41" s="14"/>
      <c r="J41" s="14"/>
      <c r="K41" s="12"/>
    </row>
    <row r="42" ht="19.5" customHeight="1">
      <c r="A42" s="12"/>
      <c r="C42" s="12"/>
      <c r="D42" s="13"/>
      <c r="F42" s="14"/>
      <c r="G42" s="14"/>
      <c r="H42" s="14"/>
      <c r="I42" s="14"/>
      <c r="J42" s="14"/>
      <c r="K42" s="12"/>
    </row>
    <row r="43" ht="19.5" customHeight="1">
      <c r="A43" s="12"/>
      <c r="C43" s="12"/>
      <c r="D43" s="13"/>
      <c r="F43" s="14"/>
      <c r="G43" s="14"/>
      <c r="H43" s="14"/>
      <c r="I43" s="14"/>
      <c r="J43" s="14"/>
      <c r="K43" s="12"/>
    </row>
    <row r="44" ht="19.5" customHeight="1">
      <c r="A44" s="12"/>
      <c r="C44" s="12"/>
      <c r="D44" s="13"/>
      <c r="F44" s="14"/>
      <c r="G44" s="14"/>
      <c r="H44" s="14"/>
      <c r="I44" s="14"/>
      <c r="J44" s="14"/>
      <c r="K44" s="12"/>
    </row>
    <row r="45" ht="19.5" customHeight="1">
      <c r="A45" s="12"/>
      <c r="C45" s="12"/>
      <c r="D45" s="13"/>
      <c r="F45" s="14"/>
      <c r="G45" s="14"/>
      <c r="H45" s="14"/>
      <c r="I45" s="14"/>
      <c r="J45" s="14"/>
      <c r="K45" s="12"/>
    </row>
    <row r="46" ht="19.5" customHeight="1">
      <c r="A46" s="12"/>
      <c r="C46" s="12"/>
      <c r="D46" s="13"/>
      <c r="F46" s="14"/>
      <c r="G46" s="14"/>
      <c r="H46" s="14"/>
      <c r="I46" s="14"/>
      <c r="J46" s="14"/>
      <c r="K46" s="12"/>
    </row>
    <row r="47" ht="19.5" customHeight="1">
      <c r="A47" s="12"/>
      <c r="C47" s="12"/>
      <c r="D47" s="13"/>
      <c r="F47" s="14"/>
      <c r="G47" s="14"/>
      <c r="H47" s="14"/>
      <c r="I47" s="14"/>
      <c r="J47" s="14"/>
      <c r="K47" s="12"/>
    </row>
    <row r="48" ht="19.5" customHeight="1">
      <c r="A48" s="12"/>
      <c r="C48" s="12"/>
      <c r="D48" s="13"/>
      <c r="F48" s="14"/>
      <c r="G48" s="14"/>
      <c r="H48" s="14"/>
      <c r="I48" s="14"/>
      <c r="J48" s="14"/>
      <c r="K48" s="12"/>
    </row>
    <row r="49" ht="19.5" customHeight="1">
      <c r="A49" s="12"/>
      <c r="C49" s="12"/>
      <c r="D49" s="13"/>
      <c r="F49" s="14"/>
      <c r="G49" s="14"/>
      <c r="H49" s="14"/>
      <c r="I49" s="14"/>
      <c r="J49" s="14"/>
      <c r="K49" s="12"/>
    </row>
    <row r="50" ht="19.5" customHeight="1">
      <c r="A50" s="12"/>
      <c r="C50" s="12"/>
      <c r="D50" s="13"/>
      <c r="F50" s="14"/>
      <c r="G50" s="14"/>
      <c r="H50" s="14"/>
      <c r="I50" s="14"/>
      <c r="J50" s="14"/>
      <c r="K50" s="12"/>
    </row>
    <row r="51" ht="19.5" customHeight="1">
      <c r="A51" s="12"/>
      <c r="C51" s="12"/>
      <c r="D51" s="13"/>
      <c r="F51" s="14"/>
      <c r="G51" s="14"/>
      <c r="H51" s="14"/>
      <c r="I51" s="14"/>
      <c r="J51" s="14"/>
      <c r="K51" s="12"/>
    </row>
    <row r="52" ht="19.5" customHeight="1">
      <c r="A52" s="12"/>
      <c r="C52" s="12"/>
      <c r="D52" s="13"/>
      <c r="F52" s="14"/>
      <c r="G52" s="14"/>
      <c r="H52" s="14"/>
      <c r="I52" s="14"/>
      <c r="J52" s="14"/>
      <c r="K52" s="12"/>
    </row>
    <row r="53" ht="19.5" customHeight="1">
      <c r="A53" s="12"/>
      <c r="C53" s="12"/>
      <c r="D53" s="13"/>
      <c r="F53" s="14"/>
      <c r="G53" s="14"/>
      <c r="H53" s="14"/>
      <c r="I53" s="14"/>
      <c r="J53" s="14"/>
      <c r="K53" s="12"/>
    </row>
    <row r="54" ht="19.5" customHeight="1">
      <c r="A54" s="12"/>
      <c r="C54" s="12"/>
      <c r="D54" s="13"/>
      <c r="F54" s="14"/>
      <c r="G54" s="14"/>
      <c r="H54" s="14"/>
      <c r="I54" s="14"/>
      <c r="J54" s="14"/>
      <c r="K54" s="12"/>
    </row>
    <row r="55" ht="19.5" customHeight="1">
      <c r="A55" s="12"/>
      <c r="C55" s="12"/>
      <c r="D55" s="13"/>
      <c r="F55" s="14"/>
      <c r="G55" s="14"/>
      <c r="H55" s="14"/>
      <c r="I55" s="14"/>
      <c r="J55" s="14"/>
      <c r="K55" s="12"/>
    </row>
    <row r="56" ht="19.5" customHeight="1">
      <c r="A56" s="12"/>
      <c r="C56" s="12"/>
      <c r="D56" s="13"/>
      <c r="F56" s="14"/>
      <c r="G56" s="14"/>
      <c r="H56" s="14"/>
      <c r="I56" s="14"/>
      <c r="J56" s="14"/>
      <c r="K56" s="12"/>
    </row>
    <row r="57" ht="19.5" customHeight="1">
      <c r="A57" s="12"/>
      <c r="C57" s="12"/>
      <c r="D57" s="13"/>
      <c r="F57" s="14"/>
      <c r="G57" s="14"/>
      <c r="H57" s="14"/>
      <c r="I57" s="14"/>
      <c r="J57" s="14"/>
      <c r="K57" s="12"/>
    </row>
    <row r="58" ht="19.5" customHeight="1">
      <c r="A58" s="12"/>
      <c r="C58" s="12"/>
      <c r="D58" s="13"/>
      <c r="F58" s="14"/>
      <c r="G58" s="14"/>
      <c r="H58" s="14"/>
      <c r="I58" s="14"/>
      <c r="J58" s="14"/>
      <c r="K58" s="12"/>
    </row>
    <row r="59" ht="19.5" customHeight="1">
      <c r="A59" s="12"/>
      <c r="C59" s="12"/>
      <c r="D59" s="13"/>
      <c r="F59" s="14"/>
      <c r="G59" s="14"/>
      <c r="H59" s="14"/>
      <c r="I59" s="14"/>
      <c r="J59" s="14"/>
      <c r="K59" s="12"/>
    </row>
    <row r="60" ht="19.5" customHeight="1">
      <c r="A60" s="12"/>
      <c r="C60" s="12"/>
      <c r="D60" s="13"/>
      <c r="F60" s="14"/>
      <c r="G60" s="14"/>
      <c r="H60" s="14"/>
      <c r="I60" s="14"/>
      <c r="J60" s="14"/>
      <c r="K60" s="12"/>
    </row>
    <row r="61" ht="19.5" customHeight="1">
      <c r="A61" s="12"/>
      <c r="C61" s="12"/>
      <c r="D61" s="13"/>
      <c r="F61" s="14"/>
      <c r="G61" s="14"/>
      <c r="H61" s="14"/>
      <c r="I61" s="14"/>
      <c r="J61" s="14"/>
      <c r="K61" s="12"/>
    </row>
    <row r="62" ht="19.5" customHeight="1">
      <c r="A62" s="12"/>
      <c r="C62" s="12"/>
      <c r="D62" s="13"/>
      <c r="F62" s="14"/>
      <c r="G62" s="14"/>
      <c r="H62" s="14"/>
      <c r="I62" s="14"/>
      <c r="J62" s="14"/>
      <c r="K62" s="12"/>
    </row>
    <row r="63" ht="19.5" customHeight="1">
      <c r="A63" s="12"/>
      <c r="C63" s="12"/>
      <c r="D63" s="13"/>
      <c r="F63" s="14"/>
      <c r="G63" s="14"/>
      <c r="H63" s="14"/>
      <c r="I63" s="14"/>
      <c r="J63" s="14"/>
      <c r="K63" s="12"/>
    </row>
    <row r="64" ht="19.5" customHeight="1">
      <c r="A64" s="12"/>
      <c r="C64" s="12"/>
      <c r="D64" s="13"/>
      <c r="F64" s="14"/>
      <c r="G64" s="14"/>
      <c r="H64" s="14"/>
      <c r="I64" s="14"/>
      <c r="J64" s="14"/>
      <c r="K64" s="12"/>
    </row>
    <row r="65" ht="19.5" customHeight="1">
      <c r="A65" s="12"/>
      <c r="C65" s="12"/>
      <c r="D65" s="13"/>
      <c r="F65" s="14"/>
      <c r="G65" s="14"/>
      <c r="H65" s="14"/>
      <c r="I65" s="14"/>
      <c r="J65" s="14"/>
      <c r="K65" s="12"/>
    </row>
    <row r="66" ht="19.5" customHeight="1">
      <c r="A66" s="12"/>
      <c r="C66" s="12"/>
      <c r="D66" s="13"/>
      <c r="F66" s="14"/>
      <c r="G66" s="14"/>
      <c r="H66" s="14"/>
      <c r="I66" s="14"/>
      <c r="J66" s="14"/>
      <c r="K66" s="12"/>
    </row>
    <row r="67" ht="19.5" customHeight="1">
      <c r="A67" s="12"/>
      <c r="C67" s="12"/>
      <c r="D67" s="13"/>
      <c r="F67" s="14"/>
      <c r="G67" s="14"/>
      <c r="H67" s="14"/>
      <c r="I67" s="14"/>
      <c r="J67" s="14"/>
      <c r="K67" s="12"/>
    </row>
    <row r="68" ht="19.5" customHeight="1">
      <c r="A68" s="12"/>
      <c r="C68" s="12"/>
      <c r="D68" s="13"/>
      <c r="F68" s="14"/>
      <c r="G68" s="14"/>
      <c r="H68" s="14"/>
      <c r="I68" s="14"/>
      <c r="J68" s="14"/>
      <c r="K68" s="12"/>
    </row>
    <row r="69" ht="19.5" customHeight="1">
      <c r="A69" s="12"/>
      <c r="C69" s="12"/>
      <c r="D69" s="13"/>
      <c r="F69" s="14"/>
      <c r="G69" s="14"/>
      <c r="H69" s="14"/>
      <c r="I69" s="14"/>
      <c r="J69" s="14"/>
      <c r="K69" s="12"/>
    </row>
    <row r="70" ht="19.5" customHeight="1">
      <c r="A70" s="12"/>
      <c r="C70" s="12"/>
      <c r="D70" s="13"/>
      <c r="F70" s="14"/>
      <c r="G70" s="14"/>
      <c r="H70" s="14"/>
      <c r="I70" s="14"/>
      <c r="J70" s="14"/>
      <c r="K70" s="12"/>
    </row>
    <row r="71" ht="19.5" customHeight="1">
      <c r="A71" s="12"/>
      <c r="C71" s="12"/>
      <c r="D71" s="13"/>
      <c r="F71" s="14"/>
      <c r="G71" s="14"/>
      <c r="H71" s="14"/>
      <c r="I71" s="14"/>
      <c r="J71" s="14"/>
      <c r="K71" s="12"/>
    </row>
    <row r="72" ht="19.5" customHeight="1">
      <c r="A72" s="12"/>
      <c r="C72" s="12"/>
      <c r="D72" s="13"/>
      <c r="F72" s="14"/>
      <c r="G72" s="14"/>
      <c r="H72" s="14"/>
      <c r="I72" s="14"/>
      <c r="J72" s="14"/>
      <c r="K72" s="12"/>
    </row>
    <row r="73" ht="19.5" customHeight="1">
      <c r="A73" s="12"/>
      <c r="C73" s="12"/>
      <c r="D73" s="13"/>
      <c r="F73" s="14"/>
      <c r="G73" s="14"/>
      <c r="H73" s="14"/>
      <c r="I73" s="14"/>
      <c r="J73" s="14"/>
      <c r="K73" s="12"/>
    </row>
    <row r="74" ht="19.5" customHeight="1">
      <c r="A74" s="12"/>
      <c r="C74" s="12"/>
      <c r="D74" s="13"/>
      <c r="F74" s="14"/>
      <c r="G74" s="14"/>
      <c r="H74" s="14"/>
      <c r="I74" s="14"/>
      <c r="J74" s="14"/>
      <c r="K74" s="12"/>
    </row>
    <row r="75" ht="19.5" customHeight="1">
      <c r="A75" s="12"/>
      <c r="C75" s="12"/>
      <c r="D75" s="13"/>
      <c r="F75" s="14"/>
      <c r="G75" s="14"/>
      <c r="H75" s="14"/>
      <c r="I75" s="14"/>
      <c r="J75" s="14"/>
      <c r="K75" s="12"/>
    </row>
    <row r="76" ht="19.5" customHeight="1">
      <c r="A76" s="12"/>
      <c r="C76" s="12"/>
      <c r="D76" s="13"/>
      <c r="F76" s="14"/>
      <c r="G76" s="14"/>
      <c r="H76" s="14"/>
      <c r="I76" s="14"/>
      <c r="J76" s="14"/>
      <c r="K76" s="12"/>
    </row>
    <row r="77" ht="19.5" customHeight="1">
      <c r="A77" s="12"/>
      <c r="C77" s="12"/>
      <c r="D77" s="13"/>
      <c r="F77" s="14"/>
      <c r="G77" s="14"/>
      <c r="H77" s="14"/>
      <c r="I77" s="14"/>
      <c r="J77" s="14"/>
      <c r="K77" s="12"/>
    </row>
    <row r="78" ht="19.5" customHeight="1">
      <c r="A78" s="12"/>
      <c r="C78" s="12"/>
      <c r="D78" s="13"/>
      <c r="F78" s="14"/>
      <c r="G78" s="14"/>
      <c r="H78" s="14"/>
      <c r="I78" s="14"/>
      <c r="J78" s="14"/>
      <c r="K78" s="12"/>
    </row>
    <row r="79" ht="19.5" customHeight="1">
      <c r="A79" s="12"/>
      <c r="C79" s="12"/>
      <c r="D79" s="13"/>
      <c r="F79" s="14"/>
      <c r="G79" s="14"/>
      <c r="H79" s="14"/>
      <c r="I79" s="14"/>
      <c r="J79" s="14"/>
      <c r="K79" s="12"/>
    </row>
    <row r="80" ht="19.5" customHeight="1">
      <c r="A80" s="12"/>
      <c r="C80" s="12"/>
      <c r="D80" s="13"/>
      <c r="F80" s="14"/>
      <c r="G80" s="14"/>
      <c r="H80" s="14"/>
      <c r="I80" s="14"/>
      <c r="J80" s="14"/>
      <c r="K80" s="12"/>
    </row>
    <row r="81" ht="19.5" customHeight="1">
      <c r="A81" s="12"/>
      <c r="C81" s="12"/>
      <c r="D81" s="13"/>
      <c r="F81" s="14"/>
      <c r="G81" s="14"/>
      <c r="H81" s="14"/>
      <c r="I81" s="14"/>
      <c r="J81" s="14"/>
      <c r="K81" s="12"/>
    </row>
    <row r="82" ht="19.5" customHeight="1">
      <c r="A82" s="12"/>
      <c r="C82" s="12"/>
      <c r="D82" s="13"/>
      <c r="F82" s="14"/>
      <c r="G82" s="14"/>
      <c r="H82" s="14"/>
      <c r="I82" s="14"/>
      <c r="J82" s="14"/>
      <c r="K82" s="12"/>
    </row>
    <row r="83" ht="19.5" customHeight="1">
      <c r="A83" s="12"/>
      <c r="C83" s="12"/>
      <c r="D83" s="13"/>
      <c r="F83" s="14"/>
      <c r="G83" s="14"/>
      <c r="H83" s="14"/>
      <c r="I83" s="14"/>
      <c r="J83" s="14"/>
      <c r="K83" s="12"/>
    </row>
    <row r="84" ht="19.5" customHeight="1">
      <c r="A84" s="12"/>
      <c r="C84" s="12"/>
      <c r="D84" s="13"/>
      <c r="F84" s="14"/>
      <c r="G84" s="14"/>
      <c r="H84" s="14"/>
      <c r="I84" s="14"/>
      <c r="J84" s="14"/>
      <c r="K84" s="12"/>
    </row>
    <row r="85" ht="19.5" customHeight="1">
      <c r="A85" s="12"/>
      <c r="C85" s="12"/>
      <c r="D85" s="13"/>
      <c r="F85" s="14"/>
      <c r="G85" s="14"/>
      <c r="H85" s="14"/>
      <c r="I85" s="14"/>
      <c r="J85" s="14"/>
      <c r="K85" s="12"/>
    </row>
    <row r="86" ht="19.5" customHeight="1">
      <c r="A86" s="12"/>
      <c r="C86" s="12"/>
      <c r="D86" s="13"/>
      <c r="F86" s="14"/>
      <c r="G86" s="14"/>
      <c r="H86" s="14"/>
      <c r="I86" s="14"/>
      <c r="J86" s="14"/>
      <c r="K86" s="12"/>
    </row>
    <row r="87" ht="19.5" customHeight="1">
      <c r="A87" s="12"/>
      <c r="C87" s="12"/>
      <c r="D87" s="13"/>
      <c r="F87" s="14"/>
      <c r="G87" s="14"/>
      <c r="H87" s="14"/>
      <c r="I87" s="14"/>
      <c r="J87" s="14"/>
      <c r="K87" s="12"/>
    </row>
    <row r="88" ht="19.5" customHeight="1">
      <c r="A88" s="12"/>
      <c r="C88" s="12"/>
      <c r="D88" s="13"/>
      <c r="F88" s="14"/>
      <c r="G88" s="14"/>
      <c r="H88" s="14"/>
      <c r="I88" s="14"/>
      <c r="J88" s="14"/>
      <c r="K88" s="12"/>
    </row>
    <row r="89" ht="19.5" customHeight="1">
      <c r="A89" s="12"/>
      <c r="C89" s="12"/>
      <c r="D89" s="13"/>
      <c r="F89" s="14"/>
      <c r="G89" s="14"/>
      <c r="H89" s="14"/>
      <c r="I89" s="14"/>
      <c r="J89" s="14"/>
      <c r="K89" s="12"/>
    </row>
    <row r="90" ht="19.5" customHeight="1">
      <c r="A90" s="12"/>
      <c r="C90" s="12"/>
      <c r="D90" s="13"/>
      <c r="F90" s="14"/>
      <c r="G90" s="14"/>
      <c r="H90" s="14"/>
      <c r="I90" s="14"/>
      <c r="J90" s="14"/>
      <c r="K90" s="12"/>
    </row>
    <row r="91" ht="19.5" customHeight="1">
      <c r="A91" s="12"/>
      <c r="C91" s="12"/>
      <c r="D91" s="13"/>
      <c r="F91" s="14"/>
      <c r="G91" s="14"/>
      <c r="H91" s="14"/>
      <c r="I91" s="14"/>
      <c r="J91" s="14"/>
      <c r="K91" s="12"/>
    </row>
    <row r="92" ht="19.5" customHeight="1">
      <c r="A92" s="12"/>
      <c r="C92" s="12"/>
      <c r="D92" s="13"/>
      <c r="F92" s="14"/>
      <c r="G92" s="14"/>
      <c r="H92" s="14"/>
      <c r="I92" s="14"/>
      <c r="J92" s="14"/>
      <c r="K92" s="12"/>
    </row>
    <row r="93" ht="19.5" customHeight="1">
      <c r="A93" s="12"/>
      <c r="C93" s="12"/>
      <c r="D93" s="13"/>
      <c r="F93" s="14"/>
      <c r="G93" s="14"/>
      <c r="H93" s="14"/>
      <c r="I93" s="14"/>
      <c r="J93" s="14"/>
      <c r="K93" s="12"/>
    </row>
    <row r="94" ht="19.5" customHeight="1">
      <c r="A94" s="12"/>
      <c r="C94" s="12"/>
      <c r="D94" s="13"/>
      <c r="F94" s="14"/>
      <c r="G94" s="14"/>
      <c r="H94" s="14"/>
      <c r="I94" s="14"/>
      <c r="J94" s="14"/>
      <c r="K94" s="12"/>
    </row>
    <row r="95" ht="19.5" customHeight="1">
      <c r="A95" s="12"/>
      <c r="C95" s="12"/>
      <c r="D95" s="13"/>
      <c r="F95" s="14"/>
      <c r="G95" s="14"/>
      <c r="H95" s="14"/>
      <c r="I95" s="14"/>
      <c r="J95" s="14"/>
      <c r="K95" s="12"/>
    </row>
    <row r="96" ht="19.5" customHeight="1">
      <c r="A96" s="12"/>
      <c r="C96" s="12"/>
      <c r="D96" s="13"/>
      <c r="F96" s="14"/>
      <c r="G96" s="14"/>
      <c r="H96" s="14"/>
      <c r="I96" s="14"/>
      <c r="J96" s="14"/>
      <c r="K96" s="12"/>
    </row>
    <row r="97" ht="19.5" customHeight="1">
      <c r="A97" s="12"/>
      <c r="C97" s="12"/>
      <c r="D97" s="13"/>
      <c r="F97" s="14"/>
      <c r="G97" s="14"/>
      <c r="H97" s="14"/>
      <c r="I97" s="14"/>
      <c r="J97" s="14"/>
      <c r="K97" s="12"/>
    </row>
    <row r="98" ht="19.5" customHeight="1">
      <c r="A98" s="12"/>
      <c r="C98" s="12"/>
      <c r="D98" s="13"/>
      <c r="F98" s="14"/>
      <c r="G98" s="14"/>
      <c r="H98" s="14"/>
      <c r="I98" s="14"/>
      <c r="J98" s="14"/>
      <c r="K98" s="12"/>
    </row>
    <row r="99" ht="19.5" customHeight="1">
      <c r="A99" s="12"/>
      <c r="C99" s="12"/>
      <c r="D99" s="13"/>
      <c r="F99" s="14"/>
      <c r="G99" s="14"/>
      <c r="H99" s="14"/>
      <c r="I99" s="14"/>
      <c r="J99" s="14"/>
      <c r="K99" s="12"/>
    </row>
    <row r="100" ht="19.5" customHeight="1">
      <c r="A100" s="12"/>
      <c r="C100" s="12"/>
      <c r="D100" s="13"/>
      <c r="F100" s="14"/>
      <c r="G100" s="14"/>
      <c r="H100" s="14"/>
      <c r="I100" s="14"/>
      <c r="J100" s="14"/>
      <c r="K100" s="12"/>
    </row>
    <row r="101" ht="19.5" customHeight="1">
      <c r="A101" s="12"/>
      <c r="C101" s="12"/>
      <c r="D101" s="13"/>
      <c r="F101" s="14"/>
      <c r="G101" s="14"/>
      <c r="H101" s="14"/>
      <c r="I101" s="14"/>
      <c r="J101" s="14"/>
      <c r="K101" s="12"/>
    </row>
    <row r="102" ht="19.5" customHeight="1">
      <c r="A102" s="12"/>
      <c r="C102" s="12"/>
      <c r="D102" s="13"/>
      <c r="F102" s="14"/>
      <c r="G102" s="14"/>
      <c r="H102" s="14"/>
      <c r="I102" s="14"/>
      <c r="J102" s="14"/>
      <c r="K102" s="12"/>
    </row>
    <row r="103" ht="19.5" customHeight="1">
      <c r="A103" s="12"/>
      <c r="C103" s="12"/>
      <c r="D103" s="13"/>
      <c r="F103" s="14"/>
      <c r="G103" s="14"/>
      <c r="H103" s="14"/>
      <c r="I103" s="14"/>
      <c r="J103" s="14"/>
      <c r="K103" s="12"/>
    </row>
    <row r="104" ht="19.5" customHeight="1">
      <c r="A104" s="12"/>
      <c r="C104" s="12"/>
      <c r="D104" s="13"/>
      <c r="F104" s="14"/>
      <c r="G104" s="14"/>
      <c r="H104" s="14"/>
      <c r="I104" s="14"/>
      <c r="J104" s="14"/>
      <c r="K104" s="12"/>
    </row>
    <row r="105" ht="19.5" customHeight="1">
      <c r="A105" s="12"/>
      <c r="C105" s="12"/>
      <c r="D105" s="13"/>
      <c r="F105" s="14"/>
      <c r="G105" s="14"/>
      <c r="H105" s="14"/>
      <c r="I105" s="14"/>
      <c r="J105" s="14"/>
      <c r="K105" s="12"/>
    </row>
    <row r="106" ht="19.5" customHeight="1">
      <c r="A106" s="12"/>
      <c r="C106" s="12"/>
      <c r="D106" s="13"/>
      <c r="F106" s="14"/>
      <c r="G106" s="14"/>
      <c r="H106" s="14"/>
      <c r="I106" s="14"/>
      <c r="J106" s="14"/>
      <c r="K106" s="12"/>
    </row>
    <row r="107" ht="19.5" customHeight="1">
      <c r="A107" s="12"/>
      <c r="C107" s="12"/>
      <c r="D107" s="13"/>
      <c r="F107" s="14"/>
      <c r="G107" s="14"/>
      <c r="H107" s="14"/>
      <c r="I107" s="14"/>
      <c r="J107" s="14"/>
      <c r="K107" s="12"/>
    </row>
    <row r="108" ht="19.5" customHeight="1">
      <c r="A108" s="12"/>
      <c r="C108" s="12"/>
      <c r="D108" s="13"/>
      <c r="F108" s="14"/>
      <c r="G108" s="14"/>
      <c r="H108" s="14"/>
      <c r="I108" s="14"/>
      <c r="J108" s="14"/>
      <c r="K108" s="12"/>
    </row>
    <row r="109" ht="19.5" customHeight="1">
      <c r="A109" s="12"/>
      <c r="C109" s="12"/>
      <c r="D109" s="13"/>
      <c r="F109" s="14"/>
      <c r="G109" s="14"/>
      <c r="H109" s="14"/>
      <c r="I109" s="14"/>
      <c r="J109" s="14"/>
      <c r="K109" s="12"/>
    </row>
    <row r="110" ht="19.5" customHeight="1">
      <c r="A110" s="12"/>
      <c r="C110" s="12"/>
      <c r="D110" s="13"/>
      <c r="F110" s="14"/>
      <c r="G110" s="14"/>
      <c r="H110" s="14"/>
      <c r="I110" s="14"/>
      <c r="J110" s="14"/>
      <c r="K110" s="12"/>
    </row>
    <row r="111" ht="19.5" customHeight="1">
      <c r="A111" s="12"/>
      <c r="C111" s="12"/>
      <c r="D111" s="13"/>
      <c r="F111" s="14"/>
      <c r="G111" s="14"/>
      <c r="H111" s="14"/>
      <c r="I111" s="14"/>
      <c r="J111" s="14"/>
      <c r="K111" s="12"/>
    </row>
    <row r="112" ht="19.5" customHeight="1">
      <c r="A112" s="12"/>
      <c r="C112" s="12"/>
      <c r="D112" s="13"/>
      <c r="F112" s="14"/>
      <c r="G112" s="14"/>
      <c r="H112" s="14"/>
      <c r="I112" s="14"/>
      <c r="J112" s="14"/>
      <c r="K112" s="12"/>
    </row>
    <row r="113" ht="19.5" customHeight="1">
      <c r="A113" s="12"/>
      <c r="C113" s="12"/>
      <c r="D113" s="13"/>
      <c r="F113" s="14"/>
      <c r="G113" s="14"/>
      <c r="H113" s="14"/>
      <c r="I113" s="14"/>
      <c r="J113" s="14"/>
      <c r="K113" s="12"/>
    </row>
    <row r="114" ht="19.5" customHeight="1">
      <c r="A114" s="12"/>
      <c r="C114" s="12"/>
      <c r="D114" s="13"/>
      <c r="F114" s="14"/>
      <c r="G114" s="14"/>
      <c r="H114" s="14"/>
      <c r="I114" s="14"/>
      <c r="J114" s="14"/>
      <c r="K114" s="12"/>
    </row>
    <row r="115" ht="19.5" customHeight="1">
      <c r="A115" s="12"/>
      <c r="C115" s="12"/>
      <c r="D115" s="13"/>
      <c r="F115" s="14"/>
      <c r="G115" s="14"/>
      <c r="H115" s="14"/>
      <c r="I115" s="14"/>
      <c r="J115" s="14"/>
      <c r="K115" s="12"/>
    </row>
    <row r="116" ht="19.5" customHeight="1">
      <c r="A116" s="12"/>
      <c r="C116" s="12"/>
      <c r="D116" s="13"/>
      <c r="F116" s="14"/>
      <c r="G116" s="14"/>
      <c r="H116" s="14"/>
      <c r="I116" s="14"/>
      <c r="J116" s="14"/>
      <c r="K116" s="12"/>
    </row>
    <row r="117" ht="19.5" customHeight="1">
      <c r="A117" s="12"/>
      <c r="C117" s="12"/>
      <c r="D117" s="13"/>
      <c r="F117" s="14"/>
      <c r="G117" s="14"/>
      <c r="H117" s="14"/>
      <c r="I117" s="14"/>
      <c r="J117" s="14"/>
      <c r="K117" s="12"/>
    </row>
    <row r="118" ht="19.5" customHeight="1">
      <c r="A118" s="12"/>
      <c r="C118" s="12"/>
      <c r="D118" s="13"/>
      <c r="F118" s="14"/>
      <c r="G118" s="14"/>
      <c r="H118" s="14"/>
      <c r="I118" s="14"/>
      <c r="J118" s="14"/>
      <c r="K118" s="12"/>
    </row>
    <row r="119" ht="19.5" customHeight="1">
      <c r="A119" s="12"/>
      <c r="C119" s="12"/>
      <c r="D119" s="13"/>
      <c r="F119" s="14"/>
      <c r="G119" s="14"/>
      <c r="H119" s="14"/>
      <c r="I119" s="14"/>
      <c r="J119" s="14"/>
      <c r="K119" s="12"/>
    </row>
    <row r="120" ht="19.5" customHeight="1">
      <c r="A120" s="12"/>
      <c r="C120" s="12"/>
      <c r="D120" s="13"/>
      <c r="F120" s="14"/>
      <c r="G120" s="14"/>
      <c r="H120" s="14"/>
      <c r="I120" s="14"/>
      <c r="J120" s="14"/>
      <c r="K120" s="12"/>
    </row>
    <row r="121" ht="19.5" customHeight="1">
      <c r="A121" s="12"/>
      <c r="C121" s="12"/>
      <c r="D121" s="13"/>
      <c r="F121" s="14"/>
      <c r="G121" s="14"/>
      <c r="H121" s="14"/>
      <c r="I121" s="14"/>
      <c r="J121" s="14"/>
      <c r="K121" s="12"/>
    </row>
    <row r="122" ht="19.5" customHeight="1">
      <c r="A122" s="12"/>
      <c r="C122" s="12"/>
      <c r="D122" s="13"/>
      <c r="F122" s="14"/>
      <c r="G122" s="14"/>
      <c r="H122" s="14"/>
      <c r="I122" s="14"/>
      <c r="J122" s="14"/>
      <c r="K122" s="12"/>
    </row>
    <row r="123" ht="19.5" customHeight="1">
      <c r="A123" s="12"/>
      <c r="C123" s="12"/>
      <c r="D123" s="13"/>
      <c r="F123" s="14"/>
      <c r="G123" s="14"/>
      <c r="H123" s="14"/>
      <c r="I123" s="14"/>
      <c r="J123" s="14"/>
      <c r="K123" s="12"/>
    </row>
    <row r="124" ht="19.5" customHeight="1">
      <c r="A124" s="12"/>
      <c r="C124" s="12"/>
      <c r="D124" s="13"/>
      <c r="F124" s="14"/>
      <c r="G124" s="14"/>
      <c r="H124" s="14"/>
      <c r="I124" s="14"/>
      <c r="J124" s="14"/>
      <c r="K124" s="12"/>
    </row>
    <row r="125" ht="19.5" customHeight="1">
      <c r="A125" s="12"/>
      <c r="C125" s="12"/>
      <c r="D125" s="13"/>
      <c r="F125" s="14"/>
      <c r="G125" s="14"/>
      <c r="H125" s="14"/>
      <c r="I125" s="14"/>
      <c r="J125" s="14"/>
      <c r="K125" s="12"/>
    </row>
    <row r="126" ht="19.5" customHeight="1">
      <c r="A126" s="12"/>
      <c r="C126" s="12"/>
      <c r="D126" s="13"/>
      <c r="F126" s="14"/>
      <c r="G126" s="14"/>
      <c r="H126" s="14"/>
      <c r="I126" s="14"/>
      <c r="J126" s="14"/>
      <c r="K126" s="12"/>
    </row>
    <row r="127" ht="19.5" customHeight="1">
      <c r="A127" s="12"/>
      <c r="C127" s="12"/>
      <c r="D127" s="13"/>
      <c r="F127" s="14"/>
      <c r="G127" s="14"/>
      <c r="H127" s="14"/>
      <c r="I127" s="14"/>
      <c r="J127" s="14"/>
      <c r="K127" s="12"/>
    </row>
    <row r="128" ht="19.5" customHeight="1">
      <c r="A128" s="12"/>
      <c r="C128" s="12"/>
      <c r="D128" s="13"/>
      <c r="F128" s="14"/>
      <c r="G128" s="14"/>
      <c r="H128" s="14"/>
      <c r="I128" s="14"/>
      <c r="J128" s="14"/>
      <c r="K128" s="12"/>
    </row>
    <row r="129" ht="19.5" customHeight="1">
      <c r="A129" s="12"/>
      <c r="C129" s="12"/>
      <c r="D129" s="13"/>
      <c r="F129" s="14"/>
      <c r="G129" s="14"/>
      <c r="H129" s="14"/>
      <c r="I129" s="14"/>
      <c r="J129" s="14"/>
      <c r="K129" s="12"/>
    </row>
    <row r="130" ht="19.5" customHeight="1">
      <c r="A130" s="12"/>
      <c r="C130" s="12"/>
      <c r="D130" s="13"/>
      <c r="F130" s="14"/>
      <c r="G130" s="14"/>
      <c r="H130" s="14"/>
      <c r="I130" s="14"/>
      <c r="J130" s="14"/>
      <c r="K130" s="12"/>
    </row>
    <row r="131" ht="19.5" customHeight="1">
      <c r="A131" s="12"/>
      <c r="C131" s="12"/>
      <c r="D131" s="13"/>
      <c r="F131" s="14"/>
      <c r="G131" s="14"/>
      <c r="H131" s="14"/>
      <c r="I131" s="14"/>
      <c r="J131" s="14"/>
      <c r="K131" s="12"/>
    </row>
    <row r="132" ht="19.5" customHeight="1">
      <c r="A132" s="12"/>
      <c r="C132" s="12"/>
      <c r="D132" s="13"/>
      <c r="F132" s="14"/>
      <c r="G132" s="14"/>
      <c r="H132" s="14"/>
      <c r="I132" s="14"/>
      <c r="J132" s="14"/>
      <c r="K132" s="12"/>
    </row>
    <row r="133" ht="19.5" customHeight="1">
      <c r="A133" s="12"/>
      <c r="C133" s="12"/>
      <c r="D133" s="13"/>
      <c r="F133" s="14"/>
      <c r="G133" s="14"/>
      <c r="H133" s="14"/>
      <c r="I133" s="14"/>
      <c r="J133" s="14"/>
      <c r="K133" s="12"/>
    </row>
    <row r="134" ht="19.5" customHeight="1">
      <c r="A134" s="12"/>
      <c r="C134" s="12"/>
      <c r="D134" s="13"/>
      <c r="F134" s="14"/>
      <c r="G134" s="14"/>
      <c r="H134" s="14"/>
      <c r="I134" s="14"/>
      <c r="J134" s="14"/>
      <c r="K134" s="12"/>
    </row>
    <row r="135" ht="19.5" customHeight="1">
      <c r="A135" s="12"/>
      <c r="C135" s="12"/>
      <c r="D135" s="13"/>
      <c r="F135" s="14"/>
      <c r="G135" s="14"/>
      <c r="H135" s="14"/>
      <c r="I135" s="14"/>
      <c r="J135" s="14"/>
      <c r="K135" s="12"/>
    </row>
    <row r="136" ht="19.5" customHeight="1">
      <c r="A136" s="12"/>
      <c r="C136" s="12"/>
      <c r="D136" s="13"/>
      <c r="F136" s="14"/>
      <c r="G136" s="14"/>
      <c r="H136" s="14"/>
      <c r="I136" s="14"/>
      <c r="J136" s="14"/>
      <c r="K136" s="12"/>
    </row>
    <row r="137" ht="19.5" customHeight="1">
      <c r="A137" s="12"/>
      <c r="C137" s="12"/>
      <c r="D137" s="13"/>
      <c r="F137" s="14"/>
      <c r="G137" s="14"/>
      <c r="H137" s="14"/>
      <c r="I137" s="14"/>
      <c r="J137" s="14"/>
      <c r="K137" s="12"/>
    </row>
    <row r="138" ht="19.5" customHeight="1">
      <c r="A138" s="12"/>
      <c r="C138" s="12"/>
      <c r="D138" s="13"/>
      <c r="F138" s="14"/>
      <c r="G138" s="14"/>
      <c r="H138" s="14"/>
      <c r="I138" s="14"/>
      <c r="J138" s="14"/>
      <c r="K138" s="12"/>
    </row>
    <row r="139" ht="19.5" customHeight="1">
      <c r="A139" s="12"/>
      <c r="C139" s="12"/>
      <c r="D139" s="13"/>
      <c r="F139" s="14"/>
      <c r="G139" s="14"/>
      <c r="H139" s="14"/>
      <c r="I139" s="14"/>
      <c r="J139" s="14"/>
      <c r="K139" s="12"/>
    </row>
    <row r="140" ht="19.5" customHeight="1">
      <c r="A140" s="12"/>
      <c r="C140" s="12"/>
      <c r="D140" s="13"/>
      <c r="F140" s="14"/>
      <c r="G140" s="14"/>
      <c r="H140" s="14"/>
      <c r="I140" s="14"/>
      <c r="J140" s="14"/>
      <c r="K140" s="12"/>
    </row>
    <row r="141" ht="19.5" customHeight="1">
      <c r="A141" s="12"/>
      <c r="C141" s="12"/>
      <c r="D141" s="13"/>
      <c r="F141" s="14"/>
      <c r="G141" s="14"/>
      <c r="H141" s="14"/>
      <c r="I141" s="14"/>
      <c r="J141" s="14"/>
      <c r="K141" s="12"/>
    </row>
    <row r="142" ht="19.5" customHeight="1">
      <c r="A142" s="12"/>
      <c r="C142" s="12"/>
      <c r="D142" s="13"/>
      <c r="F142" s="14"/>
      <c r="G142" s="14"/>
      <c r="H142" s="14"/>
      <c r="I142" s="14"/>
      <c r="J142" s="14"/>
      <c r="K142" s="12"/>
    </row>
    <row r="143" ht="19.5" customHeight="1">
      <c r="A143" s="12"/>
      <c r="C143" s="12"/>
      <c r="D143" s="13"/>
      <c r="F143" s="14"/>
      <c r="G143" s="14"/>
      <c r="H143" s="14"/>
      <c r="I143" s="14"/>
      <c r="J143" s="14"/>
      <c r="K143" s="12"/>
    </row>
    <row r="144" ht="19.5" customHeight="1">
      <c r="A144" s="12"/>
      <c r="C144" s="12"/>
      <c r="D144" s="13"/>
      <c r="F144" s="14"/>
      <c r="G144" s="14"/>
      <c r="H144" s="14"/>
      <c r="I144" s="14"/>
      <c r="J144" s="14"/>
      <c r="K144" s="12"/>
    </row>
    <row r="145" ht="19.5" customHeight="1">
      <c r="A145" s="12"/>
      <c r="C145" s="12"/>
      <c r="D145" s="13"/>
      <c r="F145" s="14"/>
      <c r="G145" s="14"/>
      <c r="H145" s="14"/>
      <c r="I145" s="14"/>
      <c r="J145" s="14"/>
      <c r="K145" s="12"/>
    </row>
    <row r="146" ht="19.5" customHeight="1">
      <c r="A146" s="12"/>
      <c r="C146" s="12"/>
      <c r="D146" s="13"/>
      <c r="F146" s="14"/>
      <c r="G146" s="14"/>
      <c r="H146" s="14"/>
      <c r="I146" s="14"/>
      <c r="J146" s="14"/>
      <c r="K146" s="12"/>
    </row>
    <row r="147" ht="19.5" customHeight="1">
      <c r="A147" s="12"/>
      <c r="C147" s="12"/>
      <c r="D147" s="13"/>
      <c r="F147" s="14"/>
      <c r="G147" s="14"/>
      <c r="H147" s="14"/>
      <c r="I147" s="14"/>
      <c r="J147" s="14"/>
      <c r="K147" s="12"/>
    </row>
    <row r="148" ht="19.5" customHeight="1">
      <c r="A148" s="12"/>
      <c r="C148" s="12"/>
      <c r="D148" s="13"/>
      <c r="F148" s="14"/>
      <c r="G148" s="14"/>
      <c r="H148" s="14"/>
      <c r="I148" s="14"/>
      <c r="J148" s="14"/>
      <c r="K148" s="12"/>
    </row>
    <row r="149" ht="19.5" customHeight="1">
      <c r="A149" s="12"/>
      <c r="C149" s="12"/>
      <c r="D149" s="13"/>
      <c r="F149" s="14"/>
      <c r="G149" s="14"/>
      <c r="H149" s="14"/>
      <c r="I149" s="14"/>
      <c r="J149" s="14"/>
      <c r="K149" s="12"/>
    </row>
    <row r="150" ht="19.5" customHeight="1">
      <c r="A150" s="12"/>
      <c r="C150" s="12"/>
      <c r="D150" s="13"/>
      <c r="F150" s="14"/>
      <c r="G150" s="14"/>
      <c r="H150" s="14"/>
      <c r="I150" s="14"/>
      <c r="J150" s="14"/>
      <c r="K150" s="12"/>
    </row>
    <row r="151" ht="19.5" customHeight="1">
      <c r="A151" s="12"/>
      <c r="C151" s="12"/>
      <c r="D151" s="13"/>
      <c r="F151" s="14"/>
      <c r="G151" s="14"/>
      <c r="H151" s="14"/>
      <c r="I151" s="14"/>
      <c r="J151" s="14"/>
      <c r="K151" s="12"/>
    </row>
    <row r="152" ht="19.5" customHeight="1">
      <c r="A152" s="12"/>
      <c r="C152" s="12"/>
      <c r="D152" s="13"/>
      <c r="F152" s="14"/>
      <c r="G152" s="14"/>
      <c r="H152" s="14"/>
      <c r="I152" s="14"/>
      <c r="J152" s="14"/>
      <c r="K152" s="12"/>
    </row>
    <row r="153" ht="19.5" customHeight="1">
      <c r="A153" s="12"/>
      <c r="C153" s="12"/>
      <c r="D153" s="13"/>
      <c r="F153" s="14"/>
      <c r="G153" s="14"/>
      <c r="H153" s="14"/>
      <c r="I153" s="14"/>
      <c r="J153" s="14"/>
      <c r="K153" s="12"/>
    </row>
    <row r="154" ht="19.5" customHeight="1">
      <c r="A154" s="12"/>
      <c r="C154" s="12"/>
      <c r="D154" s="13"/>
      <c r="F154" s="14"/>
      <c r="G154" s="14"/>
      <c r="H154" s="14"/>
      <c r="I154" s="14"/>
      <c r="J154" s="14"/>
      <c r="K154" s="12"/>
    </row>
    <row r="155" ht="19.5" customHeight="1">
      <c r="A155" s="12"/>
      <c r="C155" s="12"/>
      <c r="D155" s="13"/>
      <c r="F155" s="14"/>
      <c r="G155" s="14"/>
      <c r="H155" s="14"/>
      <c r="I155" s="14"/>
      <c r="J155" s="14"/>
      <c r="K155" s="12"/>
    </row>
    <row r="156" ht="19.5" customHeight="1">
      <c r="A156" s="12"/>
      <c r="C156" s="12"/>
      <c r="D156" s="13"/>
      <c r="F156" s="14"/>
      <c r="G156" s="14"/>
      <c r="H156" s="14"/>
      <c r="I156" s="14"/>
      <c r="J156" s="14"/>
      <c r="K156" s="12"/>
    </row>
    <row r="157" ht="19.5" customHeight="1">
      <c r="A157" s="12"/>
      <c r="C157" s="12"/>
      <c r="D157" s="13"/>
      <c r="F157" s="14"/>
      <c r="G157" s="14"/>
      <c r="H157" s="14"/>
      <c r="I157" s="14"/>
      <c r="J157" s="14"/>
      <c r="K157" s="12"/>
    </row>
    <row r="158" ht="19.5" customHeight="1">
      <c r="A158" s="12"/>
      <c r="C158" s="12"/>
      <c r="D158" s="13"/>
      <c r="F158" s="14"/>
      <c r="G158" s="14"/>
      <c r="H158" s="14"/>
      <c r="I158" s="14"/>
      <c r="J158" s="14"/>
      <c r="K158" s="12"/>
    </row>
    <row r="159" ht="19.5" customHeight="1">
      <c r="A159" s="12"/>
      <c r="C159" s="12"/>
      <c r="D159" s="13"/>
      <c r="F159" s="14"/>
      <c r="G159" s="14"/>
      <c r="H159" s="14"/>
      <c r="I159" s="14"/>
      <c r="J159" s="14"/>
      <c r="K159" s="12"/>
    </row>
    <row r="160" ht="19.5" customHeight="1">
      <c r="A160" s="12"/>
      <c r="C160" s="12"/>
      <c r="D160" s="13"/>
      <c r="F160" s="14"/>
      <c r="G160" s="14"/>
      <c r="H160" s="14"/>
      <c r="I160" s="14"/>
      <c r="J160" s="14"/>
      <c r="K160" s="12"/>
    </row>
    <row r="161" ht="19.5" customHeight="1">
      <c r="A161" s="12"/>
      <c r="C161" s="12"/>
      <c r="D161" s="13"/>
      <c r="F161" s="14"/>
      <c r="G161" s="14"/>
      <c r="H161" s="14"/>
      <c r="I161" s="14"/>
      <c r="J161" s="14"/>
      <c r="K161" s="12"/>
    </row>
    <row r="162" ht="19.5" customHeight="1">
      <c r="A162" s="12"/>
      <c r="C162" s="12"/>
      <c r="D162" s="13"/>
      <c r="F162" s="14"/>
      <c r="G162" s="14"/>
      <c r="H162" s="14"/>
      <c r="I162" s="14"/>
      <c r="J162" s="14"/>
      <c r="K162" s="12"/>
    </row>
    <row r="163" ht="19.5" customHeight="1">
      <c r="A163" s="12"/>
      <c r="C163" s="12"/>
      <c r="D163" s="13"/>
      <c r="F163" s="14"/>
      <c r="G163" s="14"/>
      <c r="H163" s="14"/>
      <c r="I163" s="14"/>
      <c r="J163" s="14"/>
      <c r="K163" s="12"/>
    </row>
    <row r="164" ht="19.5" customHeight="1">
      <c r="A164" s="12"/>
      <c r="C164" s="12"/>
      <c r="D164" s="13"/>
      <c r="F164" s="14"/>
      <c r="G164" s="14"/>
      <c r="H164" s="14"/>
      <c r="I164" s="14"/>
      <c r="J164" s="14"/>
      <c r="K164" s="12"/>
    </row>
    <row r="165" ht="19.5" customHeight="1">
      <c r="A165" s="12"/>
      <c r="C165" s="12"/>
      <c r="D165" s="13"/>
      <c r="F165" s="14"/>
      <c r="G165" s="14"/>
      <c r="H165" s="14"/>
      <c r="I165" s="14"/>
      <c r="J165" s="14"/>
      <c r="K165" s="12"/>
    </row>
    <row r="166" ht="19.5" customHeight="1">
      <c r="A166" s="12"/>
      <c r="C166" s="12"/>
      <c r="D166" s="13"/>
      <c r="F166" s="14"/>
      <c r="G166" s="14"/>
      <c r="H166" s="14"/>
      <c r="I166" s="14"/>
      <c r="J166" s="14"/>
      <c r="K166" s="12"/>
    </row>
    <row r="167" ht="19.5" customHeight="1">
      <c r="A167" s="12"/>
      <c r="C167" s="12"/>
      <c r="D167" s="13"/>
      <c r="F167" s="14"/>
      <c r="G167" s="14"/>
      <c r="H167" s="14"/>
      <c r="I167" s="14"/>
      <c r="J167" s="14"/>
      <c r="K167" s="12"/>
    </row>
    <row r="168" ht="19.5" customHeight="1">
      <c r="A168" s="12"/>
      <c r="C168" s="12"/>
      <c r="D168" s="13"/>
      <c r="F168" s="14"/>
      <c r="G168" s="14"/>
      <c r="H168" s="14"/>
      <c r="I168" s="14"/>
      <c r="J168" s="14"/>
      <c r="K168" s="12"/>
    </row>
    <row r="169" ht="19.5" customHeight="1">
      <c r="A169" s="12"/>
      <c r="C169" s="12"/>
      <c r="D169" s="13"/>
      <c r="F169" s="14"/>
      <c r="G169" s="14"/>
      <c r="H169" s="14"/>
      <c r="I169" s="14"/>
      <c r="J169" s="14"/>
      <c r="K169" s="12"/>
    </row>
    <row r="170" ht="19.5" customHeight="1">
      <c r="A170" s="12"/>
      <c r="C170" s="12"/>
      <c r="D170" s="13"/>
      <c r="F170" s="14"/>
      <c r="G170" s="14"/>
      <c r="H170" s="14"/>
      <c r="I170" s="14"/>
      <c r="J170" s="14"/>
      <c r="K170" s="12"/>
    </row>
    <row r="171" ht="19.5" customHeight="1">
      <c r="A171" s="12"/>
      <c r="C171" s="12"/>
      <c r="D171" s="13"/>
      <c r="F171" s="14"/>
      <c r="G171" s="14"/>
      <c r="H171" s="14"/>
      <c r="I171" s="14"/>
      <c r="J171" s="14"/>
      <c r="K171" s="12"/>
    </row>
    <row r="172" ht="19.5" customHeight="1">
      <c r="A172" s="12"/>
      <c r="C172" s="12"/>
      <c r="D172" s="13"/>
      <c r="F172" s="14"/>
      <c r="G172" s="14"/>
      <c r="H172" s="14"/>
      <c r="I172" s="14"/>
      <c r="J172" s="14"/>
      <c r="K172" s="12"/>
    </row>
    <row r="173" ht="19.5" customHeight="1">
      <c r="A173" s="12"/>
      <c r="C173" s="12"/>
      <c r="D173" s="13"/>
      <c r="F173" s="14"/>
      <c r="G173" s="14"/>
      <c r="H173" s="14"/>
      <c r="I173" s="14"/>
      <c r="J173" s="14"/>
      <c r="K173" s="12"/>
    </row>
    <row r="174" ht="19.5" customHeight="1">
      <c r="A174" s="12"/>
      <c r="C174" s="12"/>
      <c r="D174" s="13"/>
      <c r="F174" s="14"/>
      <c r="G174" s="14"/>
      <c r="H174" s="14"/>
      <c r="I174" s="14"/>
      <c r="J174" s="14"/>
      <c r="K174" s="12"/>
    </row>
    <row r="175" ht="19.5" customHeight="1">
      <c r="A175" s="12"/>
      <c r="C175" s="12"/>
      <c r="D175" s="13"/>
      <c r="F175" s="14"/>
      <c r="G175" s="14"/>
      <c r="H175" s="14"/>
      <c r="I175" s="14"/>
      <c r="J175" s="14"/>
      <c r="K175" s="12"/>
    </row>
    <row r="176" ht="19.5" customHeight="1">
      <c r="A176" s="12"/>
      <c r="C176" s="12"/>
      <c r="D176" s="13"/>
      <c r="F176" s="14"/>
      <c r="G176" s="14"/>
      <c r="H176" s="14"/>
      <c r="I176" s="14"/>
      <c r="J176" s="14"/>
      <c r="K176" s="12"/>
    </row>
    <row r="177" ht="19.5" customHeight="1">
      <c r="A177" s="12"/>
      <c r="C177" s="12"/>
      <c r="D177" s="13"/>
      <c r="F177" s="14"/>
      <c r="G177" s="14"/>
      <c r="H177" s="14"/>
      <c r="I177" s="14"/>
      <c r="J177" s="14"/>
      <c r="K177" s="12"/>
    </row>
    <row r="178" ht="19.5" customHeight="1">
      <c r="A178" s="12"/>
      <c r="C178" s="12"/>
      <c r="D178" s="13"/>
      <c r="F178" s="14"/>
      <c r="G178" s="14"/>
      <c r="H178" s="14"/>
      <c r="I178" s="14"/>
      <c r="J178" s="14"/>
      <c r="K178" s="12"/>
    </row>
    <row r="179" ht="19.5" customHeight="1">
      <c r="A179" s="12"/>
      <c r="C179" s="12"/>
      <c r="D179" s="13"/>
      <c r="F179" s="14"/>
      <c r="G179" s="14"/>
      <c r="H179" s="14"/>
      <c r="I179" s="14"/>
      <c r="J179" s="14"/>
      <c r="K179" s="12"/>
    </row>
    <row r="180" ht="19.5" customHeight="1">
      <c r="A180" s="12"/>
      <c r="C180" s="12"/>
      <c r="D180" s="13"/>
      <c r="F180" s="14"/>
      <c r="G180" s="14"/>
      <c r="H180" s="14"/>
      <c r="I180" s="14"/>
      <c r="J180" s="14"/>
      <c r="K180" s="12"/>
    </row>
    <row r="181" ht="19.5" customHeight="1">
      <c r="A181" s="12"/>
      <c r="C181" s="12"/>
      <c r="D181" s="13"/>
      <c r="F181" s="14"/>
      <c r="G181" s="14"/>
      <c r="H181" s="14"/>
      <c r="I181" s="14"/>
      <c r="J181" s="14"/>
      <c r="K181" s="12"/>
    </row>
    <row r="182" ht="19.5" customHeight="1">
      <c r="A182" s="12"/>
      <c r="C182" s="12"/>
      <c r="D182" s="13"/>
      <c r="F182" s="14"/>
      <c r="G182" s="14"/>
      <c r="H182" s="14"/>
      <c r="I182" s="14"/>
      <c r="J182" s="14"/>
      <c r="K182" s="12"/>
    </row>
    <row r="183" ht="19.5" customHeight="1">
      <c r="A183" s="12"/>
      <c r="C183" s="12"/>
      <c r="D183" s="13"/>
      <c r="F183" s="14"/>
      <c r="G183" s="14"/>
      <c r="H183" s="14"/>
      <c r="I183" s="14"/>
      <c r="J183" s="14"/>
      <c r="K183" s="12"/>
    </row>
    <row r="184" ht="19.5" customHeight="1">
      <c r="A184" s="12"/>
      <c r="C184" s="12"/>
      <c r="D184" s="13"/>
      <c r="F184" s="14"/>
      <c r="G184" s="14"/>
      <c r="H184" s="14"/>
      <c r="I184" s="14"/>
      <c r="J184" s="14"/>
      <c r="K184" s="12"/>
    </row>
    <row r="185" ht="19.5" customHeight="1">
      <c r="A185" s="12"/>
      <c r="C185" s="12"/>
      <c r="D185" s="13"/>
      <c r="F185" s="14"/>
      <c r="G185" s="14"/>
      <c r="H185" s="14"/>
      <c r="I185" s="14"/>
      <c r="J185" s="14"/>
      <c r="K185" s="12"/>
    </row>
    <row r="186" ht="19.5" customHeight="1">
      <c r="A186" s="12"/>
      <c r="C186" s="12"/>
      <c r="D186" s="13"/>
      <c r="F186" s="14"/>
      <c r="G186" s="14"/>
      <c r="H186" s="14"/>
      <c r="I186" s="14"/>
      <c r="J186" s="14"/>
      <c r="K186" s="12"/>
    </row>
    <row r="187" ht="19.5" customHeight="1">
      <c r="A187" s="12"/>
      <c r="C187" s="12"/>
      <c r="D187" s="13"/>
      <c r="F187" s="14"/>
      <c r="G187" s="14"/>
      <c r="H187" s="14"/>
      <c r="I187" s="14"/>
      <c r="J187" s="14"/>
      <c r="K187" s="12"/>
    </row>
    <row r="188" ht="19.5" customHeight="1">
      <c r="A188" s="12"/>
      <c r="C188" s="12"/>
      <c r="D188" s="13"/>
      <c r="F188" s="14"/>
      <c r="G188" s="14"/>
      <c r="H188" s="14"/>
      <c r="I188" s="14"/>
      <c r="J188" s="14"/>
      <c r="K188" s="12"/>
    </row>
    <row r="189" ht="19.5" customHeight="1">
      <c r="A189" s="12"/>
      <c r="C189" s="12"/>
      <c r="D189" s="13"/>
      <c r="F189" s="14"/>
      <c r="G189" s="14"/>
      <c r="H189" s="14"/>
      <c r="I189" s="14"/>
      <c r="J189" s="14"/>
      <c r="K189" s="12"/>
    </row>
    <row r="190" ht="19.5" customHeight="1">
      <c r="A190" s="12"/>
      <c r="C190" s="12"/>
      <c r="D190" s="13"/>
      <c r="F190" s="14"/>
      <c r="G190" s="14"/>
      <c r="H190" s="14"/>
      <c r="I190" s="14"/>
      <c r="J190" s="14"/>
      <c r="K190" s="12"/>
    </row>
    <row r="191" ht="19.5" customHeight="1">
      <c r="A191" s="12"/>
      <c r="C191" s="12"/>
      <c r="D191" s="13"/>
      <c r="F191" s="14"/>
      <c r="G191" s="14"/>
      <c r="H191" s="14"/>
      <c r="I191" s="14"/>
      <c r="J191" s="14"/>
      <c r="K191" s="12"/>
    </row>
    <row r="192" ht="19.5" customHeight="1">
      <c r="A192" s="12"/>
      <c r="C192" s="12"/>
      <c r="D192" s="13"/>
      <c r="F192" s="14"/>
      <c r="G192" s="14"/>
      <c r="H192" s="14"/>
      <c r="I192" s="14"/>
      <c r="J192" s="14"/>
      <c r="K192" s="12"/>
    </row>
    <row r="193" ht="19.5" customHeight="1">
      <c r="A193" s="12"/>
      <c r="C193" s="12"/>
      <c r="D193" s="13"/>
      <c r="F193" s="14"/>
      <c r="G193" s="14"/>
      <c r="H193" s="14"/>
      <c r="I193" s="14"/>
      <c r="J193" s="14"/>
      <c r="K193" s="12"/>
    </row>
    <row r="194" ht="19.5" customHeight="1">
      <c r="A194" s="12"/>
      <c r="C194" s="12"/>
      <c r="D194" s="13"/>
      <c r="F194" s="14"/>
      <c r="G194" s="14"/>
      <c r="H194" s="14"/>
      <c r="I194" s="14"/>
      <c r="J194" s="14"/>
      <c r="K194" s="12"/>
    </row>
    <row r="195" ht="19.5" customHeight="1">
      <c r="A195" s="12"/>
      <c r="C195" s="12"/>
      <c r="D195" s="13"/>
      <c r="F195" s="14"/>
      <c r="G195" s="14"/>
      <c r="H195" s="14"/>
      <c r="I195" s="14"/>
      <c r="J195" s="14"/>
      <c r="K195" s="12"/>
    </row>
    <row r="196" ht="19.5" customHeight="1">
      <c r="A196" s="12"/>
      <c r="C196" s="12"/>
      <c r="D196" s="13"/>
      <c r="F196" s="14"/>
      <c r="G196" s="14"/>
      <c r="H196" s="14"/>
      <c r="I196" s="14"/>
      <c r="J196" s="14"/>
      <c r="K196" s="12"/>
    </row>
    <row r="197" ht="19.5" customHeight="1">
      <c r="A197" s="12"/>
      <c r="C197" s="12"/>
      <c r="D197" s="13"/>
      <c r="F197" s="14"/>
      <c r="G197" s="14"/>
      <c r="H197" s="14"/>
      <c r="I197" s="14"/>
      <c r="J197" s="14"/>
      <c r="K197" s="12"/>
    </row>
    <row r="198" ht="19.5" customHeight="1">
      <c r="A198" s="12"/>
      <c r="C198" s="12"/>
      <c r="D198" s="13"/>
      <c r="F198" s="14"/>
      <c r="G198" s="14"/>
      <c r="H198" s="14"/>
      <c r="I198" s="14"/>
      <c r="J198" s="14"/>
      <c r="K198" s="12"/>
    </row>
    <row r="199" ht="19.5" customHeight="1">
      <c r="A199" s="12"/>
      <c r="C199" s="12"/>
      <c r="D199" s="13"/>
      <c r="F199" s="14"/>
      <c r="G199" s="14"/>
      <c r="H199" s="14"/>
      <c r="I199" s="14"/>
      <c r="J199" s="14"/>
      <c r="K199" s="12"/>
    </row>
    <row r="200" ht="19.5" customHeight="1">
      <c r="A200" s="12"/>
      <c r="C200" s="12"/>
      <c r="D200" s="13"/>
      <c r="F200" s="14"/>
      <c r="G200" s="14"/>
      <c r="H200" s="14"/>
      <c r="I200" s="14"/>
      <c r="J200" s="14"/>
      <c r="K200" s="12"/>
    </row>
    <row r="201" ht="19.5" customHeight="1">
      <c r="A201" s="12"/>
      <c r="C201" s="12"/>
      <c r="D201" s="13"/>
      <c r="F201" s="14"/>
      <c r="G201" s="14"/>
      <c r="H201" s="14"/>
      <c r="I201" s="14"/>
      <c r="J201" s="14"/>
      <c r="K201" s="12"/>
    </row>
    <row r="202" ht="19.5" customHeight="1">
      <c r="A202" s="12"/>
      <c r="C202" s="12"/>
      <c r="D202" s="13"/>
      <c r="F202" s="14"/>
      <c r="G202" s="14"/>
      <c r="H202" s="14"/>
      <c r="I202" s="14"/>
      <c r="J202" s="14"/>
      <c r="K202" s="12"/>
    </row>
    <row r="203" ht="19.5" customHeight="1">
      <c r="A203" s="12"/>
      <c r="C203" s="12"/>
      <c r="D203" s="13"/>
      <c r="F203" s="14"/>
      <c r="G203" s="14"/>
      <c r="H203" s="14"/>
      <c r="I203" s="14"/>
      <c r="J203" s="14"/>
      <c r="K203" s="12"/>
    </row>
    <row r="204" ht="19.5" customHeight="1">
      <c r="A204" s="12"/>
      <c r="C204" s="12"/>
      <c r="D204" s="13"/>
      <c r="F204" s="14"/>
      <c r="G204" s="14"/>
      <c r="H204" s="14"/>
      <c r="I204" s="14"/>
      <c r="J204" s="14"/>
      <c r="K204" s="12"/>
    </row>
    <row r="205" ht="19.5" customHeight="1">
      <c r="A205" s="12"/>
      <c r="C205" s="12"/>
      <c r="D205" s="13"/>
      <c r="F205" s="14"/>
      <c r="G205" s="14"/>
      <c r="H205" s="14"/>
      <c r="I205" s="14"/>
      <c r="J205" s="14"/>
      <c r="K205" s="12"/>
    </row>
    <row r="206" ht="19.5" customHeight="1">
      <c r="A206" s="12"/>
      <c r="C206" s="12"/>
      <c r="D206" s="13"/>
      <c r="F206" s="14"/>
      <c r="G206" s="14"/>
      <c r="H206" s="14"/>
      <c r="I206" s="14"/>
      <c r="J206" s="14"/>
      <c r="K206" s="12"/>
    </row>
    <row r="207" ht="19.5" customHeight="1">
      <c r="A207" s="12"/>
      <c r="C207" s="12"/>
      <c r="D207" s="13"/>
      <c r="F207" s="14"/>
      <c r="G207" s="14"/>
      <c r="H207" s="14"/>
      <c r="I207" s="14"/>
      <c r="J207" s="14"/>
      <c r="K207" s="12"/>
    </row>
    <row r="208" ht="19.5" customHeight="1">
      <c r="A208" s="12"/>
      <c r="C208" s="12"/>
      <c r="D208" s="13"/>
      <c r="F208" s="14"/>
      <c r="G208" s="14"/>
      <c r="H208" s="14"/>
      <c r="I208" s="14"/>
      <c r="J208" s="14"/>
      <c r="K208" s="12"/>
    </row>
    <row r="209" ht="19.5" customHeight="1">
      <c r="A209" s="12"/>
      <c r="C209" s="12"/>
      <c r="D209" s="13"/>
      <c r="F209" s="14"/>
      <c r="G209" s="14"/>
      <c r="H209" s="14"/>
      <c r="I209" s="14"/>
      <c r="J209" s="14"/>
      <c r="K209" s="12"/>
    </row>
    <row r="210" ht="19.5" customHeight="1">
      <c r="A210" s="12"/>
      <c r="C210" s="12"/>
      <c r="D210" s="13"/>
      <c r="F210" s="14"/>
      <c r="G210" s="14"/>
      <c r="H210" s="14"/>
      <c r="I210" s="14"/>
      <c r="J210" s="14"/>
      <c r="K210" s="12"/>
    </row>
    <row r="211" ht="19.5" customHeight="1">
      <c r="A211" s="12"/>
      <c r="C211" s="12"/>
      <c r="D211" s="13"/>
      <c r="F211" s="14"/>
      <c r="G211" s="14"/>
      <c r="H211" s="14"/>
      <c r="I211" s="14"/>
      <c r="J211" s="14"/>
      <c r="K211" s="12"/>
    </row>
    <row r="212" ht="19.5" customHeight="1">
      <c r="A212" s="12"/>
      <c r="C212" s="12"/>
      <c r="D212" s="13"/>
      <c r="F212" s="14"/>
      <c r="G212" s="14"/>
      <c r="H212" s="14"/>
      <c r="I212" s="14"/>
      <c r="J212" s="14"/>
      <c r="K212" s="12"/>
    </row>
    <row r="213" ht="19.5" customHeight="1">
      <c r="A213" s="12"/>
      <c r="C213" s="12"/>
      <c r="D213" s="13"/>
      <c r="F213" s="14"/>
      <c r="G213" s="14"/>
      <c r="H213" s="14"/>
      <c r="I213" s="14"/>
      <c r="J213" s="14"/>
      <c r="K213" s="12"/>
    </row>
    <row r="214" ht="19.5" customHeight="1">
      <c r="A214" s="12"/>
      <c r="C214" s="12"/>
      <c r="D214" s="13"/>
      <c r="F214" s="14"/>
      <c r="G214" s="14"/>
      <c r="H214" s="14"/>
      <c r="I214" s="14"/>
      <c r="J214" s="14"/>
      <c r="K214" s="12"/>
    </row>
    <row r="215" ht="19.5" customHeight="1">
      <c r="A215" s="12"/>
      <c r="C215" s="12"/>
      <c r="D215" s="13"/>
      <c r="F215" s="14"/>
      <c r="G215" s="14"/>
      <c r="H215" s="14"/>
      <c r="I215" s="14"/>
      <c r="J215" s="14"/>
      <c r="K215" s="12"/>
    </row>
    <row r="216" ht="19.5" customHeight="1">
      <c r="A216" s="12"/>
      <c r="C216" s="12"/>
      <c r="D216" s="13"/>
      <c r="F216" s="14"/>
      <c r="G216" s="14"/>
      <c r="H216" s="14"/>
      <c r="I216" s="14"/>
      <c r="J216" s="14"/>
      <c r="K216" s="12"/>
    </row>
    <row r="217" ht="19.5" customHeight="1">
      <c r="A217" s="12"/>
      <c r="C217" s="12"/>
      <c r="D217" s="13"/>
      <c r="F217" s="14"/>
      <c r="G217" s="14"/>
      <c r="H217" s="14"/>
      <c r="I217" s="14"/>
      <c r="J217" s="14"/>
      <c r="K217" s="12"/>
    </row>
    <row r="218" ht="19.5" customHeight="1">
      <c r="A218" s="12"/>
      <c r="C218" s="12"/>
      <c r="D218" s="13"/>
      <c r="F218" s="14"/>
      <c r="G218" s="14"/>
      <c r="H218" s="14"/>
      <c r="I218" s="14"/>
      <c r="J218" s="14"/>
      <c r="K218" s="12"/>
    </row>
    <row r="219" ht="19.5" customHeight="1">
      <c r="A219" s="12"/>
      <c r="C219" s="12"/>
      <c r="D219" s="13"/>
      <c r="F219" s="14"/>
      <c r="G219" s="14"/>
      <c r="H219" s="14"/>
      <c r="I219" s="14"/>
      <c r="J219" s="14"/>
      <c r="K219" s="12"/>
    </row>
    <row r="220" ht="19.5" customHeight="1">
      <c r="A220" s="12"/>
      <c r="C220" s="12"/>
      <c r="D220" s="13"/>
      <c r="F220" s="14"/>
      <c r="G220" s="14"/>
      <c r="H220" s="14"/>
      <c r="I220" s="14"/>
      <c r="J220" s="14"/>
      <c r="K220" s="12"/>
    </row>
    <row r="221" ht="19.5" customHeight="1">
      <c r="A221" s="12"/>
      <c r="C221" s="12"/>
      <c r="D221" s="13"/>
      <c r="F221" s="14"/>
      <c r="G221" s="14"/>
      <c r="H221" s="14"/>
      <c r="I221" s="14"/>
      <c r="J221" s="14"/>
      <c r="K221" s="12"/>
    </row>
    <row r="222" ht="19.5" customHeight="1">
      <c r="A222" s="12"/>
      <c r="C222" s="12"/>
      <c r="D222" s="13"/>
      <c r="F222" s="14"/>
      <c r="G222" s="14"/>
      <c r="H222" s="14"/>
      <c r="I222" s="14"/>
      <c r="J222" s="14"/>
      <c r="K222" s="12"/>
    </row>
    <row r="223" ht="19.5" customHeight="1">
      <c r="A223" s="12"/>
      <c r="C223" s="12"/>
      <c r="D223" s="13"/>
      <c r="F223" s="14"/>
      <c r="G223" s="14"/>
      <c r="H223" s="14"/>
      <c r="I223" s="14"/>
      <c r="J223" s="14"/>
      <c r="K223" s="12"/>
    </row>
    <row r="224" ht="19.5" customHeight="1">
      <c r="A224" s="12"/>
      <c r="C224" s="12"/>
      <c r="D224" s="13"/>
      <c r="F224" s="14"/>
      <c r="G224" s="14"/>
      <c r="H224" s="14"/>
      <c r="I224" s="14"/>
      <c r="J224" s="14"/>
      <c r="K224" s="12"/>
    </row>
    <row r="225" ht="19.5" customHeight="1">
      <c r="A225" s="12"/>
      <c r="C225" s="12"/>
      <c r="D225" s="13"/>
      <c r="F225" s="14"/>
      <c r="G225" s="14"/>
      <c r="H225" s="14"/>
      <c r="I225" s="14"/>
      <c r="J225" s="14"/>
      <c r="K225" s="12"/>
    </row>
    <row r="226" ht="19.5" customHeight="1">
      <c r="A226" s="12"/>
      <c r="C226" s="12"/>
      <c r="D226" s="13"/>
      <c r="F226" s="14"/>
      <c r="G226" s="14"/>
      <c r="H226" s="14"/>
      <c r="I226" s="14"/>
      <c r="J226" s="14"/>
      <c r="K226" s="12"/>
    </row>
    <row r="227" ht="19.5" customHeight="1">
      <c r="A227" s="12"/>
      <c r="C227" s="12"/>
      <c r="D227" s="13"/>
      <c r="F227" s="14"/>
      <c r="G227" s="14"/>
      <c r="H227" s="14"/>
      <c r="I227" s="14"/>
      <c r="J227" s="14"/>
      <c r="K227" s="12"/>
    </row>
    <row r="228" ht="19.5" customHeight="1">
      <c r="A228" s="12"/>
      <c r="C228" s="12"/>
      <c r="D228" s="13"/>
      <c r="F228" s="14"/>
      <c r="G228" s="14"/>
      <c r="H228" s="14"/>
      <c r="I228" s="14"/>
      <c r="J228" s="14"/>
      <c r="K228" s="12"/>
    </row>
    <row r="229" ht="19.5" customHeight="1">
      <c r="A229" s="12"/>
      <c r="C229" s="12"/>
      <c r="D229" s="13"/>
      <c r="F229" s="14"/>
      <c r="G229" s="14"/>
      <c r="H229" s="14"/>
      <c r="I229" s="14"/>
      <c r="J229" s="14"/>
      <c r="K229" s="12"/>
    </row>
    <row r="230" ht="19.5" customHeight="1">
      <c r="A230" s="12"/>
      <c r="C230" s="12"/>
      <c r="D230" s="13"/>
      <c r="F230" s="14"/>
      <c r="G230" s="14"/>
      <c r="H230" s="14"/>
      <c r="I230" s="14"/>
      <c r="J230" s="14"/>
      <c r="K230" s="12"/>
    </row>
    <row r="231" ht="19.5" customHeight="1">
      <c r="A231" s="12"/>
      <c r="C231" s="12"/>
      <c r="D231" s="13"/>
      <c r="F231" s="14"/>
      <c r="G231" s="14"/>
      <c r="H231" s="14"/>
      <c r="I231" s="14"/>
      <c r="J231" s="14"/>
      <c r="K231" s="12"/>
    </row>
    <row r="232" ht="19.5" customHeight="1">
      <c r="A232" s="12"/>
      <c r="C232" s="12"/>
      <c r="D232" s="13"/>
      <c r="F232" s="14"/>
      <c r="G232" s="14"/>
      <c r="H232" s="14"/>
      <c r="I232" s="14"/>
      <c r="J232" s="14"/>
      <c r="K232" s="12"/>
    </row>
    <row r="233" ht="19.5" customHeight="1">
      <c r="A233" s="12"/>
      <c r="C233" s="12"/>
      <c r="D233" s="13"/>
      <c r="F233" s="14"/>
      <c r="G233" s="14"/>
      <c r="H233" s="14"/>
      <c r="I233" s="14"/>
      <c r="J233" s="14"/>
      <c r="K233" s="12"/>
    </row>
    <row r="234" ht="19.5" customHeight="1">
      <c r="A234" s="12"/>
      <c r="C234" s="12"/>
      <c r="D234" s="13"/>
      <c r="F234" s="14"/>
      <c r="G234" s="14"/>
      <c r="H234" s="14"/>
      <c r="I234" s="14"/>
      <c r="J234" s="14"/>
      <c r="K234" s="12"/>
    </row>
    <row r="235" ht="19.5" customHeight="1">
      <c r="A235" s="12"/>
      <c r="C235" s="12"/>
      <c r="D235" s="13"/>
      <c r="F235" s="14"/>
      <c r="G235" s="14"/>
      <c r="H235" s="14"/>
      <c r="I235" s="14"/>
      <c r="J235" s="14"/>
      <c r="K235" s="12"/>
    </row>
    <row r="236" ht="19.5" customHeight="1">
      <c r="A236" s="12"/>
      <c r="C236" s="12"/>
      <c r="D236" s="13"/>
      <c r="F236" s="14"/>
      <c r="G236" s="14"/>
      <c r="H236" s="14"/>
      <c r="I236" s="14"/>
      <c r="J236" s="14"/>
      <c r="K236" s="12"/>
    </row>
    <row r="237" ht="19.5" customHeight="1">
      <c r="A237" s="12"/>
      <c r="C237" s="12"/>
      <c r="D237" s="13"/>
      <c r="F237" s="14"/>
      <c r="G237" s="14"/>
      <c r="H237" s="14"/>
      <c r="I237" s="14"/>
      <c r="J237" s="14"/>
      <c r="K237" s="12"/>
    </row>
    <row r="238" ht="19.5" customHeight="1">
      <c r="A238" s="12"/>
      <c r="C238" s="12"/>
      <c r="D238" s="13"/>
      <c r="F238" s="14"/>
      <c r="G238" s="14"/>
      <c r="H238" s="14"/>
      <c r="I238" s="14"/>
      <c r="J238" s="14"/>
      <c r="K238" s="12"/>
    </row>
    <row r="239" ht="19.5" customHeight="1">
      <c r="A239" s="12"/>
      <c r="C239" s="12"/>
      <c r="D239" s="13"/>
      <c r="F239" s="14"/>
      <c r="G239" s="14"/>
      <c r="H239" s="14"/>
      <c r="I239" s="14"/>
      <c r="J239" s="14"/>
      <c r="K239" s="12"/>
    </row>
    <row r="240" ht="19.5" customHeight="1">
      <c r="A240" s="12"/>
      <c r="C240" s="12"/>
      <c r="D240" s="13"/>
      <c r="F240" s="14"/>
      <c r="G240" s="14"/>
      <c r="H240" s="14"/>
      <c r="I240" s="14"/>
      <c r="J240" s="14"/>
      <c r="K240" s="12"/>
    </row>
    <row r="241" ht="19.5" customHeight="1">
      <c r="A241" s="12"/>
      <c r="C241" s="12"/>
      <c r="D241" s="13"/>
      <c r="F241" s="14"/>
      <c r="G241" s="14"/>
      <c r="H241" s="14"/>
      <c r="I241" s="14"/>
      <c r="J241" s="14"/>
      <c r="K241" s="12"/>
    </row>
    <row r="242" ht="19.5" customHeight="1">
      <c r="A242" s="12"/>
      <c r="C242" s="12"/>
      <c r="D242" s="13"/>
      <c r="F242" s="14"/>
      <c r="G242" s="14"/>
      <c r="H242" s="14"/>
      <c r="I242" s="14"/>
      <c r="J242" s="14"/>
      <c r="K242" s="12"/>
    </row>
    <row r="243" ht="19.5" customHeight="1">
      <c r="A243" s="12"/>
      <c r="C243" s="12"/>
      <c r="D243" s="13"/>
      <c r="F243" s="14"/>
      <c r="G243" s="14"/>
      <c r="H243" s="14"/>
      <c r="I243" s="14"/>
      <c r="J243" s="14"/>
      <c r="K243" s="12"/>
    </row>
    <row r="244" ht="19.5" customHeight="1">
      <c r="A244" s="12"/>
      <c r="C244" s="12"/>
      <c r="D244" s="13"/>
      <c r="F244" s="14"/>
      <c r="G244" s="14"/>
      <c r="H244" s="14"/>
      <c r="I244" s="14"/>
      <c r="J244" s="14"/>
      <c r="K244" s="12"/>
    </row>
    <row r="245" ht="19.5" customHeight="1">
      <c r="A245" s="12"/>
      <c r="C245" s="12"/>
      <c r="D245" s="13"/>
      <c r="F245" s="14"/>
      <c r="G245" s="14"/>
      <c r="H245" s="14"/>
      <c r="I245" s="14"/>
      <c r="J245" s="14"/>
      <c r="K245" s="12"/>
    </row>
    <row r="246" ht="19.5" customHeight="1">
      <c r="A246" s="12"/>
      <c r="C246" s="12"/>
      <c r="D246" s="13"/>
      <c r="F246" s="14"/>
      <c r="G246" s="14"/>
      <c r="H246" s="14"/>
      <c r="I246" s="14"/>
      <c r="J246" s="14"/>
      <c r="K246" s="12"/>
    </row>
    <row r="247" ht="19.5" customHeight="1">
      <c r="A247" s="12"/>
      <c r="C247" s="12"/>
      <c r="D247" s="13"/>
      <c r="F247" s="14"/>
      <c r="G247" s="14"/>
      <c r="H247" s="14"/>
      <c r="I247" s="14"/>
      <c r="J247" s="14"/>
      <c r="K247" s="12"/>
    </row>
    <row r="248" ht="19.5" customHeight="1">
      <c r="A248" s="12"/>
      <c r="C248" s="12"/>
      <c r="D248" s="13"/>
      <c r="F248" s="14"/>
      <c r="G248" s="14"/>
      <c r="H248" s="14"/>
      <c r="I248" s="14"/>
      <c r="J248" s="14"/>
      <c r="K248" s="12"/>
    </row>
    <row r="249" ht="19.5" customHeight="1">
      <c r="A249" s="12"/>
      <c r="C249" s="12"/>
      <c r="D249" s="13"/>
      <c r="F249" s="14"/>
      <c r="G249" s="14"/>
      <c r="H249" s="14"/>
      <c r="I249" s="14"/>
      <c r="J249" s="14"/>
      <c r="K249" s="12"/>
    </row>
    <row r="250" ht="19.5" customHeight="1">
      <c r="A250" s="12"/>
      <c r="C250" s="12"/>
      <c r="D250" s="13"/>
      <c r="F250" s="14"/>
      <c r="G250" s="14"/>
      <c r="H250" s="14"/>
      <c r="I250" s="14"/>
      <c r="J250" s="14"/>
      <c r="K250" s="12"/>
    </row>
    <row r="251" ht="19.5" customHeight="1">
      <c r="A251" s="12"/>
      <c r="C251" s="12"/>
      <c r="D251" s="13"/>
      <c r="F251" s="14"/>
      <c r="G251" s="14"/>
      <c r="H251" s="14"/>
      <c r="I251" s="14"/>
      <c r="J251" s="14"/>
      <c r="K251" s="12"/>
    </row>
    <row r="252" ht="19.5" customHeight="1">
      <c r="A252" s="12"/>
      <c r="C252" s="12"/>
      <c r="D252" s="13"/>
      <c r="F252" s="14"/>
      <c r="G252" s="14"/>
      <c r="H252" s="14"/>
      <c r="I252" s="14"/>
      <c r="J252" s="14"/>
      <c r="K252" s="12"/>
    </row>
    <row r="253" ht="19.5" customHeight="1">
      <c r="A253" s="12"/>
      <c r="C253" s="12"/>
      <c r="D253" s="13"/>
      <c r="F253" s="14"/>
      <c r="G253" s="14"/>
      <c r="H253" s="14"/>
      <c r="I253" s="14"/>
      <c r="J253" s="14"/>
      <c r="K253" s="12"/>
    </row>
    <row r="254" ht="19.5" customHeight="1">
      <c r="A254" s="12"/>
      <c r="C254" s="12"/>
      <c r="D254" s="13"/>
      <c r="F254" s="14"/>
      <c r="G254" s="14"/>
      <c r="H254" s="14"/>
      <c r="I254" s="14"/>
      <c r="J254" s="14"/>
      <c r="K254" s="12"/>
    </row>
    <row r="255" ht="19.5" customHeight="1">
      <c r="A255" s="12"/>
      <c r="C255" s="12"/>
      <c r="D255" s="13"/>
      <c r="F255" s="14"/>
      <c r="G255" s="14"/>
      <c r="H255" s="14"/>
      <c r="I255" s="14"/>
      <c r="J255" s="14"/>
      <c r="K255" s="12"/>
    </row>
    <row r="256" ht="19.5" customHeight="1">
      <c r="A256" s="12"/>
      <c r="C256" s="12"/>
      <c r="D256" s="13"/>
      <c r="F256" s="14"/>
      <c r="G256" s="14"/>
      <c r="H256" s="14"/>
      <c r="I256" s="14"/>
      <c r="J256" s="14"/>
      <c r="K256" s="12"/>
    </row>
    <row r="257" ht="19.5" customHeight="1">
      <c r="A257" s="12"/>
      <c r="C257" s="12"/>
      <c r="D257" s="13"/>
      <c r="F257" s="14"/>
      <c r="G257" s="14"/>
      <c r="H257" s="14"/>
      <c r="I257" s="14"/>
      <c r="J257" s="14"/>
      <c r="K257" s="12"/>
    </row>
    <row r="258" ht="19.5" customHeight="1">
      <c r="A258" s="12"/>
      <c r="C258" s="12"/>
      <c r="D258" s="13"/>
      <c r="F258" s="14"/>
      <c r="G258" s="14"/>
      <c r="H258" s="14"/>
      <c r="I258" s="14"/>
      <c r="J258" s="14"/>
      <c r="K258" s="12"/>
    </row>
    <row r="259" ht="19.5" customHeight="1">
      <c r="A259" s="12"/>
      <c r="C259" s="12"/>
      <c r="D259" s="13"/>
      <c r="F259" s="14"/>
      <c r="G259" s="14"/>
      <c r="H259" s="14"/>
      <c r="I259" s="14"/>
      <c r="J259" s="14"/>
      <c r="K259" s="12"/>
    </row>
    <row r="260" ht="19.5" customHeight="1">
      <c r="A260" s="12"/>
      <c r="C260" s="12"/>
      <c r="D260" s="13"/>
      <c r="F260" s="14"/>
      <c r="G260" s="14"/>
      <c r="H260" s="14"/>
      <c r="I260" s="14"/>
      <c r="J260" s="14"/>
      <c r="K260" s="12"/>
    </row>
    <row r="261" ht="19.5" customHeight="1">
      <c r="A261" s="12"/>
      <c r="C261" s="12"/>
      <c r="D261" s="13"/>
      <c r="F261" s="14"/>
      <c r="G261" s="14"/>
      <c r="H261" s="14"/>
      <c r="I261" s="14"/>
      <c r="J261" s="14"/>
      <c r="K261" s="12"/>
    </row>
    <row r="262" ht="19.5" customHeight="1">
      <c r="A262" s="12"/>
      <c r="C262" s="12"/>
      <c r="D262" s="13"/>
      <c r="F262" s="14"/>
      <c r="G262" s="14"/>
      <c r="H262" s="14"/>
      <c r="I262" s="14"/>
      <c r="J262" s="14"/>
      <c r="K262" s="12"/>
    </row>
    <row r="263" ht="19.5" customHeight="1">
      <c r="A263" s="12"/>
      <c r="C263" s="12"/>
      <c r="D263" s="13"/>
      <c r="F263" s="14"/>
      <c r="G263" s="14"/>
      <c r="H263" s="14"/>
      <c r="I263" s="14"/>
      <c r="J263" s="14"/>
      <c r="K263" s="12"/>
    </row>
    <row r="264" ht="19.5" customHeight="1">
      <c r="A264" s="12"/>
      <c r="C264" s="12"/>
      <c r="D264" s="13"/>
      <c r="F264" s="14"/>
      <c r="G264" s="14"/>
      <c r="H264" s="14"/>
      <c r="I264" s="14"/>
      <c r="J264" s="14"/>
      <c r="K264" s="12"/>
    </row>
    <row r="265" ht="19.5" customHeight="1">
      <c r="A265" s="12"/>
      <c r="C265" s="12"/>
      <c r="D265" s="13"/>
      <c r="F265" s="14"/>
      <c r="G265" s="14"/>
      <c r="H265" s="14"/>
      <c r="I265" s="14"/>
      <c r="J265" s="14"/>
      <c r="K265" s="12"/>
    </row>
    <row r="266" ht="19.5" customHeight="1">
      <c r="A266" s="12"/>
      <c r="C266" s="12"/>
      <c r="D266" s="13"/>
      <c r="F266" s="14"/>
      <c r="G266" s="14"/>
      <c r="H266" s="14"/>
      <c r="I266" s="14"/>
      <c r="J266" s="14"/>
      <c r="K266" s="12"/>
    </row>
    <row r="267" ht="19.5" customHeight="1">
      <c r="A267" s="12"/>
      <c r="C267" s="12"/>
      <c r="D267" s="13"/>
      <c r="F267" s="14"/>
      <c r="G267" s="14"/>
      <c r="H267" s="14"/>
      <c r="I267" s="14"/>
      <c r="J267" s="14"/>
      <c r="K267" s="12"/>
    </row>
    <row r="268" ht="19.5" customHeight="1">
      <c r="A268" s="12"/>
      <c r="C268" s="12"/>
      <c r="D268" s="13"/>
      <c r="F268" s="14"/>
      <c r="G268" s="14"/>
      <c r="H268" s="14"/>
      <c r="I268" s="14"/>
      <c r="J268" s="14"/>
      <c r="K268" s="12"/>
    </row>
    <row r="269" ht="19.5" customHeight="1">
      <c r="A269" s="12"/>
      <c r="C269" s="12"/>
      <c r="D269" s="13"/>
      <c r="F269" s="14"/>
      <c r="G269" s="14"/>
      <c r="H269" s="14"/>
      <c r="I269" s="14"/>
      <c r="J269" s="14"/>
      <c r="K269" s="12"/>
    </row>
    <row r="270" ht="19.5" customHeight="1">
      <c r="A270" s="12"/>
      <c r="C270" s="12"/>
      <c r="D270" s="13"/>
      <c r="F270" s="14"/>
      <c r="G270" s="14"/>
      <c r="H270" s="14"/>
      <c r="I270" s="14"/>
      <c r="J270" s="14"/>
      <c r="K270" s="12"/>
    </row>
    <row r="271" ht="19.5" customHeight="1">
      <c r="A271" s="12"/>
      <c r="C271" s="12"/>
      <c r="D271" s="13"/>
      <c r="F271" s="14"/>
      <c r="G271" s="14"/>
      <c r="H271" s="14"/>
      <c r="I271" s="14"/>
      <c r="J271" s="14"/>
      <c r="K271" s="12"/>
    </row>
    <row r="272" ht="19.5" customHeight="1">
      <c r="A272" s="12"/>
      <c r="C272" s="12"/>
      <c r="D272" s="13"/>
      <c r="F272" s="14"/>
      <c r="G272" s="14"/>
      <c r="H272" s="14"/>
      <c r="I272" s="14"/>
      <c r="J272" s="14"/>
      <c r="K272" s="12"/>
    </row>
    <row r="273" ht="19.5" customHeight="1">
      <c r="A273" s="12"/>
      <c r="C273" s="12"/>
      <c r="D273" s="13"/>
      <c r="F273" s="14"/>
      <c r="G273" s="14"/>
      <c r="H273" s="14"/>
      <c r="I273" s="14"/>
      <c r="J273" s="14"/>
      <c r="K273" s="12"/>
    </row>
    <row r="274" ht="19.5" customHeight="1">
      <c r="A274" s="12"/>
      <c r="C274" s="12"/>
      <c r="D274" s="13"/>
      <c r="F274" s="14"/>
      <c r="G274" s="14"/>
      <c r="H274" s="14"/>
      <c r="I274" s="14"/>
      <c r="J274" s="14"/>
      <c r="K274" s="12"/>
    </row>
    <row r="275" ht="19.5" customHeight="1">
      <c r="A275" s="12"/>
      <c r="C275" s="12"/>
      <c r="D275" s="13"/>
      <c r="F275" s="14"/>
      <c r="G275" s="14"/>
      <c r="H275" s="14"/>
      <c r="I275" s="14"/>
      <c r="J275" s="14"/>
      <c r="K275" s="12"/>
    </row>
    <row r="276" ht="19.5" customHeight="1">
      <c r="A276" s="12"/>
      <c r="C276" s="12"/>
      <c r="D276" s="13"/>
      <c r="F276" s="14"/>
      <c r="G276" s="14"/>
      <c r="H276" s="14"/>
      <c r="I276" s="14"/>
      <c r="J276" s="14"/>
      <c r="K276" s="12"/>
    </row>
    <row r="277" ht="19.5" customHeight="1">
      <c r="A277" s="12"/>
      <c r="C277" s="12"/>
      <c r="D277" s="13"/>
      <c r="F277" s="14"/>
      <c r="G277" s="14"/>
      <c r="H277" s="14"/>
      <c r="I277" s="14"/>
      <c r="J277" s="14"/>
      <c r="K277" s="12"/>
    </row>
    <row r="278" ht="19.5" customHeight="1">
      <c r="A278" s="12"/>
      <c r="C278" s="12"/>
      <c r="D278" s="13"/>
      <c r="F278" s="14"/>
      <c r="G278" s="14"/>
      <c r="H278" s="14"/>
      <c r="I278" s="14"/>
      <c r="J278" s="14"/>
      <c r="K278" s="12"/>
    </row>
    <row r="279" ht="19.5" customHeight="1">
      <c r="A279" s="12"/>
      <c r="C279" s="12"/>
      <c r="D279" s="13"/>
      <c r="F279" s="14"/>
      <c r="G279" s="14"/>
      <c r="H279" s="14"/>
      <c r="I279" s="14"/>
      <c r="J279" s="14"/>
      <c r="K279" s="12"/>
    </row>
    <row r="280" ht="19.5" customHeight="1">
      <c r="A280" s="12"/>
      <c r="C280" s="12"/>
      <c r="D280" s="13"/>
      <c r="F280" s="14"/>
      <c r="G280" s="14"/>
      <c r="H280" s="14"/>
      <c r="I280" s="14"/>
      <c r="J280" s="14"/>
      <c r="K280" s="12"/>
    </row>
    <row r="281" ht="19.5" customHeight="1">
      <c r="A281" s="12"/>
      <c r="C281" s="12"/>
      <c r="D281" s="13"/>
      <c r="F281" s="14"/>
      <c r="G281" s="14"/>
      <c r="H281" s="14"/>
      <c r="I281" s="14"/>
      <c r="J281" s="14"/>
      <c r="K281" s="12"/>
    </row>
    <row r="282" ht="19.5" customHeight="1">
      <c r="A282" s="12"/>
      <c r="C282" s="12"/>
      <c r="D282" s="13"/>
      <c r="F282" s="14"/>
      <c r="G282" s="14"/>
      <c r="H282" s="14"/>
      <c r="I282" s="14"/>
      <c r="J282" s="14"/>
      <c r="K282" s="12"/>
    </row>
    <row r="283" ht="19.5" customHeight="1">
      <c r="A283" s="12"/>
      <c r="C283" s="12"/>
      <c r="D283" s="13"/>
      <c r="F283" s="14"/>
      <c r="G283" s="14"/>
      <c r="H283" s="14"/>
      <c r="I283" s="14"/>
      <c r="J283" s="14"/>
      <c r="K283" s="12"/>
    </row>
    <row r="284" ht="19.5" customHeight="1">
      <c r="A284" s="12"/>
      <c r="C284" s="12"/>
      <c r="D284" s="13"/>
      <c r="F284" s="14"/>
      <c r="G284" s="14"/>
      <c r="H284" s="14"/>
      <c r="I284" s="14"/>
      <c r="J284" s="14"/>
      <c r="K284" s="12"/>
    </row>
    <row r="285" ht="19.5" customHeight="1">
      <c r="A285" s="12"/>
      <c r="C285" s="12"/>
      <c r="D285" s="13"/>
      <c r="F285" s="14"/>
      <c r="G285" s="14"/>
      <c r="H285" s="14"/>
      <c r="I285" s="14"/>
      <c r="J285" s="14"/>
      <c r="K285" s="12"/>
    </row>
    <row r="286" ht="19.5" customHeight="1">
      <c r="A286" s="12"/>
      <c r="C286" s="12"/>
      <c r="D286" s="13"/>
      <c r="F286" s="14"/>
      <c r="G286" s="14"/>
      <c r="H286" s="14"/>
      <c r="I286" s="14"/>
      <c r="J286" s="14"/>
      <c r="K286" s="12"/>
    </row>
    <row r="287" ht="19.5" customHeight="1">
      <c r="A287" s="12"/>
      <c r="C287" s="12"/>
      <c r="D287" s="13"/>
      <c r="F287" s="14"/>
      <c r="G287" s="14"/>
      <c r="H287" s="14"/>
      <c r="I287" s="14"/>
      <c r="J287" s="14"/>
      <c r="K287" s="12"/>
    </row>
    <row r="288" ht="19.5" customHeight="1">
      <c r="A288" s="12"/>
      <c r="C288" s="12"/>
      <c r="D288" s="13"/>
      <c r="F288" s="14"/>
      <c r="G288" s="14"/>
      <c r="H288" s="14"/>
      <c r="I288" s="14"/>
      <c r="J288" s="14"/>
      <c r="K288" s="12"/>
    </row>
    <row r="289" ht="19.5" customHeight="1">
      <c r="A289" s="12"/>
      <c r="C289" s="12"/>
      <c r="D289" s="13"/>
      <c r="F289" s="14"/>
      <c r="G289" s="14"/>
      <c r="H289" s="14"/>
      <c r="I289" s="14"/>
      <c r="J289" s="14"/>
      <c r="K289" s="12"/>
    </row>
    <row r="290" ht="19.5" customHeight="1">
      <c r="A290" s="12"/>
      <c r="C290" s="12"/>
      <c r="D290" s="13"/>
      <c r="F290" s="14"/>
      <c r="G290" s="14"/>
      <c r="H290" s="14"/>
      <c r="I290" s="14"/>
      <c r="J290" s="14"/>
      <c r="K290" s="12"/>
    </row>
    <row r="291" ht="19.5" customHeight="1">
      <c r="A291" s="12"/>
      <c r="C291" s="12"/>
      <c r="D291" s="13"/>
      <c r="F291" s="14"/>
      <c r="G291" s="14"/>
      <c r="H291" s="14"/>
      <c r="I291" s="14"/>
      <c r="J291" s="14"/>
      <c r="K291" s="12"/>
    </row>
    <row r="292" ht="19.5" customHeight="1">
      <c r="A292" s="12"/>
      <c r="C292" s="12"/>
      <c r="D292" s="13"/>
      <c r="F292" s="14"/>
      <c r="G292" s="14"/>
      <c r="H292" s="14"/>
      <c r="I292" s="14"/>
      <c r="J292" s="14"/>
      <c r="K292" s="12"/>
    </row>
    <row r="293" ht="19.5" customHeight="1">
      <c r="A293" s="12"/>
      <c r="C293" s="12"/>
      <c r="D293" s="13"/>
      <c r="F293" s="14"/>
      <c r="G293" s="14"/>
      <c r="H293" s="14"/>
      <c r="I293" s="14"/>
      <c r="J293" s="14"/>
      <c r="K293" s="12"/>
    </row>
    <row r="294" ht="19.5" customHeight="1">
      <c r="A294" s="12"/>
      <c r="C294" s="12"/>
      <c r="D294" s="13"/>
      <c r="F294" s="14"/>
      <c r="G294" s="14"/>
      <c r="H294" s="14"/>
      <c r="I294" s="14"/>
      <c r="J294" s="14"/>
      <c r="K294" s="12"/>
    </row>
    <row r="295" ht="19.5" customHeight="1">
      <c r="A295" s="12"/>
      <c r="C295" s="12"/>
      <c r="D295" s="13"/>
      <c r="F295" s="14"/>
      <c r="G295" s="14"/>
      <c r="H295" s="14"/>
      <c r="I295" s="14"/>
      <c r="J295" s="14"/>
      <c r="K295" s="12"/>
    </row>
    <row r="296" ht="19.5" customHeight="1">
      <c r="A296" s="12"/>
      <c r="C296" s="12"/>
      <c r="D296" s="13"/>
      <c r="F296" s="14"/>
      <c r="G296" s="14"/>
      <c r="H296" s="14"/>
      <c r="I296" s="14"/>
      <c r="J296" s="14"/>
      <c r="K296" s="12"/>
    </row>
    <row r="297" ht="19.5" customHeight="1">
      <c r="A297" s="12"/>
      <c r="C297" s="12"/>
      <c r="D297" s="13"/>
      <c r="F297" s="14"/>
      <c r="G297" s="14"/>
      <c r="H297" s="14"/>
      <c r="I297" s="14"/>
      <c r="J297" s="14"/>
      <c r="K297" s="12"/>
    </row>
    <row r="298" ht="19.5" customHeight="1">
      <c r="A298" s="12"/>
      <c r="C298" s="12"/>
      <c r="D298" s="13"/>
      <c r="F298" s="14"/>
      <c r="G298" s="14"/>
      <c r="H298" s="14"/>
      <c r="I298" s="14"/>
      <c r="J298" s="14"/>
      <c r="K298" s="12"/>
    </row>
    <row r="299" ht="19.5" customHeight="1">
      <c r="A299" s="12"/>
      <c r="C299" s="12"/>
      <c r="D299" s="13"/>
      <c r="F299" s="14"/>
      <c r="G299" s="14"/>
      <c r="H299" s="14"/>
      <c r="I299" s="14"/>
      <c r="J299" s="14"/>
      <c r="K299" s="12"/>
    </row>
    <row r="300" ht="19.5" customHeight="1">
      <c r="A300" s="12"/>
      <c r="C300" s="12"/>
      <c r="D300" s="13"/>
      <c r="F300" s="14"/>
      <c r="G300" s="14"/>
      <c r="H300" s="14"/>
      <c r="I300" s="14"/>
      <c r="J300" s="14"/>
      <c r="K300" s="12"/>
    </row>
    <row r="301" ht="19.5" customHeight="1">
      <c r="A301" s="12"/>
      <c r="C301" s="12"/>
      <c r="D301" s="13"/>
      <c r="F301" s="14"/>
      <c r="G301" s="14"/>
      <c r="H301" s="14"/>
      <c r="I301" s="14"/>
      <c r="J301" s="14"/>
      <c r="K301" s="12"/>
    </row>
    <row r="302" ht="19.5" customHeight="1">
      <c r="A302" s="12"/>
      <c r="C302" s="12"/>
      <c r="D302" s="13"/>
      <c r="F302" s="14"/>
      <c r="G302" s="14"/>
      <c r="H302" s="14"/>
      <c r="I302" s="14"/>
      <c r="J302" s="14"/>
      <c r="K302" s="12"/>
    </row>
    <row r="303" ht="19.5" customHeight="1">
      <c r="A303" s="12"/>
      <c r="C303" s="12"/>
      <c r="D303" s="13"/>
      <c r="F303" s="14"/>
      <c r="G303" s="14"/>
      <c r="H303" s="14"/>
      <c r="I303" s="14"/>
      <c r="J303" s="14"/>
      <c r="K303" s="12"/>
    </row>
    <row r="304" ht="19.5" customHeight="1">
      <c r="A304" s="12"/>
      <c r="C304" s="12"/>
      <c r="D304" s="13"/>
      <c r="F304" s="14"/>
      <c r="G304" s="14"/>
      <c r="H304" s="14"/>
      <c r="I304" s="14"/>
      <c r="J304" s="14"/>
      <c r="K304" s="12"/>
    </row>
    <row r="305" ht="19.5" customHeight="1">
      <c r="A305" s="12"/>
      <c r="C305" s="12"/>
      <c r="D305" s="13"/>
      <c r="F305" s="14"/>
      <c r="G305" s="14"/>
      <c r="H305" s="14"/>
      <c r="I305" s="14"/>
      <c r="J305" s="14"/>
      <c r="K305" s="12"/>
    </row>
    <row r="306" ht="19.5" customHeight="1">
      <c r="A306" s="12"/>
      <c r="C306" s="12"/>
      <c r="D306" s="13"/>
      <c r="F306" s="14"/>
      <c r="G306" s="14"/>
      <c r="H306" s="14"/>
      <c r="I306" s="14"/>
      <c r="J306" s="14"/>
      <c r="K306" s="12"/>
    </row>
    <row r="307" ht="19.5" customHeight="1">
      <c r="A307" s="12"/>
      <c r="C307" s="12"/>
      <c r="D307" s="13"/>
      <c r="F307" s="14"/>
      <c r="G307" s="14"/>
      <c r="H307" s="14"/>
      <c r="I307" s="14"/>
      <c r="J307" s="14"/>
      <c r="K307" s="12"/>
    </row>
    <row r="308" ht="19.5" customHeight="1">
      <c r="A308" s="12"/>
      <c r="C308" s="12"/>
      <c r="D308" s="13"/>
      <c r="F308" s="14"/>
      <c r="G308" s="14"/>
      <c r="H308" s="14"/>
      <c r="I308" s="14"/>
      <c r="J308" s="14"/>
      <c r="K308" s="12"/>
    </row>
    <row r="309" ht="19.5" customHeight="1">
      <c r="A309" s="12"/>
      <c r="C309" s="12"/>
      <c r="D309" s="13"/>
      <c r="F309" s="14"/>
      <c r="G309" s="14"/>
      <c r="H309" s="14"/>
      <c r="I309" s="14"/>
      <c r="J309" s="14"/>
      <c r="K309" s="12"/>
    </row>
    <row r="310" ht="19.5" customHeight="1">
      <c r="A310" s="12"/>
      <c r="C310" s="12"/>
      <c r="D310" s="13"/>
      <c r="F310" s="14"/>
      <c r="G310" s="14"/>
      <c r="H310" s="14"/>
      <c r="I310" s="14"/>
      <c r="J310" s="14"/>
      <c r="K310" s="12"/>
    </row>
    <row r="311" ht="19.5" customHeight="1">
      <c r="A311" s="12"/>
      <c r="C311" s="12"/>
      <c r="D311" s="13"/>
      <c r="F311" s="14"/>
      <c r="G311" s="14"/>
      <c r="H311" s="14"/>
      <c r="I311" s="14"/>
      <c r="J311" s="14"/>
      <c r="K311" s="12"/>
    </row>
    <row r="312" ht="19.5" customHeight="1">
      <c r="A312" s="12"/>
      <c r="C312" s="12"/>
      <c r="D312" s="13"/>
      <c r="F312" s="14"/>
      <c r="G312" s="14"/>
      <c r="H312" s="14"/>
      <c r="I312" s="14"/>
      <c r="J312" s="14"/>
      <c r="K312" s="12"/>
    </row>
    <row r="313" ht="19.5" customHeight="1">
      <c r="A313" s="12"/>
      <c r="C313" s="12"/>
      <c r="D313" s="13"/>
      <c r="F313" s="14"/>
      <c r="G313" s="14"/>
      <c r="H313" s="14"/>
      <c r="I313" s="14"/>
      <c r="J313" s="14"/>
      <c r="K313" s="12"/>
    </row>
    <row r="314" ht="19.5" customHeight="1">
      <c r="A314" s="12"/>
      <c r="C314" s="12"/>
      <c r="D314" s="13"/>
      <c r="F314" s="14"/>
      <c r="G314" s="14"/>
      <c r="H314" s="14"/>
      <c r="I314" s="14"/>
      <c r="J314" s="14"/>
      <c r="K314" s="12"/>
    </row>
    <row r="315" ht="19.5" customHeight="1">
      <c r="A315" s="12"/>
      <c r="C315" s="12"/>
      <c r="D315" s="13"/>
      <c r="F315" s="14"/>
      <c r="G315" s="14"/>
      <c r="H315" s="14"/>
      <c r="I315" s="14"/>
      <c r="J315" s="14"/>
      <c r="K315" s="12"/>
    </row>
    <row r="316" ht="19.5" customHeight="1">
      <c r="A316" s="12"/>
      <c r="C316" s="12"/>
      <c r="D316" s="13"/>
      <c r="F316" s="14"/>
      <c r="G316" s="14"/>
      <c r="H316" s="14"/>
      <c r="I316" s="14"/>
      <c r="J316" s="14"/>
      <c r="K316" s="12"/>
    </row>
    <row r="317" ht="19.5" customHeight="1">
      <c r="A317" s="12"/>
      <c r="C317" s="12"/>
      <c r="D317" s="13"/>
      <c r="F317" s="14"/>
      <c r="G317" s="14"/>
      <c r="H317" s="14"/>
      <c r="I317" s="14"/>
      <c r="J317" s="14"/>
      <c r="K317" s="12"/>
    </row>
    <row r="318" ht="19.5" customHeight="1">
      <c r="A318" s="12"/>
      <c r="C318" s="12"/>
      <c r="D318" s="13"/>
      <c r="F318" s="14"/>
      <c r="G318" s="14"/>
      <c r="H318" s="14"/>
      <c r="I318" s="14"/>
      <c r="J318" s="14"/>
      <c r="K318" s="12"/>
    </row>
    <row r="319" ht="19.5" customHeight="1">
      <c r="A319" s="12"/>
      <c r="C319" s="12"/>
      <c r="D319" s="13"/>
      <c r="F319" s="14"/>
      <c r="G319" s="14"/>
      <c r="H319" s="14"/>
      <c r="I319" s="14"/>
      <c r="J319" s="14"/>
      <c r="K319" s="12"/>
    </row>
    <row r="320" ht="19.5" customHeight="1">
      <c r="A320" s="12"/>
      <c r="C320" s="12"/>
      <c r="D320" s="13"/>
      <c r="F320" s="14"/>
      <c r="G320" s="14"/>
      <c r="H320" s="14"/>
      <c r="I320" s="14"/>
      <c r="J320" s="14"/>
      <c r="K320" s="12"/>
    </row>
    <row r="321" ht="19.5" customHeight="1">
      <c r="A321" s="12"/>
      <c r="C321" s="12"/>
      <c r="D321" s="13"/>
      <c r="F321" s="14"/>
      <c r="G321" s="14"/>
      <c r="H321" s="14"/>
      <c r="I321" s="14"/>
      <c r="J321" s="14"/>
      <c r="K321" s="12"/>
    </row>
    <row r="322" ht="19.5" customHeight="1">
      <c r="A322" s="12"/>
      <c r="C322" s="12"/>
      <c r="D322" s="13"/>
      <c r="F322" s="14"/>
      <c r="G322" s="14"/>
      <c r="H322" s="14"/>
      <c r="I322" s="14"/>
      <c r="J322" s="14"/>
      <c r="K322" s="12"/>
    </row>
    <row r="323" ht="19.5" customHeight="1">
      <c r="A323" s="12"/>
      <c r="C323" s="12"/>
      <c r="D323" s="13"/>
      <c r="F323" s="14"/>
      <c r="G323" s="14"/>
      <c r="H323" s="14"/>
      <c r="I323" s="14"/>
      <c r="J323" s="14"/>
      <c r="K323" s="12"/>
    </row>
    <row r="324" ht="19.5" customHeight="1">
      <c r="A324" s="12"/>
      <c r="C324" s="12"/>
      <c r="D324" s="13"/>
      <c r="F324" s="14"/>
      <c r="G324" s="14"/>
      <c r="H324" s="14"/>
      <c r="I324" s="14"/>
      <c r="J324" s="14"/>
      <c r="K324" s="12"/>
    </row>
    <row r="325" ht="19.5" customHeight="1">
      <c r="A325" s="12"/>
      <c r="C325" s="12"/>
      <c r="D325" s="13"/>
      <c r="F325" s="14"/>
      <c r="G325" s="14"/>
      <c r="H325" s="14"/>
      <c r="I325" s="14"/>
      <c r="J325" s="14"/>
      <c r="K325" s="12"/>
    </row>
    <row r="326" ht="19.5" customHeight="1">
      <c r="A326" s="12"/>
      <c r="C326" s="12"/>
      <c r="D326" s="13"/>
      <c r="F326" s="14"/>
      <c r="G326" s="14"/>
      <c r="H326" s="14"/>
      <c r="I326" s="14"/>
      <c r="J326" s="14"/>
      <c r="K326" s="12"/>
    </row>
    <row r="327" ht="19.5" customHeight="1">
      <c r="A327" s="12"/>
      <c r="C327" s="12"/>
      <c r="D327" s="13"/>
      <c r="F327" s="14"/>
      <c r="G327" s="14"/>
      <c r="H327" s="14"/>
      <c r="I327" s="14"/>
      <c r="J327" s="14"/>
      <c r="K327" s="12"/>
    </row>
    <row r="328" ht="19.5" customHeight="1">
      <c r="A328" s="12"/>
      <c r="C328" s="12"/>
      <c r="D328" s="13"/>
      <c r="F328" s="14"/>
      <c r="G328" s="14"/>
      <c r="H328" s="14"/>
      <c r="I328" s="14"/>
      <c r="J328" s="14"/>
      <c r="K328" s="12"/>
    </row>
    <row r="329" ht="19.5" customHeight="1">
      <c r="A329" s="12"/>
      <c r="C329" s="12"/>
      <c r="D329" s="13"/>
      <c r="F329" s="14"/>
      <c r="G329" s="14"/>
      <c r="H329" s="14"/>
      <c r="I329" s="14"/>
      <c r="J329" s="14"/>
      <c r="K329" s="12"/>
    </row>
    <row r="330" ht="19.5" customHeight="1">
      <c r="A330" s="12"/>
      <c r="C330" s="12"/>
      <c r="D330" s="13"/>
      <c r="F330" s="14"/>
      <c r="G330" s="14"/>
      <c r="H330" s="14"/>
      <c r="I330" s="14"/>
      <c r="J330" s="14"/>
      <c r="K330" s="12"/>
    </row>
    <row r="331" ht="19.5" customHeight="1">
      <c r="A331" s="12"/>
      <c r="C331" s="12"/>
      <c r="D331" s="13"/>
      <c r="F331" s="14"/>
      <c r="G331" s="14"/>
      <c r="H331" s="14"/>
      <c r="I331" s="14"/>
      <c r="J331" s="14"/>
      <c r="K331" s="12"/>
    </row>
    <row r="332" ht="19.5" customHeight="1">
      <c r="A332" s="12"/>
      <c r="C332" s="12"/>
      <c r="D332" s="13"/>
      <c r="F332" s="14"/>
      <c r="G332" s="14"/>
      <c r="H332" s="14"/>
      <c r="I332" s="14"/>
      <c r="J332" s="14"/>
      <c r="K332" s="12"/>
    </row>
    <row r="333" ht="19.5" customHeight="1">
      <c r="A333" s="12"/>
      <c r="C333" s="12"/>
      <c r="D333" s="13"/>
      <c r="F333" s="14"/>
      <c r="G333" s="14"/>
      <c r="H333" s="14"/>
      <c r="I333" s="14"/>
      <c r="J333" s="14"/>
      <c r="K333" s="12"/>
    </row>
    <row r="334" ht="19.5" customHeight="1">
      <c r="A334" s="12"/>
      <c r="C334" s="12"/>
      <c r="D334" s="13"/>
      <c r="F334" s="14"/>
      <c r="G334" s="14"/>
      <c r="H334" s="14"/>
      <c r="I334" s="14"/>
      <c r="J334" s="14"/>
      <c r="K334" s="12"/>
    </row>
    <row r="335" ht="19.5" customHeight="1">
      <c r="A335" s="12"/>
      <c r="C335" s="12"/>
      <c r="D335" s="13"/>
      <c r="F335" s="14"/>
      <c r="G335" s="14"/>
      <c r="H335" s="14"/>
      <c r="I335" s="14"/>
      <c r="J335" s="14"/>
      <c r="K335" s="12"/>
    </row>
    <row r="336" ht="19.5" customHeight="1">
      <c r="A336" s="12"/>
      <c r="C336" s="12"/>
      <c r="D336" s="13"/>
      <c r="F336" s="14"/>
      <c r="G336" s="14"/>
      <c r="H336" s="14"/>
      <c r="I336" s="14"/>
      <c r="J336" s="14"/>
      <c r="K336" s="12"/>
    </row>
    <row r="337" ht="19.5" customHeight="1">
      <c r="A337" s="12"/>
      <c r="C337" s="12"/>
      <c r="D337" s="13"/>
      <c r="F337" s="14"/>
      <c r="G337" s="14"/>
      <c r="H337" s="14"/>
      <c r="I337" s="14"/>
      <c r="J337" s="14"/>
      <c r="K337" s="12"/>
    </row>
    <row r="338" ht="19.5" customHeight="1">
      <c r="A338" s="12"/>
      <c r="C338" s="12"/>
      <c r="D338" s="13"/>
      <c r="F338" s="14"/>
      <c r="G338" s="14"/>
      <c r="H338" s="14"/>
      <c r="I338" s="14"/>
      <c r="J338" s="14"/>
      <c r="K338" s="12"/>
    </row>
    <row r="339" ht="19.5" customHeight="1">
      <c r="A339" s="12"/>
      <c r="C339" s="12"/>
      <c r="D339" s="13"/>
      <c r="F339" s="14"/>
      <c r="G339" s="14"/>
      <c r="H339" s="14"/>
      <c r="I339" s="14"/>
      <c r="J339" s="14"/>
      <c r="K339" s="12"/>
    </row>
    <row r="340" ht="19.5" customHeight="1">
      <c r="A340" s="12"/>
      <c r="C340" s="12"/>
      <c r="D340" s="13"/>
      <c r="F340" s="14"/>
      <c r="G340" s="14"/>
      <c r="H340" s="14"/>
      <c r="I340" s="14"/>
      <c r="J340" s="14"/>
      <c r="K340" s="12"/>
    </row>
    <row r="341" ht="19.5" customHeight="1">
      <c r="A341" s="12"/>
      <c r="C341" s="12"/>
      <c r="D341" s="13"/>
      <c r="F341" s="14"/>
      <c r="G341" s="14"/>
      <c r="H341" s="14"/>
      <c r="I341" s="14"/>
      <c r="J341" s="14"/>
      <c r="K341" s="12"/>
    </row>
    <row r="342" ht="19.5" customHeight="1">
      <c r="A342" s="12"/>
      <c r="C342" s="12"/>
      <c r="D342" s="13"/>
      <c r="F342" s="14"/>
      <c r="G342" s="14"/>
      <c r="H342" s="14"/>
      <c r="I342" s="14"/>
      <c r="J342" s="14"/>
      <c r="K342" s="12"/>
    </row>
    <row r="343" ht="19.5" customHeight="1">
      <c r="A343" s="12"/>
      <c r="C343" s="12"/>
      <c r="D343" s="13"/>
      <c r="F343" s="14"/>
      <c r="G343" s="14"/>
      <c r="H343" s="14"/>
      <c r="I343" s="14"/>
      <c r="J343" s="14"/>
      <c r="K343" s="12"/>
    </row>
    <row r="344" ht="19.5" customHeight="1">
      <c r="A344" s="12"/>
      <c r="C344" s="12"/>
      <c r="D344" s="13"/>
      <c r="F344" s="14"/>
      <c r="G344" s="14"/>
      <c r="H344" s="14"/>
      <c r="I344" s="14"/>
      <c r="J344" s="14"/>
      <c r="K344" s="12"/>
    </row>
    <row r="345" ht="19.5" customHeight="1">
      <c r="A345" s="12"/>
      <c r="C345" s="12"/>
      <c r="D345" s="13"/>
      <c r="F345" s="14"/>
      <c r="G345" s="14"/>
      <c r="H345" s="14"/>
      <c r="I345" s="14"/>
      <c r="J345" s="14"/>
      <c r="K345" s="12"/>
    </row>
    <row r="346" ht="19.5" customHeight="1">
      <c r="A346" s="12"/>
      <c r="C346" s="12"/>
      <c r="D346" s="13"/>
      <c r="F346" s="14"/>
      <c r="G346" s="14"/>
      <c r="H346" s="14"/>
      <c r="I346" s="14"/>
      <c r="J346" s="14"/>
      <c r="K346" s="12"/>
    </row>
    <row r="347" ht="19.5" customHeight="1">
      <c r="A347" s="12"/>
      <c r="C347" s="12"/>
      <c r="D347" s="13"/>
      <c r="F347" s="14"/>
      <c r="G347" s="14"/>
      <c r="H347" s="14"/>
      <c r="I347" s="14"/>
      <c r="J347" s="14"/>
      <c r="K347" s="12"/>
    </row>
    <row r="348" ht="19.5" customHeight="1">
      <c r="A348" s="12"/>
      <c r="C348" s="12"/>
      <c r="D348" s="13"/>
      <c r="F348" s="14"/>
      <c r="G348" s="14"/>
      <c r="H348" s="14"/>
      <c r="I348" s="14"/>
      <c r="J348" s="14"/>
      <c r="K348" s="12"/>
    </row>
    <row r="349" ht="19.5" customHeight="1">
      <c r="A349" s="12"/>
      <c r="C349" s="12"/>
      <c r="D349" s="13"/>
      <c r="F349" s="14"/>
      <c r="G349" s="14"/>
      <c r="H349" s="14"/>
      <c r="I349" s="14"/>
      <c r="J349" s="14"/>
      <c r="K349" s="12"/>
    </row>
    <row r="350" ht="19.5" customHeight="1">
      <c r="A350" s="12"/>
      <c r="C350" s="12"/>
      <c r="D350" s="13"/>
      <c r="F350" s="14"/>
      <c r="G350" s="14"/>
      <c r="H350" s="14"/>
      <c r="I350" s="14"/>
      <c r="J350" s="14"/>
      <c r="K350" s="12"/>
    </row>
    <row r="351" ht="19.5" customHeight="1">
      <c r="A351" s="12"/>
      <c r="C351" s="12"/>
      <c r="D351" s="13"/>
      <c r="F351" s="14"/>
      <c r="G351" s="14"/>
      <c r="H351" s="14"/>
      <c r="I351" s="14"/>
      <c r="J351" s="14"/>
      <c r="K351" s="12"/>
    </row>
    <row r="352" ht="19.5" customHeight="1">
      <c r="A352" s="12"/>
      <c r="C352" s="12"/>
      <c r="D352" s="13"/>
      <c r="F352" s="14"/>
      <c r="G352" s="14"/>
      <c r="H352" s="14"/>
      <c r="I352" s="14"/>
      <c r="J352" s="14"/>
      <c r="K352" s="12"/>
    </row>
    <row r="353" ht="19.5" customHeight="1">
      <c r="A353" s="12"/>
      <c r="C353" s="12"/>
      <c r="D353" s="13"/>
      <c r="F353" s="14"/>
      <c r="G353" s="14"/>
      <c r="H353" s="14"/>
      <c r="I353" s="14"/>
      <c r="J353" s="14"/>
      <c r="K353" s="12"/>
    </row>
    <row r="354" ht="19.5" customHeight="1">
      <c r="A354" s="12"/>
      <c r="C354" s="12"/>
      <c r="D354" s="13"/>
      <c r="F354" s="14"/>
      <c r="G354" s="14"/>
      <c r="H354" s="14"/>
      <c r="I354" s="14"/>
      <c r="J354" s="14"/>
      <c r="K354" s="12"/>
    </row>
    <row r="355" ht="19.5" customHeight="1">
      <c r="A355" s="12"/>
      <c r="C355" s="12"/>
      <c r="D355" s="13"/>
      <c r="F355" s="14"/>
      <c r="G355" s="14"/>
      <c r="H355" s="14"/>
      <c r="I355" s="14"/>
      <c r="J355" s="14"/>
      <c r="K355" s="12"/>
    </row>
    <row r="356" ht="19.5" customHeight="1">
      <c r="A356" s="12"/>
      <c r="C356" s="12"/>
      <c r="D356" s="13"/>
      <c r="F356" s="14"/>
      <c r="G356" s="14"/>
      <c r="H356" s="14"/>
      <c r="I356" s="14"/>
      <c r="J356" s="14"/>
      <c r="K356" s="12"/>
    </row>
    <row r="357" ht="19.5" customHeight="1">
      <c r="A357" s="12"/>
      <c r="C357" s="12"/>
      <c r="D357" s="13"/>
      <c r="F357" s="14"/>
      <c r="G357" s="14"/>
      <c r="H357" s="14"/>
      <c r="I357" s="14"/>
      <c r="J357" s="14"/>
      <c r="K357" s="12"/>
    </row>
    <row r="358" ht="19.5" customHeight="1">
      <c r="A358" s="12"/>
      <c r="C358" s="12"/>
      <c r="D358" s="13"/>
      <c r="F358" s="14"/>
      <c r="G358" s="14"/>
      <c r="H358" s="14"/>
      <c r="I358" s="14"/>
      <c r="J358" s="14"/>
      <c r="K358" s="12"/>
    </row>
    <row r="359" ht="19.5" customHeight="1">
      <c r="A359" s="12"/>
      <c r="C359" s="12"/>
      <c r="D359" s="13"/>
      <c r="F359" s="14"/>
      <c r="G359" s="14"/>
      <c r="H359" s="14"/>
      <c r="I359" s="14"/>
      <c r="J359" s="14"/>
      <c r="K359" s="12"/>
    </row>
    <row r="360" ht="19.5" customHeight="1">
      <c r="A360" s="12"/>
      <c r="C360" s="12"/>
      <c r="D360" s="13"/>
      <c r="F360" s="14"/>
      <c r="G360" s="14"/>
      <c r="H360" s="14"/>
      <c r="I360" s="14"/>
      <c r="J360" s="14"/>
      <c r="K360" s="12"/>
    </row>
    <row r="361" ht="19.5" customHeight="1">
      <c r="A361" s="12"/>
      <c r="C361" s="12"/>
      <c r="D361" s="13"/>
      <c r="F361" s="14"/>
      <c r="G361" s="14"/>
      <c r="H361" s="14"/>
      <c r="I361" s="14"/>
      <c r="J361" s="14"/>
      <c r="K361" s="12"/>
    </row>
    <row r="362" ht="19.5" customHeight="1">
      <c r="A362" s="12"/>
      <c r="C362" s="12"/>
      <c r="D362" s="13"/>
      <c r="F362" s="14"/>
      <c r="G362" s="14"/>
      <c r="H362" s="14"/>
      <c r="I362" s="14"/>
      <c r="J362" s="14"/>
      <c r="K362" s="12"/>
    </row>
    <row r="363" ht="19.5" customHeight="1">
      <c r="A363" s="12"/>
      <c r="C363" s="12"/>
      <c r="D363" s="13"/>
      <c r="F363" s="14"/>
      <c r="G363" s="14"/>
      <c r="H363" s="14"/>
      <c r="I363" s="14"/>
      <c r="J363" s="14"/>
      <c r="K363" s="12"/>
    </row>
    <row r="364" ht="19.5" customHeight="1">
      <c r="A364" s="12"/>
      <c r="C364" s="12"/>
      <c r="D364" s="13"/>
      <c r="F364" s="14"/>
      <c r="G364" s="14"/>
      <c r="H364" s="14"/>
      <c r="I364" s="14"/>
      <c r="J364" s="14"/>
      <c r="K364" s="12"/>
    </row>
    <row r="365" ht="19.5" customHeight="1">
      <c r="A365" s="12"/>
      <c r="C365" s="12"/>
      <c r="D365" s="13"/>
      <c r="F365" s="14"/>
      <c r="G365" s="14"/>
      <c r="H365" s="14"/>
      <c r="I365" s="14"/>
      <c r="J365" s="14"/>
      <c r="K365" s="12"/>
    </row>
    <row r="366" ht="19.5" customHeight="1">
      <c r="A366" s="12"/>
      <c r="C366" s="12"/>
      <c r="D366" s="13"/>
      <c r="F366" s="14"/>
      <c r="G366" s="14"/>
      <c r="H366" s="14"/>
      <c r="I366" s="14"/>
      <c r="J366" s="14"/>
      <c r="K366" s="12"/>
    </row>
    <row r="367" ht="19.5" customHeight="1">
      <c r="A367" s="12"/>
      <c r="C367" s="12"/>
      <c r="D367" s="13"/>
      <c r="F367" s="14"/>
      <c r="G367" s="14"/>
      <c r="H367" s="14"/>
      <c r="I367" s="14"/>
      <c r="J367" s="14"/>
      <c r="K367" s="12"/>
    </row>
    <row r="368" ht="19.5" customHeight="1">
      <c r="A368" s="12"/>
      <c r="C368" s="12"/>
      <c r="D368" s="13"/>
      <c r="F368" s="14"/>
      <c r="G368" s="14"/>
      <c r="H368" s="14"/>
      <c r="I368" s="14"/>
      <c r="J368" s="14"/>
      <c r="K368" s="12"/>
    </row>
    <row r="369" ht="19.5" customHeight="1">
      <c r="A369" s="12"/>
      <c r="C369" s="12"/>
      <c r="D369" s="13"/>
      <c r="F369" s="14"/>
      <c r="G369" s="14"/>
      <c r="H369" s="14"/>
      <c r="I369" s="14"/>
      <c r="J369" s="14"/>
      <c r="K369" s="12"/>
    </row>
    <row r="370" ht="19.5" customHeight="1">
      <c r="A370" s="12"/>
      <c r="C370" s="12"/>
      <c r="D370" s="13"/>
      <c r="F370" s="14"/>
      <c r="G370" s="14"/>
      <c r="H370" s="14"/>
      <c r="I370" s="14"/>
      <c r="J370" s="14"/>
      <c r="K370" s="12"/>
    </row>
    <row r="371" ht="19.5" customHeight="1">
      <c r="A371" s="12"/>
      <c r="C371" s="12"/>
      <c r="D371" s="13"/>
      <c r="F371" s="14"/>
      <c r="G371" s="14"/>
      <c r="H371" s="14"/>
      <c r="I371" s="14"/>
      <c r="J371" s="14"/>
      <c r="K371" s="12"/>
    </row>
    <row r="372" ht="19.5" customHeight="1">
      <c r="A372" s="12"/>
      <c r="C372" s="12"/>
      <c r="D372" s="13"/>
      <c r="F372" s="14"/>
      <c r="G372" s="14"/>
      <c r="H372" s="14"/>
      <c r="I372" s="14"/>
      <c r="J372" s="14"/>
      <c r="K372" s="12"/>
    </row>
    <row r="373" ht="19.5" customHeight="1">
      <c r="A373" s="12"/>
      <c r="C373" s="12"/>
      <c r="D373" s="13"/>
      <c r="F373" s="14"/>
      <c r="G373" s="14"/>
      <c r="H373" s="14"/>
      <c r="I373" s="14"/>
      <c r="J373" s="14"/>
      <c r="K373" s="12"/>
    </row>
    <row r="374" ht="19.5" customHeight="1">
      <c r="A374" s="12"/>
      <c r="C374" s="12"/>
      <c r="D374" s="13"/>
      <c r="F374" s="14"/>
      <c r="G374" s="14"/>
      <c r="H374" s="14"/>
      <c r="I374" s="14"/>
      <c r="J374" s="14"/>
      <c r="K374" s="12"/>
    </row>
    <row r="375" ht="19.5" customHeight="1">
      <c r="A375" s="12"/>
      <c r="C375" s="12"/>
      <c r="D375" s="13"/>
      <c r="F375" s="14"/>
      <c r="G375" s="14"/>
      <c r="H375" s="14"/>
      <c r="I375" s="14"/>
      <c r="J375" s="14"/>
      <c r="K375" s="12"/>
    </row>
    <row r="376" ht="19.5" customHeight="1">
      <c r="A376" s="12"/>
      <c r="C376" s="12"/>
      <c r="D376" s="13"/>
      <c r="F376" s="14"/>
      <c r="G376" s="14"/>
      <c r="H376" s="14"/>
      <c r="I376" s="14"/>
      <c r="J376" s="14"/>
      <c r="K376" s="12"/>
    </row>
    <row r="377" ht="19.5" customHeight="1">
      <c r="A377" s="12"/>
      <c r="C377" s="12"/>
      <c r="D377" s="13"/>
      <c r="F377" s="14"/>
      <c r="G377" s="14"/>
      <c r="H377" s="14"/>
      <c r="I377" s="14"/>
      <c r="J377" s="14"/>
      <c r="K377" s="12"/>
    </row>
    <row r="378" ht="19.5" customHeight="1">
      <c r="A378" s="12"/>
      <c r="C378" s="12"/>
      <c r="D378" s="13"/>
      <c r="F378" s="14"/>
      <c r="G378" s="14"/>
      <c r="H378" s="14"/>
      <c r="I378" s="14"/>
      <c r="J378" s="14"/>
      <c r="K378" s="12"/>
    </row>
    <row r="379" ht="19.5" customHeight="1">
      <c r="A379" s="12"/>
      <c r="C379" s="12"/>
      <c r="D379" s="13"/>
      <c r="F379" s="14"/>
      <c r="G379" s="14"/>
      <c r="H379" s="14"/>
      <c r="I379" s="14"/>
      <c r="J379" s="14"/>
      <c r="K379" s="12"/>
    </row>
    <row r="380" ht="19.5" customHeight="1">
      <c r="A380" s="12"/>
      <c r="C380" s="12"/>
      <c r="D380" s="13"/>
      <c r="F380" s="14"/>
      <c r="G380" s="14"/>
      <c r="H380" s="14"/>
      <c r="I380" s="14"/>
      <c r="J380" s="14"/>
      <c r="K380" s="12"/>
    </row>
    <row r="381" ht="19.5" customHeight="1">
      <c r="A381" s="12"/>
      <c r="C381" s="12"/>
      <c r="D381" s="13"/>
      <c r="F381" s="14"/>
      <c r="G381" s="14"/>
      <c r="H381" s="14"/>
      <c r="I381" s="14"/>
      <c r="J381" s="14"/>
      <c r="K381" s="12"/>
    </row>
    <row r="382" ht="19.5" customHeight="1">
      <c r="A382" s="12"/>
      <c r="C382" s="12"/>
      <c r="D382" s="13"/>
      <c r="F382" s="14"/>
      <c r="G382" s="14"/>
      <c r="H382" s="14"/>
      <c r="I382" s="14"/>
      <c r="J382" s="14"/>
      <c r="K382" s="12"/>
    </row>
    <row r="383" ht="19.5" customHeight="1">
      <c r="A383" s="12"/>
      <c r="C383" s="12"/>
      <c r="D383" s="13"/>
      <c r="F383" s="14"/>
      <c r="G383" s="14"/>
      <c r="H383" s="14"/>
      <c r="I383" s="14"/>
      <c r="J383" s="14"/>
      <c r="K383" s="12"/>
    </row>
    <row r="384" ht="19.5" customHeight="1">
      <c r="A384" s="12"/>
      <c r="C384" s="12"/>
      <c r="D384" s="13"/>
      <c r="F384" s="14"/>
      <c r="G384" s="14"/>
      <c r="H384" s="14"/>
      <c r="I384" s="14"/>
      <c r="J384" s="14"/>
      <c r="K384" s="12"/>
    </row>
    <row r="385" ht="19.5" customHeight="1">
      <c r="A385" s="12"/>
      <c r="C385" s="12"/>
      <c r="D385" s="13"/>
      <c r="F385" s="14"/>
      <c r="G385" s="14"/>
      <c r="H385" s="14"/>
      <c r="I385" s="14"/>
      <c r="J385" s="14"/>
      <c r="K385" s="12"/>
    </row>
    <row r="386" ht="19.5" customHeight="1">
      <c r="A386" s="12"/>
      <c r="C386" s="12"/>
      <c r="D386" s="13"/>
      <c r="F386" s="14"/>
      <c r="G386" s="14"/>
      <c r="H386" s="14"/>
      <c r="I386" s="14"/>
      <c r="J386" s="14"/>
      <c r="K386" s="12"/>
    </row>
    <row r="387" ht="19.5" customHeight="1">
      <c r="A387" s="12"/>
      <c r="C387" s="12"/>
      <c r="D387" s="13"/>
      <c r="F387" s="14"/>
      <c r="G387" s="14"/>
      <c r="H387" s="14"/>
      <c r="I387" s="14"/>
      <c r="J387" s="14"/>
      <c r="K387" s="12"/>
    </row>
    <row r="388" ht="19.5" customHeight="1">
      <c r="A388" s="12"/>
      <c r="C388" s="12"/>
      <c r="D388" s="13"/>
      <c r="F388" s="14"/>
      <c r="G388" s="14"/>
      <c r="H388" s="14"/>
      <c r="I388" s="14"/>
      <c r="J388" s="14"/>
      <c r="K388" s="12"/>
    </row>
    <row r="389" ht="19.5" customHeight="1">
      <c r="A389" s="12"/>
      <c r="C389" s="12"/>
      <c r="D389" s="13"/>
      <c r="F389" s="14"/>
      <c r="G389" s="14"/>
      <c r="H389" s="14"/>
      <c r="I389" s="14"/>
      <c r="J389" s="14"/>
      <c r="K389" s="12"/>
    </row>
    <row r="390" ht="19.5" customHeight="1">
      <c r="A390" s="12"/>
      <c r="C390" s="12"/>
      <c r="D390" s="13"/>
      <c r="F390" s="14"/>
      <c r="G390" s="14"/>
      <c r="H390" s="14"/>
      <c r="I390" s="14"/>
      <c r="J390" s="14"/>
      <c r="K390" s="12"/>
    </row>
    <row r="391" ht="19.5" customHeight="1">
      <c r="A391" s="12"/>
      <c r="C391" s="12"/>
      <c r="D391" s="13"/>
      <c r="F391" s="14"/>
      <c r="G391" s="14"/>
      <c r="H391" s="14"/>
      <c r="I391" s="14"/>
      <c r="J391" s="14"/>
      <c r="K391" s="12"/>
    </row>
    <row r="392" ht="19.5" customHeight="1">
      <c r="A392" s="12"/>
      <c r="C392" s="12"/>
      <c r="D392" s="13"/>
      <c r="F392" s="14"/>
      <c r="G392" s="14"/>
      <c r="H392" s="14"/>
      <c r="I392" s="14"/>
      <c r="J392" s="14"/>
      <c r="K392" s="12"/>
    </row>
    <row r="393" ht="19.5" customHeight="1">
      <c r="A393" s="12"/>
      <c r="C393" s="12"/>
      <c r="D393" s="13"/>
      <c r="F393" s="14"/>
      <c r="G393" s="14"/>
      <c r="H393" s="14"/>
      <c r="I393" s="14"/>
      <c r="J393" s="14"/>
      <c r="K393" s="12"/>
    </row>
    <row r="394" ht="19.5" customHeight="1">
      <c r="A394" s="12"/>
      <c r="C394" s="12"/>
      <c r="D394" s="13"/>
      <c r="F394" s="14"/>
      <c r="G394" s="14"/>
      <c r="H394" s="14"/>
      <c r="I394" s="14"/>
      <c r="J394" s="14"/>
      <c r="K394" s="12"/>
    </row>
    <row r="395" ht="19.5" customHeight="1">
      <c r="A395" s="12"/>
      <c r="C395" s="12"/>
      <c r="D395" s="13"/>
      <c r="F395" s="14"/>
      <c r="G395" s="14"/>
      <c r="H395" s="14"/>
      <c r="I395" s="14"/>
      <c r="J395" s="14"/>
      <c r="K395" s="12"/>
    </row>
    <row r="396" ht="19.5" customHeight="1">
      <c r="A396" s="12"/>
      <c r="C396" s="12"/>
      <c r="D396" s="13"/>
      <c r="F396" s="14"/>
      <c r="G396" s="14"/>
      <c r="H396" s="14"/>
      <c r="I396" s="14"/>
      <c r="J396" s="14"/>
      <c r="K396" s="12"/>
    </row>
    <row r="397" ht="19.5" customHeight="1">
      <c r="A397" s="12"/>
      <c r="C397" s="12"/>
      <c r="D397" s="13"/>
      <c r="F397" s="14"/>
      <c r="G397" s="14"/>
      <c r="H397" s="14"/>
      <c r="I397" s="14"/>
      <c r="J397" s="14"/>
      <c r="K397" s="12"/>
    </row>
    <row r="398" ht="19.5" customHeight="1">
      <c r="A398" s="12"/>
      <c r="C398" s="12"/>
      <c r="D398" s="13"/>
      <c r="F398" s="14"/>
      <c r="G398" s="14"/>
      <c r="H398" s="14"/>
      <c r="I398" s="14"/>
      <c r="J398" s="14"/>
      <c r="K398" s="12"/>
    </row>
    <row r="399" ht="19.5" customHeight="1">
      <c r="A399" s="12"/>
      <c r="C399" s="12"/>
      <c r="D399" s="13"/>
      <c r="F399" s="14"/>
      <c r="G399" s="14"/>
      <c r="H399" s="14"/>
      <c r="I399" s="14"/>
      <c r="J399" s="14"/>
      <c r="K399" s="12"/>
    </row>
    <row r="400" ht="19.5" customHeight="1">
      <c r="A400" s="12"/>
      <c r="C400" s="12"/>
      <c r="D400" s="13"/>
      <c r="F400" s="14"/>
      <c r="G400" s="14"/>
      <c r="H400" s="14"/>
      <c r="I400" s="14"/>
      <c r="J400" s="14"/>
      <c r="K400" s="12"/>
    </row>
    <row r="401" ht="19.5" customHeight="1">
      <c r="A401" s="12"/>
      <c r="C401" s="12"/>
      <c r="D401" s="13"/>
      <c r="F401" s="14"/>
      <c r="G401" s="14"/>
      <c r="H401" s="14"/>
      <c r="I401" s="14"/>
      <c r="J401" s="14"/>
      <c r="K401" s="12"/>
    </row>
    <row r="402" ht="19.5" customHeight="1">
      <c r="A402" s="12"/>
      <c r="C402" s="12"/>
      <c r="D402" s="13"/>
      <c r="F402" s="14"/>
      <c r="G402" s="14"/>
      <c r="H402" s="14"/>
      <c r="I402" s="14"/>
      <c r="J402" s="14"/>
      <c r="K402" s="12"/>
    </row>
    <row r="403" ht="19.5" customHeight="1">
      <c r="A403" s="12"/>
      <c r="C403" s="12"/>
      <c r="D403" s="13"/>
      <c r="F403" s="14"/>
      <c r="G403" s="14"/>
      <c r="H403" s="14"/>
      <c r="I403" s="14"/>
      <c r="J403" s="14"/>
      <c r="K403" s="12"/>
    </row>
    <row r="404" ht="19.5" customHeight="1">
      <c r="A404" s="12"/>
      <c r="C404" s="12"/>
      <c r="D404" s="13"/>
      <c r="F404" s="14"/>
      <c r="G404" s="14"/>
      <c r="H404" s="14"/>
      <c r="I404" s="14"/>
      <c r="J404" s="14"/>
      <c r="K404" s="12"/>
    </row>
    <row r="405" ht="19.5" customHeight="1">
      <c r="A405" s="12"/>
      <c r="C405" s="12"/>
      <c r="D405" s="13"/>
      <c r="F405" s="14"/>
      <c r="G405" s="14"/>
      <c r="H405" s="14"/>
      <c r="I405" s="14"/>
      <c r="J405" s="14"/>
      <c r="K405" s="12"/>
    </row>
    <row r="406" ht="19.5" customHeight="1">
      <c r="A406" s="12"/>
      <c r="C406" s="12"/>
      <c r="D406" s="13"/>
      <c r="F406" s="14"/>
      <c r="G406" s="14"/>
      <c r="H406" s="14"/>
      <c r="I406" s="14"/>
      <c r="J406" s="14"/>
      <c r="K406" s="12"/>
    </row>
    <row r="407" ht="19.5" customHeight="1">
      <c r="A407" s="12"/>
      <c r="C407" s="12"/>
      <c r="D407" s="13"/>
      <c r="F407" s="14"/>
      <c r="G407" s="14"/>
      <c r="H407" s="14"/>
      <c r="I407" s="14"/>
      <c r="J407" s="14"/>
      <c r="K407" s="12"/>
    </row>
    <row r="408" ht="19.5" customHeight="1">
      <c r="A408" s="12"/>
      <c r="C408" s="12"/>
      <c r="D408" s="13"/>
      <c r="F408" s="14"/>
      <c r="G408" s="14"/>
      <c r="H408" s="14"/>
      <c r="I408" s="14"/>
      <c r="J408" s="14"/>
      <c r="K408" s="12"/>
    </row>
    <row r="409" ht="19.5" customHeight="1">
      <c r="A409" s="12"/>
      <c r="C409" s="12"/>
      <c r="D409" s="13"/>
      <c r="F409" s="14"/>
      <c r="G409" s="14"/>
      <c r="H409" s="14"/>
      <c r="I409" s="14"/>
      <c r="J409" s="14"/>
      <c r="K409" s="12"/>
    </row>
    <row r="410" ht="19.5" customHeight="1">
      <c r="A410" s="12"/>
      <c r="C410" s="12"/>
      <c r="D410" s="13"/>
      <c r="F410" s="14"/>
      <c r="G410" s="14"/>
      <c r="H410" s="14"/>
      <c r="I410" s="14"/>
      <c r="J410" s="14"/>
      <c r="K410" s="12"/>
    </row>
    <row r="411" ht="19.5" customHeight="1">
      <c r="A411" s="12"/>
      <c r="C411" s="12"/>
      <c r="D411" s="13"/>
      <c r="F411" s="14"/>
      <c r="G411" s="14"/>
      <c r="H411" s="14"/>
      <c r="I411" s="14"/>
      <c r="J411" s="14"/>
      <c r="K411" s="12"/>
    </row>
    <row r="412" ht="19.5" customHeight="1">
      <c r="A412" s="12"/>
      <c r="C412" s="12"/>
      <c r="D412" s="13"/>
      <c r="F412" s="14"/>
      <c r="G412" s="14"/>
      <c r="H412" s="14"/>
      <c r="I412" s="14"/>
      <c r="J412" s="14"/>
      <c r="K412" s="12"/>
    </row>
    <row r="413" ht="19.5" customHeight="1">
      <c r="A413" s="12"/>
      <c r="C413" s="12"/>
      <c r="D413" s="13"/>
      <c r="F413" s="14"/>
      <c r="G413" s="14"/>
      <c r="H413" s="14"/>
      <c r="I413" s="14"/>
      <c r="J413" s="14"/>
      <c r="K413" s="12"/>
    </row>
    <row r="414" ht="19.5" customHeight="1">
      <c r="A414" s="12"/>
      <c r="C414" s="12"/>
      <c r="D414" s="13"/>
      <c r="F414" s="14"/>
      <c r="G414" s="14"/>
      <c r="H414" s="14"/>
      <c r="I414" s="14"/>
      <c r="J414" s="14"/>
      <c r="K414" s="12"/>
    </row>
    <row r="415" ht="19.5" customHeight="1">
      <c r="A415" s="12"/>
      <c r="C415" s="12"/>
      <c r="D415" s="13"/>
      <c r="F415" s="14"/>
      <c r="G415" s="14"/>
      <c r="H415" s="14"/>
      <c r="I415" s="14"/>
      <c r="J415" s="14"/>
      <c r="K415" s="12"/>
    </row>
    <row r="416" ht="19.5" customHeight="1">
      <c r="A416" s="12"/>
      <c r="C416" s="12"/>
      <c r="D416" s="13"/>
      <c r="F416" s="14"/>
      <c r="G416" s="14"/>
      <c r="H416" s="14"/>
      <c r="I416" s="14"/>
      <c r="J416" s="14"/>
      <c r="K416" s="12"/>
    </row>
    <row r="417" ht="19.5" customHeight="1">
      <c r="A417" s="12"/>
      <c r="C417" s="12"/>
      <c r="D417" s="13"/>
      <c r="F417" s="14"/>
      <c r="G417" s="14"/>
      <c r="H417" s="14"/>
      <c r="I417" s="14"/>
      <c r="J417" s="14"/>
      <c r="K417" s="12"/>
    </row>
    <row r="418" ht="19.5" customHeight="1">
      <c r="A418" s="12"/>
      <c r="C418" s="12"/>
      <c r="D418" s="13"/>
      <c r="F418" s="14"/>
      <c r="G418" s="14"/>
      <c r="H418" s="14"/>
      <c r="I418" s="14"/>
      <c r="J418" s="14"/>
      <c r="K418" s="12"/>
    </row>
    <row r="419" ht="19.5" customHeight="1">
      <c r="A419" s="12"/>
      <c r="C419" s="12"/>
      <c r="D419" s="13"/>
      <c r="F419" s="14"/>
      <c r="G419" s="14"/>
      <c r="H419" s="14"/>
      <c r="I419" s="14"/>
      <c r="J419" s="14"/>
      <c r="K419" s="12"/>
    </row>
    <row r="420" ht="19.5" customHeight="1">
      <c r="A420" s="12"/>
      <c r="C420" s="12"/>
      <c r="D420" s="13"/>
      <c r="F420" s="14"/>
      <c r="G420" s="14"/>
      <c r="H420" s="14"/>
      <c r="I420" s="14"/>
      <c r="J420" s="14"/>
      <c r="K420" s="12"/>
    </row>
    <row r="421" ht="19.5" customHeight="1">
      <c r="A421" s="12"/>
      <c r="C421" s="12"/>
      <c r="D421" s="13"/>
      <c r="F421" s="14"/>
      <c r="G421" s="14"/>
      <c r="H421" s="14"/>
      <c r="I421" s="14"/>
      <c r="J421" s="14"/>
      <c r="K421" s="12"/>
    </row>
    <row r="422" ht="19.5" customHeight="1">
      <c r="A422" s="12"/>
      <c r="C422" s="12"/>
      <c r="D422" s="13"/>
      <c r="F422" s="14"/>
      <c r="G422" s="14"/>
      <c r="H422" s="14"/>
      <c r="I422" s="14"/>
      <c r="J422" s="14"/>
      <c r="K422" s="12"/>
    </row>
    <row r="423" ht="19.5" customHeight="1">
      <c r="A423" s="12"/>
      <c r="C423" s="12"/>
      <c r="D423" s="13"/>
      <c r="F423" s="14"/>
      <c r="G423" s="14"/>
      <c r="H423" s="14"/>
      <c r="I423" s="14"/>
      <c r="J423" s="14"/>
      <c r="K423" s="12"/>
    </row>
    <row r="424" ht="19.5" customHeight="1">
      <c r="A424" s="12"/>
      <c r="C424" s="12"/>
      <c r="D424" s="13"/>
      <c r="F424" s="14"/>
      <c r="G424" s="14"/>
      <c r="H424" s="14"/>
      <c r="I424" s="14"/>
      <c r="J424" s="14"/>
      <c r="K424" s="12"/>
    </row>
    <row r="425" ht="19.5" customHeight="1">
      <c r="A425" s="12"/>
      <c r="C425" s="12"/>
      <c r="D425" s="13"/>
      <c r="F425" s="14"/>
      <c r="G425" s="14"/>
      <c r="H425" s="14"/>
      <c r="I425" s="14"/>
      <c r="J425" s="14"/>
      <c r="K425" s="12"/>
    </row>
    <row r="426" ht="19.5" customHeight="1">
      <c r="A426" s="12"/>
      <c r="C426" s="12"/>
      <c r="D426" s="13"/>
      <c r="F426" s="14"/>
      <c r="G426" s="14"/>
      <c r="H426" s="14"/>
      <c r="I426" s="14"/>
      <c r="J426" s="14"/>
      <c r="K426" s="12"/>
    </row>
    <row r="427" ht="19.5" customHeight="1">
      <c r="A427" s="12"/>
      <c r="C427" s="12"/>
      <c r="D427" s="13"/>
      <c r="F427" s="14"/>
      <c r="G427" s="14"/>
      <c r="H427" s="14"/>
      <c r="I427" s="14"/>
      <c r="J427" s="14"/>
      <c r="K427" s="12"/>
    </row>
    <row r="428" ht="19.5" customHeight="1">
      <c r="A428" s="12"/>
      <c r="C428" s="12"/>
      <c r="D428" s="13"/>
      <c r="F428" s="14"/>
      <c r="G428" s="14"/>
      <c r="H428" s="14"/>
      <c r="I428" s="14"/>
      <c r="J428" s="14"/>
      <c r="K428" s="12"/>
    </row>
    <row r="429" ht="19.5" customHeight="1">
      <c r="A429" s="12"/>
      <c r="C429" s="12"/>
      <c r="D429" s="13"/>
      <c r="F429" s="14"/>
      <c r="G429" s="14"/>
      <c r="H429" s="14"/>
      <c r="I429" s="14"/>
      <c r="J429" s="14"/>
      <c r="K429" s="12"/>
    </row>
    <row r="430" ht="19.5" customHeight="1">
      <c r="A430" s="12"/>
      <c r="C430" s="12"/>
      <c r="D430" s="13"/>
      <c r="F430" s="14"/>
      <c r="G430" s="14"/>
      <c r="H430" s="14"/>
      <c r="I430" s="14"/>
      <c r="J430" s="14"/>
      <c r="K430" s="12"/>
    </row>
    <row r="431" ht="19.5" customHeight="1">
      <c r="A431" s="12"/>
      <c r="C431" s="12"/>
      <c r="D431" s="13"/>
      <c r="F431" s="14"/>
      <c r="G431" s="14"/>
      <c r="H431" s="14"/>
      <c r="I431" s="14"/>
      <c r="J431" s="14"/>
      <c r="K431" s="12"/>
    </row>
    <row r="432" ht="19.5" customHeight="1">
      <c r="A432" s="12"/>
      <c r="C432" s="12"/>
      <c r="D432" s="13"/>
      <c r="F432" s="14"/>
      <c r="G432" s="14"/>
      <c r="H432" s="14"/>
      <c r="I432" s="14"/>
      <c r="J432" s="14"/>
      <c r="K432" s="12"/>
    </row>
    <row r="433" ht="19.5" customHeight="1">
      <c r="A433" s="12"/>
      <c r="C433" s="12"/>
      <c r="D433" s="13"/>
      <c r="F433" s="14"/>
      <c r="G433" s="14"/>
      <c r="H433" s="14"/>
      <c r="I433" s="14"/>
      <c r="J433" s="14"/>
      <c r="K433" s="12"/>
    </row>
    <row r="434" ht="19.5" customHeight="1">
      <c r="A434" s="12"/>
      <c r="C434" s="12"/>
      <c r="D434" s="13"/>
      <c r="F434" s="14"/>
      <c r="G434" s="14"/>
      <c r="H434" s="14"/>
      <c r="I434" s="14"/>
      <c r="J434" s="14"/>
      <c r="K434" s="12"/>
    </row>
    <row r="435" ht="19.5" customHeight="1">
      <c r="A435" s="12"/>
      <c r="C435" s="12"/>
      <c r="D435" s="13"/>
      <c r="F435" s="14"/>
      <c r="G435" s="14"/>
      <c r="H435" s="14"/>
      <c r="I435" s="14"/>
      <c r="J435" s="14"/>
      <c r="K435" s="12"/>
    </row>
    <row r="436" ht="19.5" customHeight="1">
      <c r="A436" s="12"/>
      <c r="C436" s="12"/>
      <c r="D436" s="13"/>
      <c r="F436" s="14"/>
      <c r="G436" s="14"/>
      <c r="H436" s="14"/>
      <c r="I436" s="14"/>
      <c r="J436" s="14"/>
      <c r="K436" s="12"/>
    </row>
    <row r="437" ht="19.5" customHeight="1">
      <c r="A437" s="12"/>
      <c r="C437" s="12"/>
      <c r="D437" s="13"/>
      <c r="F437" s="14"/>
      <c r="G437" s="14"/>
      <c r="H437" s="14"/>
      <c r="I437" s="14"/>
      <c r="J437" s="14"/>
      <c r="K437" s="12"/>
    </row>
    <row r="438" ht="19.5" customHeight="1">
      <c r="A438" s="12"/>
      <c r="C438" s="12"/>
      <c r="D438" s="13"/>
      <c r="F438" s="14"/>
      <c r="G438" s="14"/>
      <c r="H438" s="14"/>
      <c r="I438" s="14"/>
      <c r="J438" s="14"/>
      <c r="K438" s="12"/>
    </row>
    <row r="439" ht="19.5" customHeight="1">
      <c r="A439" s="12"/>
      <c r="C439" s="12"/>
      <c r="D439" s="13"/>
      <c r="F439" s="14"/>
      <c r="G439" s="14"/>
      <c r="H439" s="14"/>
      <c r="I439" s="14"/>
      <c r="J439" s="14"/>
      <c r="K439" s="12"/>
    </row>
    <row r="440" ht="19.5" customHeight="1">
      <c r="A440" s="12"/>
      <c r="C440" s="12"/>
      <c r="D440" s="13"/>
      <c r="F440" s="14"/>
      <c r="G440" s="14"/>
      <c r="H440" s="14"/>
      <c r="I440" s="14"/>
      <c r="J440" s="14"/>
      <c r="K440" s="12"/>
    </row>
    <row r="441" ht="19.5" customHeight="1">
      <c r="A441" s="12"/>
      <c r="C441" s="12"/>
      <c r="D441" s="13"/>
      <c r="F441" s="14"/>
      <c r="G441" s="14"/>
      <c r="H441" s="14"/>
      <c r="I441" s="14"/>
      <c r="J441" s="14"/>
      <c r="K441" s="12"/>
    </row>
    <row r="442" ht="19.5" customHeight="1">
      <c r="A442" s="12"/>
      <c r="C442" s="12"/>
      <c r="D442" s="13"/>
      <c r="F442" s="14"/>
      <c r="G442" s="14"/>
      <c r="H442" s="14"/>
      <c r="I442" s="14"/>
      <c r="J442" s="14"/>
      <c r="K442" s="12"/>
    </row>
    <row r="443" ht="19.5" customHeight="1">
      <c r="A443" s="12"/>
      <c r="C443" s="12"/>
      <c r="D443" s="13"/>
      <c r="F443" s="14"/>
      <c r="G443" s="14"/>
      <c r="H443" s="14"/>
      <c r="I443" s="14"/>
      <c r="J443" s="14"/>
      <c r="K443" s="12"/>
    </row>
    <row r="444" ht="19.5" customHeight="1">
      <c r="A444" s="12"/>
      <c r="C444" s="12"/>
      <c r="D444" s="13"/>
      <c r="F444" s="14"/>
      <c r="G444" s="14"/>
      <c r="H444" s="14"/>
      <c r="I444" s="14"/>
      <c r="J444" s="14"/>
      <c r="K444" s="12"/>
    </row>
    <row r="445" ht="19.5" customHeight="1">
      <c r="A445" s="12"/>
      <c r="C445" s="12"/>
      <c r="D445" s="13"/>
      <c r="F445" s="14"/>
      <c r="G445" s="14"/>
      <c r="H445" s="14"/>
      <c r="I445" s="14"/>
      <c r="J445" s="14"/>
      <c r="K445" s="12"/>
    </row>
    <row r="446" ht="19.5" customHeight="1">
      <c r="A446" s="12"/>
      <c r="C446" s="12"/>
      <c r="D446" s="13"/>
      <c r="F446" s="14"/>
      <c r="G446" s="14"/>
      <c r="H446" s="14"/>
      <c r="I446" s="14"/>
      <c r="J446" s="14"/>
      <c r="K446" s="12"/>
    </row>
    <row r="447" ht="19.5" customHeight="1">
      <c r="A447" s="12"/>
      <c r="C447" s="12"/>
      <c r="D447" s="13"/>
      <c r="F447" s="14"/>
      <c r="G447" s="14"/>
      <c r="H447" s="14"/>
      <c r="I447" s="14"/>
      <c r="J447" s="14"/>
      <c r="K447" s="12"/>
    </row>
    <row r="448" ht="19.5" customHeight="1">
      <c r="A448" s="12"/>
      <c r="C448" s="12"/>
      <c r="D448" s="13"/>
      <c r="F448" s="14"/>
      <c r="G448" s="14"/>
      <c r="H448" s="14"/>
      <c r="I448" s="14"/>
      <c r="J448" s="14"/>
      <c r="K448" s="12"/>
    </row>
    <row r="449" ht="19.5" customHeight="1">
      <c r="A449" s="12"/>
      <c r="C449" s="12"/>
      <c r="D449" s="13"/>
      <c r="F449" s="14"/>
      <c r="G449" s="14"/>
      <c r="H449" s="14"/>
      <c r="I449" s="14"/>
      <c r="J449" s="14"/>
      <c r="K449" s="12"/>
    </row>
    <row r="450" ht="19.5" customHeight="1">
      <c r="A450" s="12"/>
      <c r="C450" s="12"/>
      <c r="D450" s="13"/>
      <c r="F450" s="14"/>
      <c r="G450" s="14"/>
      <c r="H450" s="14"/>
      <c r="I450" s="14"/>
      <c r="J450" s="14"/>
      <c r="K450" s="12"/>
    </row>
    <row r="451" ht="19.5" customHeight="1">
      <c r="A451" s="12"/>
      <c r="C451" s="12"/>
      <c r="D451" s="13"/>
      <c r="F451" s="14"/>
      <c r="G451" s="14"/>
      <c r="H451" s="14"/>
      <c r="I451" s="14"/>
      <c r="J451" s="14"/>
      <c r="K451" s="12"/>
    </row>
    <row r="452" ht="19.5" customHeight="1">
      <c r="A452" s="12"/>
      <c r="C452" s="12"/>
      <c r="D452" s="13"/>
      <c r="F452" s="14"/>
      <c r="G452" s="14"/>
      <c r="H452" s="14"/>
      <c r="I452" s="14"/>
      <c r="J452" s="14"/>
      <c r="K452" s="12"/>
    </row>
    <row r="453" ht="19.5" customHeight="1">
      <c r="A453" s="12"/>
      <c r="C453" s="12"/>
      <c r="D453" s="13"/>
      <c r="F453" s="14"/>
      <c r="G453" s="14"/>
      <c r="H453" s="14"/>
      <c r="I453" s="14"/>
      <c r="J453" s="14"/>
      <c r="K453" s="12"/>
    </row>
    <row r="454" ht="19.5" customHeight="1">
      <c r="A454" s="12"/>
      <c r="C454" s="12"/>
      <c r="D454" s="13"/>
      <c r="F454" s="14"/>
      <c r="G454" s="14"/>
      <c r="H454" s="14"/>
      <c r="I454" s="14"/>
      <c r="J454" s="14"/>
      <c r="K454" s="12"/>
    </row>
    <row r="455" ht="19.5" customHeight="1">
      <c r="A455" s="12"/>
      <c r="C455" s="12"/>
      <c r="D455" s="13"/>
      <c r="F455" s="14"/>
      <c r="G455" s="14"/>
      <c r="H455" s="14"/>
      <c r="I455" s="14"/>
      <c r="J455" s="14"/>
      <c r="K455" s="12"/>
    </row>
    <row r="456" ht="19.5" customHeight="1">
      <c r="A456" s="12"/>
      <c r="C456" s="12"/>
      <c r="D456" s="13"/>
      <c r="F456" s="14"/>
      <c r="G456" s="14"/>
      <c r="H456" s="14"/>
      <c r="I456" s="14"/>
      <c r="J456" s="14"/>
      <c r="K456" s="12"/>
    </row>
    <row r="457" ht="19.5" customHeight="1">
      <c r="A457" s="12"/>
      <c r="C457" s="12"/>
      <c r="D457" s="13"/>
      <c r="F457" s="14"/>
      <c r="G457" s="14"/>
      <c r="H457" s="14"/>
      <c r="I457" s="14"/>
      <c r="J457" s="14"/>
      <c r="K457" s="12"/>
    </row>
    <row r="458" ht="19.5" customHeight="1">
      <c r="A458" s="12"/>
      <c r="C458" s="12"/>
      <c r="D458" s="13"/>
      <c r="F458" s="14"/>
      <c r="G458" s="14"/>
      <c r="H458" s="14"/>
      <c r="I458" s="14"/>
      <c r="J458" s="14"/>
      <c r="K458" s="12"/>
    </row>
    <row r="459" ht="19.5" customHeight="1">
      <c r="A459" s="12"/>
      <c r="C459" s="12"/>
      <c r="D459" s="13"/>
      <c r="F459" s="14"/>
      <c r="G459" s="14"/>
      <c r="H459" s="14"/>
      <c r="I459" s="14"/>
      <c r="J459" s="14"/>
      <c r="K459" s="12"/>
    </row>
    <row r="460" ht="19.5" customHeight="1">
      <c r="A460" s="12"/>
      <c r="C460" s="12"/>
      <c r="D460" s="13"/>
      <c r="F460" s="14"/>
      <c r="G460" s="14"/>
      <c r="H460" s="14"/>
      <c r="I460" s="14"/>
      <c r="J460" s="14"/>
      <c r="K460" s="12"/>
    </row>
    <row r="461" ht="19.5" customHeight="1">
      <c r="A461" s="12"/>
      <c r="C461" s="12"/>
      <c r="D461" s="13"/>
      <c r="F461" s="14"/>
      <c r="G461" s="14"/>
      <c r="H461" s="14"/>
      <c r="I461" s="14"/>
      <c r="J461" s="14"/>
      <c r="K461" s="12"/>
    </row>
    <row r="462" ht="19.5" customHeight="1">
      <c r="A462" s="12"/>
      <c r="C462" s="12"/>
      <c r="D462" s="13"/>
      <c r="F462" s="14"/>
      <c r="G462" s="14"/>
      <c r="H462" s="14"/>
      <c r="I462" s="14"/>
      <c r="J462" s="14"/>
      <c r="K462" s="12"/>
    </row>
    <row r="463" ht="19.5" customHeight="1">
      <c r="A463" s="12"/>
      <c r="C463" s="12"/>
      <c r="D463" s="13"/>
      <c r="F463" s="14"/>
      <c r="G463" s="14"/>
      <c r="H463" s="14"/>
      <c r="I463" s="14"/>
      <c r="J463" s="14"/>
      <c r="K463" s="12"/>
    </row>
    <row r="464" ht="19.5" customHeight="1">
      <c r="A464" s="12"/>
      <c r="C464" s="12"/>
      <c r="D464" s="13"/>
      <c r="F464" s="14"/>
      <c r="G464" s="14"/>
      <c r="H464" s="14"/>
      <c r="I464" s="14"/>
      <c r="J464" s="14"/>
      <c r="K464" s="12"/>
    </row>
    <row r="465" ht="19.5" customHeight="1">
      <c r="A465" s="12"/>
      <c r="C465" s="12"/>
      <c r="D465" s="13"/>
      <c r="F465" s="14"/>
      <c r="G465" s="14"/>
      <c r="H465" s="14"/>
      <c r="I465" s="14"/>
      <c r="J465" s="14"/>
      <c r="K465" s="12"/>
    </row>
    <row r="466" ht="19.5" customHeight="1">
      <c r="A466" s="12"/>
      <c r="C466" s="12"/>
      <c r="D466" s="13"/>
      <c r="F466" s="14"/>
      <c r="G466" s="14"/>
      <c r="H466" s="14"/>
      <c r="I466" s="14"/>
      <c r="J466" s="14"/>
      <c r="K466" s="12"/>
    </row>
    <row r="467" ht="19.5" customHeight="1">
      <c r="A467" s="12"/>
      <c r="C467" s="12"/>
      <c r="D467" s="13"/>
      <c r="F467" s="14"/>
      <c r="G467" s="14"/>
      <c r="H467" s="14"/>
      <c r="I467" s="14"/>
      <c r="J467" s="14"/>
      <c r="K467" s="12"/>
    </row>
    <row r="468" ht="19.5" customHeight="1">
      <c r="A468" s="12"/>
      <c r="C468" s="12"/>
      <c r="D468" s="13"/>
      <c r="F468" s="14"/>
      <c r="G468" s="14"/>
      <c r="H468" s="14"/>
      <c r="I468" s="14"/>
      <c r="J468" s="14"/>
      <c r="K468" s="12"/>
    </row>
    <row r="469" ht="19.5" customHeight="1">
      <c r="A469" s="12"/>
      <c r="C469" s="12"/>
      <c r="D469" s="13"/>
      <c r="F469" s="14"/>
      <c r="G469" s="14"/>
      <c r="H469" s="14"/>
      <c r="I469" s="14"/>
      <c r="J469" s="14"/>
      <c r="K469" s="12"/>
    </row>
    <row r="470" ht="19.5" customHeight="1">
      <c r="A470" s="12"/>
      <c r="C470" s="12"/>
      <c r="D470" s="13"/>
      <c r="F470" s="14"/>
      <c r="G470" s="14"/>
      <c r="H470" s="14"/>
      <c r="I470" s="14"/>
      <c r="J470" s="14"/>
      <c r="K470" s="12"/>
    </row>
    <row r="471" ht="19.5" customHeight="1">
      <c r="A471" s="12"/>
      <c r="C471" s="12"/>
      <c r="D471" s="13"/>
      <c r="F471" s="14"/>
      <c r="G471" s="14"/>
      <c r="H471" s="14"/>
      <c r="I471" s="14"/>
      <c r="J471" s="14"/>
      <c r="K471" s="12"/>
    </row>
    <row r="472" ht="19.5" customHeight="1">
      <c r="A472" s="12"/>
      <c r="C472" s="12"/>
      <c r="D472" s="13"/>
      <c r="F472" s="14"/>
      <c r="G472" s="14"/>
      <c r="H472" s="14"/>
      <c r="I472" s="14"/>
      <c r="J472" s="14"/>
      <c r="K472" s="12"/>
    </row>
    <row r="473" ht="19.5" customHeight="1">
      <c r="A473" s="12"/>
      <c r="C473" s="12"/>
      <c r="D473" s="13"/>
      <c r="F473" s="14"/>
      <c r="G473" s="14"/>
      <c r="H473" s="14"/>
      <c r="I473" s="14"/>
      <c r="J473" s="14"/>
      <c r="K473" s="12"/>
    </row>
    <row r="474" ht="19.5" customHeight="1">
      <c r="A474" s="12"/>
      <c r="C474" s="12"/>
      <c r="D474" s="13"/>
      <c r="F474" s="14"/>
      <c r="G474" s="14"/>
      <c r="H474" s="14"/>
      <c r="I474" s="14"/>
      <c r="J474" s="14"/>
      <c r="K474" s="12"/>
    </row>
    <row r="475" ht="19.5" customHeight="1">
      <c r="A475" s="12"/>
      <c r="C475" s="12"/>
      <c r="D475" s="13"/>
      <c r="F475" s="14"/>
      <c r="G475" s="14"/>
      <c r="H475" s="14"/>
      <c r="I475" s="14"/>
      <c r="J475" s="14"/>
      <c r="K475" s="12"/>
    </row>
    <row r="476" ht="19.5" customHeight="1">
      <c r="A476" s="12"/>
      <c r="C476" s="12"/>
      <c r="D476" s="13"/>
      <c r="F476" s="14"/>
      <c r="G476" s="14"/>
      <c r="H476" s="14"/>
      <c r="I476" s="14"/>
      <c r="J476" s="14"/>
      <c r="K476" s="12"/>
    </row>
    <row r="477" ht="19.5" customHeight="1">
      <c r="A477" s="12"/>
      <c r="C477" s="12"/>
      <c r="D477" s="13"/>
      <c r="F477" s="14"/>
      <c r="G477" s="14"/>
      <c r="H477" s="14"/>
      <c r="I477" s="14"/>
      <c r="J477" s="14"/>
      <c r="K477" s="12"/>
    </row>
    <row r="478" ht="19.5" customHeight="1">
      <c r="A478" s="12"/>
      <c r="C478" s="12"/>
      <c r="D478" s="13"/>
      <c r="F478" s="14"/>
      <c r="G478" s="14"/>
      <c r="H478" s="14"/>
      <c r="I478" s="14"/>
      <c r="J478" s="14"/>
      <c r="K478" s="12"/>
    </row>
    <row r="479" ht="19.5" customHeight="1">
      <c r="A479" s="12"/>
      <c r="C479" s="12"/>
      <c r="D479" s="13"/>
      <c r="F479" s="14"/>
      <c r="G479" s="14"/>
      <c r="H479" s="14"/>
      <c r="I479" s="14"/>
      <c r="J479" s="14"/>
      <c r="K479" s="12"/>
    </row>
    <row r="480" ht="19.5" customHeight="1">
      <c r="A480" s="12"/>
      <c r="C480" s="12"/>
      <c r="D480" s="13"/>
      <c r="F480" s="14"/>
      <c r="G480" s="14"/>
      <c r="H480" s="14"/>
      <c r="I480" s="14"/>
      <c r="J480" s="14"/>
      <c r="K480" s="12"/>
    </row>
    <row r="481" ht="19.5" customHeight="1">
      <c r="A481" s="12"/>
      <c r="C481" s="12"/>
      <c r="D481" s="13"/>
      <c r="F481" s="14"/>
      <c r="G481" s="14"/>
      <c r="H481" s="14"/>
      <c r="I481" s="14"/>
      <c r="J481" s="14"/>
      <c r="K481" s="12"/>
    </row>
    <row r="482" ht="19.5" customHeight="1">
      <c r="A482" s="12"/>
      <c r="C482" s="12"/>
      <c r="D482" s="13"/>
      <c r="F482" s="14"/>
      <c r="G482" s="14"/>
      <c r="H482" s="14"/>
      <c r="I482" s="14"/>
      <c r="J482" s="14"/>
      <c r="K482" s="12"/>
    </row>
    <row r="483" ht="19.5" customHeight="1">
      <c r="A483" s="12"/>
      <c r="C483" s="12"/>
      <c r="D483" s="13"/>
      <c r="F483" s="14"/>
      <c r="G483" s="14"/>
      <c r="H483" s="14"/>
      <c r="I483" s="14"/>
      <c r="J483" s="14"/>
      <c r="K483" s="12"/>
    </row>
    <row r="484" ht="19.5" customHeight="1">
      <c r="A484" s="12"/>
      <c r="C484" s="12"/>
      <c r="D484" s="13"/>
      <c r="F484" s="14"/>
      <c r="G484" s="14"/>
      <c r="H484" s="14"/>
      <c r="I484" s="14"/>
      <c r="J484" s="14"/>
      <c r="K484" s="12"/>
    </row>
    <row r="485" ht="19.5" customHeight="1">
      <c r="A485" s="12"/>
      <c r="C485" s="12"/>
      <c r="D485" s="13"/>
      <c r="F485" s="14"/>
      <c r="G485" s="14"/>
      <c r="H485" s="14"/>
      <c r="I485" s="14"/>
      <c r="J485" s="14"/>
      <c r="K485" s="12"/>
    </row>
    <row r="486" ht="19.5" customHeight="1">
      <c r="A486" s="12"/>
      <c r="C486" s="12"/>
      <c r="D486" s="13"/>
      <c r="F486" s="14"/>
      <c r="G486" s="14"/>
      <c r="H486" s="14"/>
      <c r="I486" s="14"/>
      <c r="J486" s="14"/>
      <c r="K486" s="12"/>
    </row>
    <row r="487" ht="19.5" customHeight="1">
      <c r="A487" s="12"/>
      <c r="C487" s="12"/>
      <c r="D487" s="13"/>
      <c r="F487" s="14"/>
      <c r="G487" s="14"/>
      <c r="H487" s="14"/>
      <c r="I487" s="14"/>
      <c r="J487" s="14"/>
      <c r="K487" s="12"/>
    </row>
    <row r="488" ht="19.5" customHeight="1">
      <c r="A488" s="12"/>
      <c r="C488" s="12"/>
      <c r="D488" s="13"/>
      <c r="F488" s="14"/>
      <c r="G488" s="14"/>
      <c r="H488" s="14"/>
      <c r="I488" s="14"/>
      <c r="J488" s="14"/>
      <c r="K488" s="12"/>
    </row>
    <row r="489" ht="19.5" customHeight="1">
      <c r="A489" s="12"/>
      <c r="C489" s="12"/>
      <c r="D489" s="13"/>
      <c r="F489" s="14"/>
      <c r="G489" s="14"/>
      <c r="H489" s="14"/>
      <c r="I489" s="14"/>
      <c r="J489" s="14"/>
      <c r="K489" s="12"/>
    </row>
    <row r="490" ht="19.5" customHeight="1">
      <c r="A490" s="12"/>
      <c r="C490" s="12"/>
      <c r="D490" s="13"/>
      <c r="F490" s="14"/>
      <c r="G490" s="14"/>
      <c r="H490" s="14"/>
      <c r="I490" s="14"/>
      <c r="J490" s="14"/>
      <c r="K490" s="12"/>
    </row>
    <row r="491" ht="19.5" customHeight="1">
      <c r="A491" s="12"/>
      <c r="C491" s="12"/>
      <c r="D491" s="13"/>
      <c r="F491" s="14"/>
      <c r="G491" s="14"/>
      <c r="H491" s="14"/>
      <c r="I491" s="14"/>
      <c r="J491" s="14"/>
      <c r="K491" s="12"/>
    </row>
    <row r="492" ht="19.5" customHeight="1">
      <c r="A492" s="12"/>
      <c r="C492" s="12"/>
      <c r="D492" s="13"/>
      <c r="F492" s="14"/>
      <c r="G492" s="14"/>
      <c r="H492" s="14"/>
      <c r="I492" s="14"/>
      <c r="J492" s="14"/>
      <c r="K492" s="12"/>
    </row>
    <row r="493" ht="19.5" customHeight="1">
      <c r="A493" s="12"/>
      <c r="C493" s="12"/>
      <c r="D493" s="13"/>
      <c r="F493" s="14"/>
      <c r="G493" s="14"/>
      <c r="H493" s="14"/>
      <c r="I493" s="14"/>
      <c r="J493" s="14"/>
      <c r="K493" s="12"/>
    </row>
    <row r="494" ht="19.5" customHeight="1">
      <c r="A494" s="12"/>
      <c r="C494" s="12"/>
      <c r="D494" s="13"/>
      <c r="F494" s="14"/>
      <c r="G494" s="14"/>
      <c r="H494" s="14"/>
      <c r="I494" s="14"/>
      <c r="J494" s="14"/>
      <c r="K494" s="12"/>
    </row>
    <row r="495" ht="19.5" customHeight="1">
      <c r="A495" s="12"/>
      <c r="C495" s="12"/>
      <c r="D495" s="13"/>
      <c r="F495" s="14"/>
      <c r="G495" s="14"/>
      <c r="H495" s="14"/>
      <c r="I495" s="14"/>
      <c r="J495" s="14"/>
      <c r="K495" s="12"/>
    </row>
    <row r="496" ht="19.5" customHeight="1">
      <c r="A496" s="12"/>
      <c r="C496" s="12"/>
      <c r="D496" s="13"/>
      <c r="F496" s="14"/>
      <c r="G496" s="14"/>
      <c r="H496" s="14"/>
      <c r="I496" s="14"/>
      <c r="J496" s="14"/>
      <c r="K496" s="12"/>
    </row>
    <row r="497" ht="19.5" customHeight="1">
      <c r="A497" s="12"/>
      <c r="C497" s="12"/>
      <c r="D497" s="13"/>
      <c r="F497" s="14"/>
      <c r="G497" s="14"/>
      <c r="H497" s="14"/>
      <c r="I497" s="14"/>
      <c r="J497" s="14"/>
      <c r="K497" s="12"/>
    </row>
    <row r="498" ht="19.5" customHeight="1">
      <c r="A498" s="12"/>
      <c r="C498" s="12"/>
      <c r="D498" s="13"/>
      <c r="F498" s="14"/>
      <c r="G498" s="14"/>
      <c r="H498" s="14"/>
      <c r="I498" s="14"/>
      <c r="J498" s="14"/>
      <c r="K498" s="12"/>
    </row>
    <row r="499" ht="19.5" customHeight="1">
      <c r="A499" s="12"/>
      <c r="C499" s="12"/>
      <c r="D499" s="13"/>
      <c r="F499" s="14"/>
      <c r="G499" s="14"/>
      <c r="H499" s="14"/>
      <c r="I499" s="14"/>
      <c r="J499" s="14"/>
      <c r="K499" s="12"/>
    </row>
    <row r="500" ht="19.5" customHeight="1">
      <c r="A500" s="12"/>
      <c r="C500" s="12"/>
      <c r="D500" s="13"/>
      <c r="F500" s="14"/>
      <c r="G500" s="14"/>
      <c r="H500" s="14"/>
      <c r="I500" s="14"/>
      <c r="J500" s="14"/>
      <c r="K500" s="12"/>
    </row>
    <row r="501" ht="19.5" customHeight="1">
      <c r="A501" s="12"/>
      <c r="C501" s="12"/>
      <c r="D501" s="13"/>
      <c r="F501" s="14"/>
      <c r="G501" s="14"/>
      <c r="H501" s="14"/>
      <c r="I501" s="14"/>
      <c r="J501" s="14"/>
      <c r="K501" s="12"/>
    </row>
    <row r="502" ht="19.5" customHeight="1">
      <c r="A502" s="12"/>
      <c r="C502" s="12"/>
      <c r="D502" s="13"/>
      <c r="F502" s="14"/>
      <c r="G502" s="14"/>
      <c r="H502" s="14"/>
      <c r="I502" s="14"/>
      <c r="J502" s="14"/>
      <c r="K502" s="12"/>
    </row>
    <row r="503" ht="19.5" customHeight="1">
      <c r="A503" s="12"/>
      <c r="C503" s="12"/>
      <c r="D503" s="13"/>
      <c r="F503" s="14"/>
      <c r="G503" s="14"/>
      <c r="H503" s="14"/>
      <c r="I503" s="14"/>
      <c r="J503" s="14"/>
      <c r="K503" s="12"/>
    </row>
    <row r="504" ht="19.5" customHeight="1">
      <c r="A504" s="12"/>
      <c r="C504" s="12"/>
      <c r="D504" s="13"/>
      <c r="F504" s="14"/>
      <c r="G504" s="14"/>
      <c r="H504" s="14"/>
      <c r="I504" s="14"/>
      <c r="J504" s="14"/>
      <c r="K504" s="12"/>
    </row>
    <row r="505" ht="19.5" customHeight="1">
      <c r="A505" s="12"/>
      <c r="C505" s="12"/>
      <c r="D505" s="13"/>
      <c r="F505" s="14"/>
      <c r="G505" s="14"/>
      <c r="H505" s="14"/>
      <c r="I505" s="14"/>
      <c r="J505" s="14"/>
      <c r="K505" s="12"/>
    </row>
    <row r="506" ht="19.5" customHeight="1">
      <c r="A506" s="12"/>
      <c r="C506" s="12"/>
      <c r="D506" s="13"/>
      <c r="F506" s="14"/>
      <c r="G506" s="14"/>
      <c r="H506" s="14"/>
      <c r="I506" s="14"/>
      <c r="J506" s="14"/>
      <c r="K506" s="12"/>
    </row>
    <row r="507" ht="19.5" customHeight="1">
      <c r="A507" s="12"/>
      <c r="C507" s="12"/>
      <c r="D507" s="13"/>
      <c r="F507" s="14"/>
      <c r="G507" s="14"/>
      <c r="H507" s="14"/>
      <c r="I507" s="14"/>
      <c r="J507" s="14"/>
      <c r="K507" s="12"/>
    </row>
    <row r="508" ht="19.5" customHeight="1">
      <c r="A508" s="12"/>
      <c r="C508" s="12"/>
      <c r="D508" s="13"/>
      <c r="F508" s="14"/>
      <c r="G508" s="14"/>
      <c r="H508" s="14"/>
      <c r="I508" s="14"/>
      <c r="J508" s="14"/>
      <c r="K508" s="12"/>
    </row>
    <row r="509" ht="19.5" customHeight="1">
      <c r="A509" s="12"/>
      <c r="C509" s="12"/>
      <c r="D509" s="13"/>
      <c r="F509" s="14"/>
      <c r="G509" s="14"/>
      <c r="H509" s="14"/>
      <c r="I509" s="14"/>
      <c r="J509" s="14"/>
      <c r="K509" s="12"/>
    </row>
    <row r="510" ht="19.5" customHeight="1">
      <c r="A510" s="12"/>
      <c r="C510" s="12"/>
      <c r="D510" s="13"/>
      <c r="F510" s="14"/>
      <c r="G510" s="14"/>
      <c r="H510" s="14"/>
      <c r="I510" s="14"/>
      <c r="J510" s="14"/>
      <c r="K510" s="12"/>
    </row>
    <row r="511" ht="19.5" customHeight="1">
      <c r="A511" s="12"/>
      <c r="C511" s="12"/>
      <c r="D511" s="13"/>
      <c r="F511" s="14"/>
      <c r="G511" s="14"/>
      <c r="H511" s="14"/>
      <c r="I511" s="14"/>
      <c r="J511" s="14"/>
      <c r="K511" s="12"/>
    </row>
    <row r="512" ht="19.5" customHeight="1">
      <c r="A512" s="12"/>
      <c r="C512" s="12"/>
      <c r="D512" s="13"/>
      <c r="F512" s="14"/>
      <c r="G512" s="14"/>
      <c r="H512" s="14"/>
      <c r="I512" s="14"/>
      <c r="J512" s="14"/>
      <c r="K512" s="12"/>
    </row>
    <row r="513" ht="19.5" customHeight="1">
      <c r="A513" s="12"/>
      <c r="C513" s="12"/>
      <c r="D513" s="13"/>
      <c r="F513" s="14"/>
      <c r="G513" s="14"/>
      <c r="H513" s="14"/>
      <c r="I513" s="14"/>
      <c r="J513" s="14"/>
      <c r="K513" s="12"/>
    </row>
    <row r="514" ht="19.5" customHeight="1">
      <c r="A514" s="12"/>
      <c r="C514" s="12"/>
      <c r="D514" s="13"/>
      <c r="F514" s="14"/>
      <c r="G514" s="14"/>
      <c r="H514" s="14"/>
      <c r="I514" s="14"/>
      <c r="J514" s="14"/>
      <c r="K514" s="12"/>
    </row>
    <row r="515" ht="19.5" customHeight="1">
      <c r="A515" s="12"/>
      <c r="C515" s="12"/>
      <c r="D515" s="13"/>
      <c r="F515" s="14"/>
      <c r="G515" s="14"/>
      <c r="H515" s="14"/>
      <c r="I515" s="14"/>
      <c r="J515" s="14"/>
      <c r="K515" s="12"/>
    </row>
    <row r="516" ht="19.5" customHeight="1">
      <c r="A516" s="12"/>
      <c r="C516" s="12"/>
      <c r="D516" s="13"/>
      <c r="F516" s="14"/>
      <c r="G516" s="14"/>
      <c r="H516" s="14"/>
      <c r="I516" s="14"/>
      <c r="J516" s="14"/>
      <c r="K516" s="12"/>
    </row>
    <row r="517" ht="19.5" customHeight="1">
      <c r="A517" s="12"/>
      <c r="C517" s="12"/>
      <c r="D517" s="13"/>
      <c r="F517" s="14"/>
      <c r="G517" s="14"/>
      <c r="H517" s="14"/>
      <c r="I517" s="14"/>
      <c r="J517" s="14"/>
      <c r="K517" s="12"/>
    </row>
    <row r="518" ht="19.5" customHeight="1">
      <c r="A518" s="12"/>
      <c r="C518" s="12"/>
      <c r="D518" s="13"/>
      <c r="F518" s="14"/>
      <c r="G518" s="14"/>
      <c r="H518" s="14"/>
      <c r="I518" s="14"/>
      <c r="J518" s="14"/>
      <c r="K518" s="12"/>
    </row>
    <row r="519" ht="19.5" customHeight="1">
      <c r="A519" s="12"/>
      <c r="C519" s="12"/>
      <c r="D519" s="13"/>
      <c r="F519" s="14"/>
      <c r="G519" s="14"/>
      <c r="H519" s="14"/>
      <c r="I519" s="14"/>
      <c r="J519" s="14"/>
      <c r="K519" s="12"/>
    </row>
    <row r="520" ht="19.5" customHeight="1">
      <c r="A520" s="12"/>
      <c r="C520" s="12"/>
      <c r="D520" s="13"/>
      <c r="F520" s="14"/>
      <c r="G520" s="14"/>
      <c r="H520" s="14"/>
      <c r="I520" s="14"/>
      <c r="J520" s="14"/>
      <c r="K520" s="12"/>
    </row>
    <row r="521" ht="19.5" customHeight="1">
      <c r="A521" s="12"/>
      <c r="C521" s="12"/>
      <c r="D521" s="13"/>
      <c r="F521" s="14"/>
      <c r="G521" s="14"/>
      <c r="H521" s="14"/>
      <c r="I521" s="14"/>
      <c r="J521" s="14"/>
      <c r="K521" s="12"/>
    </row>
    <row r="522" ht="19.5" customHeight="1">
      <c r="A522" s="12"/>
      <c r="C522" s="12"/>
      <c r="D522" s="13"/>
      <c r="F522" s="14"/>
      <c r="G522" s="14"/>
      <c r="H522" s="14"/>
      <c r="I522" s="14"/>
      <c r="J522" s="14"/>
      <c r="K522" s="12"/>
    </row>
    <row r="523" ht="19.5" customHeight="1">
      <c r="A523" s="12"/>
      <c r="C523" s="12"/>
      <c r="D523" s="13"/>
      <c r="F523" s="14"/>
      <c r="G523" s="14"/>
      <c r="H523" s="14"/>
      <c r="I523" s="14"/>
      <c r="J523" s="14"/>
      <c r="K523" s="12"/>
    </row>
    <row r="524" ht="19.5" customHeight="1">
      <c r="A524" s="12"/>
      <c r="C524" s="12"/>
      <c r="D524" s="13"/>
      <c r="F524" s="14"/>
      <c r="G524" s="14"/>
      <c r="H524" s="14"/>
      <c r="I524" s="14"/>
      <c r="J524" s="14"/>
      <c r="K524" s="12"/>
    </row>
    <row r="525" ht="19.5" customHeight="1">
      <c r="A525" s="12"/>
      <c r="C525" s="12"/>
      <c r="D525" s="13"/>
      <c r="F525" s="14"/>
      <c r="G525" s="14"/>
      <c r="H525" s="14"/>
      <c r="I525" s="14"/>
      <c r="J525" s="14"/>
      <c r="K525" s="12"/>
    </row>
    <row r="526" ht="19.5" customHeight="1">
      <c r="A526" s="12"/>
      <c r="C526" s="12"/>
      <c r="D526" s="13"/>
      <c r="F526" s="14"/>
      <c r="G526" s="14"/>
      <c r="H526" s="14"/>
      <c r="I526" s="14"/>
      <c r="J526" s="14"/>
      <c r="K526" s="12"/>
    </row>
    <row r="527" ht="19.5" customHeight="1">
      <c r="A527" s="12"/>
      <c r="C527" s="12"/>
      <c r="D527" s="13"/>
      <c r="F527" s="14"/>
      <c r="G527" s="14"/>
      <c r="H527" s="14"/>
      <c r="I527" s="14"/>
      <c r="J527" s="14"/>
      <c r="K527" s="12"/>
    </row>
    <row r="528" ht="19.5" customHeight="1">
      <c r="A528" s="12"/>
      <c r="C528" s="12"/>
      <c r="D528" s="13"/>
      <c r="F528" s="14"/>
      <c r="G528" s="14"/>
      <c r="H528" s="14"/>
      <c r="I528" s="14"/>
      <c r="J528" s="14"/>
      <c r="K528" s="12"/>
    </row>
    <row r="529" ht="19.5" customHeight="1">
      <c r="A529" s="12"/>
      <c r="C529" s="12"/>
      <c r="D529" s="13"/>
      <c r="F529" s="14"/>
      <c r="G529" s="14"/>
      <c r="H529" s="14"/>
      <c r="I529" s="14"/>
      <c r="J529" s="14"/>
      <c r="K529" s="12"/>
    </row>
    <row r="530" ht="19.5" customHeight="1">
      <c r="A530" s="12"/>
      <c r="C530" s="12"/>
      <c r="D530" s="13"/>
      <c r="F530" s="14"/>
      <c r="G530" s="14"/>
      <c r="H530" s="14"/>
      <c r="I530" s="14"/>
      <c r="J530" s="14"/>
      <c r="K530" s="12"/>
    </row>
    <row r="531" ht="19.5" customHeight="1">
      <c r="A531" s="12"/>
      <c r="C531" s="12"/>
      <c r="D531" s="13"/>
      <c r="F531" s="14"/>
      <c r="G531" s="14"/>
      <c r="H531" s="14"/>
      <c r="I531" s="14"/>
      <c r="J531" s="14"/>
      <c r="K531" s="12"/>
    </row>
    <row r="532" ht="19.5" customHeight="1">
      <c r="A532" s="12"/>
      <c r="C532" s="12"/>
      <c r="D532" s="13"/>
      <c r="F532" s="14"/>
      <c r="G532" s="14"/>
      <c r="H532" s="14"/>
      <c r="I532" s="14"/>
      <c r="J532" s="14"/>
      <c r="K532" s="12"/>
    </row>
    <row r="533" ht="19.5" customHeight="1">
      <c r="A533" s="12"/>
      <c r="C533" s="12"/>
      <c r="D533" s="13"/>
      <c r="F533" s="14"/>
      <c r="G533" s="14"/>
      <c r="H533" s="14"/>
      <c r="I533" s="14"/>
      <c r="J533" s="14"/>
      <c r="K533" s="12"/>
    </row>
    <row r="534" ht="19.5" customHeight="1">
      <c r="A534" s="12"/>
      <c r="C534" s="12"/>
      <c r="D534" s="13"/>
      <c r="F534" s="14"/>
      <c r="G534" s="14"/>
      <c r="H534" s="14"/>
      <c r="I534" s="14"/>
      <c r="J534" s="14"/>
      <c r="K534" s="12"/>
    </row>
    <row r="535" ht="19.5" customHeight="1">
      <c r="A535" s="12"/>
      <c r="C535" s="12"/>
      <c r="D535" s="13"/>
      <c r="F535" s="14"/>
      <c r="G535" s="14"/>
      <c r="H535" s="14"/>
      <c r="I535" s="14"/>
      <c r="J535" s="14"/>
      <c r="K535" s="12"/>
    </row>
    <row r="536" ht="19.5" customHeight="1">
      <c r="A536" s="12"/>
      <c r="C536" s="12"/>
      <c r="D536" s="13"/>
      <c r="F536" s="14"/>
      <c r="G536" s="14"/>
      <c r="H536" s="14"/>
      <c r="I536" s="14"/>
      <c r="J536" s="14"/>
      <c r="K536" s="12"/>
    </row>
    <row r="537" ht="19.5" customHeight="1">
      <c r="A537" s="12"/>
      <c r="C537" s="12"/>
      <c r="D537" s="13"/>
      <c r="F537" s="14"/>
      <c r="G537" s="14"/>
      <c r="H537" s="14"/>
      <c r="I537" s="14"/>
      <c r="J537" s="14"/>
      <c r="K537" s="12"/>
    </row>
    <row r="538" ht="19.5" customHeight="1">
      <c r="A538" s="12"/>
      <c r="C538" s="12"/>
      <c r="D538" s="13"/>
      <c r="F538" s="14"/>
      <c r="G538" s="14"/>
      <c r="H538" s="14"/>
      <c r="I538" s="14"/>
      <c r="J538" s="14"/>
      <c r="K538" s="12"/>
    </row>
    <row r="539" ht="19.5" customHeight="1">
      <c r="A539" s="12"/>
      <c r="C539" s="12"/>
      <c r="D539" s="13"/>
      <c r="F539" s="14"/>
      <c r="G539" s="14"/>
      <c r="H539" s="14"/>
      <c r="I539" s="14"/>
      <c r="J539" s="14"/>
      <c r="K539" s="12"/>
    </row>
    <row r="540" ht="19.5" customHeight="1">
      <c r="A540" s="12"/>
      <c r="C540" s="12"/>
      <c r="D540" s="13"/>
      <c r="F540" s="14"/>
      <c r="G540" s="14"/>
      <c r="H540" s="14"/>
      <c r="I540" s="14"/>
      <c r="J540" s="14"/>
      <c r="K540" s="12"/>
    </row>
    <row r="541" ht="19.5" customHeight="1">
      <c r="A541" s="12"/>
      <c r="C541" s="12"/>
      <c r="D541" s="13"/>
      <c r="F541" s="14"/>
      <c r="G541" s="14"/>
      <c r="H541" s="14"/>
      <c r="I541" s="14"/>
      <c r="J541" s="14"/>
      <c r="K541" s="12"/>
    </row>
    <row r="542" ht="19.5" customHeight="1">
      <c r="A542" s="12"/>
      <c r="C542" s="12"/>
      <c r="D542" s="13"/>
      <c r="F542" s="14"/>
      <c r="G542" s="14"/>
      <c r="H542" s="14"/>
      <c r="I542" s="14"/>
      <c r="J542" s="14"/>
      <c r="K542" s="12"/>
    </row>
    <row r="543" ht="19.5" customHeight="1">
      <c r="A543" s="12"/>
      <c r="C543" s="12"/>
      <c r="D543" s="13"/>
      <c r="F543" s="14"/>
      <c r="G543" s="14"/>
      <c r="H543" s="14"/>
      <c r="I543" s="14"/>
      <c r="J543" s="14"/>
      <c r="K543" s="12"/>
    </row>
    <row r="544" ht="19.5" customHeight="1">
      <c r="A544" s="12"/>
      <c r="C544" s="12"/>
      <c r="D544" s="13"/>
      <c r="F544" s="14"/>
      <c r="G544" s="14"/>
      <c r="H544" s="14"/>
      <c r="I544" s="14"/>
      <c r="J544" s="14"/>
      <c r="K544" s="12"/>
    </row>
    <row r="545" ht="19.5" customHeight="1">
      <c r="A545" s="12"/>
      <c r="C545" s="12"/>
      <c r="D545" s="13"/>
      <c r="F545" s="14"/>
      <c r="G545" s="14"/>
      <c r="H545" s="14"/>
      <c r="I545" s="14"/>
      <c r="J545" s="14"/>
      <c r="K545" s="12"/>
    </row>
    <row r="546" ht="19.5" customHeight="1">
      <c r="A546" s="12"/>
      <c r="C546" s="12"/>
      <c r="D546" s="13"/>
      <c r="F546" s="14"/>
      <c r="G546" s="14"/>
      <c r="H546" s="14"/>
      <c r="I546" s="14"/>
      <c r="J546" s="14"/>
      <c r="K546" s="12"/>
    </row>
    <row r="547" ht="19.5" customHeight="1">
      <c r="A547" s="12"/>
      <c r="C547" s="12"/>
      <c r="D547" s="13"/>
      <c r="F547" s="14"/>
      <c r="G547" s="14"/>
      <c r="H547" s="14"/>
      <c r="I547" s="14"/>
      <c r="J547" s="14"/>
      <c r="K547" s="12"/>
    </row>
    <row r="548" ht="19.5" customHeight="1">
      <c r="A548" s="12"/>
      <c r="C548" s="12"/>
      <c r="D548" s="13"/>
      <c r="F548" s="14"/>
      <c r="G548" s="14"/>
      <c r="H548" s="14"/>
      <c r="I548" s="14"/>
      <c r="J548" s="14"/>
      <c r="K548" s="12"/>
    </row>
    <row r="549" ht="19.5" customHeight="1">
      <c r="A549" s="12"/>
      <c r="C549" s="12"/>
      <c r="D549" s="13"/>
      <c r="F549" s="14"/>
      <c r="G549" s="14"/>
      <c r="H549" s="14"/>
      <c r="I549" s="14"/>
      <c r="J549" s="14"/>
      <c r="K549" s="12"/>
    </row>
    <row r="550" ht="19.5" customHeight="1">
      <c r="A550" s="12"/>
      <c r="C550" s="12"/>
      <c r="D550" s="13"/>
      <c r="F550" s="14"/>
      <c r="G550" s="14"/>
      <c r="H550" s="14"/>
      <c r="I550" s="14"/>
      <c r="J550" s="14"/>
      <c r="K550" s="12"/>
    </row>
    <row r="551" ht="19.5" customHeight="1">
      <c r="A551" s="12"/>
      <c r="C551" s="12"/>
      <c r="D551" s="13"/>
      <c r="F551" s="14"/>
      <c r="G551" s="14"/>
      <c r="H551" s="14"/>
      <c r="I551" s="14"/>
      <c r="J551" s="14"/>
      <c r="K551" s="12"/>
    </row>
    <row r="552" ht="19.5" customHeight="1">
      <c r="A552" s="12"/>
      <c r="C552" s="12"/>
      <c r="D552" s="13"/>
      <c r="F552" s="14"/>
      <c r="G552" s="14"/>
      <c r="H552" s="14"/>
      <c r="I552" s="14"/>
      <c r="J552" s="14"/>
      <c r="K552" s="12"/>
    </row>
    <row r="553" ht="19.5" customHeight="1">
      <c r="A553" s="12"/>
      <c r="C553" s="12"/>
      <c r="D553" s="13"/>
      <c r="F553" s="14"/>
      <c r="G553" s="14"/>
      <c r="H553" s="14"/>
      <c r="I553" s="14"/>
      <c r="J553" s="14"/>
      <c r="K553" s="12"/>
    </row>
    <row r="554" ht="19.5" customHeight="1">
      <c r="A554" s="12"/>
      <c r="C554" s="12"/>
      <c r="D554" s="13"/>
      <c r="F554" s="14"/>
      <c r="G554" s="14"/>
      <c r="H554" s="14"/>
      <c r="I554" s="14"/>
      <c r="J554" s="14"/>
      <c r="K554" s="12"/>
    </row>
    <row r="555" ht="19.5" customHeight="1">
      <c r="A555" s="12"/>
      <c r="C555" s="12"/>
      <c r="D555" s="13"/>
      <c r="F555" s="14"/>
      <c r="G555" s="14"/>
      <c r="H555" s="14"/>
      <c r="I555" s="14"/>
      <c r="J555" s="14"/>
      <c r="K555" s="12"/>
    </row>
    <row r="556" ht="19.5" customHeight="1">
      <c r="A556" s="12"/>
      <c r="C556" s="12"/>
      <c r="D556" s="13"/>
      <c r="F556" s="14"/>
      <c r="G556" s="14"/>
      <c r="H556" s="14"/>
      <c r="I556" s="14"/>
      <c r="J556" s="14"/>
      <c r="K556" s="12"/>
    </row>
    <row r="557" ht="19.5" customHeight="1">
      <c r="A557" s="12"/>
      <c r="C557" s="12"/>
      <c r="D557" s="13"/>
      <c r="F557" s="14"/>
      <c r="G557" s="14"/>
      <c r="H557" s="14"/>
      <c r="I557" s="14"/>
      <c r="J557" s="14"/>
      <c r="K557" s="12"/>
    </row>
    <row r="558" ht="19.5" customHeight="1">
      <c r="A558" s="12"/>
      <c r="C558" s="12"/>
      <c r="D558" s="13"/>
      <c r="F558" s="14"/>
      <c r="G558" s="14"/>
      <c r="H558" s="14"/>
      <c r="I558" s="14"/>
      <c r="J558" s="14"/>
      <c r="K558" s="12"/>
    </row>
    <row r="559" ht="19.5" customHeight="1">
      <c r="A559" s="12"/>
      <c r="C559" s="12"/>
      <c r="D559" s="13"/>
      <c r="F559" s="14"/>
      <c r="G559" s="14"/>
      <c r="H559" s="14"/>
      <c r="I559" s="14"/>
      <c r="J559" s="14"/>
      <c r="K559" s="12"/>
    </row>
    <row r="560" ht="19.5" customHeight="1">
      <c r="A560" s="12"/>
      <c r="C560" s="12"/>
      <c r="D560" s="13"/>
      <c r="F560" s="14"/>
      <c r="G560" s="14"/>
      <c r="H560" s="14"/>
      <c r="I560" s="14"/>
      <c r="J560" s="14"/>
      <c r="K560" s="12"/>
    </row>
    <row r="561" ht="19.5" customHeight="1">
      <c r="A561" s="12"/>
      <c r="C561" s="12"/>
      <c r="D561" s="13"/>
      <c r="F561" s="14"/>
      <c r="G561" s="14"/>
      <c r="H561" s="14"/>
      <c r="I561" s="14"/>
      <c r="J561" s="14"/>
      <c r="K561" s="12"/>
    </row>
    <row r="562" ht="19.5" customHeight="1">
      <c r="A562" s="12"/>
      <c r="C562" s="12"/>
      <c r="D562" s="13"/>
      <c r="F562" s="14"/>
      <c r="G562" s="14"/>
      <c r="H562" s="14"/>
      <c r="I562" s="14"/>
      <c r="J562" s="14"/>
      <c r="K562" s="12"/>
    </row>
    <row r="563" ht="19.5" customHeight="1">
      <c r="A563" s="12"/>
      <c r="C563" s="12"/>
      <c r="D563" s="13"/>
      <c r="F563" s="14"/>
      <c r="G563" s="14"/>
      <c r="H563" s="14"/>
      <c r="I563" s="14"/>
      <c r="J563" s="14"/>
      <c r="K563" s="12"/>
    </row>
    <row r="564" ht="19.5" customHeight="1">
      <c r="A564" s="12"/>
      <c r="C564" s="12"/>
      <c r="D564" s="13"/>
      <c r="F564" s="14"/>
      <c r="G564" s="14"/>
      <c r="H564" s="14"/>
      <c r="I564" s="14"/>
      <c r="J564" s="14"/>
      <c r="K564" s="12"/>
    </row>
    <row r="565" ht="19.5" customHeight="1">
      <c r="A565" s="12"/>
      <c r="C565" s="12"/>
      <c r="D565" s="13"/>
      <c r="F565" s="14"/>
      <c r="G565" s="14"/>
      <c r="H565" s="14"/>
      <c r="I565" s="14"/>
      <c r="J565" s="14"/>
      <c r="K565" s="12"/>
    </row>
    <row r="566" ht="19.5" customHeight="1">
      <c r="A566" s="12"/>
      <c r="C566" s="12"/>
      <c r="D566" s="13"/>
      <c r="F566" s="14"/>
      <c r="G566" s="14"/>
      <c r="H566" s="14"/>
      <c r="I566" s="14"/>
      <c r="J566" s="14"/>
      <c r="K566" s="12"/>
    </row>
    <row r="567" ht="19.5" customHeight="1">
      <c r="A567" s="12"/>
      <c r="C567" s="12"/>
      <c r="D567" s="13"/>
      <c r="F567" s="14"/>
      <c r="G567" s="14"/>
      <c r="H567" s="14"/>
      <c r="I567" s="14"/>
      <c r="J567" s="14"/>
      <c r="K567" s="12"/>
    </row>
    <row r="568" ht="19.5" customHeight="1">
      <c r="A568" s="12"/>
      <c r="C568" s="12"/>
      <c r="D568" s="13"/>
      <c r="F568" s="14"/>
      <c r="G568" s="14"/>
      <c r="H568" s="14"/>
      <c r="I568" s="14"/>
      <c r="J568" s="14"/>
      <c r="K568" s="12"/>
    </row>
    <row r="569" ht="19.5" customHeight="1">
      <c r="A569" s="12"/>
      <c r="C569" s="12"/>
      <c r="D569" s="13"/>
      <c r="F569" s="14"/>
      <c r="G569" s="14"/>
      <c r="H569" s="14"/>
      <c r="I569" s="14"/>
      <c r="J569" s="14"/>
      <c r="K569" s="12"/>
    </row>
    <row r="570" ht="19.5" customHeight="1">
      <c r="A570" s="12"/>
      <c r="C570" s="12"/>
      <c r="D570" s="13"/>
      <c r="F570" s="14"/>
      <c r="G570" s="14"/>
      <c r="H570" s="14"/>
      <c r="I570" s="14"/>
      <c r="J570" s="14"/>
      <c r="K570" s="12"/>
    </row>
    <row r="571" ht="19.5" customHeight="1">
      <c r="A571" s="12"/>
      <c r="C571" s="12"/>
      <c r="D571" s="13"/>
      <c r="F571" s="14"/>
      <c r="G571" s="14"/>
      <c r="H571" s="14"/>
      <c r="I571" s="14"/>
      <c r="J571" s="14"/>
      <c r="K571" s="12"/>
    </row>
    <row r="572" ht="19.5" customHeight="1">
      <c r="A572" s="12"/>
      <c r="C572" s="12"/>
      <c r="D572" s="13"/>
      <c r="F572" s="14"/>
      <c r="G572" s="14"/>
      <c r="H572" s="14"/>
      <c r="I572" s="14"/>
      <c r="J572" s="14"/>
      <c r="K572" s="12"/>
    </row>
    <row r="573" ht="19.5" customHeight="1">
      <c r="A573" s="12"/>
      <c r="C573" s="12"/>
      <c r="D573" s="13"/>
      <c r="F573" s="14"/>
      <c r="G573" s="14"/>
      <c r="H573" s="14"/>
      <c r="I573" s="14"/>
      <c r="J573" s="14"/>
      <c r="K573" s="12"/>
    </row>
    <row r="574" ht="19.5" customHeight="1">
      <c r="A574" s="12"/>
      <c r="C574" s="12"/>
      <c r="D574" s="13"/>
      <c r="F574" s="14"/>
      <c r="G574" s="14"/>
      <c r="H574" s="14"/>
      <c r="I574" s="14"/>
      <c r="J574" s="14"/>
      <c r="K574" s="12"/>
    </row>
    <row r="575" ht="19.5" customHeight="1">
      <c r="A575" s="12"/>
      <c r="C575" s="12"/>
      <c r="D575" s="13"/>
      <c r="F575" s="14"/>
      <c r="G575" s="14"/>
      <c r="H575" s="14"/>
      <c r="I575" s="14"/>
      <c r="J575" s="14"/>
      <c r="K575" s="12"/>
    </row>
    <row r="576" ht="19.5" customHeight="1">
      <c r="A576" s="12"/>
      <c r="C576" s="12"/>
      <c r="D576" s="13"/>
      <c r="F576" s="14"/>
      <c r="G576" s="14"/>
      <c r="H576" s="14"/>
      <c r="I576" s="14"/>
      <c r="J576" s="14"/>
      <c r="K576" s="12"/>
    </row>
    <row r="577" ht="19.5" customHeight="1">
      <c r="A577" s="12"/>
      <c r="C577" s="12"/>
      <c r="D577" s="13"/>
      <c r="F577" s="14"/>
      <c r="G577" s="14"/>
      <c r="H577" s="14"/>
      <c r="I577" s="14"/>
      <c r="J577" s="14"/>
      <c r="K577" s="12"/>
    </row>
    <row r="578" ht="19.5" customHeight="1">
      <c r="A578" s="12"/>
      <c r="C578" s="12"/>
      <c r="D578" s="13"/>
      <c r="F578" s="14"/>
      <c r="G578" s="14"/>
      <c r="H578" s="14"/>
      <c r="I578" s="14"/>
      <c r="J578" s="14"/>
      <c r="K578" s="12"/>
    </row>
    <row r="579" ht="19.5" customHeight="1">
      <c r="A579" s="12"/>
      <c r="C579" s="12"/>
      <c r="D579" s="13"/>
      <c r="F579" s="14"/>
      <c r="G579" s="14"/>
      <c r="H579" s="14"/>
      <c r="I579" s="14"/>
      <c r="J579" s="14"/>
      <c r="K579" s="12"/>
    </row>
    <row r="580" ht="19.5" customHeight="1">
      <c r="A580" s="12"/>
      <c r="C580" s="12"/>
      <c r="D580" s="13"/>
      <c r="F580" s="14"/>
      <c r="G580" s="14"/>
      <c r="H580" s="14"/>
      <c r="I580" s="14"/>
      <c r="J580" s="14"/>
      <c r="K580" s="12"/>
    </row>
    <row r="581" ht="19.5" customHeight="1">
      <c r="A581" s="12"/>
      <c r="C581" s="12"/>
      <c r="D581" s="13"/>
      <c r="F581" s="14"/>
      <c r="G581" s="14"/>
      <c r="H581" s="14"/>
      <c r="I581" s="14"/>
      <c r="J581" s="14"/>
      <c r="K581" s="12"/>
    </row>
    <row r="582" ht="19.5" customHeight="1">
      <c r="A582" s="12"/>
      <c r="C582" s="12"/>
      <c r="D582" s="13"/>
      <c r="F582" s="14"/>
      <c r="G582" s="14"/>
      <c r="H582" s="14"/>
      <c r="I582" s="14"/>
      <c r="J582" s="14"/>
      <c r="K582" s="12"/>
    </row>
    <row r="583" ht="19.5" customHeight="1">
      <c r="A583" s="12"/>
      <c r="C583" s="12"/>
      <c r="D583" s="13"/>
      <c r="F583" s="14"/>
      <c r="G583" s="14"/>
      <c r="H583" s="14"/>
      <c r="I583" s="14"/>
      <c r="J583" s="14"/>
      <c r="K583" s="12"/>
    </row>
    <row r="584" ht="19.5" customHeight="1">
      <c r="A584" s="12"/>
      <c r="C584" s="12"/>
      <c r="D584" s="13"/>
      <c r="F584" s="14"/>
      <c r="G584" s="14"/>
      <c r="H584" s="14"/>
      <c r="I584" s="14"/>
      <c r="J584" s="14"/>
      <c r="K584" s="12"/>
    </row>
    <row r="585" ht="19.5" customHeight="1">
      <c r="A585" s="12"/>
      <c r="C585" s="12"/>
      <c r="D585" s="13"/>
      <c r="F585" s="14"/>
      <c r="G585" s="14"/>
      <c r="H585" s="14"/>
      <c r="I585" s="14"/>
      <c r="J585" s="14"/>
      <c r="K585" s="12"/>
    </row>
    <row r="586" ht="19.5" customHeight="1">
      <c r="A586" s="12"/>
      <c r="C586" s="12"/>
      <c r="D586" s="13"/>
      <c r="F586" s="14"/>
      <c r="G586" s="14"/>
      <c r="H586" s="14"/>
      <c r="I586" s="14"/>
      <c r="J586" s="14"/>
      <c r="K586" s="12"/>
    </row>
    <row r="587" ht="19.5" customHeight="1">
      <c r="A587" s="12"/>
      <c r="C587" s="12"/>
      <c r="D587" s="13"/>
      <c r="F587" s="14"/>
      <c r="G587" s="14"/>
      <c r="H587" s="14"/>
      <c r="I587" s="14"/>
      <c r="J587" s="14"/>
      <c r="K587" s="12"/>
    </row>
    <row r="588" ht="19.5" customHeight="1">
      <c r="A588" s="12"/>
      <c r="C588" s="12"/>
      <c r="D588" s="13"/>
      <c r="F588" s="14"/>
      <c r="G588" s="14"/>
      <c r="H588" s="14"/>
      <c r="I588" s="14"/>
      <c r="J588" s="14"/>
      <c r="K588" s="12"/>
    </row>
    <row r="589" ht="19.5" customHeight="1">
      <c r="A589" s="12"/>
      <c r="C589" s="12"/>
      <c r="D589" s="13"/>
      <c r="F589" s="14"/>
      <c r="G589" s="14"/>
      <c r="H589" s="14"/>
      <c r="I589" s="14"/>
      <c r="J589" s="14"/>
      <c r="K589" s="12"/>
    </row>
    <row r="590" ht="19.5" customHeight="1">
      <c r="A590" s="12"/>
      <c r="C590" s="12"/>
      <c r="D590" s="13"/>
      <c r="F590" s="14"/>
      <c r="G590" s="14"/>
      <c r="H590" s="14"/>
      <c r="I590" s="14"/>
      <c r="J590" s="14"/>
      <c r="K590" s="12"/>
    </row>
    <row r="591" ht="19.5" customHeight="1">
      <c r="A591" s="12"/>
      <c r="C591" s="12"/>
      <c r="D591" s="13"/>
      <c r="F591" s="14"/>
      <c r="G591" s="14"/>
      <c r="H591" s="14"/>
      <c r="I591" s="14"/>
      <c r="J591" s="14"/>
      <c r="K591" s="12"/>
    </row>
    <row r="592" ht="19.5" customHeight="1">
      <c r="A592" s="12"/>
      <c r="C592" s="12"/>
      <c r="D592" s="13"/>
      <c r="F592" s="14"/>
      <c r="G592" s="14"/>
      <c r="H592" s="14"/>
      <c r="I592" s="14"/>
      <c r="J592" s="14"/>
      <c r="K592" s="12"/>
    </row>
    <row r="593" ht="19.5" customHeight="1">
      <c r="A593" s="12"/>
      <c r="C593" s="12"/>
      <c r="D593" s="13"/>
      <c r="F593" s="14"/>
      <c r="G593" s="14"/>
      <c r="H593" s="14"/>
      <c r="I593" s="14"/>
      <c r="J593" s="14"/>
      <c r="K593" s="12"/>
    </row>
    <row r="594" ht="19.5" customHeight="1">
      <c r="A594" s="12"/>
      <c r="C594" s="12"/>
      <c r="D594" s="13"/>
      <c r="F594" s="14"/>
      <c r="G594" s="14"/>
      <c r="H594" s="14"/>
      <c r="I594" s="14"/>
      <c r="J594" s="14"/>
      <c r="K594" s="12"/>
    </row>
    <row r="595" ht="19.5" customHeight="1">
      <c r="A595" s="12"/>
      <c r="C595" s="12"/>
      <c r="D595" s="13"/>
      <c r="F595" s="14"/>
      <c r="G595" s="14"/>
      <c r="H595" s="14"/>
      <c r="I595" s="14"/>
      <c r="J595" s="14"/>
      <c r="K595" s="12"/>
    </row>
    <row r="596" ht="19.5" customHeight="1">
      <c r="A596" s="12"/>
      <c r="C596" s="12"/>
      <c r="D596" s="13"/>
      <c r="F596" s="14"/>
      <c r="G596" s="14"/>
      <c r="H596" s="14"/>
      <c r="I596" s="14"/>
      <c r="J596" s="14"/>
      <c r="K596" s="12"/>
    </row>
    <row r="597" ht="19.5" customHeight="1">
      <c r="A597" s="12"/>
      <c r="C597" s="12"/>
      <c r="D597" s="13"/>
      <c r="F597" s="14"/>
      <c r="G597" s="14"/>
      <c r="H597" s="14"/>
      <c r="I597" s="14"/>
      <c r="J597" s="14"/>
      <c r="K597" s="12"/>
    </row>
    <row r="598" ht="19.5" customHeight="1">
      <c r="A598" s="12"/>
      <c r="C598" s="12"/>
      <c r="D598" s="13"/>
      <c r="F598" s="14"/>
      <c r="G598" s="14"/>
      <c r="H598" s="14"/>
      <c r="I598" s="14"/>
      <c r="J598" s="14"/>
      <c r="K598" s="12"/>
    </row>
    <row r="599" ht="19.5" customHeight="1">
      <c r="A599" s="12"/>
      <c r="C599" s="12"/>
      <c r="D599" s="13"/>
      <c r="F599" s="14"/>
      <c r="G599" s="14"/>
      <c r="H599" s="14"/>
      <c r="I599" s="14"/>
      <c r="J599" s="14"/>
      <c r="K599" s="12"/>
    </row>
    <row r="600" ht="19.5" customHeight="1">
      <c r="A600" s="12"/>
      <c r="C600" s="12"/>
      <c r="D600" s="13"/>
      <c r="F600" s="14"/>
      <c r="G600" s="14"/>
      <c r="H600" s="14"/>
      <c r="I600" s="14"/>
      <c r="J600" s="14"/>
      <c r="K600" s="12"/>
    </row>
    <row r="601" ht="19.5" customHeight="1">
      <c r="A601" s="12"/>
      <c r="C601" s="12"/>
      <c r="D601" s="13"/>
      <c r="F601" s="14"/>
      <c r="G601" s="14"/>
      <c r="H601" s="14"/>
      <c r="I601" s="14"/>
      <c r="J601" s="14"/>
      <c r="K601" s="12"/>
    </row>
    <row r="602" ht="19.5" customHeight="1">
      <c r="A602" s="12"/>
      <c r="C602" s="12"/>
      <c r="D602" s="13"/>
      <c r="F602" s="14"/>
      <c r="G602" s="14"/>
      <c r="H602" s="14"/>
      <c r="I602" s="14"/>
      <c r="J602" s="14"/>
      <c r="K602" s="12"/>
    </row>
    <row r="603" ht="19.5" customHeight="1">
      <c r="A603" s="12"/>
      <c r="C603" s="12"/>
      <c r="D603" s="13"/>
      <c r="F603" s="14"/>
      <c r="G603" s="14"/>
      <c r="H603" s="14"/>
      <c r="I603" s="14"/>
      <c r="J603" s="14"/>
      <c r="K603" s="12"/>
    </row>
    <row r="604" ht="19.5" customHeight="1">
      <c r="A604" s="12"/>
      <c r="C604" s="12"/>
      <c r="D604" s="13"/>
      <c r="F604" s="14"/>
      <c r="G604" s="14"/>
      <c r="H604" s="14"/>
      <c r="I604" s="14"/>
      <c r="J604" s="14"/>
      <c r="K604" s="12"/>
    </row>
    <row r="605" ht="19.5" customHeight="1">
      <c r="A605" s="12"/>
      <c r="C605" s="12"/>
      <c r="D605" s="13"/>
      <c r="F605" s="14"/>
      <c r="G605" s="14"/>
      <c r="H605" s="14"/>
      <c r="I605" s="14"/>
      <c r="J605" s="14"/>
      <c r="K605" s="12"/>
    </row>
    <row r="606" ht="19.5" customHeight="1">
      <c r="A606" s="12"/>
      <c r="C606" s="12"/>
      <c r="D606" s="13"/>
      <c r="F606" s="14"/>
      <c r="G606" s="14"/>
      <c r="H606" s="14"/>
      <c r="I606" s="14"/>
      <c r="J606" s="14"/>
      <c r="K606" s="12"/>
    </row>
    <row r="607" ht="19.5" customHeight="1">
      <c r="A607" s="12"/>
      <c r="C607" s="12"/>
      <c r="D607" s="13"/>
      <c r="F607" s="14"/>
      <c r="G607" s="14"/>
      <c r="H607" s="14"/>
      <c r="I607" s="14"/>
      <c r="J607" s="14"/>
      <c r="K607" s="12"/>
    </row>
    <row r="608" ht="19.5" customHeight="1">
      <c r="A608" s="12"/>
      <c r="C608" s="12"/>
      <c r="D608" s="13"/>
      <c r="F608" s="14"/>
      <c r="G608" s="14"/>
      <c r="H608" s="14"/>
      <c r="I608" s="14"/>
      <c r="J608" s="14"/>
      <c r="K608" s="12"/>
    </row>
    <row r="609" ht="19.5" customHeight="1">
      <c r="A609" s="12"/>
      <c r="C609" s="12"/>
      <c r="D609" s="13"/>
      <c r="F609" s="14"/>
      <c r="G609" s="14"/>
      <c r="H609" s="14"/>
      <c r="I609" s="14"/>
      <c r="J609" s="14"/>
      <c r="K609" s="12"/>
    </row>
    <row r="610" ht="19.5" customHeight="1">
      <c r="A610" s="12"/>
      <c r="C610" s="12"/>
      <c r="D610" s="13"/>
      <c r="F610" s="14"/>
      <c r="G610" s="14"/>
      <c r="H610" s="14"/>
      <c r="I610" s="14"/>
      <c r="J610" s="14"/>
      <c r="K610" s="12"/>
    </row>
    <row r="611" ht="19.5" customHeight="1">
      <c r="A611" s="12"/>
      <c r="C611" s="12"/>
      <c r="D611" s="13"/>
      <c r="F611" s="14"/>
      <c r="G611" s="14"/>
      <c r="H611" s="14"/>
      <c r="I611" s="14"/>
      <c r="J611" s="14"/>
      <c r="K611" s="12"/>
    </row>
    <row r="612" ht="19.5" customHeight="1">
      <c r="A612" s="12"/>
      <c r="C612" s="12"/>
      <c r="D612" s="13"/>
      <c r="F612" s="14"/>
      <c r="G612" s="14"/>
      <c r="H612" s="14"/>
      <c r="I612" s="14"/>
      <c r="J612" s="14"/>
      <c r="K612" s="12"/>
    </row>
    <row r="613" ht="19.5" customHeight="1">
      <c r="A613" s="12"/>
      <c r="C613" s="12"/>
      <c r="D613" s="13"/>
      <c r="F613" s="14"/>
      <c r="G613" s="14"/>
      <c r="H613" s="14"/>
      <c r="I613" s="14"/>
      <c r="J613" s="14"/>
      <c r="K613" s="12"/>
    </row>
    <row r="614" ht="19.5" customHeight="1">
      <c r="A614" s="12"/>
      <c r="C614" s="12"/>
      <c r="D614" s="13"/>
      <c r="F614" s="14"/>
      <c r="G614" s="14"/>
      <c r="H614" s="14"/>
      <c r="I614" s="14"/>
      <c r="J614" s="14"/>
      <c r="K614" s="12"/>
    </row>
    <row r="615" ht="19.5" customHeight="1">
      <c r="A615" s="12"/>
      <c r="C615" s="12"/>
      <c r="D615" s="13"/>
      <c r="F615" s="14"/>
      <c r="G615" s="14"/>
      <c r="H615" s="14"/>
      <c r="I615" s="14"/>
      <c r="J615" s="14"/>
      <c r="K615" s="12"/>
    </row>
    <row r="616" ht="19.5" customHeight="1">
      <c r="A616" s="12"/>
      <c r="C616" s="12"/>
      <c r="D616" s="13"/>
      <c r="F616" s="14"/>
      <c r="G616" s="14"/>
      <c r="H616" s="14"/>
      <c r="I616" s="14"/>
      <c r="J616" s="14"/>
      <c r="K616" s="12"/>
    </row>
    <row r="617" ht="19.5" customHeight="1">
      <c r="A617" s="12"/>
      <c r="C617" s="12"/>
      <c r="D617" s="13"/>
      <c r="F617" s="14"/>
      <c r="G617" s="14"/>
      <c r="H617" s="14"/>
      <c r="I617" s="14"/>
      <c r="J617" s="14"/>
      <c r="K617" s="12"/>
    </row>
    <row r="618" ht="19.5" customHeight="1">
      <c r="A618" s="12"/>
      <c r="C618" s="12"/>
      <c r="D618" s="13"/>
      <c r="F618" s="14"/>
      <c r="G618" s="14"/>
      <c r="H618" s="14"/>
      <c r="I618" s="14"/>
      <c r="J618" s="14"/>
      <c r="K618" s="12"/>
    </row>
    <row r="619" ht="19.5" customHeight="1">
      <c r="A619" s="12"/>
      <c r="C619" s="12"/>
      <c r="D619" s="13"/>
      <c r="F619" s="14"/>
      <c r="G619" s="14"/>
      <c r="H619" s="14"/>
      <c r="I619" s="14"/>
      <c r="J619" s="14"/>
      <c r="K619" s="12"/>
    </row>
    <row r="620" ht="19.5" customHeight="1">
      <c r="A620" s="12"/>
      <c r="C620" s="12"/>
      <c r="D620" s="13"/>
      <c r="F620" s="14"/>
      <c r="G620" s="14"/>
      <c r="H620" s="14"/>
      <c r="I620" s="14"/>
      <c r="J620" s="14"/>
      <c r="K620" s="12"/>
    </row>
    <row r="621" ht="19.5" customHeight="1">
      <c r="A621" s="12"/>
      <c r="C621" s="12"/>
      <c r="D621" s="13"/>
      <c r="F621" s="14"/>
      <c r="G621" s="14"/>
      <c r="H621" s="14"/>
      <c r="I621" s="14"/>
      <c r="J621" s="14"/>
      <c r="K621" s="12"/>
    </row>
    <row r="622" ht="19.5" customHeight="1">
      <c r="A622" s="12"/>
      <c r="C622" s="12"/>
      <c r="D622" s="13"/>
      <c r="F622" s="14"/>
      <c r="G622" s="14"/>
      <c r="H622" s="14"/>
      <c r="I622" s="14"/>
      <c r="J622" s="14"/>
      <c r="K622" s="12"/>
    </row>
    <row r="623" ht="19.5" customHeight="1">
      <c r="A623" s="12"/>
      <c r="C623" s="12"/>
      <c r="D623" s="13"/>
      <c r="F623" s="14"/>
      <c r="G623" s="14"/>
      <c r="H623" s="14"/>
      <c r="I623" s="14"/>
      <c r="J623" s="14"/>
      <c r="K623" s="12"/>
    </row>
    <row r="624" ht="19.5" customHeight="1">
      <c r="A624" s="12"/>
      <c r="C624" s="12"/>
      <c r="D624" s="13"/>
      <c r="F624" s="14"/>
      <c r="G624" s="14"/>
      <c r="H624" s="14"/>
      <c r="I624" s="14"/>
      <c r="J624" s="14"/>
      <c r="K624" s="12"/>
    </row>
    <row r="625" ht="19.5" customHeight="1">
      <c r="A625" s="12"/>
      <c r="C625" s="12"/>
      <c r="D625" s="13"/>
      <c r="F625" s="14"/>
      <c r="G625" s="14"/>
      <c r="H625" s="14"/>
      <c r="I625" s="14"/>
      <c r="J625" s="14"/>
      <c r="K625" s="12"/>
    </row>
    <row r="626" ht="19.5" customHeight="1">
      <c r="A626" s="12"/>
      <c r="C626" s="12"/>
      <c r="D626" s="13"/>
      <c r="F626" s="14"/>
      <c r="G626" s="14"/>
      <c r="H626" s="14"/>
      <c r="I626" s="14"/>
      <c r="J626" s="14"/>
      <c r="K626" s="12"/>
    </row>
    <row r="627" ht="19.5" customHeight="1">
      <c r="A627" s="12"/>
      <c r="C627" s="12"/>
      <c r="D627" s="13"/>
      <c r="F627" s="14"/>
      <c r="G627" s="14"/>
      <c r="H627" s="14"/>
      <c r="I627" s="14"/>
      <c r="J627" s="14"/>
      <c r="K627" s="12"/>
    </row>
    <row r="628" ht="19.5" customHeight="1">
      <c r="A628" s="12"/>
      <c r="C628" s="12"/>
      <c r="D628" s="13"/>
      <c r="F628" s="14"/>
      <c r="G628" s="14"/>
      <c r="H628" s="14"/>
      <c r="I628" s="14"/>
      <c r="J628" s="14"/>
      <c r="K628" s="12"/>
    </row>
    <row r="629" ht="19.5" customHeight="1">
      <c r="A629" s="12"/>
      <c r="C629" s="12"/>
      <c r="D629" s="13"/>
      <c r="F629" s="14"/>
      <c r="G629" s="14"/>
      <c r="H629" s="14"/>
      <c r="I629" s="14"/>
      <c r="J629" s="14"/>
      <c r="K629" s="12"/>
    </row>
    <row r="630" ht="19.5" customHeight="1">
      <c r="A630" s="12"/>
      <c r="C630" s="12"/>
      <c r="D630" s="13"/>
      <c r="F630" s="14"/>
      <c r="G630" s="14"/>
      <c r="H630" s="14"/>
      <c r="I630" s="14"/>
      <c r="J630" s="14"/>
      <c r="K630" s="12"/>
    </row>
    <row r="631" ht="19.5" customHeight="1">
      <c r="A631" s="12"/>
      <c r="C631" s="12"/>
      <c r="D631" s="13"/>
      <c r="F631" s="14"/>
      <c r="G631" s="14"/>
      <c r="H631" s="14"/>
      <c r="I631" s="14"/>
      <c r="J631" s="14"/>
      <c r="K631" s="12"/>
    </row>
    <row r="632" ht="19.5" customHeight="1">
      <c r="A632" s="12"/>
      <c r="C632" s="12"/>
      <c r="D632" s="13"/>
      <c r="F632" s="14"/>
      <c r="G632" s="14"/>
      <c r="H632" s="14"/>
      <c r="I632" s="14"/>
      <c r="J632" s="14"/>
      <c r="K632" s="12"/>
    </row>
    <row r="633" ht="19.5" customHeight="1">
      <c r="A633" s="12"/>
      <c r="C633" s="12"/>
      <c r="D633" s="13"/>
      <c r="F633" s="14"/>
      <c r="G633" s="14"/>
      <c r="H633" s="14"/>
      <c r="I633" s="14"/>
      <c r="J633" s="14"/>
      <c r="K633" s="12"/>
    </row>
    <row r="634" ht="19.5" customHeight="1">
      <c r="A634" s="12"/>
      <c r="C634" s="12"/>
      <c r="D634" s="13"/>
      <c r="F634" s="14"/>
      <c r="G634" s="14"/>
      <c r="H634" s="14"/>
      <c r="I634" s="14"/>
      <c r="J634" s="14"/>
      <c r="K634" s="12"/>
    </row>
    <row r="635" ht="19.5" customHeight="1">
      <c r="A635" s="12"/>
      <c r="C635" s="12"/>
      <c r="D635" s="13"/>
      <c r="F635" s="14"/>
      <c r="G635" s="14"/>
      <c r="H635" s="14"/>
      <c r="I635" s="14"/>
      <c r="J635" s="14"/>
      <c r="K635" s="12"/>
    </row>
    <row r="636" ht="19.5" customHeight="1">
      <c r="A636" s="12"/>
      <c r="C636" s="12"/>
      <c r="D636" s="13"/>
      <c r="F636" s="14"/>
      <c r="G636" s="14"/>
      <c r="H636" s="14"/>
      <c r="I636" s="14"/>
      <c r="J636" s="14"/>
      <c r="K636" s="12"/>
    </row>
    <row r="637" ht="19.5" customHeight="1">
      <c r="A637" s="12"/>
      <c r="C637" s="12"/>
      <c r="D637" s="13"/>
      <c r="F637" s="14"/>
      <c r="G637" s="14"/>
      <c r="H637" s="14"/>
      <c r="I637" s="14"/>
      <c r="J637" s="14"/>
      <c r="K637" s="12"/>
    </row>
    <row r="638" ht="19.5" customHeight="1">
      <c r="A638" s="12"/>
      <c r="C638" s="12"/>
      <c r="D638" s="13"/>
      <c r="F638" s="14"/>
      <c r="G638" s="14"/>
      <c r="H638" s="14"/>
      <c r="I638" s="14"/>
      <c r="J638" s="14"/>
      <c r="K638" s="12"/>
    </row>
    <row r="639" ht="19.5" customHeight="1">
      <c r="A639" s="12"/>
      <c r="C639" s="12"/>
      <c r="D639" s="13"/>
      <c r="F639" s="14"/>
      <c r="G639" s="14"/>
      <c r="H639" s="14"/>
      <c r="I639" s="14"/>
      <c r="J639" s="14"/>
      <c r="K639" s="12"/>
    </row>
    <row r="640" ht="19.5" customHeight="1">
      <c r="A640" s="12"/>
      <c r="C640" s="12"/>
      <c r="D640" s="13"/>
      <c r="F640" s="14"/>
      <c r="G640" s="14"/>
      <c r="H640" s="14"/>
      <c r="I640" s="14"/>
      <c r="J640" s="14"/>
      <c r="K640" s="12"/>
    </row>
    <row r="641" ht="19.5" customHeight="1">
      <c r="A641" s="12"/>
      <c r="C641" s="12"/>
      <c r="D641" s="13"/>
      <c r="F641" s="14"/>
      <c r="G641" s="14"/>
      <c r="H641" s="14"/>
      <c r="I641" s="14"/>
      <c r="J641" s="14"/>
      <c r="K641" s="12"/>
    </row>
    <row r="642" ht="19.5" customHeight="1">
      <c r="A642" s="12"/>
      <c r="C642" s="12"/>
      <c r="D642" s="13"/>
      <c r="F642" s="14"/>
      <c r="G642" s="14"/>
      <c r="H642" s="14"/>
      <c r="I642" s="14"/>
      <c r="J642" s="14"/>
      <c r="K642" s="12"/>
    </row>
    <row r="643" ht="19.5" customHeight="1">
      <c r="A643" s="12"/>
      <c r="C643" s="12"/>
      <c r="D643" s="13"/>
      <c r="F643" s="14"/>
      <c r="G643" s="14"/>
      <c r="H643" s="14"/>
      <c r="I643" s="14"/>
      <c r="J643" s="14"/>
      <c r="K643" s="12"/>
    </row>
    <row r="644" ht="19.5" customHeight="1">
      <c r="A644" s="12"/>
      <c r="C644" s="12"/>
      <c r="D644" s="13"/>
      <c r="F644" s="14"/>
      <c r="G644" s="14"/>
      <c r="H644" s="14"/>
      <c r="I644" s="14"/>
      <c r="J644" s="14"/>
      <c r="K644" s="12"/>
    </row>
    <row r="645" ht="19.5" customHeight="1">
      <c r="A645" s="12"/>
      <c r="C645" s="12"/>
      <c r="D645" s="13"/>
      <c r="F645" s="14"/>
      <c r="G645" s="14"/>
      <c r="H645" s="14"/>
      <c r="I645" s="14"/>
      <c r="J645" s="14"/>
      <c r="K645" s="12"/>
    </row>
    <row r="646" ht="19.5" customHeight="1">
      <c r="A646" s="12"/>
      <c r="C646" s="12"/>
      <c r="D646" s="13"/>
      <c r="F646" s="14"/>
      <c r="G646" s="14"/>
      <c r="H646" s="14"/>
      <c r="I646" s="14"/>
      <c r="J646" s="14"/>
      <c r="K646" s="12"/>
    </row>
    <row r="647" ht="19.5" customHeight="1">
      <c r="A647" s="12"/>
      <c r="C647" s="12"/>
      <c r="D647" s="13"/>
      <c r="F647" s="14"/>
      <c r="G647" s="14"/>
      <c r="H647" s="14"/>
      <c r="I647" s="14"/>
      <c r="J647" s="14"/>
      <c r="K647" s="12"/>
    </row>
    <row r="648" ht="19.5" customHeight="1">
      <c r="A648" s="12"/>
      <c r="C648" s="12"/>
      <c r="D648" s="13"/>
      <c r="F648" s="14"/>
      <c r="G648" s="14"/>
      <c r="H648" s="14"/>
      <c r="I648" s="14"/>
      <c r="J648" s="14"/>
      <c r="K648" s="12"/>
    </row>
    <row r="649" ht="19.5" customHeight="1">
      <c r="A649" s="12"/>
      <c r="C649" s="12"/>
      <c r="D649" s="13"/>
      <c r="F649" s="14"/>
      <c r="G649" s="14"/>
      <c r="H649" s="14"/>
      <c r="I649" s="14"/>
      <c r="J649" s="14"/>
      <c r="K649" s="12"/>
    </row>
    <row r="650" ht="19.5" customHeight="1">
      <c r="A650" s="12"/>
      <c r="C650" s="12"/>
      <c r="D650" s="13"/>
      <c r="F650" s="14"/>
      <c r="G650" s="14"/>
      <c r="H650" s="14"/>
      <c r="I650" s="14"/>
      <c r="J650" s="14"/>
      <c r="K650" s="12"/>
    </row>
    <row r="651" ht="19.5" customHeight="1">
      <c r="A651" s="12"/>
      <c r="C651" s="12"/>
      <c r="D651" s="13"/>
      <c r="F651" s="14"/>
      <c r="G651" s="14"/>
      <c r="H651" s="14"/>
      <c r="I651" s="14"/>
      <c r="J651" s="14"/>
      <c r="K651" s="12"/>
    </row>
    <row r="652" ht="19.5" customHeight="1">
      <c r="A652" s="12"/>
      <c r="C652" s="12"/>
      <c r="D652" s="13"/>
      <c r="F652" s="14"/>
      <c r="G652" s="14"/>
      <c r="H652" s="14"/>
      <c r="I652" s="14"/>
      <c r="J652" s="14"/>
      <c r="K652" s="12"/>
    </row>
    <row r="653" ht="19.5" customHeight="1">
      <c r="A653" s="12"/>
      <c r="C653" s="12"/>
      <c r="D653" s="13"/>
      <c r="F653" s="14"/>
      <c r="G653" s="14"/>
      <c r="H653" s="14"/>
      <c r="I653" s="14"/>
      <c r="J653" s="14"/>
      <c r="K653" s="12"/>
    </row>
    <row r="654" ht="19.5" customHeight="1">
      <c r="A654" s="12"/>
      <c r="C654" s="12"/>
      <c r="D654" s="13"/>
      <c r="F654" s="14"/>
      <c r="G654" s="14"/>
      <c r="H654" s="14"/>
      <c r="I654" s="14"/>
      <c r="J654" s="14"/>
      <c r="K654" s="12"/>
    </row>
    <row r="655" ht="19.5" customHeight="1">
      <c r="A655" s="12"/>
      <c r="C655" s="12"/>
      <c r="D655" s="13"/>
      <c r="F655" s="14"/>
      <c r="G655" s="14"/>
      <c r="H655" s="14"/>
      <c r="I655" s="14"/>
      <c r="J655" s="14"/>
      <c r="K655" s="12"/>
    </row>
    <row r="656" ht="19.5" customHeight="1">
      <c r="A656" s="12"/>
      <c r="C656" s="12"/>
      <c r="D656" s="13"/>
      <c r="F656" s="14"/>
      <c r="G656" s="14"/>
      <c r="H656" s="14"/>
      <c r="I656" s="14"/>
      <c r="J656" s="14"/>
      <c r="K656" s="12"/>
    </row>
    <row r="657" ht="19.5" customHeight="1">
      <c r="A657" s="12"/>
      <c r="C657" s="12"/>
      <c r="D657" s="13"/>
      <c r="F657" s="14"/>
      <c r="G657" s="14"/>
      <c r="H657" s="14"/>
      <c r="I657" s="14"/>
      <c r="J657" s="14"/>
      <c r="K657" s="12"/>
    </row>
    <row r="658" ht="19.5" customHeight="1">
      <c r="A658" s="12"/>
      <c r="C658" s="12"/>
      <c r="D658" s="13"/>
      <c r="F658" s="14"/>
      <c r="G658" s="14"/>
      <c r="H658" s="14"/>
      <c r="I658" s="14"/>
      <c r="J658" s="14"/>
      <c r="K658" s="12"/>
    </row>
    <row r="659" ht="19.5" customHeight="1">
      <c r="A659" s="12"/>
      <c r="C659" s="12"/>
      <c r="D659" s="13"/>
      <c r="F659" s="14"/>
      <c r="G659" s="14"/>
      <c r="H659" s="14"/>
      <c r="I659" s="14"/>
      <c r="J659" s="14"/>
      <c r="K659" s="12"/>
    </row>
    <row r="660" ht="19.5" customHeight="1">
      <c r="A660" s="12"/>
      <c r="C660" s="12"/>
      <c r="D660" s="13"/>
      <c r="F660" s="14"/>
      <c r="G660" s="14"/>
      <c r="H660" s="14"/>
      <c r="I660" s="14"/>
      <c r="J660" s="14"/>
      <c r="K660" s="12"/>
    </row>
    <row r="661" ht="19.5" customHeight="1">
      <c r="A661" s="12"/>
      <c r="C661" s="12"/>
      <c r="D661" s="13"/>
      <c r="F661" s="14"/>
      <c r="G661" s="14"/>
      <c r="H661" s="14"/>
      <c r="I661" s="14"/>
      <c r="J661" s="14"/>
      <c r="K661" s="12"/>
    </row>
    <row r="662" ht="19.5" customHeight="1">
      <c r="A662" s="12"/>
      <c r="C662" s="12"/>
      <c r="D662" s="13"/>
      <c r="F662" s="14"/>
      <c r="G662" s="14"/>
      <c r="H662" s="14"/>
      <c r="I662" s="14"/>
      <c r="J662" s="14"/>
      <c r="K662" s="12"/>
    </row>
    <row r="663" ht="19.5" customHeight="1">
      <c r="A663" s="12"/>
      <c r="C663" s="12"/>
      <c r="D663" s="13"/>
      <c r="F663" s="14"/>
      <c r="G663" s="14"/>
      <c r="H663" s="14"/>
      <c r="I663" s="14"/>
      <c r="J663" s="14"/>
      <c r="K663" s="12"/>
    </row>
    <row r="664" ht="19.5" customHeight="1">
      <c r="A664" s="12"/>
      <c r="C664" s="12"/>
      <c r="D664" s="13"/>
      <c r="F664" s="14"/>
      <c r="G664" s="14"/>
      <c r="H664" s="14"/>
      <c r="I664" s="14"/>
      <c r="J664" s="14"/>
      <c r="K664" s="12"/>
    </row>
    <row r="665" ht="19.5" customHeight="1">
      <c r="A665" s="12"/>
      <c r="C665" s="12"/>
      <c r="D665" s="13"/>
      <c r="F665" s="14"/>
      <c r="G665" s="14"/>
      <c r="H665" s="14"/>
      <c r="I665" s="14"/>
      <c r="J665" s="14"/>
      <c r="K665" s="12"/>
    </row>
    <row r="666" ht="19.5" customHeight="1">
      <c r="A666" s="12"/>
      <c r="C666" s="12"/>
      <c r="D666" s="13"/>
      <c r="F666" s="14"/>
      <c r="G666" s="14"/>
      <c r="H666" s="14"/>
      <c r="I666" s="14"/>
      <c r="J666" s="14"/>
      <c r="K666" s="12"/>
    </row>
    <row r="667" ht="19.5" customHeight="1">
      <c r="A667" s="12"/>
      <c r="C667" s="12"/>
      <c r="D667" s="13"/>
      <c r="F667" s="14"/>
      <c r="G667" s="14"/>
      <c r="H667" s="14"/>
      <c r="I667" s="14"/>
      <c r="J667" s="14"/>
      <c r="K667" s="12"/>
    </row>
    <row r="668" ht="19.5" customHeight="1">
      <c r="A668" s="12"/>
      <c r="C668" s="12"/>
      <c r="D668" s="13"/>
      <c r="F668" s="14"/>
      <c r="G668" s="14"/>
      <c r="H668" s="14"/>
      <c r="I668" s="14"/>
      <c r="J668" s="14"/>
      <c r="K668" s="12"/>
    </row>
    <row r="669" ht="19.5" customHeight="1">
      <c r="A669" s="12"/>
      <c r="C669" s="12"/>
      <c r="D669" s="13"/>
      <c r="F669" s="14"/>
      <c r="G669" s="14"/>
      <c r="H669" s="14"/>
      <c r="I669" s="14"/>
      <c r="J669" s="14"/>
      <c r="K669" s="12"/>
    </row>
    <row r="670" ht="19.5" customHeight="1">
      <c r="A670" s="12"/>
      <c r="C670" s="12"/>
      <c r="D670" s="13"/>
      <c r="F670" s="14"/>
      <c r="G670" s="14"/>
      <c r="H670" s="14"/>
      <c r="I670" s="14"/>
      <c r="J670" s="14"/>
      <c r="K670" s="12"/>
    </row>
    <row r="671" ht="19.5" customHeight="1">
      <c r="A671" s="12"/>
      <c r="C671" s="12"/>
      <c r="D671" s="13"/>
      <c r="F671" s="14"/>
      <c r="G671" s="14"/>
      <c r="H671" s="14"/>
      <c r="I671" s="14"/>
      <c r="J671" s="14"/>
      <c r="K671" s="12"/>
    </row>
    <row r="672" ht="19.5" customHeight="1">
      <c r="A672" s="12"/>
      <c r="C672" s="12"/>
      <c r="D672" s="13"/>
      <c r="F672" s="14"/>
      <c r="G672" s="14"/>
      <c r="H672" s="14"/>
      <c r="I672" s="14"/>
      <c r="J672" s="14"/>
      <c r="K672" s="12"/>
    </row>
    <row r="673" ht="19.5" customHeight="1">
      <c r="A673" s="12"/>
      <c r="C673" s="12"/>
      <c r="D673" s="13"/>
      <c r="F673" s="14"/>
      <c r="G673" s="14"/>
      <c r="H673" s="14"/>
      <c r="I673" s="14"/>
      <c r="J673" s="14"/>
      <c r="K673" s="12"/>
    </row>
    <row r="674" ht="19.5" customHeight="1">
      <c r="A674" s="12"/>
      <c r="C674" s="12"/>
      <c r="D674" s="13"/>
      <c r="F674" s="14"/>
      <c r="G674" s="14"/>
      <c r="H674" s="14"/>
      <c r="I674" s="14"/>
      <c r="J674" s="14"/>
      <c r="K674" s="12"/>
    </row>
    <row r="675" ht="19.5" customHeight="1">
      <c r="A675" s="12"/>
      <c r="C675" s="12"/>
      <c r="D675" s="13"/>
      <c r="F675" s="14"/>
      <c r="G675" s="14"/>
      <c r="H675" s="14"/>
      <c r="I675" s="14"/>
      <c r="J675" s="14"/>
      <c r="K675" s="12"/>
    </row>
    <row r="676" ht="19.5" customHeight="1">
      <c r="A676" s="12"/>
      <c r="C676" s="12"/>
      <c r="D676" s="13"/>
      <c r="F676" s="14"/>
      <c r="G676" s="14"/>
      <c r="H676" s="14"/>
      <c r="I676" s="14"/>
      <c r="J676" s="14"/>
      <c r="K676" s="12"/>
    </row>
    <row r="677" ht="19.5" customHeight="1">
      <c r="A677" s="12"/>
      <c r="C677" s="12"/>
      <c r="D677" s="13"/>
      <c r="F677" s="14"/>
      <c r="G677" s="14"/>
      <c r="H677" s="14"/>
      <c r="I677" s="14"/>
      <c r="J677" s="14"/>
      <c r="K677" s="12"/>
    </row>
    <row r="678" ht="19.5" customHeight="1">
      <c r="A678" s="12"/>
      <c r="C678" s="12"/>
      <c r="D678" s="13"/>
      <c r="F678" s="14"/>
      <c r="G678" s="14"/>
      <c r="H678" s="14"/>
      <c r="I678" s="14"/>
      <c r="J678" s="14"/>
      <c r="K678" s="12"/>
    </row>
    <row r="679" ht="19.5" customHeight="1">
      <c r="A679" s="12"/>
      <c r="C679" s="12"/>
      <c r="D679" s="13"/>
      <c r="F679" s="14"/>
      <c r="G679" s="14"/>
      <c r="H679" s="14"/>
      <c r="I679" s="14"/>
      <c r="J679" s="14"/>
      <c r="K679" s="12"/>
    </row>
    <row r="680" ht="19.5" customHeight="1">
      <c r="A680" s="12"/>
      <c r="C680" s="12"/>
      <c r="D680" s="13"/>
      <c r="F680" s="14"/>
      <c r="G680" s="14"/>
      <c r="H680" s="14"/>
      <c r="I680" s="14"/>
      <c r="J680" s="14"/>
      <c r="K680" s="12"/>
    </row>
    <row r="681" ht="19.5" customHeight="1">
      <c r="A681" s="12"/>
      <c r="C681" s="12"/>
      <c r="D681" s="13"/>
      <c r="F681" s="14"/>
      <c r="G681" s="14"/>
      <c r="H681" s="14"/>
      <c r="I681" s="14"/>
      <c r="J681" s="14"/>
      <c r="K681" s="12"/>
    </row>
    <row r="682" ht="19.5" customHeight="1">
      <c r="A682" s="12"/>
      <c r="C682" s="12"/>
      <c r="D682" s="13"/>
      <c r="F682" s="14"/>
      <c r="G682" s="14"/>
      <c r="H682" s="14"/>
      <c r="I682" s="14"/>
      <c r="J682" s="14"/>
      <c r="K682" s="12"/>
    </row>
    <row r="683" ht="19.5" customHeight="1">
      <c r="A683" s="12"/>
      <c r="C683" s="12"/>
      <c r="D683" s="13"/>
      <c r="F683" s="14"/>
      <c r="G683" s="14"/>
      <c r="H683" s="14"/>
      <c r="I683" s="14"/>
      <c r="J683" s="14"/>
      <c r="K683" s="12"/>
    </row>
    <row r="684" ht="19.5" customHeight="1">
      <c r="A684" s="12"/>
      <c r="C684" s="12"/>
      <c r="D684" s="13"/>
      <c r="F684" s="14"/>
      <c r="G684" s="14"/>
      <c r="H684" s="14"/>
      <c r="I684" s="14"/>
      <c r="J684" s="14"/>
      <c r="K684" s="12"/>
    </row>
    <row r="685" ht="19.5" customHeight="1">
      <c r="A685" s="12"/>
      <c r="C685" s="12"/>
      <c r="D685" s="13"/>
      <c r="F685" s="14"/>
      <c r="G685" s="14"/>
      <c r="H685" s="14"/>
      <c r="I685" s="14"/>
      <c r="J685" s="14"/>
      <c r="K685" s="12"/>
    </row>
    <row r="686" ht="19.5" customHeight="1">
      <c r="A686" s="12"/>
      <c r="C686" s="12"/>
      <c r="D686" s="13"/>
      <c r="F686" s="14"/>
      <c r="G686" s="14"/>
      <c r="H686" s="14"/>
      <c r="I686" s="14"/>
      <c r="J686" s="14"/>
      <c r="K686" s="12"/>
    </row>
    <row r="687" ht="19.5" customHeight="1">
      <c r="A687" s="12"/>
      <c r="C687" s="12"/>
      <c r="D687" s="13"/>
      <c r="F687" s="14"/>
      <c r="G687" s="14"/>
      <c r="H687" s="14"/>
      <c r="I687" s="14"/>
      <c r="J687" s="14"/>
      <c r="K687" s="12"/>
    </row>
    <row r="688" ht="19.5" customHeight="1">
      <c r="A688" s="12"/>
      <c r="C688" s="12"/>
      <c r="D688" s="13"/>
      <c r="F688" s="14"/>
      <c r="G688" s="14"/>
      <c r="H688" s="14"/>
      <c r="I688" s="14"/>
      <c r="J688" s="14"/>
      <c r="K688" s="12"/>
    </row>
    <row r="689" ht="19.5" customHeight="1">
      <c r="A689" s="12"/>
      <c r="C689" s="12"/>
      <c r="D689" s="13"/>
      <c r="F689" s="14"/>
      <c r="G689" s="14"/>
      <c r="H689" s="14"/>
      <c r="I689" s="14"/>
      <c r="J689" s="14"/>
      <c r="K689" s="12"/>
    </row>
    <row r="690" ht="19.5" customHeight="1">
      <c r="A690" s="12"/>
      <c r="C690" s="12"/>
      <c r="D690" s="13"/>
      <c r="F690" s="14"/>
      <c r="G690" s="14"/>
      <c r="H690" s="14"/>
      <c r="I690" s="14"/>
      <c r="J690" s="14"/>
      <c r="K690" s="12"/>
    </row>
    <row r="691" ht="19.5" customHeight="1">
      <c r="A691" s="12"/>
      <c r="C691" s="12"/>
      <c r="D691" s="13"/>
      <c r="F691" s="14"/>
      <c r="G691" s="14"/>
      <c r="H691" s="14"/>
      <c r="I691" s="14"/>
      <c r="J691" s="14"/>
      <c r="K691" s="12"/>
    </row>
    <row r="692" ht="19.5" customHeight="1">
      <c r="A692" s="12"/>
      <c r="C692" s="12"/>
      <c r="D692" s="13"/>
      <c r="F692" s="14"/>
      <c r="G692" s="14"/>
      <c r="H692" s="14"/>
      <c r="I692" s="14"/>
      <c r="J692" s="14"/>
      <c r="K692" s="12"/>
    </row>
    <row r="693" ht="19.5" customHeight="1">
      <c r="A693" s="12"/>
      <c r="C693" s="12"/>
      <c r="D693" s="13"/>
      <c r="F693" s="14"/>
      <c r="G693" s="14"/>
      <c r="H693" s="14"/>
      <c r="I693" s="14"/>
      <c r="J693" s="14"/>
      <c r="K693" s="12"/>
    </row>
    <row r="694" ht="19.5" customHeight="1">
      <c r="A694" s="12"/>
      <c r="C694" s="12"/>
      <c r="D694" s="13"/>
      <c r="F694" s="14"/>
      <c r="G694" s="14"/>
      <c r="H694" s="14"/>
      <c r="I694" s="14"/>
      <c r="J694" s="14"/>
      <c r="K694" s="12"/>
    </row>
    <row r="695" ht="19.5" customHeight="1">
      <c r="A695" s="12"/>
      <c r="C695" s="12"/>
      <c r="D695" s="13"/>
      <c r="F695" s="14"/>
      <c r="G695" s="14"/>
      <c r="H695" s="14"/>
      <c r="I695" s="14"/>
      <c r="J695" s="14"/>
      <c r="K695" s="12"/>
    </row>
    <row r="696" ht="19.5" customHeight="1">
      <c r="A696" s="12"/>
      <c r="C696" s="12"/>
      <c r="D696" s="13"/>
      <c r="F696" s="14"/>
      <c r="G696" s="14"/>
      <c r="H696" s="14"/>
      <c r="I696" s="14"/>
      <c r="J696" s="14"/>
      <c r="K696" s="12"/>
    </row>
    <row r="697" ht="19.5" customHeight="1">
      <c r="A697" s="12"/>
      <c r="C697" s="12"/>
      <c r="D697" s="13"/>
      <c r="F697" s="14"/>
      <c r="G697" s="14"/>
      <c r="H697" s="14"/>
      <c r="I697" s="14"/>
      <c r="J697" s="14"/>
      <c r="K697" s="12"/>
    </row>
    <row r="698" ht="19.5" customHeight="1">
      <c r="A698" s="12"/>
      <c r="C698" s="12"/>
      <c r="D698" s="13"/>
      <c r="F698" s="14"/>
      <c r="G698" s="14"/>
      <c r="H698" s="14"/>
      <c r="I698" s="14"/>
      <c r="J698" s="14"/>
      <c r="K698" s="12"/>
    </row>
    <row r="699" ht="19.5" customHeight="1">
      <c r="A699" s="12"/>
      <c r="C699" s="12"/>
      <c r="D699" s="13"/>
      <c r="F699" s="14"/>
      <c r="G699" s="14"/>
      <c r="H699" s="14"/>
      <c r="I699" s="14"/>
      <c r="J699" s="14"/>
      <c r="K699" s="12"/>
    </row>
    <row r="700" ht="19.5" customHeight="1">
      <c r="A700" s="12"/>
      <c r="C700" s="12"/>
      <c r="D700" s="13"/>
      <c r="F700" s="14"/>
      <c r="G700" s="14"/>
      <c r="H700" s="14"/>
      <c r="I700" s="14"/>
      <c r="J700" s="14"/>
      <c r="K700" s="12"/>
    </row>
    <row r="701" ht="19.5" customHeight="1">
      <c r="A701" s="12"/>
      <c r="C701" s="12"/>
      <c r="D701" s="13"/>
      <c r="F701" s="14"/>
      <c r="G701" s="14"/>
      <c r="H701" s="14"/>
      <c r="I701" s="14"/>
      <c r="J701" s="14"/>
      <c r="K701" s="12"/>
    </row>
    <row r="702" ht="19.5" customHeight="1">
      <c r="A702" s="12"/>
      <c r="C702" s="12"/>
      <c r="D702" s="13"/>
      <c r="F702" s="14"/>
      <c r="G702" s="14"/>
      <c r="H702" s="14"/>
      <c r="I702" s="14"/>
      <c r="J702" s="14"/>
      <c r="K702" s="12"/>
    </row>
    <row r="703" ht="19.5" customHeight="1">
      <c r="A703" s="12"/>
      <c r="C703" s="12"/>
      <c r="D703" s="13"/>
      <c r="F703" s="14"/>
      <c r="G703" s="14"/>
      <c r="H703" s="14"/>
      <c r="I703" s="14"/>
      <c r="J703" s="14"/>
      <c r="K703" s="12"/>
    </row>
    <row r="704" ht="19.5" customHeight="1">
      <c r="A704" s="12"/>
      <c r="C704" s="12"/>
      <c r="D704" s="13"/>
      <c r="F704" s="14"/>
      <c r="G704" s="14"/>
      <c r="H704" s="14"/>
      <c r="I704" s="14"/>
      <c r="J704" s="14"/>
      <c r="K704" s="12"/>
    </row>
    <row r="705" ht="19.5" customHeight="1">
      <c r="A705" s="12"/>
      <c r="C705" s="12"/>
      <c r="D705" s="13"/>
      <c r="F705" s="14"/>
      <c r="G705" s="14"/>
      <c r="H705" s="14"/>
      <c r="I705" s="14"/>
      <c r="J705" s="14"/>
      <c r="K705" s="12"/>
    </row>
    <row r="706" ht="19.5" customHeight="1">
      <c r="A706" s="12"/>
      <c r="C706" s="12"/>
      <c r="D706" s="13"/>
      <c r="F706" s="14"/>
      <c r="G706" s="14"/>
      <c r="H706" s="14"/>
      <c r="I706" s="14"/>
      <c r="J706" s="14"/>
      <c r="K706" s="12"/>
    </row>
    <row r="707" ht="19.5" customHeight="1">
      <c r="A707" s="12"/>
      <c r="C707" s="12"/>
      <c r="D707" s="13"/>
      <c r="F707" s="14"/>
      <c r="G707" s="14"/>
      <c r="H707" s="14"/>
      <c r="I707" s="14"/>
      <c r="J707" s="14"/>
      <c r="K707" s="12"/>
    </row>
    <row r="708" ht="19.5" customHeight="1">
      <c r="A708" s="12"/>
      <c r="C708" s="12"/>
      <c r="D708" s="13"/>
      <c r="F708" s="14"/>
      <c r="G708" s="14"/>
      <c r="H708" s="14"/>
      <c r="I708" s="14"/>
      <c r="J708" s="14"/>
      <c r="K708" s="12"/>
    </row>
    <row r="709" ht="19.5" customHeight="1">
      <c r="A709" s="12"/>
      <c r="C709" s="12"/>
      <c r="D709" s="13"/>
      <c r="F709" s="14"/>
      <c r="G709" s="14"/>
      <c r="H709" s="14"/>
      <c r="I709" s="14"/>
      <c r="J709" s="14"/>
      <c r="K709" s="12"/>
    </row>
    <row r="710" ht="19.5" customHeight="1">
      <c r="A710" s="12"/>
      <c r="C710" s="12"/>
      <c r="D710" s="13"/>
      <c r="F710" s="14"/>
      <c r="G710" s="14"/>
      <c r="H710" s="14"/>
      <c r="I710" s="14"/>
      <c r="J710" s="14"/>
      <c r="K710" s="12"/>
    </row>
    <row r="711" ht="19.5" customHeight="1">
      <c r="A711" s="12"/>
      <c r="C711" s="12"/>
      <c r="D711" s="13"/>
      <c r="F711" s="14"/>
      <c r="G711" s="14"/>
      <c r="H711" s="14"/>
      <c r="I711" s="14"/>
      <c r="J711" s="14"/>
      <c r="K711" s="12"/>
    </row>
    <row r="712" ht="19.5" customHeight="1">
      <c r="A712" s="12"/>
      <c r="C712" s="12"/>
      <c r="D712" s="13"/>
      <c r="F712" s="14"/>
      <c r="G712" s="14"/>
      <c r="H712" s="14"/>
      <c r="I712" s="14"/>
      <c r="J712" s="14"/>
      <c r="K712" s="12"/>
    </row>
    <row r="713" ht="19.5" customHeight="1">
      <c r="A713" s="12"/>
      <c r="C713" s="12"/>
      <c r="D713" s="13"/>
      <c r="F713" s="14"/>
      <c r="G713" s="14"/>
      <c r="H713" s="14"/>
      <c r="I713" s="14"/>
      <c r="J713" s="14"/>
      <c r="K713" s="12"/>
    </row>
    <row r="714" ht="19.5" customHeight="1">
      <c r="A714" s="12"/>
      <c r="C714" s="12"/>
      <c r="D714" s="13"/>
      <c r="F714" s="14"/>
      <c r="G714" s="14"/>
      <c r="H714" s="14"/>
      <c r="I714" s="14"/>
      <c r="J714" s="14"/>
      <c r="K714" s="12"/>
    </row>
    <row r="715" ht="19.5" customHeight="1">
      <c r="A715" s="12"/>
      <c r="C715" s="12"/>
      <c r="D715" s="13"/>
      <c r="F715" s="14"/>
      <c r="G715" s="14"/>
      <c r="H715" s="14"/>
      <c r="I715" s="14"/>
      <c r="J715" s="14"/>
      <c r="K715" s="12"/>
    </row>
    <row r="716" ht="19.5" customHeight="1">
      <c r="A716" s="12"/>
      <c r="C716" s="12"/>
      <c r="D716" s="13"/>
      <c r="F716" s="14"/>
      <c r="G716" s="14"/>
      <c r="H716" s="14"/>
      <c r="I716" s="14"/>
      <c r="J716" s="14"/>
      <c r="K716" s="12"/>
    </row>
    <row r="717" ht="19.5" customHeight="1">
      <c r="A717" s="12"/>
      <c r="C717" s="12"/>
      <c r="D717" s="13"/>
      <c r="F717" s="14"/>
      <c r="G717" s="14"/>
      <c r="H717" s="14"/>
      <c r="I717" s="14"/>
      <c r="J717" s="14"/>
      <c r="K717" s="12"/>
    </row>
    <row r="718" ht="19.5" customHeight="1">
      <c r="A718" s="12"/>
      <c r="C718" s="12"/>
      <c r="D718" s="13"/>
      <c r="F718" s="14"/>
      <c r="G718" s="14"/>
      <c r="H718" s="14"/>
      <c r="I718" s="14"/>
      <c r="J718" s="14"/>
      <c r="K718" s="12"/>
    </row>
    <row r="719" ht="19.5" customHeight="1">
      <c r="A719" s="12"/>
      <c r="C719" s="12"/>
      <c r="D719" s="13"/>
      <c r="F719" s="14"/>
      <c r="G719" s="14"/>
      <c r="H719" s="14"/>
      <c r="I719" s="14"/>
      <c r="J719" s="14"/>
      <c r="K719" s="12"/>
    </row>
    <row r="720" ht="19.5" customHeight="1">
      <c r="A720" s="12"/>
      <c r="C720" s="12"/>
      <c r="D720" s="13"/>
      <c r="F720" s="14"/>
      <c r="G720" s="14"/>
      <c r="H720" s="14"/>
      <c r="I720" s="14"/>
      <c r="J720" s="14"/>
      <c r="K720" s="12"/>
    </row>
    <row r="721" ht="19.5" customHeight="1">
      <c r="A721" s="12"/>
      <c r="C721" s="12"/>
      <c r="D721" s="13"/>
      <c r="F721" s="14"/>
      <c r="G721" s="14"/>
      <c r="H721" s="14"/>
      <c r="I721" s="14"/>
      <c r="J721" s="14"/>
      <c r="K721" s="12"/>
    </row>
    <row r="722" ht="19.5" customHeight="1">
      <c r="A722" s="12"/>
      <c r="C722" s="12"/>
      <c r="D722" s="13"/>
      <c r="F722" s="14"/>
      <c r="G722" s="14"/>
      <c r="H722" s="14"/>
      <c r="I722" s="14"/>
      <c r="J722" s="14"/>
      <c r="K722" s="12"/>
    </row>
    <row r="723" ht="19.5" customHeight="1">
      <c r="A723" s="12"/>
      <c r="C723" s="12"/>
      <c r="D723" s="13"/>
      <c r="F723" s="14"/>
      <c r="G723" s="14"/>
      <c r="H723" s="14"/>
      <c r="I723" s="14"/>
      <c r="J723" s="14"/>
      <c r="K723" s="12"/>
    </row>
    <row r="724" ht="19.5" customHeight="1">
      <c r="A724" s="12"/>
      <c r="C724" s="12"/>
      <c r="D724" s="13"/>
      <c r="F724" s="14"/>
      <c r="G724" s="14"/>
      <c r="H724" s="14"/>
      <c r="I724" s="14"/>
      <c r="J724" s="14"/>
      <c r="K724" s="12"/>
    </row>
    <row r="725" ht="19.5" customHeight="1">
      <c r="A725" s="12"/>
      <c r="C725" s="12"/>
      <c r="D725" s="13"/>
      <c r="F725" s="14"/>
      <c r="G725" s="14"/>
      <c r="H725" s="14"/>
      <c r="I725" s="14"/>
      <c r="J725" s="14"/>
      <c r="K725" s="12"/>
    </row>
    <row r="726" ht="19.5" customHeight="1">
      <c r="A726" s="12"/>
      <c r="C726" s="12"/>
      <c r="D726" s="13"/>
      <c r="F726" s="14"/>
      <c r="G726" s="14"/>
      <c r="H726" s="14"/>
      <c r="I726" s="14"/>
      <c r="J726" s="14"/>
      <c r="K726" s="12"/>
    </row>
    <row r="727" ht="19.5" customHeight="1">
      <c r="A727" s="12"/>
      <c r="C727" s="12"/>
      <c r="D727" s="13"/>
      <c r="F727" s="14"/>
      <c r="G727" s="14"/>
      <c r="H727" s="14"/>
      <c r="I727" s="14"/>
      <c r="J727" s="14"/>
      <c r="K727" s="12"/>
    </row>
    <row r="728" ht="19.5" customHeight="1">
      <c r="A728" s="12"/>
      <c r="C728" s="12"/>
      <c r="D728" s="13"/>
      <c r="F728" s="14"/>
      <c r="G728" s="14"/>
      <c r="H728" s="14"/>
      <c r="I728" s="14"/>
      <c r="J728" s="14"/>
      <c r="K728" s="12"/>
    </row>
    <row r="729" ht="19.5" customHeight="1">
      <c r="A729" s="12"/>
      <c r="C729" s="12"/>
      <c r="D729" s="13"/>
      <c r="F729" s="14"/>
      <c r="G729" s="14"/>
      <c r="H729" s="14"/>
      <c r="I729" s="14"/>
      <c r="J729" s="14"/>
      <c r="K729" s="12"/>
    </row>
    <row r="730" ht="19.5" customHeight="1">
      <c r="A730" s="12"/>
      <c r="C730" s="12"/>
      <c r="D730" s="13"/>
      <c r="F730" s="14"/>
      <c r="G730" s="14"/>
      <c r="H730" s="14"/>
      <c r="I730" s="14"/>
      <c r="J730" s="14"/>
      <c r="K730" s="12"/>
    </row>
    <row r="731" ht="19.5" customHeight="1">
      <c r="A731" s="12"/>
      <c r="C731" s="12"/>
      <c r="D731" s="13"/>
      <c r="F731" s="14"/>
      <c r="G731" s="14"/>
      <c r="H731" s="14"/>
      <c r="I731" s="14"/>
      <c r="J731" s="14"/>
      <c r="K731" s="12"/>
    </row>
    <row r="732" ht="19.5" customHeight="1">
      <c r="A732" s="12"/>
      <c r="C732" s="12"/>
      <c r="D732" s="13"/>
      <c r="F732" s="14"/>
      <c r="G732" s="14"/>
      <c r="H732" s="14"/>
      <c r="I732" s="14"/>
      <c r="J732" s="14"/>
      <c r="K732" s="12"/>
    </row>
    <row r="733" ht="19.5" customHeight="1">
      <c r="A733" s="12"/>
      <c r="C733" s="12"/>
      <c r="D733" s="13"/>
      <c r="F733" s="14"/>
      <c r="G733" s="14"/>
      <c r="H733" s="14"/>
      <c r="I733" s="14"/>
      <c r="J733" s="14"/>
      <c r="K733" s="12"/>
    </row>
    <row r="734" ht="19.5" customHeight="1">
      <c r="A734" s="12"/>
      <c r="C734" s="12"/>
      <c r="D734" s="13"/>
      <c r="F734" s="14"/>
      <c r="G734" s="14"/>
      <c r="H734" s="14"/>
      <c r="I734" s="14"/>
      <c r="J734" s="14"/>
      <c r="K734" s="12"/>
    </row>
    <row r="735" ht="19.5" customHeight="1">
      <c r="A735" s="12"/>
      <c r="C735" s="12"/>
      <c r="D735" s="13"/>
      <c r="F735" s="14"/>
      <c r="G735" s="14"/>
      <c r="H735" s="14"/>
      <c r="I735" s="14"/>
      <c r="J735" s="14"/>
      <c r="K735" s="12"/>
    </row>
    <row r="736" ht="19.5" customHeight="1">
      <c r="A736" s="12"/>
      <c r="C736" s="12"/>
      <c r="D736" s="13"/>
      <c r="F736" s="14"/>
      <c r="G736" s="14"/>
      <c r="H736" s="14"/>
      <c r="I736" s="14"/>
      <c r="J736" s="14"/>
      <c r="K736" s="12"/>
    </row>
    <row r="737" ht="19.5" customHeight="1">
      <c r="A737" s="12"/>
      <c r="C737" s="12"/>
      <c r="D737" s="13"/>
      <c r="F737" s="14"/>
      <c r="G737" s="14"/>
      <c r="H737" s="14"/>
      <c r="I737" s="14"/>
      <c r="J737" s="14"/>
      <c r="K737" s="12"/>
    </row>
    <row r="738" ht="19.5" customHeight="1">
      <c r="A738" s="12"/>
      <c r="C738" s="12"/>
      <c r="D738" s="13"/>
      <c r="F738" s="14"/>
      <c r="G738" s="14"/>
      <c r="H738" s="14"/>
      <c r="I738" s="14"/>
      <c r="J738" s="14"/>
      <c r="K738" s="12"/>
    </row>
    <row r="739" ht="19.5" customHeight="1">
      <c r="A739" s="12"/>
      <c r="C739" s="12"/>
      <c r="D739" s="13"/>
      <c r="F739" s="14"/>
      <c r="G739" s="14"/>
      <c r="H739" s="14"/>
      <c r="I739" s="14"/>
      <c r="J739" s="14"/>
      <c r="K739" s="12"/>
    </row>
    <row r="740" ht="19.5" customHeight="1">
      <c r="A740" s="12"/>
      <c r="C740" s="12"/>
      <c r="D740" s="13"/>
      <c r="F740" s="14"/>
      <c r="G740" s="14"/>
      <c r="H740" s="14"/>
      <c r="I740" s="14"/>
      <c r="J740" s="14"/>
      <c r="K740" s="12"/>
    </row>
    <row r="741" ht="19.5" customHeight="1">
      <c r="A741" s="12"/>
      <c r="C741" s="12"/>
      <c r="D741" s="13"/>
      <c r="F741" s="14"/>
      <c r="G741" s="14"/>
      <c r="H741" s="14"/>
      <c r="I741" s="14"/>
      <c r="J741" s="14"/>
      <c r="K741" s="12"/>
    </row>
    <row r="742" ht="19.5" customHeight="1">
      <c r="A742" s="12"/>
      <c r="C742" s="12"/>
      <c r="D742" s="13"/>
      <c r="F742" s="14"/>
      <c r="G742" s="14"/>
      <c r="H742" s="14"/>
      <c r="I742" s="14"/>
      <c r="J742" s="14"/>
      <c r="K742" s="12"/>
    </row>
    <row r="743" ht="19.5" customHeight="1">
      <c r="A743" s="12"/>
      <c r="C743" s="12"/>
      <c r="D743" s="13"/>
      <c r="F743" s="14"/>
      <c r="G743" s="14"/>
      <c r="H743" s="14"/>
      <c r="I743" s="14"/>
      <c r="J743" s="14"/>
      <c r="K743" s="12"/>
    </row>
    <row r="744" ht="19.5" customHeight="1">
      <c r="A744" s="12"/>
      <c r="C744" s="12"/>
      <c r="D744" s="13"/>
      <c r="F744" s="14"/>
      <c r="G744" s="14"/>
      <c r="H744" s="14"/>
      <c r="I744" s="14"/>
      <c r="J744" s="14"/>
      <c r="K744" s="12"/>
    </row>
    <row r="745" ht="19.5" customHeight="1">
      <c r="A745" s="12"/>
      <c r="C745" s="12"/>
      <c r="D745" s="13"/>
      <c r="F745" s="14"/>
      <c r="G745" s="14"/>
      <c r="H745" s="14"/>
      <c r="I745" s="14"/>
      <c r="J745" s="14"/>
      <c r="K745" s="12"/>
    </row>
    <row r="746" ht="19.5" customHeight="1">
      <c r="A746" s="12"/>
      <c r="C746" s="12"/>
      <c r="D746" s="13"/>
      <c r="F746" s="14"/>
      <c r="G746" s="14"/>
      <c r="H746" s="14"/>
      <c r="I746" s="14"/>
      <c r="J746" s="14"/>
      <c r="K746" s="12"/>
    </row>
    <row r="747" ht="19.5" customHeight="1">
      <c r="A747" s="12"/>
      <c r="C747" s="12"/>
      <c r="D747" s="13"/>
      <c r="F747" s="14"/>
      <c r="G747" s="14"/>
      <c r="H747" s="14"/>
      <c r="I747" s="14"/>
      <c r="J747" s="14"/>
      <c r="K747" s="12"/>
    </row>
    <row r="748" ht="19.5" customHeight="1">
      <c r="A748" s="12"/>
      <c r="C748" s="12"/>
      <c r="D748" s="13"/>
      <c r="F748" s="14"/>
      <c r="G748" s="14"/>
      <c r="H748" s="14"/>
      <c r="I748" s="14"/>
      <c r="J748" s="14"/>
      <c r="K748" s="12"/>
    </row>
    <row r="749" ht="19.5" customHeight="1">
      <c r="A749" s="12"/>
      <c r="C749" s="12"/>
      <c r="D749" s="13"/>
      <c r="F749" s="14"/>
      <c r="G749" s="14"/>
      <c r="H749" s="14"/>
      <c r="I749" s="14"/>
      <c r="J749" s="14"/>
      <c r="K749" s="12"/>
    </row>
    <row r="750" ht="19.5" customHeight="1">
      <c r="A750" s="12"/>
      <c r="C750" s="12"/>
      <c r="D750" s="13"/>
      <c r="F750" s="14"/>
      <c r="G750" s="14"/>
      <c r="H750" s="14"/>
      <c r="I750" s="14"/>
      <c r="J750" s="14"/>
      <c r="K750" s="12"/>
    </row>
    <row r="751" ht="19.5" customHeight="1">
      <c r="A751" s="12"/>
      <c r="C751" s="12"/>
      <c r="D751" s="13"/>
      <c r="F751" s="14"/>
      <c r="G751" s="14"/>
      <c r="H751" s="14"/>
      <c r="I751" s="14"/>
      <c r="J751" s="14"/>
      <c r="K751" s="12"/>
    </row>
    <row r="752" ht="19.5" customHeight="1">
      <c r="A752" s="12"/>
      <c r="C752" s="12"/>
      <c r="D752" s="13"/>
      <c r="F752" s="14"/>
      <c r="G752" s="14"/>
      <c r="H752" s="14"/>
      <c r="I752" s="14"/>
      <c r="J752" s="14"/>
      <c r="K752" s="12"/>
    </row>
    <row r="753" ht="19.5" customHeight="1">
      <c r="A753" s="12"/>
      <c r="C753" s="12"/>
      <c r="D753" s="13"/>
      <c r="F753" s="14"/>
      <c r="G753" s="14"/>
      <c r="H753" s="14"/>
      <c r="I753" s="14"/>
      <c r="J753" s="14"/>
      <c r="K753" s="12"/>
    </row>
    <row r="754" ht="19.5" customHeight="1">
      <c r="A754" s="12"/>
      <c r="C754" s="12"/>
      <c r="D754" s="13"/>
      <c r="F754" s="14"/>
      <c r="G754" s="14"/>
      <c r="H754" s="14"/>
      <c r="I754" s="14"/>
      <c r="J754" s="14"/>
      <c r="K754" s="12"/>
    </row>
    <row r="755" ht="19.5" customHeight="1">
      <c r="A755" s="12"/>
      <c r="C755" s="12"/>
      <c r="D755" s="13"/>
      <c r="F755" s="14"/>
      <c r="G755" s="14"/>
      <c r="H755" s="14"/>
      <c r="I755" s="14"/>
      <c r="J755" s="14"/>
      <c r="K755" s="12"/>
    </row>
    <row r="756" ht="19.5" customHeight="1">
      <c r="A756" s="12"/>
      <c r="C756" s="12"/>
      <c r="D756" s="13"/>
      <c r="F756" s="14"/>
      <c r="G756" s="14"/>
      <c r="H756" s="14"/>
      <c r="I756" s="14"/>
      <c r="J756" s="14"/>
      <c r="K756" s="12"/>
    </row>
    <row r="757" ht="19.5" customHeight="1">
      <c r="A757" s="12"/>
      <c r="C757" s="12"/>
      <c r="D757" s="13"/>
      <c r="F757" s="14"/>
      <c r="G757" s="14"/>
      <c r="H757" s="14"/>
      <c r="I757" s="14"/>
      <c r="J757" s="14"/>
      <c r="K757" s="12"/>
    </row>
    <row r="758" ht="19.5" customHeight="1">
      <c r="A758" s="12"/>
      <c r="C758" s="12"/>
      <c r="D758" s="13"/>
      <c r="F758" s="14"/>
      <c r="G758" s="14"/>
      <c r="H758" s="14"/>
      <c r="I758" s="14"/>
      <c r="J758" s="14"/>
      <c r="K758" s="12"/>
    </row>
    <row r="759" ht="19.5" customHeight="1">
      <c r="A759" s="12"/>
      <c r="C759" s="12"/>
      <c r="D759" s="13"/>
      <c r="F759" s="14"/>
      <c r="G759" s="14"/>
      <c r="H759" s="14"/>
      <c r="I759" s="14"/>
      <c r="J759" s="14"/>
      <c r="K759" s="12"/>
    </row>
    <row r="760" ht="19.5" customHeight="1">
      <c r="A760" s="12"/>
      <c r="C760" s="12"/>
      <c r="D760" s="13"/>
      <c r="F760" s="14"/>
      <c r="G760" s="14"/>
      <c r="H760" s="14"/>
      <c r="I760" s="14"/>
      <c r="J760" s="14"/>
      <c r="K760" s="12"/>
    </row>
    <row r="761" ht="19.5" customHeight="1">
      <c r="A761" s="12"/>
      <c r="C761" s="12"/>
      <c r="D761" s="13"/>
      <c r="F761" s="14"/>
      <c r="G761" s="14"/>
      <c r="H761" s="14"/>
      <c r="I761" s="14"/>
      <c r="J761" s="14"/>
      <c r="K761" s="12"/>
    </row>
    <row r="762" ht="19.5" customHeight="1">
      <c r="A762" s="12"/>
      <c r="C762" s="12"/>
      <c r="D762" s="13"/>
      <c r="F762" s="14"/>
      <c r="G762" s="14"/>
      <c r="H762" s="14"/>
      <c r="I762" s="14"/>
      <c r="J762" s="14"/>
      <c r="K762" s="12"/>
    </row>
    <row r="763" ht="19.5" customHeight="1">
      <c r="A763" s="12"/>
      <c r="C763" s="12"/>
      <c r="D763" s="13"/>
      <c r="F763" s="14"/>
      <c r="G763" s="14"/>
      <c r="H763" s="14"/>
      <c r="I763" s="14"/>
      <c r="J763" s="14"/>
      <c r="K763" s="12"/>
    </row>
    <row r="764" ht="19.5" customHeight="1">
      <c r="A764" s="12"/>
      <c r="C764" s="12"/>
      <c r="D764" s="13"/>
      <c r="F764" s="14"/>
      <c r="G764" s="14"/>
      <c r="H764" s="14"/>
      <c r="I764" s="14"/>
      <c r="J764" s="14"/>
      <c r="K764" s="12"/>
    </row>
    <row r="765" ht="19.5" customHeight="1">
      <c r="A765" s="12"/>
      <c r="C765" s="12"/>
      <c r="D765" s="13"/>
      <c r="F765" s="14"/>
      <c r="G765" s="14"/>
      <c r="H765" s="14"/>
      <c r="I765" s="14"/>
      <c r="J765" s="14"/>
      <c r="K765" s="12"/>
    </row>
    <row r="766" ht="19.5" customHeight="1">
      <c r="A766" s="12"/>
      <c r="C766" s="12"/>
      <c r="D766" s="13"/>
      <c r="F766" s="14"/>
      <c r="G766" s="14"/>
      <c r="H766" s="14"/>
      <c r="I766" s="14"/>
      <c r="J766" s="14"/>
      <c r="K766" s="12"/>
    </row>
    <row r="767" ht="19.5" customHeight="1">
      <c r="A767" s="12"/>
      <c r="C767" s="12"/>
      <c r="D767" s="13"/>
      <c r="F767" s="14"/>
      <c r="G767" s="14"/>
      <c r="H767" s="14"/>
      <c r="I767" s="14"/>
      <c r="J767" s="14"/>
      <c r="K767" s="12"/>
    </row>
    <row r="768" ht="19.5" customHeight="1">
      <c r="A768" s="12"/>
      <c r="C768" s="12"/>
      <c r="D768" s="13"/>
      <c r="F768" s="14"/>
      <c r="G768" s="14"/>
      <c r="H768" s="14"/>
      <c r="I768" s="14"/>
      <c r="J768" s="14"/>
      <c r="K768" s="12"/>
    </row>
    <row r="769" ht="19.5" customHeight="1">
      <c r="A769" s="12"/>
      <c r="C769" s="12"/>
      <c r="D769" s="13"/>
      <c r="F769" s="14"/>
      <c r="G769" s="14"/>
      <c r="H769" s="14"/>
      <c r="I769" s="14"/>
      <c r="J769" s="14"/>
      <c r="K769" s="12"/>
    </row>
    <row r="770" ht="19.5" customHeight="1">
      <c r="A770" s="12"/>
      <c r="C770" s="12"/>
      <c r="D770" s="13"/>
      <c r="F770" s="14"/>
      <c r="G770" s="14"/>
      <c r="H770" s="14"/>
      <c r="I770" s="14"/>
      <c r="J770" s="14"/>
      <c r="K770" s="12"/>
    </row>
    <row r="771" ht="19.5" customHeight="1">
      <c r="A771" s="12"/>
      <c r="C771" s="12"/>
      <c r="D771" s="13"/>
      <c r="F771" s="14"/>
      <c r="G771" s="14"/>
      <c r="H771" s="14"/>
      <c r="I771" s="14"/>
      <c r="J771" s="14"/>
      <c r="K771" s="12"/>
    </row>
    <row r="772" ht="19.5" customHeight="1">
      <c r="A772" s="12"/>
      <c r="C772" s="12"/>
      <c r="D772" s="13"/>
      <c r="F772" s="14"/>
      <c r="G772" s="14"/>
      <c r="H772" s="14"/>
      <c r="I772" s="14"/>
      <c r="J772" s="14"/>
      <c r="K772" s="12"/>
    </row>
    <row r="773" ht="19.5" customHeight="1">
      <c r="A773" s="12"/>
      <c r="C773" s="12"/>
      <c r="D773" s="13"/>
      <c r="F773" s="14"/>
      <c r="G773" s="14"/>
      <c r="H773" s="14"/>
      <c r="I773" s="14"/>
      <c r="J773" s="14"/>
      <c r="K773" s="12"/>
    </row>
    <row r="774" ht="19.5" customHeight="1">
      <c r="A774" s="12"/>
      <c r="C774" s="12"/>
      <c r="D774" s="13"/>
      <c r="F774" s="14"/>
      <c r="G774" s="14"/>
      <c r="H774" s="14"/>
      <c r="I774" s="14"/>
      <c r="J774" s="14"/>
      <c r="K774" s="12"/>
    </row>
    <row r="775" ht="19.5" customHeight="1">
      <c r="A775" s="12"/>
      <c r="C775" s="12"/>
      <c r="D775" s="13"/>
      <c r="F775" s="14"/>
      <c r="G775" s="14"/>
      <c r="H775" s="14"/>
      <c r="I775" s="14"/>
      <c r="J775" s="14"/>
      <c r="K775" s="12"/>
    </row>
    <row r="776" ht="19.5" customHeight="1">
      <c r="A776" s="12"/>
      <c r="C776" s="12"/>
      <c r="D776" s="13"/>
      <c r="F776" s="14"/>
      <c r="G776" s="14"/>
      <c r="H776" s="14"/>
      <c r="I776" s="14"/>
      <c r="J776" s="14"/>
      <c r="K776" s="12"/>
    </row>
    <row r="777" ht="19.5" customHeight="1">
      <c r="A777" s="12"/>
      <c r="C777" s="12"/>
      <c r="D777" s="13"/>
      <c r="F777" s="14"/>
      <c r="G777" s="14"/>
      <c r="H777" s="14"/>
      <c r="I777" s="14"/>
      <c r="J777" s="14"/>
      <c r="K777" s="12"/>
    </row>
    <row r="778" ht="19.5" customHeight="1">
      <c r="A778" s="12"/>
      <c r="C778" s="12"/>
      <c r="D778" s="13"/>
      <c r="F778" s="14"/>
      <c r="G778" s="14"/>
      <c r="H778" s="14"/>
      <c r="I778" s="14"/>
      <c r="J778" s="14"/>
      <c r="K778" s="12"/>
    </row>
    <row r="779" ht="19.5" customHeight="1">
      <c r="A779" s="12"/>
      <c r="C779" s="12"/>
      <c r="D779" s="13"/>
      <c r="F779" s="14"/>
      <c r="G779" s="14"/>
      <c r="H779" s="14"/>
      <c r="I779" s="14"/>
      <c r="J779" s="14"/>
      <c r="K779" s="12"/>
    </row>
    <row r="780" ht="19.5" customHeight="1">
      <c r="A780" s="12"/>
      <c r="C780" s="12"/>
      <c r="D780" s="13"/>
      <c r="F780" s="14"/>
      <c r="G780" s="14"/>
      <c r="H780" s="14"/>
      <c r="I780" s="14"/>
      <c r="J780" s="14"/>
      <c r="K780" s="12"/>
    </row>
    <row r="781" ht="19.5" customHeight="1">
      <c r="A781" s="12"/>
      <c r="C781" s="12"/>
      <c r="D781" s="13"/>
      <c r="F781" s="14"/>
      <c r="G781" s="14"/>
      <c r="H781" s="14"/>
      <c r="I781" s="14"/>
      <c r="J781" s="14"/>
      <c r="K781" s="12"/>
    </row>
    <row r="782" ht="19.5" customHeight="1">
      <c r="A782" s="12"/>
      <c r="C782" s="12"/>
      <c r="D782" s="13"/>
      <c r="F782" s="14"/>
      <c r="G782" s="14"/>
      <c r="H782" s="14"/>
      <c r="I782" s="14"/>
      <c r="J782" s="14"/>
      <c r="K782" s="12"/>
    </row>
    <row r="783" ht="19.5" customHeight="1">
      <c r="A783" s="12"/>
      <c r="C783" s="12"/>
      <c r="D783" s="13"/>
      <c r="F783" s="14"/>
      <c r="G783" s="14"/>
      <c r="H783" s="14"/>
      <c r="I783" s="14"/>
      <c r="J783" s="14"/>
      <c r="K783" s="12"/>
    </row>
    <row r="784" ht="19.5" customHeight="1">
      <c r="A784" s="12"/>
      <c r="C784" s="12"/>
      <c r="D784" s="13"/>
      <c r="F784" s="14"/>
      <c r="G784" s="14"/>
      <c r="H784" s="14"/>
      <c r="I784" s="14"/>
      <c r="J784" s="14"/>
      <c r="K784" s="12"/>
    </row>
    <row r="785" ht="19.5" customHeight="1">
      <c r="A785" s="12"/>
      <c r="C785" s="12"/>
      <c r="D785" s="13"/>
      <c r="F785" s="14"/>
      <c r="G785" s="14"/>
      <c r="H785" s="14"/>
      <c r="I785" s="14"/>
      <c r="J785" s="14"/>
      <c r="K785" s="12"/>
    </row>
    <row r="786" ht="19.5" customHeight="1">
      <c r="A786" s="12"/>
      <c r="C786" s="12"/>
      <c r="D786" s="13"/>
      <c r="F786" s="14"/>
      <c r="G786" s="14"/>
      <c r="H786" s="14"/>
      <c r="I786" s="14"/>
      <c r="J786" s="14"/>
      <c r="K786" s="12"/>
    </row>
    <row r="787" ht="19.5" customHeight="1">
      <c r="A787" s="12"/>
      <c r="C787" s="12"/>
      <c r="D787" s="13"/>
      <c r="F787" s="14"/>
      <c r="G787" s="14"/>
      <c r="H787" s="14"/>
      <c r="I787" s="14"/>
      <c r="J787" s="14"/>
      <c r="K787" s="12"/>
    </row>
    <row r="788" ht="19.5" customHeight="1">
      <c r="A788" s="12"/>
      <c r="C788" s="12"/>
      <c r="D788" s="13"/>
      <c r="F788" s="14"/>
      <c r="G788" s="14"/>
      <c r="H788" s="14"/>
      <c r="I788" s="14"/>
      <c r="J788" s="14"/>
      <c r="K788" s="12"/>
    </row>
    <row r="789" ht="19.5" customHeight="1">
      <c r="A789" s="12"/>
      <c r="C789" s="12"/>
      <c r="D789" s="13"/>
      <c r="F789" s="14"/>
      <c r="G789" s="14"/>
      <c r="H789" s="14"/>
      <c r="I789" s="14"/>
      <c r="J789" s="14"/>
      <c r="K789" s="12"/>
    </row>
    <row r="790" ht="19.5" customHeight="1">
      <c r="A790" s="12"/>
      <c r="C790" s="12"/>
      <c r="D790" s="13"/>
      <c r="F790" s="14"/>
      <c r="G790" s="14"/>
      <c r="H790" s="14"/>
      <c r="I790" s="14"/>
      <c r="J790" s="14"/>
      <c r="K790" s="12"/>
    </row>
    <row r="791" ht="19.5" customHeight="1">
      <c r="A791" s="12"/>
      <c r="C791" s="12"/>
      <c r="D791" s="13"/>
      <c r="F791" s="14"/>
      <c r="G791" s="14"/>
      <c r="H791" s="14"/>
      <c r="I791" s="14"/>
      <c r="J791" s="14"/>
      <c r="K791" s="12"/>
    </row>
    <row r="792" ht="19.5" customHeight="1">
      <c r="A792" s="12"/>
      <c r="C792" s="12"/>
      <c r="D792" s="13"/>
      <c r="F792" s="14"/>
      <c r="G792" s="14"/>
      <c r="H792" s="14"/>
      <c r="I792" s="14"/>
      <c r="J792" s="14"/>
      <c r="K792" s="12"/>
    </row>
    <row r="793" ht="19.5" customHeight="1">
      <c r="A793" s="12"/>
      <c r="C793" s="12"/>
      <c r="D793" s="13"/>
      <c r="F793" s="14"/>
      <c r="G793" s="14"/>
      <c r="H793" s="14"/>
      <c r="I793" s="14"/>
      <c r="J793" s="14"/>
      <c r="K793" s="12"/>
    </row>
    <row r="794" ht="19.5" customHeight="1">
      <c r="A794" s="12"/>
      <c r="C794" s="12"/>
      <c r="D794" s="13"/>
      <c r="F794" s="14"/>
      <c r="G794" s="14"/>
      <c r="H794" s="14"/>
      <c r="I794" s="14"/>
      <c r="J794" s="14"/>
      <c r="K794" s="12"/>
    </row>
    <row r="795" ht="19.5" customHeight="1">
      <c r="A795" s="12"/>
      <c r="C795" s="12"/>
      <c r="D795" s="13"/>
      <c r="F795" s="14"/>
      <c r="G795" s="14"/>
      <c r="H795" s="14"/>
      <c r="I795" s="14"/>
      <c r="J795" s="14"/>
      <c r="K795" s="12"/>
    </row>
    <row r="796" ht="19.5" customHeight="1">
      <c r="A796" s="12"/>
      <c r="C796" s="12"/>
      <c r="D796" s="13"/>
      <c r="F796" s="14"/>
      <c r="G796" s="14"/>
      <c r="H796" s="14"/>
      <c r="I796" s="14"/>
      <c r="J796" s="14"/>
      <c r="K796" s="12"/>
    </row>
    <row r="797" ht="19.5" customHeight="1">
      <c r="A797" s="12"/>
      <c r="C797" s="12"/>
      <c r="D797" s="13"/>
      <c r="F797" s="14"/>
      <c r="G797" s="14"/>
      <c r="H797" s="14"/>
      <c r="I797" s="14"/>
      <c r="J797" s="14"/>
      <c r="K797" s="12"/>
    </row>
    <row r="798" ht="19.5" customHeight="1">
      <c r="A798" s="12"/>
      <c r="C798" s="12"/>
      <c r="D798" s="13"/>
      <c r="F798" s="14"/>
      <c r="G798" s="14"/>
      <c r="H798" s="14"/>
      <c r="I798" s="14"/>
      <c r="J798" s="14"/>
      <c r="K798" s="12"/>
    </row>
    <row r="799" ht="19.5" customHeight="1">
      <c r="A799" s="12"/>
      <c r="C799" s="12"/>
      <c r="D799" s="13"/>
      <c r="F799" s="14"/>
      <c r="G799" s="14"/>
      <c r="H799" s="14"/>
      <c r="I799" s="14"/>
      <c r="J799" s="14"/>
      <c r="K799" s="12"/>
    </row>
    <row r="800" ht="19.5" customHeight="1">
      <c r="A800" s="12"/>
      <c r="C800" s="12"/>
      <c r="D800" s="13"/>
      <c r="F800" s="14"/>
      <c r="G800" s="14"/>
      <c r="H800" s="14"/>
      <c r="I800" s="14"/>
      <c r="J800" s="14"/>
      <c r="K800" s="12"/>
    </row>
    <row r="801" ht="19.5" customHeight="1">
      <c r="A801" s="12"/>
      <c r="C801" s="12"/>
      <c r="D801" s="13"/>
      <c r="F801" s="14"/>
      <c r="G801" s="14"/>
      <c r="H801" s="14"/>
      <c r="I801" s="14"/>
      <c r="J801" s="14"/>
      <c r="K801" s="12"/>
    </row>
    <row r="802" ht="19.5" customHeight="1">
      <c r="A802" s="12"/>
      <c r="C802" s="12"/>
      <c r="D802" s="13"/>
      <c r="F802" s="14"/>
      <c r="G802" s="14"/>
      <c r="H802" s="14"/>
      <c r="I802" s="14"/>
      <c r="J802" s="14"/>
      <c r="K802" s="12"/>
    </row>
    <row r="803" ht="19.5" customHeight="1">
      <c r="A803" s="12"/>
      <c r="C803" s="12"/>
      <c r="D803" s="13"/>
      <c r="F803" s="14"/>
      <c r="G803" s="14"/>
      <c r="H803" s="14"/>
      <c r="I803" s="14"/>
      <c r="J803" s="14"/>
      <c r="K803" s="12"/>
    </row>
    <row r="804" ht="19.5" customHeight="1">
      <c r="A804" s="12"/>
      <c r="C804" s="12"/>
      <c r="D804" s="13"/>
      <c r="F804" s="14"/>
      <c r="G804" s="14"/>
      <c r="H804" s="14"/>
      <c r="I804" s="14"/>
      <c r="J804" s="14"/>
      <c r="K804" s="12"/>
    </row>
    <row r="805" ht="19.5" customHeight="1">
      <c r="A805" s="12"/>
      <c r="C805" s="12"/>
      <c r="D805" s="13"/>
      <c r="F805" s="14"/>
      <c r="G805" s="14"/>
      <c r="H805" s="14"/>
      <c r="I805" s="14"/>
      <c r="J805" s="14"/>
      <c r="K805" s="12"/>
    </row>
    <row r="806" ht="19.5" customHeight="1">
      <c r="A806" s="12"/>
      <c r="C806" s="12"/>
      <c r="D806" s="13"/>
      <c r="F806" s="14"/>
      <c r="G806" s="14"/>
      <c r="H806" s="14"/>
      <c r="I806" s="14"/>
      <c r="J806" s="14"/>
      <c r="K806" s="12"/>
    </row>
    <row r="807" ht="19.5" customHeight="1">
      <c r="A807" s="12"/>
      <c r="C807" s="12"/>
      <c r="D807" s="13"/>
      <c r="F807" s="14"/>
      <c r="G807" s="14"/>
      <c r="H807" s="14"/>
      <c r="I807" s="14"/>
      <c r="J807" s="14"/>
      <c r="K807" s="12"/>
    </row>
    <row r="808" ht="19.5" customHeight="1">
      <c r="A808" s="12"/>
      <c r="C808" s="12"/>
      <c r="D808" s="13"/>
      <c r="F808" s="14"/>
      <c r="G808" s="14"/>
      <c r="H808" s="14"/>
      <c r="I808" s="14"/>
      <c r="J808" s="14"/>
      <c r="K808" s="12"/>
    </row>
    <row r="809" ht="19.5" customHeight="1">
      <c r="A809" s="12"/>
      <c r="C809" s="12"/>
      <c r="D809" s="13"/>
      <c r="F809" s="14"/>
      <c r="G809" s="14"/>
      <c r="H809" s="14"/>
      <c r="I809" s="14"/>
      <c r="J809" s="14"/>
      <c r="K809" s="12"/>
    </row>
    <row r="810" ht="19.5" customHeight="1">
      <c r="A810" s="12"/>
      <c r="C810" s="12"/>
      <c r="D810" s="13"/>
      <c r="F810" s="14"/>
      <c r="G810" s="14"/>
      <c r="H810" s="14"/>
      <c r="I810" s="14"/>
      <c r="J810" s="14"/>
      <c r="K810" s="12"/>
    </row>
    <row r="811" ht="19.5" customHeight="1">
      <c r="A811" s="12"/>
      <c r="C811" s="12"/>
      <c r="D811" s="13"/>
      <c r="F811" s="14"/>
      <c r="G811" s="14"/>
      <c r="H811" s="14"/>
      <c r="I811" s="14"/>
      <c r="J811" s="14"/>
      <c r="K811" s="12"/>
    </row>
    <row r="812" ht="19.5" customHeight="1">
      <c r="A812" s="12"/>
      <c r="C812" s="12"/>
      <c r="D812" s="13"/>
      <c r="F812" s="14"/>
      <c r="G812" s="14"/>
      <c r="H812" s="14"/>
      <c r="I812" s="14"/>
      <c r="J812" s="14"/>
      <c r="K812" s="12"/>
    </row>
    <row r="813" ht="19.5" customHeight="1">
      <c r="A813" s="12"/>
      <c r="C813" s="12"/>
      <c r="D813" s="13"/>
      <c r="F813" s="14"/>
      <c r="G813" s="14"/>
      <c r="H813" s="14"/>
      <c r="I813" s="14"/>
      <c r="J813" s="14"/>
      <c r="K813" s="12"/>
    </row>
    <row r="814" ht="19.5" customHeight="1">
      <c r="A814" s="12"/>
      <c r="C814" s="12"/>
      <c r="D814" s="13"/>
      <c r="F814" s="14"/>
      <c r="G814" s="14"/>
      <c r="H814" s="14"/>
      <c r="I814" s="14"/>
      <c r="J814" s="14"/>
      <c r="K814" s="12"/>
    </row>
    <row r="815" ht="19.5" customHeight="1">
      <c r="A815" s="12"/>
      <c r="C815" s="12"/>
      <c r="D815" s="13"/>
      <c r="F815" s="14"/>
      <c r="G815" s="14"/>
      <c r="H815" s="14"/>
      <c r="I815" s="14"/>
      <c r="J815" s="14"/>
      <c r="K815" s="12"/>
    </row>
    <row r="816" ht="19.5" customHeight="1">
      <c r="A816" s="12"/>
      <c r="C816" s="12"/>
      <c r="D816" s="13"/>
      <c r="F816" s="14"/>
      <c r="G816" s="14"/>
      <c r="H816" s="14"/>
      <c r="I816" s="14"/>
      <c r="J816" s="14"/>
      <c r="K816" s="12"/>
    </row>
    <row r="817" ht="19.5" customHeight="1">
      <c r="A817" s="12"/>
      <c r="C817" s="12"/>
      <c r="D817" s="13"/>
      <c r="F817" s="14"/>
      <c r="G817" s="14"/>
      <c r="H817" s="14"/>
      <c r="I817" s="14"/>
      <c r="J817" s="14"/>
      <c r="K817" s="12"/>
    </row>
    <row r="818" ht="19.5" customHeight="1">
      <c r="A818" s="12"/>
      <c r="C818" s="12"/>
      <c r="D818" s="13"/>
      <c r="F818" s="14"/>
      <c r="G818" s="14"/>
      <c r="H818" s="14"/>
      <c r="I818" s="14"/>
      <c r="J818" s="14"/>
      <c r="K818" s="12"/>
    </row>
    <row r="819" ht="19.5" customHeight="1">
      <c r="A819" s="12"/>
      <c r="C819" s="12"/>
      <c r="D819" s="13"/>
      <c r="F819" s="14"/>
      <c r="G819" s="14"/>
      <c r="H819" s="14"/>
      <c r="I819" s="14"/>
      <c r="J819" s="14"/>
      <c r="K819" s="12"/>
    </row>
    <row r="820" ht="19.5" customHeight="1">
      <c r="A820" s="12"/>
      <c r="C820" s="12"/>
      <c r="D820" s="13"/>
      <c r="F820" s="14"/>
      <c r="G820" s="14"/>
      <c r="H820" s="14"/>
      <c r="I820" s="14"/>
      <c r="J820" s="14"/>
      <c r="K820" s="12"/>
    </row>
    <row r="821" ht="19.5" customHeight="1">
      <c r="A821" s="12"/>
      <c r="C821" s="12"/>
      <c r="D821" s="13"/>
      <c r="F821" s="14"/>
      <c r="G821" s="14"/>
      <c r="H821" s="14"/>
      <c r="I821" s="14"/>
      <c r="J821" s="14"/>
      <c r="K821" s="12"/>
    </row>
    <row r="822" ht="19.5" customHeight="1">
      <c r="A822" s="12"/>
      <c r="C822" s="12"/>
      <c r="D822" s="13"/>
      <c r="F822" s="14"/>
      <c r="G822" s="14"/>
      <c r="H822" s="14"/>
      <c r="I822" s="14"/>
      <c r="J822" s="14"/>
      <c r="K822" s="12"/>
    </row>
    <row r="823" ht="19.5" customHeight="1">
      <c r="A823" s="12"/>
      <c r="C823" s="12"/>
      <c r="D823" s="13"/>
      <c r="F823" s="14"/>
      <c r="G823" s="14"/>
      <c r="H823" s="14"/>
      <c r="I823" s="14"/>
      <c r="J823" s="14"/>
      <c r="K823" s="12"/>
    </row>
    <row r="824" ht="19.5" customHeight="1">
      <c r="A824" s="12"/>
      <c r="C824" s="12"/>
      <c r="D824" s="13"/>
      <c r="F824" s="14"/>
      <c r="G824" s="14"/>
      <c r="H824" s="14"/>
      <c r="I824" s="14"/>
      <c r="J824" s="14"/>
      <c r="K824" s="12"/>
    </row>
    <row r="825" ht="19.5" customHeight="1">
      <c r="A825" s="12"/>
      <c r="C825" s="12"/>
      <c r="D825" s="13"/>
      <c r="F825" s="14"/>
      <c r="G825" s="14"/>
      <c r="H825" s="14"/>
      <c r="I825" s="14"/>
      <c r="J825" s="14"/>
      <c r="K825" s="12"/>
    </row>
    <row r="826" ht="19.5" customHeight="1">
      <c r="A826" s="12"/>
      <c r="C826" s="12"/>
      <c r="D826" s="13"/>
      <c r="F826" s="14"/>
      <c r="G826" s="14"/>
      <c r="H826" s="14"/>
      <c r="I826" s="14"/>
      <c r="J826" s="14"/>
      <c r="K826" s="12"/>
    </row>
    <row r="827" ht="19.5" customHeight="1">
      <c r="A827" s="12"/>
      <c r="C827" s="12"/>
      <c r="D827" s="13"/>
      <c r="F827" s="14"/>
      <c r="G827" s="14"/>
      <c r="H827" s="14"/>
      <c r="I827" s="14"/>
      <c r="J827" s="14"/>
      <c r="K827" s="12"/>
    </row>
    <row r="828" ht="19.5" customHeight="1">
      <c r="A828" s="12"/>
      <c r="C828" s="12"/>
      <c r="D828" s="13"/>
      <c r="F828" s="14"/>
      <c r="G828" s="14"/>
      <c r="H828" s="14"/>
      <c r="I828" s="14"/>
      <c r="J828" s="14"/>
      <c r="K828" s="12"/>
    </row>
    <row r="829" ht="19.5" customHeight="1">
      <c r="A829" s="12"/>
      <c r="C829" s="12"/>
      <c r="D829" s="13"/>
      <c r="F829" s="14"/>
      <c r="G829" s="14"/>
      <c r="H829" s="14"/>
      <c r="I829" s="14"/>
      <c r="J829" s="14"/>
      <c r="K829" s="12"/>
    </row>
    <row r="830" ht="19.5" customHeight="1">
      <c r="A830" s="12"/>
      <c r="C830" s="12"/>
      <c r="D830" s="13"/>
      <c r="F830" s="14"/>
      <c r="G830" s="14"/>
      <c r="H830" s="14"/>
      <c r="I830" s="14"/>
      <c r="J830" s="14"/>
      <c r="K830" s="12"/>
    </row>
    <row r="831" ht="19.5" customHeight="1">
      <c r="A831" s="12"/>
      <c r="C831" s="12"/>
      <c r="D831" s="13"/>
      <c r="F831" s="14"/>
      <c r="G831" s="14"/>
      <c r="H831" s="14"/>
      <c r="I831" s="14"/>
      <c r="J831" s="14"/>
      <c r="K831" s="12"/>
    </row>
    <row r="832" ht="19.5" customHeight="1">
      <c r="A832" s="12"/>
      <c r="C832" s="12"/>
      <c r="D832" s="13"/>
      <c r="F832" s="14"/>
      <c r="G832" s="14"/>
      <c r="H832" s="14"/>
      <c r="I832" s="14"/>
      <c r="J832" s="14"/>
      <c r="K832" s="12"/>
    </row>
    <row r="833" ht="19.5" customHeight="1">
      <c r="A833" s="12"/>
      <c r="C833" s="12"/>
      <c r="D833" s="13"/>
      <c r="F833" s="14"/>
      <c r="G833" s="14"/>
      <c r="H833" s="14"/>
      <c r="I833" s="14"/>
      <c r="J833" s="14"/>
      <c r="K833" s="12"/>
    </row>
    <row r="834" ht="19.5" customHeight="1">
      <c r="A834" s="12"/>
      <c r="C834" s="12"/>
      <c r="D834" s="13"/>
      <c r="F834" s="14"/>
      <c r="G834" s="14"/>
      <c r="H834" s="14"/>
      <c r="I834" s="14"/>
      <c r="J834" s="14"/>
      <c r="K834" s="12"/>
    </row>
    <row r="835" ht="19.5" customHeight="1">
      <c r="A835" s="12"/>
      <c r="C835" s="12"/>
      <c r="D835" s="13"/>
      <c r="F835" s="14"/>
      <c r="G835" s="14"/>
      <c r="H835" s="14"/>
      <c r="I835" s="14"/>
      <c r="J835" s="14"/>
      <c r="K835" s="12"/>
    </row>
    <row r="836" ht="19.5" customHeight="1">
      <c r="A836" s="12"/>
      <c r="C836" s="12"/>
      <c r="D836" s="13"/>
      <c r="F836" s="14"/>
      <c r="G836" s="14"/>
      <c r="H836" s="14"/>
      <c r="I836" s="14"/>
      <c r="J836" s="14"/>
      <c r="K836" s="12"/>
    </row>
    <row r="837" ht="19.5" customHeight="1">
      <c r="A837" s="12"/>
      <c r="C837" s="12"/>
      <c r="D837" s="13"/>
      <c r="F837" s="14"/>
      <c r="G837" s="14"/>
      <c r="H837" s="14"/>
      <c r="I837" s="14"/>
      <c r="J837" s="14"/>
      <c r="K837" s="12"/>
    </row>
    <row r="838" ht="19.5" customHeight="1">
      <c r="A838" s="12"/>
      <c r="C838" s="12"/>
      <c r="D838" s="13"/>
      <c r="F838" s="14"/>
      <c r="G838" s="14"/>
      <c r="H838" s="14"/>
      <c r="I838" s="14"/>
      <c r="J838" s="14"/>
      <c r="K838" s="12"/>
    </row>
    <row r="839" ht="19.5" customHeight="1">
      <c r="A839" s="12"/>
      <c r="C839" s="12"/>
      <c r="D839" s="13"/>
      <c r="F839" s="14"/>
      <c r="G839" s="14"/>
      <c r="H839" s="14"/>
      <c r="I839" s="14"/>
      <c r="J839" s="14"/>
      <c r="K839" s="12"/>
    </row>
    <row r="840" ht="19.5" customHeight="1">
      <c r="A840" s="12"/>
      <c r="C840" s="12"/>
      <c r="D840" s="13"/>
      <c r="F840" s="14"/>
      <c r="G840" s="14"/>
      <c r="H840" s="14"/>
      <c r="I840" s="14"/>
      <c r="J840" s="14"/>
      <c r="K840" s="12"/>
    </row>
    <row r="841" ht="19.5" customHeight="1">
      <c r="A841" s="12"/>
      <c r="C841" s="12"/>
      <c r="D841" s="13"/>
      <c r="F841" s="14"/>
      <c r="G841" s="14"/>
      <c r="H841" s="14"/>
      <c r="I841" s="14"/>
      <c r="J841" s="14"/>
      <c r="K841" s="12"/>
    </row>
    <row r="842" ht="19.5" customHeight="1">
      <c r="A842" s="12"/>
      <c r="C842" s="12"/>
      <c r="D842" s="13"/>
      <c r="F842" s="14"/>
      <c r="G842" s="14"/>
      <c r="H842" s="14"/>
      <c r="I842" s="14"/>
      <c r="J842" s="14"/>
      <c r="K842" s="12"/>
    </row>
    <row r="843" ht="19.5" customHeight="1">
      <c r="A843" s="12"/>
      <c r="C843" s="12"/>
      <c r="D843" s="13"/>
      <c r="F843" s="14"/>
      <c r="G843" s="14"/>
      <c r="H843" s="14"/>
      <c r="I843" s="14"/>
      <c r="J843" s="14"/>
      <c r="K843" s="12"/>
    </row>
    <row r="844" ht="19.5" customHeight="1">
      <c r="A844" s="12"/>
      <c r="C844" s="12"/>
      <c r="D844" s="13"/>
      <c r="F844" s="14"/>
      <c r="G844" s="14"/>
      <c r="H844" s="14"/>
      <c r="I844" s="14"/>
      <c r="J844" s="14"/>
      <c r="K844" s="12"/>
    </row>
    <row r="845" ht="19.5" customHeight="1">
      <c r="A845" s="12"/>
      <c r="C845" s="12"/>
      <c r="D845" s="13"/>
      <c r="F845" s="14"/>
      <c r="G845" s="14"/>
      <c r="H845" s="14"/>
      <c r="I845" s="14"/>
      <c r="J845" s="14"/>
      <c r="K845" s="12"/>
    </row>
    <row r="846" ht="19.5" customHeight="1">
      <c r="A846" s="12"/>
      <c r="C846" s="12"/>
      <c r="D846" s="13"/>
      <c r="F846" s="14"/>
      <c r="G846" s="14"/>
      <c r="H846" s="14"/>
      <c r="I846" s="14"/>
      <c r="J846" s="14"/>
      <c r="K846" s="12"/>
    </row>
    <row r="847" ht="19.5" customHeight="1">
      <c r="A847" s="12"/>
      <c r="C847" s="12"/>
      <c r="D847" s="13"/>
      <c r="F847" s="14"/>
      <c r="G847" s="14"/>
      <c r="H847" s="14"/>
      <c r="I847" s="14"/>
      <c r="J847" s="14"/>
      <c r="K847" s="12"/>
    </row>
    <row r="848" ht="19.5" customHeight="1">
      <c r="A848" s="12"/>
      <c r="C848" s="12"/>
      <c r="D848" s="13"/>
      <c r="F848" s="14"/>
      <c r="G848" s="14"/>
      <c r="H848" s="14"/>
      <c r="I848" s="14"/>
      <c r="J848" s="14"/>
      <c r="K848" s="12"/>
    </row>
    <row r="849" ht="19.5" customHeight="1">
      <c r="A849" s="12"/>
      <c r="C849" s="12"/>
      <c r="D849" s="13"/>
      <c r="F849" s="14"/>
      <c r="G849" s="14"/>
      <c r="H849" s="14"/>
      <c r="I849" s="14"/>
      <c r="J849" s="14"/>
      <c r="K849" s="12"/>
    </row>
    <row r="850" ht="19.5" customHeight="1">
      <c r="A850" s="12"/>
      <c r="C850" s="12"/>
      <c r="D850" s="13"/>
      <c r="F850" s="14"/>
      <c r="G850" s="14"/>
      <c r="H850" s="14"/>
      <c r="I850" s="14"/>
      <c r="J850" s="14"/>
      <c r="K850" s="12"/>
    </row>
    <row r="851" ht="19.5" customHeight="1">
      <c r="A851" s="12"/>
      <c r="C851" s="12"/>
      <c r="D851" s="13"/>
      <c r="F851" s="14"/>
      <c r="G851" s="14"/>
      <c r="H851" s="14"/>
      <c r="I851" s="14"/>
      <c r="J851" s="14"/>
      <c r="K851" s="12"/>
    </row>
    <row r="852" ht="19.5" customHeight="1">
      <c r="A852" s="12"/>
      <c r="C852" s="12"/>
      <c r="D852" s="13"/>
      <c r="F852" s="14"/>
      <c r="G852" s="14"/>
      <c r="H852" s="14"/>
      <c r="I852" s="14"/>
      <c r="J852" s="14"/>
      <c r="K852" s="12"/>
    </row>
    <row r="853" ht="19.5" customHeight="1">
      <c r="A853" s="12"/>
      <c r="C853" s="12"/>
      <c r="D853" s="13"/>
      <c r="F853" s="14"/>
      <c r="G853" s="14"/>
      <c r="H853" s="14"/>
      <c r="I853" s="14"/>
      <c r="J853" s="14"/>
      <c r="K853" s="12"/>
    </row>
    <row r="854" ht="19.5" customHeight="1">
      <c r="A854" s="12"/>
      <c r="C854" s="12"/>
      <c r="D854" s="13"/>
      <c r="F854" s="14"/>
      <c r="G854" s="14"/>
      <c r="H854" s="14"/>
      <c r="I854" s="14"/>
      <c r="J854" s="14"/>
      <c r="K854" s="12"/>
    </row>
    <row r="855" ht="19.5" customHeight="1">
      <c r="A855" s="12"/>
      <c r="C855" s="12"/>
      <c r="D855" s="13"/>
      <c r="F855" s="14"/>
      <c r="G855" s="14"/>
      <c r="H855" s="14"/>
      <c r="I855" s="14"/>
      <c r="J855" s="14"/>
      <c r="K855" s="12"/>
    </row>
    <row r="856" ht="19.5" customHeight="1">
      <c r="A856" s="12"/>
      <c r="C856" s="12"/>
      <c r="D856" s="13"/>
      <c r="F856" s="14"/>
      <c r="G856" s="14"/>
      <c r="H856" s="14"/>
      <c r="I856" s="14"/>
      <c r="J856" s="14"/>
      <c r="K856" s="12"/>
    </row>
    <row r="857" ht="19.5" customHeight="1">
      <c r="A857" s="12"/>
      <c r="C857" s="12"/>
      <c r="D857" s="13"/>
      <c r="F857" s="14"/>
      <c r="G857" s="14"/>
      <c r="H857" s="14"/>
      <c r="I857" s="14"/>
      <c r="J857" s="14"/>
      <c r="K857" s="12"/>
    </row>
    <row r="858" ht="19.5" customHeight="1">
      <c r="A858" s="12"/>
      <c r="C858" s="12"/>
      <c r="D858" s="13"/>
      <c r="F858" s="14"/>
      <c r="G858" s="14"/>
      <c r="H858" s="14"/>
      <c r="I858" s="14"/>
      <c r="J858" s="14"/>
      <c r="K858" s="12"/>
    </row>
    <row r="859" ht="19.5" customHeight="1">
      <c r="A859" s="12"/>
      <c r="C859" s="12"/>
      <c r="D859" s="13"/>
      <c r="F859" s="14"/>
      <c r="G859" s="14"/>
      <c r="H859" s="14"/>
      <c r="I859" s="14"/>
      <c r="J859" s="14"/>
      <c r="K859" s="12"/>
    </row>
    <row r="860" ht="19.5" customHeight="1">
      <c r="A860" s="12"/>
      <c r="C860" s="12"/>
      <c r="D860" s="13"/>
      <c r="F860" s="14"/>
      <c r="G860" s="14"/>
      <c r="H860" s="14"/>
      <c r="I860" s="14"/>
      <c r="J860" s="14"/>
      <c r="K860" s="12"/>
    </row>
    <row r="861" ht="19.5" customHeight="1">
      <c r="A861" s="12"/>
      <c r="C861" s="12"/>
      <c r="D861" s="13"/>
      <c r="F861" s="14"/>
      <c r="G861" s="14"/>
      <c r="H861" s="14"/>
      <c r="I861" s="14"/>
      <c r="J861" s="14"/>
      <c r="K861" s="12"/>
    </row>
    <row r="862" ht="19.5" customHeight="1">
      <c r="A862" s="12"/>
      <c r="C862" s="12"/>
      <c r="D862" s="13"/>
      <c r="F862" s="14"/>
      <c r="G862" s="14"/>
      <c r="H862" s="14"/>
      <c r="I862" s="14"/>
      <c r="J862" s="14"/>
      <c r="K862" s="12"/>
    </row>
    <row r="863" ht="19.5" customHeight="1">
      <c r="A863" s="12"/>
      <c r="C863" s="12"/>
      <c r="D863" s="13"/>
      <c r="F863" s="14"/>
      <c r="G863" s="14"/>
      <c r="H863" s="14"/>
      <c r="I863" s="14"/>
      <c r="J863" s="14"/>
      <c r="K863" s="12"/>
    </row>
    <row r="864" ht="19.5" customHeight="1">
      <c r="A864" s="12"/>
      <c r="C864" s="12"/>
      <c r="D864" s="13"/>
      <c r="F864" s="14"/>
      <c r="G864" s="14"/>
      <c r="H864" s="14"/>
      <c r="I864" s="14"/>
      <c r="J864" s="14"/>
      <c r="K864" s="12"/>
    </row>
    <row r="865" ht="19.5" customHeight="1">
      <c r="A865" s="12"/>
      <c r="C865" s="12"/>
      <c r="D865" s="13"/>
      <c r="F865" s="14"/>
      <c r="G865" s="14"/>
      <c r="H865" s="14"/>
      <c r="I865" s="14"/>
      <c r="J865" s="14"/>
      <c r="K865" s="12"/>
    </row>
    <row r="866" ht="19.5" customHeight="1">
      <c r="A866" s="12"/>
      <c r="C866" s="12"/>
      <c r="D866" s="13"/>
      <c r="F866" s="14"/>
      <c r="G866" s="14"/>
      <c r="H866" s="14"/>
      <c r="I866" s="14"/>
      <c r="J866" s="14"/>
      <c r="K866" s="12"/>
    </row>
    <row r="867" ht="19.5" customHeight="1">
      <c r="A867" s="12"/>
      <c r="C867" s="12"/>
      <c r="D867" s="13"/>
      <c r="F867" s="14"/>
      <c r="G867" s="14"/>
      <c r="H867" s="14"/>
      <c r="I867" s="14"/>
      <c r="J867" s="14"/>
      <c r="K867" s="12"/>
    </row>
    <row r="868" ht="19.5" customHeight="1">
      <c r="A868" s="12"/>
      <c r="C868" s="12"/>
      <c r="D868" s="13"/>
      <c r="F868" s="14"/>
      <c r="G868" s="14"/>
      <c r="H868" s="14"/>
      <c r="I868" s="14"/>
      <c r="J868" s="14"/>
      <c r="K868" s="12"/>
    </row>
    <row r="869" ht="19.5" customHeight="1">
      <c r="A869" s="12"/>
      <c r="C869" s="12"/>
      <c r="D869" s="13"/>
      <c r="F869" s="14"/>
      <c r="G869" s="14"/>
      <c r="H869" s="14"/>
      <c r="I869" s="14"/>
      <c r="J869" s="14"/>
      <c r="K869" s="12"/>
    </row>
    <row r="870" ht="19.5" customHeight="1">
      <c r="A870" s="12"/>
      <c r="C870" s="12"/>
      <c r="D870" s="13"/>
      <c r="F870" s="14"/>
      <c r="G870" s="14"/>
      <c r="H870" s="14"/>
      <c r="I870" s="14"/>
      <c r="J870" s="14"/>
      <c r="K870" s="12"/>
    </row>
    <row r="871" ht="19.5" customHeight="1">
      <c r="A871" s="12"/>
      <c r="C871" s="12"/>
      <c r="D871" s="13"/>
      <c r="F871" s="14"/>
      <c r="G871" s="14"/>
      <c r="H871" s="14"/>
      <c r="I871" s="14"/>
      <c r="J871" s="14"/>
      <c r="K871" s="12"/>
    </row>
    <row r="872" ht="19.5" customHeight="1">
      <c r="A872" s="12"/>
      <c r="C872" s="12"/>
      <c r="D872" s="13"/>
      <c r="F872" s="14"/>
      <c r="G872" s="14"/>
      <c r="H872" s="14"/>
      <c r="I872" s="14"/>
      <c r="J872" s="14"/>
      <c r="K872" s="12"/>
    </row>
    <row r="873" ht="19.5" customHeight="1">
      <c r="A873" s="12"/>
      <c r="C873" s="12"/>
      <c r="D873" s="13"/>
      <c r="F873" s="14"/>
      <c r="G873" s="14"/>
      <c r="H873" s="14"/>
      <c r="I873" s="14"/>
      <c r="J873" s="14"/>
      <c r="K873" s="12"/>
    </row>
    <row r="874" ht="19.5" customHeight="1">
      <c r="A874" s="12"/>
      <c r="C874" s="12"/>
      <c r="D874" s="13"/>
      <c r="F874" s="14"/>
      <c r="G874" s="14"/>
      <c r="H874" s="14"/>
      <c r="I874" s="14"/>
      <c r="J874" s="14"/>
      <c r="K874" s="12"/>
    </row>
    <row r="875" ht="19.5" customHeight="1">
      <c r="A875" s="12"/>
      <c r="C875" s="12"/>
      <c r="D875" s="13"/>
      <c r="F875" s="14"/>
      <c r="G875" s="14"/>
      <c r="H875" s="14"/>
      <c r="I875" s="14"/>
      <c r="J875" s="14"/>
      <c r="K875" s="12"/>
    </row>
    <row r="876" ht="19.5" customHeight="1">
      <c r="A876" s="12"/>
      <c r="C876" s="12"/>
      <c r="D876" s="13"/>
      <c r="F876" s="14"/>
      <c r="G876" s="14"/>
      <c r="H876" s="14"/>
      <c r="I876" s="14"/>
      <c r="J876" s="14"/>
      <c r="K876" s="12"/>
    </row>
    <row r="877" ht="19.5" customHeight="1">
      <c r="A877" s="12"/>
      <c r="C877" s="12"/>
      <c r="D877" s="13"/>
      <c r="F877" s="14"/>
      <c r="G877" s="14"/>
      <c r="H877" s="14"/>
      <c r="I877" s="14"/>
      <c r="J877" s="14"/>
      <c r="K877" s="12"/>
    </row>
    <row r="878" ht="19.5" customHeight="1">
      <c r="A878" s="12"/>
      <c r="C878" s="12"/>
      <c r="D878" s="13"/>
      <c r="F878" s="14"/>
      <c r="G878" s="14"/>
      <c r="H878" s="14"/>
      <c r="I878" s="14"/>
      <c r="J878" s="14"/>
      <c r="K878" s="12"/>
    </row>
    <row r="879" ht="19.5" customHeight="1">
      <c r="A879" s="12"/>
      <c r="C879" s="12"/>
      <c r="D879" s="13"/>
      <c r="F879" s="14"/>
      <c r="G879" s="14"/>
      <c r="H879" s="14"/>
      <c r="I879" s="14"/>
      <c r="J879" s="14"/>
      <c r="K879" s="12"/>
    </row>
    <row r="880" ht="19.5" customHeight="1">
      <c r="A880" s="12"/>
      <c r="C880" s="12"/>
      <c r="D880" s="13"/>
      <c r="F880" s="14"/>
      <c r="G880" s="14"/>
      <c r="H880" s="14"/>
      <c r="I880" s="14"/>
      <c r="J880" s="14"/>
      <c r="K880" s="12"/>
    </row>
    <row r="881" ht="19.5" customHeight="1">
      <c r="A881" s="12"/>
      <c r="C881" s="12"/>
      <c r="D881" s="13"/>
      <c r="F881" s="14"/>
      <c r="G881" s="14"/>
      <c r="H881" s="14"/>
      <c r="I881" s="14"/>
      <c r="J881" s="14"/>
      <c r="K881" s="12"/>
    </row>
    <row r="882" ht="19.5" customHeight="1">
      <c r="A882" s="12"/>
      <c r="C882" s="12"/>
      <c r="D882" s="13"/>
      <c r="F882" s="14"/>
      <c r="G882" s="14"/>
      <c r="H882" s="14"/>
      <c r="I882" s="14"/>
      <c r="J882" s="14"/>
      <c r="K882" s="12"/>
    </row>
    <row r="883" ht="19.5" customHeight="1">
      <c r="A883" s="12"/>
      <c r="C883" s="12"/>
      <c r="D883" s="13"/>
      <c r="F883" s="14"/>
      <c r="G883" s="14"/>
      <c r="H883" s="14"/>
      <c r="I883" s="14"/>
      <c r="J883" s="14"/>
      <c r="K883" s="12"/>
    </row>
    <row r="884" ht="19.5" customHeight="1">
      <c r="A884" s="12"/>
      <c r="C884" s="12"/>
      <c r="D884" s="13"/>
      <c r="F884" s="14"/>
      <c r="G884" s="14"/>
      <c r="H884" s="14"/>
      <c r="I884" s="14"/>
      <c r="J884" s="14"/>
      <c r="K884" s="12"/>
    </row>
    <row r="885" ht="19.5" customHeight="1">
      <c r="A885" s="12"/>
      <c r="C885" s="12"/>
      <c r="D885" s="13"/>
      <c r="F885" s="14"/>
      <c r="G885" s="14"/>
      <c r="H885" s="14"/>
      <c r="I885" s="14"/>
      <c r="J885" s="14"/>
      <c r="K885" s="12"/>
    </row>
    <row r="886" ht="19.5" customHeight="1">
      <c r="A886" s="12"/>
      <c r="C886" s="12"/>
      <c r="D886" s="13"/>
      <c r="F886" s="14"/>
      <c r="G886" s="14"/>
      <c r="H886" s="14"/>
      <c r="I886" s="14"/>
      <c r="J886" s="14"/>
      <c r="K886" s="12"/>
    </row>
    <row r="887" ht="19.5" customHeight="1">
      <c r="A887" s="12"/>
      <c r="C887" s="12"/>
      <c r="D887" s="13"/>
      <c r="F887" s="14"/>
      <c r="G887" s="14"/>
      <c r="H887" s="14"/>
      <c r="I887" s="14"/>
      <c r="J887" s="14"/>
      <c r="K887" s="12"/>
    </row>
    <row r="888" ht="19.5" customHeight="1">
      <c r="A888" s="12"/>
      <c r="C888" s="12"/>
      <c r="D888" s="13"/>
      <c r="F888" s="14"/>
      <c r="G888" s="14"/>
      <c r="H888" s="14"/>
      <c r="I888" s="14"/>
      <c r="J888" s="14"/>
      <c r="K888" s="12"/>
    </row>
    <row r="889" ht="19.5" customHeight="1">
      <c r="A889" s="12"/>
      <c r="C889" s="12"/>
      <c r="D889" s="13"/>
      <c r="F889" s="14"/>
      <c r="G889" s="14"/>
      <c r="H889" s="14"/>
      <c r="I889" s="14"/>
      <c r="J889" s="14"/>
      <c r="K889" s="12"/>
    </row>
    <row r="890" ht="19.5" customHeight="1">
      <c r="A890" s="12"/>
      <c r="C890" s="12"/>
      <c r="D890" s="13"/>
      <c r="F890" s="14"/>
      <c r="G890" s="14"/>
      <c r="H890" s="14"/>
      <c r="I890" s="14"/>
      <c r="J890" s="14"/>
      <c r="K890" s="12"/>
    </row>
    <row r="891" ht="19.5" customHeight="1">
      <c r="A891" s="12"/>
      <c r="C891" s="12"/>
      <c r="D891" s="13"/>
      <c r="F891" s="14"/>
      <c r="G891" s="14"/>
      <c r="H891" s="14"/>
      <c r="I891" s="14"/>
      <c r="J891" s="14"/>
      <c r="K891" s="12"/>
    </row>
    <row r="892" ht="19.5" customHeight="1">
      <c r="A892" s="12"/>
      <c r="C892" s="12"/>
      <c r="D892" s="13"/>
      <c r="F892" s="14"/>
      <c r="G892" s="14"/>
      <c r="H892" s="14"/>
      <c r="I892" s="14"/>
      <c r="J892" s="14"/>
      <c r="K892" s="12"/>
    </row>
    <row r="893" ht="19.5" customHeight="1">
      <c r="A893" s="12"/>
      <c r="C893" s="12"/>
      <c r="D893" s="13"/>
      <c r="F893" s="14"/>
      <c r="G893" s="14"/>
      <c r="H893" s="14"/>
      <c r="I893" s="14"/>
      <c r="J893" s="14"/>
      <c r="K893" s="12"/>
    </row>
    <row r="894" ht="19.5" customHeight="1">
      <c r="A894" s="12"/>
      <c r="C894" s="12"/>
      <c r="D894" s="13"/>
      <c r="F894" s="14"/>
      <c r="G894" s="14"/>
      <c r="H894" s="14"/>
      <c r="I894" s="14"/>
      <c r="J894" s="14"/>
      <c r="K894" s="12"/>
    </row>
    <row r="895" ht="19.5" customHeight="1">
      <c r="A895" s="12"/>
      <c r="C895" s="12"/>
      <c r="D895" s="13"/>
      <c r="F895" s="14"/>
      <c r="G895" s="14"/>
      <c r="H895" s="14"/>
      <c r="I895" s="14"/>
      <c r="J895" s="14"/>
      <c r="K895" s="12"/>
    </row>
    <row r="896" ht="19.5" customHeight="1">
      <c r="A896" s="12"/>
      <c r="C896" s="12"/>
      <c r="D896" s="13"/>
      <c r="F896" s="14"/>
      <c r="G896" s="14"/>
      <c r="H896" s="14"/>
      <c r="I896" s="14"/>
      <c r="J896" s="14"/>
      <c r="K896" s="12"/>
    </row>
    <row r="897" ht="19.5" customHeight="1">
      <c r="A897" s="12"/>
      <c r="C897" s="12"/>
      <c r="D897" s="13"/>
      <c r="F897" s="14"/>
      <c r="G897" s="14"/>
      <c r="H897" s="14"/>
      <c r="I897" s="14"/>
      <c r="J897" s="14"/>
      <c r="K897" s="12"/>
    </row>
    <row r="898" ht="19.5" customHeight="1">
      <c r="A898" s="12"/>
      <c r="C898" s="12"/>
      <c r="D898" s="13"/>
      <c r="F898" s="14"/>
      <c r="G898" s="14"/>
      <c r="H898" s="14"/>
      <c r="I898" s="14"/>
      <c r="J898" s="14"/>
      <c r="K898" s="12"/>
    </row>
    <row r="899" ht="19.5" customHeight="1">
      <c r="A899" s="12"/>
      <c r="C899" s="12"/>
      <c r="D899" s="13"/>
      <c r="F899" s="14"/>
      <c r="G899" s="14"/>
      <c r="H899" s="14"/>
      <c r="I899" s="14"/>
      <c r="J899" s="14"/>
      <c r="K899" s="12"/>
    </row>
    <row r="900" ht="19.5" customHeight="1">
      <c r="A900" s="12"/>
      <c r="C900" s="12"/>
      <c r="D900" s="13"/>
      <c r="F900" s="14"/>
      <c r="G900" s="14"/>
      <c r="H900" s="14"/>
      <c r="I900" s="14"/>
      <c r="J900" s="14"/>
      <c r="K900" s="12"/>
    </row>
    <row r="901" ht="19.5" customHeight="1">
      <c r="A901" s="12"/>
      <c r="C901" s="12"/>
      <c r="D901" s="13"/>
      <c r="F901" s="14"/>
      <c r="G901" s="14"/>
      <c r="H901" s="14"/>
      <c r="I901" s="14"/>
      <c r="J901" s="14"/>
      <c r="K901" s="12"/>
    </row>
    <row r="902" ht="19.5" customHeight="1">
      <c r="A902" s="12"/>
      <c r="C902" s="12"/>
      <c r="D902" s="13"/>
      <c r="F902" s="14"/>
      <c r="G902" s="14"/>
      <c r="H902" s="14"/>
      <c r="I902" s="14"/>
      <c r="J902" s="14"/>
      <c r="K902" s="12"/>
    </row>
    <row r="903" ht="19.5" customHeight="1">
      <c r="A903" s="12"/>
      <c r="C903" s="12"/>
      <c r="D903" s="13"/>
      <c r="F903" s="14"/>
      <c r="G903" s="14"/>
      <c r="H903" s="14"/>
      <c r="I903" s="14"/>
      <c r="J903" s="14"/>
      <c r="K903" s="12"/>
    </row>
    <row r="904" ht="19.5" customHeight="1">
      <c r="A904" s="12"/>
      <c r="C904" s="12"/>
      <c r="D904" s="13"/>
      <c r="F904" s="14"/>
      <c r="G904" s="14"/>
      <c r="H904" s="14"/>
      <c r="I904" s="14"/>
      <c r="J904" s="14"/>
      <c r="K904" s="12"/>
    </row>
    <row r="905" ht="19.5" customHeight="1">
      <c r="A905" s="12"/>
      <c r="C905" s="12"/>
      <c r="D905" s="13"/>
      <c r="F905" s="14"/>
      <c r="G905" s="14"/>
      <c r="H905" s="14"/>
      <c r="I905" s="14"/>
      <c r="J905" s="14"/>
      <c r="K905" s="12"/>
    </row>
    <row r="906" ht="19.5" customHeight="1">
      <c r="A906" s="12"/>
      <c r="C906" s="12"/>
      <c r="D906" s="13"/>
      <c r="F906" s="14"/>
      <c r="G906" s="14"/>
      <c r="H906" s="14"/>
      <c r="I906" s="14"/>
      <c r="J906" s="14"/>
      <c r="K906" s="12"/>
    </row>
    <row r="907" ht="19.5" customHeight="1">
      <c r="A907" s="12"/>
      <c r="C907" s="12"/>
      <c r="D907" s="13"/>
      <c r="F907" s="14"/>
      <c r="G907" s="14"/>
      <c r="H907" s="14"/>
      <c r="I907" s="14"/>
      <c r="J907" s="14"/>
      <c r="K907" s="12"/>
    </row>
    <row r="908" ht="19.5" customHeight="1">
      <c r="A908" s="12"/>
      <c r="C908" s="12"/>
      <c r="D908" s="13"/>
      <c r="F908" s="14"/>
      <c r="G908" s="14"/>
      <c r="H908" s="14"/>
      <c r="I908" s="14"/>
      <c r="J908" s="14"/>
      <c r="K908" s="12"/>
    </row>
    <row r="909" ht="19.5" customHeight="1">
      <c r="A909" s="12"/>
      <c r="C909" s="12"/>
      <c r="D909" s="13"/>
      <c r="F909" s="14"/>
      <c r="G909" s="14"/>
      <c r="H909" s="14"/>
      <c r="I909" s="14"/>
      <c r="J909" s="14"/>
      <c r="K909" s="12"/>
    </row>
    <row r="910" ht="19.5" customHeight="1">
      <c r="A910" s="12"/>
      <c r="C910" s="12"/>
      <c r="D910" s="13"/>
      <c r="F910" s="14"/>
      <c r="G910" s="14"/>
      <c r="H910" s="14"/>
      <c r="I910" s="14"/>
      <c r="J910" s="14"/>
      <c r="K910" s="12"/>
    </row>
    <row r="911" ht="19.5" customHeight="1">
      <c r="A911" s="12"/>
      <c r="C911" s="12"/>
      <c r="D911" s="13"/>
      <c r="F911" s="14"/>
      <c r="G911" s="14"/>
      <c r="H911" s="14"/>
      <c r="I911" s="14"/>
      <c r="J911" s="14"/>
      <c r="K911" s="12"/>
    </row>
    <row r="912" ht="19.5" customHeight="1">
      <c r="A912" s="12"/>
      <c r="C912" s="12"/>
      <c r="D912" s="13"/>
      <c r="F912" s="14"/>
      <c r="G912" s="14"/>
      <c r="H912" s="14"/>
      <c r="I912" s="14"/>
      <c r="J912" s="14"/>
      <c r="K912" s="12"/>
    </row>
    <row r="913" ht="19.5" customHeight="1">
      <c r="A913" s="12"/>
      <c r="C913" s="12"/>
      <c r="D913" s="13"/>
      <c r="F913" s="14"/>
      <c r="G913" s="14"/>
      <c r="H913" s="14"/>
      <c r="I913" s="14"/>
      <c r="J913" s="14"/>
      <c r="K913" s="12"/>
    </row>
    <row r="914" ht="19.5" customHeight="1">
      <c r="A914" s="12"/>
      <c r="C914" s="12"/>
      <c r="D914" s="13"/>
      <c r="F914" s="14"/>
      <c r="G914" s="14"/>
      <c r="H914" s="14"/>
      <c r="I914" s="14"/>
      <c r="J914" s="14"/>
      <c r="K914" s="12"/>
    </row>
    <row r="915" ht="19.5" customHeight="1">
      <c r="A915" s="12"/>
      <c r="C915" s="12"/>
      <c r="D915" s="13"/>
      <c r="F915" s="14"/>
      <c r="G915" s="14"/>
      <c r="H915" s="14"/>
      <c r="I915" s="14"/>
      <c r="J915" s="14"/>
      <c r="K915" s="12"/>
    </row>
    <row r="916" ht="19.5" customHeight="1">
      <c r="A916" s="12"/>
      <c r="C916" s="12"/>
      <c r="D916" s="13"/>
      <c r="F916" s="14"/>
      <c r="G916" s="14"/>
      <c r="H916" s="14"/>
      <c r="I916" s="14"/>
      <c r="J916" s="14"/>
      <c r="K916" s="12"/>
    </row>
    <row r="917" ht="19.5" customHeight="1">
      <c r="A917" s="12"/>
      <c r="C917" s="12"/>
      <c r="D917" s="13"/>
      <c r="F917" s="14"/>
      <c r="G917" s="14"/>
      <c r="H917" s="14"/>
      <c r="I917" s="14"/>
      <c r="J917" s="14"/>
      <c r="K917" s="12"/>
    </row>
    <row r="918" ht="19.5" customHeight="1">
      <c r="A918" s="12"/>
      <c r="C918" s="12"/>
      <c r="D918" s="13"/>
      <c r="F918" s="14"/>
      <c r="G918" s="14"/>
      <c r="H918" s="14"/>
      <c r="I918" s="14"/>
      <c r="J918" s="14"/>
      <c r="K918" s="12"/>
    </row>
    <row r="919" ht="19.5" customHeight="1">
      <c r="A919" s="12"/>
      <c r="C919" s="12"/>
      <c r="D919" s="13"/>
      <c r="F919" s="14"/>
      <c r="G919" s="14"/>
      <c r="H919" s="14"/>
      <c r="I919" s="14"/>
      <c r="J919" s="14"/>
      <c r="K919" s="12"/>
    </row>
    <row r="920" ht="19.5" customHeight="1">
      <c r="A920" s="12"/>
      <c r="C920" s="12"/>
      <c r="D920" s="13"/>
      <c r="F920" s="14"/>
      <c r="G920" s="14"/>
      <c r="H920" s="14"/>
      <c r="I920" s="14"/>
      <c r="J920" s="14"/>
      <c r="K920" s="12"/>
    </row>
    <row r="921" ht="19.5" customHeight="1">
      <c r="A921" s="12"/>
      <c r="C921" s="12"/>
      <c r="D921" s="13"/>
      <c r="F921" s="14"/>
      <c r="G921" s="14"/>
      <c r="H921" s="14"/>
      <c r="I921" s="14"/>
      <c r="J921" s="14"/>
      <c r="K921" s="12"/>
    </row>
    <row r="922" ht="19.5" customHeight="1">
      <c r="A922" s="12"/>
      <c r="C922" s="12"/>
      <c r="D922" s="13"/>
      <c r="F922" s="14"/>
      <c r="G922" s="14"/>
      <c r="H922" s="14"/>
      <c r="I922" s="14"/>
      <c r="J922" s="14"/>
      <c r="K922" s="12"/>
    </row>
    <row r="923" ht="19.5" customHeight="1">
      <c r="A923" s="12"/>
      <c r="C923" s="12"/>
      <c r="D923" s="13"/>
      <c r="F923" s="14"/>
      <c r="G923" s="14"/>
      <c r="H923" s="14"/>
      <c r="I923" s="14"/>
      <c r="J923" s="14"/>
      <c r="K923" s="12"/>
    </row>
    <row r="924" ht="19.5" customHeight="1">
      <c r="A924" s="12"/>
      <c r="C924" s="12"/>
      <c r="D924" s="13"/>
      <c r="F924" s="14"/>
      <c r="G924" s="14"/>
      <c r="H924" s="14"/>
      <c r="I924" s="14"/>
      <c r="J924" s="14"/>
      <c r="K924" s="12"/>
    </row>
    <row r="925" ht="19.5" customHeight="1">
      <c r="A925" s="12"/>
      <c r="C925" s="12"/>
      <c r="D925" s="13"/>
      <c r="F925" s="14"/>
      <c r="G925" s="14"/>
      <c r="H925" s="14"/>
      <c r="I925" s="14"/>
      <c r="J925" s="14"/>
      <c r="K925" s="12"/>
    </row>
    <row r="926" ht="19.5" customHeight="1">
      <c r="A926" s="12"/>
      <c r="C926" s="12"/>
      <c r="D926" s="13"/>
      <c r="F926" s="14"/>
      <c r="G926" s="14"/>
      <c r="H926" s="14"/>
      <c r="I926" s="14"/>
      <c r="J926" s="14"/>
      <c r="K926" s="12"/>
    </row>
    <row r="927" ht="19.5" customHeight="1">
      <c r="A927" s="12"/>
      <c r="C927" s="12"/>
      <c r="D927" s="13"/>
      <c r="F927" s="14"/>
      <c r="G927" s="14"/>
      <c r="H927" s="14"/>
      <c r="I927" s="14"/>
      <c r="J927" s="14"/>
      <c r="K927" s="12"/>
    </row>
    <row r="928" ht="19.5" customHeight="1">
      <c r="A928" s="12"/>
      <c r="C928" s="12"/>
      <c r="D928" s="13"/>
      <c r="F928" s="14"/>
      <c r="G928" s="14"/>
      <c r="H928" s="14"/>
      <c r="I928" s="14"/>
      <c r="J928" s="14"/>
      <c r="K928" s="12"/>
    </row>
    <row r="929" ht="19.5" customHeight="1">
      <c r="A929" s="12"/>
      <c r="C929" s="12"/>
      <c r="D929" s="13"/>
      <c r="F929" s="14"/>
      <c r="G929" s="14"/>
      <c r="H929" s="14"/>
      <c r="I929" s="14"/>
      <c r="J929" s="14"/>
      <c r="K929" s="12"/>
    </row>
    <row r="930" ht="19.5" customHeight="1">
      <c r="A930" s="12"/>
      <c r="C930" s="12"/>
      <c r="D930" s="13"/>
      <c r="F930" s="14"/>
      <c r="G930" s="14"/>
      <c r="H930" s="14"/>
      <c r="I930" s="14"/>
      <c r="J930" s="14"/>
      <c r="K930" s="12"/>
    </row>
    <row r="931" ht="19.5" customHeight="1">
      <c r="A931" s="12"/>
      <c r="C931" s="12"/>
      <c r="D931" s="13"/>
      <c r="F931" s="14"/>
      <c r="G931" s="14"/>
      <c r="H931" s="14"/>
      <c r="I931" s="14"/>
      <c r="J931" s="14"/>
      <c r="K931" s="12"/>
    </row>
    <row r="932" ht="19.5" customHeight="1">
      <c r="A932" s="12"/>
      <c r="C932" s="12"/>
      <c r="D932" s="13"/>
      <c r="F932" s="14"/>
      <c r="G932" s="14"/>
      <c r="H932" s="14"/>
      <c r="I932" s="14"/>
      <c r="J932" s="14"/>
      <c r="K932" s="12"/>
    </row>
    <row r="933" ht="19.5" customHeight="1">
      <c r="A933" s="12"/>
      <c r="C933" s="12"/>
      <c r="D933" s="13"/>
      <c r="F933" s="14"/>
      <c r="G933" s="14"/>
      <c r="H933" s="14"/>
      <c r="I933" s="14"/>
      <c r="J933" s="14"/>
      <c r="K933" s="12"/>
    </row>
    <row r="934" ht="19.5" customHeight="1">
      <c r="A934" s="12"/>
      <c r="C934" s="12"/>
      <c r="D934" s="13"/>
      <c r="F934" s="14"/>
      <c r="G934" s="14"/>
      <c r="H934" s="14"/>
      <c r="I934" s="14"/>
      <c r="J934" s="14"/>
      <c r="K934" s="12"/>
    </row>
    <row r="935" ht="19.5" customHeight="1">
      <c r="A935" s="12"/>
      <c r="C935" s="12"/>
      <c r="D935" s="13"/>
      <c r="F935" s="14"/>
      <c r="G935" s="14"/>
      <c r="H935" s="14"/>
      <c r="I935" s="14"/>
      <c r="J935" s="14"/>
      <c r="K935" s="12"/>
    </row>
    <row r="936" ht="19.5" customHeight="1">
      <c r="A936" s="12"/>
      <c r="C936" s="12"/>
      <c r="D936" s="13"/>
      <c r="F936" s="14"/>
      <c r="G936" s="14"/>
      <c r="H936" s="14"/>
      <c r="I936" s="14"/>
      <c r="J936" s="14"/>
      <c r="K936" s="12"/>
    </row>
    <row r="937" ht="19.5" customHeight="1">
      <c r="A937" s="12"/>
      <c r="C937" s="12"/>
      <c r="D937" s="13"/>
      <c r="F937" s="14"/>
      <c r="G937" s="14"/>
      <c r="H937" s="14"/>
      <c r="I937" s="14"/>
      <c r="J937" s="14"/>
      <c r="K937" s="12"/>
    </row>
    <row r="938" ht="19.5" customHeight="1">
      <c r="A938" s="12"/>
      <c r="C938" s="12"/>
      <c r="D938" s="13"/>
      <c r="F938" s="14"/>
      <c r="G938" s="14"/>
      <c r="H938" s="14"/>
      <c r="I938" s="14"/>
      <c r="J938" s="14"/>
      <c r="K938" s="12"/>
    </row>
    <row r="939" ht="19.5" customHeight="1">
      <c r="A939" s="12"/>
      <c r="C939" s="12"/>
      <c r="D939" s="13"/>
      <c r="F939" s="14"/>
      <c r="G939" s="14"/>
      <c r="H939" s="14"/>
      <c r="I939" s="14"/>
      <c r="J939" s="14"/>
      <c r="K939" s="12"/>
    </row>
    <row r="940" ht="19.5" customHeight="1">
      <c r="A940" s="12"/>
      <c r="C940" s="12"/>
      <c r="D940" s="13"/>
      <c r="F940" s="14"/>
      <c r="G940" s="14"/>
      <c r="H940" s="14"/>
      <c r="I940" s="14"/>
      <c r="J940" s="14"/>
      <c r="K940" s="12"/>
    </row>
    <row r="941" ht="19.5" customHeight="1">
      <c r="A941" s="12"/>
      <c r="C941" s="12"/>
      <c r="D941" s="13"/>
      <c r="F941" s="14"/>
      <c r="G941" s="14"/>
      <c r="H941" s="14"/>
      <c r="I941" s="14"/>
      <c r="J941" s="14"/>
      <c r="K941" s="12"/>
    </row>
    <row r="942" ht="19.5" customHeight="1">
      <c r="A942" s="12"/>
      <c r="C942" s="12"/>
      <c r="D942" s="13"/>
      <c r="F942" s="14"/>
      <c r="G942" s="14"/>
      <c r="H942" s="14"/>
      <c r="I942" s="14"/>
      <c r="J942" s="14"/>
      <c r="K942" s="12"/>
    </row>
    <row r="943" ht="19.5" customHeight="1">
      <c r="A943" s="12"/>
      <c r="C943" s="12"/>
      <c r="D943" s="13"/>
      <c r="F943" s="14"/>
      <c r="G943" s="14"/>
      <c r="H943" s="14"/>
      <c r="I943" s="14"/>
      <c r="J943" s="14"/>
      <c r="K943" s="12"/>
    </row>
    <row r="944" ht="19.5" customHeight="1">
      <c r="A944" s="12"/>
      <c r="C944" s="12"/>
      <c r="D944" s="13"/>
      <c r="F944" s="14"/>
      <c r="G944" s="14"/>
      <c r="H944" s="14"/>
      <c r="I944" s="14"/>
      <c r="J944" s="14"/>
      <c r="K944" s="12"/>
    </row>
    <row r="945" ht="19.5" customHeight="1">
      <c r="A945" s="12"/>
      <c r="C945" s="12"/>
      <c r="D945" s="13"/>
      <c r="F945" s="14"/>
      <c r="G945" s="14"/>
      <c r="H945" s="14"/>
      <c r="I945" s="14"/>
      <c r="J945" s="14"/>
      <c r="K945" s="12"/>
    </row>
    <row r="946" ht="19.5" customHeight="1">
      <c r="A946" s="12"/>
      <c r="C946" s="12"/>
      <c r="D946" s="13"/>
      <c r="F946" s="14"/>
      <c r="G946" s="14"/>
      <c r="H946" s="14"/>
      <c r="I946" s="14"/>
      <c r="J946" s="14"/>
      <c r="K946" s="12"/>
    </row>
    <row r="947" ht="19.5" customHeight="1">
      <c r="A947" s="12"/>
      <c r="C947" s="12"/>
      <c r="D947" s="13"/>
      <c r="F947" s="14"/>
      <c r="G947" s="14"/>
      <c r="H947" s="14"/>
      <c r="I947" s="14"/>
      <c r="J947" s="14"/>
      <c r="K947" s="12"/>
    </row>
    <row r="948" ht="19.5" customHeight="1">
      <c r="A948" s="12"/>
      <c r="C948" s="12"/>
      <c r="D948" s="13"/>
      <c r="F948" s="14"/>
      <c r="G948" s="14"/>
      <c r="H948" s="14"/>
      <c r="I948" s="14"/>
      <c r="J948" s="14"/>
      <c r="K948" s="12"/>
    </row>
    <row r="949" ht="19.5" customHeight="1">
      <c r="A949" s="12"/>
      <c r="C949" s="12"/>
      <c r="D949" s="13"/>
      <c r="F949" s="14"/>
      <c r="G949" s="14"/>
      <c r="H949" s="14"/>
      <c r="I949" s="14"/>
      <c r="J949" s="14"/>
      <c r="K949" s="12"/>
    </row>
    <row r="950" ht="19.5" customHeight="1">
      <c r="A950" s="12"/>
      <c r="C950" s="12"/>
      <c r="D950" s="13"/>
      <c r="F950" s="14"/>
      <c r="G950" s="14"/>
      <c r="H950" s="14"/>
      <c r="I950" s="14"/>
      <c r="J950" s="14"/>
      <c r="K950" s="12"/>
    </row>
    <row r="951" ht="19.5" customHeight="1">
      <c r="A951" s="12"/>
      <c r="C951" s="12"/>
      <c r="D951" s="13"/>
      <c r="F951" s="14"/>
      <c r="G951" s="14"/>
      <c r="H951" s="14"/>
      <c r="I951" s="14"/>
      <c r="J951" s="14"/>
      <c r="K951" s="12"/>
    </row>
    <row r="952" ht="19.5" customHeight="1">
      <c r="A952" s="12"/>
      <c r="C952" s="12"/>
      <c r="D952" s="13"/>
      <c r="F952" s="14"/>
      <c r="G952" s="14"/>
      <c r="H952" s="14"/>
      <c r="I952" s="14"/>
      <c r="J952" s="14"/>
      <c r="K952" s="12"/>
    </row>
    <row r="953" ht="19.5" customHeight="1">
      <c r="A953" s="12"/>
      <c r="C953" s="12"/>
      <c r="D953" s="13"/>
      <c r="F953" s="14"/>
      <c r="G953" s="14"/>
      <c r="H953" s="14"/>
      <c r="I953" s="14"/>
      <c r="J953" s="14"/>
      <c r="K953" s="12"/>
    </row>
    <row r="954" ht="19.5" customHeight="1">
      <c r="A954" s="12"/>
      <c r="C954" s="12"/>
      <c r="D954" s="13"/>
      <c r="F954" s="14"/>
      <c r="G954" s="14"/>
      <c r="H954" s="14"/>
      <c r="I954" s="14"/>
      <c r="J954" s="14"/>
      <c r="K954" s="12"/>
    </row>
    <row r="955" ht="19.5" customHeight="1">
      <c r="A955" s="12"/>
      <c r="C955" s="12"/>
      <c r="D955" s="13"/>
      <c r="F955" s="14"/>
      <c r="G955" s="14"/>
      <c r="H955" s="14"/>
      <c r="I955" s="14"/>
      <c r="J955" s="14"/>
      <c r="K955" s="12"/>
    </row>
    <row r="956" ht="19.5" customHeight="1">
      <c r="A956" s="12"/>
      <c r="C956" s="12"/>
      <c r="D956" s="13"/>
      <c r="F956" s="14"/>
      <c r="G956" s="14"/>
      <c r="H956" s="14"/>
      <c r="I956" s="14"/>
      <c r="J956" s="14"/>
      <c r="K956" s="12"/>
    </row>
    <row r="957" ht="19.5" customHeight="1">
      <c r="A957" s="12"/>
      <c r="C957" s="12"/>
      <c r="D957" s="13"/>
      <c r="F957" s="14"/>
      <c r="G957" s="14"/>
      <c r="H957" s="14"/>
      <c r="I957" s="14"/>
      <c r="J957" s="14"/>
      <c r="K957" s="12"/>
    </row>
    <row r="958" ht="19.5" customHeight="1">
      <c r="A958" s="12"/>
      <c r="C958" s="12"/>
      <c r="D958" s="13"/>
      <c r="F958" s="14"/>
      <c r="G958" s="14"/>
      <c r="H958" s="14"/>
      <c r="I958" s="14"/>
      <c r="J958" s="14"/>
      <c r="K958" s="12"/>
    </row>
    <row r="959" ht="19.5" customHeight="1">
      <c r="A959" s="12"/>
      <c r="C959" s="12"/>
      <c r="D959" s="13"/>
      <c r="F959" s="14"/>
      <c r="G959" s="14"/>
      <c r="H959" s="14"/>
      <c r="I959" s="14"/>
      <c r="J959" s="14"/>
      <c r="K959" s="12"/>
    </row>
    <row r="960" ht="19.5" customHeight="1">
      <c r="A960" s="12"/>
      <c r="C960" s="12"/>
      <c r="D960" s="13"/>
      <c r="F960" s="14"/>
      <c r="G960" s="14"/>
      <c r="H960" s="14"/>
      <c r="I960" s="14"/>
      <c r="J960" s="14"/>
      <c r="K960" s="12"/>
    </row>
    <row r="961" ht="19.5" customHeight="1">
      <c r="A961" s="12"/>
      <c r="C961" s="12"/>
      <c r="D961" s="13"/>
      <c r="F961" s="14"/>
      <c r="G961" s="14"/>
      <c r="H961" s="14"/>
      <c r="I961" s="14"/>
      <c r="J961" s="14"/>
      <c r="K961" s="12"/>
    </row>
    <row r="962" ht="19.5" customHeight="1">
      <c r="A962" s="12"/>
      <c r="C962" s="12"/>
      <c r="D962" s="13"/>
      <c r="F962" s="14"/>
      <c r="G962" s="14"/>
      <c r="H962" s="14"/>
      <c r="I962" s="14"/>
      <c r="J962" s="14"/>
      <c r="K962" s="12"/>
    </row>
    <row r="963" ht="19.5" customHeight="1">
      <c r="A963" s="12"/>
      <c r="C963" s="12"/>
      <c r="D963" s="13"/>
      <c r="F963" s="14"/>
      <c r="G963" s="14"/>
      <c r="H963" s="14"/>
      <c r="I963" s="14"/>
      <c r="J963" s="14"/>
      <c r="K963" s="12"/>
    </row>
    <row r="964" ht="19.5" customHeight="1">
      <c r="A964" s="12"/>
      <c r="C964" s="12"/>
      <c r="D964" s="13"/>
      <c r="F964" s="14"/>
      <c r="G964" s="14"/>
      <c r="H964" s="14"/>
      <c r="I964" s="14"/>
      <c r="J964" s="14"/>
      <c r="K964" s="12"/>
    </row>
    <row r="965" ht="19.5" customHeight="1">
      <c r="A965" s="12"/>
      <c r="C965" s="12"/>
      <c r="D965" s="13"/>
      <c r="F965" s="14"/>
      <c r="G965" s="14"/>
      <c r="H965" s="14"/>
      <c r="I965" s="14"/>
      <c r="J965" s="14"/>
      <c r="K965" s="12"/>
    </row>
    <row r="966" ht="19.5" customHeight="1">
      <c r="A966" s="12"/>
      <c r="C966" s="12"/>
      <c r="D966" s="13"/>
      <c r="F966" s="14"/>
      <c r="G966" s="14"/>
      <c r="H966" s="14"/>
      <c r="I966" s="14"/>
      <c r="J966" s="14"/>
      <c r="K966" s="12"/>
    </row>
    <row r="967" ht="19.5" customHeight="1">
      <c r="A967" s="12"/>
      <c r="C967" s="12"/>
      <c r="D967" s="13"/>
      <c r="F967" s="14"/>
      <c r="G967" s="14"/>
      <c r="H967" s="14"/>
      <c r="I967" s="14"/>
      <c r="J967" s="14"/>
      <c r="K967" s="12"/>
    </row>
    <row r="968" ht="19.5" customHeight="1">
      <c r="A968" s="12"/>
      <c r="C968" s="12"/>
      <c r="D968" s="13"/>
      <c r="F968" s="14"/>
      <c r="G968" s="14"/>
      <c r="H968" s="14"/>
      <c r="I968" s="14"/>
      <c r="J968" s="14"/>
      <c r="K968" s="12"/>
    </row>
    <row r="969" ht="19.5" customHeight="1">
      <c r="A969" s="12"/>
      <c r="C969" s="12"/>
      <c r="D969" s="13"/>
      <c r="F969" s="14"/>
      <c r="G969" s="14"/>
      <c r="H969" s="14"/>
      <c r="I969" s="14"/>
      <c r="J969" s="14"/>
      <c r="K969" s="12"/>
    </row>
    <row r="970" ht="19.5" customHeight="1">
      <c r="A970" s="12"/>
      <c r="C970" s="12"/>
      <c r="D970" s="13"/>
      <c r="F970" s="14"/>
      <c r="G970" s="14"/>
      <c r="H970" s="14"/>
      <c r="I970" s="14"/>
      <c r="J970" s="14"/>
      <c r="K970" s="12"/>
    </row>
    <row r="971" ht="19.5" customHeight="1">
      <c r="A971" s="12"/>
      <c r="C971" s="12"/>
      <c r="D971" s="13"/>
      <c r="F971" s="14"/>
      <c r="G971" s="14"/>
      <c r="H971" s="14"/>
      <c r="I971" s="14"/>
      <c r="J971" s="14"/>
      <c r="K971" s="12"/>
    </row>
    <row r="972" ht="19.5" customHeight="1">
      <c r="A972" s="12"/>
      <c r="C972" s="12"/>
      <c r="D972" s="13"/>
      <c r="F972" s="14"/>
      <c r="G972" s="14"/>
      <c r="H972" s="14"/>
      <c r="I972" s="14"/>
      <c r="J972" s="14"/>
      <c r="K972" s="12"/>
    </row>
    <row r="973" ht="19.5" customHeight="1">
      <c r="A973" s="12"/>
      <c r="C973" s="12"/>
      <c r="D973" s="13"/>
      <c r="F973" s="14"/>
      <c r="G973" s="14"/>
      <c r="H973" s="14"/>
      <c r="I973" s="14"/>
      <c r="J973" s="14"/>
      <c r="K973" s="12"/>
    </row>
    <row r="974" ht="19.5" customHeight="1">
      <c r="A974" s="12"/>
      <c r="C974" s="12"/>
      <c r="D974" s="13"/>
      <c r="F974" s="14"/>
      <c r="G974" s="14"/>
      <c r="H974" s="14"/>
      <c r="I974" s="14"/>
      <c r="J974" s="14"/>
      <c r="K974" s="12"/>
    </row>
    <row r="975" ht="19.5" customHeight="1">
      <c r="A975" s="12"/>
      <c r="C975" s="12"/>
      <c r="D975" s="13"/>
      <c r="F975" s="14"/>
      <c r="G975" s="14"/>
      <c r="H975" s="14"/>
      <c r="I975" s="14"/>
      <c r="J975" s="14"/>
      <c r="K975" s="12"/>
    </row>
    <row r="976" ht="19.5" customHeight="1">
      <c r="A976" s="12"/>
      <c r="C976" s="12"/>
      <c r="D976" s="13"/>
      <c r="F976" s="14"/>
      <c r="G976" s="14"/>
      <c r="H976" s="14"/>
      <c r="I976" s="14"/>
      <c r="J976" s="14"/>
      <c r="K976" s="12"/>
    </row>
    <row r="977" ht="19.5" customHeight="1">
      <c r="A977" s="12"/>
      <c r="C977" s="12"/>
      <c r="D977" s="13"/>
      <c r="F977" s="14"/>
      <c r="G977" s="14"/>
      <c r="H977" s="14"/>
      <c r="I977" s="14"/>
      <c r="J977" s="14"/>
      <c r="K977" s="12"/>
    </row>
    <row r="978" ht="19.5" customHeight="1">
      <c r="A978" s="12"/>
      <c r="C978" s="12"/>
      <c r="D978" s="13"/>
      <c r="F978" s="14"/>
      <c r="G978" s="14"/>
      <c r="H978" s="14"/>
      <c r="I978" s="14"/>
      <c r="J978" s="14"/>
      <c r="K978" s="12"/>
    </row>
    <row r="979" ht="19.5" customHeight="1">
      <c r="A979" s="12"/>
      <c r="C979" s="12"/>
      <c r="D979" s="13"/>
      <c r="F979" s="14"/>
      <c r="G979" s="14"/>
      <c r="H979" s="14"/>
      <c r="I979" s="14"/>
      <c r="J979" s="14"/>
      <c r="K979" s="12"/>
    </row>
    <row r="980" ht="19.5" customHeight="1">
      <c r="A980" s="12"/>
      <c r="C980" s="12"/>
      <c r="D980" s="13"/>
      <c r="F980" s="14"/>
      <c r="G980" s="14"/>
      <c r="H980" s="14"/>
      <c r="I980" s="14"/>
      <c r="J980" s="14"/>
      <c r="K980" s="12"/>
    </row>
    <row r="981" ht="19.5" customHeight="1">
      <c r="A981" s="12"/>
      <c r="C981" s="12"/>
      <c r="D981" s="13"/>
      <c r="F981" s="14"/>
      <c r="G981" s="14"/>
      <c r="H981" s="14"/>
      <c r="I981" s="14"/>
      <c r="J981" s="14"/>
      <c r="K981" s="12"/>
    </row>
    <row r="982" ht="19.5" customHeight="1">
      <c r="A982" s="12"/>
      <c r="C982" s="12"/>
      <c r="D982" s="13"/>
      <c r="F982" s="14"/>
      <c r="G982" s="14"/>
      <c r="H982" s="14"/>
      <c r="I982" s="14"/>
      <c r="J982" s="14"/>
      <c r="K982" s="12"/>
    </row>
    <row r="983" ht="19.5" customHeight="1">
      <c r="A983" s="12"/>
      <c r="C983" s="12"/>
      <c r="D983" s="13"/>
      <c r="F983" s="14"/>
      <c r="G983" s="14"/>
      <c r="H983" s="14"/>
      <c r="I983" s="14"/>
      <c r="J983" s="14"/>
      <c r="K983" s="12"/>
    </row>
    <row r="984" ht="19.5" customHeight="1">
      <c r="A984" s="12"/>
      <c r="C984" s="12"/>
      <c r="D984" s="13"/>
      <c r="F984" s="14"/>
      <c r="G984" s="14"/>
      <c r="H984" s="14"/>
      <c r="I984" s="14"/>
      <c r="J984" s="14"/>
      <c r="K984" s="12"/>
    </row>
    <row r="985" ht="19.5" customHeight="1">
      <c r="A985" s="12"/>
      <c r="C985" s="12"/>
      <c r="D985" s="13"/>
      <c r="F985" s="14"/>
      <c r="G985" s="14"/>
      <c r="H985" s="14"/>
      <c r="I985" s="14"/>
      <c r="J985" s="14"/>
      <c r="K985" s="12"/>
    </row>
    <row r="986" ht="19.5" customHeight="1">
      <c r="A986" s="12"/>
      <c r="C986" s="12"/>
      <c r="D986" s="13"/>
      <c r="F986" s="14"/>
      <c r="G986" s="14"/>
      <c r="H986" s="14"/>
      <c r="I986" s="14"/>
      <c r="J986" s="14"/>
      <c r="K986" s="12"/>
    </row>
    <row r="987" ht="19.5" customHeight="1">
      <c r="A987" s="12"/>
      <c r="C987" s="12"/>
      <c r="D987" s="13"/>
      <c r="F987" s="14"/>
      <c r="G987" s="14"/>
      <c r="H987" s="14"/>
      <c r="I987" s="14"/>
      <c r="J987" s="14"/>
      <c r="K987" s="12"/>
    </row>
    <row r="988" ht="19.5" customHeight="1">
      <c r="A988" s="12"/>
      <c r="C988" s="12"/>
      <c r="D988" s="13"/>
      <c r="F988" s="14"/>
      <c r="G988" s="14"/>
      <c r="H988" s="14"/>
      <c r="I988" s="14"/>
      <c r="J988" s="14"/>
      <c r="K988" s="12"/>
    </row>
    <row r="989" ht="19.5" customHeight="1">
      <c r="A989" s="12"/>
      <c r="C989" s="12"/>
      <c r="D989" s="13"/>
      <c r="F989" s="14"/>
      <c r="G989" s="14"/>
      <c r="H989" s="14"/>
      <c r="I989" s="14"/>
      <c r="J989" s="14"/>
      <c r="K989" s="12"/>
    </row>
    <row r="990" ht="19.5" customHeight="1">
      <c r="A990" s="12"/>
      <c r="C990" s="12"/>
      <c r="D990" s="13"/>
      <c r="F990" s="14"/>
      <c r="G990" s="14"/>
      <c r="H990" s="14"/>
      <c r="I990" s="14"/>
      <c r="J990" s="14"/>
      <c r="K990" s="12"/>
    </row>
    <row r="991" ht="19.5" customHeight="1">
      <c r="A991" s="12"/>
      <c r="C991" s="12"/>
      <c r="D991" s="13"/>
      <c r="F991" s="14"/>
      <c r="G991" s="14"/>
      <c r="H991" s="14"/>
      <c r="I991" s="14"/>
      <c r="J991" s="14"/>
      <c r="K991" s="12"/>
    </row>
    <row r="992" ht="19.5" customHeight="1">
      <c r="A992" s="12"/>
      <c r="C992" s="12"/>
      <c r="D992" s="13"/>
      <c r="F992" s="14"/>
      <c r="G992" s="14"/>
      <c r="H992" s="14"/>
      <c r="I992" s="14"/>
      <c r="J992" s="14"/>
      <c r="K992" s="12"/>
    </row>
    <row r="993" ht="19.5" customHeight="1">
      <c r="A993" s="12"/>
      <c r="C993" s="12"/>
      <c r="D993" s="13"/>
      <c r="F993" s="14"/>
      <c r="G993" s="14"/>
      <c r="H993" s="14"/>
      <c r="I993" s="14"/>
      <c r="J993" s="14"/>
      <c r="K993" s="12"/>
    </row>
    <row r="994" ht="19.5" customHeight="1">
      <c r="A994" s="12"/>
      <c r="C994" s="12"/>
      <c r="D994" s="13"/>
      <c r="F994" s="14"/>
      <c r="G994" s="14"/>
      <c r="H994" s="14"/>
      <c r="I994" s="14"/>
      <c r="J994" s="14"/>
      <c r="K994" s="12"/>
    </row>
    <row r="995" ht="19.5" customHeight="1">
      <c r="A995" s="12"/>
      <c r="C995" s="12"/>
      <c r="D995" s="13"/>
      <c r="F995" s="14"/>
      <c r="G995" s="14"/>
      <c r="H995" s="14"/>
      <c r="I995" s="14"/>
      <c r="J995" s="14"/>
      <c r="K995" s="12"/>
    </row>
    <row r="996" ht="19.5" customHeight="1">
      <c r="A996" s="12"/>
      <c r="C996" s="12"/>
      <c r="D996" s="13"/>
      <c r="F996" s="14"/>
      <c r="G996" s="14"/>
      <c r="H996" s="14"/>
      <c r="I996" s="14"/>
      <c r="J996" s="14"/>
      <c r="K996" s="12"/>
    </row>
    <row r="997" ht="19.5" customHeight="1">
      <c r="A997" s="12"/>
      <c r="C997" s="12"/>
      <c r="D997" s="13"/>
      <c r="F997" s="14"/>
      <c r="G997" s="14"/>
      <c r="H997" s="14"/>
      <c r="I997" s="14"/>
      <c r="J997" s="14"/>
      <c r="K997" s="12"/>
    </row>
    <row r="998" ht="19.5" customHeight="1">
      <c r="A998" s="12"/>
      <c r="C998" s="12"/>
      <c r="D998" s="13"/>
      <c r="F998" s="14"/>
      <c r="G998" s="14"/>
      <c r="H998" s="14"/>
      <c r="I998" s="14"/>
      <c r="J998" s="14"/>
      <c r="K998" s="12"/>
    </row>
    <row r="999" ht="19.5" customHeight="1">
      <c r="A999" s="12"/>
      <c r="C999" s="12"/>
      <c r="D999" s="13"/>
      <c r="F999" s="14"/>
      <c r="G999" s="14"/>
      <c r="H999" s="14"/>
      <c r="I999" s="14"/>
      <c r="J999" s="14"/>
      <c r="K999" s="12"/>
    </row>
    <row r="1000" ht="19.5" customHeight="1">
      <c r="A1000" s="12"/>
      <c r="C1000" s="12"/>
      <c r="D1000" s="13"/>
      <c r="F1000" s="14"/>
      <c r="G1000" s="14"/>
      <c r="H1000" s="14"/>
      <c r="I1000" s="14"/>
      <c r="J1000" s="14"/>
      <c r="K1000" s="12"/>
    </row>
  </sheetData>
  <mergeCells count="12">
    <mergeCell ref="E9:G9"/>
    <mergeCell ref="J9:J10"/>
    <mergeCell ref="J15:J16"/>
    <mergeCell ref="J36:J37"/>
    <mergeCell ref="A6:K6"/>
    <mergeCell ref="A7:K7"/>
    <mergeCell ref="A8:K8"/>
    <mergeCell ref="A9:A10"/>
    <mergeCell ref="B9:B10"/>
    <mergeCell ref="C9:C10"/>
    <mergeCell ref="D9:D10"/>
    <mergeCell ref="K9:K10"/>
  </mergeCells>
  <printOptions/>
  <pageMargins bottom="0.787401575" footer="0.0" header="0.0" left="0.511811024" right="0.511811024" top="0.7874015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37.63"/>
    <col customWidth="1" min="3" max="3" width="9.13"/>
    <col customWidth="1" min="4" max="4" width="16.25"/>
    <col customWidth="1" min="5" max="5" width="15.63"/>
    <col customWidth="1" min="6" max="6" width="22.25"/>
    <col customWidth="1" min="7" max="8" width="23.88"/>
    <col customWidth="1" min="9" max="9" width="18.75"/>
    <col customWidth="1" min="10" max="10" width="16.25"/>
    <col customWidth="1" min="11" max="11" width="28.38"/>
    <col customWidth="1" min="12" max="26" width="8.63"/>
  </cols>
  <sheetData>
    <row r="1" ht="19.5" customHeight="1">
      <c r="A1" s="4"/>
      <c r="B1" s="5"/>
      <c r="C1" s="6"/>
      <c r="D1" s="7"/>
      <c r="E1" s="5"/>
      <c r="F1" s="8"/>
      <c r="G1" s="8"/>
      <c r="H1" s="8"/>
      <c r="I1" s="8"/>
      <c r="J1" s="8"/>
      <c r="K1" s="9"/>
    </row>
    <row r="2" ht="19.5" customHeight="1">
      <c r="A2" s="10" t="s">
        <v>83</v>
      </c>
      <c r="B2" s="11" t="s">
        <v>84</v>
      </c>
      <c r="C2" s="12"/>
      <c r="D2" s="13"/>
      <c r="F2" s="14"/>
      <c r="G2" s="14"/>
      <c r="H2" s="14"/>
      <c r="I2" s="14"/>
      <c r="J2" s="17" t="s">
        <v>144</v>
      </c>
      <c r="K2" s="18"/>
    </row>
    <row r="3" ht="19.5" customHeight="1">
      <c r="A3" s="10" t="s">
        <v>86</v>
      </c>
      <c r="B3" s="11" t="s">
        <v>87</v>
      </c>
      <c r="C3" s="12"/>
      <c r="D3" s="13"/>
      <c r="F3" s="14"/>
      <c r="G3" s="14"/>
      <c r="H3" s="14"/>
      <c r="I3" s="14"/>
      <c r="J3" s="14"/>
      <c r="K3" s="18"/>
    </row>
    <row r="4" ht="19.5" customHeight="1">
      <c r="A4" s="19"/>
      <c r="C4" s="12"/>
      <c r="D4" s="13"/>
      <c r="F4" s="14"/>
      <c r="G4" s="14"/>
      <c r="H4" s="14"/>
      <c r="I4" s="14"/>
      <c r="J4" s="14"/>
      <c r="K4" s="18"/>
    </row>
    <row r="5" ht="19.5" customHeight="1">
      <c r="A5" s="19"/>
      <c r="C5" s="12"/>
      <c r="D5" s="13"/>
      <c r="F5" s="14"/>
      <c r="G5" s="14"/>
      <c r="H5" s="14"/>
      <c r="I5" s="14"/>
      <c r="J5" s="14"/>
      <c r="K5" s="18"/>
    </row>
    <row r="6" ht="159.0" customHeight="1">
      <c r="A6" s="20" t="s">
        <v>145</v>
      </c>
      <c r="K6" s="21"/>
    </row>
    <row r="7" ht="64.5" customHeight="1">
      <c r="A7" s="22" t="s">
        <v>146</v>
      </c>
      <c r="K7" s="21"/>
    </row>
    <row r="8" ht="19.5" customHeight="1">
      <c r="A8" s="23" t="s">
        <v>90</v>
      </c>
      <c r="B8" s="24"/>
      <c r="C8" s="24"/>
      <c r="D8" s="24"/>
      <c r="E8" s="24"/>
      <c r="F8" s="24"/>
      <c r="G8" s="24"/>
      <c r="H8" s="24"/>
      <c r="I8" s="24"/>
      <c r="J8" s="24"/>
      <c r="K8" s="25"/>
    </row>
    <row r="9" ht="19.5" customHeight="1">
      <c r="A9" s="26" t="s">
        <v>1</v>
      </c>
      <c r="B9" s="26" t="s">
        <v>91</v>
      </c>
      <c r="C9" s="26" t="s">
        <v>92</v>
      </c>
      <c r="D9" s="26" t="s">
        <v>93</v>
      </c>
      <c r="E9" s="27" t="s">
        <v>94</v>
      </c>
      <c r="F9" s="28"/>
      <c r="G9" s="29"/>
      <c r="H9" s="30"/>
      <c r="I9" s="30"/>
      <c r="J9" s="31" t="s">
        <v>95</v>
      </c>
      <c r="K9" s="26" t="s">
        <v>96</v>
      </c>
    </row>
    <row r="10" ht="19.5" customHeight="1">
      <c r="A10" s="32"/>
      <c r="B10" s="32"/>
      <c r="C10" s="32"/>
      <c r="D10" s="32"/>
      <c r="E10" s="33" t="s">
        <v>97</v>
      </c>
      <c r="F10" s="34" t="s">
        <v>121</v>
      </c>
      <c r="G10" s="34" t="s">
        <v>99</v>
      </c>
      <c r="H10" s="35" t="s">
        <v>100</v>
      </c>
      <c r="I10" s="35" t="s">
        <v>101</v>
      </c>
      <c r="J10" s="32"/>
      <c r="K10" s="32"/>
    </row>
    <row r="11" ht="19.5" customHeight="1">
      <c r="A11" s="36">
        <v>36893.0</v>
      </c>
      <c r="B11" s="37" t="s">
        <v>147</v>
      </c>
      <c r="C11" s="46" t="s">
        <v>148</v>
      </c>
      <c r="D11" s="39">
        <v>1.0</v>
      </c>
      <c r="E11" s="49">
        <v>0.4</v>
      </c>
      <c r="F11" s="73">
        <v>842.0</v>
      </c>
      <c r="G11" s="41">
        <v>0.3</v>
      </c>
      <c r="H11" s="40">
        <f>G11*F11*E11*D11</f>
        <v>101.04</v>
      </c>
      <c r="I11" s="42"/>
      <c r="J11" s="43">
        <f>H11-I11</f>
        <v>101.04</v>
      </c>
      <c r="K11" s="46"/>
    </row>
    <row r="12" ht="19.5" customHeight="1">
      <c r="A12" s="74" t="s">
        <v>1</v>
      </c>
      <c r="B12" s="74" t="s">
        <v>91</v>
      </c>
      <c r="C12" s="74" t="s">
        <v>92</v>
      </c>
      <c r="D12" s="74" t="s">
        <v>93</v>
      </c>
      <c r="E12" s="50" t="s">
        <v>97</v>
      </c>
      <c r="F12" s="53" t="s">
        <v>121</v>
      </c>
      <c r="G12" s="53" t="s">
        <v>99</v>
      </c>
      <c r="H12" s="75" t="s">
        <v>100</v>
      </c>
      <c r="I12" s="75" t="s">
        <v>101</v>
      </c>
      <c r="J12" s="76" t="s">
        <v>95</v>
      </c>
      <c r="K12" s="74" t="s">
        <v>96</v>
      </c>
    </row>
    <row r="13" ht="19.5" customHeight="1">
      <c r="A13" s="36">
        <v>37623.0</v>
      </c>
      <c r="B13" s="49" t="s">
        <v>149</v>
      </c>
      <c r="C13" s="38" t="s">
        <v>103</v>
      </c>
      <c r="D13" s="39">
        <v>1.0</v>
      </c>
      <c r="E13" s="37"/>
      <c r="F13" s="40">
        <f>F11</f>
        <v>842</v>
      </c>
      <c r="G13" s="41">
        <v>0.3</v>
      </c>
      <c r="H13" s="40">
        <f>G13*F13*D13</f>
        <v>252.6</v>
      </c>
      <c r="I13" s="42"/>
      <c r="J13" s="77"/>
      <c r="K13" s="46"/>
    </row>
    <row r="14" ht="19.5" customHeight="1">
      <c r="A14" s="46"/>
      <c r="B14" s="37"/>
      <c r="C14" s="46"/>
      <c r="D14" s="78"/>
      <c r="E14" s="37"/>
      <c r="F14" s="40"/>
      <c r="G14" s="40"/>
      <c r="H14" s="40"/>
      <c r="I14" s="42"/>
      <c r="J14" s="43">
        <f>SUM(H13:H14)</f>
        <v>252.6</v>
      </c>
      <c r="K14" s="79"/>
    </row>
    <row r="15" ht="19.5" customHeight="1">
      <c r="A15" s="74" t="s">
        <v>1</v>
      </c>
      <c r="B15" s="74" t="s">
        <v>91</v>
      </c>
      <c r="C15" s="74" t="s">
        <v>92</v>
      </c>
      <c r="D15" s="74" t="s">
        <v>93</v>
      </c>
      <c r="E15" s="50" t="s">
        <v>97</v>
      </c>
      <c r="F15" s="53" t="s">
        <v>121</v>
      </c>
      <c r="G15" s="53" t="s">
        <v>99</v>
      </c>
      <c r="H15" s="75" t="s">
        <v>100</v>
      </c>
      <c r="I15" s="75" t="s">
        <v>101</v>
      </c>
      <c r="J15" s="76" t="s">
        <v>95</v>
      </c>
      <c r="K15" s="74" t="s">
        <v>96</v>
      </c>
    </row>
    <row r="16" ht="19.5" customHeight="1">
      <c r="A16" s="36">
        <v>37258.0</v>
      </c>
      <c r="B16" s="49" t="s">
        <v>150</v>
      </c>
      <c r="C16" s="38" t="s">
        <v>108</v>
      </c>
      <c r="D16" s="39">
        <v>1.0</v>
      </c>
      <c r="E16" s="37"/>
      <c r="F16" s="40">
        <f>F11</f>
        <v>842</v>
      </c>
      <c r="G16" s="40"/>
      <c r="H16" s="40">
        <f>F16*D16</f>
        <v>842</v>
      </c>
      <c r="I16" s="42"/>
      <c r="J16" s="77"/>
      <c r="K16" s="46"/>
    </row>
    <row r="17" ht="19.5" customHeight="1">
      <c r="A17" s="46"/>
      <c r="B17" s="37"/>
      <c r="C17" s="46"/>
      <c r="D17" s="78"/>
      <c r="E17" s="37"/>
      <c r="F17" s="40"/>
      <c r="G17" s="40"/>
      <c r="H17" s="40"/>
      <c r="I17" s="42"/>
      <c r="J17" s="43">
        <f>SUM(H16:H17)</f>
        <v>842</v>
      </c>
      <c r="K17" s="79"/>
    </row>
    <row r="18" ht="19.5" customHeight="1">
      <c r="A18" s="74" t="s">
        <v>1</v>
      </c>
      <c r="B18" s="74" t="s">
        <v>91</v>
      </c>
      <c r="C18" s="74" t="s">
        <v>92</v>
      </c>
      <c r="D18" s="74" t="s">
        <v>93</v>
      </c>
      <c r="E18" s="50" t="s">
        <v>97</v>
      </c>
      <c r="F18" s="53" t="s">
        <v>121</v>
      </c>
      <c r="G18" s="53" t="s">
        <v>99</v>
      </c>
      <c r="H18" s="75" t="s">
        <v>100</v>
      </c>
      <c r="I18" s="75" t="s">
        <v>101</v>
      </c>
      <c r="J18" s="76" t="s">
        <v>95</v>
      </c>
      <c r="K18" s="74" t="s">
        <v>96</v>
      </c>
    </row>
    <row r="19" ht="19.5" customHeight="1">
      <c r="A19" s="36">
        <v>37988.0</v>
      </c>
      <c r="B19" s="49" t="s">
        <v>151</v>
      </c>
      <c r="C19" s="46" t="s">
        <v>148</v>
      </c>
      <c r="D19" s="78">
        <v>1.0</v>
      </c>
      <c r="E19" s="49">
        <v>0.4</v>
      </c>
      <c r="F19" s="78">
        <f>F11</f>
        <v>842</v>
      </c>
      <c r="G19" s="41">
        <v>0.3</v>
      </c>
      <c r="H19" s="40">
        <f>G19*F19*E19*D19</f>
        <v>101.04</v>
      </c>
      <c r="I19" s="14"/>
      <c r="J19" s="40"/>
      <c r="K19" s="46"/>
    </row>
    <row r="20" ht="19.5" customHeight="1">
      <c r="A20" s="46"/>
      <c r="B20" s="37"/>
      <c r="C20" s="46"/>
      <c r="D20" s="78"/>
      <c r="E20" s="37"/>
      <c r="F20" s="78"/>
      <c r="G20" s="40"/>
      <c r="H20" s="40"/>
      <c r="I20" s="42"/>
      <c r="J20" s="43">
        <f>SUM(H19:H20)</f>
        <v>101.04</v>
      </c>
      <c r="K20" s="46"/>
    </row>
    <row r="21" ht="19.5" customHeight="1">
      <c r="A21" s="74" t="s">
        <v>1</v>
      </c>
      <c r="B21" s="74" t="s">
        <v>91</v>
      </c>
      <c r="C21" s="74" t="s">
        <v>92</v>
      </c>
      <c r="D21" s="74" t="s">
        <v>93</v>
      </c>
      <c r="E21" s="50" t="s">
        <v>97</v>
      </c>
      <c r="F21" s="53" t="s">
        <v>121</v>
      </c>
      <c r="G21" s="53" t="s">
        <v>99</v>
      </c>
      <c r="H21" s="75" t="s">
        <v>100</v>
      </c>
      <c r="I21" s="75" t="s">
        <v>101</v>
      </c>
      <c r="J21" s="76" t="s">
        <v>95</v>
      </c>
      <c r="K21" s="74" t="s">
        <v>96</v>
      </c>
    </row>
    <row r="22" ht="19.5" customHeight="1">
      <c r="A22" s="36">
        <v>38354.0</v>
      </c>
      <c r="B22" s="49" t="s">
        <v>152</v>
      </c>
      <c r="C22" s="38" t="s">
        <v>108</v>
      </c>
      <c r="D22" s="39">
        <v>2.0</v>
      </c>
      <c r="E22" s="37"/>
      <c r="F22" s="78">
        <f>F11</f>
        <v>842</v>
      </c>
      <c r="G22" s="40"/>
      <c r="H22" s="40">
        <f>D22*F22</f>
        <v>1684</v>
      </c>
      <c r="I22" s="42"/>
      <c r="J22" s="43">
        <f>H22</f>
        <v>1684</v>
      </c>
      <c r="K22" s="46"/>
    </row>
    <row r="23" ht="19.5" customHeight="1">
      <c r="A23" s="74" t="s">
        <v>1</v>
      </c>
      <c r="B23" s="74" t="s">
        <v>91</v>
      </c>
      <c r="C23" s="74" t="s">
        <v>92</v>
      </c>
      <c r="D23" s="74" t="s">
        <v>93</v>
      </c>
      <c r="E23" s="50" t="s">
        <v>97</v>
      </c>
      <c r="F23" s="53" t="s">
        <v>121</v>
      </c>
      <c r="G23" s="53" t="s">
        <v>99</v>
      </c>
      <c r="H23" s="75" t="s">
        <v>100</v>
      </c>
      <c r="I23" s="75" t="s">
        <v>101</v>
      </c>
      <c r="J23" s="76" t="s">
        <v>95</v>
      </c>
      <c r="K23" s="74" t="s">
        <v>96</v>
      </c>
    </row>
    <row r="24" ht="19.5" customHeight="1">
      <c r="A24" s="36">
        <v>36924.0</v>
      </c>
      <c r="B24" s="49" t="s">
        <v>153</v>
      </c>
      <c r="C24" s="38" t="s">
        <v>103</v>
      </c>
      <c r="D24" s="80">
        <f>52*6</f>
        <v>312</v>
      </c>
      <c r="E24" s="49">
        <v>2.0</v>
      </c>
      <c r="F24" s="39">
        <v>0.4</v>
      </c>
      <c r="G24" s="40"/>
      <c r="H24" s="40">
        <f t="shared" ref="H24:H25" si="1">F24*E24*D24</f>
        <v>249.6</v>
      </c>
      <c r="I24" s="42"/>
      <c r="J24" s="43">
        <f>H24</f>
        <v>249.6</v>
      </c>
      <c r="K24" s="46"/>
    </row>
    <row r="25" ht="19.5" customHeight="1">
      <c r="A25" s="36">
        <v>37289.0</v>
      </c>
      <c r="B25" s="49" t="s">
        <v>154</v>
      </c>
      <c r="C25" s="38" t="s">
        <v>103</v>
      </c>
      <c r="D25" s="78">
        <v>1.0</v>
      </c>
      <c r="E25" s="49">
        <v>2.0</v>
      </c>
      <c r="F25" s="78">
        <f>F11</f>
        <v>842</v>
      </c>
      <c r="G25" s="40"/>
      <c r="H25" s="40">
        <f t="shared" si="1"/>
        <v>1684</v>
      </c>
      <c r="I25" s="42">
        <f>H24</f>
        <v>249.6</v>
      </c>
      <c r="J25" s="43">
        <f>H25-I25</f>
        <v>1434.4</v>
      </c>
      <c r="K25" s="46"/>
    </row>
    <row r="26" ht="19.5" customHeight="1">
      <c r="A26" s="74" t="s">
        <v>1</v>
      </c>
      <c r="B26" s="74" t="s">
        <v>91</v>
      </c>
      <c r="C26" s="74" t="s">
        <v>92</v>
      </c>
      <c r="D26" s="74" t="s">
        <v>93</v>
      </c>
      <c r="E26" s="51" t="s">
        <v>155</v>
      </c>
      <c r="F26" s="53" t="s">
        <v>121</v>
      </c>
      <c r="G26" s="52" t="s">
        <v>156</v>
      </c>
      <c r="H26" s="75" t="s">
        <v>100</v>
      </c>
      <c r="I26" s="75" t="s">
        <v>101</v>
      </c>
      <c r="J26" s="76" t="s">
        <v>95</v>
      </c>
      <c r="K26" s="74" t="s">
        <v>96</v>
      </c>
    </row>
    <row r="27" ht="19.5" customHeight="1">
      <c r="A27" s="36">
        <v>37654.0</v>
      </c>
      <c r="B27" s="49" t="s">
        <v>157</v>
      </c>
      <c r="C27" s="46" t="s">
        <v>158</v>
      </c>
      <c r="D27" s="39">
        <f>D24</f>
        <v>312</v>
      </c>
      <c r="E27" s="49">
        <v>1.0</v>
      </c>
      <c r="F27" s="40">
        <f>2.4*4</f>
        <v>9.6</v>
      </c>
      <c r="G27" s="81">
        <v>0.395</v>
      </c>
      <c r="H27" s="40">
        <f>F27*G27*D27*E27</f>
        <v>1183.104</v>
      </c>
      <c r="I27" s="82"/>
      <c r="J27" s="43">
        <f>H27-I27</f>
        <v>1183.104</v>
      </c>
      <c r="K27" s="83" t="s">
        <v>159</v>
      </c>
    </row>
    <row r="28" ht="19.5" customHeight="1">
      <c r="A28" s="74" t="s">
        <v>1</v>
      </c>
      <c r="B28" s="74" t="s">
        <v>91</v>
      </c>
      <c r="C28" s="74" t="s">
        <v>92</v>
      </c>
      <c r="D28" s="74" t="s">
        <v>93</v>
      </c>
      <c r="E28" s="50" t="s">
        <v>97</v>
      </c>
      <c r="F28" s="53" t="s">
        <v>121</v>
      </c>
      <c r="G28" s="53" t="s">
        <v>99</v>
      </c>
      <c r="H28" s="75" t="s">
        <v>100</v>
      </c>
      <c r="I28" s="75" t="s">
        <v>101</v>
      </c>
      <c r="J28" s="76" t="s">
        <v>95</v>
      </c>
      <c r="K28" s="74" t="s">
        <v>96</v>
      </c>
    </row>
    <row r="29" ht="19.5" customHeight="1">
      <c r="A29" s="36">
        <v>38019.0</v>
      </c>
      <c r="B29" s="49" t="s">
        <v>160</v>
      </c>
      <c r="C29" s="38" t="s">
        <v>148</v>
      </c>
      <c r="D29" s="39">
        <v>312.0</v>
      </c>
      <c r="E29" s="49">
        <v>2.4</v>
      </c>
      <c r="F29" s="41">
        <v>0.17</v>
      </c>
      <c r="G29" s="41">
        <v>0.12</v>
      </c>
      <c r="H29" s="40">
        <f>E29*F29*G29*D29</f>
        <v>15.27552</v>
      </c>
      <c r="I29" s="42"/>
      <c r="J29" s="43">
        <f>H29</f>
        <v>15.27552</v>
      </c>
      <c r="K29" s="84"/>
    </row>
    <row r="30" ht="19.5" customHeight="1">
      <c r="A30" s="74" t="s">
        <v>1</v>
      </c>
      <c r="B30" s="74" t="s">
        <v>91</v>
      </c>
      <c r="C30" s="74" t="s">
        <v>92</v>
      </c>
      <c r="D30" s="74" t="s">
        <v>93</v>
      </c>
      <c r="E30" s="50" t="s">
        <v>161</v>
      </c>
      <c r="F30" s="53" t="s">
        <v>121</v>
      </c>
      <c r="G30" s="53" t="s">
        <v>99</v>
      </c>
      <c r="H30" s="75" t="s">
        <v>100</v>
      </c>
      <c r="I30" s="75" t="s">
        <v>101</v>
      </c>
      <c r="J30" s="76" t="s">
        <v>95</v>
      </c>
      <c r="K30" s="74" t="s">
        <v>96</v>
      </c>
    </row>
    <row r="31" ht="19.5" customHeight="1">
      <c r="A31" s="36">
        <v>37743.0</v>
      </c>
      <c r="B31" s="37" t="s">
        <v>162</v>
      </c>
      <c r="C31" s="46" t="s">
        <v>103</v>
      </c>
      <c r="D31" s="78">
        <v>1.0</v>
      </c>
      <c r="E31" s="37">
        <v>1.0</v>
      </c>
      <c r="F31" s="78">
        <f>150.42+90.09</f>
        <v>240.51</v>
      </c>
      <c r="G31" s="41">
        <v>2.0</v>
      </c>
      <c r="H31" s="40">
        <f>G31*F31</f>
        <v>481.02</v>
      </c>
      <c r="I31" s="42"/>
      <c r="J31" s="40"/>
      <c r="K31" s="46"/>
    </row>
    <row r="32" ht="19.5" customHeight="1">
      <c r="A32" s="46"/>
      <c r="B32" s="37"/>
      <c r="C32" s="46"/>
      <c r="D32" s="78"/>
      <c r="E32" s="37"/>
      <c r="F32" s="78"/>
      <c r="G32" s="40"/>
      <c r="H32" s="40"/>
      <c r="I32" s="42"/>
      <c r="J32" s="43">
        <f>SUM(H31:H32)</f>
        <v>481.02</v>
      </c>
      <c r="K32" s="46"/>
    </row>
    <row r="33" ht="19.5" customHeight="1">
      <c r="A33" s="74" t="s">
        <v>1</v>
      </c>
      <c r="B33" s="74" t="s">
        <v>91</v>
      </c>
      <c r="C33" s="74" t="s">
        <v>92</v>
      </c>
      <c r="D33" s="74" t="s">
        <v>93</v>
      </c>
      <c r="E33" s="50" t="s">
        <v>161</v>
      </c>
      <c r="F33" s="53" t="s">
        <v>121</v>
      </c>
      <c r="G33" s="53" t="s">
        <v>99</v>
      </c>
      <c r="H33" s="75" t="s">
        <v>100</v>
      </c>
      <c r="I33" s="75" t="s">
        <v>101</v>
      </c>
      <c r="J33" s="76" t="s">
        <v>95</v>
      </c>
      <c r="K33" s="74" t="s">
        <v>96</v>
      </c>
    </row>
    <row r="34" ht="19.5" customHeight="1">
      <c r="A34" s="36">
        <v>37013.0</v>
      </c>
      <c r="B34" s="49" t="s">
        <v>163</v>
      </c>
      <c r="C34" s="38" t="s">
        <v>148</v>
      </c>
      <c r="D34" s="39">
        <f>J11*1.25</f>
        <v>126.3</v>
      </c>
      <c r="E34" s="37"/>
      <c r="F34" s="39"/>
      <c r="G34" s="40"/>
      <c r="H34" s="40">
        <f t="shared" ref="H34:H36" si="2">D34</f>
        <v>126.3</v>
      </c>
      <c r="I34" s="42"/>
      <c r="J34" s="43">
        <f t="shared" ref="J34:J36" si="3">H34</f>
        <v>126.3</v>
      </c>
      <c r="K34" s="38" t="s">
        <v>164</v>
      </c>
    </row>
    <row r="35" ht="19.5" customHeight="1">
      <c r="A35" s="36">
        <v>37378.0</v>
      </c>
      <c r="B35" s="49" t="s">
        <v>165</v>
      </c>
      <c r="C35" s="38" t="s">
        <v>166</v>
      </c>
      <c r="D35" s="39">
        <f>D34*10</f>
        <v>1263</v>
      </c>
      <c r="E35" s="37"/>
      <c r="F35" s="39"/>
      <c r="G35" s="40"/>
      <c r="H35" s="40">
        <f t="shared" si="2"/>
        <v>1263</v>
      </c>
      <c r="I35" s="42"/>
      <c r="J35" s="43">
        <f t="shared" si="3"/>
        <v>1263</v>
      </c>
      <c r="K35" s="38"/>
    </row>
    <row r="36" ht="19.5" customHeight="1">
      <c r="A36" s="36">
        <v>38109.0</v>
      </c>
      <c r="B36" s="49" t="s">
        <v>167</v>
      </c>
      <c r="C36" s="38" t="s">
        <v>148</v>
      </c>
      <c r="D36" s="39">
        <f>J17/4</f>
        <v>210.5</v>
      </c>
      <c r="E36" s="37"/>
      <c r="F36" s="39"/>
      <c r="G36" s="40"/>
      <c r="H36" s="40">
        <f t="shared" si="2"/>
        <v>210.5</v>
      </c>
      <c r="I36" s="42"/>
      <c r="J36" s="43">
        <f t="shared" si="3"/>
        <v>210.5</v>
      </c>
      <c r="K36" s="38"/>
    </row>
    <row r="37" ht="19.5" customHeight="1">
      <c r="A37" s="12"/>
      <c r="C37" s="12"/>
      <c r="D37" s="13"/>
      <c r="F37" s="14"/>
      <c r="G37" s="14"/>
      <c r="H37" s="14"/>
      <c r="I37" s="14"/>
      <c r="J37" s="14"/>
      <c r="K37" s="12"/>
    </row>
    <row r="38" ht="19.5" customHeight="1">
      <c r="A38" s="12"/>
      <c r="C38" s="12"/>
      <c r="D38" s="13"/>
      <c r="F38" s="14"/>
      <c r="G38" s="14"/>
      <c r="H38" s="14"/>
      <c r="I38" s="14"/>
      <c r="J38" s="14"/>
      <c r="K38" s="12"/>
    </row>
    <row r="39" ht="19.5" customHeight="1">
      <c r="A39" s="12"/>
      <c r="C39" s="12"/>
      <c r="D39" s="13"/>
      <c r="F39" s="14"/>
      <c r="G39" s="14"/>
      <c r="H39" s="14"/>
      <c r="I39" s="14"/>
      <c r="J39" s="14"/>
      <c r="K39" s="12"/>
    </row>
    <row r="40" ht="19.5" customHeight="1">
      <c r="A40" s="12"/>
      <c r="C40" s="12"/>
      <c r="D40" s="13"/>
      <c r="F40" s="14"/>
      <c r="G40" s="14"/>
      <c r="H40" s="14"/>
      <c r="I40" s="14"/>
      <c r="J40" s="14"/>
      <c r="K40" s="12"/>
    </row>
    <row r="41" ht="19.5" customHeight="1">
      <c r="A41" s="12"/>
      <c r="C41" s="12"/>
      <c r="D41" s="13"/>
      <c r="F41" s="14"/>
      <c r="G41" s="14"/>
      <c r="H41" s="14"/>
      <c r="I41" s="14"/>
      <c r="J41" s="14"/>
      <c r="K41" s="12"/>
    </row>
    <row r="42" ht="19.5" customHeight="1">
      <c r="A42" s="12"/>
      <c r="C42" s="12"/>
      <c r="D42" s="13"/>
      <c r="F42" s="14"/>
      <c r="G42" s="14"/>
      <c r="H42" s="14"/>
      <c r="I42" s="14"/>
      <c r="J42" s="14"/>
      <c r="K42" s="12"/>
    </row>
    <row r="43" ht="19.5" customHeight="1">
      <c r="A43" s="12"/>
      <c r="C43" s="12"/>
      <c r="D43" s="13"/>
      <c r="F43" s="14"/>
      <c r="G43" s="14"/>
      <c r="H43" s="14"/>
      <c r="I43" s="14"/>
      <c r="J43" s="14"/>
      <c r="K43" s="12"/>
    </row>
    <row r="44" ht="19.5" customHeight="1">
      <c r="A44" s="12"/>
      <c r="C44" s="12"/>
      <c r="D44" s="13"/>
      <c r="F44" s="14"/>
      <c r="G44" s="14"/>
      <c r="H44" s="14"/>
      <c r="I44" s="14"/>
      <c r="J44" s="14"/>
      <c r="K44" s="12"/>
    </row>
    <row r="45" ht="19.5" customHeight="1">
      <c r="A45" s="12"/>
      <c r="C45" s="12"/>
      <c r="D45" s="13"/>
      <c r="F45" s="14"/>
      <c r="G45" s="14"/>
      <c r="H45" s="14"/>
      <c r="I45" s="14"/>
      <c r="J45" s="14"/>
      <c r="K45" s="12"/>
    </row>
    <row r="46" ht="19.5" customHeight="1">
      <c r="A46" s="12"/>
      <c r="C46" s="12"/>
      <c r="D46" s="13"/>
      <c r="F46" s="14"/>
      <c r="G46" s="14"/>
      <c r="H46" s="14"/>
      <c r="I46" s="14"/>
      <c r="J46" s="14"/>
      <c r="K46" s="12"/>
    </row>
    <row r="47" ht="19.5" customHeight="1">
      <c r="A47" s="12"/>
      <c r="C47" s="12"/>
      <c r="D47" s="13"/>
      <c r="F47" s="14"/>
      <c r="G47" s="14"/>
      <c r="H47" s="14"/>
      <c r="I47" s="14"/>
      <c r="J47" s="14"/>
      <c r="K47" s="12"/>
    </row>
    <row r="48" ht="19.5" customHeight="1">
      <c r="A48" s="12"/>
      <c r="C48" s="12"/>
      <c r="D48" s="13"/>
      <c r="F48" s="14"/>
      <c r="G48" s="14"/>
      <c r="H48" s="14"/>
      <c r="I48" s="14"/>
      <c r="J48" s="14"/>
      <c r="K48" s="12"/>
    </row>
    <row r="49" ht="19.5" customHeight="1">
      <c r="A49" s="12"/>
      <c r="C49" s="12"/>
      <c r="D49" s="13"/>
      <c r="F49" s="14"/>
      <c r="G49" s="14"/>
      <c r="H49" s="14"/>
      <c r="I49" s="14"/>
      <c r="J49" s="14"/>
      <c r="K49" s="12"/>
    </row>
    <row r="50" ht="19.5" customHeight="1">
      <c r="A50" s="12"/>
      <c r="C50" s="12"/>
      <c r="D50" s="13"/>
      <c r="F50" s="14"/>
      <c r="G50" s="14"/>
      <c r="H50" s="14"/>
      <c r="I50" s="14"/>
      <c r="J50" s="14"/>
      <c r="K50" s="12"/>
    </row>
    <row r="51" ht="19.5" customHeight="1">
      <c r="A51" s="12"/>
      <c r="C51" s="12"/>
      <c r="D51" s="13"/>
      <c r="F51" s="14"/>
      <c r="G51" s="14"/>
      <c r="H51" s="14"/>
      <c r="I51" s="14"/>
      <c r="J51" s="14"/>
      <c r="K51" s="12"/>
    </row>
    <row r="52" ht="19.5" customHeight="1">
      <c r="A52" s="12"/>
      <c r="C52" s="12"/>
      <c r="D52" s="13"/>
      <c r="F52" s="14"/>
      <c r="G52" s="14"/>
      <c r="H52" s="14"/>
      <c r="I52" s="14"/>
      <c r="J52" s="14"/>
      <c r="K52" s="12"/>
    </row>
    <row r="53" ht="19.5" customHeight="1">
      <c r="A53" s="12"/>
      <c r="C53" s="12"/>
      <c r="D53" s="13"/>
      <c r="F53" s="14"/>
      <c r="G53" s="14"/>
      <c r="H53" s="14"/>
      <c r="I53" s="14"/>
      <c r="J53" s="14"/>
      <c r="K53" s="12"/>
    </row>
    <row r="54" ht="19.5" customHeight="1">
      <c r="A54" s="12"/>
      <c r="C54" s="12"/>
      <c r="D54" s="13"/>
      <c r="F54" s="14"/>
      <c r="G54" s="14"/>
      <c r="H54" s="14"/>
      <c r="I54" s="14"/>
      <c r="J54" s="14"/>
      <c r="K54" s="12"/>
    </row>
    <row r="55" ht="19.5" customHeight="1">
      <c r="A55" s="12"/>
      <c r="C55" s="12"/>
      <c r="D55" s="13"/>
      <c r="F55" s="14"/>
      <c r="G55" s="14"/>
      <c r="H55" s="14"/>
      <c r="I55" s="14"/>
      <c r="J55" s="14"/>
      <c r="K55" s="12"/>
    </row>
    <row r="56" ht="19.5" customHeight="1">
      <c r="A56" s="12"/>
      <c r="C56" s="12"/>
      <c r="D56" s="13"/>
      <c r="F56" s="14"/>
      <c r="G56" s="14"/>
      <c r="H56" s="14"/>
      <c r="I56" s="14"/>
      <c r="J56" s="14"/>
      <c r="K56" s="12"/>
    </row>
    <row r="57" ht="19.5" customHeight="1">
      <c r="A57" s="12"/>
      <c r="C57" s="12"/>
      <c r="D57" s="13"/>
      <c r="F57" s="14"/>
      <c r="G57" s="14"/>
      <c r="H57" s="14"/>
      <c r="I57" s="14"/>
      <c r="J57" s="14"/>
      <c r="K57" s="12"/>
    </row>
    <row r="58" ht="19.5" customHeight="1">
      <c r="A58" s="12"/>
      <c r="C58" s="12"/>
      <c r="D58" s="13"/>
      <c r="F58" s="14"/>
      <c r="G58" s="14"/>
      <c r="H58" s="14"/>
      <c r="I58" s="14"/>
      <c r="J58" s="14"/>
      <c r="K58" s="12"/>
    </row>
    <row r="59" ht="19.5" customHeight="1">
      <c r="A59" s="12"/>
      <c r="C59" s="12"/>
      <c r="D59" s="13"/>
      <c r="F59" s="14"/>
      <c r="G59" s="14"/>
      <c r="H59" s="14"/>
      <c r="I59" s="14"/>
      <c r="J59" s="14"/>
      <c r="K59" s="12"/>
    </row>
    <row r="60" ht="19.5" customHeight="1">
      <c r="A60" s="12"/>
      <c r="C60" s="12"/>
      <c r="D60" s="13"/>
      <c r="F60" s="14"/>
      <c r="G60" s="14"/>
      <c r="H60" s="14"/>
      <c r="I60" s="14"/>
      <c r="J60" s="14"/>
      <c r="K60" s="12"/>
    </row>
    <row r="61" ht="19.5" customHeight="1">
      <c r="A61" s="12"/>
      <c r="C61" s="12"/>
      <c r="D61" s="13"/>
      <c r="F61" s="14"/>
      <c r="G61" s="14"/>
      <c r="H61" s="14"/>
      <c r="I61" s="14"/>
      <c r="J61" s="14"/>
      <c r="K61" s="12"/>
    </row>
    <row r="62" ht="19.5" customHeight="1">
      <c r="A62" s="12"/>
      <c r="C62" s="12"/>
      <c r="D62" s="13"/>
      <c r="F62" s="14"/>
      <c r="G62" s="14"/>
      <c r="H62" s="14"/>
      <c r="I62" s="14"/>
      <c r="J62" s="14"/>
      <c r="K62" s="12"/>
    </row>
    <row r="63" ht="19.5" customHeight="1">
      <c r="A63" s="12"/>
      <c r="C63" s="12"/>
      <c r="D63" s="13"/>
      <c r="F63" s="14"/>
      <c r="G63" s="14"/>
      <c r="H63" s="14"/>
      <c r="I63" s="14"/>
      <c r="J63" s="14"/>
      <c r="K63" s="12"/>
    </row>
    <row r="64" ht="19.5" customHeight="1">
      <c r="A64" s="12"/>
      <c r="C64" s="12"/>
      <c r="D64" s="13"/>
      <c r="F64" s="14"/>
      <c r="G64" s="14"/>
      <c r="H64" s="14"/>
      <c r="I64" s="14"/>
      <c r="J64" s="14"/>
      <c r="K64" s="12"/>
    </row>
    <row r="65" ht="19.5" customHeight="1">
      <c r="A65" s="12"/>
      <c r="C65" s="12"/>
      <c r="D65" s="13"/>
      <c r="F65" s="14"/>
      <c r="G65" s="14"/>
      <c r="H65" s="14"/>
      <c r="I65" s="14"/>
      <c r="J65" s="14"/>
      <c r="K65" s="12"/>
    </row>
    <row r="66" ht="19.5" customHeight="1">
      <c r="A66" s="12"/>
      <c r="C66" s="12"/>
      <c r="D66" s="13"/>
      <c r="F66" s="14"/>
      <c r="G66" s="14"/>
      <c r="H66" s="14"/>
      <c r="I66" s="14"/>
      <c r="J66" s="14"/>
      <c r="K66" s="12"/>
    </row>
    <row r="67" ht="19.5" customHeight="1">
      <c r="A67" s="12"/>
      <c r="C67" s="12"/>
      <c r="D67" s="13"/>
      <c r="F67" s="14"/>
      <c r="G67" s="14"/>
      <c r="H67" s="14"/>
      <c r="I67" s="14"/>
      <c r="J67" s="14"/>
      <c r="K67" s="12"/>
    </row>
    <row r="68" ht="19.5" customHeight="1">
      <c r="A68" s="12"/>
      <c r="C68" s="12"/>
      <c r="D68" s="13"/>
      <c r="F68" s="14"/>
      <c r="G68" s="14"/>
      <c r="H68" s="14"/>
      <c r="I68" s="14"/>
      <c r="J68" s="14"/>
      <c r="K68" s="12"/>
    </row>
    <row r="69" ht="19.5" customHeight="1">
      <c r="A69" s="12"/>
      <c r="C69" s="12"/>
      <c r="D69" s="13"/>
      <c r="F69" s="14"/>
      <c r="G69" s="14"/>
      <c r="H69" s="14"/>
      <c r="I69" s="14"/>
      <c r="J69" s="14"/>
      <c r="K69" s="12"/>
    </row>
    <row r="70" ht="19.5" customHeight="1">
      <c r="A70" s="12"/>
      <c r="C70" s="12"/>
      <c r="D70" s="13"/>
      <c r="F70" s="14"/>
      <c r="G70" s="14"/>
      <c r="H70" s="14"/>
      <c r="I70" s="14"/>
      <c r="J70" s="14"/>
      <c r="K70" s="12"/>
    </row>
    <row r="71" ht="19.5" customHeight="1">
      <c r="A71" s="12"/>
      <c r="C71" s="12"/>
      <c r="D71" s="13"/>
      <c r="F71" s="14"/>
      <c r="G71" s="14"/>
      <c r="H71" s="14"/>
      <c r="I71" s="14"/>
      <c r="J71" s="14"/>
      <c r="K71" s="12"/>
    </row>
    <row r="72" ht="19.5" customHeight="1">
      <c r="A72" s="12"/>
      <c r="C72" s="12"/>
      <c r="D72" s="13"/>
      <c r="F72" s="14"/>
      <c r="G72" s="14"/>
      <c r="H72" s="14"/>
      <c r="I72" s="14"/>
      <c r="J72" s="14"/>
      <c r="K72" s="12"/>
    </row>
    <row r="73" ht="19.5" customHeight="1">
      <c r="A73" s="12"/>
      <c r="C73" s="12"/>
      <c r="D73" s="13"/>
      <c r="F73" s="14"/>
      <c r="G73" s="14"/>
      <c r="H73" s="14"/>
      <c r="I73" s="14"/>
      <c r="J73" s="14"/>
      <c r="K73" s="12"/>
    </row>
    <row r="74" ht="19.5" customHeight="1">
      <c r="A74" s="12"/>
      <c r="C74" s="12"/>
      <c r="D74" s="13"/>
      <c r="F74" s="14"/>
      <c r="G74" s="14"/>
      <c r="H74" s="14"/>
      <c r="I74" s="14"/>
      <c r="J74" s="14"/>
      <c r="K74" s="12"/>
    </row>
    <row r="75" ht="19.5" customHeight="1">
      <c r="A75" s="12"/>
      <c r="C75" s="12"/>
      <c r="D75" s="13"/>
      <c r="F75" s="14"/>
      <c r="G75" s="14"/>
      <c r="H75" s="14"/>
      <c r="I75" s="14"/>
      <c r="J75" s="14"/>
      <c r="K75" s="12"/>
    </row>
    <row r="76" ht="19.5" customHeight="1">
      <c r="A76" s="12"/>
      <c r="C76" s="12"/>
      <c r="D76" s="13"/>
      <c r="F76" s="14"/>
      <c r="G76" s="14"/>
      <c r="H76" s="14"/>
      <c r="I76" s="14"/>
      <c r="J76" s="14"/>
      <c r="K76" s="12"/>
    </row>
    <row r="77" ht="19.5" customHeight="1">
      <c r="A77" s="12"/>
      <c r="C77" s="12"/>
      <c r="D77" s="13"/>
      <c r="F77" s="14"/>
      <c r="G77" s="14"/>
      <c r="H77" s="14"/>
      <c r="I77" s="14"/>
      <c r="J77" s="14"/>
      <c r="K77" s="12"/>
    </row>
    <row r="78" ht="19.5" customHeight="1">
      <c r="A78" s="12"/>
      <c r="C78" s="12"/>
      <c r="D78" s="13"/>
      <c r="F78" s="14"/>
      <c r="G78" s="14"/>
      <c r="H78" s="14"/>
      <c r="I78" s="14"/>
      <c r="J78" s="14"/>
      <c r="K78" s="12"/>
    </row>
    <row r="79" ht="19.5" customHeight="1">
      <c r="A79" s="12"/>
      <c r="C79" s="12"/>
      <c r="D79" s="13"/>
      <c r="F79" s="14"/>
      <c r="G79" s="14"/>
      <c r="H79" s="14"/>
      <c r="I79" s="14"/>
      <c r="J79" s="14"/>
      <c r="K79" s="12"/>
    </row>
    <row r="80" ht="19.5" customHeight="1">
      <c r="A80" s="12"/>
      <c r="C80" s="12"/>
      <c r="D80" s="13"/>
      <c r="F80" s="14"/>
      <c r="G80" s="14"/>
      <c r="H80" s="14"/>
      <c r="I80" s="14"/>
      <c r="J80" s="14"/>
      <c r="K80" s="12"/>
    </row>
    <row r="81" ht="19.5" customHeight="1">
      <c r="A81" s="12"/>
      <c r="C81" s="12"/>
      <c r="D81" s="13"/>
      <c r="F81" s="14"/>
      <c r="G81" s="14"/>
      <c r="H81" s="14"/>
      <c r="I81" s="14"/>
      <c r="J81" s="14"/>
      <c r="K81" s="12"/>
    </row>
    <row r="82" ht="19.5" customHeight="1">
      <c r="A82" s="12"/>
      <c r="C82" s="12"/>
      <c r="D82" s="13"/>
      <c r="F82" s="14"/>
      <c r="G82" s="14"/>
      <c r="H82" s="14"/>
      <c r="I82" s="14"/>
      <c r="J82" s="14"/>
      <c r="K82" s="12"/>
    </row>
    <row r="83" ht="19.5" customHeight="1">
      <c r="A83" s="12"/>
      <c r="C83" s="12"/>
      <c r="D83" s="13"/>
      <c r="F83" s="14"/>
      <c r="G83" s="14"/>
      <c r="H83" s="14"/>
      <c r="I83" s="14"/>
      <c r="J83" s="14"/>
      <c r="K83" s="12"/>
    </row>
    <row r="84" ht="19.5" customHeight="1">
      <c r="A84" s="12"/>
      <c r="C84" s="12"/>
      <c r="D84" s="13"/>
      <c r="F84" s="14"/>
      <c r="G84" s="14"/>
      <c r="H84" s="14"/>
      <c r="I84" s="14"/>
      <c r="J84" s="14"/>
      <c r="K84" s="12"/>
    </row>
    <row r="85" ht="19.5" customHeight="1">
      <c r="A85" s="12"/>
      <c r="C85" s="12"/>
      <c r="D85" s="13"/>
      <c r="F85" s="14"/>
      <c r="G85" s="14"/>
      <c r="H85" s="14"/>
      <c r="I85" s="14"/>
      <c r="J85" s="14"/>
      <c r="K85" s="12"/>
    </row>
    <row r="86" ht="19.5" customHeight="1">
      <c r="A86" s="12"/>
      <c r="C86" s="12"/>
      <c r="D86" s="13"/>
      <c r="F86" s="14"/>
      <c r="G86" s="14"/>
      <c r="H86" s="14"/>
      <c r="I86" s="14"/>
      <c r="J86" s="14"/>
      <c r="K86" s="12"/>
    </row>
    <row r="87" ht="19.5" customHeight="1">
      <c r="A87" s="12"/>
      <c r="C87" s="12"/>
      <c r="D87" s="13"/>
      <c r="F87" s="14"/>
      <c r="G87" s="14"/>
      <c r="H87" s="14"/>
      <c r="I87" s="14"/>
      <c r="J87" s="14"/>
      <c r="K87" s="12"/>
    </row>
    <row r="88" ht="19.5" customHeight="1">
      <c r="A88" s="12"/>
      <c r="C88" s="12"/>
      <c r="D88" s="13"/>
      <c r="F88" s="14"/>
      <c r="G88" s="14"/>
      <c r="H88" s="14"/>
      <c r="I88" s="14"/>
      <c r="J88" s="14"/>
      <c r="K88" s="12"/>
    </row>
    <row r="89" ht="19.5" customHeight="1">
      <c r="A89" s="12"/>
      <c r="C89" s="12"/>
      <c r="D89" s="13"/>
      <c r="F89" s="14"/>
      <c r="G89" s="14"/>
      <c r="H89" s="14"/>
      <c r="I89" s="14"/>
      <c r="J89" s="14"/>
      <c r="K89" s="12"/>
    </row>
    <row r="90" ht="19.5" customHeight="1">
      <c r="A90" s="12"/>
      <c r="C90" s="12"/>
      <c r="D90" s="13"/>
      <c r="F90" s="14"/>
      <c r="G90" s="14"/>
      <c r="H90" s="14"/>
      <c r="I90" s="14"/>
      <c r="J90" s="14"/>
      <c r="K90" s="12"/>
    </row>
    <row r="91" ht="19.5" customHeight="1">
      <c r="A91" s="12"/>
      <c r="C91" s="12"/>
      <c r="D91" s="13"/>
      <c r="F91" s="14"/>
      <c r="G91" s="14"/>
      <c r="H91" s="14"/>
      <c r="I91" s="14"/>
      <c r="J91" s="14"/>
      <c r="K91" s="12"/>
    </row>
    <row r="92" ht="19.5" customHeight="1">
      <c r="A92" s="12"/>
      <c r="C92" s="12"/>
      <c r="D92" s="13"/>
      <c r="F92" s="14"/>
      <c r="G92" s="14"/>
      <c r="H92" s="14"/>
      <c r="I92" s="14"/>
      <c r="J92" s="14"/>
      <c r="K92" s="12"/>
    </row>
    <row r="93" ht="19.5" customHeight="1">
      <c r="A93" s="12"/>
      <c r="C93" s="12"/>
      <c r="D93" s="13"/>
      <c r="F93" s="14"/>
      <c r="G93" s="14"/>
      <c r="H93" s="14"/>
      <c r="I93" s="14"/>
      <c r="J93" s="14"/>
      <c r="K93" s="12"/>
    </row>
    <row r="94" ht="19.5" customHeight="1">
      <c r="A94" s="12"/>
      <c r="C94" s="12"/>
      <c r="D94" s="13"/>
      <c r="F94" s="14"/>
      <c r="G94" s="14"/>
      <c r="H94" s="14"/>
      <c r="I94" s="14"/>
      <c r="J94" s="14"/>
      <c r="K94" s="12"/>
    </row>
    <row r="95" ht="19.5" customHeight="1">
      <c r="A95" s="12"/>
      <c r="C95" s="12"/>
      <c r="D95" s="13"/>
      <c r="F95" s="14"/>
      <c r="G95" s="14"/>
      <c r="H95" s="14"/>
      <c r="I95" s="14"/>
      <c r="J95" s="14"/>
      <c r="K95" s="12"/>
    </row>
    <row r="96" ht="19.5" customHeight="1">
      <c r="A96" s="12"/>
      <c r="C96" s="12"/>
      <c r="D96" s="13"/>
      <c r="F96" s="14"/>
      <c r="G96" s="14"/>
      <c r="H96" s="14"/>
      <c r="I96" s="14"/>
      <c r="J96" s="14"/>
      <c r="K96" s="12"/>
    </row>
    <row r="97" ht="19.5" customHeight="1">
      <c r="A97" s="12"/>
      <c r="C97" s="12"/>
      <c r="D97" s="13"/>
      <c r="F97" s="14"/>
      <c r="G97" s="14"/>
      <c r="H97" s="14"/>
      <c r="I97" s="14"/>
      <c r="J97" s="14"/>
      <c r="K97" s="12"/>
    </row>
    <row r="98" ht="19.5" customHeight="1">
      <c r="A98" s="12"/>
      <c r="C98" s="12"/>
      <c r="D98" s="13"/>
      <c r="F98" s="14"/>
      <c r="G98" s="14"/>
      <c r="H98" s="14"/>
      <c r="I98" s="14"/>
      <c r="J98" s="14"/>
      <c r="K98" s="12"/>
    </row>
    <row r="99" ht="19.5" customHeight="1">
      <c r="A99" s="12"/>
      <c r="C99" s="12"/>
      <c r="D99" s="13"/>
      <c r="F99" s="14"/>
      <c r="G99" s="14"/>
      <c r="H99" s="14"/>
      <c r="I99" s="14"/>
      <c r="J99" s="14"/>
      <c r="K99" s="12"/>
    </row>
    <row r="100" ht="19.5" customHeight="1">
      <c r="A100" s="12"/>
      <c r="C100" s="12"/>
      <c r="D100" s="13"/>
      <c r="F100" s="14"/>
      <c r="G100" s="14"/>
      <c r="H100" s="14"/>
      <c r="I100" s="14"/>
      <c r="J100" s="14"/>
      <c r="K100" s="12"/>
    </row>
    <row r="101" ht="19.5" customHeight="1">
      <c r="A101" s="12"/>
      <c r="C101" s="12"/>
      <c r="D101" s="13"/>
      <c r="F101" s="14"/>
      <c r="G101" s="14"/>
      <c r="H101" s="14"/>
      <c r="I101" s="14"/>
      <c r="J101" s="14"/>
      <c r="K101" s="12"/>
    </row>
    <row r="102" ht="19.5" customHeight="1">
      <c r="A102" s="12"/>
      <c r="C102" s="12"/>
      <c r="D102" s="13"/>
      <c r="F102" s="14"/>
      <c r="G102" s="14"/>
      <c r="H102" s="14"/>
      <c r="I102" s="14"/>
      <c r="J102" s="14"/>
      <c r="K102" s="12"/>
    </row>
    <row r="103" ht="19.5" customHeight="1">
      <c r="A103" s="12"/>
      <c r="C103" s="12"/>
      <c r="D103" s="13"/>
      <c r="F103" s="14"/>
      <c r="G103" s="14"/>
      <c r="H103" s="14"/>
      <c r="I103" s="14"/>
      <c r="J103" s="14"/>
      <c r="K103" s="12"/>
    </row>
    <row r="104" ht="19.5" customHeight="1">
      <c r="A104" s="12"/>
      <c r="C104" s="12"/>
      <c r="D104" s="13"/>
      <c r="F104" s="14"/>
      <c r="G104" s="14"/>
      <c r="H104" s="14"/>
      <c r="I104" s="14"/>
      <c r="J104" s="14"/>
      <c r="K104" s="12"/>
    </row>
    <row r="105" ht="19.5" customHeight="1">
      <c r="A105" s="12"/>
      <c r="C105" s="12"/>
      <c r="D105" s="13"/>
      <c r="F105" s="14"/>
      <c r="G105" s="14"/>
      <c r="H105" s="14"/>
      <c r="I105" s="14"/>
      <c r="J105" s="14"/>
      <c r="K105" s="12"/>
    </row>
    <row r="106" ht="19.5" customHeight="1">
      <c r="A106" s="12"/>
      <c r="C106" s="12"/>
      <c r="D106" s="13"/>
      <c r="F106" s="14"/>
      <c r="G106" s="14"/>
      <c r="H106" s="14"/>
      <c r="I106" s="14"/>
      <c r="J106" s="14"/>
      <c r="K106" s="12"/>
    </row>
    <row r="107" ht="19.5" customHeight="1">
      <c r="A107" s="12"/>
      <c r="C107" s="12"/>
      <c r="D107" s="13"/>
      <c r="F107" s="14"/>
      <c r="G107" s="14"/>
      <c r="H107" s="14"/>
      <c r="I107" s="14"/>
      <c r="J107" s="14"/>
      <c r="K107" s="12"/>
    </row>
    <row r="108" ht="19.5" customHeight="1">
      <c r="A108" s="12"/>
      <c r="C108" s="12"/>
      <c r="D108" s="13"/>
      <c r="F108" s="14"/>
      <c r="G108" s="14"/>
      <c r="H108" s="14"/>
      <c r="I108" s="14"/>
      <c r="J108" s="14"/>
      <c r="K108" s="12"/>
    </row>
    <row r="109" ht="19.5" customHeight="1">
      <c r="A109" s="12"/>
      <c r="C109" s="12"/>
      <c r="D109" s="13"/>
      <c r="F109" s="14"/>
      <c r="G109" s="14"/>
      <c r="H109" s="14"/>
      <c r="I109" s="14"/>
      <c r="J109" s="14"/>
      <c r="K109" s="12"/>
    </row>
    <row r="110" ht="19.5" customHeight="1">
      <c r="A110" s="12"/>
      <c r="C110" s="12"/>
      <c r="D110" s="13"/>
      <c r="F110" s="14"/>
      <c r="G110" s="14"/>
      <c r="H110" s="14"/>
      <c r="I110" s="14"/>
      <c r="J110" s="14"/>
      <c r="K110" s="12"/>
    </row>
    <row r="111" ht="19.5" customHeight="1">
      <c r="A111" s="12"/>
      <c r="C111" s="12"/>
      <c r="D111" s="13"/>
      <c r="F111" s="14"/>
      <c r="G111" s="14"/>
      <c r="H111" s="14"/>
      <c r="I111" s="14"/>
      <c r="J111" s="14"/>
      <c r="K111" s="12"/>
    </row>
    <row r="112" ht="19.5" customHeight="1">
      <c r="A112" s="12"/>
      <c r="C112" s="12"/>
      <c r="D112" s="13"/>
      <c r="F112" s="14"/>
      <c r="G112" s="14"/>
      <c r="H112" s="14"/>
      <c r="I112" s="14"/>
      <c r="J112" s="14"/>
      <c r="K112" s="12"/>
    </row>
    <row r="113" ht="19.5" customHeight="1">
      <c r="A113" s="12"/>
      <c r="C113" s="12"/>
      <c r="D113" s="13"/>
      <c r="F113" s="14"/>
      <c r="G113" s="14"/>
      <c r="H113" s="14"/>
      <c r="I113" s="14"/>
      <c r="J113" s="14"/>
      <c r="K113" s="12"/>
    </row>
    <row r="114" ht="19.5" customHeight="1">
      <c r="A114" s="12"/>
      <c r="C114" s="12"/>
      <c r="D114" s="13"/>
      <c r="F114" s="14"/>
      <c r="G114" s="14"/>
      <c r="H114" s="14"/>
      <c r="I114" s="14"/>
      <c r="J114" s="14"/>
      <c r="K114" s="12"/>
    </row>
    <row r="115" ht="19.5" customHeight="1">
      <c r="A115" s="12"/>
      <c r="C115" s="12"/>
      <c r="D115" s="13"/>
      <c r="F115" s="14"/>
      <c r="G115" s="14"/>
      <c r="H115" s="14"/>
      <c r="I115" s="14"/>
      <c r="J115" s="14"/>
      <c r="K115" s="12"/>
    </row>
    <row r="116" ht="19.5" customHeight="1">
      <c r="A116" s="12"/>
      <c r="C116" s="12"/>
      <c r="D116" s="13"/>
      <c r="F116" s="14"/>
      <c r="G116" s="14"/>
      <c r="H116" s="14"/>
      <c r="I116" s="14"/>
      <c r="J116" s="14"/>
      <c r="K116" s="12"/>
    </row>
    <row r="117" ht="19.5" customHeight="1">
      <c r="A117" s="12"/>
      <c r="C117" s="12"/>
      <c r="D117" s="13"/>
      <c r="F117" s="14"/>
      <c r="G117" s="14"/>
      <c r="H117" s="14"/>
      <c r="I117" s="14"/>
      <c r="J117" s="14"/>
      <c r="K117" s="12"/>
    </row>
    <row r="118" ht="19.5" customHeight="1">
      <c r="A118" s="12"/>
      <c r="C118" s="12"/>
      <c r="D118" s="13"/>
      <c r="F118" s="14"/>
      <c r="G118" s="14"/>
      <c r="H118" s="14"/>
      <c r="I118" s="14"/>
      <c r="J118" s="14"/>
      <c r="K118" s="12"/>
    </row>
    <row r="119" ht="19.5" customHeight="1">
      <c r="A119" s="12"/>
      <c r="C119" s="12"/>
      <c r="D119" s="13"/>
      <c r="F119" s="14"/>
      <c r="G119" s="14"/>
      <c r="H119" s="14"/>
      <c r="I119" s="14"/>
      <c r="J119" s="14"/>
      <c r="K119" s="12"/>
    </row>
    <row r="120" ht="19.5" customHeight="1">
      <c r="A120" s="12"/>
      <c r="C120" s="12"/>
      <c r="D120" s="13"/>
      <c r="F120" s="14"/>
      <c r="G120" s="14"/>
      <c r="H120" s="14"/>
      <c r="I120" s="14"/>
      <c r="J120" s="14"/>
      <c r="K120" s="12"/>
    </row>
    <row r="121" ht="19.5" customHeight="1">
      <c r="A121" s="12"/>
      <c r="C121" s="12"/>
      <c r="D121" s="13"/>
      <c r="F121" s="14"/>
      <c r="G121" s="14"/>
      <c r="H121" s="14"/>
      <c r="I121" s="14"/>
      <c r="J121" s="14"/>
      <c r="K121" s="12"/>
    </row>
    <row r="122" ht="19.5" customHeight="1">
      <c r="A122" s="12"/>
      <c r="C122" s="12"/>
      <c r="D122" s="13"/>
      <c r="F122" s="14"/>
      <c r="G122" s="14"/>
      <c r="H122" s="14"/>
      <c r="I122" s="14"/>
      <c r="J122" s="14"/>
      <c r="K122" s="12"/>
    </row>
    <row r="123" ht="19.5" customHeight="1">
      <c r="A123" s="12"/>
      <c r="C123" s="12"/>
      <c r="D123" s="13"/>
      <c r="F123" s="14"/>
      <c r="G123" s="14"/>
      <c r="H123" s="14"/>
      <c r="I123" s="14"/>
      <c r="J123" s="14"/>
      <c r="K123" s="12"/>
    </row>
    <row r="124" ht="19.5" customHeight="1">
      <c r="A124" s="12"/>
      <c r="C124" s="12"/>
      <c r="D124" s="13"/>
      <c r="F124" s="14"/>
      <c r="G124" s="14"/>
      <c r="H124" s="14"/>
      <c r="I124" s="14"/>
      <c r="J124" s="14"/>
      <c r="K124" s="12"/>
    </row>
    <row r="125" ht="19.5" customHeight="1">
      <c r="A125" s="12"/>
      <c r="C125" s="12"/>
      <c r="D125" s="13"/>
      <c r="F125" s="14"/>
      <c r="G125" s="14"/>
      <c r="H125" s="14"/>
      <c r="I125" s="14"/>
      <c r="J125" s="14"/>
      <c r="K125" s="12"/>
    </row>
    <row r="126" ht="19.5" customHeight="1">
      <c r="A126" s="12"/>
      <c r="C126" s="12"/>
      <c r="D126" s="13"/>
      <c r="F126" s="14"/>
      <c r="G126" s="14"/>
      <c r="H126" s="14"/>
      <c r="I126" s="14"/>
      <c r="J126" s="14"/>
      <c r="K126" s="12"/>
    </row>
    <row r="127" ht="19.5" customHeight="1">
      <c r="A127" s="12"/>
      <c r="C127" s="12"/>
      <c r="D127" s="13"/>
      <c r="F127" s="14"/>
      <c r="G127" s="14"/>
      <c r="H127" s="14"/>
      <c r="I127" s="14"/>
      <c r="J127" s="14"/>
      <c r="K127" s="12"/>
    </row>
    <row r="128" ht="19.5" customHeight="1">
      <c r="A128" s="12"/>
      <c r="C128" s="12"/>
      <c r="D128" s="13"/>
      <c r="F128" s="14"/>
      <c r="G128" s="14"/>
      <c r="H128" s="14"/>
      <c r="I128" s="14"/>
      <c r="J128" s="14"/>
      <c r="K128" s="12"/>
    </row>
    <row r="129" ht="19.5" customHeight="1">
      <c r="A129" s="12"/>
      <c r="C129" s="12"/>
      <c r="D129" s="13"/>
      <c r="F129" s="14"/>
      <c r="G129" s="14"/>
      <c r="H129" s="14"/>
      <c r="I129" s="14"/>
      <c r="J129" s="14"/>
      <c r="K129" s="12"/>
    </row>
    <row r="130" ht="19.5" customHeight="1">
      <c r="A130" s="12"/>
      <c r="C130" s="12"/>
      <c r="D130" s="13"/>
      <c r="F130" s="14"/>
      <c r="G130" s="14"/>
      <c r="H130" s="14"/>
      <c r="I130" s="14"/>
      <c r="J130" s="14"/>
      <c r="K130" s="12"/>
    </row>
    <row r="131" ht="19.5" customHeight="1">
      <c r="A131" s="12"/>
      <c r="C131" s="12"/>
      <c r="D131" s="13"/>
      <c r="F131" s="14"/>
      <c r="G131" s="14"/>
      <c r="H131" s="14"/>
      <c r="I131" s="14"/>
      <c r="J131" s="14"/>
      <c r="K131" s="12"/>
    </row>
    <row r="132" ht="19.5" customHeight="1">
      <c r="A132" s="12"/>
      <c r="C132" s="12"/>
      <c r="D132" s="13"/>
      <c r="F132" s="14"/>
      <c r="G132" s="14"/>
      <c r="H132" s="14"/>
      <c r="I132" s="14"/>
      <c r="J132" s="14"/>
      <c r="K132" s="12"/>
    </row>
    <row r="133" ht="19.5" customHeight="1">
      <c r="A133" s="12"/>
      <c r="C133" s="12"/>
      <c r="D133" s="13"/>
      <c r="F133" s="14"/>
      <c r="G133" s="14"/>
      <c r="H133" s="14"/>
      <c r="I133" s="14"/>
      <c r="J133" s="14"/>
      <c r="K133" s="12"/>
    </row>
    <row r="134" ht="19.5" customHeight="1">
      <c r="A134" s="12"/>
      <c r="C134" s="12"/>
      <c r="D134" s="13"/>
      <c r="F134" s="14"/>
      <c r="G134" s="14"/>
      <c r="H134" s="14"/>
      <c r="I134" s="14"/>
      <c r="J134" s="14"/>
      <c r="K134" s="12"/>
    </row>
    <row r="135" ht="19.5" customHeight="1">
      <c r="A135" s="12"/>
      <c r="C135" s="12"/>
      <c r="D135" s="13"/>
      <c r="F135" s="14"/>
      <c r="G135" s="14"/>
      <c r="H135" s="14"/>
      <c r="I135" s="14"/>
      <c r="J135" s="14"/>
      <c r="K135" s="12"/>
    </row>
    <row r="136" ht="19.5" customHeight="1">
      <c r="A136" s="12"/>
      <c r="C136" s="12"/>
      <c r="D136" s="13"/>
      <c r="F136" s="14"/>
      <c r="G136" s="14"/>
      <c r="H136" s="14"/>
      <c r="I136" s="14"/>
      <c r="J136" s="14"/>
      <c r="K136" s="12"/>
    </row>
    <row r="137" ht="19.5" customHeight="1">
      <c r="A137" s="12"/>
      <c r="C137" s="12"/>
      <c r="D137" s="13"/>
      <c r="F137" s="14"/>
      <c r="G137" s="14"/>
      <c r="H137" s="14"/>
      <c r="I137" s="14"/>
      <c r="J137" s="14"/>
      <c r="K137" s="12"/>
    </row>
    <row r="138" ht="19.5" customHeight="1">
      <c r="A138" s="12"/>
      <c r="C138" s="12"/>
      <c r="D138" s="13"/>
      <c r="F138" s="14"/>
      <c r="G138" s="14"/>
      <c r="H138" s="14"/>
      <c r="I138" s="14"/>
      <c r="J138" s="14"/>
      <c r="K138" s="12"/>
    </row>
    <row r="139" ht="19.5" customHeight="1">
      <c r="A139" s="12"/>
      <c r="C139" s="12"/>
      <c r="D139" s="13"/>
      <c r="F139" s="14"/>
      <c r="G139" s="14"/>
      <c r="H139" s="14"/>
      <c r="I139" s="14"/>
      <c r="J139" s="14"/>
      <c r="K139" s="12"/>
    </row>
    <row r="140" ht="19.5" customHeight="1">
      <c r="A140" s="12"/>
      <c r="C140" s="12"/>
      <c r="D140" s="13"/>
      <c r="F140" s="14"/>
      <c r="G140" s="14"/>
      <c r="H140" s="14"/>
      <c r="I140" s="14"/>
      <c r="J140" s="14"/>
      <c r="K140" s="12"/>
    </row>
    <row r="141" ht="19.5" customHeight="1">
      <c r="A141" s="12"/>
      <c r="C141" s="12"/>
      <c r="D141" s="13"/>
      <c r="F141" s="14"/>
      <c r="G141" s="14"/>
      <c r="H141" s="14"/>
      <c r="I141" s="14"/>
      <c r="J141" s="14"/>
      <c r="K141" s="12"/>
    </row>
    <row r="142" ht="19.5" customHeight="1">
      <c r="A142" s="12"/>
      <c r="C142" s="12"/>
      <c r="D142" s="13"/>
      <c r="F142" s="14"/>
      <c r="G142" s="14"/>
      <c r="H142" s="14"/>
      <c r="I142" s="14"/>
      <c r="J142" s="14"/>
      <c r="K142" s="12"/>
    </row>
    <row r="143" ht="19.5" customHeight="1">
      <c r="A143" s="12"/>
      <c r="C143" s="12"/>
      <c r="D143" s="13"/>
      <c r="F143" s="14"/>
      <c r="G143" s="14"/>
      <c r="H143" s="14"/>
      <c r="I143" s="14"/>
      <c r="J143" s="14"/>
      <c r="K143" s="12"/>
    </row>
    <row r="144" ht="19.5" customHeight="1">
      <c r="A144" s="12"/>
      <c r="C144" s="12"/>
      <c r="D144" s="13"/>
      <c r="F144" s="14"/>
      <c r="G144" s="14"/>
      <c r="H144" s="14"/>
      <c r="I144" s="14"/>
      <c r="J144" s="14"/>
      <c r="K144" s="12"/>
    </row>
    <row r="145" ht="19.5" customHeight="1">
      <c r="A145" s="12"/>
      <c r="C145" s="12"/>
      <c r="D145" s="13"/>
      <c r="F145" s="14"/>
      <c r="G145" s="14"/>
      <c r="H145" s="14"/>
      <c r="I145" s="14"/>
      <c r="J145" s="14"/>
      <c r="K145" s="12"/>
    </row>
    <row r="146" ht="19.5" customHeight="1">
      <c r="A146" s="12"/>
      <c r="C146" s="12"/>
      <c r="D146" s="13"/>
      <c r="F146" s="14"/>
      <c r="G146" s="14"/>
      <c r="H146" s="14"/>
      <c r="I146" s="14"/>
      <c r="J146" s="14"/>
      <c r="K146" s="12"/>
    </row>
    <row r="147" ht="19.5" customHeight="1">
      <c r="A147" s="12"/>
      <c r="C147" s="12"/>
      <c r="D147" s="13"/>
      <c r="F147" s="14"/>
      <c r="G147" s="14"/>
      <c r="H147" s="14"/>
      <c r="I147" s="14"/>
      <c r="J147" s="14"/>
      <c r="K147" s="12"/>
    </row>
    <row r="148" ht="19.5" customHeight="1">
      <c r="A148" s="12"/>
      <c r="C148" s="12"/>
      <c r="D148" s="13"/>
      <c r="F148" s="14"/>
      <c r="G148" s="14"/>
      <c r="H148" s="14"/>
      <c r="I148" s="14"/>
      <c r="J148" s="14"/>
      <c r="K148" s="12"/>
    </row>
    <row r="149" ht="19.5" customHeight="1">
      <c r="A149" s="12"/>
      <c r="C149" s="12"/>
      <c r="D149" s="13"/>
      <c r="F149" s="14"/>
      <c r="G149" s="14"/>
      <c r="H149" s="14"/>
      <c r="I149" s="14"/>
      <c r="J149" s="14"/>
      <c r="K149" s="12"/>
    </row>
    <row r="150" ht="19.5" customHeight="1">
      <c r="A150" s="12"/>
      <c r="C150" s="12"/>
      <c r="D150" s="13"/>
      <c r="F150" s="14"/>
      <c r="G150" s="14"/>
      <c r="H150" s="14"/>
      <c r="I150" s="14"/>
      <c r="J150" s="14"/>
      <c r="K150" s="12"/>
    </row>
    <row r="151" ht="19.5" customHeight="1">
      <c r="A151" s="12"/>
      <c r="C151" s="12"/>
      <c r="D151" s="13"/>
      <c r="F151" s="14"/>
      <c r="G151" s="14"/>
      <c r="H151" s="14"/>
      <c r="I151" s="14"/>
      <c r="J151" s="14"/>
      <c r="K151" s="12"/>
    </row>
    <row r="152" ht="19.5" customHeight="1">
      <c r="A152" s="12"/>
      <c r="C152" s="12"/>
      <c r="D152" s="13"/>
      <c r="F152" s="14"/>
      <c r="G152" s="14"/>
      <c r="H152" s="14"/>
      <c r="I152" s="14"/>
      <c r="J152" s="14"/>
      <c r="K152" s="12"/>
    </row>
    <row r="153" ht="19.5" customHeight="1">
      <c r="A153" s="12"/>
      <c r="C153" s="12"/>
      <c r="D153" s="13"/>
      <c r="F153" s="14"/>
      <c r="G153" s="14"/>
      <c r="H153" s="14"/>
      <c r="I153" s="14"/>
      <c r="J153" s="14"/>
      <c r="K153" s="12"/>
    </row>
    <row r="154" ht="19.5" customHeight="1">
      <c r="A154" s="12"/>
      <c r="C154" s="12"/>
      <c r="D154" s="13"/>
      <c r="F154" s="14"/>
      <c r="G154" s="14"/>
      <c r="H154" s="14"/>
      <c r="I154" s="14"/>
      <c r="J154" s="14"/>
      <c r="K154" s="12"/>
    </row>
    <row r="155" ht="19.5" customHeight="1">
      <c r="A155" s="12"/>
      <c r="C155" s="12"/>
      <c r="D155" s="13"/>
      <c r="F155" s="14"/>
      <c r="G155" s="14"/>
      <c r="H155" s="14"/>
      <c r="I155" s="14"/>
      <c r="J155" s="14"/>
      <c r="K155" s="12"/>
    </row>
    <row r="156" ht="19.5" customHeight="1">
      <c r="A156" s="12"/>
      <c r="C156" s="12"/>
      <c r="D156" s="13"/>
      <c r="F156" s="14"/>
      <c r="G156" s="14"/>
      <c r="H156" s="14"/>
      <c r="I156" s="14"/>
      <c r="J156" s="14"/>
      <c r="K156" s="12"/>
    </row>
    <row r="157" ht="19.5" customHeight="1">
      <c r="A157" s="12"/>
      <c r="C157" s="12"/>
      <c r="D157" s="13"/>
      <c r="F157" s="14"/>
      <c r="G157" s="14"/>
      <c r="H157" s="14"/>
      <c r="I157" s="14"/>
      <c r="J157" s="14"/>
      <c r="K157" s="12"/>
    </row>
    <row r="158" ht="19.5" customHeight="1">
      <c r="A158" s="12"/>
      <c r="C158" s="12"/>
      <c r="D158" s="13"/>
      <c r="F158" s="14"/>
      <c r="G158" s="14"/>
      <c r="H158" s="14"/>
      <c r="I158" s="14"/>
      <c r="J158" s="14"/>
      <c r="K158" s="12"/>
    </row>
    <row r="159" ht="19.5" customHeight="1">
      <c r="A159" s="12"/>
      <c r="C159" s="12"/>
      <c r="D159" s="13"/>
      <c r="F159" s="14"/>
      <c r="G159" s="14"/>
      <c r="H159" s="14"/>
      <c r="I159" s="14"/>
      <c r="J159" s="14"/>
      <c r="K159" s="12"/>
    </row>
    <row r="160" ht="19.5" customHeight="1">
      <c r="A160" s="12"/>
      <c r="C160" s="12"/>
      <c r="D160" s="13"/>
      <c r="F160" s="14"/>
      <c r="G160" s="14"/>
      <c r="H160" s="14"/>
      <c r="I160" s="14"/>
      <c r="J160" s="14"/>
      <c r="K160" s="12"/>
    </row>
    <row r="161" ht="19.5" customHeight="1">
      <c r="A161" s="12"/>
      <c r="C161" s="12"/>
      <c r="D161" s="13"/>
      <c r="F161" s="14"/>
      <c r="G161" s="14"/>
      <c r="H161" s="14"/>
      <c r="I161" s="14"/>
      <c r="J161" s="14"/>
      <c r="K161" s="12"/>
    </row>
    <row r="162" ht="19.5" customHeight="1">
      <c r="A162" s="12"/>
      <c r="C162" s="12"/>
      <c r="D162" s="13"/>
      <c r="F162" s="14"/>
      <c r="G162" s="14"/>
      <c r="H162" s="14"/>
      <c r="I162" s="14"/>
      <c r="J162" s="14"/>
      <c r="K162" s="12"/>
    </row>
    <row r="163" ht="19.5" customHeight="1">
      <c r="A163" s="12"/>
      <c r="C163" s="12"/>
      <c r="D163" s="13"/>
      <c r="F163" s="14"/>
      <c r="G163" s="14"/>
      <c r="H163" s="14"/>
      <c r="I163" s="14"/>
      <c r="J163" s="14"/>
      <c r="K163" s="12"/>
    </row>
    <row r="164" ht="19.5" customHeight="1">
      <c r="A164" s="12"/>
      <c r="C164" s="12"/>
      <c r="D164" s="13"/>
      <c r="F164" s="14"/>
      <c r="G164" s="14"/>
      <c r="H164" s="14"/>
      <c r="I164" s="14"/>
      <c r="J164" s="14"/>
      <c r="K164" s="12"/>
    </row>
    <row r="165" ht="19.5" customHeight="1">
      <c r="A165" s="12"/>
      <c r="C165" s="12"/>
      <c r="D165" s="13"/>
      <c r="F165" s="14"/>
      <c r="G165" s="14"/>
      <c r="H165" s="14"/>
      <c r="I165" s="14"/>
      <c r="J165" s="14"/>
      <c r="K165" s="12"/>
    </row>
    <row r="166" ht="19.5" customHeight="1">
      <c r="A166" s="12"/>
      <c r="C166" s="12"/>
      <c r="D166" s="13"/>
      <c r="F166" s="14"/>
      <c r="G166" s="14"/>
      <c r="H166" s="14"/>
      <c r="I166" s="14"/>
      <c r="J166" s="14"/>
      <c r="K166" s="12"/>
    </row>
    <row r="167" ht="19.5" customHeight="1">
      <c r="A167" s="12"/>
      <c r="C167" s="12"/>
      <c r="D167" s="13"/>
      <c r="F167" s="14"/>
      <c r="G167" s="14"/>
      <c r="H167" s="14"/>
      <c r="I167" s="14"/>
      <c r="J167" s="14"/>
      <c r="K167" s="12"/>
    </row>
    <row r="168" ht="19.5" customHeight="1">
      <c r="A168" s="12"/>
      <c r="C168" s="12"/>
      <c r="D168" s="13"/>
      <c r="F168" s="14"/>
      <c r="G168" s="14"/>
      <c r="H168" s="14"/>
      <c r="I168" s="14"/>
      <c r="J168" s="14"/>
      <c r="K168" s="12"/>
    </row>
    <row r="169" ht="19.5" customHeight="1">
      <c r="A169" s="12"/>
      <c r="C169" s="12"/>
      <c r="D169" s="13"/>
      <c r="F169" s="14"/>
      <c r="G169" s="14"/>
      <c r="H169" s="14"/>
      <c r="I169" s="14"/>
      <c r="J169" s="14"/>
      <c r="K169" s="12"/>
    </row>
    <row r="170" ht="19.5" customHeight="1">
      <c r="A170" s="12"/>
      <c r="C170" s="12"/>
      <c r="D170" s="13"/>
      <c r="F170" s="14"/>
      <c r="G170" s="14"/>
      <c r="H170" s="14"/>
      <c r="I170" s="14"/>
      <c r="J170" s="14"/>
      <c r="K170" s="12"/>
    </row>
    <row r="171" ht="19.5" customHeight="1">
      <c r="A171" s="12"/>
      <c r="C171" s="12"/>
      <c r="D171" s="13"/>
      <c r="F171" s="14"/>
      <c r="G171" s="14"/>
      <c r="H171" s="14"/>
      <c r="I171" s="14"/>
      <c r="J171" s="14"/>
      <c r="K171" s="12"/>
    </row>
    <row r="172" ht="19.5" customHeight="1">
      <c r="A172" s="12"/>
      <c r="C172" s="12"/>
      <c r="D172" s="13"/>
      <c r="F172" s="14"/>
      <c r="G172" s="14"/>
      <c r="H172" s="14"/>
      <c r="I172" s="14"/>
      <c r="J172" s="14"/>
      <c r="K172" s="12"/>
    </row>
    <row r="173" ht="19.5" customHeight="1">
      <c r="A173" s="12"/>
      <c r="C173" s="12"/>
      <c r="D173" s="13"/>
      <c r="F173" s="14"/>
      <c r="G173" s="14"/>
      <c r="H173" s="14"/>
      <c r="I173" s="14"/>
      <c r="J173" s="14"/>
      <c r="K173" s="12"/>
    </row>
    <row r="174" ht="19.5" customHeight="1">
      <c r="A174" s="12"/>
      <c r="C174" s="12"/>
      <c r="D174" s="13"/>
      <c r="F174" s="14"/>
      <c r="G174" s="14"/>
      <c r="H174" s="14"/>
      <c r="I174" s="14"/>
      <c r="J174" s="14"/>
      <c r="K174" s="12"/>
    </row>
    <row r="175" ht="19.5" customHeight="1">
      <c r="A175" s="12"/>
      <c r="C175" s="12"/>
      <c r="D175" s="13"/>
      <c r="F175" s="14"/>
      <c r="G175" s="14"/>
      <c r="H175" s="14"/>
      <c r="I175" s="14"/>
      <c r="J175" s="14"/>
      <c r="K175" s="12"/>
    </row>
    <row r="176" ht="19.5" customHeight="1">
      <c r="A176" s="12"/>
      <c r="C176" s="12"/>
      <c r="D176" s="13"/>
      <c r="F176" s="14"/>
      <c r="G176" s="14"/>
      <c r="H176" s="14"/>
      <c r="I176" s="14"/>
      <c r="J176" s="14"/>
      <c r="K176" s="12"/>
    </row>
    <row r="177" ht="19.5" customHeight="1">
      <c r="A177" s="12"/>
      <c r="C177" s="12"/>
      <c r="D177" s="13"/>
      <c r="F177" s="14"/>
      <c r="G177" s="14"/>
      <c r="H177" s="14"/>
      <c r="I177" s="14"/>
      <c r="J177" s="14"/>
      <c r="K177" s="12"/>
    </row>
    <row r="178" ht="19.5" customHeight="1">
      <c r="A178" s="12"/>
      <c r="C178" s="12"/>
      <c r="D178" s="13"/>
      <c r="F178" s="14"/>
      <c r="G178" s="14"/>
      <c r="H178" s="14"/>
      <c r="I178" s="14"/>
      <c r="J178" s="14"/>
      <c r="K178" s="12"/>
    </row>
    <row r="179" ht="19.5" customHeight="1">
      <c r="A179" s="12"/>
      <c r="C179" s="12"/>
      <c r="D179" s="13"/>
      <c r="F179" s="14"/>
      <c r="G179" s="14"/>
      <c r="H179" s="14"/>
      <c r="I179" s="14"/>
      <c r="J179" s="14"/>
      <c r="K179" s="12"/>
    </row>
    <row r="180" ht="19.5" customHeight="1">
      <c r="A180" s="12"/>
      <c r="C180" s="12"/>
      <c r="D180" s="13"/>
      <c r="F180" s="14"/>
      <c r="G180" s="14"/>
      <c r="H180" s="14"/>
      <c r="I180" s="14"/>
      <c r="J180" s="14"/>
      <c r="K180" s="12"/>
    </row>
    <row r="181" ht="19.5" customHeight="1">
      <c r="A181" s="12"/>
      <c r="C181" s="12"/>
      <c r="D181" s="13"/>
      <c r="F181" s="14"/>
      <c r="G181" s="14"/>
      <c r="H181" s="14"/>
      <c r="I181" s="14"/>
      <c r="J181" s="14"/>
      <c r="K181" s="12"/>
    </row>
    <row r="182" ht="19.5" customHeight="1">
      <c r="A182" s="12"/>
      <c r="C182" s="12"/>
      <c r="D182" s="13"/>
      <c r="F182" s="14"/>
      <c r="G182" s="14"/>
      <c r="H182" s="14"/>
      <c r="I182" s="14"/>
      <c r="J182" s="14"/>
      <c r="K182" s="12"/>
    </row>
    <row r="183" ht="19.5" customHeight="1">
      <c r="A183" s="12"/>
      <c r="C183" s="12"/>
      <c r="D183" s="13"/>
      <c r="F183" s="14"/>
      <c r="G183" s="14"/>
      <c r="H183" s="14"/>
      <c r="I183" s="14"/>
      <c r="J183" s="14"/>
      <c r="K183" s="12"/>
    </row>
    <row r="184" ht="19.5" customHeight="1">
      <c r="A184" s="12"/>
      <c r="C184" s="12"/>
      <c r="D184" s="13"/>
      <c r="F184" s="14"/>
      <c r="G184" s="14"/>
      <c r="H184" s="14"/>
      <c r="I184" s="14"/>
      <c r="J184" s="14"/>
      <c r="K184" s="12"/>
    </row>
    <row r="185" ht="19.5" customHeight="1">
      <c r="A185" s="12"/>
      <c r="C185" s="12"/>
      <c r="D185" s="13"/>
      <c r="F185" s="14"/>
      <c r="G185" s="14"/>
      <c r="H185" s="14"/>
      <c r="I185" s="14"/>
      <c r="J185" s="14"/>
      <c r="K185" s="12"/>
    </row>
    <row r="186" ht="19.5" customHeight="1">
      <c r="A186" s="12"/>
      <c r="C186" s="12"/>
      <c r="D186" s="13"/>
      <c r="F186" s="14"/>
      <c r="G186" s="14"/>
      <c r="H186" s="14"/>
      <c r="I186" s="14"/>
      <c r="J186" s="14"/>
      <c r="K186" s="12"/>
    </row>
    <row r="187" ht="19.5" customHeight="1">
      <c r="A187" s="12"/>
      <c r="C187" s="12"/>
      <c r="D187" s="13"/>
      <c r="F187" s="14"/>
      <c r="G187" s="14"/>
      <c r="H187" s="14"/>
      <c r="I187" s="14"/>
      <c r="J187" s="14"/>
      <c r="K187" s="12"/>
    </row>
    <row r="188" ht="19.5" customHeight="1">
      <c r="A188" s="12"/>
      <c r="C188" s="12"/>
      <c r="D188" s="13"/>
      <c r="F188" s="14"/>
      <c r="G188" s="14"/>
      <c r="H188" s="14"/>
      <c r="I188" s="14"/>
      <c r="J188" s="14"/>
      <c r="K188" s="12"/>
    </row>
    <row r="189" ht="19.5" customHeight="1">
      <c r="A189" s="12"/>
      <c r="C189" s="12"/>
      <c r="D189" s="13"/>
      <c r="F189" s="14"/>
      <c r="G189" s="14"/>
      <c r="H189" s="14"/>
      <c r="I189" s="14"/>
      <c r="J189" s="14"/>
      <c r="K189" s="12"/>
    </row>
    <row r="190" ht="19.5" customHeight="1">
      <c r="A190" s="12"/>
      <c r="C190" s="12"/>
      <c r="D190" s="13"/>
      <c r="F190" s="14"/>
      <c r="G190" s="14"/>
      <c r="H190" s="14"/>
      <c r="I190" s="14"/>
      <c r="J190" s="14"/>
      <c r="K190" s="12"/>
    </row>
    <row r="191" ht="19.5" customHeight="1">
      <c r="A191" s="12"/>
      <c r="C191" s="12"/>
      <c r="D191" s="13"/>
      <c r="F191" s="14"/>
      <c r="G191" s="14"/>
      <c r="H191" s="14"/>
      <c r="I191" s="14"/>
      <c r="J191" s="14"/>
      <c r="K191" s="12"/>
    </row>
    <row r="192" ht="19.5" customHeight="1">
      <c r="A192" s="12"/>
      <c r="C192" s="12"/>
      <c r="D192" s="13"/>
      <c r="F192" s="14"/>
      <c r="G192" s="14"/>
      <c r="H192" s="14"/>
      <c r="I192" s="14"/>
      <c r="J192" s="14"/>
      <c r="K192" s="12"/>
    </row>
    <row r="193" ht="19.5" customHeight="1">
      <c r="A193" s="12"/>
      <c r="C193" s="12"/>
      <c r="D193" s="13"/>
      <c r="F193" s="14"/>
      <c r="G193" s="14"/>
      <c r="H193" s="14"/>
      <c r="I193" s="14"/>
      <c r="J193" s="14"/>
      <c r="K193" s="12"/>
    </row>
    <row r="194" ht="19.5" customHeight="1">
      <c r="A194" s="12"/>
      <c r="C194" s="12"/>
      <c r="D194" s="13"/>
      <c r="F194" s="14"/>
      <c r="G194" s="14"/>
      <c r="H194" s="14"/>
      <c r="I194" s="14"/>
      <c r="J194" s="14"/>
      <c r="K194" s="12"/>
    </row>
    <row r="195" ht="19.5" customHeight="1">
      <c r="A195" s="12"/>
      <c r="C195" s="12"/>
      <c r="D195" s="13"/>
      <c r="F195" s="14"/>
      <c r="G195" s="14"/>
      <c r="H195" s="14"/>
      <c r="I195" s="14"/>
      <c r="J195" s="14"/>
      <c r="K195" s="12"/>
    </row>
    <row r="196" ht="19.5" customHeight="1">
      <c r="A196" s="12"/>
      <c r="C196" s="12"/>
      <c r="D196" s="13"/>
      <c r="F196" s="14"/>
      <c r="G196" s="14"/>
      <c r="H196" s="14"/>
      <c r="I196" s="14"/>
      <c r="J196" s="14"/>
      <c r="K196" s="12"/>
    </row>
    <row r="197" ht="19.5" customHeight="1">
      <c r="A197" s="12"/>
      <c r="C197" s="12"/>
      <c r="D197" s="13"/>
      <c r="F197" s="14"/>
      <c r="G197" s="14"/>
      <c r="H197" s="14"/>
      <c r="I197" s="14"/>
      <c r="J197" s="14"/>
      <c r="K197" s="12"/>
    </row>
    <row r="198" ht="19.5" customHeight="1">
      <c r="A198" s="12"/>
      <c r="C198" s="12"/>
      <c r="D198" s="13"/>
      <c r="F198" s="14"/>
      <c r="G198" s="14"/>
      <c r="H198" s="14"/>
      <c r="I198" s="14"/>
      <c r="J198" s="14"/>
      <c r="K198" s="12"/>
    </row>
    <row r="199" ht="19.5" customHeight="1">
      <c r="A199" s="12"/>
      <c r="C199" s="12"/>
      <c r="D199" s="13"/>
      <c r="F199" s="14"/>
      <c r="G199" s="14"/>
      <c r="H199" s="14"/>
      <c r="I199" s="14"/>
      <c r="J199" s="14"/>
      <c r="K199" s="12"/>
    </row>
    <row r="200" ht="19.5" customHeight="1">
      <c r="A200" s="12"/>
      <c r="C200" s="12"/>
      <c r="D200" s="13"/>
      <c r="F200" s="14"/>
      <c r="G200" s="14"/>
      <c r="H200" s="14"/>
      <c r="I200" s="14"/>
      <c r="J200" s="14"/>
      <c r="K200" s="12"/>
    </row>
    <row r="201" ht="19.5" customHeight="1">
      <c r="A201" s="12"/>
      <c r="C201" s="12"/>
      <c r="D201" s="13"/>
      <c r="F201" s="14"/>
      <c r="G201" s="14"/>
      <c r="H201" s="14"/>
      <c r="I201" s="14"/>
      <c r="J201" s="14"/>
      <c r="K201" s="12"/>
    </row>
    <row r="202" ht="19.5" customHeight="1">
      <c r="A202" s="12"/>
      <c r="C202" s="12"/>
      <c r="D202" s="13"/>
      <c r="F202" s="14"/>
      <c r="G202" s="14"/>
      <c r="H202" s="14"/>
      <c r="I202" s="14"/>
      <c r="J202" s="14"/>
      <c r="K202" s="12"/>
    </row>
    <row r="203" ht="19.5" customHeight="1">
      <c r="A203" s="12"/>
      <c r="C203" s="12"/>
      <c r="D203" s="13"/>
      <c r="F203" s="14"/>
      <c r="G203" s="14"/>
      <c r="H203" s="14"/>
      <c r="I203" s="14"/>
      <c r="J203" s="14"/>
      <c r="K203" s="12"/>
    </row>
    <row r="204" ht="19.5" customHeight="1">
      <c r="A204" s="12"/>
      <c r="C204" s="12"/>
      <c r="D204" s="13"/>
      <c r="F204" s="14"/>
      <c r="G204" s="14"/>
      <c r="H204" s="14"/>
      <c r="I204" s="14"/>
      <c r="J204" s="14"/>
      <c r="K204" s="12"/>
    </row>
    <row r="205" ht="19.5" customHeight="1">
      <c r="A205" s="12"/>
      <c r="C205" s="12"/>
      <c r="D205" s="13"/>
      <c r="F205" s="14"/>
      <c r="G205" s="14"/>
      <c r="H205" s="14"/>
      <c r="I205" s="14"/>
      <c r="J205" s="14"/>
      <c r="K205" s="12"/>
    </row>
    <row r="206" ht="19.5" customHeight="1">
      <c r="A206" s="12"/>
      <c r="C206" s="12"/>
      <c r="D206" s="13"/>
      <c r="F206" s="14"/>
      <c r="G206" s="14"/>
      <c r="H206" s="14"/>
      <c r="I206" s="14"/>
      <c r="J206" s="14"/>
      <c r="K206" s="12"/>
    </row>
    <row r="207" ht="19.5" customHeight="1">
      <c r="A207" s="12"/>
      <c r="C207" s="12"/>
      <c r="D207" s="13"/>
      <c r="F207" s="14"/>
      <c r="G207" s="14"/>
      <c r="H207" s="14"/>
      <c r="I207" s="14"/>
      <c r="J207" s="14"/>
      <c r="K207" s="12"/>
    </row>
    <row r="208" ht="19.5" customHeight="1">
      <c r="A208" s="12"/>
      <c r="C208" s="12"/>
      <c r="D208" s="13"/>
      <c r="F208" s="14"/>
      <c r="G208" s="14"/>
      <c r="H208" s="14"/>
      <c r="I208" s="14"/>
      <c r="J208" s="14"/>
      <c r="K208" s="12"/>
    </row>
    <row r="209" ht="19.5" customHeight="1">
      <c r="A209" s="12"/>
      <c r="C209" s="12"/>
      <c r="D209" s="13"/>
      <c r="F209" s="14"/>
      <c r="G209" s="14"/>
      <c r="H209" s="14"/>
      <c r="I209" s="14"/>
      <c r="J209" s="14"/>
      <c r="K209" s="12"/>
    </row>
    <row r="210" ht="19.5" customHeight="1">
      <c r="A210" s="12"/>
      <c r="C210" s="12"/>
      <c r="D210" s="13"/>
      <c r="F210" s="14"/>
      <c r="G210" s="14"/>
      <c r="H210" s="14"/>
      <c r="I210" s="14"/>
      <c r="J210" s="14"/>
      <c r="K210" s="12"/>
    </row>
    <row r="211" ht="19.5" customHeight="1">
      <c r="A211" s="12"/>
      <c r="C211" s="12"/>
      <c r="D211" s="13"/>
      <c r="F211" s="14"/>
      <c r="G211" s="14"/>
      <c r="H211" s="14"/>
      <c r="I211" s="14"/>
      <c r="J211" s="14"/>
      <c r="K211" s="12"/>
    </row>
    <row r="212" ht="19.5" customHeight="1">
      <c r="A212" s="12"/>
      <c r="C212" s="12"/>
      <c r="D212" s="13"/>
      <c r="F212" s="14"/>
      <c r="G212" s="14"/>
      <c r="H212" s="14"/>
      <c r="I212" s="14"/>
      <c r="J212" s="14"/>
      <c r="K212" s="12"/>
    </row>
    <row r="213" ht="19.5" customHeight="1">
      <c r="A213" s="12"/>
      <c r="C213" s="12"/>
      <c r="D213" s="13"/>
      <c r="F213" s="14"/>
      <c r="G213" s="14"/>
      <c r="H213" s="14"/>
      <c r="I213" s="14"/>
      <c r="J213" s="14"/>
      <c r="K213" s="12"/>
    </row>
    <row r="214" ht="19.5" customHeight="1">
      <c r="A214" s="12"/>
      <c r="C214" s="12"/>
      <c r="D214" s="13"/>
      <c r="F214" s="14"/>
      <c r="G214" s="14"/>
      <c r="H214" s="14"/>
      <c r="I214" s="14"/>
      <c r="J214" s="14"/>
      <c r="K214" s="12"/>
    </row>
    <row r="215" ht="19.5" customHeight="1">
      <c r="A215" s="12"/>
      <c r="C215" s="12"/>
      <c r="D215" s="13"/>
      <c r="F215" s="14"/>
      <c r="G215" s="14"/>
      <c r="H215" s="14"/>
      <c r="I215" s="14"/>
      <c r="J215" s="14"/>
      <c r="K215" s="12"/>
    </row>
    <row r="216" ht="19.5" customHeight="1">
      <c r="A216" s="12"/>
      <c r="C216" s="12"/>
      <c r="D216" s="13"/>
      <c r="F216" s="14"/>
      <c r="G216" s="14"/>
      <c r="H216" s="14"/>
      <c r="I216" s="14"/>
      <c r="J216" s="14"/>
      <c r="K216" s="12"/>
    </row>
    <row r="217" ht="19.5" customHeight="1">
      <c r="A217" s="12"/>
      <c r="C217" s="12"/>
      <c r="D217" s="13"/>
      <c r="F217" s="14"/>
      <c r="G217" s="14"/>
      <c r="H217" s="14"/>
      <c r="I217" s="14"/>
      <c r="J217" s="14"/>
      <c r="K217" s="12"/>
    </row>
    <row r="218" ht="19.5" customHeight="1">
      <c r="A218" s="12"/>
      <c r="C218" s="12"/>
      <c r="D218" s="13"/>
      <c r="F218" s="14"/>
      <c r="G218" s="14"/>
      <c r="H218" s="14"/>
      <c r="I218" s="14"/>
      <c r="J218" s="14"/>
      <c r="K218" s="12"/>
    </row>
    <row r="219" ht="19.5" customHeight="1">
      <c r="A219" s="12"/>
      <c r="C219" s="12"/>
      <c r="D219" s="13"/>
      <c r="F219" s="14"/>
      <c r="G219" s="14"/>
      <c r="H219" s="14"/>
      <c r="I219" s="14"/>
      <c r="J219" s="14"/>
      <c r="K219" s="12"/>
    </row>
    <row r="220" ht="19.5" customHeight="1">
      <c r="A220" s="12"/>
      <c r="C220" s="12"/>
      <c r="D220" s="13"/>
      <c r="F220" s="14"/>
      <c r="G220" s="14"/>
      <c r="H220" s="14"/>
      <c r="I220" s="14"/>
      <c r="J220" s="14"/>
      <c r="K220" s="12"/>
    </row>
    <row r="221" ht="19.5" customHeight="1">
      <c r="A221" s="12"/>
      <c r="C221" s="12"/>
      <c r="D221" s="13"/>
      <c r="F221" s="14"/>
      <c r="G221" s="14"/>
      <c r="H221" s="14"/>
      <c r="I221" s="14"/>
      <c r="J221" s="14"/>
      <c r="K221" s="12"/>
    </row>
    <row r="222" ht="19.5" customHeight="1">
      <c r="A222" s="12"/>
      <c r="C222" s="12"/>
      <c r="D222" s="13"/>
      <c r="F222" s="14"/>
      <c r="G222" s="14"/>
      <c r="H222" s="14"/>
      <c r="I222" s="14"/>
      <c r="J222" s="14"/>
      <c r="K222" s="12"/>
    </row>
    <row r="223" ht="19.5" customHeight="1">
      <c r="A223" s="12"/>
      <c r="C223" s="12"/>
      <c r="D223" s="13"/>
      <c r="F223" s="14"/>
      <c r="G223" s="14"/>
      <c r="H223" s="14"/>
      <c r="I223" s="14"/>
      <c r="J223" s="14"/>
      <c r="K223" s="12"/>
    </row>
    <row r="224" ht="19.5" customHeight="1">
      <c r="A224" s="12"/>
      <c r="C224" s="12"/>
      <c r="D224" s="13"/>
      <c r="F224" s="14"/>
      <c r="G224" s="14"/>
      <c r="H224" s="14"/>
      <c r="I224" s="14"/>
      <c r="J224" s="14"/>
      <c r="K224" s="12"/>
    </row>
    <row r="225" ht="19.5" customHeight="1">
      <c r="A225" s="12"/>
      <c r="C225" s="12"/>
      <c r="D225" s="13"/>
      <c r="F225" s="14"/>
      <c r="G225" s="14"/>
      <c r="H225" s="14"/>
      <c r="I225" s="14"/>
      <c r="J225" s="14"/>
      <c r="K225" s="12"/>
    </row>
    <row r="226" ht="19.5" customHeight="1">
      <c r="A226" s="12"/>
      <c r="C226" s="12"/>
      <c r="D226" s="13"/>
      <c r="F226" s="14"/>
      <c r="G226" s="14"/>
      <c r="H226" s="14"/>
      <c r="I226" s="14"/>
      <c r="J226" s="14"/>
      <c r="K226" s="12"/>
    </row>
    <row r="227" ht="19.5" customHeight="1">
      <c r="A227" s="12"/>
      <c r="C227" s="12"/>
      <c r="D227" s="13"/>
      <c r="F227" s="14"/>
      <c r="G227" s="14"/>
      <c r="H227" s="14"/>
      <c r="I227" s="14"/>
      <c r="J227" s="14"/>
      <c r="K227" s="12"/>
    </row>
    <row r="228" ht="19.5" customHeight="1">
      <c r="A228" s="12"/>
      <c r="C228" s="12"/>
      <c r="D228" s="13"/>
      <c r="F228" s="14"/>
      <c r="G228" s="14"/>
      <c r="H228" s="14"/>
      <c r="I228" s="14"/>
      <c r="J228" s="14"/>
      <c r="K228" s="12"/>
    </row>
    <row r="229" ht="19.5" customHeight="1">
      <c r="A229" s="12"/>
      <c r="C229" s="12"/>
      <c r="D229" s="13"/>
      <c r="F229" s="14"/>
      <c r="G229" s="14"/>
      <c r="H229" s="14"/>
      <c r="I229" s="14"/>
      <c r="J229" s="14"/>
      <c r="K229" s="12"/>
    </row>
    <row r="230" ht="19.5" customHeight="1">
      <c r="A230" s="12"/>
      <c r="C230" s="12"/>
      <c r="D230" s="13"/>
      <c r="F230" s="14"/>
      <c r="G230" s="14"/>
      <c r="H230" s="14"/>
      <c r="I230" s="14"/>
      <c r="J230" s="14"/>
      <c r="K230" s="12"/>
    </row>
    <row r="231" ht="19.5" customHeight="1">
      <c r="A231" s="12"/>
      <c r="C231" s="12"/>
      <c r="D231" s="13"/>
      <c r="F231" s="14"/>
      <c r="G231" s="14"/>
      <c r="H231" s="14"/>
      <c r="I231" s="14"/>
      <c r="J231" s="14"/>
      <c r="K231" s="12"/>
    </row>
    <row r="232" ht="19.5" customHeight="1">
      <c r="A232" s="12"/>
      <c r="C232" s="12"/>
      <c r="D232" s="13"/>
      <c r="F232" s="14"/>
      <c r="G232" s="14"/>
      <c r="H232" s="14"/>
      <c r="I232" s="14"/>
      <c r="J232" s="14"/>
      <c r="K232" s="12"/>
    </row>
    <row r="233" ht="19.5" customHeight="1">
      <c r="A233" s="12"/>
      <c r="C233" s="12"/>
      <c r="D233" s="13"/>
      <c r="F233" s="14"/>
      <c r="G233" s="14"/>
      <c r="H233" s="14"/>
      <c r="I233" s="14"/>
      <c r="J233" s="14"/>
      <c r="K233" s="12"/>
    </row>
    <row r="234" ht="19.5" customHeight="1">
      <c r="A234" s="12"/>
      <c r="C234" s="12"/>
      <c r="D234" s="13"/>
      <c r="F234" s="14"/>
      <c r="G234" s="14"/>
      <c r="H234" s="14"/>
      <c r="I234" s="14"/>
      <c r="J234" s="14"/>
      <c r="K234" s="12"/>
    </row>
    <row r="235" ht="19.5" customHeight="1">
      <c r="A235" s="12"/>
      <c r="C235" s="12"/>
      <c r="D235" s="13"/>
      <c r="F235" s="14"/>
      <c r="G235" s="14"/>
      <c r="H235" s="14"/>
      <c r="I235" s="14"/>
      <c r="J235" s="14"/>
      <c r="K235" s="12"/>
    </row>
    <row r="236" ht="19.5" customHeight="1">
      <c r="A236" s="12"/>
      <c r="C236" s="12"/>
      <c r="D236" s="13"/>
      <c r="F236" s="14"/>
      <c r="G236" s="14"/>
      <c r="H236" s="14"/>
      <c r="I236" s="14"/>
      <c r="J236" s="14"/>
      <c r="K236" s="12"/>
    </row>
    <row r="237" ht="19.5" customHeight="1">
      <c r="A237" s="12"/>
      <c r="C237" s="12"/>
      <c r="D237" s="13"/>
      <c r="F237" s="14"/>
      <c r="G237" s="14"/>
      <c r="H237" s="14"/>
      <c r="I237" s="14"/>
      <c r="J237" s="14"/>
      <c r="K237" s="12"/>
    </row>
    <row r="238" ht="19.5" customHeight="1">
      <c r="A238" s="12"/>
      <c r="C238" s="12"/>
      <c r="D238" s="13"/>
      <c r="F238" s="14"/>
      <c r="G238" s="14"/>
      <c r="H238" s="14"/>
      <c r="I238" s="14"/>
      <c r="J238" s="14"/>
      <c r="K238" s="12"/>
    </row>
    <row r="239" ht="19.5" customHeight="1">
      <c r="A239" s="12"/>
      <c r="C239" s="12"/>
      <c r="D239" s="13"/>
      <c r="F239" s="14"/>
      <c r="G239" s="14"/>
      <c r="H239" s="14"/>
      <c r="I239" s="14"/>
      <c r="J239" s="14"/>
      <c r="K239" s="12"/>
    </row>
    <row r="240" ht="19.5" customHeight="1">
      <c r="A240" s="12"/>
      <c r="C240" s="12"/>
      <c r="D240" s="13"/>
      <c r="F240" s="14"/>
      <c r="G240" s="14"/>
      <c r="H240" s="14"/>
      <c r="I240" s="14"/>
      <c r="J240" s="14"/>
      <c r="K240" s="12"/>
    </row>
    <row r="241" ht="19.5" customHeight="1">
      <c r="A241" s="12"/>
      <c r="C241" s="12"/>
      <c r="D241" s="13"/>
      <c r="F241" s="14"/>
      <c r="G241" s="14"/>
      <c r="H241" s="14"/>
      <c r="I241" s="14"/>
      <c r="J241" s="14"/>
      <c r="K241" s="12"/>
    </row>
    <row r="242" ht="19.5" customHeight="1">
      <c r="A242" s="12"/>
      <c r="C242" s="12"/>
      <c r="D242" s="13"/>
      <c r="F242" s="14"/>
      <c r="G242" s="14"/>
      <c r="H242" s="14"/>
      <c r="I242" s="14"/>
      <c r="J242" s="14"/>
      <c r="K242" s="12"/>
    </row>
    <row r="243" ht="19.5" customHeight="1">
      <c r="A243" s="12"/>
      <c r="C243" s="12"/>
      <c r="D243" s="13"/>
      <c r="F243" s="14"/>
      <c r="G243" s="14"/>
      <c r="H243" s="14"/>
      <c r="I243" s="14"/>
      <c r="J243" s="14"/>
      <c r="K243" s="12"/>
    </row>
    <row r="244" ht="19.5" customHeight="1">
      <c r="A244" s="12"/>
      <c r="C244" s="12"/>
      <c r="D244" s="13"/>
      <c r="F244" s="14"/>
      <c r="G244" s="14"/>
      <c r="H244" s="14"/>
      <c r="I244" s="14"/>
      <c r="J244" s="14"/>
      <c r="K244" s="12"/>
    </row>
    <row r="245" ht="19.5" customHeight="1">
      <c r="A245" s="12"/>
      <c r="C245" s="12"/>
      <c r="D245" s="13"/>
      <c r="F245" s="14"/>
      <c r="G245" s="14"/>
      <c r="H245" s="14"/>
      <c r="I245" s="14"/>
      <c r="J245" s="14"/>
      <c r="K245" s="12"/>
    </row>
    <row r="246" ht="19.5" customHeight="1">
      <c r="A246" s="12"/>
      <c r="C246" s="12"/>
      <c r="D246" s="13"/>
      <c r="F246" s="14"/>
      <c r="G246" s="14"/>
      <c r="H246" s="14"/>
      <c r="I246" s="14"/>
      <c r="J246" s="14"/>
      <c r="K246" s="12"/>
    </row>
    <row r="247" ht="19.5" customHeight="1">
      <c r="A247" s="12"/>
      <c r="C247" s="12"/>
      <c r="D247" s="13"/>
      <c r="F247" s="14"/>
      <c r="G247" s="14"/>
      <c r="H247" s="14"/>
      <c r="I247" s="14"/>
      <c r="J247" s="14"/>
      <c r="K247" s="12"/>
    </row>
    <row r="248" ht="19.5" customHeight="1">
      <c r="A248" s="12"/>
      <c r="C248" s="12"/>
      <c r="D248" s="13"/>
      <c r="F248" s="14"/>
      <c r="G248" s="14"/>
      <c r="H248" s="14"/>
      <c r="I248" s="14"/>
      <c r="J248" s="14"/>
      <c r="K248" s="12"/>
    </row>
    <row r="249" ht="19.5" customHeight="1">
      <c r="A249" s="12"/>
      <c r="C249" s="12"/>
      <c r="D249" s="13"/>
      <c r="F249" s="14"/>
      <c r="G249" s="14"/>
      <c r="H249" s="14"/>
      <c r="I249" s="14"/>
      <c r="J249" s="14"/>
      <c r="K249" s="12"/>
    </row>
    <row r="250" ht="19.5" customHeight="1">
      <c r="A250" s="12"/>
      <c r="C250" s="12"/>
      <c r="D250" s="13"/>
      <c r="F250" s="14"/>
      <c r="G250" s="14"/>
      <c r="H250" s="14"/>
      <c r="I250" s="14"/>
      <c r="J250" s="14"/>
      <c r="K250" s="12"/>
    </row>
    <row r="251" ht="19.5" customHeight="1">
      <c r="A251" s="12"/>
      <c r="C251" s="12"/>
      <c r="D251" s="13"/>
      <c r="F251" s="14"/>
      <c r="G251" s="14"/>
      <c r="H251" s="14"/>
      <c r="I251" s="14"/>
      <c r="J251" s="14"/>
      <c r="K251" s="12"/>
    </row>
    <row r="252" ht="19.5" customHeight="1">
      <c r="A252" s="12"/>
      <c r="C252" s="12"/>
      <c r="D252" s="13"/>
      <c r="F252" s="14"/>
      <c r="G252" s="14"/>
      <c r="H252" s="14"/>
      <c r="I252" s="14"/>
      <c r="J252" s="14"/>
      <c r="K252" s="12"/>
    </row>
    <row r="253" ht="19.5" customHeight="1">
      <c r="A253" s="12"/>
      <c r="C253" s="12"/>
      <c r="D253" s="13"/>
      <c r="F253" s="14"/>
      <c r="G253" s="14"/>
      <c r="H253" s="14"/>
      <c r="I253" s="14"/>
      <c r="J253" s="14"/>
      <c r="K253" s="12"/>
    </row>
    <row r="254" ht="19.5" customHeight="1">
      <c r="A254" s="12"/>
      <c r="C254" s="12"/>
      <c r="D254" s="13"/>
      <c r="F254" s="14"/>
      <c r="G254" s="14"/>
      <c r="H254" s="14"/>
      <c r="I254" s="14"/>
      <c r="J254" s="14"/>
      <c r="K254" s="12"/>
    </row>
    <row r="255" ht="19.5" customHeight="1">
      <c r="A255" s="12"/>
      <c r="C255" s="12"/>
      <c r="D255" s="13"/>
      <c r="F255" s="14"/>
      <c r="G255" s="14"/>
      <c r="H255" s="14"/>
      <c r="I255" s="14"/>
      <c r="J255" s="14"/>
      <c r="K255" s="12"/>
    </row>
    <row r="256" ht="19.5" customHeight="1">
      <c r="A256" s="12"/>
      <c r="C256" s="12"/>
      <c r="D256" s="13"/>
      <c r="F256" s="14"/>
      <c r="G256" s="14"/>
      <c r="H256" s="14"/>
      <c r="I256" s="14"/>
      <c r="J256" s="14"/>
      <c r="K256" s="12"/>
    </row>
    <row r="257" ht="19.5" customHeight="1">
      <c r="A257" s="12"/>
      <c r="C257" s="12"/>
      <c r="D257" s="13"/>
      <c r="F257" s="14"/>
      <c r="G257" s="14"/>
      <c r="H257" s="14"/>
      <c r="I257" s="14"/>
      <c r="J257" s="14"/>
      <c r="K257" s="12"/>
    </row>
    <row r="258" ht="19.5" customHeight="1">
      <c r="A258" s="12"/>
      <c r="C258" s="12"/>
      <c r="D258" s="13"/>
      <c r="F258" s="14"/>
      <c r="G258" s="14"/>
      <c r="H258" s="14"/>
      <c r="I258" s="14"/>
      <c r="J258" s="14"/>
      <c r="K258" s="12"/>
    </row>
    <row r="259" ht="19.5" customHeight="1">
      <c r="A259" s="12"/>
      <c r="C259" s="12"/>
      <c r="D259" s="13"/>
      <c r="F259" s="14"/>
      <c r="G259" s="14"/>
      <c r="H259" s="14"/>
      <c r="I259" s="14"/>
      <c r="J259" s="14"/>
      <c r="K259" s="12"/>
    </row>
    <row r="260" ht="19.5" customHeight="1">
      <c r="A260" s="12"/>
      <c r="C260" s="12"/>
      <c r="D260" s="13"/>
      <c r="F260" s="14"/>
      <c r="G260" s="14"/>
      <c r="H260" s="14"/>
      <c r="I260" s="14"/>
      <c r="J260" s="14"/>
      <c r="K260" s="12"/>
    </row>
    <row r="261" ht="19.5" customHeight="1">
      <c r="A261" s="12"/>
      <c r="C261" s="12"/>
      <c r="D261" s="13"/>
      <c r="F261" s="14"/>
      <c r="G261" s="14"/>
      <c r="H261" s="14"/>
      <c r="I261" s="14"/>
      <c r="J261" s="14"/>
      <c r="K261" s="12"/>
    </row>
    <row r="262" ht="19.5" customHeight="1">
      <c r="A262" s="12"/>
      <c r="C262" s="12"/>
      <c r="D262" s="13"/>
      <c r="F262" s="14"/>
      <c r="G262" s="14"/>
      <c r="H262" s="14"/>
      <c r="I262" s="14"/>
      <c r="J262" s="14"/>
      <c r="K262" s="12"/>
    </row>
    <row r="263" ht="19.5" customHeight="1">
      <c r="A263" s="12"/>
      <c r="C263" s="12"/>
      <c r="D263" s="13"/>
      <c r="F263" s="14"/>
      <c r="G263" s="14"/>
      <c r="H263" s="14"/>
      <c r="I263" s="14"/>
      <c r="J263" s="14"/>
      <c r="K263" s="12"/>
    </row>
    <row r="264" ht="19.5" customHeight="1">
      <c r="A264" s="12"/>
      <c r="C264" s="12"/>
      <c r="D264" s="13"/>
      <c r="F264" s="14"/>
      <c r="G264" s="14"/>
      <c r="H264" s="14"/>
      <c r="I264" s="14"/>
      <c r="J264" s="14"/>
      <c r="K264" s="12"/>
    </row>
    <row r="265" ht="19.5" customHeight="1">
      <c r="A265" s="12"/>
      <c r="C265" s="12"/>
      <c r="D265" s="13"/>
      <c r="F265" s="14"/>
      <c r="G265" s="14"/>
      <c r="H265" s="14"/>
      <c r="I265" s="14"/>
      <c r="J265" s="14"/>
      <c r="K265" s="12"/>
    </row>
    <row r="266" ht="19.5" customHeight="1">
      <c r="A266" s="12"/>
      <c r="C266" s="12"/>
      <c r="D266" s="13"/>
      <c r="F266" s="14"/>
      <c r="G266" s="14"/>
      <c r="H266" s="14"/>
      <c r="I266" s="14"/>
      <c r="J266" s="14"/>
      <c r="K266" s="12"/>
    </row>
    <row r="267" ht="19.5" customHeight="1">
      <c r="A267" s="12"/>
      <c r="C267" s="12"/>
      <c r="D267" s="13"/>
      <c r="F267" s="14"/>
      <c r="G267" s="14"/>
      <c r="H267" s="14"/>
      <c r="I267" s="14"/>
      <c r="J267" s="14"/>
      <c r="K267" s="12"/>
    </row>
    <row r="268" ht="19.5" customHeight="1">
      <c r="A268" s="12"/>
      <c r="C268" s="12"/>
      <c r="D268" s="13"/>
      <c r="F268" s="14"/>
      <c r="G268" s="14"/>
      <c r="H268" s="14"/>
      <c r="I268" s="14"/>
      <c r="J268" s="14"/>
      <c r="K268" s="12"/>
    </row>
    <row r="269" ht="19.5" customHeight="1">
      <c r="A269" s="12"/>
      <c r="C269" s="12"/>
      <c r="D269" s="13"/>
      <c r="F269" s="14"/>
      <c r="G269" s="14"/>
      <c r="H269" s="14"/>
      <c r="I269" s="14"/>
      <c r="J269" s="14"/>
      <c r="K269" s="12"/>
    </row>
    <row r="270" ht="19.5" customHeight="1">
      <c r="A270" s="12"/>
      <c r="C270" s="12"/>
      <c r="D270" s="13"/>
      <c r="F270" s="14"/>
      <c r="G270" s="14"/>
      <c r="H270" s="14"/>
      <c r="I270" s="14"/>
      <c r="J270" s="14"/>
      <c r="K270" s="12"/>
    </row>
    <row r="271" ht="19.5" customHeight="1">
      <c r="A271" s="12"/>
      <c r="C271" s="12"/>
      <c r="D271" s="13"/>
      <c r="F271" s="14"/>
      <c r="G271" s="14"/>
      <c r="H271" s="14"/>
      <c r="I271" s="14"/>
      <c r="J271" s="14"/>
      <c r="K271" s="12"/>
    </row>
    <row r="272" ht="19.5" customHeight="1">
      <c r="A272" s="12"/>
      <c r="C272" s="12"/>
      <c r="D272" s="13"/>
      <c r="F272" s="14"/>
      <c r="G272" s="14"/>
      <c r="H272" s="14"/>
      <c r="I272" s="14"/>
      <c r="J272" s="14"/>
      <c r="K272" s="12"/>
    </row>
    <row r="273" ht="19.5" customHeight="1">
      <c r="A273" s="12"/>
      <c r="C273" s="12"/>
      <c r="D273" s="13"/>
      <c r="F273" s="14"/>
      <c r="G273" s="14"/>
      <c r="H273" s="14"/>
      <c r="I273" s="14"/>
      <c r="J273" s="14"/>
      <c r="K273" s="12"/>
    </row>
    <row r="274" ht="19.5" customHeight="1">
      <c r="A274" s="12"/>
      <c r="C274" s="12"/>
      <c r="D274" s="13"/>
      <c r="F274" s="14"/>
      <c r="G274" s="14"/>
      <c r="H274" s="14"/>
      <c r="I274" s="14"/>
      <c r="J274" s="14"/>
      <c r="K274" s="12"/>
    </row>
    <row r="275" ht="19.5" customHeight="1">
      <c r="A275" s="12"/>
      <c r="C275" s="12"/>
      <c r="D275" s="13"/>
      <c r="F275" s="14"/>
      <c r="G275" s="14"/>
      <c r="H275" s="14"/>
      <c r="I275" s="14"/>
      <c r="J275" s="14"/>
      <c r="K275" s="12"/>
    </row>
    <row r="276" ht="19.5" customHeight="1">
      <c r="A276" s="12"/>
      <c r="C276" s="12"/>
      <c r="D276" s="13"/>
      <c r="F276" s="14"/>
      <c r="G276" s="14"/>
      <c r="H276" s="14"/>
      <c r="I276" s="14"/>
      <c r="J276" s="14"/>
      <c r="K276" s="12"/>
    </row>
    <row r="277" ht="19.5" customHeight="1">
      <c r="A277" s="12"/>
      <c r="C277" s="12"/>
      <c r="D277" s="13"/>
      <c r="F277" s="14"/>
      <c r="G277" s="14"/>
      <c r="H277" s="14"/>
      <c r="I277" s="14"/>
      <c r="J277" s="14"/>
      <c r="K277" s="12"/>
    </row>
    <row r="278" ht="19.5" customHeight="1">
      <c r="A278" s="12"/>
      <c r="C278" s="12"/>
      <c r="D278" s="13"/>
      <c r="F278" s="14"/>
      <c r="G278" s="14"/>
      <c r="H278" s="14"/>
      <c r="I278" s="14"/>
      <c r="J278" s="14"/>
      <c r="K278" s="12"/>
    </row>
    <row r="279" ht="19.5" customHeight="1">
      <c r="A279" s="12"/>
      <c r="C279" s="12"/>
      <c r="D279" s="13"/>
      <c r="F279" s="14"/>
      <c r="G279" s="14"/>
      <c r="H279" s="14"/>
      <c r="I279" s="14"/>
      <c r="J279" s="14"/>
      <c r="K279" s="12"/>
    </row>
    <row r="280" ht="19.5" customHeight="1">
      <c r="A280" s="12"/>
      <c r="C280" s="12"/>
      <c r="D280" s="13"/>
      <c r="F280" s="14"/>
      <c r="G280" s="14"/>
      <c r="H280" s="14"/>
      <c r="I280" s="14"/>
      <c r="J280" s="14"/>
      <c r="K280" s="12"/>
    </row>
    <row r="281" ht="19.5" customHeight="1">
      <c r="A281" s="12"/>
      <c r="C281" s="12"/>
      <c r="D281" s="13"/>
      <c r="F281" s="14"/>
      <c r="G281" s="14"/>
      <c r="H281" s="14"/>
      <c r="I281" s="14"/>
      <c r="J281" s="14"/>
      <c r="K281" s="12"/>
    </row>
    <row r="282" ht="19.5" customHeight="1">
      <c r="A282" s="12"/>
      <c r="C282" s="12"/>
      <c r="D282" s="13"/>
      <c r="F282" s="14"/>
      <c r="G282" s="14"/>
      <c r="H282" s="14"/>
      <c r="I282" s="14"/>
      <c r="J282" s="14"/>
      <c r="K282" s="12"/>
    </row>
    <row r="283" ht="19.5" customHeight="1">
      <c r="A283" s="12"/>
      <c r="C283" s="12"/>
      <c r="D283" s="13"/>
      <c r="F283" s="14"/>
      <c r="G283" s="14"/>
      <c r="H283" s="14"/>
      <c r="I283" s="14"/>
      <c r="J283" s="14"/>
      <c r="K283" s="12"/>
    </row>
    <row r="284" ht="19.5" customHeight="1">
      <c r="A284" s="12"/>
      <c r="C284" s="12"/>
      <c r="D284" s="13"/>
      <c r="F284" s="14"/>
      <c r="G284" s="14"/>
      <c r="H284" s="14"/>
      <c r="I284" s="14"/>
      <c r="J284" s="14"/>
      <c r="K284" s="12"/>
    </row>
    <row r="285" ht="19.5" customHeight="1">
      <c r="A285" s="12"/>
      <c r="C285" s="12"/>
      <c r="D285" s="13"/>
      <c r="F285" s="14"/>
      <c r="G285" s="14"/>
      <c r="H285" s="14"/>
      <c r="I285" s="14"/>
      <c r="J285" s="14"/>
      <c r="K285" s="12"/>
    </row>
    <row r="286" ht="19.5" customHeight="1">
      <c r="A286" s="12"/>
      <c r="C286" s="12"/>
      <c r="D286" s="13"/>
      <c r="F286" s="14"/>
      <c r="G286" s="14"/>
      <c r="H286" s="14"/>
      <c r="I286" s="14"/>
      <c r="J286" s="14"/>
      <c r="K286" s="12"/>
    </row>
    <row r="287" ht="19.5" customHeight="1">
      <c r="A287" s="12"/>
      <c r="C287" s="12"/>
      <c r="D287" s="13"/>
      <c r="F287" s="14"/>
      <c r="G287" s="14"/>
      <c r="H287" s="14"/>
      <c r="I287" s="14"/>
      <c r="J287" s="14"/>
      <c r="K287" s="12"/>
    </row>
    <row r="288" ht="19.5" customHeight="1">
      <c r="A288" s="12"/>
      <c r="C288" s="12"/>
      <c r="D288" s="13"/>
      <c r="F288" s="14"/>
      <c r="G288" s="14"/>
      <c r="H288" s="14"/>
      <c r="I288" s="14"/>
      <c r="J288" s="14"/>
      <c r="K288" s="12"/>
    </row>
    <row r="289" ht="19.5" customHeight="1">
      <c r="A289" s="12"/>
      <c r="C289" s="12"/>
      <c r="D289" s="13"/>
      <c r="F289" s="14"/>
      <c r="G289" s="14"/>
      <c r="H289" s="14"/>
      <c r="I289" s="14"/>
      <c r="J289" s="14"/>
      <c r="K289" s="12"/>
    </row>
    <row r="290" ht="19.5" customHeight="1">
      <c r="A290" s="12"/>
      <c r="C290" s="12"/>
      <c r="D290" s="13"/>
      <c r="F290" s="14"/>
      <c r="G290" s="14"/>
      <c r="H290" s="14"/>
      <c r="I290" s="14"/>
      <c r="J290" s="14"/>
      <c r="K290" s="12"/>
    </row>
    <row r="291" ht="19.5" customHeight="1">
      <c r="A291" s="12"/>
      <c r="C291" s="12"/>
      <c r="D291" s="13"/>
      <c r="F291" s="14"/>
      <c r="G291" s="14"/>
      <c r="H291" s="14"/>
      <c r="I291" s="14"/>
      <c r="J291" s="14"/>
      <c r="K291" s="12"/>
    </row>
    <row r="292" ht="19.5" customHeight="1">
      <c r="A292" s="12"/>
      <c r="C292" s="12"/>
      <c r="D292" s="13"/>
      <c r="F292" s="14"/>
      <c r="G292" s="14"/>
      <c r="H292" s="14"/>
      <c r="I292" s="14"/>
      <c r="J292" s="14"/>
      <c r="K292" s="12"/>
    </row>
    <row r="293" ht="19.5" customHeight="1">
      <c r="A293" s="12"/>
      <c r="C293" s="12"/>
      <c r="D293" s="13"/>
      <c r="F293" s="14"/>
      <c r="G293" s="14"/>
      <c r="H293" s="14"/>
      <c r="I293" s="14"/>
      <c r="J293" s="14"/>
      <c r="K293" s="12"/>
    </row>
    <row r="294" ht="19.5" customHeight="1">
      <c r="A294" s="12"/>
      <c r="C294" s="12"/>
      <c r="D294" s="13"/>
      <c r="F294" s="14"/>
      <c r="G294" s="14"/>
      <c r="H294" s="14"/>
      <c r="I294" s="14"/>
      <c r="J294" s="14"/>
      <c r="K294" s="12"/>
    </row>
    <row r="295" ht="19.5" customHeight="1">
      <c r="A295" s="12"/>
      <c r="C295" s="12"/>
      <c r="D295" s="13"/>
      <c r="F295" s="14"/>
      <c r="G295" s="14"/>
      <c r="H295" s="14"/>
      <c r="I295" s="14"/>
      <c r="J295" s="14"/>
      <c r="K295" s="12"/>
    </row>
    <row r="296" ht="19.5" customHeight="1">
      <c r="A296" s="12"/>
      <c r="C296" s="12"/>
      <c r="D296" s="13"/>
      <c r="F296" s="14"/>
      <c r="G296" s="14"/>
      <c r="H296" s="14"/>
      <c r="I296" s="14"/>
      <c r="J296" s="14"/>
      <c r="K296" s="12"/>
    </row>
    <row r="297" ht="19.5" customHeight="1">
      <c r="A297" s="12"/>
      <c r="C297" s="12"/>
      <c r="D297" s="13"/>
      <c r="F297" s="14"/>
      <c r="G297" s="14"/>
      <c r="H297" s="14"/>
      <c r="I297" s="14"/>
      <c r="J297" s="14"/>
      <c r="K297" s="12"/>
    </row>
    <row r="298" ht="19.5" customHeight="1">
      <c r="A298" s="12"/>
      <c r="C298" s="12"/>
      <c r="D298" s="13"/>
      <c r="F298" s="14"/>
      <c r="G298" s="14"/>
      <c r="H298" s="14"/>
      <c r="I298" s="14"/>
      <c r="J298" s="14"/>
      <c r="K298" s="12"/>
    </row>
    <row r="299" ht="19.5" customHeight="1">
      <c r="A299" s="12"/>
      <c r="C299" s="12"/>
      <c r="D299" s="13"/>
      <c r="F299" s="14"/>
      <c r="G299" s="14"/>
      <c r="H299" s="14"/>
      <c r="I299" s="14"/>
      <c r="J299" s="14"/>
      <c r="K299" s="12"/>
    </row>
    <row r="300" ht="19.5" customHeight="1">
      <c r="A300" s="12"/>
      <c r="C300" s="12"/>
      <c r="D300" s="13"/>
      <c r="F300" s="14"/>
      <c r="G300" s="14"/>
      <c r="H300" s="14"/>
      <c r="I300" s="14"/>
      <c r="J300" s="14"/>
      <c r="K300" s="12"/>
    </row>
    <row r="301" ht="19.5" customHeight="1">
      <c r="A301" s="12"/>
      <c r="C301" s="12"/>
      <c r="D301" s="13"/>
      <c r="F301" s="14"/>
      <c r="G301" s="14"/>
      <c r="H301" s="14"/>
      <c r="I301" s="14"/>
      <c r="J301" s="14"/>
      <c r="K301" s="12"/>
    </row>
    <row r="302" ht="19.5" customHeight="1">
      <c r="A302" s="12"/>
      <c r="C302" s="12"/>
      <c r="D302" s="13"/>
      <c r="F302" s="14"/>
      <c r="G302" s="14"/>
      <c r="H302" s="14"/>
      <c r="I302" s="14"/>
      <c r="J302" s="14"/>
      <c r="K302" s="12"/>
    </row>
    <row r="303" ht="19.5" customHeight="1">
      <c r="A303" s="12"/>
      <c r="C303" s="12"/>
      <c r="D303" s="13"/>
      <c r="F303" s="14"/>
      <c r="G303" s="14"/>
      <c r="H303" s="14"/>
      <c r="I303" s="14"/>
      <c r="J303" s="14"/>
      <c r="K303" s="12"/>
    </row>
    <row r="304" ht="19.5" customHeight="1">
      <c r="A304" s="12"/>
      <c r="C304" s="12"/>
      <c r="D304" s="13"/>
      <c r="F304" s="14"/>
      <c r="G304" s="14"/>
      <c r="H304" s="14"/>
      <c r="I304" s="14"/>
      <c r="J304" s="14"/>
      <c r="K304" s="12"/>
    </row>
    <row r="305" ht="19.5" customHeight="1">
      <c r="A305" s="12"/>
      <c r="C305" s="12"/>
      <c r="D305" s="13"/>
      <c r="F305" s="14"/>
      <c r="G305" s="14"/>
      <c r="H305" s="14"/>
      <c r="I305" s="14"/>
      <c r="J305" s="14"/>
      <c r="K305" s="12"/>
    </row>
    <row r="306" ht="19.5" customHeight="1">
      <c r="A306" s="12"/>
      <c r="C306" s="12"/>
      <c r="D306" s="13"/>
      <c r="F306" s="14"/>
      <c r="G306" s="14"/>
      <c r="H306" s="14"/>
      <c r="I306" s="14"/>
      <c r="J306" s="14"/>
      <c r="K306" s="12"/>
    </row>
    <row r="307" ht="19.5" customHeight="1">
      <c r="A307" s="12"/>
      <c r="C307" s="12"/>
      <c r="D307" s="13"/>
      <c r="F307" s="14"/>
      <c r="G307" s="14"/>
      <c r="H307" s="14"/>
      <c r="I307" s="14"/>
      <c r="J307" s="14"/>
      <c r="K307" s="12"/>
    </row>
    <row r="308" ht="19.5" customHeight="1">
      <c r="A308" s="12"/>
      <c r="C308" s="12"/>
      <c r="D308" s="13"/>
      <c r="F308" s="14"/>
      <c r="G308" s="14"/>
      <c r="H308" s="14"/>
      <c r="I308" s="14"/>
      <c r="J308" s="14"/>
      <c r="K308" s="12"/>
    </row>
    <row r="309" ht="19.5" customHeight="1">
      <c r="A309" s="12"/>
      <c r="C309" s="12"/>
      <c r="D309" s="13"/>
      <c r="F309" s="14"/>
      <c r="G309" s="14"/>
      <c r="H309" s="14"/>
      <c r="I309" s="14"/>
      <c r="J309" s="14"/>
      <c r="K309" s="12"/>
    </row>
    <row r="310" ht="19.5" customHeight="1">
      <c r="A310" s="12"/>
      <c r="C310" s="12"/>
      <c r="D310" s="13"/>
      <c r="F310" s="14"/>
      <c r="G310" s="14"/>
      <c r="H310" s="14"/>
      <c r="I310" s="14"/>
      <c r="J310" s="14"/>
      <c r="K310" s="12"/>
    </row>
    <row r="311" ht="19.5" customHeight="1">
      <c r="A311" s="12"/>
      <c r="C311" s="12"/>
      <c r="D311" s="13"/>
      <c r="F311" s="14"/>
      <c r="G311" s="14"/>
      <c r="H311" s="14"/>
      <c r="I311" s="14"/>
      <c r="J311" s="14"/>
      <c r="K311" s="12"/>
    </row>
    <row r="312" ht="19.5" customHeight="1">
      <c r="A312" s="12"/>
      <c r="C312" s="12"/>
      <c r="D312" s="13"/>
      <c r="F312" s="14"/>
      <c r="G312" s="14"/>
      <c r="H312" s="14"/>
      <c r="I312" s="14"/>
      <c r="J312" s="14"/>
      <c r="K312" s="12"/>
    </row>
    <row r="313" ht="19.5" customHeight="1">
      <c r="A313" s="12"/>
      <c r="C313" s="12"/>
      <c r="D313" s="13"/>
      <c r="F313" s="14"/>
      <c r="G313" s="14"/>
      <c r="H313" s="14"/>
      <c r="I313" s="14"/>
      <c r="J313" s="14"/>
      <c r="K313" s="12"/>
    </row>
    <row r="314" ht="19.5" customHeight="1">
      <c r="A314" s="12"/>
      <c r="C314" s="12"/>
      <c r="D314" s="13"/>
      <c r="F314" s="14"/>
      <c r="G314" s="14"/>
      <c r="H314" s="14"/>
      <c r="I314" s="14"/>
      <c r="J314" s="14"/>
      <c r="K314" s="12"/>
    </row>
    <row r="315" ht="19.5" customHeight="1">
      <c r="A315" s="12"/>
      <c r="C315" s="12"/>
      <c r="D315" s="13"/>
      <c r="F315" s="14"/>
      <c r="G315" s="14"/>
      <c r="H315" s="14"/>
      <c r="I315" s="14"/>
      <c r="J315" s="14"/>
      <c r="K315" s="12"/>
    </row>
    <row r="316" ht="19.5" customHeight="1">
      <c r="A316" s="12"/>
      <c r="C316" s="12"/>
      <c r="D316" s="13"/>
      <c r="F316" s="14"/>
      <c r="G316" s="14"/>
      <c r="H316" s="14"/>
      <c r="I316" s="14"/>
      <c r="J316" s="14"/>
      <c r="K316" s="12"/>
    </row>
    <row r="317" ht="19.5" customHeight="1">
      <c r="A317" s="12"/>
      <c r="C317" s="12"/>
      <c r="D317" s="13"/>
      <c r="F317" s="14"/>
      <c r="G317" s="14"/>
      <c r="H317" s="14"/>
      <c r="I317" s="14"/>
      <c r="J317" s="14"/>
      <c r="K317" s="12"/>
    </row>
    <row r="318" ht="19.5" customHeight="1">
      <c r="A318" s="12"/>
      <c r="C318" s="12"/>
      <c r="D318" s="13"/>
      <c r="F318" s="14"/>
      <c r="G318" s="14"/>
      <c r="H318" s="14"/>
      <c r="I318" s="14"/>
      <c r="J318" s="14"/>
      <c r="K318" s="12"/>
    </row>
    <row r="319" ht="19.5" customHeight="1">
      <c r="A319" s="12"/>
      <c r="C319" s="12"/>
      <c r="D319" s="13"/>
      <c r="F319" s="14"/>
      <c r="G319" s="14"/>
      <c r="H319" s="14"/>
      <c r="I319" s="14"/>
      <c r="J319" s="14"/>
      <c r="K319" s="12"/>
    </row>
    <row r="320" ht="19.5" customHeight="1">
      <c r="A320" s="12"/>
      <c r="C320" s="12"/>
      <c r="D320" s="13"/>
      <c r="F320" s="14"/>
      <c r="G320" s="14"/>
      <c r="H320" s="14"/>
      <c r="I320" s="14"/>
      <c r="J320" s="14"/>
      <c r="K320" s="12"/>
    </row>
    <row r="321" ht="19.5" customHeight="1">
      <c r="A321" s="12"/>
      <c r="C321" s="12"/>
      <c r="D321" s="13"/>
      <c r="F321" s="14"/>
      <c r="G321" s="14"/>
      <c r="H321" s="14"/>
      <c r="I321" s="14"/>
      <c r="J321" s="14"/>
      <c r="K321" s="12"/>
    </row>
    <row r="322" ht="19.5" customHeight="1">
      <c r="A322" s="12"/>
      <c r="C322" s="12"/>
      <c r="D322" s="13"/>
      <c r="F322" s="14"/>
      <c r="G322" s="14"/>
      <c r="H322" s="14"/>
      <c r="I322" s="14"/>
      <c r="J322" s="14"/>
      <c r="K322" s="12"/>
    </row>
    <row r="323" ht="19.5" customHeight="1">
      <c r="A323" s="12"/>
      <c r="C323" s="12"/>
      <c r="D323" s="13"/>
      <c r="F323" s="14"/>
      <c r="G323" s="14"/>
      <c r="H323" s="14"/>
      <c r="I323" s="14"/>
      <c r="J323" s="14"/>
      <c r="K323" s="12"/>
    </row>
    <row r="324" ht="19.5" customHeight="1">
      <c r="A324" s="12"/>
      <c r="C324" s="12"/>
      <c r="D324" s="13"/>
      <c r="F324" s="14"/>
      <c r="G324" s="14"/>
      <c r="H324" s="14"/>
      <c r="I324" s="14"/>
      <c r="J324" s="14"/>
      <c r="K324" s="12"/>
    </row>
    <row r="325" ht="19.5" customHeight="1">
      <c r="A325" s="12"/>
      <c r="C325" s="12"/>
      <c r="D325" s="13"/>
      <c r="F325" s="14"/>
      <c r="G325" s="14"/>
      <c r="H325" s="14"/>
      <c r="I325" s="14"/>
      <c r="J325" s="14"/>
      <c r="K325" s="12"/>
    </row>
    <row r="326" ht="19.5" customHeight="1">
      <c r="A326" s="12"/>
      <c r="C326" s="12"/>
      <c r="D326" s="13"/>
      <c r="F326" s="14"/>
      <c r="G326" s="14"/>
      <c r="H326" s="14"/>
      <c r="I326" s="14"/>
      <c r="J326" s="14"/>
      <c r="K326" s="12"/>
    </row>
    <row r="327" ht="19.5" customHeight="1">
      <c r="A327" s="12"/>
      <c r="C327" s="12"/>
      <c r="D327" s="13"/>
      <c r="F327" s="14"/>
      <c r="G327" s="14"/>
      <c r="H327" s="14"/>
      <c r="I327" s="14"/>
      <c r="J327" s="14"/>
      <c r="K327" s="12"/>
    </row>
    <row r="328" ht="19.5" customHeight="1">
      <c r="A328" s="12"/>
      <c r="C328" s="12"/>
      <c r="D328" s="13"/>
      <c r="F328" s="14"/>
      <c r="G328" s="14"/>
      <c r="H328" s="14"/>
      <c r="I328" s="14"/>
      <c r="J328" s="14"/>
      <c r="K328" s="12"/>
    </row>
    <row r="329" ht="19.5" customHeight="1">
      <c r="A329" s="12"/>
      <c r="C329" s="12"/>
      <c r="D329" s="13"/>
      <c r="F329" s="14"/>
      <c r="G329" s="14"/>
      <c r="H329" s="14"/>
      <c r="I329" s="14"/>
      <c r="J329" s="14"/>
      <c r="K329" s="12"/>
    </row>
    <row r="330" ht="19.5" customHeight="1">
      <c r="A330" s="12"/>
      <c r="C330" s="12"/>
      <c r="D330" s="13"/>
      <c r="F330" s="14"/>
      <c r="G330" s="14"/>
      <c r="H330" s="14"/>
      <c r="I330" s="14"/>
      <c r="J330" s="14"/>
      <c r="K330" s="12"/>
    </row>
    <row r="331" ht="19.5" customHeight="1">
      <c r="A331" s="12"/>
      <c r="C331" s="12"/>
      <c r="D331" s="13"/>
      <c r="F331" s="14"/>
      <c r="G331" s="14"/>
      <c r="H331" s="14"/>
      <c r="I331" s="14"/>
      <c r="J331" s="14"/>
      <c r="K331" s="12"/>
    </row>
    <row r="332" ht="19.5" customHeight="1">
      <c r="A332" s="12"/>
      <c r="C332" s="12"/>
      <c r="D332" s="13"/>
      <c r="F332" s="14"/>
      <c r="G332" s="14"/>
      <c r="H332" s="14"/>
      <c r="I332" s="14"/>
      <c r="J332" s="14"/>
      <c r="K332" s="12"/>
    </row>
    <row r="333" ht="19.5" customHeight="1">
      <c r="A333" s="12"/>
      <c r="C333" s="12"/>
      <c r="D333" s="13"/>
      <c r="F333" s="14"/>
      <c r="G333" s="14"/>
      <c r="H333" s="14"/>
      <c r="I333" s="14"/>
      <c r="J333" s="14"/>
      <c r="K333" s="12"/>
    </row>
    <row r="334" ht="19.5" customHeight="1">
      <c r="A334" s="12"/>
      <c r="C334" s="12"/>
      <c r="D334" s="13"/>
      <c r="F334" s="14"/>
      <c r="G334" s="14"/>
      <c r="H334" s="14"/>
      <c r="I334" s="14"/>
      <c r="J334" s="14"/>
      <c r="K334" s="12"/>
    </row>
    <row r="335" ht="19.5" customHeight="1">
      <c r="A335" s="12"/>
      <c r="C335" s="12"/>
      <c r="D335" s="13"/>
      <c r="F335" s="14"/>
      <c r="G335" s="14"/>
      <c r="H335" s="14"/>
      <c r="I335" s="14"/>
      <c r="J335" s="14"/>
      <c r="K335" s="12"/>
    </row>
    <row r="336" ht="19.5" customHeight="1">
      <c r="A336" s="12"/>
      <c r="C336" s="12"/>
      <c r="D336" s="13"/>
      <c r="F336" s="14"/>
      <c r="G336" s="14"/>
      <c r="H336" s="14"/>
      <c r="I336" s="14"/>
      <c r="J336" s="14"/>
      <c r="K336" s="12"/>
    </row>
    <row r="337" ht="19.5" customHeight="1">
      <c r="A337" s="12"/>
      <c r="C337" s="12"/>
      <c r="D337" s="13"/>
      <c r="F337" s="14"/>
      <c r="G337" s="14"/>
      <c r="H337" s="14"/>
      <c r="I337" s="14"/>
      <c r="J337" s="14"/>
      <c r="K337" s="12"/>
    </row>
    <row r="338" ht="19.5" customHeight="1">
      <c r="A338" s="12"/>
      <c r="C338" s="12"/>
      <c r="D338" s="13"/>
      <c r="F338" s="14"/>
      <c r="G338" s="14"/>
      <c r="H338" s="14"/>
      <c r="I338" s="14"/>
      <c r="J338" s="14"/>
      <c r="K338" s="12"/>
    </row>
    <row r="339" ht="19.5" customHeight="1">
      <c r="A339" s="12"/>
      <c r="C339" s="12"/>
      <c r="D339" s="13"/>
      <c r="F339" s="14"/>
      <c r="G339" s="14"/>
      <c r="H339" s="14"/>
      <c r="I339" s="14"/>
      <c r="J339" s="14"/>
      <c r="K339" s="12"/>
    </row>
    <row r="340" ht="19.5" customHeight="1">
      <c r="A340" s="12"/>
      <c r="C340" s="12"/>
      <c r="D340" s="13"/>
      <c r="F340" s="14"/>
      <c r="G340" s="14"/>
      <c r="H340" s="14"/>
      <c r="I340" s="14"/>
      <c r="J340" s="14"/>
      <c r="K340" s="12"/>
    </row>
    <row r="341" ht="19.5" customHeight="1">
      <c r="A341" s="12"/>
      <c r="C341" s="12"/>
      <c r="D341" s="13"/>
      <c r="F341" s="14"/>
      <c r="G341" s="14"/>
      <c r="H341" s="14"/>
      <c r="I341" s="14"/>
      <c r="J341" s="14"/>
      <c r="K341" s="12"/>
    </row>
    <row r="342" ht="19.5" customHeight="1">
      <c r="A342" s="12"/>
      <c r="C342" s="12"/>
      <c r="D342" s="13"/>
      <c r="F342" s="14"/>
      <c r="G342" s="14"/>
      <c r="H342" s="14"/>
      <c r="I342" s="14"/>
      <c r="J342" s="14"/>
      <c r="K342" s="12"/>
    </row>
    <row r="343" ht="19.5" customHeight="1">
      <c r="A343" s="12"/>
      <c r="C343" s="12"/>
      <c r="D343" s="13"/>
      <c r="F343" s="14"/>
      <c r="G343" s="14"/>
      <c r="H343" s="14"/>
      <c r="I343" s="14"/>
      <c r="J343" s="14"/>
      <c r="K343" s="12"/>
    </row>
    <row r="344" ht="19.5" customHeight="1">
      <c r="A344" s="12"/>
      <c r="C344" s="12"/>
      <c r="D344" s="13"/>
      <c r="F344" s="14"/>
      <c r="G344" s="14"/>
      <c r="H344" s="14"/>
      <c r="I344" s="14"/>
      <c r="J344" s="14"/>
      <c r="K344" s="12"/>
    </row>
    <row r="345" ht="19.5" customHeight="1">
      <c r="A345" s="12"/>
      <c r="C345" s="12"/>
      <c r="D345" s="13"/>
      <c r="F345" s="14"/>
      <c r="G345" s="14"/>
      <c r="H345" s="14"/>
      <c r="I345" s="14"/>
      <c r="J345" s="14"/>
      <c r="K345" s="12"/>
    </row>
    <row r="346" ht="19.5" customHeight="1">
      <c r="A346" s="12"/>
      <c r="C346" s="12"/>
      <c r="D346" s="13"/>
      <c r="F346" s="14"/>
      <c r="G346" s="14"/>
      <c r="H346" s="14"/>
      <c r="I346" s="14"/>
      <c r="J346" s="14"/>
      <c r="K346" s="12"/>
    </row>
    <row r="347" ht="19.5" customHeight="1">
      <c r="A347" s="12"/>
      <c r="C347" s="12"/>
      <c r="D347" s="13"/>
      <c r="F347" s="14"/>
      <c r="G347" s="14"/>
      <c r="H347" s="14"/>
      <c r="I347" s="14"/>
      <c r="J347" s="14"/>
      <c r="K347" s="12"/>
    </row>
    <row r="348" ht="19.5" customHeight="1">
      <c r="A348" s="12"/>
      <c r="C348" s="12"/>
      <c r="D348" s="13"/>
      <c r="F348" s="14"/>
      <c r="G348" s="14"/>
      <c r="H348" s="14"/>
      <c r="I348" s="14"/>
      <c r="J348" s="14"/>
      <c r="K348" s="12"/>
    </row>
    <row r="349" ht="19.5" customHeight="1">
      <c r="A349" s="12"/>
      <c r="C349" s="12"/>
      <c r="D349" s="13"/>
      <c r="F349" s="14"/>
      <c r="G349" s="14"/>
      <c r="H349" s="14"/>
      <c r="I349" s="14"/>
      <c r="J349" s="14"/>
      <c r="K349" s="12"/>
    </row>
    <row r="350" ht="19.5" customHeight="1">
      <c r="A350" s="12"/>
      <c r="C350" s="12"/>
      <c r="D350" s="13"/>
      <c r="F350" s="14"/>
      <c r="G350" s="14"/>
      <c r="H350" s="14"/>
      <c r="I350" s="14"/>
      <c r="J350" s="14"/>
      <c r="K350" s="12"/>
    </row>
    <row r="351" ht="19.5" customHeight="1">
      <c r="A351" s="12"/>
      <c r="C351" s="12"/>
      <c r="D351" s="13"/>
      <c r="F351" s="14"/>
      <c r="G351" s="14"/>
      <c r="H351" s="14"/>
      <c r="I351" s="14"/>
      <c r="J351" s="14"/>
      <c r="K351" s="12"/>
    </row>
    <row r="352" ht="19.5" customHeight="1">
      <c r="A352" s="12"/>
      <c r="C352" s="12"/>
      <c r="D352" s="13"/>
      <c r="F352" s="14"/>
      <c r="G352" s="14"/>
      <c r="H352" s="14"/>
      <c r="I352" s="14"/>
      <c r="J352" s="14"/>
      <c r="K352" s="12"/>
    </row>
    <row r="353" ht="19.5" customHeight="1">
      <c r="A353" s="12"/>
      <c r="C353" s="12"/>
      <c r="D353" s="13"/>
      <c r="F353" s="14"/>
      <c r="G353" s="14"/>
      <c r="H353" s="14"/>
      <c r="I353" s="14"/>
      <c r="J353" s="14"/>
      <c r="K353" s="12"/>
    </row>
    <row r="354" ht="19.5" customHeight="1">
      <c r="A354" s="12"/>
      <c r="C354" s="12"/>
      <c r="D354" s="13"/>
      <c r="F354" s="14"/>
      <c r="G354" s="14"/>
      <c r="H354" s="14"/>
      <c r="I354" s="14"/>
      <c r="J354" s="14"/>
      <c r="K354" s="12"/>
    </row>
    <row r="355" ht="19.5" customHeight="1">
      <c r="A355" s="12"/>
      <c r="C355" s="12"/>
      <c r="D355" s="13"/>
      <c r="F355" s="14"/>
      <c r="G355" s="14"/>
      <c r="H355" s="14"/>
      <c r="I355" s="14"/>
      <c r="J355" s="14"/>
      <c r="K355" s="12"/>
    </row>
    <row r="356" ht="19.5" customHeight="1">
      <c r="A356" s="12"/>
      <c r="C356" s="12"/>
      <c r="D356" s="13"/>
      <c r="F356" s="14"/>
      <c r="G356" s="14"/>
      <c r="H356" s="14"/>
      <c r="I356" s="14"/>
      <c r="J356" s="14"/>
      <c r="K356" s="12"/>
    </row>
    <row r="357" ht="19.5" customHeight="1">
      <c r="A357" s="12"/>
      <c r="C357" s="12"/>
      <c r="D357" s="13"/>
      <c r="F357" s="14"/>
      <c r="G357" s="14"/>
      <c r="H357" s="14"/>
      <c r="I357" s="14"/>
      <c r="J357" s="14"/>
      <c r="K357" s="12"/>
    </row>
    <row r="358" ht="19.5" customHeight="1">
      <c r="A358" s="12"/>
      <c r="C358" s="12"/>
      <c r="D358" s="13"/>
      <c r="F358" s="14"/>
      <c r="G358" s="14"/>
      <c r="H358" s="14"/>
      <c r="I358" s="14"/>
      <c r="J358" s="14"/>
      <c r="K358" s="12"/>
    </row>
    <row r="359" ht="19.5" customHeight="1">
      <c r="A359" s="12"/>
      <c r="C359" s="12"/>
      <c r="D359" s="13"/>
      <c r="F359" s="14"/>
      <c r="G359" s="14"/>
      <c r="H359" s="14"/>
      <c r="I359" s="14"/>
      <c r="J359" s="14"/>
      <c r="K359" s="12"/>
    </row>
    <row r="360" ht="19.5" customHeight="1">
      <c r="A360" s="12"/>
      <c r="C360" s="12"/>
      <c r="D360" s="13"/>
      <c r="F360" s="14"/>
      <c r="G360" s="14"/>
      <c r="H360" s="14"/>
      <c r="I360" s="14"/>
      <c r="J360" s="14"/>
      <c r="K360" s="12"/>
    </row>
    <row r="361" ht="19.5" customHeight="1">
      <c r="A361" s="12"/>
      <c r="C361" s="12"/>
      <c r="D361" s="13"/>
      <c r="F361" s="14"/>
      <c r="G361" s="14"/>
      <c r="H361" s="14"/>
      <c r="I361" s="14"/>
      <c r="J361" s="14"/>
      <c r="K361" s="12"/>
    </row>
    <row r="362" ht="19.5" customHeight="1">
      <c r="A362" s="12"/>
      <c r="C362" s="12"/>
      <c r="D362" s="13"/>
      <c r="F362" s="14"/>
      <c r="G362" s="14"/>
      <c r="H362" s="14"/>
      <c r="I362" s="14"/>
      <c r="J362" s="14"/>
      <c r="K362" s="12"/>
    </row>
    <row r="363" ht="19.5" customHeight="1">
      <c r="A363" s="12"/>
      <c r="C363" s="12"/>
      <c r="D363" s="13"/>
      <c r="F363" s="14"/>
      <c r="G363" s="14"/>
      <c r="H363" s="14"/>
      <c r="I363" s="14"/>
      <c r="J363" s="14"/>
      <c r="K363" s="12"/>
    </row>
    <row r="364" ht="19.5" customHeight="1">
      <c r="A364" s="12"/>
      <c r="C364" s="12"/>
      <c r="D364" s="13"/>
      <c r="F364" s="14"/>
      <c r="G364" s="14"/>
      <c r="H364" s="14"/>
      <c r="I364" s="14"/>
      <c r="J364" s="14"/>
      <c r="K364" s="12"/>
    </row>
    <row r="365" ht="19.5" customHeight="1">
      <c r="A365" s="12"/>
      <c r="C365" s="12"/>
      <c r="D365" s="13"/>
      <c r="F365" s="14"/>
      <c r="G365" s="14"/>
      <c r="H365" s="14"/>
      <c r="I365" s="14"/>
      <c r="J365" s="14"/>
      <c r="K365" s="12"/>
    </row>
    <row r="366" ht="19.5" customHeight="1">
      <c r="A366" s="12"/>
      <c r="C366" s="12"/>
      <c r="D366" s="13"/>
      <c r="F366" s="14"/>
      <c r="G366" s="14"/>
      <c r="H366" s="14"/>
      <c r="I366" s="14"/>
      <c r="J366" s="14"/>
      <c r="K366" s="12"/>
    </row>
    <row r="367" ht="19.5" customHeight="1">
      <c r="A367" s="12"/>
      <c r="C367" s="12"/>
      <c r="D367" s="13"/>
      <c r="F367" s="14"/>
      <c r="G367" s="14"/>
      <c r="H367" s="14"/>
      <c r="I367" s="14"/>
      <c r="J367" s="14"/>
      <c r="K367" s="12"/>
    </row>
    <row r="368" ht="19.5" customHeight="1">
      <c r="A368" s="12"/>
      <c r="C368" s="12"/>
      <c r="D368" s="13"/>
      <c r="F368" s="14"/>
      <c r="G368" s="14"/>
      <c r="H368" s="14"/>
      <c r="I368" s="14"/>
      <c r="J368" s="14"/>
      <c r="K368" s="12"/>
    </row>
    <row r="369" ht="19.5" customHeight="1">
      <c r="A369" s="12"/>
      <c r="C369" s="12"/>
      <c r="D369" s="13"/>
      <c r="F369" s="14"/>
      <c r="G369" s="14"/>
      <c r="H369" s="14"/>
      <c r="I369" s="14"/>
      <c r="J369" s="14"/>
      <c r="K369" s="12"/>
    </row>
    <row r="370" ht="19.5" customHeight="1">
      <c r="A370" s="12"/>
      <c r="C370" s="12"/>
      <c r="D370" s="13"/>
      <c r="F370" s="14"/>
      <c r="G370" s="14"/>
      <c r="H370" s="14"/>
      <c r="I370" s="14"/>
      <c r="J370" s="14"/>
      <c r="K370" s="12"/>
    </row>
    <row r="371" ht="19.5" customHeight="1">
      <c r="A371" s="12"/>
      <c r="C371" s="12"/>
      <c r="D371" s="13"/>
      <c r="F371" s="14"/>
      <c r="G371" s="14"/>
      <c r="H371" s="14"/>
      <c r="I371" s="14"/>
      <c r="J371" s="14"/>
      <c r="K371" s="12"/>
    </row>
    <row r="372" ht="19.5" customHeight="1">
      <c r="A372" s="12"/>
      <c r="C372" s="12"/>
      <c r="D372" s="13"/>
      <c r="F372" s="14"/>
      <c r="G372" s="14"/>
      <c r="H372" s="14"/>
      <c r="I372" s="14"/>
      <c r="J372" s="14"/>
      <c r="K372" s="12"/>
    </row>
    <row r="373" ht="19.5" customHeight="1">
      <c r="A373" s="12"/>
      <c r="C373" s="12"/>
      <c r="D373" s="13"/>
      <c r="F373" s="14"/>
      <c r="G373" s="14"/>
      <c r="H373" s="14"/>
      <c r="I373" s="14"/>
      <c r="J373" s="14"/>
      <c r="K373" s="12"/>
    </row>
    <row r="374" ht="19.5" customHeight="1">
      <c r="A374" s="12"/>
      <c r="C374" s="12"/>
      <c r="D374" s="13"/>
      <c r="F374" s="14"/>
      <c r="G374" s="14"/>
      <c r="H374" s="14"/>
      <c r="I374" s="14"/>
      <c r="J374" s="14"/>
      <c r="K374" s="12"/>
    </row>
    <row r="375" ht="19.5" customHeight="1">
      <c r="A375" s="12"/>
      <c r="C375" s="12"/>
      <c r="D375" s="13"/>
      <c r="F375" s="14"/>
      <c r="G375" s="14"/>
      <c r="H375" s="14"/>
      <c r="I375" s="14"/>
      <c r="J375" s="14"/>
      <c r="K375" s="12"/>
    </row>
    <row r="376" ht="19.5" customHeight="1">
      <c r="A376" s="12"/>
      <c r="C376" s="12"/>
      <c r="D376" s="13"/>
      <c r="F376" s="14"/>
      <c r="G376" s="14"/>
      <c r="H376" s="14"/>
      <c r="I376" s="14"/>
      <c r="J376" s="14"/>
      <c r="K376" s="12"/>
    </row>
    <row r="377" ht="19.5" customHeight="1">
      <c r="A377" s="12"/>
      <c r="C377" s="12"/>
      <c r="D377" s="13"/>
      <c r="F377" s="14"/>
      <c r="G377" s="14"/>
      <c r="H377" s="14"/>
      <c r="I377" s="14"/>
      <c r="J377" s="14"/>
      <c r="K377" s="12"/>
    </row>
    <row r="378" ht="19.5" customHeight="1">
      <c r="A378" s="12"/>
      <c r="C378" s="12"/>
      <c r="D378" s="13"/>
      <c r="F378" s="14"/>
      <c r="G378" s="14"/>
      <c r="H378" s="14"/>
      <c r="I378" s="14"/>
      <c r="J378" s="14"/>
      <c r="K378" s="12"/>
    </row>
    <row r="379" ht="19.5" customHeight="1">
      <c r="A379" s="12"/>
      <c r="C379" s="12"/>
      <c r="D379" s="13"/>
      <c r="F379" s="14"/>
      <c r="G379" s="14"/>
      <c r="H379" s="14"/>
      <c r="I379" s="14"/>
      <c r="J379" s="14"/>
      <c r="K379" s="12"/>
    </row>
    <row r="380" ht="19.5" customHeight="1">
      <c r="A380" s="12"/>
      <c r="C380" s="12"/>
      <c r="D380" s="13"/>
      <c r="F380" s="14"/>
      <c r="G380" s="14"/>
      <c r="H380" s="14"/>
      <c r="I380" s="14"/>
      <c r="J380" s="14"/>
      <c r="K380" s="12"/>
    </row>
    <row r="381" ht="19.5" customHeight="1">
      <c r="A381" s="12"/>
      <c r="C381" s="12"/>
      <c r="D381" s="13"/>
      <c r="F381" s="14"/>
      <c r="G381" s="14"/>
      <c r="H381" s="14"/>
      <c r="I381" s="14"/>
      <c r="J381" s="14"/>
      <c r="K381" s="12"/>
    </row>
    <row r="382" ht="19.5" customHeight="1">
      <c r="A382" s="12"/>
      <c r="C382" s="12"/>
      <c r="D382" s="13"/>
      <c r="F382" s="14"/>
      <c r="G382" s="14"/>
      <c r="H382" s="14"/>
      <c r="I382" s="14"/>
      <c r="J382" s="14"/>
      <c r="K382" s="12"/>
    </row>
    <row r="383" ht="19.5" customHeight="1">
      <c r="A383" s="12"/>
      <c r="C383" s="12"/>
      <c r="D383" s="13"/>
      <c r="F383" s="14"/>
      <c r="G383" s="14"/>
      <c r="H383" s="14"/>
      <c r="I383" s="14"/>
      <c r="J383" s="14"/>
      <c r="K383" s="12"/>
    </row>
    <row r="384" ht="19.5" customHeight="1">
      <c r="A384" s="12"/>
      <c r="C384" s="12"/>
      <c r="D384" s="13"/>
      <c r="F384" s="14"/>
      <c r="G384" s="14"/>
      <c r="H384" s="14"/>
      <c r="I384" s="14"/>
      <c r="J384" s="14"/>
      <c r="K384" s="12"/>
    </row>
    <row r="385" ht="19.5" customHeight="1">
      <c r="A385" s="12"/>
      <c r="C385" s="12"/>
      <c r="D385" s="13"/>
      <c r="F385" s="14"/>
      <c r="G385" s="14"/>
      <c r="H385" s="14"/>
      <c r="I385" s="14"/>
      <c r="J385" s="14"/>
      <c r="K385" s="12"/>
    </row>
    <row r="386" ht="19.5" customHeight="1">
      <c r="A386" s="12"/>
      <c r="C386" s="12"/>
      <c r="D386" s="13"/>
      <c r="F386" s="14"/>
      <c r="G386" s="14"/>
      <c r="H386" s="14"/>
      <c r="I386" s="14"/>
      <c r="J386" s="14"/>
      <c r="K386" s="12"/>
    </row>
    <row r="387" ht="19.5" customHeight="1">
      <c r="A387" s="12"/>
      <c r="C387" s="12"/>
      <c r="D387" s="13"/>
      <c r="F387" s="14"/>
      <c r="G387" s="14"/>
      <c r="H387" s="14"/>
      <c r="I387" s="14"/>
      <c r="J387" s="14"/>
      <c r="K387" s="12"/>
    </row>
    <row r="388" ht="19.5" customHeight="1">
      <c r="A388" s="12"/>
      <c r="C388" s="12"/>
      <c r="D388" s="13"/>
      <c r="F388" s="14"/>
      <c r="G388" s="14"/>
      <c r="H388" s="14"/>
      <c r="I388" s="14"/>
      <c r="J388" s="14"/>
      <c r="K388" s="12"/>
    </row>
    <row r="389" ht="19.5" customHeight="1">
      <c r="A389" s="12"/>
      <c r="C389" s="12"/>
      <c r="D389" s="13"/>
      <c r="F389" s="14"/>
      <c r="G389" s="14"/>
      <c r="H389" s="14"/>
      <c r="I389" s="14"/>
      <c r="J389" s="14"/>
      <c r="K389" s="12"/>
    </row>
    <row r="390" ht="19.5" customHeight="1">
      <c r="A390" s="12"/>
      <c r="C390" s="12"/>
      <c r="D390" s="13"/>
      <c r="F390" s="14"/>
      <c r="G390" s="14"/>
      <c r="H390" s="14"/>
      <c r="I390" s="14"/>
      <c r="J390" s="14"/>
      <c r="K390" s="12"/>
    </row>
    <row r="391" ht="19.5" customHeight="1">
      <c r="A391" s="12"/>
      <c r="C391" s="12"/>
      <c r="D391" s="13"/>
      <c r="F391" s="14"/>
      <c r="G391" s="14"/>
      <c r="H391" s="14"/>
      <c r="I391" s="14"/>
      <c r="J391" s="14"/>
      <c r="K391" s="12"/>
    </row>
    <row r="392" ht="19.5" customHeight="1">
      <c r="A392" s="12"/>
      <c r="C392" s="12"/>
      <c r="D392" s="13"/>
      <c r="F392" s="14"/>
      <c r="G392" s="14"/>
      <c r="H392" s="14"/>
      <c r="I392" s="14"/>
      <c r="J392" s="14"/>
      <c r="K392" s="12"/>
    </row>
    <row r="393" ht="19.5" customHeight="1">
      <c r="A393" s="12"/>
      <c r="C393" s="12"/>
      <c r="D393" s="13"/>
      <c r="F393" s="14"/>
      <c r="G393" s="14"/>
      <c r="H393" s="14"/>
      <c r="I393" s="14"/>
      <c r="J393" s="14"/>
      <c r="K393" s="12"/>
    </row>
    <row r="394" ht="19.5" customHeight="1">
      <c r="A394" s="12"/>
      <c r="C394" s="12"/>
      <c r="D394" s="13"/>
      <c r="F394" s="14"/>
      <c r="G394" s="14"/>
      <c r="H394" s="14"/>
      <c r="I394" s="14"/>
      <c r="J394" s="14"/>
      <c r="K394" s="12"/>
    </row>
    <row r="395" ht="19.5" customHeight="1">
      <c r="A395" s="12"/>
      <c r="C395" s="12"/>
      <c r="D395" s="13"/>
      <c r="F395" s="14"/>
      <c r="G395" s="14"/>
      <c r="H395" s="14"/>
      <c r="I395" s="14"/>
      <c r="J395" s="14"/>
      <c r="K395" s="12"/>
    </row>
    <row r="396" ht="19.5" customHeight="1">
      <c r="A396" s="12"/>
      <c r="C396" s="12"/>
      <c r="D396" s="13"/>
      <c r="F396" s="14"/>
      <c r="G396" s="14"/>
      <c r="H396" s="14"/>
      <c r="I396" s="14"/>
      <c r="J396" s="14"/>
      <c r="K396" s="12"/>
    </row>
    <row r="397" ht="19.5" customHeight="1">
      <c r="A397" s="12"/>
      <c r="C397" s="12"/>
      <c r="D397" s="13"/>
      <c r="F397" s="14"/>
      <c r="G397" s="14"/>
      <c r="H397" s="14"/>
      <c r="I397" s="14"/>
      <c r="J397" s="14"/>
      <c r="K397" s="12"/>
    </row>
    <row r="398" ht="19.5" customHeight="1">
      <c r="A398" s="12"/>
      <c r="C398" s="12"/>
      <c r="D398" s="13"/>
      <c r="F398" s="14"/>
      <c r="G398" s="14"/>
      <c r="H398" s="14"/>
      <c r="I398" s="14"/>
      <c r="J398" s="14"/>
      <c r="K398" s="12"/>
    </row>
    <row r="399" ht="19.5" customHeight="1">
      <c r="A399" s="12"/>
      <c r="C399" s="12"/>
      <c r="D399" s="13"/>
      <c r="F399" s="14"/>
      <c r="G399" s="14"/>
      <c r="H399" s="14"/>
      <c r="I399" s="14"/>
      <c r="J399" s="14"/>
      <c r="K399" s="12"/>
    </row>
    <row r="400" ht="19.5" customHeight="1">
      <c r="A400" s="12"/>
      <c r="C400" s="12"/>
      <c r="D400" s="13"/>
      <c r="F400" s="14"/>
      <c r="G400" s="14"/>
      <c r="H400" s="14"/>
      <c r="I400" s="14"/>
      <c r="J400" s="14"/>
      <c r="K400" s="12"/>
    </row>
    <row r="401" ht="19.5" customHeight="1">
      <c r="A401" s="12"/>
      <c r="C401" s="12"/>
      <c r="D401" s="13"/>
      <c r="F401" s="14"/>
      <c r="G401" s="14"/>
      <c r="H401" s="14"/>
      <c r="I401" s="14"/>
      <c r="J401" s="14"/>
      <c r="K401" s="12"/>
    </row>
    <row r="402" ht="19.5" customHeight="1">
      <c r="A402" s="12"/>
      <c r="C402" s="12"/>
      <c r="D402" s="13"/>
      <c r="F402" s="14"/>
      <c r="G402" s="14"/>
      <c r="H402" s="14"/>
      <c r="I402" s="14"/>
      <c r="J402" s="14"/>
      <c r="K402" s="12"/>
    </row>
    <row r="403" ht="19.5" customHeight="1">
      <c r="A403" s="12"/>
      <c r="C403" s="12"/>
      <c r="D403" s="13"/>
      <c r="F403" s="14"/>
      <c r="G403" s="14"/>
      <c r="H403" s="14"/>
      <c r="I403" s="14"/>
      <c r="J403" s="14"/>
      <c r="K403" s="12"/>
    </row>
    <row r="404" ht="19.5" customHeight="1">
      <c r="A404" s="12"/>
      <c r="C404" s="12"/>
      <c r="D404" s="13"/>
      <c r="F404" s="14"/>
      <c r="G404" s="14"/>
      <c r="H404" s="14"/>
      <c r="I404" s="14"/>
      <c r="J404" s="14"/>
      <c r="K404" s="12"/>
    </row>
    <row r="405" ht="19.5" customHeight="1">
      <c r="A405" s="12"/>
      <c r="C405" s="12"/>
      <c r="D405" s="13"/>
      <c r="F405" s="14"/>
      <c r="G405" s="14"/>
      <c r="H405" s="14"/>
      <c r="I405" s="14"/>
      <c r="J405" s="14"/>
      <c r="K405" s="12"/>
    </row>
    <row r="406" ht="19.5" customHeight="1">
      <c r="A406" s="12"/>
      <c r="C406" s="12"/>
      <c r="D406" s="13"/>
      <c r="F406" s="14"/>
      <c r="G406" s="14"/>
      <c r="H406" s="14"/>
      <c r="I406" s="14"/>
      <c r="J406" s="14"/>
      <c r="K406" s="12"/>
    </row>
    <row r="407" ht="19.5" customHeight="1">
      <c r="A407" s="12"/>
      <c r="C407" s="12"/>
      <c r="D407" s="13"/>
      <c r="F407" s="14"/>
      <c r="G407" s="14"/>
      <c r="H407" s="14"/>
      <c r="I407" s="14"/>
      <c r="J407" s="14"/>
      <c r="K407" s="12"/>
    </row>
    <row r="408" ht="19.5" customHeight="1">
      <c r="A408" s="12"/>
      <c r="C408" s="12"/>
      <c r="D408" s="13"/>
      <c r="F408" s="14"/>
      <c r="G408" s="14"/>
      <c r="H408" s="14"/>
      <c r="I408" s="14"/>
      <c r="J408" s="14"/>
      <c r="K408" s="12"/>
    </row>
    <row r="409" ht="19.5" customHeight="1">
      <c r="A409" s="12"/>
      <c r="C409" s="12"/>
      <c r="D409" s="13"/>
      <c r="F409" s="14"/>
      <c r="G409" s="14"/>
      <c r="H409" s="14"/>
      <c r="I409" s="14"/>
      <c r="J409" s="14"/>
      <c r="K409" s="12"/>
    </row>
    <row r="410" ht="19.5" customHeight="1">
      <c r="A410" s="12"/>
      <c r="C410" s="12"/>
      <c r="D410" s="13"/>
      <c r="F410" s="14"/>
      <c r="G410" s="14"/>
      <c r="H410" s="14"/>
      <c r="I410" s="14"/>
      <c r="J410" s="14"/>
      <c r="K410" s="12"/>
    </row>
    <row r="411" ht="19.5" customHeight="1">
      <c r="A411" s="12"/>
      <c r="C411" s="12"/>
      <c r="D411" s="13"/>
      <c r="F411" s="14"/>
      <c r="G411" s="14"/>
      <c r="H411" s="14"/>
      <c r="I411" s="14"/>
      <c r="J411" s="14"/>
      <c r="K411" s="12"/>
    </row>
    <row r="412" ht="19.5" customHeight="1">
      <c r="A412" s="12"/>
      <c r="C412" s="12"/>
      <c r="D412" s="13"/>
      <c r="F412" s="14"/>
      <c r="G412" s="14"/>
      <c r="H412" s="14"/>
      <c r="I412" s="14"/>
      <c r="J412" s="14"/>
      <c r="K412" s="12"/>
    </row>
    <row r="413" ht="19.5" customHeight="1">
      <c r="A413" s="12"/>
      <c r="C413" s="12"/>
      <c r="D413" s="13"/>
      <c r="F413" s="14"/>
      <c r="G413" s="14"/>
      <c r="H413" s="14"/>
      <c r="I413" s="14"/>
      <c r="J413" s="14"/>
      <c r="K413" s="12"/>
    </row>
    <row r="414" ht="19.5" customHeight="1">
      <c r="A414" s="12"/>
      <c r="C414" s="12"/>
      <c r="D414" s="13"/>
      <c r="F414" s="14"/>
      <c r="G414" s="14"/>
      <c r="H414" s="14"/>
      <c r="I414" s="14"/>
      <c r="J414" s="14"/>
      <c r="K414" s="12"/>
    </row>
    <row r="415" ht="19.5" customHeight="1">
      <c r="A415" s="12"/>
      <c r="C415" s="12"/>
      <c r="D415" s="13"/>
      <c r="F415" s="14"/>
      <c r="G415" s="14"/>
      <c r="H415" s="14"/>
      <c r="I415" s="14"/>
      <c r="J415" s="14"/>
      <c r="K415" s="12"/>
    </row>
    <row r="416" ht="19.5" customHeight="1">
      <c r="A416" s="12"/>
      <c r="C416" s="12"/>
      <c r="D416" s="13"/>
      <c r="F416" s="14"/>
      <c r="G416" s="14"/>
      <c r="H416" s="14"/>
      <c r="I416" s="14"/>
      <c r="J416" s="14"/>
      <c r="K416" s="12"/>
    </row>
    <row r="417" ht="19.5" customHeight="1">
      <c r="A417" s="12"/>
      <c r="C417" s="12"/>
      <c r="D417" s="13"/>
      <c r="F417" s="14"/>
      <c r="G417" s="14"/>
      <c r="H417" s="14"/>
      <c r="I417" s="14"/>
      <c r="J417" s="14"/>
      <c r="K417" s="12"/>
    </row>
    <row r="418" ht="19.5" customHeight="1">
      <c r="A418" s="12"/>
      <c r="C418" s="12"/>
      <c r="D418" s="13"/>
      <c r="F418" s="14"/>
      <c r="G418" s="14"/>
      <c r="H418" s="14"/>
      <c r="I418" s="14"/>
      <c r="J418" s="14"/>
      <c r="K418" s="12"/>
    </row>
    <row r="419" ht="19.5" customHeight="1">
      <c r="A419" s="12"/>
      <c r="C419" s="12"/>
      <c r="D419" s="13"/>
      <c r="F419" s="14"/>
      <c r="G419" s="14"/>
      <c r="H419" s="14"/>
      <c r="I419" s="14"/>
      <c r="J419" s="14"/>
      <c r="K419" s="12"/>
    </row>
    <row r="420" ht="19.5" customHeight="1">
      <c r="A420" s="12"/>
      <c r="C420" s="12"/>
      <c r="D420" s="13"/>
      <c r="F420" s="14"/>
      <c r="G420" s="14"/>
      <c r="H420" s="14"/>
      <c r="I420" s="14"/>
      <c r="J420" s="14"/>
      <c r="K420" s="12"/>
    </row>
    <row r="421" ht="19.5" customHeight="1">
      <c r="A421" s="12"/>
      <c r="C421" s="12"/>
      <c r="D421" s="13"/>
      <c r="F421" s="14"/>
      <c r="G421" s="14"/>
      <c r="H421" s="14"/>
      <c r="I421" s="14"/>
      <c r="J421" s="14"/>
      <c r="K421" s="12"/>
    </row>
    <row r="422" ht="19.5" customHeight="1">
      <c r="A422" s="12"/>
      <c r="C422" s="12"/>
      <c r="D422" s="13"/>
      <c r="F422" s="14"/>
      <c r="G422" s="14"/>
      <c r="H422" s="14"/>
      <c r="I422" s="14"/>
      <c r="J422" s="14"/>
      <c r="K422" s="12"/>
    </row>
    <row r="423" ht="19.5" customHeight="1">
      <c r="A423" s="12"/>
      <c r="C423" s="12"/>
      <c r="D423" s="13"/>
      <c r="F423" s="14"/>
      <c r="G423" s="14"/>
      <c r="H423" s="14"/>
      <c r="I423" s="14"/>
      <c r="J423" s="14"/>
      <c r="K423" s="12"/>
    </row>
    <row r="424" ht="19.5" customHeight="1">
      <c r="A424" s="12"/>
      <c r="C424" s="12"/>
      <c r="D424" s="13"/>
      <c r="F424" s="14"/>
      <c r="G424" s="14"/>
      <c r="H424" s="14"/>
      <c r="I424" s="14"/>
      <c r="J424" s="14"/>
      <c r="K424" s="12"/>
    </row>
    <row r="425" ht="19.5" customHeight="1">
      <c r="A425" s="12"/>
      <c r="C425" s="12"/>
      <c r="D425" s="13"/>
      <c r="F425" s="14"/>
      <c r="G425" s="14"/>
      <c r="H425" s="14"/>
      <c r="I425" s="14"/>
      <c r="J425" s="14"/>
      <c r="K425" s="12"/>
    </row>
    <row r="426" ht="19.5" customHeight="1">
      <c r="A426" s="12"/>
      <c r="C426" s="12"/>
      <c r="D426" s="13"/>
      <c r="F426" s="14"/>
      <c r="G426" s="14"/>
      <c r="H426" s="14"/>
      <c r="I426" s="14"/>
      <c r="J426" s="14"/>
      <c r="K426" s="12"/>
    </row>
    <row r="427" ht="19.5" customHeight="1">
      <c r="A427" s="12"/>
      <c r="C427" s="12"/>
      <c r="D427" s="13"/>
      <c r="F427" s="14"/>
      <c r="G427" s="14"/>
      <c r="H427" s="14"/>
      <c r="I427" s="14"/>
      <c r="J427" s="14"/>
      <c r="K427" s="12"/>
    </row>
    <row r="428" ht="19.5" customHeight="1">
      <c r="A428" s="12"/>
      <c r="C428" s="12"/>
      <c r="D428" s="13"/>
      <c r="F428" s="14"/>
      <c r="G428" s="14"/>
      <c r="H428" s="14"/>
      <c r="I428" s="14"/>
      <c r="J428" s="14"/>
      <c r="K428" s="12"/>
    </row>
    <row r="429" ht="19.5" customHeight="1">
      <c r="A429" s="12"/>
      <c r="C429" s="12"/>
      <c r="D429" s="13"/>
      <c r="F429" s="14"/>
      <c r="G429" s="14"/>
      <c r="H429" s="14"/>
      <c r="I429" s="14"/>
      <c r="J429" s="14"/>
      <c r="K429" s="12"/>
    </row>
    <row r="430" ht="19.5" customHeight="1">
      <c r="A430" s="12"/>
      <c r="C430" s="12"/>
      <c r="D430" s="13"/>
      <c r="F430" s="14"/>
      <c r="G430" s="14"/>
      <c r="H430" s="14"/>
      <c r="I430" s="14"/>
      <c r="J430" s="14"/>
      <c r="K430" s="12"/>
    </row>
    <row r="431" ht="19.5" customHeight="1">
      <c r="A431" s="12"/>
      <c r="C431" s="12"/>
      <c r="D431" s="13"/>
      <c r="F431" s="14"/>
      <c r="G431" s="14"/>
      <c r="H431" s="14"/>
      <c r="I431" s="14"/>
      <c r="J431" s="14"/>
      <c r="K431" s="12"/>
    </row>
    <row r="432" ht="19.5" customHeight="1">
      <c r="A432" s="12"/>
      <c r="C432" s="12"/>
      <c r="D432" s="13"/>
      <c r="F432" s="14"/>
      <c r="G432" s="14"/>
      <c r="H432" s="14"/>
      <c r="I432" s="14"/>
      <c r="J432" s="14"/>
      <c r="K432" s="12"/>
    </row>
    <row r="433" ht="19.5" customHeight="1">
      <c r="A433" s="12"/>
      <c r="C433" s="12"/>
      <c r="D433" s="13"/>
      <c r="F433" s="14"/>
      <c r="G433" s="14"/>
      <c r="H433" s="14"/>
      <c r="I433" s="14"/>
      <c r="J433" s="14"/>
      <c r="K433" s="12"/>
    </row>
    <row r="434" ht="19.5" customHeight="1">
      <c r="A434" s="12"/>
      <c r="C434" s="12"/>
      <c r="D434" s="13"/>
      <c r="F434" s="14"/>
      <c r="G434" s="14"/>
      <c r="H434" s="14"/>
      <c r="I434" s="14"/>
      <c r="J434" s="14"/>
      <c r="K434" s="12"/>
    </row>
    <row r="435" ht="19.5" customHeight="1">
      <c r="A435" s="12"/>
      <c r="C435" s="12"/>
      <c r="D435" s="13"/>
      <c r="F435" s="14"/>
      <c r="G435" s="14"/>
      <c r="H435" s="14"/>
      <c r="I435" s="14"/>
      <c r="J435" s="14"/>
      <c r="K435" s="12"/>
    </row>
    <row r="436" ht="19.5" customHeight="1">
      <c r="A436" s="12"/>
      <c r="C436" s="12"/>
      <c r="D436" s="13"/>
      <c r="F436" s="14"/>
      <c r="G436" s="14"/>
      <c r="H436" s="14"/>
      <c r="I436" s="14"/>
      <c r="J436" s="14"/>
      <c r="K436" s="12"/>
    </row>
    <row r="437" ht="19.5" customHeight="1">
      <c r="A437" s="12"/>
      <c r="C437" s="12"/>
      <c r="D437" s="13"/>
      <c r="F437" s="14"/>
      <c r="G437" s="14"/>
      <c r="H437" s="14"/>
      <c r="I437" s="14"/>
      <c r="J437" s="14"/>
      <c r="K437" s="12"/>
    </row>
    <row r="438" ht="19.5" customHeight="1">
      <c r="A438" s="12"/>
      <c r="C438" s="12"/>
      <c r="D438" s="13"/>
      <c r="F438" s="14"/>
      <c r="G438" s="14"/>
      <c r="H438" s="14"/>
      <c r="I438" s="14"/>
      <c r="J438" s="14"/>
      <c r="K438" s="12"/>
    </row>
    <row r="439" ht="19.5" customHeight="1">
      <c r="A439" s="12"/>
      <c r="C439" s="12"/>
      <c r="D439" s="13"/>
      <c r="F439" s="14"/>
      <c r="G439" s="14"/>
      <c r="H439" s="14"/>
      <c r="I439" s="14"/>
      <c r="J439" s="14"/>
      <c r="K439" s="12"/>
    </row>
    <row r="440" ht="19.5" customHeight="1">
      <c r="A440" s="12"/>
      <c r="C440" s="12"/>
      <c r="D440" s="13"/>
      <c r="F440" s="14"/>
      <c r="G440" s="14"/>
      <c r="H440" s="14"/>
      <c r="I440" s="14"/>
      <c r="J440" s="14"/>
      <c r="K440" s="12"/>
    </row>
    <row r="441" ht="19.5" customHeight="1">
      <c r="A441" s="12"/>
      <c r="C441" s="12"/>
      <c r="D441" s="13"/>
      <c r="F441" s="14"/>
      <c r="G441" s="14"/>
      <c r="H441" s="14"/>
      <c r="I441" s="14"/>
      <c r="J441" s="14"/>
      <c r="K441" s="12"/>
    </row>
    <row r="442" ht="19.5" customHeight="1">
      <c r="A442" s="12"/>
      <c r="C442" s="12"/>
      <c r="D442" s="13"/>
      <c r="F442" s="14"/>
      <c r="G442" s="14"/>
      <c r="H442" s="14"/>
      <c r="I442" s="14"/>
      <c r="J442" s="14"/>
      <c r="K442" s="12"/>
    </row>
    <row r="443" ht="19.5" customHeight="1">
      <c r="A443" s="12"/>
      <c r="C443" s="12"/>
      <c r="D443" s="13"/>
      <c r="F443" s="14"/>
      <c r="G443" s="14"/>
      <c r="H443" s="14"/>
      <c r="I443" s="14"/>
      <c r="J443" s="14"/>
      <c r="K443" s="12"/>
    </row>
    <row r="444" ht="19.5" customHeight="1">
      <c r="A444" s="12"/>
      <c r="C444" s="12"/>
      <c r="D444" s="13"/>
      <c r="F444" s="14"/>
      <c r="G444" s="14"/>
      <c r="H444" s="14"/>
      <c r="I444" s="14"/>
      <c r="J444" s="14"/>
      <c r="K444" s="12"/>
    </row>
    <row r="445" ht="19.5" customHeight="1">
      <c r="A445" s="12"/>
      <c r="C445" s="12"/>
      <c r="D445" s="13"/>
      <c r="F445" s="14"/>
      <c r="G445" s="14"/>
      <c r="H445" s="14"/>
      <c r="I445" s="14"/>
      <c r="J445" s="14"/>
      <c r="K445" s="12"/>
    </row>
    <row r="446" ht="19.5" customHeight="1">
      <c r="A446" s="12"/>
      <c r="C446" s="12"/>
      <c r="D446" s="13"/>
      <c r="F446" s="14"/>
      <c r="G446" s="14"/>
      <c r="H446" s="14"/>
      <c r="I446" s="14"/>
      <c r="J446" s="14"/>
      <c r="K446" s="12"/>
    </row>
    <row r="447" ht="19.5" customHeight="1">
      <c r="A447" s="12"/>
      <c r="C447" s="12"/>
      <c r="D447" s="13"/>
      <c r="F447" s="14"/>
      <c r="G447" s="14"/>
      <c r="H447" s="14"/>
      <c r="I447" s="14"/>
      <c r="J447" s="14"/>
      <c r="K447" s="12"/>
    </row>
    <row r="448" ht="19.5" customHeight="1">
      <c r="A448" s="12"/>
      <c r="C448" s="12"/>
      <c r="D448" s="13"/>
      <c r="F448" s="14"/>
      <c r="G448" s="14"/>
      <c r="H448" s="14"/>
      <c r="I448" s="14"/>
      <c r="J448" s="14"/>
      <c r="K448" s="12"/>
    </row>
    <row r="449" ht="19.5" customHeight="1">
      <c r="A449" s="12"/>
      <c r="C449" s="12"/>
      <c r="D449" s="13"/>
      <c r="F449" s="14"/>
      <c r="G449" s="14"/>
      <c r="H449" s="14"/>
      <c r="I449" s="14"/>
      <c r="J449" s="14"/>
      <c r="K449" s="12"/>
    </row>
    <row r="450" ht="19.5" customHeight="1">
      <c r="A450" s="12"/>
      <c r="C450" s="12"/>
      <c r="D450" s="13"/>
      <c r="F450" s="14"/>
      <c r="G450" s="14"/>
      <c r="H450" s="14"/>
      <c r="I450" s="14"/>
      <c r="J450" s="14"/>
      <c r="K450" s="12"/>
    </row>
    <row r="451" ht="19.5" customHeight="1">
      <c r="A451" s="12"/>
      <c r="C451" s="12"/>
      <c r="D451" s="13"/>
      <c r="F451" s="14"/>
      <c r="G451" s="14"/>
      <c r="H451" s="14"/>
      <c r="I451" s="14"/>
      <c r="J451" s="14"/>
      <c r="K451" s="12"/>
    </row>
    <row r="452" ht="19.5" customHeight="1">
      <c r="A452" s="12"/>
      <c r="C452" s="12"/>
      <c r="D452" s="13"/>
      <c r="F452" s="14"/>
      <c r="G452" s="14"/>
      <c r="H452" s="14"/>
      <c r="I452" s="14"/>
      <c r="J452" s="14"/>
      <c r="K452" s="12"/>
    </row>
    <row r="453" ht="19.5" customHeight="1">
      <c r="A453" s="12"/>
      <c r="C453" s="12"/>
      <c r="D453" s="13"/>
      <c r="F453" s="14"/>
      <c r="G453" s="14"/>
      <c r="H453" s="14"/>
      <c r="I453" s="14"/>
      <c r="J453" s="14"/>
      <c r="K453" s="12"/>
    </row>
    <row r="454" ht="19.5" customHeight="1">
      <c r="A454" s="12"/>
      <c r="C454" s="12"/>
      <c r="D454" s="13"/>
      <c r="F454" s="14"/>
      <c r="G454" s="14"/>
      <c r="H454" s="14"/>
      <c r="I454" s="14"/>
      <c r="J454" s="14"/>
      <c r="K454" s="12"/>
    </row>
    <row r="455" ht="19.5" customHeight="1">
      <c r="A455" s="12"/>
      <c r="C455" s="12"/>
      <c r="D455" s="13"/>
      <c r="F455" s="14"/>
      <c r="G455" s="14"/>
      <c r="H455" s="14"/>
      <c r="I455" s="14"/>
      <c r="J455" s="14"/>
      <c r="K455" s="12"/>
    </row>
    <row r="456" ht="19.5" customHeight="1">
      <c r="A456" s="12"/>
      <c r="C456" s="12"/>
      <c r="D456" s="13"/>
      <c r="F456" s="14"/>
      <c r="G456" s="14"/>
      <c r="H456" s="14"/>
      <c r="I456" s="14"/>
      <c r="J456" s="14"/>
      <c r="K456" s="12"/>
    </row>
    <row r="457" ht="19.5" customHeight="1">
      <c r="A457" s="12"/>
      <c r="C457" s="12"/>
      <c r="D457" s="13"/>
      <c r="F457" s="14"/>
      <c r="G457" s="14"/>
      <c r="H457" s="14"/>
      <c r="I457" s="14"/>
      <c r="J457" s="14"/>
      <c r="K457" s="12"/>
    </row>
    <row r="458" ht="19.5" customHeight="1">
      <c r="A458" s="12"/>
      <c r="C458" s="12"/>
      <c r="D458" s="13"/>
      <c r="F458" s="14"/>
      <c r="G458" s="14"/>
      <c r="H458" s="14"/>
      <c r="I458" s="14"/>
      <c r="J458" s="14"/>
      <c r="K458" s="12"/>
    </row>
    <row r="459" ht="19.5" customHeight="1">
      <c r="A459" s="12"/>
      <c r="C459" s="12"/>
      <c r="D459" s="13"/>
      <c r="F459" s="14"/>
      <c r="G459" s="14"/>
      <c r="H459" s="14"/>
      <c r="I459" s="14"/>
      <c r="J459" s="14"/>
      <c r="K459" s="12"/>
    </row>
    <row r="460" ht="19.5" customHeight="1">
      <c r="A460" s="12"/>
      <c r="C460" s="12"/>
      <c r="D460" s="13"/>
      <c r="F460" s="14"/>
      <c r="G460" s="14"/>
      <c r="H460" s="14"/>
      <c r="I460" s="14"/>
      <c r="J460" s="14"/>
      <c r="K460" s="12"/>
    </row>
    <row r="461" ht="19.5" customHeight="1">
      <c r="A461" s="12"/>
      <c r="C461" s="12"/>
      <c r="D461" s="13"/>
      <c r="F461" s="14"/>
      <c r="G461" s="14"/>
      <c r="H461" s="14"/>
      <c r="I461" s="14"/>
      <c r="J461" s="14"/>
      <c r="K461" s="12"/>
    </row>
    <row r="462" ht="19.5" customHeight="1">
      <c r="A462" s="12"/>
      <c r="C462" s="12"/>
      <c r="D462" s="13"/>
      <c r="F462" s="14"/>
      <c r="G462" s="14"/>
      <c r="H462" s="14"/>
      <c r="I462" s="14"/>
      <c r="J462" s="14"/>
      <c r="K462" s="12"/>
    </row>
    <row r="463" ht="19.5" customHeight="1">
      <c r="A463" s="12"/>
      <c r="C463" s="12"/>
      <c r="D463" s="13"/>
      <c r="F463" s="14"/>
      <c r="G463" s="14"/>
      <c r="H463" s="14"/>
      <c r="I463" s="14"/>
      <c r="J463" s="14"/>
      <c r="K463" s="12"/>
    </row>
    <row r="464" ht="19.5" customHeight="1">
      <c r="A464" s="12"/>
      <c r="C464" s="12"/>
      <c r="D464" s="13"/>
      <c r="F464" s="14"/>
      <c r="G464" s="14"/>
      <c r="H464" s="14"/>
      <c r="I464" s="14"/>
      <c r="J464" s="14"/>
      <c r="K464" s="12"/>
    </row>
    <row r="465" ht="19.5" customHeight="1">
      <c r="A465" s="12"/>
      <c r="C465" s="12"/>
      <c r="D465" s="13"/>
      <c r="F465" s="14"/>
      <c r="G465" s="14"/>
      <c r="H465" s="14"/>
      <c r="I465" s="14"/>
      <c r="J465" s="14"/>
      <c r="K465" s="12"/>
    </row>
    <row r="466" ht="19.5" customHeight="1">
      <c r="A466" s="12"/>
      <c r="C466" s="12"/>
      <c r="D466" s="13"/>
      <c r="F466" s="14"/>
      <c r="G466" s="14"/>
      <c r="H466" s="14"/>
      <c r="I466" s="14"/>
      <c r="J466" s="14"/>
      <c r="K466" s="12"/>
    </row>
    <row r="467" ht="19.5" customHeight="1">
      <c r="A467" s="12"/>
      <c r="C467" s="12"/>
      <c r="D467" s="13"/>
      <c r="F467" s="14"/>
      <c r="G467" s="14"/>
      <c r="H467" s="14"/>
      <c r="I467" s="14"/>
      <c r="J467" s="14"/>
      <c r="K467" s="12"/>
    </row>
    <row r="468" ht="19.5" customHeight="1">
      <c r="A468" s="12"/>
      <c r="C468" s="12"/>
      <c r="D468" s="13"/>
      <c r="F468" s="14"/>
      <c r="G468" s="14"/>
      <c r="H468" s="14"/>
      <c r="I468" s="14"/>
      <c r="J468" s="14"/>
      <c r="K468" s="12"/>
    </row>
    <row r="469" ht="19.5" customHeight="1">
      <c r="A469" s="12"/>
      <c r="C469" s="12"/>
      <c r="D469" s="13"/>
      <c r="F469" s="14"/>
      <c r="G469" s="14"/>
      <c r="H469" s="14"/>
      <c r="I469" s="14"/>
      <c r="J469" s="14"/>
      <c r="K469" s="12"/>
    </row>
    <row r="470" ht="19.5" customHeight="1">
      <c r="A470" s="12"/>
      <c r="C470" s="12"/>
      <c r="D470" s="13"/>
      <c r="F470" s="14"/>
      <c r="G470" s="14"/>
      <c r="H470" s="14"/>
      <c r="I470" s="14"/>
      <c r="J470" s="14"/>
      <c r="K470" s="12"/>
    </row>
    <row r="471" ht="19.5" customHeight="1">
      <c r="A471" s="12"/>
      <c r="C471" s="12"/>
      <c r="D471" s="13"/>
      <c r="F471" s="14"/>
      <c r="G471" s="14"/>
      <c r="H471" s="14"/>
      <c r="I471" s="14"/>
      <c r="J471" s="14"/>
      <c r="K471" s="12"/>
    </row>
    <row r="472" ht="19.5" customHeight="1">
      <c r="A472" s="12"/>
      <c r="C472" s="12"/>
      <c r="D472" s="13"/>
      <c r="F472" s="14"/>
      <c r="G472" s="14"/>
      <c r="H472" s="14"/>
      <c r="I472" s="14"/>
      <c r="J472" s="14"/>
      <c r="K472" s="12"/>
    </row>
    <row r="473" ht="19.5" customHeight="1">
      <c r="A473" s="12"/>
      <c r="C473" s="12"/>
      <c r="D473" s="13"/>
      <c r="F473" s="14"/>
      <c r="G473" s="14"/>
      <c r="H473" s="14"/>
      <c r="I473" s="14"/>
      <c r="J473" s="14"/>
      <c r="K473" s="12"/>
    </row>
    <row r="474" ht="19.5" customHeight="1">
      <c r="A474" s="12"/>
      <c r="C474" s="12"/>
      <c r="D474" s="13"/>
      <c r="F474" s="14"/>
      <c r="G474" s="14"/>
      <c r="H474" s="14"/>
      <c r="I474" s="14"/>
      <c r="J474" s="14"/>
      <c r="K474" s="12"/>
    </row>
    <row r="475" ht="19.5" customHeight="1">
      <c r="A475" s="12"/>
      <c r="C475" s="12"/>
      <c r="D475" s="13"/>
      <c r="F475" s="14"/>
      <c r="G475" s="14"/>
      <c r="H475" s="14"/>
      <c r="I475" s="14"/>
      <c r="J475" s="14"/>
      <c r="K475" s="12"/>
    </row>
    <row r="476" ht="19.5" customHeight="1">
      <c r="A476" s="12"/>
      <c r="C476" s="12"/>
      <c r="D476" s="13"/>
      <c r="F476" s="14"/>
      <c r="G476" s="14"/>
      <c r="H476" s="14"/>
      <c r="I476" s="14"/>
      <c r="J476" s="14"/>
      <c r="K476" s="12"/>
    </row>
    <row r="477" ht="19.5" customHeight="1">
      <c r="A477" s="12"/>
      <c r="C477" s="12"/>
      <c r="D477" s="13"/>
      <c r="F477" s="14"/>
      <c r="G477" s="14"/>
      <c r="H477" s="14"/>
      <c r="I477" s="14"/>
      <c r="J477" s="14"/>
      <c r="K477" s="12"/>
    </row>
    <row r="478" ht="19.5" customHeight="1">
      <c r="A478" s="12"/>
      <c r="C478" s="12"/>
      <c r="D478" s="13"/>
      <c r="F478" s="14"/>
      <c r="G478" s="14"/>
      <c r="H478" s="14"/>
      <c r="I478" s="14"/>
      <c r="J478" s="14"/>
      <c r="K478" s="12"/>
    </row>
    <row r="479" ht="19.5" customHeight="1">
      <c r="A479" s="12"/>
      <c r="C479" s="12"/>
      <c r="D479" s="13"/>
      <c r="F479" s="14"/>
      <c r="G479" s="14"/>
      <c r="H479" s="14"/>
      <c r="I479" s="14"/>
      <c r="J479" s="14"/>
      <c r="K479" s="12"/>
    </row>
    <row r="480" ht="19.5" customHeight="1">
      <c r="A480" s="12"/>
      <c r="C480" s="12"/>
      <c r="D480" s="13"/>
      <c r="F480" s="14"/>
      <c r="G480" s="14"/>
      <c r="H480" s="14"/>
      <c r="I480" s="14"/>
      <c r="J480" s="14"/>
      <c r="K480" s="12"/>
    </row>
    <row r="481" ht="19.5" customHeight="1">
      <c r="A481" s="12"/>
      <c r="C481" s="12"/>
      <c r="D481" s="13"/>
      <c r="F481" s="14"/>
      <c r="G481" s="14"/>
      <c r="H481" s="14"/>
      <c r="I481" s="14"/>
      <c r="J481" s="14"/>
      <c r="K481" s="12"/>
    </row>
    <row r="482" ht="19.5" customHeight="1">
      <c r="A482" s="12"/>
      <c r="C482" s="12"/>
      <c r="D482" s="13"/>
      <c r="F482" s="14"/>
      <c r="G482" s="14"/>
      <c r="H482" s="14"/>
      <c r="I482" s="14"/>
      <c r="J482" s="14"/>
      <c r="K482" s="12"/>
    </row>
    <row r="483" ht="19.5" customHeight="1">
      <c r="A483" s="12"/>
      <c r="C483" s="12"/>
      <c r="D483" s="13"/>
      <c r="F483" s="14"/>
      <c r="G483" s="14"/>
      <c r="H483" s="14"/>
      <c r="I483" s="14"/>
      <c r="J483" s="14"/>
      <c r="K483" s="12"/>
    </row>
    <row r="484" ht="19.5" customHeight="1">
      <c r="A484" s="12"/>
      <c r="C484" s="12"/>
      <c r="D484" s="13"/>
      <c r="F484" s="14"/>
      <c r="G484" s="14"/>
      <c r="H484" s="14"/>
      <c r="I484" s="14"/>
      <c r="J484" s="14"/>
      <c r="K484" s="12"/>
    </row>
    <row r="485" ht="19.5" customHeight="1">
      <c r="A485" s="12"/>
      <c r="C485" s="12"/>
      <c r="D485" s="13"/>
      <c r="F485" s="14"/>
      <c r="G485" s="14"/>
      <c r="H485" s="14"/>
      <c r="I485" s="14"/>
      <c r="J485" s="14"/>
      <c r="K485" s="12"/>
    </row>
    <row r="486" ht="19.5" customHeight="1">
      <c r="A486" s="12"/>
      <c r="C486" s="12"/>
      <c r="D486" s="13"/>
      <c r="F486" s="14"/>
      <c r="G486" s="14"/>
      <c r="H486" s="14"/>
      <c r="I486" s="14"/>
      <c r="J486" s="14"/>
      <c r="K486" s="12"/>
    </row>
    <row r="487" ht="19.5" customHeight="1">
      <c r="A487" s="12"/>
      <c r="C487" s="12"/>
      <c r="D487" s="13"/>
      <c r="F487" s="14"/>
      <c r="G487" s="14"/>
      <c r="H487" s="14"/>
      <c r="I487" s="14"/>
      <c r="J487" s="14"/>
      <c r="K487" s="12"/>
    </row>
    <row r="488" ht="19.5" customHeight="1">
      <c r="A488" s="12"/>
      <c r="C488" s="12"/>
      <c r="D488" s="13"/>
      <c r="F488" s="14"/>
      <c r="G488" s="14"/>
      <c r="H488" s="14"/>
      <c r="I488" s="14"/>
      <c r="J488" s="14"/>
      <c r="K488" s="12"/>
    </row>
    <row r="489" ht="19.5" customHeight="1">
      <c r="A489" s="12"/>
      <c r="C489" s="12"/>
      <c r="D489" s="13"/>
      <c r="F489" s="14"/>
      <c r="G489" s="14"/>
      <c r="H489" s="14"/>
      <c r="I489" s="14"/>
      <c r="J489" s="14"/>
      <c r="K489" s="12"/>
    </row>
    <row r="490" ht="19.5" customHeight="1">
      <c r="A490" s="12"/>
      <c r="C490" s="12"/>
      <c r="D490" s="13"/>
      <c r="F490" s="14"/>
      <c r="G490" s="14"/>
      <c r="H490" s="14"/>
      <c r="I490" s="14"/>
      <c r="J490" s="14"/>
      <c r="K490" s="12"/>
    </row>
    <row r="491" ht="19.5" customHeight="1">
      <c r="A491" s="12"/>
      <c r="C491" s="12"/>
      <c r="D491" s="13"/>
      <c r="F491" s="14"/>
      <c r="G491" s="14"/>
      <c r="H491" s="14"/>
      <c r="I491" s="14"/>
      <c r="J491" s="14"/>
      <c r="K491" s="12"/>
    </row>
    <row r="492" ht="19.5" customHeight="1">
      <c r="A492" s="12"/>
      <c r="C492" s="12"/>
      <c r="D492" s="13"/>
      <c r="F492" s="14"/>
      <c r="G492" s="14"/>
      <c r="H492" s="14"/>
      <c r="I492" s="14"/>
      <c r="J492" s="14"/>
      <c r="K492" s="12"/>
    </row>
    <row r="493" ht="19.5" customHeight="1">
      <c r="A493" s="12"/>
      <c r="C493" s="12"/>
      <c r="D493" s="13"/>
      <c r="F493" s="14"/>
      <c r="G493" s="14"/>
      <c r="H493" s="14"/>
      <c r="I493" s="14"/>
      <c r="J493" s="14"/>
      <c r="K493" s="12"/>
    </row>
    <row r="494" ht="19.5" customHeight="1">
      <c r="A494" s="12"/>
      <c r="C494" s="12"/>
      <c r="D494" s="13"/>
      <c r="F494" s="14"/>
      <c r="G494" s="14"/>
      <c r="H494" s="14"/>
      <c r="I494" s="14"/>
      <c r="J494" s="14"/>
      <c r="K494" s="12"/>
    </row>
    <row r="495" ht="19.5" customHeight="1">
      <c r="A495" s="12"/>
      <c r="C495" s="12"/>
      <c r="D495" s="13"/>
      <c r="F495" s="14"/>
      <c r="G495" s="14"/>
      <c r="H495" s="14"/>
      <c r="I495" s="14"/>
      <c r="J495" s="14"/>
      <c r="K495" s="12"/>
    </row>
    <row r="496" ht="19.5" customHeight="1">
      <c r="A496" s="12"/>
      <c r="C496" s="12"/>
      <c r="D496" s="13"/>
      <c r="F496" s="14"/>
      <c r="G496" s="14"/>
      <c r="H496" s="14"/>
      <c r="I496" s="14"/>
      <c r="J496" s="14"/>
      <c r="K496" s="12"/>
    </row>
    <row r="497" ht="19.5" customHeight="1">
      <c r="A497" s="12"/>
      <c r="C497" s="12"/>
      <c r="D497" s="13"/>
      <c r="F497" s="14"/>
      <c r="G497" s="14"/>
      <c r="H497" s="14"/>
      <c r="I497" s="14"/>
      <c r="J497" s="14"/>
      <c r="K497" s="12"/>
    </row>
    <row r="498" ht="19.5" customHeight="1">
      <c r="A498" s="12"/>
      <c r="C498" s="12"/>
      <c r="D498" s="13"/>
      <c r="F498" s="14"/>
      <c r="G498" s="14"/>
      <c r="H498" s="14"/>
      <c r="I498" s="14"/>
      <c r="J498" s="14"/>
      <c r="K498" s="12"/>
    </row>
    <row r="499" ht="19.5" customHeight="1">
      <c r="A499" s="12"/>
      <c r="C499" s="12"/>
      <c r="D499" s="13"/>
      <c r="F499" s="14"/>
      <c r="G499" s="14"/>
      <c r="H499" s="14"/>
      <c r="I499" s="14"/>
      <c r="J499" s="14"/>
      <c r="K499" s="12"/>
    </row>
    <row r="500" ht="19.5" customHeight="1">
      <c r="A500" s="12"/>
      <c r="C500" s="12"/>
      <c r="D500" s="13"/>
      <c r="F500" s="14"/>
      <c r="G500" s="14"/>
      <c r="H500" s="14"/>
      <c r="I500" s="14"/>
      <c r="J500" s="14"/>
      <c r="K500" s="12"/>
    </row>
    <row r="501" ht="19.5" customHeight="1">
      <c r="A501" s="12"/>
      <c r="C501" s="12"/>
      <c r="D501" s="13"/>
      <c r="F501" s="14"/>
      <c r="G501" s="14"/>
      <c r="H501" s="14"/>
      <c r="I501" s="14"/>
      <c r="J501" s="14"/>
      <c r="K501" s="12"/>
    </row>
    <row r="502" ht="19.5" customHeight="1">
      <c r="A502" s="12"/>
      <c r="C502" s="12"/>
      <c r="D502" s="13"/>
      <c r="F502" s="14"/>
      <c r="G502" s="14"/>
      <c r="H502" s="14"/>
      <c r="I502" s="14"/>
      <c r="J502" s="14"/>
      <c r="K502" s="12"/>
    </row>
    <row r="503" ht="19.5" customHeight="1">
      <c r="A503" s="12"/>
      <c r="C503" s="12"/>
      <c r="D503" s="13"/>
      <c r="F503" s="14"/>
      <c r="G503" s="14"/>
      <c r="H503" s="14"/>
      <c r="I503" s="14"/>
      <c r="J503" s="14"/>
      <c r="K503" s="12"/>
    </row>
    <row r="504" ht="19.5" customHeight="1">
      <c r="A504" s="12"/>
      <c r="C504" s="12"/>
      <c r="D504" s="13"/>
      <c r="F504" s="14"/>
      <c r="G504" s="14"/>
      <c r="H504" s="14"/>
      <c r="I504" s="14"/>
      <c r="J504" s="14"/>
      <c r="K504" s="12"/>
    </row>
    <row r="505" ht="19.5" customHeight="1">
      <c r="A505" s="12"/>
      <c r="C505" s="12"/>
      <c r="D505" s="13"/>
      <c r="F505" s="14"/>
      <c r="G505" s="14"/>
      <c r="H505" s="14"/>
      <c r="I505" s="14"/>
      <c r="J505" s="14"/>
      <c r="K505" s="12"/>
    </row>
    <row r="506" ht="19.5" customHeight="1">
      <c r="A506" s="12"/>
      <c r="C506" s="12"/>
      <c r="D506" s="13"/>
      <c r="F506" s="14"/>
      <c r="G506" s="14"/>
      <c r="H506" s="14"/>
      <c r="I506" s="14"/>
      <c r="J506" s="14"/>
      <c r="K506" s="12"/>
    </row>
    <row r="507" ht="19.5" customHeight="1">
      <c r="A507" s="12"/>
      <c r="C507" s="12"/>
      <c r="D507" s="13"/>
      <c r="F507" s="14"/>
      <c r="G507" s="14"/>
      <c r="H507" s="14"/>
      <c r="I507" s="14"/>
      <c r="J507" s="14"/>
      <c r="K507" s="12"/>
    </row>
    <row r="508" ht="19.5" customHeight="1">
      <c r="A508" s="12"/>
      <c r="C508" s="12"/>
      <c r="D508" s="13"/>
      <c r="F508" s="14"/>
      <c r="G508" s="14"/>
      <c r="H508" s="14"/>
      <c r="I508" s="14"/>
      <c r="J508" s="14"/>
      <c r="K508" s="12"/>
    </row>
    <row r="509" ht="19.5" customHeight="1">
      <c r="A509" s="12"/>
      <c r="C509" s="12"/>
      <c r="D509" s="13"/>
      <c r="F509" s="14"/>
      <c r="G509" s="14"/>
      <c r="H509" s="14"/>
      <c r="I509" s="14"/>
      <c r="J509" s="14"/>
      <c r="K509" s="12"/>
    </row>
    <row r="510" ht="19.5" customHeight="1">
      <c r="A510" s="12"/>
      <c r="C510" s="12"/>
      <c r="D510" s="13"/>
      <c r="F510" s="14"/>
      <c r="G510" s="14"/>
      <c r="H510" s="14"/>
      <c r="I510" s="14"/>
      <c r="J510" s="14"/>
      <c r="K510" s="12"/>
    </row>
    <row r="511" ht="19.5" customHeight="1">
      <c r="A511" s="12"/>
      <c r="C511" s="12"/>
      <c r="D511" s="13"/>
      <c r="F511" s="14"/>
      <c r="G511" s="14"/>
      <c r="H511" s="14"/>
      <c r="I511" s="14"/>
      <c r="J511" s="14"/>
      <c r="K511" s="12"/>
    </row>
    <row r="512" ht="19.5" customHeight="1">
      <c r="A512" s="12"/>
      <c r="C512" s="12"/>
      <c r="D512" s="13"/>
      <c r="F512" s="14"/>
      <c r="G512" s="14"/>
      <c r="H512" s="14"/>
      <c r="I512" s="14"/>
      <c r="J512" s="14"/>
      <c r="K512" s="12"/>
    </row>
    <row r="513" ht="19.5" customHeight="1">
      <c r="A513" s="12"/>
      <c r="C513" s="12"/>
      <c r="D513" s="13"/>
      <c r="F513" s="14"/>
      <c r="G513" s="14"/>
      <c r="H513" s="14"/>
      <c r="I513" s="14"/>
      <c r="J513" s="14"/>
      <c r="K513" s="12"/>
    </row>
    <row r="514" ht="19.5" customHeight="1">
      <c r="A514" s="12"/>
      <c r="C514" s="12"/>
      <c r="D514" s="13"/>
      <c r="F514" s="14"/>
      <c r="G514" s="14"/>
      <c r="H514" s="14"/>
      <c r="I514" s="14"/>
      <c r="J514" s="14"/>
      <c r="K514" s="12"/>
    </row>
    <row r="515" ht="19.5" customHeight="1">
      <c r="A515" s="12"/>
      <c r="C515" s="12"/>
      <c r="D515" s="13"/>
      <c r="F515" s="14"/>
      <c r="G515" s="14"/>
      <c r="H515" s="14"/>
      <c r="I515" s="14"/>
      <c r="J515" s="14"/>
      <c r="K515" s="12"/>
    </row>
    <row r="516" ht="19.5" customHeight="1">
      <c r="A516" s="12"/>
      <c r="C516" s="12"/>
      <c r="D516" s="13"/>
      <c r="F516" s="14"/>
      <c r="G516" s="14"/>
      <c r="H516" s="14"/>
      <c r="I516" s="14"/>
      <c r="J516" s="14"/>
      <c r="K516" s="12"/>
    </row>
    <row r="517" ht="19.5" customHeight="1">
      <c r="A517" s="12"/>
      <c r="C517" s="12"/>
      <c r="D517" s="13"/>
      <c r="F517" s="14"/>
      <c r="G517" s="14"/>
      <c r="H517" s="14"/>
      <c r="I517" s="14"/>
      <c r="J517" s="14"/>
      <c r="K517" s="12"/>
    </row>
    <row r="518" ht="19.5" customHeight="1">
      <c r="A518" s="12"/>
      <c r="C518" s="12"/>
      <c r="D518" s="13"/>
      <c r="F518" s="14"/>
      <c r="G518" s="14"/>
      <c r="H518" s="14"/>
      <c r="I518" s="14"/>
      <c r="J518" s="14"/>
      <c r="K518" s="12"/>
    </row>
    <row r="519" ht="19.5" customHeight="1">
      <c r="A519" s="12"/>
      <c r="C519" s="12"/>
      <c r="D519" s="13"/>
      <c r="F519" s="14"/>
      <c r="G519" s="14"/>
      <c r="H519" s="14"/>
      <c r="I519" s="14"/>
      <c r="J519" s="14"/>
      <c r="K519" s="12"/>
    </row>
    <row r="520" ht="19.5" customHeight="1">
      <c r="A520" s="12"/>
      <c r="C520" s="12"/>
      <c r="D520" s="13"/>
      <c r="F520" s="14"/>
      <c r="G520" s="14"/>
      <c r="H520" s="14"/>
      <c r="I520" s="14"/>
      <c r="J520" s="14"/>
      <c r="K520" s="12"/>
    </row>
    <row r="521" ht="19.5" customHeight="1">
      <c r="A521" s="12"/>
      <c r="C521" s="12"/>
      <c r="D521" s="13"/>
      <c r="F521" s="14"/>
      <c r="G521" s="14"/>
      <c r="H521" s="14"/>
      <c r="I521" s="14"/>
      <c r="J521" s="14"/>
      <c r="K521" s="12"/>
    </row>
    <row r="522" ht="19.5" customHeight="1">
      <c r="A522" s="12"/>
      <c r="C522" s="12"/>
      <c r="D522" s="13"/>
      <c r="F522" s="14"/>
      <c r="G522" s="14"/>
      <c r="H522" s="14"/>
      <c r="I522" s="14"/>
      <c r="J522" s="14"/>
      <c r="K522" s="12"/>
    </row>
    <row r="523" ht="19.5" customHeight="1">
      <c r="A523" s="12"/>
      <c r="C523" s="12"/>
      <c r="D523" s="13"/>
      <c r="F523" s="14"/>
      <c r="G523" s="14"/>
      <c r="H523" s="14"/>
      <c r="I523" s="14"/>
      <c r="J523" s="14"/>
      <c r="K523" s="12"/>
    </row>
    <row r="524" ht="19.5" customHeight="1">
      <c r="A524" s="12"/>
      <c r="C524" s="12"/>
      <c r="D524" s="13"/>
      <c r="F524" s="14"/>
      <c r="G524" s="14"/>
      <c r="H524" s="14"/>
      <c r="I524" s="14"/>
      <c r="J524" s="14"/>
      <c r="K524" s="12"/>
    </row>
    <row r="525" ht="19.5" customHeight="1">
      <c r="A525" s="12"/>
      <c r="C525" s="12"/>
      <c r="D525" s="13"/>
      <c r="F525" s="14"/>
      <c r="G525" s="14"/>
      <c r="H525" s="14"/>
      <c r="I525" s="14"/>
      <c r="J525" s="14"/>
      <c r="K525" s="12"/>
    </row>
    <row r="526" ht="19.5" customHeight="1">
      <c r="A526" s="12"/>
      <c r="C526" s="12"/>
      <c r="D526" s="13"/>
      <c r="F526" s="14"/>
      <c r="G526" s="14"/>
      <c r="H526" s="14"/>
      <c r="I526" s="14"/>
      <c r="J526" s="14"/>
      <c r="K526" s="12"/>
    </row>
    <row r="527" ht="19.5" customHeight="1">
      <c r="A527" s="12"/>
      <c r="C527" s="12"/>
      <c r="D527" s="13"/>
      <c r="F527" s="14"/>
      <c r="G527" s="14"/>
      <c r="H527" s="14"/>
      <c r="I527" s="14"/>
      <c r="J527" s="14"/>
      <c r="K527" s="12"/>
    </row>
    <row r="528" ht="19.5" customHeight="1">
      <c r="A528" s="12"/>
      <c r="C528" s="12"/>
      <c r="D528" s="13"/>
      <c r="F528" s="14"/>
      <c r="G528" s="14"/>
      <c r="H528" s="14"/>
      <c r="I528" s="14"/>
      <c r="J528" s="14"/>
      <c r="K528" s="12"/>
    </row>
    <row r="529" ht="19.5" customHeight="1">
      <c r="A529" s="12"/>
      <c r="C529" s="12"/>
      <c r="D529" s="13"/>
      <c r="F529" s="14"/>
      <c r="G529" s="14"/>
      <c r="H529" s="14"/>
      <c r="I529" s="14"/>
      <c r="J529" s="14"/>
      <c r="K529" s="12"/>
    </row>
    <row r="530" ht="19.5" customHeight="1">
      <c r="A530" s="12"/>
      <c r="C530" s="12"/>
      <c r="D530" s="13"/>
      <c r="F530" s="14"/>
      <c r="G530" s="14"/>
      <c r="H530" s="14"/>
      <c r="I530" s="14"/>
      <c r="J530" s="14"/>
      <c r="K530" s="12"/>
    </row>
    <row r="531" ht="19.5" customHeight="1">
      <c r="A531" s="12"/>
      <c r="C531" s="12"/>
      <c r="D531" s="13"/>
      <c r="F531" s="14"/>
      <c r="G531" s="14"/>
      <c r="H531" s="14"/>
      <c r="I531" s="14"/>
      <c r="J531" s="14"/>
      <c r="K531" s="12"/>
    </row>
    <row r="532" ht="19.5" customHeight="1">
      <c r="A532" s="12"/>
      <c r="C532" s="12"/>
      <c r="D532" s="13"/>
      <c r="F532" s="14"/>
      <c r="G532" s="14"/>
      <c r="H532" s="14"/>
      <c r="I532" s="14"/>
      <c r="J532" s="14"/>
      <c r="K532" s="12"/>
    </row>
    <row r="533" ht="19.5" customHeight="1">
      <c r="A533" s="12"/>
      <c r="C533" s="12"/>
      <c r="D533" s="13"/>
      <c r="F533" s="14"/>
      <c r="G533" s="14"/>
      <c r="H533" s="14"/>
      <c r="I533" s="14"/>
      <c r="J533" s="14"/>
      <c r="K533" s="12"/>
    </row>
    <row r="534" ht="19.5" customHeight="1">
      <c r="A534" s="12"/>
      <c r="C534" s="12"/>
      <c r="D534" s="13"/>
      <c r="F534" s="14"/>
      <c r="G534" s="14"/>
      <c r="H534" s="14"/>
      <c r="I534" s="14"/>
      <c r="J534" s="14"/>
      <c r="K534" s="12"/>
    </row>
    <row r="535" ht="19.5" customHeight="1">
      <c r="A535" s="12"/>
      <c r="C535" s="12"/>
      <c r="D535" s="13"/>
      <c r="F535" s="14"/>
      <c r="G535" s="14"/>
      <c r="H535" s="14"/>
      <c r="I535" s="14"/>
      <c r="J535" s="14"/>
      <c r="K535" s="12"/>
    </row>
    <row r="536" ht="19.5" customHeight="1">
      <c r="A536" s="12"/>
      <c r="C536" s="12"/>
      <c r="D536" s="13"/>
      <c r="F536" s="14"/>
      <c r="G536" s="14"/>
      <c r="H536" s="14"/>
      <c r="I536" s="14"/>
      <c r="J536" s="14"/>
      <c r="K536" s="12"/>
    </row>
    <row r="537" ht="19.5" customHeight="1">
      <c r="A537" s="12"/>
      <c r="C537" s="12"/>
      <c r="D537" s="13"/>
      <c r="F537" s="14"/>
      <c r="G537" s="14"/>
      <c r="H537" s="14"/>
      <c r="I537" s="14"/>
      <c r="J537" s="14"/>
      <c r="K537" s="12"/>
    </row>
    <row r="538" ht="19.5" customHeight="1">
      <c r="A538" s="12"/>
      <c r="C538" s="12"/>
      <c r="D538" s="13"/>
      <c r="F538" s="14"/>
      <c r="G538" s="14"/>
      <c r="H538" s="14"/>
      <c r="I538" s="14"/>
      <c r="J538" s="14"/>
      <c r="K538" s="12"/>
    </row>
    <row r="539" ht="19.5" customHeight="1">
      <c r="A539" s="12"/>
      <c r="C539" s="12"/>
      <c r="D539" s="13"/>
      <c r="F539" s="14"/>
      <c r="G539" s="14"/>
      <c r="H539" s="14"/>
      <c r="I539" s="14"/>
      <c r="J539" s="14"/>
      <c r="K539" s="12"/>
    </row>
    <row r="540" ht="19.5" customHeight="1">
      <c r="A540" s="12"/>
      <c r="C540" s="12"/>
      <c r="D540" s="13"/>
      <c r="F540" s="14"/>
      <c r="G540" s="14"/>
      <c r="H540" s="14"/>
      <c r="I540" s="14"/>
      <c r="J540" s="14"/>
      <c r="K540" s="12"/>
    </row>
    <row r="541" ht="19.5" customHeight="1">
      <c r="A541" s="12"/>
      <c r="C541" s="12"/>
      <c r="D541" s="13"/>
      <c r="F541" s="14"/>
      <c r="G541" s="14"/>
      <c r="H541" s="14"/>
      <c r="I541" s="14"/>
      <c r="J541" s="14"/>
      <c r="K541" s="12"/>
    </row>
    <row r="542" ht="19.5" customHeight="1">
      <c r="A542" s="12"/>
      <c r="C542" s="12"/>
      <c r="D542" s="13"/>
      <c r="F542" s="14"/>
      <c r="G542" s="14"/>
      <c r="H542" s="14"/>
      <c r="I542" s="14"/>
      <c r="J542" s="14"/>
      <c r="K542" s="12"/>
    </row>
    <row r="543" ht="19.5" customHeight="1">
      <c r="A543" s="12"/>
      <c r="C543" s="12"/>
      <c r="D543" s="13"/>
      <c r="F543" s="14"/>
      <c r="G543" s="14"/>
      <c r="H543" s="14"/>
      <c r="I543" s="14"/>
      <c r="J543" s="14"/>
      <c r="K543" s="12"/>
    </row>
    <row r="544" ht="19.5" customHeight="1">
      <c r="A544" s="12"/>
      <c r="C544" s="12"/>
      <c r="D544" s="13"/>
      <c r="F544" s="14"/>
      <c r="G544" s="14"/>
      <c r="H544" s="14"/>
      <c r="I544" s="14"/>
      <c r="J544" s="14"/>
      <c r="K544" s="12"/>
    </row>
    <row r="545" ht="19.5" customHeight="1">
      <c r="A545" s="12"/>
      <c r="C545" s="12"/>
      <c r="D545" s="13"/>
      <c r="F545" s="14"/>
      <c r="G545" s="14"/>
      <c r="H545" s="14"/>
      <c r="I545" s="14"/>
      <c r="J545" s="14"/>
      <c r="K545" s="12"/>
    </row>
    <row r="546" ht="19.5" customHeight="1">
      <c r="A546" s="12"/>
      <c r="C546" s="12"/>
      <c r="D546" s="13"/>
      <c r="F546" s="14"/>
      <c r="G546" s="14"/>
      <c r="H546" s="14"/>
      <c r="I546" s="14"/>
      <c r="J546" s="14"/>
      <c r="K546" s="12"/>
    </row>
    <row r="547" ht="19.5" customHeight="1">
      <c r="A547" s="12"/>
      <c r="C547" s="12"/>
      <c r="D547" s="13"/>
      <c r="F547" s="14"/>
      <c r="G547" s="14"/>
      <c r="H547" s="14"/>
      <c r="I547" s="14"/>
      <c r="J547" s="14"/>
      <c r="K547" s="12"/>
    </row>
    <row r="548" ht="19.5" customHeight="1">
      <c r="A548" s="12"/>
      <c r="C548" s="12"/>
      <c r="D548" s="13"/>
      <c r="F548" s="14"/>
      <c r="G548" s="14"/>
      <c r="H548" s="14"/>
      <c r="I548" s="14"/>
      <c r="J548" s="14"/>
      <c r="K548" s="12"/>
    </row>
    <row r="549" ht="19.5" customHeight="1">
      <c r="A549" s="12"/>
      <c r="C549" s="12"/>
      <c r="D549" s="13"/>
      <c r="F549" s="14"/>
      <c r="G549" s="14"/>
      <c r="H549" s="14"/>
      <c r="I549" s="14"/>
      <c r="J549" s="14"/>
      <c r="K549" s="12"/>
    </row>
    <row r="550" ht="19.5" customHeight="1">
      <c r="A550" s="12"/>
      <c r="C550" s="12"/>
      <c r="D550" s="13"/>
      <c r="F550" s="14"/>
      <c r="G550" s="14"/>
      <c r="H550" s="14"/>
      <c r="I550" s="14"/>
      <c r="J550" s="14"/>
      <c r="K550" s="12"/>
    </row>
    <row r="551" ht="19.5" customHeight="1">
      <c r="A551" s="12"/>
      <c r="C551" s="12"/>
      <c r="D551" s="13"/>
      <c r="F551" s="14"/>
      <c r="G551" s="14"/>
      <c r="H551" s="14"/>
      <c r="I551" s="14"/>
      <c r="J551" s="14"/>
      <c r="K551" s="12"/>
    </row>
    <row r="552" ht="19.5" customHeight="1">
      <c r="A552" s="12"/>
      <c r="C552" s="12"/>
      <c r="D552" s="13"/>
      <c r="F552" s="14"/>
      <c r="G552" s="14"/>
      <c r="H552" s="14"/>
      <c r="I552" s="14"/>
      <c r="J552" s="14"/>
      <c r="K552" s="12"/>
    </row>
    <row r="553" ht="19.5" customHeight="1">
      <c r="A553" s="12"/>
      <c r="C553" s="12"/>
      <c r="D553" s="13"/>
      <c r="F553" s="14"/>
      <c r="G553" s="14"/>
      <c r="H553" s="14"/>
      <c r="I553" s="14"/>
      <c r="J553" s="14"/>
      <c r="K553" s="12"/>
    </row>
    <row r="554" ht="19.5" customHeight="1">
      <c r="A554" s="12"/>
      <c r="C554" s="12"/>
      <c r="D554" s="13"/>
      <c r="F554" s="14"/>
      <c r="G554" s="14"/>
      <c r="H554" s="14"/>
      <c r="I554" s="14"/>
      <c r="J554" s="14"/>
      <c r="K554" s="12"/>
    </row>
    <row r="555" ht="19.5" customHeight="1">
      <c r="A555" s="12"/>
      <c r="C555" s="12"/>
      <c r="D555" s="13"/>
      <c r="F555" s="14"/>
      <c r="G555" s="14"/>
      <c r="H555" s="14"/>
      <c r="I555" s="14"/>
      <c r="J555" s="14"/>
      <c r="K555" s="12"/>
    </row>
    <row r="556" ht="19.5" customHeight="1">
      <c r="A556" s="12"/>
      <c r="C556" s="12"/>
      <c r="D556" s="13"/>
      <c r="F556" s="14"/>
      <c r="G556" s="14"/>
      <c r="H556" s="14"/>
      <c r="I556" s="14"/>
      <c r="J556" s="14"/>
      <c r="K556" s="12"/>
    </row>
    <row r="557" ht="19.5" customHeight="1">
      <c r="A557" s="12"/>
      <c r="C557" s="12"/>
      <c r="D557" s="13"/>
      <c r="F557" s="14"/>
      <c r="G557" s="14"/>
      <c r="H557" s="14"/>
      <c r="I557" s="14"/>
      <c r="J557" s="14"/>
      <c r="K557" s="12"/>
    </row>
    <row r="558" ht="19.5" customHeight="1">
      <c r="A558" s="12"/>
      <c r="C558" s="12"/>
      <c r="D558" s="13"/>
      <c r="F558" s="14"/>
      <c r="G558" s="14"/>
      <c r="H558" s="14"/>
      <c r="I558" s="14"/>
      <c r="J558" s="14"/>
      <c r="K558" s="12"/>
    </row>
    <row r="559" ht="19.5" customHeight="1">
      <c r="A559" s="12"/>
      <c r="C559" s="12"/>
      <c r="D559" s="13"/>
      <c r="F559" s="14"/>
      <c r="G559" s="14"/>
      <c r="H559" s="14"/>
      <c r="I559" s="14"/>
      <c r="J559" s="14"/>
      <c r="K559" s="12"/>
    </row>
    <row r="560" ht="19.5" customHeight="1">
      <c r="A560" s="12"/>
      <c r="C560" s="12"/>
      <c r="D560" s="13"/>
      <c r="F560" s="14"/>
      <c r="G560" s="14"/>
      <c r="H560" s="14"/>
      <c r="I560" s="14"/>
      <c r="J560" s="14"/>
      <c r="K560" s="12"/>
    </row>
    <row r="561" ht="19.5" customHeight="1">
      <c r="A561" s="12"/>
      <c r="C561" s="12"/>
      <c r="D561" s="13"/>
      <c r="F561" s="14"/>
      <c r="G561" s="14"/>
      <c r="H561" s="14"/>
      <c r="I561" s="14"/>
      <c r="J561" s="14"/>
      <c r="K561" s="12"/>
    </row>
    <row r="562" ht="19.5" customHeight="1">
      <c r="A562" s="12"/>
      <c r="C562" s="12"/>
      <c r="D562" s="13"/>
      <c r="F562" s="14"/>
      <c r="G562" s="14"/>
      <c r="H562" s="14"/>
      <c r="I562" s="14"/>
      <c r="J562" s="14"/>
      <c r="K562" s="12"/>
    </row>
    <row r="563" ht="19.5" customHeight="1">
      <c r="A563" s="12"/>
      <c r="C563" s="12"/>
      <c r="D563" s="13"/>
      <c r="F563" s="14"/>
      <c r="G563" s="14"/>
      <c r="H563" s="14"/>
      <c r="I563" s="14"/>
      <c r="J563" s="14"/>
      <c r="K563" s="12"/>
    </row>
    <row r="564" ht="19.5" customHeight="1">
      <c r="A564" s="12"/>
      <c r="C564" s="12"/>
      <c r="D564" s="13"/>
      <c r="F564" s="14"/>
      <c r="G564" s="14"/>
      <c r="H564" s="14"/>
      <c r="I564" s="14"/>
      <c r="J564" s="14"/>
      <c r="K564" s="12"/>
    </row>
    <row r="565" ht="19.5" customHeight="1">
      <c r="A565" s="12"/>
      <c r="C565" s="12"/>
      <c r="D565" s="13"/>
      <c r="F565" s="14"/>
      <c r="G565" s="14"/>
      <c r="H565" s="14"/>
      <c r="I565" s="14"/>
      <c r="J565" s="14"/>
      <c r="K565" s="12"/>
    </row>
    <row r="566" ht="19.5" customHeight="1">
      <c r="A566" s="12"/>
      <c r="C566" s="12"/>
      <c r="D566" s="13"/>
      <c r="F566" s="14"/>
      <c r="G566" s="14"/>
      <c r="H566" s="14"/>
      <c r="I566" s="14"/>
      <c r="J566" s="14"/>
      <c r="K566" s="12"/>
    </row>
    <row r="567" ht="19.5" customHeight="1">
      <c r="A567" s="12"/>
      <c r="C567" s="12"/>
      <c r="D567" s="13"/>
      <c r="F567" s="14"/>
      <c r="G567" s="14"/>
      <c r="H567" s="14"/>
      <c r="I567" s="14"/>
      <c r="J567" s="14"/>
      <c r="K567" s="12"/>
    </row>
    <row r="568" ht="19.5" customHeight="1">
      <c r="A568" s="12"/>
      <c r="C568" s="12"/>
      <c r="D568" s="13"/>
      <c r="F568" s="14"/>
      <c r="G568" s="14"/>
      <c r="H568" s="14"/>
      <c r="I568" s="14"/>
      <c r="J568" s="14"/>
      <c r="K568" s="12"/>
    </row>
    <row r="569" ht="19.5" customHeight="1">
      <c r="A569" s="12"/>
      <c r="C569" s="12"/>
      <c r="D569" s="13"/>
      <c r="F569" s="14"/>
      <c r="G569" s="14"/>
      <c r="H569" s="14"/>
      <c r="I569" s="14"/>
      <c r="J569" s="14"/>
      <c r="K569" s="12"/>
    </row>
    <row r="570" ht="19.5" customHeight="1">
      <c r="A570" s="12"/>
      <c r="C570" s="12"/>
      <c r="D570" s="13"/>
      <c r="F570" s="14"/>
      <c r="G570" s="14"/>
      <c r="H570" s="14"/>
      <c r="I570" s="14"/>
      <c r="J570" s="14"/>
      <c r="K570" s="12"/>
    </row>
    <row r="571" ht="19.5" customHeight="1">
      <c r="A571" s="12"/>
      <c r="C571" s="12"/>
      <c r="D571" s="13"/>
      <c r="F571" s="14"/>
      <c r="G571" s="14"/>
      <c r="H571" s="14"/>
      <c r="I571" s="14"/>
      <c r="J571" s="14"/>
      <c r="K571" s="12"/>
    </row>
    <row r="572" ht="19.5" customHeight="1">
      <c r="A572" s="12"/>
      <c r="C572" s="12"/>
      <c r="D572" s="13"/>
      <c r="F572" s="14"/>
      <c r="G572" s="14"/>
      <c r="H572" s="14"/>
      <c r="I572" s="14"/>
      <c r="J572" s="14"/>
      <c r="K572" s="12"/>
    </row>
    <row r="573" ht="19.5" customHeight="1">
      <c r="A573" s="12"/>
      <c r="C573" s="12"/>
      <c r="D573" s="13"/>
      <c r="F573" s="14"/>
      <c r="G573" s="14"/>
      <c r="H573" s="14"/>
      <c r="I573" s="14"/>
      <c r="J573" s="14"/>
      <c r="K573" s="12"/>
    </row>
    <row r="574" ht="19.5" customHeight="1">
      <c r="A574" s="12"/>
      <c r="C574" s="12"/>
      <c r="D574" s="13"/>
      <c r="F574" s="14"/>
      <c r="G574" s="14"/>
      <c r="H574" s="14"/>
      <c r="I574" s="14"/>
      <c r="J574" s="14"/>
      <c r="K574" s="12"/>
    </row>
    <row r="575" ht="19.5" customHeight="1">
      <c r="A575" s="12"/>
      <c r="C575" s="12"/>
      <c r="D575" s="13"/>
      <c r="F575" s="14"/>
      <c r="G575" s="14"/>
      <c r="H575" s="14"/>
      <c r="I575" s="14"/>
      <c r="J575" s="14"/>
      <c r="K575" s="12"/>
    </row>
    <row r="576" ht="19.5" customHeight="1">
      <c r="A576" s="12"/>
      <c r="C576" s="12"/>
      <c r="D576" s="13"/>
      <c r="F576" s="14"/>
      <c r="G576" s="14"/>
      <c r="H576" s="14"/>
      <c r="I576" s="14"/>
      <c r="J576" s="14"/>
      <c r="K576" s="12"/>
    </row>
    <row r="577" ht="19.5" customHeight="1">
      <c r="A577" s="12"/>
      <c r="C577" s="12"/>
      <c r="D577" s="13"/>
      <c r="F577" s="14"/>
      <c r="G577" s="14"/>
      <c r="H577" s="14"/>
      <c r="I577" s="14"/>
      <c r="J577" s="14"/>
      <c r="K577" s="12"/>
    </row>
    <row r="578" ht="19.5" customHeight="1">
      <c r="A578" s="12"/>
      <c r="C578" s="12"/>
      <c r="D578" s="13"/>
      <c r="F578" s="14"/>
      <c r="G578" s="14"/>
      <c r="H578" s="14"/>
      <c r="I578" s="14"/>
      <c r="J578" s="14"/>
      <c r="K578" s="12"/>
    </row>
    <row r="579" ht="19.5" customHeight="1">
      <c r="A579" s="12"/>
      <c r="C579" s="12"/>
      <c r="D579" s="13"/>
      <c r="F579" s="14"/>
      <c r="G579" s="14"/>
      <c r="H579" s="14"/>
      <c r="I579" s="14"/>
      <c r="J579" s="14"/>
      <c r="K579" s="12"/>
    </row>
    <row r="580" ht="19.5" customHeight="1">
      <c r="A580" s="12"/>
      <c r="C580" s="12"/>
      <c r="D580" s="13"/>
      <c r="F580" s="14"/>
      <c r="G580" s="14"/>
      <c r="H580" s="14"/>
      <c r="I580" s="14"/>
      <c r="J580" s="14"/>
      <c r="K580" s="12"/>
    </row>
    <row r="581" ht="19.5" customHeight="1">
      <c r="A581" s="12"/>
      <c r="C581" s="12"/>
      <c r="D581" s="13"/>
      <c r="F581" s="14"/>
      <c r="G581" s="14"/>
      <c r="H581" s="14"/>
      <c r="I581" s="14"/>
      <c r="J581" s="14"/>
      <c r="K581" s="12"/>
    </row>
    <row r="582" ht="19.5" customHeight="1">
      <c r="A582" s="12"/>
      <c r="C582" s="12"/>
      <c r="D582" s="13"/>
      <c r="F582" s="14"/>
      <c r="G582" s="14"/>
      <c r="H582" s="14"/>
      <c r="I582" s="14"/>
      <c r="J582" s="14"/>
      <c r="K582" s="12"/>
    </row>
    <row r="583" ht="19.5" customHeight="1">
      <c r="A583" s="12"/>
      <c r="C583" s="12"/>
      <c r="D583" s="13"/>
      <c r="F583" s="14"/>
      <c r="G583" s="14"/>
      <c r="H583" s="14"/>
      <c r="I583" s="14"/>
      <c r="J583" s="14"/>
      <c r="K583" s="12"/>
    </row>
    <row r="584" ht="19.5" customHeight="1">
      <c r="A584" s="12"/>
      <c r="C584" s="12"/>
      <c r="D584" s="13"/>
      <c r="F584" s="14"/>
      <c r="G584" s="14"/>
      <c r="H584" s="14"/>
      <c r="I584" s="14"/>
      <c r="J584" s="14"/>
      <c r="K584" s="12"/>
    </row>
    <row r="585" ht="19.5" customHeight="1">
      <c r="A585" s="12"/>
      <c r="C585" s="12"/>
      <c r="D585" s="13"/>
      <c r="F585" s="14"/>
      <c r="G585" s="14"/>
      <c r="H585" s="14"/>
      <c r="I585" s="14"/>
      <c r="J585" s="14"/>
      <c r="K585" s="12"/>
    </row>
    <row r="586" ht="19.5" customHeight="1">
      <c r="A586" s="12"/>
      <c r="C586" s="12"/>
      <c r="D586" s="13"/>
      <c r="F586" s="14"/>
      <c r="G586" s="14"/>
      <c r="H586" s="14"/>
      <c r="I586" s="14"/>
      <c r="J586" s="14"/>
      <c r="K586" s="12"/>
    </row>
    <row r="587" ht="19.5" customHeight="1">
      <c r="A587" s="12"/>
      <c r="C587" s="12"/>
      <c r="D587" s="13"/>
      <c r="F587" s="14"/>
      <c r="G587" s="14"/>
      <c r="H587" s="14"/>
      <c r="I587" s="14"/>
      <c r="J587" s="14"/>
      <c r="K587" s="12"/>
    </row>
    <row r="588" ht="19.5" customHeight="1">
      <c r="A588" s="12"/>
      <c r="C588" s="12"/>
      <c r="D588" s="13"/>
      <c r="F588" s="14"/>
      <c r="G588" s="14"/>
      <c r="H588" s="14"/>
      <c r="I588" s="14"/>
      <c r="J588" s="14"/>
      <c r="K588" s="12"/>
    </row>
    <row r="589" ht="19.5" customHeight="1">
      <c r="A589" s="12"/>
      <c r="C589" s="12"/>
      <c r="D589" s="13"/>
      <c r="F589" s="14"/>
      <c r="G589" s="14"/>
      <c r="H589" s="14"/>
      <c r="I589" s="14"/>
      <c r="J589" s="14"/>
      <c r="K589" s="12"/>
    </row>
    <row r="590" ht="19.5" customHeight="1">
      <c r="A590" s="12"/>
      <c r="C590" s="12"/>
      <c r="D590" s="13"/>
      <c r="F590" s="14"/>
      <c r="G590" s="14"/>
      <c r="H590" s="14"/>
      <c r="I590" s="14"/>
      <c r="J590" s="14"/>
      <c r="K590" s="12"/>
    </row>
    <row r="591" ht="19.5" customHeight="1">
      <c r="A591" s="12"/>
      <c r="C591" s="12"/>
      <c r="D591" s="13"/>
      <c r="F591" s="14"/>
      <c r="G591" s="14"/>
      <c r="H591" s="14"/>
      <c r="I591" s="14"/>
      <c r="J591" s="14"/>
      <c r="K591" s="12"/>
    </row>
    <row r="592" ht="19.5" customHeight="1">
      <c r="A592" s="12"/>
      <c r="C592" s="12"/>
      <c r="D592" s="13"/>
      <c r="F592" s="14"/>
      <c r="G592" s="14"/>
      <c r="H592" s="14"/>
      <c r="I592" s="14"/>
      <c r="J592" s="14"/>
      <c r="K592" s="12"/>
    </row>
    <row r="593" ht="19.5" customHeight="1">
      <c r="A593" s="12"/>
      <c r="C593" s="12"/>
      <c r="D593" s="13"/>
      <c r="F593" s="14"/>
      <c r="G593" s="14"/>
      <c r="H593" s="14"/>
      <c r="I593" s="14"/>
      <c r="J593" s="14"/>
      <c r="K593" s="12"/>
    </row>
    <row r="594" ht="19.5" customHeight="1">
      <c r="A594" s="12"/>
      <c r="C594" s="12"/>
      <c r="D594" s="13"/>
      <c r="F594" s="14"/>
      <c r="G594" s="14"/>
      <c r="H594" s="14"/>
      <c r="I594" s="14"/>
      <c r="J594" s="14"/>
      <c r="K594" s="12"/>
    </row>
    <row r="595" ht="19.5" customHeight="1">
      <c r="A595" s="12"/>
      <c r="C595" s="12"/>
      <c r="D595" s="13"/>
      <c r="F595" s="14"/>
      <c r="G595" s="14"/>
      <c r="H595" s="14"/>
      <c r="I595" s="14"/>
      <c r="J595" s="14"/>
      <c r="K595" s="12"/>
    </row>
    <row r="596" ht="19.5" customHeight="1">
      <c r="A596" s="12"/>
      <c r="C596" s="12"/>
      <c r="D596" s="13"/>
      <c r="F596" s="14"/>
      <c r="G596" s="14"/>
      <c r="H596" s="14"/>
      <c r="I596" s="14"/>
      <c r="J596" s="14"/>
      <c r="K596" s="12"/>
    </row>
    <row r="597" ht="19.5" customHeight="1">
      <c r="A597" s="12"/>
      <c r="C597" s="12"/>
      <c r="D597" s="13"/>
      <c r="F597" s="14"/>
      <c r="G597" s="14"/>
      <c r="H597" s="14"/>
      <c r="I597" s="14"/>
      <c r="J597" s="14"/>
      <c r="K597" s="12"/>
    </row>
    <row r="598" ht="19.5" customHeight="1">
      <c r="A598" s="12"/>
      <c r="C598" s="12"/>
      <c r="D598" s="13"/>
      <c r="F598" s="14"/>
      <c r="G598" s="14"/>
      <c r="H598" s="14"/>
      <c r="I598" s="14"/>
      <c r="J598" s="14"/>
      <c r="K598" s="12"/>
    </row>
    <row r="599" ht="19.5" customHeight="1">
      <c r="A599" s="12"/>
      <c r="C599" s="12"/>
      <c r="D599" s="13"/>
      <c r="F599" s="14"/>
      <c r="G599" s="14"/>
      <c r="H599" s="14"/>
      <c r="I599" s="14"/>
      <c r="J599" s="14"/>
      <c r="K599" s="12"/>
    </row>
    <row r="600" ht="19.5" customHeight="1">
      <c r="A600" s="12"/>
      <c r="C600" s="12"/>
      <c r="D600" s="13"/>
      <c r="F600" s="14"/>
      <c r="G600" s="14"/>
      <c r="H600" s="14"/>
      <c r="I600" s="14"/>
      <c r="J600" s="14"/>
      <c r="K600" s="12"/>
    </row>
    <row r="601" ht="19.5" customHeight="1">
      <c r="A601" s="12"/>
      <c r="C601" s="12"/>
      <c r="D601" s="13"/>
      <c r="F601" s="14"/>
      <c r="G601" s="14"/>
      <c r="H601" s="14"/>
      <c r="I601" s="14"/>
      <c r="J601" s="14"/>
      <c r="K601" s="12"/>
    </row>
    <row r="602" ht="19.5" customHeight="1">
      <c r="A602" s="12"/>
      <c r="C602" s="12"/>
      <c r="D602" s="13"/>
      <c r="F602" s="14"/>
      <c r="G602" s="14"/>
      <c r="H602" s="14"/>
      <c r="I602" s="14"/>
      <c r="J602" s="14"/>
      <c r="K602" s="12"/>
    </row>
    <row r="603" ht="19.5" customHeight="1">
      <c r="A603" s="12"/>
      <c r="C603" s="12"/>
      <c r="D603" s="13"/>
      <c r="F603" s="14"/>
      <c r="G603" s="14"/>
      <c r="H603" s="14"/>
      <c r="I603" s="14"/>
      <c r="J603" s="14"/>
      <c r="K603" s="12"/>
    </row>
    <row r="604" ht="19.5" customHeight="1">
      <c r="A604" s="12"/>
      <c r="C604" s="12"/>
      <c r="D604" s="13"/>
      <c r="F604" s="14"/>
      <c r="G604" s="14"/>
      <c r="H604" s="14"/>
      <c r="I604" s="14"/>
      <c r="J604" s="14"/>
      <c r="K604" s="12"/>
    </row>
    <row r="605" ht="19.5" customHeight="1">
      <c r="A605" s="12"/>
      <c r="C605" s="12"/>
      <c r="D605" s="13"/>
      <c r="F605" s="14"/>
      <c r="G605" s="14"/>
      <c r="H605" s="14"/>
      <c r="I605" s="14"/>
      <c r="J605" s="14"/>
      <c r="K605" s="12"/>
    </row>
    <row r="606" ht="19.5" customHeight="1">
      <c r="A606" s="12"/>
      <c r="C606" s="12"/>
      <c r="D606" s="13"/>
      <c r="F606" s="14"/>
      <c r="G606" s="14"/>
      <c r="H606" s="14"/>
      <c r="I606" s="14"/>
      <c r="J606" s="14"/>
      <c r="K606" s="12"/>
    </row>
    <row r="607" ht="19.5" customHeight="1">
      <c r="A607" s="12"/>
      <c r="C607" s="12"/>
      <c r="D607" s="13"/>
      <c r="F607" s="14"/>
      <c r="G607" s="14"/>
      <c r="H607" s="14"/>
      <c r="I607" s="14"/>
      <c r="J607" s="14"/>
      <c r="K607" s="12"/>
    </row>
    <row r="608" ht="19.5" customHeight="1">
      <c r="A608" s="12"/>
      <c r="C608" s="12"/>
      <c r="D608" s="13"/>
      <c r="F608" s="14"/>
      <c r="G608" s="14"/>
      <c r="H608" s="14"/>
      <c r="I608" s="14"/>
      <c r="J608" s="14"/>
      <c r="K608" s="12"/>
    </row>
    <row r="609" ht="19.5" customHeight="1">
      <c r="A609" s="12"/>
      <c r="C609" s="12"/>
      <c r="D609" s="13"/>
      <c r="F609" s="14"/>
      <c r="G609" s="14"/>
      <c r="H609" s="14"/>
      <c r="I609" s="14"/>
      <c r="J609" s="14"/>
      <c r="K609" s="12"/>
    </row>
    <row r="610" ht="19.5" customHeight="1">
      <c r="A610" s="12"/>
      <c r="C610" s="12"/>
      <c r="D610" s="13"/>
      <c r="F610" s="14"/>
      <c r="G610" s="14"/>
      <c r="H610" s="14"/>
      <c r="I610" s="14"/>
      <c r="J610" s="14"/>
      <c r="K610" s="12"/>
    </row>
    <row r="611" ht="19.5" customHeight="1">
      <c r="A611" s="12"/>
      <c r="C611" s="12"/>
      <c r="D611" s="13"/>
      <c r="F611" s="14"/>
      <c r="G611" s="14"/>
      <c r="H611" s="14"/>
      <c r="I611" s="14"/>
      <c r="J611" s="14"/>
      <c r="K611" s="12"/>
    </row>
    <row r="612" ht="19.5" customHeight="1">
      <c r="A612" s="12"/>
      <c r="C612" s="12"/>
      <c r="D612" s="13"/>
      <c r="F612" s="14"/>
      <c r="G612" s="14"/>
      <c r="H612" s="14"/>
      <c r="I612" s="14"/>
      <c r="J612" s="14"/>
      <c r="K612" s="12"/>
    </row>
    <row r="613" ht="19.5" customHeight="1">
      <c r="A613" s="12"/>
      <c r="C613" s="12"/>
      <c r="D613" s="13"/>
      <c r="F613" s="14"/>
      <c r="G613" s="14"/>
      <c r="H613" s="14"/>
      <c r="I613" s="14"/>
      <c r="J613" s="14"/>
      <c r="K613" s="12"/>
    </row>
    <row r="614" ht="19.5" customHeight="1">
      <c r="A614" s="12"/>
      <c r="C614" s="12"/>
      <c r="D614" s="13"/>
      <c r="F614" s="14"/>
      <c r="G614" s="14"/>
      <c r="H614" s="14"/>
      <c r="I614" s="14"/>
      <c r="J614" s="14"/>
      <c r="K614" s="12"/>
    </row>
    <row r="615" ht="19.5" customHeight="1">
      <c r="A615" s="12"/>
      <c r="C615" s="12"/>
      <c r="D615" s="13"/>
      <c r="F615" s="14"/>
      <c r="G615" s="14"/>
      <c r="H615" s="14"/>
      <c r="I615" s="14"/>
      <c r="J615" s="14"/>
      <c r="K615" s="12"/>
    </row>
    <row r="616" ht="19.5" customHeight="1">
      <c r="A616" s="12"/>
      <c r="C616" s="12"/>
      <c r="D616" s="13"/>
      <c r="F616" s="14"/>
      <c r="G616" s="14"/>
      <c r="H616" s="14"/>
      <c r="I616" s="14"/>
      <c r="J616" s="14"/>
      <c r="K616" s="12"/>
    </row>
    <row r="617" ht="19.5" customHeight="1">
      <c r="A617" s="12"/>
      <c r="C617" s="12"/>
      <c r="D617" s="13"/>
      <c r="F617" s="14"/>
      <c r="G617" s="14"/>
      <c r="H617" s="14"/>
      <c r="I617" s="14"/>
      <c r="J617" s="14"/>
      <c r="K617" s="12"/>
    </row>
    <row r="618" ht="19.5" customHeight="1">
      <c r="A618" s="12"/>
      <c r="C618" s="12"/>
      <c r="D618" s="13"/>
      <c r="F618" s="14"/>
      <c r="G618" s="14"/>
      <c r="H618" s="14"/>
      <c r="I618" s="14"/>
      <c r="J618" s="14"/>
      <c r="K618" s="12"/>
    </row>
    <row r="619" ht="19.5" customHeight="1">
      <c r="A619" s="12"/>
      <c r="C619" s="12"/>
      <c r="D619" s="13"/>
      <c r="F619" s="14"/>
      <c r="G619" s="14"/>
      <c r="H619" s="14"/>
      <c r="I619" s="14"/>
      <c r="J619" s="14"/>
      <c r="K619" s="12"/>
    </row>
    <row r="620" ht="19.5" customHeight="1">
      <c r="A620" s="12"/>
      <c r="C620" s="12"/>
      <c r="D620" s="13"/>
      <c r="F620" s="14"/>
      <c r="G620" s="14"/>
      <c r="H620" s="14"/>
      <c r="I620" s="14"/>
      <c r="J620" s="14"/>
      <c r="K620" s="12"/>
    </row>
    <row r="621" ht="19.5" customHeight="1">
      <c r="A621" s="12"/>
      <c r="C621" s="12"/>
      <c r="D621" s="13"/>
      <c r="F621" s="14"/>
      <c r="G621" s="14"/>
      <c r="H621" s="14"/>
      <c r="I621" s="14"/>
      <c r="J621" s="14"/>
      <c r="K621" s="12"/>
    </row>
    <row r="622" ht="19.5" customHeight="1">
      <c r="A622" s="12"/>
      <c r="C622" s="12"/>
      <c r="D622" s="13"/>
      <c r="F622" s="14"/>
      <c r="G622" s="14"/>
      <c r="H622" s="14"/>
      <c r="I622" s="14"/>
      <c r="J622" s="14"/>
      <c r="K622" s="12"/>
    </row>
    <row r="623" ht="19.5" customHeight="1">
      <c r="A623" s="12"/>
      <c r="C623" s="12"/>
      <c r="D623" s="13"/>
      <c r="F623" s="14"/>
      <c r="G623" s="14"/>
      <c r="H623" s="14"/>
      <c r="I623" s="14"/>
      <c r="J623" s="14"/>
      <c r="K623" s="12"/>
    </row>
    <row r="624" ht="19.5" customHeight="1">
      <c r="A624" s="12"/>
      <c r="C624" s="12"/>
      <c r="D624" s="13"/>
      <c r="F624" s="14"/>
      <c r="G624" s="14"/>
      <c r="H624" s="14"/>
      <c r="I624" s="14"/>
      <c r="J624" s="14"/>
      <c r="K624" s="12"/>
    </row>
    <row r="625" ht="19.5" customHeight="1">
      <c r="A625" s="12"/>
      <c r="C625" s="12"/>
      <c r="D625" s="13"/>
      <c r="F625" s="14"/>
      <c r="G625" s="14"/>
      <c r="H625" s="14"/>
      <c r="I625" s="14"/>
      <c r="J625" s="14"/>
      <c r="K625" s="12"/>
    </row>
    <row r="626" ht="19.5" customHeight="1">
      <c r="A626" s="12"/>
      <c r="C626" s="12"/>
      <c r="D626" s="13"/>
      <c r="F626" s="14"/>
      <c r="G626" s="14"/>
      <c r="H626" s="14"/>
      <c r="I626" s="14"/>
      <c r="J626" s="14"/>
      <c r="K626" s="12"/>
    </row>
    <row r="627" ht="19.5" customHeight="1">
      <c r="A627" s="12"/>
      <c r="C627" s="12"/>
      <c r="D627" s="13"/>
      <c r="F627" s="14"/>
      <c r="G627" s="14"/>
      <c r="H627" s="14"/>
      <c r="I627" s="14"/>
      <c r="J627" s="14"/>
      <c r="K627" s="12"/>
    </row>
    <row r="628" ht="19.5" customHeight="1">
      <c r="A628" s="12"/>
      <c r="C628" s="12"/>
      <c r="D628" s="13"/>
      <c r="F628" s="14"/>
      <c r="G628" s="14"/>
      <c r="H628" s="14"/>
      <c r="I628" s="14"/>
      <c r="J628" s="14"/>
      <c r="K628" s="12"/>
    </row>
    <row r="629" ht="19.5" customHeight="1">
      <c r="A629" s="12"/>
      <c r="C629" s="12"/>
      <c r="D629" s="13"/>
      <c r="F629" s="14"/>
      <c r="G629" s="14"/>
      <c r="H629" s="14"/>
      <c r="I629" s="14"/>
      <c r="J629" s="14"/>
      <c r="K629" s="12"/>
    </row>
    <row r="630" ht="19.5" customHeight="1">
      <c r="A630" s="12"/>
      <c r="C630" s="12"/>
      <c r="D630" s="13"/>
      <c r="F630" s="14"/>
      <c r="G630" s="14"/>
      <c r="H630" s="14"/>
      <c r="I630" s="14"/>
      <c r="J630" s="14"/>
      <c r="K630" s="12"/>
    </row>
    <row r="631" ht="19.5" customHeight="1">
      <c r="A631" s="12"/>
      <c r="C631" s="12"/>
      <c r="D631" s="13"/>
      <c r="F631" s="14"/>
      <c r="G631" s="14"/>
      <c r="H631" s="14"/>
      <c r="I631" s="14"/>
      <c r="J631" s="14"/>
      <c r="K631" s="12"/>
    </row>
    <row r="632" ht="19.5" customHeight="1">
      <c r="A632" s="12"/>
      <c r="C632" s="12"/>
      <c r="D632" s="13"/>
      <c r="F632" s="14"/>
      <c r="G632" s="14"/>
      <c r="H632" s="14"/>
      <c r="I632" s="14"/>
      <c r="J632" s="14"/>
      <c r="K632" s="12"/>
    </row>
    <row r="633" ht="19.5" customHeight="1">
      <c r="A633" s="12"/>
      <c r="C633" s="12"/>
      <c r="D633" s="13"/>
      <c r="F633" s="14"/>
      <c r="G633" s="14"/>
      <c r="H633" s="14"/>
      <c r="I633" s="14"/>
      <c r="J633" s="14"/>
      <c r="K633" s="12"/>
    </row>
    <row r="634" ht="19.5" customHeight="1">
      <c r="A634" s="12"/>
      <c r="C634" s="12"/>
      <c r="D634" s="13"/>
      <c r="F634" s="14"/>
      <c r="G634" s="14"/>
      <c r="H634" s="14"/>
      <c r="I634" s="14"/>
      <c r="J634" s="14"/>
      <c r="K634" s="12"/>
    </row>
    <row r="635" ht="19.5" customHeight="1">
      <c r="A635" s="12"/>
      <c r="C635" s="12"/>
      <c r="D635" s="13"/>
      <c r="F635" s="14"/>
      <c r="G635" s="14"/>
      <c r="H635" s="14"/>
      <c r="I635" s="14"/>
      <c r="J635" s="14"/>
      <c r="K635" s="12"/>
    </row>
    <row r="636" ht="19.5" customHeight="1">
      <c r="A636" s="12"/>
      <c r="C636" s="12"/>
      <c r="D636" s="13"/>
      <c r="F636" s="14"/>
      <c r="G636" s="14"/>
      <c r="H636" s="14"/>
      <c r="I636" s="14"/>
      <c r="J636" s="14"/>
      <c r="K636" s="12"/>
    </row>
    <row r="637" ht="19.5" customHeight="1">
      <c r="A637" s="12"/>
      <c r="C637" s="12"/>
      <c r="D637" s="13"/>
      <c r="F637" s="14"/>
      <c r="G637" s="14"/>
      <c r="H637" s="14"/>
      <c r="I637" s="14"/>
      <c r="J637" s="14"/>
      <c r="K637" s="12"/>
    </row>
    <row r="638" ht="19.5" customHeight="1">
      <c r="A638" s="12"/>
      <c r="C638" s="12"/>
      <c r="D638" s="13"/>
      <c r="F638" s="14"/>
      <c r="G638" s="14"/>
      <c r="H638" s="14"/>
      <c r="I638" s="14"/>
      <c r="J638" s="14"/>
      <c r="K638" s="12"/>
    </row>
    <row r="639" ht="19.5" customHeight="1">
      <c r="A639" s="12"/>
      <c r="C639" s="12"/>
      <c r="D639" s="13"/>
      <c r="F639" s="14"/>
      <c r="G639" s="14"/>
      <c r="H639" s="14"/>
      <c r="I639" s="14"/>
      <c r="J639" s="14"/>
      <c r="K639" s="12"/>
    </row>
    <row r="640" ht="19.5" customHeight="1">
      <c r="A640" s="12"/>
      <c r="C640" s="12"/>
      <c r="D640" s="13"/>
      <c r="F640" s="14"/>
      <c r="G640" s="14"/>
      <c r="H640" s="14"/>
      <c r="I640" s="14"/>
      <c r="J640" s="14"/>
      <c r="K640" s="12"/>
    </row>
    <row r="641" ht="19.5" customHeight="1">
      <c r="A641" s="12"/>
      <c r="C641" s="12"/>
      <c r="D641" s="13"/>
      <c r="F641" s="14"/>
      <c r="G641" s="14"/>
      <c r="H641" s="14"/>
      <c r="I641" s="14"/>
      <c r="J641" s="14"/>
      <c r="K641" s="12"/>
    </row>
    <row r="642" ht="19.5" customHeight="1">
      <c r="A642" s="12"/>
      <c r="C642" s="12"/>
      <c r="D642" s="13"/>
      <c r="F642" s="14"/>
      <c r="G642" s="14"/>
      <c r="H642" s="14"/>
      <c r="I642" s="14"/>
      <c r="J642" s="14"/>
      <c r="K642" s="12"/>
    </row>
    <row r="643" ht="19.5" customHeight="1">
      <c r="A643" s="12"/>
      <c r="C643" s="12"/>
      <c r="D643" s="13"/>
      <c r="F643" s="14"/>
      <c r="G643" s="14"/>
      <c r="H643" s="14"/>
      <c r="I643" s="14"/>
      <c r="J643" s="14"/>
      <c r="K643" s="12"/>
    </row>
    <row r="644" ht="19.5" customHeight="1">
      <c r="A644" s="12"/>
      <c r="C644" s="12"/>
      <c r="D644" s="13"/>
      <c r="F644" s="14"/>
      <c r="G644" s="14"/>
      <c r="H644" s="14"/>
      <c r="I644" s="14"/>
      <c r="J644" s="14"/>
      <c r="K644" s="12"/>
    </row>
    <row r="645" ht="19.5" customHeight="1">
      <c r="A645" s="12"/>
      <c r="C645" s="12"/>
      <c r="D645" s="13"/>
      <c r="F645" s="14"/>
      <c r="G645" s="14"/>
      <c r="H645" s="14"/>
      <c r="I645" s="14"/>
      <c r="J645" s="14"/>
      <c r="K645" s="12"/>
    </row>
    <row r="646" ht="19.5" customHeight="1">
      <c r="A646" s="12"/>
      <c r="C646" s="12"/>
      <c r="D646" s="13"/>
      <c r="F646" s="14"/>
      <c r="G646" s="14"/>
      <c r="H646" s="14"/>
      <c r="I646" s="14"/>
      <c r="J646" s="14"/>
      <c r="K646" s="12"/>
    </row>
    <row r="647" ht="19.5" customHeight="1">
      <c r="A647" s="12"/>
      <c r="C647" s="12"/>
      <c r="D647" s="13"/>
      <c r="F647" s="14"/>
      <c r="G647" s="14"/>
      <c r="H647" s="14"/>
      <c r="I647" s="14"/>
      <c r="J647" s="14"/>
      <c r="K647" s="12"/>
    </row>
    <row r="648" ht="19.5" customHeight="1">
      <c r="A648" s="12"/>
      <c r="C648" s="12"/>
      <c r="D648" s="13"/>
      <c r="F648" s="14"/>
      <c r="G648" s="14"/>
      <c r="H648" s="14"/>
      <c r="I648" s="14"/>
      <c r="J648" s="14"/>
      <c r="K648" s="12"/>
    </row>
    <row r="649" ht="19.5" customHeight="1">
      <c r="A649" s="12"/>
      <c r="C649" s="12"/>
      <c r="D649" s="13"/>
      <c r="F649" s="14"/>
      <c r="G649" s="14"/>
      <c r="H649" s="14"/>
      <c r="I649" s="14"/>
      <c r="J649" s="14"/>
      <c r="K649" s="12"/>
    </row>
    <row r="650" ht="19.5" customHeight="1">
      <c r="A650" s="12"/>
      <c r="C650" s="12"/>
      <c r="D650" s="13"/>
      <c r="F650" s="14"/>
      <c r="G650" s="14"/>
      <c r="H650" s="14"/>
      <c r="I650" s="14"/>
      <c r="J650" s="14"/>
      <c r="K650" s="12"/>
    </row>
    <row r="651" ht="19.5" customHeight="1">
      <c r="A651" s="12"/>
      <c r="C651" s="12"/>
      <c r="D651" s="13"/>
      <c r="F651" s="14"/>
      <c r="G651" s="14"/>
      <c r="H651" s="14"/>
      <c r="I651" s="14"/>
      <c r="J651" s="14"/>
      <c r="K651" s="12"/>
    </row>
    <row r="652" ht="19.5" customHeight="1">
      <c r="A652" s="12"/>
      <c r="C652" s="12"/>
      <c r="D652" s="13"/>
      <c r="F652" s="14"/>
      <c r="G652" s="14"/>
      <c r="H652" s="14"/>
      <c r="I652" s="14"/>
      <c r="J652" s="14"/>
      <c r="K652" s="12"/>
    </row>
    <row r="653" ht="19.5" customHeight="1">
      <c r="A653" s="12"/>
      <c r="C653" s="12"/>
      <c r="D653" s="13"/>
      <c r="F653" s="14"/>
      <c r="G653" s="14"/>
      <c r="H653" s="14"/>
      <c r="I653" s="14"/>
      <c r="J653" s="14"/>
      <c r="K653" s="12"/>
    </row>
    <row r="654" ht="19.5" customHeight="1">
      <c r="A654" s="12"/>
      <c r="C654" s="12"/>
      <c r="D654" s="13"/>
      <c r="F654" s="14"/>
      <c r="G654" s="14"/>
      <c r="H654" s="14"/>
      <c r="I654" s="14"/>
      <c r="J654" s="14"/>
      <c r="K654" s="12"/>
    </row>
    <row r="655" ht="19.5" customHeight="1">
      <c r="A655" s="12"/>
      <c r="C655" s="12"/>
      <c r="D655" s="13"/>
      <c r="F655" s="14"/>
      <c r="G655" s="14"/>
      <c r="H655" s="14"/>
      <c r="I655" s="14"/>
      <c r="J655" s="14"/>
      <c r="K655" s="12"/>
    </row>
    <row r="656" ht="19.5" customHeight="1">
      <c r="A656" s="12"/>
      <c r="C656" s="12"/>
      <c r="D656" s="13"/>
      <c r="F656" s="14"/>
      <c r="G656" s="14"/>
      <c r="H656" s="14"/>
      <c r="I656" s="14"/>
      <c r="J656" s="14"/>
      <c r="K656" s="12"/>
    </row>
    <row r="657" ht="19.5" customHeight="1">
      <c r="A657" s="12"/>
      <c r="C657" s="12"/>
      <c r="D657" s="13"/>
      <c r="F657" s="14"/>
      <c r="G657" s="14"/>
      <c r="H657" s="14"/>
      <c r="I657" s="14"/>
      <c r="J657" s="14"/>
      <c r="K657" s="12"/>
    </row>
    <row r="658" ht="19.5" customHeight="1">
      <c r="A658" s="12"/>
      <c r="C658" s="12"/>
      <c r="D658" s="13"/>
      <c r="F658" s="14"/>
      <c r="G658" s="14"/>
      <c r="H658" s="14"/>
      <c r="I658" s="14"/>
      <c r="J658" s="14"/>
      <c r="K658" s="12"/>
    </row>
    <row r="659" ht="19.5" customHeight="1">
      <c r="A659" s="12"/>
      <c r="C659" s="12"/>
      <c r="D659" s="13"/>
      <c r="F659" s="14"/>
      <c r="G659" s="14"/>
      <c r="H659" s="14"/>
      <c r="I659" s="14"/>
      <c r="J659" s="14"/>
      <c r="K659" s="12"/>
    </row>
    <row r="660" ht="19.5" customHeight="1">
      <c r="A660" s="12"/>
      <c r="C660" s="12"/>
      <c r="D660" s="13"/>
      <c r="F660" s="14"/>
      <c r="G660" s="14"/>
      <c r="H660" s="14"/>
      <c r="I660" s="14"/>
      <c r="J660" s="14"/>
      <c r="K660" s="12"/>
    </row>
    <row r="661" ht="19.5" customHeight="1">
      <c r="A661" s="12"/>
      <c r="C661" s="12"/>
      <c r="D661" s="13"/>
      <c r="F661" s="14"/>
      <c r="G661" s="14"/>
      <c r="H661" s="14"/>
      <c r="I661" s="14"/>
      <c r="J661" s="14"/>
      <c r="K661" s="12"/>
    </row>
    <row r="662" ht="19.5" customHeight="1">
      <c r="A662" s="12"/>
      <c r="C662" s="12"/>
      <c r="D662" s="13"/>
      <c r="F662" s="14"/>
      <c r="G662" s="14"/>
      <c r="H662" s="14"/>
      <c r="I662" s="14"/>
      <c r="J662" s="14"/>
      <c r="K662" s="12"/>
    </row>
    <row r="663" ht="19.5" customHeight="1">
      <c r="A663" s="12"/>
      <c r="C663" s="12"/>
      <c r="D663" s="13"/>
      <c r="F663" s="14"/>
      <c r="G663" s="14"/>
      <c r="H663" s="14"/>
      <c r="I663" s="14"/>
      <c r="J663" s="14"/>
      <c r="K663" s="12"/>
    </row>
    <row r="664" ht="19.5" customHeight="1">
      <c r="A664" s="12"/>
      <c r="C664" s="12"/>
      <c r="D664" s="13"/>
      <c r="F664" s="14"/>
      <c r="G664" s="14"/>
      <c r="H664" s="14"/>
      <c r="I664" s="14"/>
      <c r="J664" s="14"/>
      <c r="K664" s="12"/>
    </row>
    <row r="665" ht="19.5" customHeight="1">
      <c r="A665" s="12"/>
      <c r="C665" s="12"/>
      <c r="D665" s="13"/>
      <c r="F665" s="14"/>
      <c r="G665" s="14"/>
      <c r="H665" s="14"/>
      <c r="I665" s="14"/>
      <c r="J665" s="14"/>
      <c r="K665" s="12"/>
    </row>
    <row r="666" ht="19.5" customHeight="1">
      <c r="A666" s="12"/>
      <c r="C666" s="12"/>
      <c r="D666" s="13"/>
      <c r="F666" s="14"/>
      <c r="G666" s="14"/>
      <c r="H666" s="14"/>
      <c r="I666" s="14"/>
      <c r="J666" s="14"/>
      <c r="K666" s="12"/>
    </row>
    <row r="667" ht="19.5" customHeight="1">
      <c r="A667" s="12"/>
      <c r="C667" s="12"/>
      <c r="D667" s="13"/>
      <c r="F667" s="14"/>
      <c r="G667" s="14"/>
      <c r="H667" s="14"/>
      <c r="I667" s="14"/>
      <c r="J667" s="14"/>
      <c r="K667" s="12"/>
    </row>
    <row r="668" ht="19.5" customHeight="1">
      <c r="A668" s="12"/>
      <c r="C668" s="12"/>
      <c r="D668" s="13"/>
      <c r="F668" s="14"/>
      <c r="G668" s="14"/>
      <c r="H668" s="14"/>
      <c r="I668" s="14"/>
      <c r="J668" s="14"/>
      <c r="K668" s="12"/>
    </row>
    <row r="669" ht="19.5" customHeight="1">
      <c r="A669" s="12"/>
      <c r="C669" s="12"/>
      <c r="D669" s="13"/>
      <c r="F669" s="14"/>
      <c r="G669" s="14"/>
      <c r="H669" s="14"/>
      <c r="I669" s="14"/>
      <c r="J669" s="14"/>
      <c r="K669" s="12"/>
    </row>
    <row r="670" ht="19.5" customHeight="1">
      <c r="A670" s="12"/>
      <c r="C670" s="12"/>
      <c r="D670" s="13"/>
      <c r="F670" s="14"/>
      <c r="G670" s="14"/>
      <c r="H670" s="14"/>
      <c r="I670" s="14"/>
      <c r="J670" s="14"/>
      <c r="K670" s="12"/>
    </row>
    <row r="671" ht="19.5" customHeight="1">
      <c r="A671" s="12"/>
      <c r="C671" s="12"/>
      <c r="D671" s="13"/>
      <c r="F671" s="14"/>
      <c r="G671" s="14"/>
      <c r="H671" s="14"/>
      <c r="I671" s="14"/>
      <c r="J671" s="14"/>
      <c r="K671" s="12"/>
    </row>
    <row r="672" ht="19.5" customHeight="1">
      <c r="A672" s="12"/>
      <c r="C672" s="12"/>
      <c r="D672" s="13"/>
      <c r="F672" s="14"/>
      <c r="G672" s="14"/>
      <c r="H672" s="14"/>
      <c r="I672" s="14"/>
      <c r="J672" s="14"/>
      <c r="K672" s="12"/>
    </row>
    <row r="673" ht="19.5" customHeight="1">
      <c r="A673" s="12"/>
      <c r="C673" s="12"/>
      <c r="D673" s="13"/>
      <c r="F673" s="14"/>
      <c r="G673" s="14"/>
      <c r="H673" s="14"/>
      <c r="I673" s="14"/>
      <c r="J673" s="14"/>
      <c r="K673" s="12"/>
    </row>
    <row r="674" ht="19.5" customHeight="1">
      <c r="A674" s="12"/>
      <c r="C674" s="12"/>
      <c r="D674" s="13"/>
      <c r="F674" s="14"/>
      <c r="G674" s="14"/>
      <c r="H674" s="14"/>
      <c r="I674" s="14"/>
      <c r="J674" s="14"/>
      <c r="K674" s="12"/>
    </row>
    <row r="675" ht="19.5" customHeight="1">
      <c r="A675" s="12"/>
      <c r="C675" s="12"/>
      <c r="D675" s="13"/>
      <c r="F675" s="14"/>
      <c r="G675" s="14"/>
      <c r="H675" s="14"/>
      <c r="I675" s="14"/>
      <c r="J675" s="14"/>
      <c r="K675" s="12"/>
    </row>
    <row r="676" ht="19.5" customHeight="1">
      <c r="A676" s="12"/>
      <c r="C676" s="12"/>
      <c r="D676" s="13"/>
      <c r="F676" s="14"/>
      <c r="G676" s="14"/>
      <c r="H676" s="14"/>
      <c r="I676" s="14"/>
      <c r="J676" s="14"/>
      <c r="K676" s="12"/>
    </row>
    <row r="677" ht="19.5" customHeight="1">
      <c r="A677" s="12"/>
      <c r="C677" s="12"/>
      <c r="D677" s="13"/>
      <c r="F677" s="14"/>
      <c r="G677" s="14"/>
      <c r="H677" s="14"/>
      <c r="I677" s="14"/>
      <c r="J677" s="14"/>
      <c r="K677" s="12"/>
    </row>
    <row r="678" ht="19.5" customHeight="1">
      <c r="A678" s="12"/>
      <c r="C678" s="12"/>
      <c r="D678" s="13"/>
      <c r="F678" s="14"/>
      <c r="G678" s="14"/>
      <c r="H678" s="14"/>
      <c r="I678" s="14"/>
      <c r="J678" s="14"/>
      <c r="K678" s="12"/>
    </row>
    <row r="679" ht="19.5" customHeight="1">
      <c r="A679" s="12"/>
      <c r="C679" s="12"/>
      <c r="D679" s="13"/>
      <c r="F679" s="14"/>
      <c r="G679" s="14"/>
      <c r="H679" s="14"/>
      <c r="I679" s="14"/>
      <c r="J679" s="14"/>
      <c r="K679" s="12"/>
    </row>
    <row r="680" ht="19.5" customHeight="1">
      <c r="A680" s="12"/>
      <c r="C680" s="12"/>
      <c r="D680" s="13"/>
      <c r="F680" s="14"/>
      <c r="G680" s="14"/>
      <c r="H680" s="14"/>
      <c r="I680" s="14"/>
      <c r="J680" s="14"/>
      <c r="K680" s="12"/>
    </row>
    <row r="681" ht="19.5" customHeight="1">
      <c r="A681" s="12"/>
      <c r="C681" s="12"/>
      <c r="D681" s="13"/>
      <c r="F681" s="14"/>
      <c r="G681" s="14"/>
      <c r="H681" s="14"/>
      <c r="I681" s="14"/>
      <c r="J681" s="14"/>
      <c r="K681" s="12"/>
    </row>
    <row r="682" ht="19.5" customHeight="1">
      <c r="A682" s="12"/>
      <c r="C682" s="12"/>
      <c r="D682" s="13"/>
      <c r="F682" s="14"/>
      <c r="G682" s="14"/>
      <c r="H682" s="14"/>
      <c r="I682" s="14"/>
      <c r="J682" s="14"/>
      <c r="K682" s="12"/>
    </row>
    <row r="683" ht="19.5" customHeight="1">
      <c r="A683" s="12"/>
      <c r="C683" s="12"/>
      <c r="D683" s="13"/>
      <c r="F683" s="14"/>
      <c r="G683" s="14"/>
      <c r="H683" s="14"/>
      <c r="I683" s="14"/>
      <c r="J683" s="14"/>
      <c r="K683" s="12"/>
    </row>
    <row r="684" ht="19.5" customHeight="1">
      <c r="A684" s="12"/>
      <c r="C684" s="12"/>
      <c r="D684" s="13"/>
      <c r="F684" s="14"/>
      <c r="G684" s="14"/>
      <c r="H684" s="14"/>
      <c r="I684" s="14"/>
      <c r="J684" s="14"/>
      <c r="K684" s="12"/>
    </row>
    <row r="685" ht="19.5" customHeight="1">
      <c r="A685" s="12"/>
      <c r="C685" s="12"/>
      <c r="D685" s="13"/>
      <c r="F685" s="14"/>
      <c r="G685" s="14"/>
      <c r="H685" s="14"/>
      <c r="I685" s="14"/>
      <c r="J685" s="14"/>
      <c r="K685" s="12"/>
    </row>
    <row r="686" ht="19.5" customHeight="1">
      <c r="A686" s="12"/>
      <c r="C686" s="12"/>
      <c r="D686" s="13"/>
      <c r="F686" s="14"/>
      <c r="G686" s="14"/>
      <c r="H686" s="14"/>
      <c r="I686" s="14"/>
      <c r="J686" s="14"/>
      <c r="K686" s="12"/>
    </row>
    <row r="687" ht="19.5" customHeight="1">
      <c r="A687" s="12"/>
      <c r="C687" s="12"/>
      <c r="D687" s="13"/>
      <c r="F687" s="14"/>
      <c r="G687" s="14"/>
      <c r="H687" s="14"/>
      <c r="I687" s="14"/>
      <c r="J687" s="14"/>
      <c r="K687" s="12"/>
    </row>
    <row r="688" ht="19.5" customHeight="1">
      <c r="A688" s="12"/>
      <c r="C688" s="12"/>
      <c r="D688" s="13"/>
      <c r="F688" s="14"/>
      <c r="G688" s="14"/>
      <c r="H688" s="14"/>
      <c r="I688" s="14"/>
      <c r="J688" s="14"/>
      <c r="K688" s="12"/>
    </row>
    <row r="689" ht="19.5" customHeight="1">
      <c r="A689" s="12"/>
      <c r="C689" s="12"/>
      <c r="D689" s="13"/>
      <c r="F689" s="14"/>
      <c r="G689" s="14"/>
      <c r="H689" s="14"/>
      <c r="I689" s="14"/>
      <c r="J689" s="14"/>
      <c r="K689" s="12"/>
    </row>
    <row r="690" ht="19.5" customHeight="1">
      <c r="A690" s="12"/>
      <c r="C690" s="12"/>
      <c r="D690" s="13"/>
      <c r="F690" s="14"/>
      <c r="G690" s="14"/>
      <c r="H690" s="14"/>
      <c r="I690" s="14"/>
      <c r="J690" s="14"/>
      <c r="K690" s="12"/>
    </row>
    <row r="691" ht="19.5" customHeight="1">
      <c r="A691" s="12"/>
      <c r="C691" s="12"/>
      <c r="D691" s="13"/>
      <c r="F691" s="14"/>
      <c r="G691" s="14"/>
      <c r="H691" s="14"/>
      <c r="I691" s="14"/>
      <c r="J691" s="14"/>
      <c r="K691" s="12"/>
    </row>
    <row r="692" ht="19.5" customHeight="1">
      <c r="A692" s="12"/>
      <c r="C692" s="12"/>
      <c r="D692" s="13"/>
      <c r="F692" s="14"/>
      <c r="G692" s="14"/>
      <c r="H692" s="14"/>
      <c r="I692" s="14"/>
      <c r="J692" s="14"/>
      <c r="K692" s="12"/>
    </row>
    <row r="693" ht="19.5" customHeight="1">
      <c r="A693" s="12"/>
      <c r="C693" s="12"/>
      <c r="D693" s="13"/>
      <c r="F693" s="14"/>
      <c r="G693" s="14"/>
      <c r="H693" s="14"/>
      <c r="I693" s="14"/>
      <c r="J693" s="14"/>
      <c r="K693" s="12"/>
    </row>
    <row r="694" ht="19.5" customHeight="1">
      <c r="A694" s="12"/>
      <c r="C694" s="12"/>
      <c r="D694" s="13"/>
      <c r="F694" s="14"/>
      <c r="G694" s="14"/>
      <c r="H694" s="14"/>
      <c r="I694" s="14"/>
      <c r="J694" s="14"/>
      <c r="K694" s="12"/>
    </row>
    <row r="695" ht="19.5" customHeight="1">
      <c r="A695" s="12"/>
      <c r="C695" s="12"/>
      <c r="D695" s="13"/>
      <c r="F695" s="14"/>
      <c r="G695" s="14"/>
      <c r="H695" s="14"/>
      <c r="I695" s="14"/>
      <c r="J695" s="14"/>
      <c r="K695" s="12"/>
    </row>
    <row r="696" ht="19.5" customHeight="1">
      <c r="A696" s="12"/>
      <c r="C696" s="12"/>
      <c r="D696" s="13"/>
      <c r="F696" s="14"/>
      <c r="G696" s="14"/>
      <c r="H696" s="14"/>
      <c r="I696" s="14"/>
      <c r="J696" s="14"/>
      <c r="K696" s="12"/>
    </row>
    <row r="697" ht="19.5" customHeight="1">
      <c r="A697" s="12"/>
      <c r="C697" s="12"/>
      <c r="D697" s="13"/>
      <c r="F697" s="14"/>
      <c r="G697" s="14"/>
      <c r="H697" s="14"/>
      <c r="I697" s="14"/>
      <c r="J697" s="14"/>
      <c r="K697" s="12"/>
    </row>
    <row r="698" ht="19.5" customHeight="1">
      <c r="A698" s="12"/>
      <c r="C698" s="12"/>
      <c r="D698" s="13"/>
      <c r="F698" s="14"/>
      <c r="G698" s="14"/>
      <c r="H698" s="14"/>
      <c r="I698" s="14"/>
      <c r="J698" s="14"/>
      <c r="K698" s="12"/>
    </row>
    <row r="699" ht="19.5" customHeight="1">
      <c r="A699" s="12"/>
      <c r="C699" s="12"/>
      <c r="D699" s="13"/>
      <c r="F699" s="14"/>
      <c r="G699" s="14"/>
      <c r="H699" s="14"/>
      <c r="I699" s="14"/>
      <c r="J699" s="14"/>
      <c r="K699" s="12"/>
    </row>
    <row r="700" ht="19.5" customHeight="1">
      <c r="A700" s="12"/>
      <c r="C700" s="12"/>
      <c r="D700" s="13"/>
      <c r="F700" s="14"/>
      <c r="G700" s="14"/>
      <c r="H700" s="14"/>
      <c r="I700" s="14"/>
      <c r="J700" s="14"/>
      <c r="K700" s="12"/>
    </row>
    <row r="701" ht="19.5" customHeight="1">
      <c r="A701" s="12"/>
      <c r="C701" s="12"/>
      <c r="D701" s="13"/>
      <c r="F701" s="14"/>
      <c r="G701" s="14"/>
      <c r="H701" s="14"/>
      <c r="I701" s="14"/>
      <c r="J701" s="14"/>
      <c r="K701" s="12"/>
    </row>
    <row r="702" ht="19.5" customHeight="1">
      <c r="A702" s="12"/>
      <c r="C702" s="12"/>
      <c r="D702" s="13"/>
      <c r="F702" s="14"/>
      <c r="G702" s="14"/>
      <c r="H702" s="14"/>
      <c r="I702" s="14"/>
      <c r="J702" s="14"/>
      <c r="K702" s="12"/>
    </row>
    <row r="703" ht="19.5" customHeight="1">
      <c r="A703" s="12"/>
      <c r="C703" s="12"/>
      <c r="D703" s="13"/>
      <c r="F703" s="14"/>
      <c r="G703" s="14"/>
      <c r="H703" s="14"/>
      <c r="I703" s="14"/>
      <c r="J703" s="14"/>
      <c r="K703" s="12"/>
    </row>
    <row r="704" ht="19.5" customHeight="1">
      <c r="A704" s="12"/>
      <c r="C704" s="12"/>
      <c r="D704" s="13"/>
      <c r="F704" s="14"/>
      <c r="G704" s="14"/>
      <c r="H704" s="14"/>
      <c r="I704" s="14"/>
      <c r="J704" s="14"/>
      <c r="K704" s="12"/>
    </row>
    <row r="705" ht="19.5" customHeight="1">
      <c r="A705" s="12"/>
      <c r="C705" s="12"/>
      <c r="D705" s="13"/>
      <c r="F705" s="14"/>
      <c r="G705" s="14"/>
      <c r="H705" s="14"/>
      <c r="I705" s="14"/>
      <c r="J705" s="14"/>
      <c r="K705" s="12"/>
    </row>
    <row r="706" ht="19.5" customHeight="1">
      <c r="A706" s="12"/>
      <c r="C706" s="12"/>
      <c r="D706" s="13"/>
      <c r="F706" s="14"/>
      <c r="G706" s="14"/>
      <c r="H706" s="14"/>
      <c r="I706" s="14"/>
      <c r="J706" s="14"/>
      <c r="K706" s="12"/>
    </row>
    <row r="707" ht="19.5" customHeight="1">
      <c r="A707" s="12"/>
      <c r="C707" s="12"/>
      <c r="D707" s="13"/>
      <c r="F707" s="14"/>
      <c r="G707" s="14"/>
      <c r="H707" s="14"/>
      <c r="I707" s="14"/>
      <c r="J707" s="14"/>
      <c r="K707" s="12"/>
    </row>
    <row r="708" ht="19.5" customHeight="1">
      <c r="A708" s="12"/>
      <c r="C708" s="12"/>
      <c r="D708" s="13"/>
      <c r="F708" s="14"/>
      <c r="G708" s="14"/>
      <c r="H708" s="14"/>
      <c r="I708" s="14"/>
      <c r="J708" s="14"/>
      <c r="K708" s="12"/>
    </row>
    <row r="709" ht="19.5" customHeight="1">
      <c r="A709" s="12"/>
      <c r="C709" s="12"/>
      <c r="D709" s="13"/>
      <c r="F709" s="14"/>
      <c r="G709" s="14"/>
      <c r="H709" s="14"/>
      <c r="I709" s="14"/>
      <c r="J709" s="14"/>
      <c r="K709" s="12"/>
    </row>
    <row r="710" ht="19.5" customHeight="1">
      <c r="A710" s="12"/>
      <c r="C710" s="12"/>
      <c r="D710" s="13"/>
      <c r="F710" s="14"/>
      <c r="G710" s="14"/>
      <c r="H710" s="14"/>
      <c r="I710" s="14"/>
      <c r="J710" s="14"/>
      <c r="K710" s="12"/>
    </row>
    <row r="711" ht="19.5" customHeight="1">
      <c r="A711" s="12"/>
      <c r="C711" s="12"/>
      <c r="D711" s="13"/>
      <c r="F711" s="14"/>
      <c r="G711" s="14"/>
      <c r="H711" s="14"/>
      <c r="I711" s="14"/>
      <c r="J711" s="14"/>
      <c r="K711" s="12"/>
    </row>
    <row r="712" ht="19.5" customHeight="1">
      <c r="A712" s="12"/>
      <c r="C712" s="12"/>
      <c r="D712" s="13"/>
      <c r="F712" s="14"/>
      <c r="G712" s="14"/>
      <c r="H712" s="14"/>
      <c r="I712" s="14"/>
      <c r="J712" s="14"/>
      <c r="K712" s="12"/>
    </row>
    <row r="713" ht="19.5" customHeight="1">
      <c r="A713" s="12"/>
      <c r="C713" s="12"/>
      <c r="D713" s="13"/>
      <c r="F713" s="14"/>
      <c r="G713" s="14"/>
      <c r="H713" s="14"/>
      <c r="I713" s="14"/>
      <c r="J713" s="14"/>
      <c r="K713" s="12"/>
    </row>
    <row r="714" ht="19.5" customHeight="1">
      <c r="A714" s="12"/>
      <c r="C714" s="12"/>
      <c r="D714" s="13"/>
      <c r="F714" s="14"/>
      <c r="G714" s="14"/>
      <c r="H714" s="14"/>
      <c r="I714" s="14"/>
      <c r="J714" s="14"/>
      <c r="K714" s="12"/>
    </row>
    <row r="715" ht="19.5" customHeight="1">
      <c r="A715" s="12"/>
      <c r="C715" s="12"/>
      <c r="D715" s="13"/>
      <c r="F715" s="14"/>
      <c r="G715" s="14"/>
      <c r="H715" s="14"/>
      <c r="I715" s="14"/>
      <c r="J715" s="14"/>
      <c r="K715" s="12"/>
    </row>
    <row r="716" ht="19.5" customHeight="1">
      <c r="A716" s="12"/>
      <c r="C716" s="12"/>
      <c r="D716" s="13"/>
      <c r="F716" s="14"/>
      <c r="G716" s="14"/>
      <c r="H716" s="14"/>
      <c r="I716" s="14"/>
      <c r="J716" s="14"/>
      <c r="K716" s="12"/>
    </row>
    <row r="717" ht="19.5" customHeight="1">
      <c r="A717" s="12"/>
      <c r="C717" s="12"/>
      <c r="D717" s="13"/>
      <c r="F717" s="14"/>
      <c r="G717" s="14"/>
      <c r="H717" s="14"/>
      <c r="I717" s="14"/>
      <c r="J717" s="14"/>
      <c r="K717" s="12"/>
    </row>
    <row r="718" ht="19.5" customHeight="1">
      <c r="A718" s="12"/>
      <c r="C718" s="12"/>
      <c r="D718" s="13"/>
      <c r="F718" s="14"/>
      <c r="G718" s="14"/>
      <c r="H718" s="14"/>
      <c r="I718" s="14"/>
      <c r="J718" s="14"/>
      <c r="K718" s="12"/>
    </row>
    <row r="719" ht="19.5" customHeight="1">
      <c r="A719" s="12"/>
      <c r="C719" s="12"/>
      <c r="D719" s="13"/>
      <c r="F719" s="14"/>
      <c r="G719" s="14"/>
      <c r="H719" s="14"/>
      <c r="I719" s="14"/>
      <c r="J719" s="14"/>
      <c r="K719" s="12"/>
    </row>
    <row r="720" ht="19.5" customHeight="1">
      <c r="A720" s="12"/>
      <c r="C720" s="12"/>
      <c r="D720" s="13"/>
      <c r="F720" s="14"/>
      <c r="G720" s="14"/>
      <c r="H720" s="14"/>
      <c r="I720" s="14"/>
      <c r="J720" s="14"/>
      <c r="K720" s="12"/>
    </row>
    <row r="721" ht="19.5" customHeight="1">
      <c r="A721" s="12"/>
      <c r="C721" s="12"/>
      <c r="D721" s="13"/>
      <c r="F721" s="14"/>
      <c r="G721" s="14"/>
      <c r="H721" s="14"/>
      <c r="I721" s="14"/>
      <c r="J721" s="14"/>
      <c r="K721" s="12"/>
    </row>
    <row r="722" ht="19.5" customHeight="1">
      <c r="A722" s="12"/>
      <c r="C722" s="12"/>
      <c r="D722" s="13"/>
      <c r="F722" s="14"/>
      <c r="G722" s="14"/>
      <c r="H722" s="14"/>
      <c r="I722" s="14"/>
      <c r="J722" s="14"/>
      <c r="K722" s="12"/>
    </row>
    <row r="723" ht="19.5" customHeight="1">
      <c r="A723" s="12"/>
      <c r="C723" s="12"/>
      <c r="D723" s="13"/>
      <c r="F723" s="14"/>
      <c r="G723" s="14"/>
      <c r="H723" s="14"/>
      <c r="I723" s="14"/>
      <c r="J723" s="14"/>
      <c r="K723" s="12"/>
    </row>
    <row r="724" ht="19.5" customHeight="1">
      <c r="A724" s="12"/>
      <c r="C724" s="12"/>
      <c r="D724" s="13"/>
      <c r="F724" s="14"/>
      <c r="G724" s="14"/>
      <c r="H724" s="14"/>
      <c r="I724" s="14"/>
      <c r="J724" s="14"/>
      <c r="K724" s="12"/>
    </row>
    <row r="725" ht="19.5" customHeight="1">
      <c r="A725" s="12"/>
      <c r="C725" s="12"/>
      <c r="D725" s="13"/>
      <c r="F725" s="14"/>
      <c r="G725" s="14"/>
      <c r="H725" s="14"/>
      <c r="I725" s="14"/>
      <c r="J725" s="14"/>
      <c r="K725" s="12"/>
    </row>
    <row r="726" ht="19.5" customHeight="1">
      <c r="A726" s="12"/>
      <c r="C726" s="12"/>
      <c r="D726" s="13"/>
      <c r="F726" s="14"/>
      <c r="G726" s="14"/>
      <c r="H726" s="14"/>
      <c r="I726" s="14"/>
      <c r="J726" s="14"/>
      <c r="K726" s="12"/>
    </row>
    <row r="727" ht="19.5" customHeight="1">
      <c r="A727" s="12"/>
      <c r="C727" s="12"/>
      <c r="D727" s="13"/>
      <c r="F727" s="14"/>
      <c r="G727" s="14"/>
      <c r="H727" s="14"/>
      <c r="I727" s="14"/>
      <c r="J727" s="14"/>
      <c r="K727" s="12"/>
    </row>
    <row r="728" ht="19.5" customHeight="1">
      <c r="A728" s="12"/>
      <c r="C728" s="12"/>
      <c r="D728" s="13"/>
      <c r="F728" s="14"/>
      <c r="G728" s="14"/>
      <c r="H728" s="14"/>
      <c r="I728" s="14"/>
      <c r="J728" s="14"/>
      <c r="K728" s="12"/>
    </row>
    <row r="729" ht="19.5" customHeight="1">
      <c r="A729" s="12"/>
      <c r="C729" s="12"/>
      <c r="D729" s="13"/>
      <c r="F729" s="14"/>
      <c r="G729" s="14"/>
      <c r="H729" s="14"/>
      <c r="I729" s="14"/>
      <c r="J729" s="14"/>
      <c r="K729" s="12"/>
    </row>
    <row r="730" ht="19.5" customHeight="1">
      <c r="A730" s="12"/>
      <c r="C730" s="12"/>
      <c r="D730" s="13"/>
      <c r="F730" s="14"/>
      <c r="G730" s="14"/>
      <c r="H730" s="14"/>
      <c r="I730" s="14"/>
      <c r="J730" s="14"/>
      <c r="K730" s="12"/>
    </row>
    <row r="731" ht="19.5" customHeight="1">
      <c r="A731" s="12"/>
      <c r="C731" s="12"/>
      <c r="D731" s="13"/>
      <c r="F731" s="14"/>
      <c r="G731" s="14"/>
      <c r="H731" s="14"/>
      <c r="I731" s="14"/>
      <c r="J731" s="14"/>
      <c r="K731" s="12"/>
    </row>
    <row r="732" ht="19.5" customHeight="1">
      <c r="A732" s="12"/>
      <c r="C732" s="12"/>
      <c r="D732" s="13"/>
      <c r="F732" s="14"/>
      <c r="G732" s="14"/>
      <c r="H732" s="14"/>
      <c r="I732" s="14"/>
      <c r="J732" s="14"/>
      <c r="K732" s="12"/>
    </row>
    <row r="733" ht="19.5" customHeight="1">
      <c r="A733" s="12"/>
      <c r="C733" s="12"/>
      <c r="D733" s="13"/>
      <c r="F733" s="14"/>
      <c r="G733" s="14"/>
      <c r="H733" s="14"/>
      <c r="I733" s="14"/>
      <c r="J733" s="14"/>
      <c r="K733" s="12"/>
    </row>
    <row r="734" ht="19.5" customHeight="1">
      <c r="A734" s="12"/>
      <c r="C734" s="12"/>
      <c r="D734" s="13"/>
      <c r="F734" s="14"/>
      <c r="G734" s="14"/>
      <c r="H734" s="14"/>
      <c r="I734" s="14"/>
      <c r="J734" s="14"/>
      <c r="K734" s="12"/>
    </row>
    <row r="735" ht="19.5" customHeight="1">
      <c r="A735" s="12"/>
      <c r="C735" s="12"/>
      <c r="D735" s="13"/>
      <c r="F735" s="14"/>
      <c r="G735" s="14"/>
      <c r="H735" s="14"/>
      <c r="I735" s="14"/>
      <c r="J735" s="14"/>
      <c r="K735" s="12"/>
    </row>
    <row r="736" ht="19.5" customHeight="1">
      <c r="A736" s="12"/>
      <c r="C736" s="12"/>
      <c r="D736" s="13"/>
      <c r="F736" s="14"/>
      <c r="G736" s="14"/>
      <c r="H736" s="14"/>
      <c r="I736" s="14"/>
      <c r="J736" s="14"/>
      <c r="K736" s="12"/>
    </row>
    <row r="737" ht="19.5" customHeight="1">
      <c r="A737" s="12"/>
      <c r="C737" s="12"/>
      <c r="D737" s="13"/>
      <c r="F737" s="14"/>
      <c r="G737" s="14"/>
      <c r="H737" s="14"/>
      <c r="I737" s="14"/>
      <c r="J737" s="14"/>
      <c r="K737" s="12"/>
    </row>
    <row r="738" ht="19.5" customHeight="1">
      <c r="A738" s="12"/>
      <c r="C738" s="12"/>
      <c r="D738" s="13"/>
      <c r="F738" s="14"/>
      <c r="G738" s="14"/>
      <c r="H738" s="14"/>
      <c r="I738" s="14"/>
      <c r="J738" s="14"/>
      <c r="K738" s="12"/>
    </row>
    <row r="739" ht="19.5" customHeight="1">
      <c r="A739" s="12"/>
      <c r="C739" s="12"/>
      <c r="D739" s="13"/>
      <c r="F739" s="14"/>
      <c r="G739" s="14"/>
      <c r="H739" s="14"/>
      <c r="I739" s="14"/>
      <c r="J739" s="14"/>
      <c r="K739" s="12"/>
    </row>
    <row r="740" ht="19.5" customHeight="1">
      <c r="A740" s="12"/>
      <c r="C740" s="12"/>
      <c r="D740" s="13"/>
      <c r="F740" s="14"/>
      <c r="G740" s="14"/>
      <c r="H740" s="14"/>
      <c r="I740" s="14"/>
      <c r="J740" s="14"/>
      <c r="K740" s="12"/>
    </row>
    <row r="741" ht="19.5" customHeight="1">
      <c r="A741" s="12"/>
      <c r="C741" s="12"/>
      <c r="D741" s="13"/>
      <c r="F741" s="14"/>
      <c r="G741" s="14"/>
      <c r="H741" s="14"/>
      <c r="I741" s="14"/>
      <c r="J741" s="14"/>
      <c r="K741" s="12"/>
    </row>
    <row r="742" ht="19.5" customHeight="1">
      <c r="A742" s="12"/>
      <c r="C742" s="12"/>
      <c r="D742" s="13"/>
      <c r="F742" s="14"/>
      <c r="G742" s="14"/>
      <c r="H742" s="14"/>
      <c r="I742" s="14"/>
      <c r="J742" s="14"/>
      <c r="K742" s="12"/>
    </row>
    <row r="743" ht="19.5" customHeight="1">
      <c r="A743" s="12"/>
      <c r="C743" s="12"/>
      <c r="D743" s="13"/>
      <c r="F743" s="14"/>
      <c r="G743" s="14"/>
      <c r="H743" s="14"/>
      <c r="I743" s="14"/>
      <c r="J743" s="14"/>
      <c r="K743" s="12"/>
    </row>
    <row r="744" ht="19.5" customHeight="1">
      <c r="A744" s="12"/>
      <c r="C744" s="12"/>
      <c r="D744" s="13"/>
      <c r="F744" s="14"/>
      <c r="G744" s="14"/>
      <c r="H744" s="14"/>
      <c r="I744" s="14"/>
      <c r="J744" s="14"/>
      <c r="K744" s="12"/>
    </row>
    <row r="745" ht="19.5" customHeight="1">
      <c r="A745" s="12"/>
      <c r="C745" s="12"/>
      <c r="D745" s="13"/>
      <c r="F745" s="14"/>
      <c r="G745" s="14"/>
      <c r="H745" s="14"/>
      <c r="I745" s="14"/>
      <c r="J745" s="14"/>
      <c r="K745" s="12"/>
    </row>
    <row r="746" ht="19.5" customHeight="1">
      <c r="A746" s="12"/>
      <c r="C746" s="12"/>
      <c r="D746" s="13"/>
      <c r="F746" s="14"/>
      <c r="G746" s="14"/>
      <c r="H746" s="14"/>
      <c r="I746" s="14"/>
      <c r="J746" s="14"/>
      <c r="K746" s="12"/>
    </row>
    <row r="747" ht="19.5" customHeight="1">
      <c r="A747" s="12"/>
      <c r="C747" s="12"/>
      <c r="D747" s="13"/>
      <c r="F747" s="14"/>
      <c r="G747" s="14"/>
      <c r="H747" s="14"/>
      <c r="I747" s="14"/>
      <c r="J747" s="14"/>
      <c r="K747" s="12"/>
    </row>
    <row r="748" ht="19.5" customHeight="1">
      <c r="A748" s="12"/>
      <c r="C748" s="12"/>
      <c r="D748" s="13"/>
      <c r="F748" s="14"/>
      <c r="G748" s="14"/>
      <c r="H748" s="14"/>
      <c r="I748" s="14"/>
      <c r="J748" s="14"/>
      <c r="K748" s="12"/>
    </row>
    <row r="749" ht="19.5" customHeight="1">
      <c r="A749" s="12"/>
      <c r="C749" s="12"/>
      <c r="D749" s="13"/>
      <c r="F749" s="14"/>
      <c r="G749" s="14"/>
      <c r="H749" s="14"/>
      <c r="I749" s="14"/>
      <c r="J749" s="14"/>
      <c r="K749" s="12"/>
    </row>
    <row r="750" ht="19.5" customHeight="1">
      <c r="A750" s="12"/>
      <c r="C750" s="12"/>
      <c r="D750" s="13"/>
      <c r="F750" s="14"/>
      <c r="G750" s="14"/>
      <c r="H750" s="14"/>
      <c r="I750" s="14"/>
      <c r="J750" s="14"/>
      <c r="K750" s="12"/>
    </row>
    <row r="751" ht="19.5" customHeight="1">
      <c r="A751" s="12"/>
      <c r="C751" s="12"/>
      <c r="D751" s="13"/>
      <c r="F751" s="14"/>
      <c r="G751" s="14"/>
      <c r="H751" s="14"/>
      <c r="I751" s="14"/>
      <c r="J751" s="14"/>
      <c r="K751" s="12"/>
    </row>
    <row r="752" ht="19.5" customHeight="1">
      <c r="A752" s="12"/>
      <c r="C752" s="12"/>
      <c r="D752" s="13"/>
      <c r="F752" s="14"/>
      <c r="G752" s="14"/>
      <c r="H752" s="14"/>
      <c r="I752" s="14"/>
      <c r="J752" s="14"/>
      <c r="K752" s="12"/>
    </row>
    <row r="753" ht="19.5" customHeight="1">
      <c r="A753" s="12"/>
      <c r="C753" s="12"/>
      <c r="D753" s="13"/>
      <c r="F753" s="14"/>
      <c r="G753" s="14"/>
      <c r="H753" s="14"/>
      <c r="I753" s="14"/>
      <c r="J753" s="14"/>
      <c r="K753" s="12"/>
    </row>
    <row r="754" ht="19.5" customHeight="1">
      <c r="A754" s="12"/>
      <c r="C754" s="12"/>
      <c r="D754" s="13"/>
      <c r="F754" s="14"/>
      <c r="G754" s="14"/>
      <c r="H754" s="14"/>
      <c r="I754" s="14"/>
      <c r="J754" s="14"/>
      <c r="K754" s="12"/>
    </row>
    <row r="755" ht="19.5" customHeight="1">
      <c r="A755" s="12"/>
      <c r="C755" s="12"/>
      <c r="D755" s="13"/>
      <c r="F755" s="14"/>
      <c r="G755" s="14"/>
      <c r="H755" s="14"/>
      <c r="I755" s="14"/>
      <c r="J755" s="14"/>
      <c r="K755" s="12"/>
    </row>
    <row r="756" ht="19.5" customHeight="1">
      <c r="A756" s="12"/>
      <c r="C756" s="12"/>
      <c r="D756" s="13"/>
      <c r="F756" s="14"/>
      <c r="G756" s="14"/>
      <c r="H756" s="14"/>
      <c r="I756" s="14"/>
      <c r="J756" s="14"/>
      <c r="K756" s="12"/>
    </row>
    <row r="757" ht="19.5" customHeight="1">
      <c r="A757" s="12"/>
      <c r="C757" s="12"/>
      <c r="D757" s="13"/>
      <c r="F757" s="14"/>
      <c r="G757" s="14"/>
      <c r="H757" s="14"/>
      <c r="I757" s="14"/>
      <c r="J757" s="14"/>
      <c r="K757" s="12"/>
    </row>
    <row r="758" ht="19.5" customHeight="1">
      <c r="A758" s="12"/>
      <c r="C758" s="12"/>
      <c r="D758" s="13"/>
      <c r="F758" s="14"/>
      <c r="G758" s="14"/>
      <c r="H758" s="14"/>
      <c r="I758" s="14"/>
      <c r="J758" s="14"/>
      <c r="K758" s="12"/>
    </row>
    <row r="759" ht="19.5" customHeight="1">
      <c r="A759" s="12"/>
      <c r="C759" s="12"/>
      <c r="D759" s="13"/>
      <c r="F759" s="14"/>
      <c r="G759" s="14"/>
      <c r="H759" s="14"/>
      <c r="I759" s="14"/>
      <c r="J759" s="14"/>
      <c r="K759" s="12"/>
    </row>
    <row r="760" ht="19.5" customHeight="1">
      <c r="A760" s="12"/>
      <c r="C760" s="12"/>
      <c r="D760" s="13"/>
      <c r="F760" s="14"/>
      <c r="G760" s="14"/>
      <c r="H760" s="14"/>
      <c r="I760" s="14"/>
      <c r="J760" s="14"/>
      <c r="K760" s="12"/>
    </row>
    <row r="761" ht="19.5" customHeight="1">
      <c r="A761" s="12"/>
      <c r="C761" s="12"/>
      <c r="D761" s="13"/>
      <c r="F761" s="14"/>
      <c r="G761" s="14"/>
      <c r="H761" s="14"/>
      <c r="I761" s="14"/>
      <c r="J761" s="14"/>
      <c r="K761" s="12"/>
    </row>
    <row r="762" ht="19.5" customHeight="1">
      <c r="A762" s="12"/>
      <c r="C762" s="12"/>
      <c r="D762" s="13"/>
      <c r="F762" s="14"/>
      <c r="G762" s="14"/>
      <c r="H762" s="14"/>
      <c r="I762" s="14"/>
      <c r="J762" s="14"/>
      <c r="K762" s="12"/>
    </row>
    <row r="763" ht="19.5" customHeight="1">
      <c r="A763" s="12"/>
      <c r="C763" s="12"/>
      <c r="D763" s="13"/>
      <c r="F763" s="14"/>
      <c r="G763" s="14"/>
      <c r="H763" s="14"/>
      <c r="I763" s="14"/>
      <c r="J763" s="14"/>
      <c r="K763" s="12"/>
    </row>
    <row r="764" ht="19.5" customHeight="1">
      <c r="A764" s="12"/>
      <c r="C764" s="12"/>
      <c r="D764" s="13"/>
      <c r="F764" s="14"/>
      <c r="G764" s="14"/>
      <c r="H764" s="14"/>
      <c r="I764" s="14"/>
      <c r="J764" s="14"/>
      <c r="K764" s="12"/>
    </row>
    <row r="765" ht="19.5" customHeight="1">
      <c r="A765" s="12"/>
      <c r="C765" s="12"/>
      <c r="D765" s="13"/>
      <c r="F765" s="14"/>
      <c r="G765" s="14"/>
      <c r="H765" s="14"/>
      <c r="I765" s="14"/>
      <c r="J765" s="14"/>
      <c r="K765" s="12"/>
    </row>
    <row r="766" ht="19.5" customHeight="1">
      <c r="A766" s="12"/>
      <c r="C766" s="12"/>
      <c r="D766" s="13"/>
      <c r="F766" s="14"/>
      <c r="G766" s="14"/>
      <c r="H766" s="14"/>
      <c r="I766" s="14"/>
      <c r="J766" s="14"/>
      <c r="K766" s="12"/>
    </row>
    <row r="767" ht="19.5" customHeight="1">
      <c r="A767" s="12"/>
      <c r="C767" s="12"/>
      <c r="D767" s="13"/>
      <c r="F767" s="14"/>
      <c r="G767" s="14"/>
      <c r="H767" s="14"/>
      <c r="I767" s="14"/>
      <c r="J767" s="14"/>
      <c r="K767" s="12"/>
    </row>
    <row r="768" ht="19.5" customHeight="1">
      <c r="A768" s="12"/>
      <c r="C768" s="12"/>
      <c r="D768" s="13"/>
      <c r="F768" s="14"/>
      <c r="G768" s="14"/>
      <c r="H768" s="14"/>
      <c r="I768" s="14"/>
      <c r="J768" s="14"/>
      <c r="K768" s="12"/>
    </row>
    <row r="769" ht="19.5" customHeight="1">
      <c r="A769" s="12"/>
      <c r="C769" s="12"/>
      <c r="D769" s="13"/>
      <c r="F769" s="14"/>
      <c r="G769" s="14"/>
      <c r="H769" s="14"/>
      <c r="I769" s="14"/>
      <c r="J769" s="14"/>
      <c r="K769" s="12"/>
    </row>
    <row r="770" ht="19.5" customHeight="1">
      <c r="A770" s="12"/>
      <c r="C770" s="12"/>
      <c r="D770" s="13"/>
      <c r="F770" s="14"/>
      <c r="G770" s="14"/>
      <c r="H770" s="14"/>
      <c r="I770" s="14"/>
      <c r="J770" s="14"/>
      <c r="K770" s="12"/>
    </row>
    <row r="771" ht="19.5" customHeight="1">
      <c r="A771" s="12"/>
      <c r="C771" s="12"/>
      <c r="D771" s="13"/>
      <c r="F771" s="14"/>
      <c r="G771" s="14"/>
      <c r="H771" s="14"/>
      <c r="I771" s="14"/>
      <c r="J771" s="14"/>
      <c r="K771" s="12"/>
    </row>
    <row r="772" ht="19.5" customHeight="1">
      <c r="A772" s="12"/>
      <c r="C772" s="12"/>
      <c r="D772" s="13"/>
      <c r="F772" s="14"/>
      <c r="G772" s="14"/>
      <c r="H772" s="14"/>
      <c r="I772" s="14"/>
      <c r="J772" s="14"/>
      <c r="K772" s="12"/>
    </row>
    <row r="773" ht="19.5" customHeight="1">
      <c r="A773" s="12"/>
      <c r="C773" s="12"/>
      <c r="D773" s="13"/>
      <c r="F773" s="14"/>
      <c r="G773" s="14"/>
      <c r="H773" s="14"/>
      <c r="I773" s="14"/>
      <c r="J773" s="14"/>
      <c r="K773" s="12"/>
    </row>
    <row r="774" ht="19.5" customHeight="1">
      <c r="A774" s="12"/>
      <c r="C774" s="12"/>
      <c r="D774" s="13"/>
      <c r="F774" s="14"/>
      <c r="G774" s="14"/>
      <c r="H774" s="14"/>
      <c r="I774" s="14"/>
      <c r="J774" s="14"/>
      <c r="K774" s="12"/>
    </row>
    <row r="775" ht="19.5" customHeight="1">
      <c r="A775" s="12"/>
      <c r="C775" s="12"/>
      <c r="D775" s="13"/>
      <c r="F775" s="14"/>
      <c r="G775" s="14"/>
      <c r="H775" s="14"/>
      <c r="I775" s="14"/>
      <c r="J775" s="14"/>
      <c r="K775" s="12"/>
    </row>
    <row r="776" ht="19.5" customHeight="1">
      <c r="A776" s="12"/>
      <c r="C776" s="12"/>
      <c r="D776" s="13"/>
      <c r="F776" s="14"/>
      <c r="G776" s="14"/>
      <c r="H776" s="14"/>
      <c r="I776" s="14"/>
      <c r="J776" s="14"/>
      <c r="K776" s="12"/>
    </row>
    <row r="777" ht="19.5" customHeight="1">
      <c r="A777" s="12"/>
      <c r="C777" s="12"/>
      <c r="D777" s="13"/>
      <c r="F777" s="14"/>
      <c r="G777" s="14"/>
      <c r="H777" s="14"/>
      <c r="I777" s="14"/>
      <c r="J777" s="14"/>
      <c r="K777" s="12"/>
    </row>
    <row r="778" ht="19.5" customHeight="1">
      <c r="A778" s="12"/>
      <c r="C778" s="12"/>
      <c r="D778" s="13"/>
      <c r="F778" s="14"/>
      <c r="G778" s="14"/>
      <c r="H778" s="14"/>
      <c r="I778" s="14"/>
      <c r="J778" s="14"/>
      <c r="K778" s="12"/>
    </row>
    <row r="779" ht="19.5" customHeight="1">
      <c r="A779" s="12"/>
      <c r="C779" s="12"/>
      <c r="D779" s="13"/>
      <c r="F779" s="14"/>
      <c r="G779" s="14"/>
      <c r="H779" s="14"/>
      <c r="I779" s="14"/>
      <c r="J779" s="14"/>
      <c r="K779" s="12"/>
    </row>
    <row r="780" ht="19.5" customHeight="1">
      <c r="A780" s="12"/>
      <c r="C780" s="12"/>
      <c r="D780" s="13"/>
      <c r="F780" s="14"/>
      <c r="G780" s="14"/>
      <c r="H780" s="14"/>
      <c r="I780" s="14"/>
      <c r="J780" s="14"/>
      <c r="K780" s="12"/>
    </row>
    <row r="781" ht="19.5" customHeight="1">
      <c r="A781" s="12"/>
      <c r="C781" s="12"/>
      <c r="D781" s="13"/>
      <c r="F781" s="14"/>
      <c r="G781" s="14"/>
      <c r="H781" s="14"/>
      <c r="I781" s="14"/>
      <c r="J781" s="14"/>
      <c r="K781" s="12"/>
    </row>
    <row r="782" ht="19.5" customHeight="1">
      <c r="A782" s="12"/>
      <c r="C782" s="12"/>
      <c r="D782" s="13"/>
      <c r="F782" s="14"/>
      <c r="G782" s="14"/>
      <c r="H782" s="14"/>
      <c r="I782" s="14"/>
      <c r="J782" s="14"/>
      <c r="K782" s="12"/>
    </row>
    <row r="783" ht="19.5" customHeight="1">
      <c r="A783" s="12"/>
      <c r="C783" s="12"/>
      <c r="D783" s="13"/>
      <c r="F783" s="14"/>
      <c r="G783" s="14"/>
      <c r="H783" s="14"/>
      <c r="I783" s="14"/>
      <c r="J783" s="14"/>
      <c r="K783" s="12"/>
    </row>
    <row r="784" ht="19.5" customHeight="1">
      <c r="A784" s="12"/>
      <c r="C784" s="12"/>
      <c r="D784" s="13"/>
      <c r="F784" s="14"/>
      <c r="G784" s="14"/>
      <c r="H784" s="14"/>
      <c r="I784" s="14"/>
      <c r="J784" s="14"/>
      <c r="K784" s="12"/>
    </row>
    <row r="785" ht="19.5" customHeight="1">
      <c r="A785" s="12"/>
      <c r="C785" s="12"/>
      <c r="D785" s="13"/>
      <c r="F785" s="14"/>
      <c r="G785" s="14"/>
      <c r="H785" s="14"/>
      <c r="I785" s="14"/>
      <c r="J785" s="14"/>
      <c r="K785" s="12"/>
    </row>
    <row r="786" ht="19.5" customHeight="1">
      <c r="A786" s="12"/>
      <c r="C786" s="12"/>
      <c r="D786" s="13"/>
      <c r="F786" s="14"/>
      <c r="G786" s="14"/>
      <c r="H786" s="14"/>
      <c r="I786" s="14"/>
      <c r="J786" s="14"/>
      <c r="K786" s="12"/>
    </row>
    <row r="787" ht="19.5" customHeight="1">
      <c r="A787" s="12"/>
      <c r="C787" s="12"/>
      <c r="D787" s="13"/>
      <c r="F787" s="14"/>
      <c r="G787" s="14"/>
      <c r="H787" s="14"/>
      <c r="I787" s="14"/>
      <c r="J787" s="14"/>
      <c r="K787" s="12"/>
    </row>
    <row r="788" ht="19.5" customHeight="1">
      <c r="A788" s="12"/>
      <c r="C788" s="12"/>
      <c r="D788" s="13"/>
      <c r="F788" s="14"/>
      <c r="G788" s="14"/>
      <c r="H788" s="14"/>
      <c r="I788" s="14"/>
      <c r="J788" s="14"/>
      <c r="K788" s="12"/>
    </row>
    <row r="789" ht="19.5" customHeight="1">
      <c r="A789" s="12"/>
      <c r="C789" s="12"/>
      <c r="D789" s="13"/>
      <c r="F789" s="14"/>
      <c r="G789" s="14"/>
      <c r="H789" s="14"/>
      <c r="I789" s="14"/>
      <c r="J789" s="14"/>
      <c r="K789" s="12"/>
    </row>
    <row r="790" ht="19.5" customHeight="1">
      <c r="A790" s="12"/>
      <c r="C790" s="12"/>
      <c r="D790" s="13"/>
      <c r="F790" s="14"/>
      <c r="G790" s="14"/>
      <c r="H790" s="14"/>
      <c r="I790" s="14"/>
      <c r="J790" s="14"/>
      <c r="K790" s="12"/>
    </row>
    <row r="791" ht="19.5" customHeight="1">
      <c r="A791" s="12"/>
      <c r="C791" s="12"/>
      <c r="D791" s="13"/>
      <c r="F791" s="14"/>
      <c r="G791" s="14"/>
      <c r="H791" s="14"/>
      <c r="I791" s="14"/>
      <c r="J791" s="14"/>
      <c r="K791" s="12"/>
    </row>
    <row r="792" ht="19.5" customHeight="1">
      <c r="A792" s="12"/>
      <c r="C792" s="12"/>
      <c r="D792" s="13"/>
      <c r="F792" s="14"/>
      <c r="G792" s="14"/>
      <c r="H792" s="14"/>
      <c r="I792" s="14"/>
      <c r="J792" s="14"/>
      <c r="K792" s="12"/>
    </row>
    <row r="793" ht="19.5" customHeight="1">
      <c r="A793" s="12"/>
      <c r="C793" s="12"/>
      <c r="D793" s="13"/>
      <c r="F793" s="14"/>
      <c r="G793" s="14"/>
      <c r="H793" s="14"/>
      <c r="I793" s="14"/>
      <c r="J793" s="14"/>
      <c r="K793" s="12"/>
    </row>
    <row r="794" ht="19.5" customHeight="1">
      <c r="A794" s="12"/>
      <c r="C794" s="12"/>
      <c r="D794" s="13"/>
      <c r="F794" s="14"/>
      <c r="G794" s="14"/>
      <c r="H794" s="14"/>
      <c r="I794" s="14"/>
      <c r="J794" s="14"/>
      <c r="K794" s="12"/>
    </row>
    <row r="795" ht="19.5" customHeight="1">
      <c r="A795" s="12"/>
      <c r="C795" s="12"/>
      <c r="D795" s="13"/>
      <c r="F795" s="14"/>
      <c r="G795" s="14"/>
      <c r="H795" s="14"/>
      <c r="I795" s="14"/>
      <c r="J795" s="14"/>
      <c r="K795" s="12"/>
    </row>
    <row r="796" ht="19.5" customHeight="1">
      <c r="A796" s="12"/>
      <c r="C796" s="12"/>
      <c r="D796" s="13"/>
      <c r="F796" s="14"/>
      <c r="G796" s="14"/>
      <c r="H796" s="14"/>
      <c r="I796" s="14"/>
      <c r="J796" s="14"/>
      <c r="K796" s="12"/>
    </row>
    <row r="797" ht="19.5" customHeight="1">
      <c r="A797" s="12"/>
      <c r="C797" s="12"/>
      <c r="D797" s="13"/>
      <c r="F797" s="14"/>
      <c r="G797" s="14"/>
      <c r="H797" s="14"/>
      <c r="I797" s="14"/>
      <c r="J797" s="14"/>
      <c r="K797" s="12"/>
    </row>
    <row r="798" ht="19.5" customHeight="1">
      <c r="A798" s="12"/>
      <c r="C798" s="12"/>
      <c r="D798" s="13"/>
      <c r="F798" s="14"/>
      <c r="G798" s="14"/>
      <c r="H798" s="14"/>
      <c r="I798" s="14"/>
      <c r="J798" s="14"/>
      <c r="K798" s="12"/>
    </row>
    <row r="799" ht="19.5" customHeight="1">
      <c r="A799" s="12"/>
      <c r="C799" s="12"/>
      <c r="D799" s="13"/>
      <c r="F799" s="14"/>
      <c r="G799" s="14"/>
      <c r="H799" s="14"/>
      <c r="I799" s="14"/>
      <c r="J799" s="14"/>
      <c r="K799" s="12"/>
    </row>
    <row r="800" ht="19.5" customHeight="1">
      <c r="A800" s="12"/>
      <c r="C800" s="12"/>
      <c r="D800" s="13"/>
      <c r="F800" s="14"/>
      <c r="G800" s="14"/>
      <c r="H800" s="14"/>
      <c r="I800" s="14"/>
      <c r="J800" s="14"/>
      <c r="K800" s="12"/>
    </row>
    <row r="801" ht="19.5" customHeight="1">
      <c r="A801" s="12"/>
      <c r="C801" s="12"/>
      <c r="D801" s="13"/>
      <c r="F801" s="14"/>
      <c r="G801" s="14"/>
      <c r="H801" s="14"/>
      <c r="I801" s="14"/>
      <c r="J801" s="14"/>
      <c r="K801" s="12"/>
    </row>
    <row r="802" ht="19.5" customHeight="1">
      <c r="A802" s="12"/>
      <c r="C802" s="12"/>
      <c r="D802" s="13"/>
      <c r="F802" s="14"/>
      <c r="G802" s="14"/>
      <c r="H802" s="14"/>
      <c r="I802" s="14"/>
      <c r="J802" s="14"/>
      <c r="K802" s="12"/>
    </row>
    <row r="803" ht="19.5" customHeight="1">
      <c r="A803" s="12"/>
      <c r="C803" s="12"/>
      <c r="D803" s="13"/>
      <c r="F803" s="14"/>
      <c r="G803" s="14"/>
      <c r="H803" s="14"/>
      <c r="I803" s="14"/>
      <c r="J803" s="14"/>
      <c r="K803" s="12"/>
    </row>
    <row r="804" ht="19.5" customHeight="1">
      <c r="A804" s="12"/>
      <c r="C804" s="12"/>
      <c r="D804" s="13"/>
      <c r="F804" s="14"/>
      <c r="G804" s="14"/>
      <c r="H804" s="14"/>
      <c r="I804" s="14"/>
      <c r="J804" s="14"/>
      <c r="K804" s="12"/>
    </row>
    <row r="805" ht="19.5" customHeight="1">
      <c r="A805" s="12"/>
      <c r="C805" s="12"/>
      <c r="D805" s="13"/>
      <c r="F805" s="14"/>
      <c r="G805" s="14"/>
      <c r="H805" s="14"/>
      <c r="I805" s="14"/>
      <c r="J805" s="14"/>
      <c r="K805" s="12"/>
    </row>
    <row r="806" ht="19.5" customHeight="1">
      <c r="A806" s="12"/>
      <c r="C806" s="12"/>
      <c r="D806" s="13"/>
      <c r="F806" s="14"/>
      <c r="G806" s="14"/>
      <c r="H806" s="14"/>
      <c r="I806" s="14"/>
      <c r="J806" s="14"/>
      <c r="K806" s="12"/>
    </row>
    <row r="807" ht="19.5" customHeight="1">
      <c r="A807" s="12"/>
      <c r="C807" s="12"/>
      <c r="D807" s="13"/>
      <c r="F807" s="14"/>
      <c r="G807" s="14"/>
      <c r="H807" s="14"/>
      <c r="I807" s="14"/>
      <c r="J807" s="14"/>
      <c r="K807" s="12"/>
    </row>
    <row r="808" ht="19.5" customHeight="1">
      <c r="A808" s="12"/>
      <c r="C808" s="12"/>
      <c r="D808" s="13"/>
      <c r="F808" s="14"/>
      <c r="G808" s="14"/>
      <c r="H808" s="14"/>
      <c r="I808" s="14"/>
      <c r="J808" s="14"/>
      <c r="K808" s="12"/>
    </row>
    <row r="809" ht="19.5" customHeight="1">
      <c r="A809" s="12"/>
      <c r="C809" s="12"/>
      <c r="D809" s="13"/>
      <c r="F809" s="14"/>
      <c r="G809" s="14"/>
      <c r="H809" s="14"/>
      <c r="I809" s="14"/>
      <c r="J809" s="14"/>
      <c r="K809" s="12"/>
    </row>
    <row r="810" ht="19.5" customHeight="1">
      <c r="A810" s="12"/>
      <c r="C810" s="12"/>
      <c r="D810" s="13"/>
      <c r="F810" s="14"/>
      <c r="G810" s="14"/>
      <c r="H810" s="14"/>
      <c r="I810" s="14"/>
      <c r="J810" s="14"/>
      <c r="K810" s="12"/>
    </row>
    <row r="811" ht="19.5" customHeight="1">
      <c r="A811" s="12"/>
      <c r="C811" s="12"/>
      <c r="D811" s="13"/>
      <c r="F811" s="14"/>
      <c r="G811" s="14"/>
      <c r="H811" s="14"/>
      <c r="I811" s="14"/>
      <c r="J811" s="14"/>
      <c r="K811" s="12"/>
    </row>
    <row r="812" ht="19.5" customHeight="1">
      <c r="A812" s="12"/>
      <c r="C812" s="12"/>
      <c r="D812" s="13"/>
      <c r="F812" s="14"/>
      <c r="G812" s="14"/>
      <c r="H812" s="14"/>
      <c r="I812" s="14"/>
      <c r="J812" s="14"/>
      <c r="K812" s="12"/>
    </row>
    <row r="813" ht="19.5" customHeight="1">
      <c r="A813" s="12"/>
      <c r="C813" s="12"/>
      <c r="D813" s="13"/>
      <c r="F813" s="14"/>
      <c r="G813" s="14"/>
      <c r="H813" s="14"/>
      <c r="I813" s="14"/>
      <c r="J813" s="14"/>
      <c r="K813" s="12"/>
    </row>
    <row r="814" ht="19.5" customHeight="1">
      <c r="A814" s="12"/>
      <c r="C814" s="12"/>
      <c r="D814" s="13"/>
      <c r="F814" s="14"/>
      <c r="G814" s="14"/>
      <c r="H814" s="14"/>
      <c r="I814" s="14"/>
      <c r="J814" s="14"/>
      <c r="K814" s="12"/>
    </row>
    <row r="815" ht="19.5" customHeight="1">
      <c r="A815" s="12"/>
      <c r="C815" s="12"/>
      <c r="D815" s="13"/>
      <c r="F815" s="14"/>
      <c r="G815" s="14"/>
      <c r="H815" s="14"/>
      <c r="I815" s="14"/>
      <c r="J815" s="14"/>
      <c r="K815" s="12"/>
    </row>
    <row r="816" ht="19.5" customHeight="1">
      <c r="A816" s="12"/>
      <c r="C816" s="12"/>
      <c r="D816" s="13"/>
      <c r="F816" s="14"/>
      <c r="G816" s="14"/>
      <c r="H816" s="14"/>
      <c r="I816" s="14"/>
      <c r="J816" s="14"/>
      <c r="K816" s="12"/>
    </row>
    <row r="817" ht="19.5" customHeight="1">
      <c r="A817" s="12"/>
      <c r="C817" s="12"/>
      <c r="D817" s="13"/>
      <c r="F817" s="14"/>
      <c r="G817" s="14"/>
      <c r="H817" s="14"/>
      <c r="I817" s="14"/>
      <c r="J817" s="14"/>
      <c r="K817" s="12"/>
    </row>
    <row r="818" ht="19.5" customHeight="1">
      <c r="A818" s="12"/>
      <c r="C818" s="12"/>
      <c r="D818" s="13"/>
      <c r="F818" s="14"/>
      <c r="G818" s="14"/>
      <c r="H818" s="14"/>
      <c r="I818" s="14"/>
      <c r="J818" s="14"/>
      <c r="K818" s="12"/>
    </row>
    <row r="819" ht="19.5" customHeight="1">
      <c r="A819" s="12"/>
      <c r="C819" s="12"/>
      <c r="D819" s="13"/>
      <c r="F819" s="14"/>
      <c r="G819" s="14"/>
      <c r="H819" s="14"/>
      <c r="I819" s="14"/>
      <c r="J819" s="14"/>
      <c r="K819" s="12"/>
    </row>
    <row r="820" ht="19.5" customHeight="1">
      <c r="A820" s="12"/>
      <c r="C820" s="12"/>
      <c r="D820" s="13"/>
      <c r="F820" s="14"/>
      <c r="G820" s="14"/>
      <c r="H820" s="14"/>
      <c r="I820" s="14"/>
      <c r="J820" s="14"/>
      <c r="K820" s="12"/>
    </row>
    <row r="821" ht="19.5" customHeight="1">
      <c r="A821" s="12"/>
      <c r="C821" s="12"/>
      <c r="D821" s="13"/>
      <c r="F821" s="14"/>
      <c r="G821" s="14"/>
      <c r="H821" s="14"/>
      <c r="I821" s="14"/>
      <c r="J821" s="14"/>
      <c r="K821" s="12"/>
    </row>
    <row r="822" ht="19.5" customHeight="1">
      <c r="A822" s="12"/>
      <c r="C822" s="12"/>
      <c r="D822" s="13"/>
      <c r="F822" s="14"/>
      <c r="G822" s="14"/>
      <c r="H822" s="14"/>
      <c r="I822" s="14"/>
      <c r="J822" s="14"/>
      <c r="K822" s="12"/>
    </row>
    <row r="823" ht="19.5" customHeight="1">
      <c r="A823" s="12"/>
      <c r="C823" s="12"/>
      <c r="D823" s="13"/>
      <c r="F823" s="14"/>
      <c r="G823" s="14"/>
      <c r="H823" s="14"/>
      <c r="I823" s="14"/>
      <c r="J823" s="14"/>
      <c r="K823" s="12"/>
    </row>
    <row r="824" ht="19.5" customHeight="1">
      <c r="A824" s="12"/>
      <c r="C824" s="12"/>
      <c r="D824" s="13"/>
      <c r="F824" s="14"/>
      <c r="G824" s="14"/>
      <c r="H824" s="14"/>
      <c r="I824" s="14"/>
      <c r="J824" s="14"/>
      <c r="K824" s="12"/>
    </row>
    <row r="825" ht="19.5" customHeight="1">
      <c r="A825" s="12"/>
      <c r="C825" s="12"/>
      <c r="D825" s="13"/>
      <c r="F825" s="14"/>
      <c r="G825" s="14"/>
      <c r="H825" s="14"/>
      <c r="I825" s="14"/>
      <c r="J825" s="14"/>
      <c r="K825" s="12"/>
    </row>
    <row r="826" ht="19.5" customHeight="1">
      <c r="A826" s="12"/>
      <c r="C826" s="12"/>
      <c r="D826" s="13"/>
      <c r="F826" s="14"/>
      <c r="G826" s="14"/>
      <c r="H826" s="14"/>
      <c r="I826" s="14"/>
      <c r="J826" s="14"/>
      <c r="K826" s="12"/>
    </row>
    <row r="827" ht="19.5" customHeight="1">
      <c r="A827" s="12"/>
      <c r="C827" s="12"/>
      <c r="D827" s="13"/>
      <c r="F827" s="14"/>
      <c r="G827" s="14"/>
      <c r="H827" s="14"/>
      <c r="I827" s="14"/>
      <c r="J827" s="14"/>
      <c r="K827" s="12"/>
    </row>
    <row r="828" ht="19.5" customHeight="1">
      <c r="A828" s="12"/>
      <c r="C828" s="12"/>
      <c r="D828" s="13"/>
      <c r="F828" s="14"/>
      <c r="G828" s="14"/>
      <c r="H828" s="14"/>
      <c r="I828" s="14"/>
      <c r="J828" s="14"/>
      <c r="K828" s="12"/>
    </row>
    <row r="829" ht="19.5" customHeight="1">
      <c r="A829" s="12"/>
      <c r="C829" s="12"/>
      <c r="D829" s="13"/>
      <c r="F829" s="14"/>
      <c r="G829" s="14"/>
      <c r="H829" s="14"/>
      <c r="I829" s="14"/>
      <c r="J829" s="14"/>
      <c r="K829" s="12"/>
    </row>
    <row r="830" ht="19.5" customHeight="1">
      <c r="A830" s="12"/>
      <c r="C830" s="12"/>
      <c r="D830" s="13"/>
      <c r="F830" s="14"/>
      <c r="G830" s="14"/>
      <c r="H830" s="14"/>
      <c r="I830" s="14"/>
      <c r="J830" s="14"/>
      <c r="K830" s="12"/>
    </row>
    <row r="831" ht="19.5" customHeight="1">
      <c r="A831" s="12"/>
      <c r="C831" s="12"/>
      <c r="D831" s="13"/>
      <c r="F831" s="14"/>
      <c r="G831" s="14"/>
      <c r="H831" s="14"/>
      <c r="I831" s="14"/>
      <c r="J831" s="14"/>
      <c r="K831" s="12"/>
    </row>
    <row r="832" ht="19.5" customHeight="1">
      <c r="A832" s="12"/>
      <c r="C832" s="12"/>
      <c r="D832" s="13"/>
      <c r="F832" s="14"/>
      <c r="G832" s="14"/>
      <c r="H832" s="14"/>
      <c r="I832" s="14"/>
      <c r="J832" s="14"/>
      <c r="K832" s="12"/>
    </row>
    <row r="833" ht="19.5" customHeight="1">
      <c r="A833" s="12"/>
      <c r="C833" s="12"/>
      <c r="D833" s="13"/>
      <c r="F833" s="14"/>
      <c r="G833" s="14"/>
      <c r="H833" s="14"/>
      <c r="I833" s="14"/>
      <c r="J833" s="14"/>
      <c r="K833" s="12"/>
    </row>
    <row r="834" ht="19.5" customHeight="1">
      <c r="A834" s="12"/>
      <c r="C834" s="12"/>
      <c r="D834" s="13"/>
      <c r="F834" s="14"/>
      <c r="G834" s="14"/>
      <c r="H834" s="14"/>
      <c r="I834" s="14"/>
      <c r="J834" s="14"/>
      <c r="K834" s="12"/>
    </row>
    <row r="835" ht="19.5" customHeight="1">
      <c r="A835" s="12"/>
      <c r="C835" s="12"/>
      <c r="D835" s="13"/>
      <c r="F835" s="14"/>
      <c r="G835" s="14"/>
      <c r="H835" s="14"/>
      <c r="I835" s="14"/>
      <c r="J835" s="14"/>
      <c r="K835" s="12"/>
    </row>
    <row r="836" ht="19.5" customHeight="1">
      <c r="A836" s="12"/>
      <c r="C836" s="12"/>
      <c r="D836" s="13"/>
      <c r="F836" s="14"/>
      <c r="G836" s="14"/>
      <c r="H836" s="14"/>
      <c r="I836" s="14"/>
      <c r="J836" s="14"/>
      <c r="K836" s="12"/>
    </row>
    <row r="837" ht="19.5" customHeight="1">
      <c r="A837" s="12"/>
      <c r="C837" s="12"/>
      <c r="D837" s="13"/>
      <c r="F837" s="14"/>
      <c r="G837" s="14"/>
      <c r="H837" s="14"/>
      <c r="I837" s="14"/>
      <c r="J837" s="14"/>
      <c r="K837" s="12"/>
    </row>
    <row r="838" ht="19.5" customHeight="1">
      <c r="A838" s="12"/>
      <c r="C838" s="12"/>
      <c r="D838" s="13"/>
      <c r="F838" s="14"/>
      <c r="G838" s="14"/>
      <c r="H838" s="14"/>
      <c r="I838" s="14"/>
      <c r="J838" s="14"/>
      <c r="K838" s="12"/>
    </row>
    <row r="839" ht="19.5" customHeight="1">
      <c r="A839" s="12"/>
      <c r="C839" s="12"/>
      <c r="D839" s="13"/>
      <c r="F839" s="14"/>
      <c r="G839" s="14"/>
      <c r="H839" s="14"/>
      <c r="I839" s="14"/>
      <c r="J839" s="14"/>
      <c r="K839" s="12"/>
    </row>
    <row r="840" ht="19.5" customHeight="1">
      <c r="A840" s="12"/>
      <c r="C840" s="12"/>
      <c r="D840" s="13"/>
      <c r="F840" s="14"/>
      <c r="G840" s="14"/>
      <c r="H840" s="14"/>
      <c r="I840" s="14"/>
      <c r="J840" s="14"/>
      <c r="K840" s="12"/>
    </row>
    <row r="841" ht="19.5" customHeight="1">
      <c r="A841" s="12"/>
      <c r="C841" s="12"/>
      <c r="D841" s="13"/>
      <c r="F841" s="14"/>
      <c r="G841" s="14"/>
      <c r="H841" s="14"/>
      <c r="I841" s="14"/>
      <c r="J841" s="14"/>
      <c r="K841" s="12"/>
    </row>
    <row r="842" ht="19.5" customHeight="1">
      <c r="A842" s="12"/>
      <c r="C842" s="12"/>
      <c r="D842" s="13"/>
      <c r="F842" s="14"/>
      <c r="G842" s="14"/>
      <c r="H842" s="14"/>
      <c r="I842" s="14"/>
      <c r="J842" s="14"/>
      <c r="K842" s="12"/>
    </row>
    <row r="843" ht="19.5" customHeight="1">
      <c r="A843" s="12"/>
      <c r="C843" s="12"/>
      <c r="D843" s="13"/>
      <c r="F843" s="14"/>
      <c r="G843" s="14"/>
      <c r="H843" s="14"/>
      <c r="I843" s="14"/>
      <c r="J843" s="14"/>
      <c r="K843" s="12"/>
    </row>
    <row r="844" ht="19.5" customHeight="1">
      <c r="A844" s="12"/>
      <c r="C844" s="12"/>
      <c r="D844" s="13"/>
      <c r="F844" s="14"/>
      <c r="G844" s="14"/>
      <c r="H844" s="14"/>
      <c r="I844" s="14"/>
      <c r="J844" s="14"/>
      <c r="K844" s="12"/>
    </row>
    <row r="845" ht="19.5" customHeight="1">
      <c r="A845" s="12"/>
      <c r="C845" s="12"/>
      <c r="D845" s="13"/>
      <c r="F845" s="14"/>
      <c r="G845" s="14"/>
      <c r="H845" s="14"/>
      <c r="I845" s="14"/>
      <c r="J845" s="14"/>
      <c r="K845" s="12"/>
    </row>
    <row r="846" ht="19.5" customHeight="1">
      <c r="A846" s="12"/>
      <c r="C846" s="12"/>
      <c r="D846" s="13"/>
      <c r="F846" s="14"/>
      <c r="G846" s="14"/>
      <c r="H846" s="14"/>
      <c r="I846" s="14"/>
      <c r="J846" s="14"/>
      <c r="K846" s="12"/>
    </row>
    <row r="847" ht="19.5" customHeight="1">
      <c r="A847" s="12"/>
      <c r="C847" s="12"/>
      <c r="D847" s="13"/>
      <c r="F847" s="14"/>
      <c r="G847" s="14"/>
      <c r="H847" s="14"/>
      <c r="I847" s="14"/>
      <c r="J847" s="14"/>
      <c r="K847" s="12"/>
    </row>
    <row r="848" ht="19.5" customHeight="1">
      <c r="A848" s="12"/>
      <c r="C848" s="12"/>
      <c r="D848" s="13"/>
      <c r="F848" s="14"/>
      <c r="G848" s="14"/>
      <c r="H848" s="14"/>
      <c r="I848" s="14"/>
      <c r="J848" s="14"/>
      <c r="K848" s="12"/>
    </row>
    <row r="849" ht="19.5" customHeight="1">
      <c r="A849" s="12"/>
      <c r="C849" s="12"/>
      <c r="D849" s="13"/>
      <c r="F849" s="14"/>
      <c r="G849" s="14"/>
      <c r="H849" s="14"/>
      <c r="I849" s="14"/>
      <c r="J849" s="14"/>
      <c r="K849" s="12"/>
    </row>
    <row r="850" ht="19.5" customHeight="1">
      <c r="A850" s="12"/>
      <c r="C850" s="12"/>
      <c r="D850" s="13"/>
      <c r="F850" s="14"/>
      <c r="G850" s="14"/>
      <c r="H850" s="14"/>
      <c r="I850" s="14"/>
      <c r="J850" s="14"/>
      <c r="K850" s="12"/>
    </row>
    <row r="851" ht="19.5" customHeight="1">
      <c r="A851" s="12"/>
      <c r="C851" s="12"/>
      <c r="D851" s="13"/>
      <c r="F851" s="14"/>
      <c r="G851" s="14"/>
      <c r="H851" s="14"/>
      <c r="I851" s="14"/>
      <c r="J851" s="14"/>
      <c r="K851" s="12"/>
    </row>
    <row r="852" ht="19.5" customHeight="1">
      <c r="A852" s="12"/>
      <c r="C852" s="12"/>
      <c r="D852" s="13"/>
      <c r="F852" s="14"/>
      <c r="G852" s="14"/>
      <c r="H852" s="14"/>
      <c r="I852" s="14"/>
      <c r="J852" s="14"/>
      <c r="K852" s="12"/>
    </row>
    <row r="853" ht="19.5" customHeight="1">
      <c r="A853" s="12"/>
      <c r="C853" s="12"/>
      <c r="D853" s="13"/>
      <c r="F853" s="14"/>
      <c r="G853" s="14"/>
      <c r="H853" s="14"/>
      <c r="I853" s="14"/>
      <c r="J853" s="14"/>
      <c r="K853" s="12"/>
    </row>
    <row r="854" ht="19.5" customHeight="1">
      <c r="A854" s="12"/>
      <c r="C854" s="12"/>
      <c r="D854" s="13"/>
      <c r="F854" s="14"/>
      <c r="G854" s="14"/>
      <c r="H854" s="14"/>
      <c r="I854" s="14"/>
      <c r="J854" s="14"/>
      <c r="K854" s="12"/>
    </row>
    <row r="855" ht="19.5" customHeight="1">
      <c r="A855" s="12"/>
      <c r="C855" s="12"/>
      <c r="D855" s="13"/>
      <c r="F855" s="14"/>
      <c r="G855" s="14"/>
      <c r="H855" s="14"/>
      <c r="I855" s="14"/>
      <c r="J855" s="14"/>
      <c r="K855" s="12"/>
    </row>
    <row r="856" ht="19.5" customHeight="1">
      <c r="A856" s="12"/>
      <c r="C856" s="12"/>
      <c r="D856" s="13"/>
      <c r="F856" s="14"/>
      <c r="G856" s="14"/>
      <c r="H856" s="14"/>
      <c r="I856" s="14"/>
      <c r="J856" s="14"/>
      <c r="K856" s="12"/>
    </row>
    <row r="857" ht="19.5" customHeight="1">
      <c r="A857" s="12"/>
      <c r="C857" s="12"/>
      <c r="D857" s="13"/>
      <c r="F857" s="14"/>
      <c r="G857" s="14"/>
      <c r="H857" s="14"/>
      <c r="I857" s="14"/>
      <c r="J857" s="14"/>
      <c r="K857" s="12"/>
    </row>
    <row r="858" ht="19.5" customHeight="1">
      <c r="A858" s="12"/>
      <c r="C858" s="12"/>
      <c r="D858" s="13"/>
      <c r="F858" s="14"/>
      <c r="G858" s="14"/>
      <c r="H858" s="14"/>
      <c r="I858" s="14"/>
      <c r="J858" s="14"/>
      <c r="K858" s="12"/>
    </row>
    <row r="859" ht="19.5" customHeight="1">
      <c r="A859" s="12"/>
      <c r="C859" s="12"/>
      <c r="D859" s="13"/>
      <c r="F859" s="14"/>
      <c r="G859" s="14"/>
      <c r="H859" s="14"/>
      <c r="I859" s="14"/>
      <c r="J859" s="14"/>
      <c r="K859" s="12"/>
    </row>
    <row r="860" ht="19.5" customHeight="1">
      <c r="A860" s="12"/>
      <c r="C860" s="12"/>
      <c r="D860" s="13"/>
      <c r="F860" s="14"/>
      <c r="G860" s="14"/>
      <c r="H860" s="14"/>
      <c r="I860" s="14"/>
      <c r="J860" s="14"/>
      <c r="K860" s="12"/>
    </row>
    <row r="861" ht="19.5" customHeight="1">
      <c r="A861" s="12"/>
      <c r="C861" s="12"/>
      <c r="D861" s="13"/>
      <c r="F861" s="14"/>
      <c r="G861" s="14"/>
      <c r="H861" s="14"/>
      <c r="I861" s="14"/>
      <c r="J861" s="14"/>
      <c r="K861" s="12"/>
    </row>
    <row r="862" ht="19.5" customHeight="1">
      <c r="A862" s="12"/>
      <c r="C862" s="12"/>
      <c r="D862" s="13"/>
      <c r="F862" s="14"/>
      <c r="G862" s="14"/>
      <c r="H862" s="14"/>
      <c r="I862" s="14"/>
      <c r="J862" s="14"/>
      <c r="K862" s="12"/>
    </row>
    <row r="863" ht="19.5" customHeight="1">
      <c r="A863" s="12"/>
      <c r="C863" s="12"/>
      <c r="D863" s="13"/>
      <c r="F863" s="14"/>
      <c r="G863" s="14"/>
      <c r="H863" s="14"/>
      <c r="I863" s="14"/>
      <c r="J863" s="14"/>
      <c r="K863" s="12"/>
    </row>
    <row r="864" ht="19.5" customHeight="1">
      <c r="A864" s="12"/>
      <c r="C864" s="12"/>
      <c r="D864" s="13"/>
      <c r="F864" s="14"/>
      <c r="G864" s="14"/>
      <c r="H864" s="14"/>
      <c r="I864" s="14"/>
      <c r="J864" s="14"/>
      <c r="K864" s="12"/>
    </row>
    <row r="865" ht="19.5" customHeight="1">
      <c r="A865" s="12"/>
      <c r="C865" s="12"/>
      <c r="D865" s="13"/>
      <c r="F865" s="14"/>
      <c r="G865" s="14"/>
      <c r="H865" s="14"/>
      <c r="I865" s="14"/>
      <c r="J865" s="14"/>
      <c r="K865" s="12"/>
    </row>
    <row r="866" ht="19.5" customHeight="1">
      <c r="A866" s="12"/>
      <c r="C866" s="12"/>
      <c r="D866" s="13"/>
      <c r="F866" s="14"/>
      <c r="G866" s="14"/>
      <c r="H866" s="14"/>
      <c r="I866" s="14"/>
      <c r="J866" s="14"/>
      <c r="K866" s="12"/>
    </row>
    <row r="867" ht="19.5" customHeight="1">
      <c r="A867" s="12"/>
      <c r="C867" s="12"/>
      <c r="D867" s="13"/>
      <c r="F867" s="14"/>
      <c r="G867" s="14"/>
      <c r="H867" s="14"/>
      <c r="I867" s="14"/>
      <c r="J867" s="14"/>
      <c r="K867" s="12"/>
    </row>
    <row r="868" ht="19.5" customHeight="1">
      <c r="A868" s="12"/>
      <c r="C868" s="12"/>
      <c r="D868" s="13"/>
      <c r="F868" s="14"/>
      <c r="G868" s="14"/>
      <c r="H868" s="14"/>
      <c r="I868" s="14"/>
      <c r="J868" s="14"/>
      <c r="K868" s="12"/>
    </row>
    <row r="869" ht="19.5" customHeight="1">
      <c r="A869" s="12"/>
      <c r="C869" s="12"/>
      <c r="D869" s="13"/>
      <c r="F869" s="14"/>
      <c r="G869" s="14"/>
      <c r="H869" s="14"/>
      <c r="I869" s="14"/>
      <c r="J869" s="14"/>
      <c r="K869" s="12"/>
    </row>
    <row r="870" ht="19.5" customHeight="1">
      <c r="A870" s="12"/>
      <c r="C870" s="12"/>
      <c r="D870" s="13"/>
      <c r="F870" s="14"/>
      <c r="G870" s="14"/>
      <c r="H870" s="14"/>
      <c r="I870" s="14"/>
      <c r="J870" s="14"/>
      <c r="K870" s="12"/>
    </row>
    <row r="871" ht="19.5" customHeight="1">
      <c r="A871" s="12"/>
      <c r="C871" s="12"/>
      <c r="D871" s="13"/>
      <c r="F871" s="14"/>
      <c r="G871" s="14"/>
      <c r="H871" s="14"/>
      <c r="I871" s="14"/>
      <c r="J871" s="14"/>
      <c r="K871" s="12"/>
    </row>
    <row r="872" ht="19.5" customHeight="1">
      <c r="A872" s="12"/>
      <c r="C872" s="12"/>
      <c r="D872" s="13"/>
      <c r="F872" s="14"/>
      <c r="G872" s="14"/>
      <c r="H872" s="14"/>
      <c r="I872" s="14"/>
      <c r="J872" s="14"/>
      <c r="K872" s="12"/>
    </row>
    <row r="873" ht="19.5" customHeight="1">
      <c r="A873" s="12"/>
      <c r="C873" s="12"/>
      <c r="D873" s="13"/>
      <c r="F873" s="14"/>
      <c r="G873" s="14"/>
      <c r="H873" s="14"/>
      <c r="I873" s="14"/>
      <c r="J873" s="14"/>
      <c r="K873" s="12"/>
    </row>
    <row r="874" ht="19.5" customHeight="1">
      <c r="A874" s="12"/>
      <c r="C874" s="12"/>
      <c r="D874" s="13"/>
      <c r="F874" s="14"/>
      <c r="G874" s="14"/>
      <c r="H874" s="14"/>
      <c r="I874" s="14"/>
      <c r="J874" s="14"/>
      <c r="K874" s="12"/>
    </row>
    <row r="875" ht="19.5" customHeight="1">
      <c r="A875" s="12"/>
      <c r="C875" s="12"/>
      <c r="D875" s="13"/>
      <c r="F875" s="14"/>
      <c r="G875" s="14"/>
      <c r="H875" s="14"/>
      <c r="I875" s="14"/>
      <c r="J875" s="14"/>
      <c r="K875" s="12"/>
    </row>
    <row r="876" ht="19.5" customHeight="1">
      <c r="A876" s="12"/>
      <c r="C876" s="12"/>
      <c r="D876" s="13"/>
      <c r="F876" s="14"/>
      <c r="G876" s="14"/>
      <c r="H876" s="14"/>
      <c r="I876" s="14"/>
      <c r="J876" s="14"/>
      <c r="K876" s="12"/>
    </row>
    <row r="877" ht="19.5" customHeight="1">
      <c r="A877" s="12"/>
      <c r="C877" s="12"/>
      <c r="D877" s="13"/>
      <c r="F877" s="14"/>
      <c r="G877" s="14"/>
      <c r="H877" s="14"/>
      <c r="I877" s="14"/>
      <c r="J877" s="14"/>
      <c r="K877" s="12"/>
    </row>
    <row r="878" ht="19.5" customHeight="1">
      <c r="A878" s="12"/>
      <c r="C878" s="12"/>
      <c r="D878" s="13"/>
      <c r="F878" s="14"/>
      <c r="G878" s="14"/>
      <c r="H878" s="14"/>
      <c r="I878" s="14"/>
      <c r="J878" s="14"/>
      <c r="K878" s="12"/>
    </row>
    <row r="879" ht="19.5" customHeight="1">
      <c r="A879" s="12"/>
      <c r="C879" s="12"/>
      <c r="D879" s="13"/>
      <c r="F879" s="14"/>
      <c r="G879" s="14"/>
      <c r="H879" s="14"/>
      <c r="I879" s="14"/>
      <c r="J879" s="14"/>
      <c r="K879" s="12"/>
    </row>
    <row r="880" ht="19.5" customHeight="1">
      <c r="A880" s="12"/>
      <c r="C880" s="12"/>
      <c r="D880" s="13"/>
      <c r="F880" s="14"/>
      <c r="G880" s="14"/>
      <c r="H880" s="14"/>
      <c r="I880" s="14"/>
      <c r="J880" s="14"/>
      <c r="K880" s="12"/>
    </row>
    <row r="881" ht="19.5" customHeight="1">
      <c r="A881" s="12"/>
      <c r="C881" s="12"/>
      <c r="D881" s="13"/>
      <c r="F881" s="14"/>
      <c r="G881" s="14"/>
      <c r="H881" s="14"/>
      <c r="I881" s="14"/>
      <c r="J881" s="14"/>
      <c r="K881" s="12"/>
    </row>
    <row r="882" ht="19.5" customHeight="1">
      <c r="A882" s="12"/>
      <c r="C882" s="12"/>
      <c r="D882" s="13"/>
      <c r="F882" s="14"/>
      <c r="G882" s="14"/>
      <c r="H882" s="14"/>
      <c r="I882" s="14"/>
      <c r="J882" s="14"/>
      <c r="K882" s="12"/>
    </row>
    <row r="883" ht="19.5" customHeight="1">
      <c r="A883" s="12"/>
      <c r="C883" s="12"/>
      <c r="D883" s="13"/>
      <c r="F883" s="14"/>
      <c r="G883" s="14"/>
      <c r="H883" s="14"/>
      <c r="I883" s="14"/>
      <c r="J883" s="14"/>
      <c r="K883" s="12"/>
    </row>
    <row r="884" ht="19.5" customHeight="1">
      <c r="A884" s="12"/>
      <c r="C884" s="12"/>
      <c r="D884" s="13"/>
      <c r="F884" s="14"/>
      <c r="G884" s="14"/>
      <c r="H884" s="14"/>
      <c r="I884" s="14"/>
      <c r="J884" s="14"/>
      <c r="K884" s="12"/>
    </row>
    <row r="885" ht="19.5" customHeight="1">
      <c r="A885" s="12"/>
      <c r="C885" s="12"/>
      <c r="D885" s="13"/>
      <c r="F885" s="14"/>
      <c r="G885" s="14"/>
      <c r="H885" s="14"/>
      <c r="I885" s="14"/>
      <c r="J885" s="14"/>
      <c r="K885" s="12"/>
    </row>
    <row r="886" ht="19.5" customHeight="1">
      <c r="A886" s="12"/>
      <c r="C886" s="12"/>
      <c r="D886" s="13"/>
      <c r="F886" s="14"/>
      <c r="G886" s="14"/>
      <c r="H886" s="14"/>
      <c r="I886" s="14"/>
      <c r="J886" s="14"/>
      <c r="K886" s="12"/>
    </row>
    <row r="887" ht="19.5" customHeight="1">
      <c r="A887" s="12"/>
      <c r="C887" s="12"/>
      <c r="D887" s="13"/>
      <c r="F887" s="14"/>
      <c r="G887" s="14"/>
      <c r="H887" s="14"/>
      <c r="I887" s="14"/>
      <c r="J887" s="14"/>
      <c r="K887" s="12"/>
    </row>
    <row r="888" ht="19.5" customHeight="1">
      <c r="A888" s="12"/>
      <c r="C888" s="12"/>
      <c r="D888" s="13"/>
      <c r="F888" s="14"/>
      <c r="G888" s="14"/>
      <c r="H888" s="14"/>
      <c r="I888" s="14"/>
      <c r="J888" s="14"/>
      <c r="K888" s="12"/>
    </row>
    <row r="889" ht="19.5" customHeight="1">
      <c r="A889" s="12"/>
      <c r="C889" s="12"/>
      <c r="D889" s="13"/>
      <c r="F889" s="14"/>
      <c r="G889" s="14"/>
      <c r="H889" s="14"/>
      <c r="I889" s="14"/>
      <c r="J889" s="14"/>
      <c r="K889" s="12"/>
    </row>
    <row r="890" ht="19.5" customHeight="1">
      <c r="A890" s="12"/>
      <c r="C890" s="12"/>
      <c r="D890" s="13"/>
      <c r="F890" s="14"/>
      <c r="G890" s="14"/>
      <c r="H890" s="14"/>
      <c r="I890" s="14"/>
      <c r="J890" s="14"/>
      <c r="K890" s="12"/>
    </row>
    <row r="891" ht="19.5" customHeight="1">
      <c r="A891" s="12"/>
      <c r="C891" s="12"/>
      <c r="D891" s="13"/>
      <c r="F891" s="14"/>
      <c r="G891" s="14"/>
      <c r="H891" s="14"/>
      <c r="I891" s="14"/>
      <c r="J891" s="14"/>
      <c r="K891" s="12"/>
    </row>
    <row r="892" ht="19.5" customHeight="1">
      <c r="A892" s="12"/>
      <c r="C892" s="12"/>
      <c r="D892" s="13"/>
      <c r="F892" s="14"/>
      <c r="G892" s="14"/>
      <c r="H892" s="14"/>
      <c r="I892" s="14"/>
      <c r="J892" s="14"/>
      <c r="K892" s="12"/>
    </row>
    <row r="893" ht="19.5" customHeight="1">
      <c r="A893" s="12"/>
      <c r="C893" s="12"/>
      <c r="D893" s="13"/>
      <c r="F893" s="14"/>
      <c r="G893" s="14"/>
      <c r="H893" s="14"/>
      <c r="I893" s="14"/>
      <c r="J893" s="14"/>
      <c r="K893" s="12"/>
    </row>
    <row r="894" ht="19.5" customHeight="1">
      <c r="A894" s="12"/>
      <c r="C894" s="12"/>
      <c r="D894" s="13"/>
      <c r="F894" s="14"/>
      <c r="G894" s="14"/>
      <c r="H894" s="14"/>
      <c r="I894" s="14"/>
      <c r="J894" s="14"/>
      <c r="K894" s="12"/>
    </row>
    <row r="895" ht="19.5" customHeight="1">
      <c r="A895" s="12"/>
      <c r="C895" s="12"/>
      <c r="D895" s="13"/>
      <c r="F895" s="14"/>
      <c r="G895" s="14"/>
      <c r="H895" s="14"/>
      <c r="I895" s="14"/>
      <c r="J895" s="14"/>
      <c r="K895" s="12"/>
    </row>
    <row r="896" ht="19.5" customHeight="1">
      <c r="A896" s="12"/>
      <c r="C896" s="12"/>
      <c r="D896" s="13"/>
      <c r="F896" s="14"/>
      <c r="G896" s="14"/>
      <c r="H896" s="14"/>
      <c r="I896" s="14"/>
      <c r="J896" s="14"/>
      <c r="K896" s="12"/>
    </row>
    <row r="897" ht="19.5" customHeight="1">
      <c r="A897" s="12"/>
      <c r="C897" s="12"/>
      <c r="D897" s="13"/>
      <c r="F897" s="14"/>
      <c r="G897" s="14"/>
      <c r="H897" s="14"/>
      <c r="I897" s="14"/>
      <c r="J897" s="14"/>
      <c r="K897" s="12"/>
    </row>
    <row r="898" ht="19.5" customHeight="1">
      <c r="A898" s="12"/>
      <c r="C898" s="12"/>
      <c r="D898" s="13"/>
      <c r="F898" s="14"/>
      <c r="G898" s="14"/>
      <c r="H898" s="14"/>
      <c r="I898" s="14"/>
      <c r="J898" s="14"/>
      <c r="K898" s="12"/>
    </row>
    <row r="899" ht="19.5" customHeight="1">
      <c r="A899" s="12"/>
      <c r="C899" s="12"/>
      <c r="D899" s="13"/>
      <c r="F899" s="14"/>
      <c r="G899" s="14"/>
      <c r="H899" s="14"/>
      <c r="I899" s="14"/>
      <c r="J899" s="14"/>
      <c r="K899" s="12"/>
    </row>
    <row r="900" ht="19.5" customHeight="1">
      <c r="A900" s="12"/>
      <c r="C900" s="12"/>
      <c r="D900" s="13"/>
      <c r="F900" s="14"/>
      <c r="G900" s="14"/>
      <c r="H900" s="14"/>
      <c r="I900" s="14"/>
      <c r="J900" s="14"/>
      <c r="K900" s="12"/>
    </row>
    <row r="901" ht="19.5" customHeight="1">
      <c r="A901" s="12"/>
      <c r="C901" s="12"/>
      <c r="D901" s="13"/>
      <c r="F901" s="14"/>
      <c r="G901" s="14"/>
      <c r="H901" s="14"/>
      <c r="I901" s="14"/>
      <c r="J901" s="14"/>
      <c r="K901" s="12"/>
    </row>
    <row r="902" ht="19.5" customHeight="1">
      <c r="A902" s="12"/>
      <c r="C902" s="12"/>
      <c r="D902" s="13"/>
      <c r="F902" s="14"/>
      <c r="G902" s="14"/>
      <c r="H902" s="14"/>
      <c r="I902" s="14"/>
      <c r="J902" s="14"/>
      <c r="K902" s="12"/>
    </row>
    <row r="903" ht="19.5" customHeight="1">
      <c r="A903" s="12"/>
      <c r="C903" s="12"/>
      <c r="D903" s="13"/>
      <c r="F903" s="14"/>
      <c r="G903" s="14"/>
      <c r="H903" s="14"/>
      <c r="I903" s="14"/>
      <c r="J903" s="14"/>
      <c r="K903" s="12"/>
    </row>
    <row r="904" ht="19.5" customHeight="1">
      <c r="A904" s="12"/>
      <c r="C904" s="12"/>
      <c r="D904" s="13"/>
      <c r="F904" s="14"/>
      <c r="G904" s="14"/>
      <c r="H904" s="14"/>
      <c r="I904" s="14"/>
      <c r="J904" s="14"/>
      <c r="K904" s="12"/>
    </row>
    <row r="905" ht="19.5" customHeight="1">
      <c r="A905" s="12"/>
      <c r="C905" s="12"/>
      <c r="D905" s="13"/>
      <c r="F905" s="14"/>
      <c r="G905" s="14"/>
      <c r="H905" s="14"/>
      <c r="I905" s="14"/>
      <c r="J905" s="14"/>
      <c r="K905" s="12"/>
    </row>
    <row r="906" ht="19.5" customHeight="1">
      <c r="A906" s="12"/>
      <c r="C906" s="12"/>
      <c r="D906" s="13"/>
      <c r="F906" s="14"/>
      <c r="G906" s="14"/>
      <c r="H906" s="14"/>
      <c r="I906" s="14"/>
      <c r="J906" s="14"/>
      <c r="K906" s="12"/>
    </row>
    <row r="907" ht="19.5" customHeight="1">
      <c r="A907" s="12"/>
      <c r="C907" s="12"/>
      <c r="D907" s="13"/>
      <c r="F907" s="14"/>
      <c r="G907" s="14"/>
      <c r="H907" s="14"/>
      <c r="I907" s="14"/>
      <c r="J907" s="14"/>
      <c r="K907" s="12"/>
    </row>
    <row r="908" ht="19.5" customHeight="1">
      <c r="A908" s="12"/>
      <c r="C908" s="12"/>
      <c r="D908" s="13"/>
      <c r="F908" s="14"/>
      <c r="G908" s="14"/>
      <c r="H908" s="14"/>
      <c r="I908" s="14"/>
      <c r="J908" s="14"/>
      <c r="K908" s="12"/>
    </row>
    <row r="909" ht="19.5" customHeight="1">
      <c r="A909" s="12"/>
      <c r="C909" s="12"/>
      <c r="D909" s="13"/>
      <c r="F909" s="14"/>
      <c r="G909" s="14"/>
      <c r="H909" s="14"/>
      <c r="I909" s="14"/>
      <c r="J909" s="14"/>
      <c r="K909" s="12"/>
    </row>
    <row r="910" ht="19.5" customHeight="1">
      <c r="A910" s="12"/>
      <c r="C910" s="12"/>
      <c r="D910" s="13"/>
      <c r="F910" s="14"/>
      <c r="G910" s="14"/>
      <c r="H910" s="14"/>
      <c r="I910" s="14"/>
      <c r="J910" s="14"/>
      <c r="K910" s="12"/>
    </row>
    <row r="911" ht="19.5" customHeight="1">
      <c r="A911" s="12"/>
      <c r="C911" s="12"/>
      <c r="D911" s="13"/>
      <c r="F911" s="14"/>
      <c r="G911" s="14"/>
      <c r="H911" s="14"/>
      <c r="I911" s="14"/>
      <c r="J911" s="14"/>
      <c r="K911" s="12"/>
    </row>
    <row r="912" ht="19.5" customHeight="1">
      <c r="A912" s="12"/>
      <c r="C912" s="12"/>
      <c r="D912" s="13"/>
      <c r="F912" s="14"/>
      <c r="G912" s="14"/>
      <c r="H912" s="14"/>
      <c r="I912" s="14"/>
      <c r="J912" s="14"/>
      <c r="K912" s="12"/>
    </row>
    <row r="913" ht="19.5" customHeight="1">
      <c r="A913" s="12"/>
      <c r="C913" s="12"/>
      <c r="D913" s="13"/>
      <c r="F913" s="14"/>
      <c r="G913" s="14"/>
      <c r="H913" s="14"/>
      <c r="I913" s="14"/>
      <c r="J913" s="14"/>
      <c r="K913" s="12"/>
    </row>
    <row r="914" ht="19.5" customHeight="1">
      <c r="A914" s="12"/>
      <c r="C914" s="12"/>
      <c r="D914" s="13"/>
      <c r="F914" s="14"/>
      <c r="G914" s="14"/>
      <c r="H914" s="14"/>
      <c r="I914" s="14"/>
      <c r="J914" s="14"/>
      <c r="K914" s="12"/>
    </row>
    <row r="915" ht="19.5" customHeight="1">
      <c r="A915" s="12"/>
      <c r="C915" s="12"/>
      <c r="D915" s="13"/>
      <c r="F915" s="14"/>
      <c r="G915" s="14"/>
      <c r="H915" s="14"/>
      <c r="I915" s="14"/>
      <c r="J915" s="14"/>
      <c r="K915" s="12"/>
    </row>
    <row r="916" ht="19.5" customHeight="1">
      <c r="A916" s="12"/>
      <c r="C916" s="12"/>
      <c r="D916" s="13"/>
      <c r="F916" s="14"/>
      <c r="G916" s="14"/>
      <c r="H916" s="14"/>
      <c r="I916" s="14"/>
      <c r="J916" s="14"/>
      <c r="K916" s="12"/>
    </row>
    <row r="917" ht="19.5" customHeight="1">
      <c r="A917" s="12"/>
      <c r="C917" s="12"/>
      <c r="D917" s="13"/>
      <c r="F917" s="14"/>
      <c r="G917" s="14"/>
      <c r="H917" s="14"/>
      <c r="I917" s="14"/>
      <c r="J917" s="14"/>
      <c r="K917" s="12"/>
    </row>
    <row r="918" ht="19.5" customHeight="1">
      <c r="A918" s="12"/>
      <c r="C918" s="12"/>
      <c r="D918" s="13"/>
      <c r="F918" s="14"/>
      <c r="G918" s="14"/>
      <c r="H918" s="14"/>
      <c r="I918" s="14"/>
      <c r="J918" s="14"/>
      <c r="K918" s="12"/>
    </row>
    <row r="919" ht="19.5" customHeight="1">
      <c r="A919" s="12"/>
      <c r="C919" s="12"/>
      <c r="D919" s="13"/>
      <c r="F919" s="14"/>
      <c r="G919" s="14"/>
      <c r="H919" s="14"/>
      <c r="I919" s="14"/>
      <c r="J919" s="14"/>
      <c r="K919" s="12"/>
    </row>
    <row r="920" ht="19.5" customHeight="1">
      <c r="A920" s="12"/>
      <c r="C920" s="12"/>
      <c r="D920" s="13"/>
      <c r="F920" s="14"/>
      <c r="G920" s="14"/>
      <c r="H920" s="14"/>
      <c r="I920" s="14"/>
      <c r="J920" s="14"/>
      <c r="K920" s="12"/>
    </row>
    <row r="921" ht="19.5" customHeight="1">
      <c r="A921" s="12"/>
      <c r="C921" s="12"/>
      <c r="D921" s="13"/>
      <c r="F921" s="14"/>
      <c r="G921" s="14"/>
      <c r="H921" s="14"/>
      <c r="I921" s="14"/>
      <c r="J921" s="14"/>
      <c r="K921" s="12"/>
    </row>
    <row r="922" ht="19.5" customHeight="1">
      <c r="A922" s="12"/>
      <c r="C922" s="12"/>
      <c r="D922" s="13"/>
      <c r="F922" s="14"/>
      <c r="G922" s="14"/>
      <c r="H922" s="14"/>
      <c r="I922" s="14"/>
      <c r="J922" s="14"/>
      <c r="K922" s="12"/>
    </row>
    <row r="923" ht="19.5" customHeight="1">
      <c r="A923" s="12"/>
      <c r="C923" s="12"/>
      <c r="D923" s="13"/>
      <c r="F923" s="14"/>
      <c r="G923" s="14"/>
      <c r="H923" s="14"/>
      <c r="I923" s="14"/>
      <c r="J923" s="14"/>
      <c r="K923" s="12"/>
    </row>
    <row r="924" ht="19.5" customHeight="1">
      <c r="A924" s="12"/>
      <c r="C924" s="12"/>
      <c r="D924" s="13"/>
      <c r="F924" s="14"/>
      <c r="G924" s="14"/>
      <c r="H924" s="14"/>
      <c r="I924" s="14"/>
      <c r="J924" s="14"/>
      <c r="K924" s="12"/>
    </row>
    <row r="925" ht="19.5" customHeight="1">
      <c r="A925" s="12"/>
      <c r="C925" s="12"/>
      <c r="D925" s="13"/>
      <c r="F925" s="14"/>
      <c r="G925" s="14"/>
      <c r="H925" s="14"/>
      <c r="I925" s="14"/>
      <c r="J925" s="14"/>
      <c r="K925" s="12"/>
    </row>
    <row r="926" ht="19.5" customHeight="1">
      <c r="A926" s="12"/>
      <c r="C926" s="12"/>
      <c r="D926" s="13"/>
      <c r="F926" s="14"/>
      <c r="G926" s="14"/>
      <c r="H926" s="14"/>
      <c r="I926" s="14"/>
      <c r="J926" s="14"/>
      <c r="K926" s="12"/>
    </row>
    <row r="927" ht="19.5" customHeight="1">
      <c r="A927" s="12"/>
      <c r="C927" s="12"/>
      <c r="D927" s="13"/>
      <c r="F927" s="14"/>
      <c r="G927" s="14"/>
      <c r="H927" s="14"/>
      <c r="I927" s="14"/>
      <c r="J927" s="14"/>
      <c r="K927" s="12"/>
    </row>
    <row r="928" ht="19.5" customHeight="1">
      <c r="A928" s="12"/>
      <c r="C928" s="12"/>
      <c r="D928" s="13"/>
      <c r="F928" s="14"/>
      <c r="G928" s="14"/>
      <c r="H928" s="14"/>
      <c r="I928" s="14"/>
      <c r="J928" s="14"/>
      <c r="K928" s="12"/>
    </row>
    <row r="929" ht="19.5" customHeight="1">
      <c r="A929" s="12"/>
      <c r="C929" s="12"/>
      <c r="D929" s="13"/>
      <c r="F929" s="14"/>
      <c r="G929" s="14"/>
      <c r="H929" s="14"/>
      <c r="I929" s="14"/>
      <c r="J929" s="14"/>
      <c r="K929" s="12"/>
    </row>
    <row r="930" ht="19.5" customHeight="1">
      <c r="A930" s="12"/>
      <c r="C930" s="12"/>
      <c r="D930" s="13"/>
      <c r="F930" s="14"/>
      <c r="G930" s="14"/>
      <c r="H930" s="14"/>
      <c r="I930" s="14"/>
      <c r="J930" s="14"/>
      <c r="K930" s="12"/>
    </row>
    <row r="931" ht="19.5" customHeight="1">
      <c r="A931" s="12"/>
      <c r="C931" s="12"/>
      <c r="D931" s="13"/>
      <c r="F931" s="14"/>
      <c r="G931" s="14"/>
      <c r="H931" s="14"/>
      <c r="I931" s="14"/>
      <c r="J931" s="14"/>
      <c r="K931" s="12"/>
    </row>
    <row r="932" ht="19.5" customHeight="1">
      <c r="A932" s="12"/>
      <c r="C932" s="12"/>
      <c r="D932" s="13"/>
      <c r="F932" s="14"/>
      <c r="G932" s="14"/>
      <c r="H932" s="14"/>
      <c r="I932" s="14"/>
      <c r="J932" s="14"/>
      <c r="K932" s="12"/>
    </row>
    <row r="933" ht="19.5" customHeight="1">
      <c r="A933" s="12"/>
      <c r="C933" s="12"/>
      <c r="D933" s="13"/>
      <c r="F933" s="14"/>
      <c r="G933" s="14"/>
      <c r="H933" s="14"/>
      <c r="I933" s="14"/>
      <c r="J933" s="14"/>
      <c r="K933" s="12"/>
    </row>
    <row r="934" ht="19.5" customHeight="1">
      <c r="A934" s="12"/>
      <c r="C934" s="12"/>
      <c r="D934" s="13"/>
      <c r="F934" s="14"/>
      <c r="G934" s="14"/>
      <c r="H934" s="14"/>
      <c r="I934" s="14"/>
      <c r="J934" s="14"/>
      <c r="K934" s="12"/>
    </row>
    <row r="935" ht="19.5" customHeight="1">
      <c r="A935" s="12"/>
      <c r="C935" s="12"/>
      <c r="D935" s="13"/>
      <c r="F935" s="14"/>
      <c r="G935" s="14"/>
      <c r="H935" s="14"/>
      <c r="I935" s="14"/>
      <c r="J935" s="14"/>
      <c r="K935" s="12"/>
    </row>
    <row r="936" ht="19.5" customHeight="1">
      <c r="A936" s="12"/>
      <c r="C936" s="12"/>
      <c r="D936" s="13"/>
      <c r="F936" s="14"/>
      <c r="G936" s="14"/>
      <c r="H936" s="14"/>
      <c r="I936" s="14"/>
      <c r="J936" s="14"/>
      <c r="K936" s="12"/>
    </row>
    <row r="937" ht="19.5" customHeight="1">
      <c r="A937" s="12"/>
      <c r="C937" s="12"/>
      <c r="D937" s="13"/>
      <c r="F937" s="14"/>
      <c r="G937" s="14"/>
      <c r="H937" s="14"/>
      <c r="I937" s="14"/>
      <c r="J937" s="14"/>
      <c r="K937" s="12"/>
    </row>
    <row r="938" ht="19.5" customHeight="1">
      <c r="A938" s="12"/>
      <c r="C938" s="12"/>
      <c r="D938" s="13"/>
      <c r="F938" s="14"/>
      <c r="G938" s="14"/>
      <c r="H938" s="14"/>
      <c r="I938" s="14"/>
      <c r="J938" s="14"/>
      <c r="K938" s="12"/>
    </row>
    <row r="939" ht="19.5" customHeight="1">
      <c r="A939" s="12"/>
      <c r="C939" s="12"/>
      <c r="D939" s="13"/>
      <c r="F939" s="14"/>
      <c r="G939" s="14"/>
      <c r="H939" s="14"/>
      <c r="I939" s="14"/>
      <c r="J939" s="14"/>
      <c r="K939" s="12"/>
    </row>
    <row r="940" ht="19.5" customHeight="1">
      <c r="A940" s="12"/>
      <c r="C940" s="12"/>
      <c r="D940" s="13"/>
      <c r="F940" s="14"/>
      <c r="G940" s="14"/>
      <c r="H940" s="14"/>
      <c r="I940" s="14"/>
      <c r="J940" s="14"/>
      <c r="K940" s="12"/>
    </row>
    <row r="941" ht="19.5" customHeight="1">
      <c r="A941" s="12"/>
      <c r="C941" s="12"/>
      <c r="D941" s="13"/>
      <c r="F941" s="14"/>
      <c r="G941" s="14"/>
      <c r="H941" s="14"/>
      <c r="I941" s="14"/>
      <c r="J941" s="14"/>
      <c r="K941" s="12"/>
    </row>
    <row r="942" ht="19.5" customHeight="1">
      <c r="A942" s="12"/>
      <c r="C942" s="12"/>
      <c r="D942" s="13"/>
      <c r="F942" s="14"/>
      <c r="G942" s="14"/>
      <c r="H942" s="14"/>
      <c r="I942" s="14"/>
      <c r="J942" s="14"/>
      <c r="K942" s="12"/>
    </row>
    <row r="943" ht="19.5" customHeight="1">
      <c r="A943" s="12"/>
      <c r="C943" s="12"/>
      <c r="D943" s="13"/>
      <c r="F943" s="14"/>
      <c r="G943" s="14"/>
      <c r="H943" s="14"/>
      <c r="I943" s="14"/>
      <c r="J943" s="14"/>
      <c r="K943" s="12"/>
    </row>
    <row r="944" ht="19.5" customHeight="1">
      <c r="A944" s="12"/>
      <c r="C944" s="12"/>
      <c r="D944" s="13"/>
      <c r="F944" s="14"/>
      <c r="G944" s="14"/>
      <c r="H944" s="14"/>
      <c r="I944" s="14"/>
      <c r="J944" s="14"/>
      <c r="K944" s="12"/>
    </row>
    <row r="945" ht="19.5" customHeight="1">
      <c r="A945" s="12"/>
      <c r="C945" s="12"/>
      <c r="D945" s="13"/>
      <c r="F945" s="14"/>
      <c r="G945" s="14"/>
      <c r="H945" s="14"/>
      <c r="I945" s="14"/>
      <c r="J945" s="14"/>
      <c r="K945" s="12"/>
    </row>
    <row r="946" ht="19.5" customHeight="1">
      <c r="A946" s="12"/>
      <c r="C946" s="12"/>
      <c r="D946" s="13"/>
      <c r="F946" s="14"/>
      <c r="G946" s="14"/>
      <c r="H946" s="14"/>
      <c r="I946" s="14"/>
      <c r="J946" s="14"/>
      <c r="K946" s="12"/>
    </row>
    <row r="947" ht="19.5" customHeight="1">
      <c r="A947" s="12"/>
      <c r="C947" s="12"/>
      <c r="D947" s="13"/>
      <c r="F947" s="14"/>
      <c r="G947" s="14"/>
      <c r="H947" s="14"/>
      <c r="I947" s="14"/>
      <c r="J947" s="14"/>
      <c r="K947" s="12"/>
    </row>
    <row r="948" ht="19.5" customHeight="1">
      <c r="A948" s="12"/>
      <c r="C948" s="12"/>
      <c r="D948" s="13"/>
      <c r="F948" s="14"/>
      <c r="G948" s="14"/>
      <c r="H948" s="14"/>
      <c r="I948" s="14"/>
      <c r="J948" s="14"/>
      <c r="K948" s="12"/>
    </row>
    <row r="949" ht="19.5" customHeight="1">
      <c r="A949" s="12"/>
      <c r="C949" s="12"/>
      <c r="D949" s="13"/>
      <c r="F949" s="14"/>
      <c r="G949" s="14"/>
      <c r="H949" s="14"/>
      <c r="I949" s="14"/>
      <c r="J949" s="14"/>
      <c r="K949" s="12"/>
    </row>
    <row r="950" ht="19.5" customHeight="1">
      <c r="A950" s="12"/>
      <c r="C950" s="12"/>
      <c r="D950" s="13"/>
      <c r="F950" s="14"/>
      <c r="G950" s="14"/>
      <c r="H950" s="14"/>
      <c r="I950" s="14"/>
      <c r="J950" s="14"/>
      <c r="K950" s="12"/>
    </row>
    <row r="951" ht="19.5" customHeight="1">
      <c r="A951" s="12"/>
      <c r="C951" s="12"/>
      <c r="D951" s="13"/>
      <c r="F951" s="14"/>
      <c r="G951" s="14"/>
      <c r="H951" s="14"/>
      <c r="I951" s="14"/>
      <c r="J951" s="14"/>
      <c r="K951" s="12"/>
    </row>
    <row r="952" ht="19.5" customHeight="1">
      <c r="A952" s="12"/>
      <c r="C952" s="12"/>
      <c r="D952" s="13"/>
      <c r="F952" s="14"/>
      <c r="G952" s="14"/>
      <c r="H952" s="14"/>
      <c r="I952" s="14"/>
      <c r="J952" s="14"/>
      <c r="K952" s="12"/>
    </row>
    <row r="953" ht="19.5" customHeight="1">
      <c r="A953" s="12"/>
      <c r="C953" s="12"/>
      <c r="D953" s="13"/>
      <c r="F953" s="14"/>
      <c r="G953" s="14"/>
      <c r="H953" s="14"/>
      <c r="I953" s="14"/>
      <c r="J953" s="14"/>
      <c r="K953" s="12"/>
    </row>
    <row r="954" ht="19.5" customHeight="1">
      <c r="A954" s="12"/>
      <c r="C954" s="12"/>
      <c r="D954" s="13"/>
      <c r="F954" s="14"/>
      <c r="G954" s="14"/>
      <c r="H954" s="14"/>
      <c r="I954" s="14"/>
      <c r="J954" s="14"/>
      <c r="K954" s="12"/>
    </row>
    <row r="955" ht="19.5" customHeight="1">
      <c r="A955" s="12"/>
      <c r="C955" s="12"/>
      <c r="D955" s="13"/>
      <c r="F955" s="14"/>
      <c r="G955" s="14"/>
      <c r="H955" s="14"/>
      <c r="I955" s="14"/>
      <c r="J955" s="14"/>
      <c r="K955" s="12"/>
    </row>
    <row r="956" ht="19.5" customHeight="1">
      <c r="A956" s="12"/>
      <c r="C956" s="12"/>
      <c r="D956" s="13"/>
      <c r="F956" s="14"/>
      <c r="G956" s="14"/>
      <c r="H956" s="14"/>
      <c r="I956" s="14"/>
      <c r="J956" s="14"/>
      <c r="K956" s="12"/>
    </row>
    <row r="957" ht="19.5" customHeight="1">
      <c r="A957" s="12"/>
      <c r="C957" s="12"/>
      <c r="D957" s="13"/>
      <c r="F957" s="14"/>
      <c r="G957" s="14"/>
      <c r="H957" s="14"/>
      <c r="I957" s="14"/>
      <c r="J957" s="14"/>
      <c r="K957" s="12"/>
    </row>
    <row r="958" ht="19.5" customHeight="1">
      <c r="A958" s="12"/>
      <c r="C958" s="12"/>
      <c r="D958" s="13"/>
      <c r="F958" s="14"/>
      <c r="G958" s="14"/>
      <c r="H958" s="14"/>
      <c r="I958" s="14"/>
      <c r="J958" s="14"/>
      <c r="K958" s="12"/>
    </row>
    <row r="959" ht="19.5" customHeight="1">
      <c r="A959" s="12"/>
      <c r="C959" s="12"/>
      <c r="D959" s="13"/>
      <c r="F959" s="14"/>
      <c r="G959" s="14"/>
      <c r="H959" s="14"/>
      <c r="I959" s="14"/>
      <c r="J959" s="14"/>
      <c r="K959" s="12"/>
    </row>
    <row r="960" ht="19.5" customHeight="1">
      <c r="A960" s="12"/>
      <c r="C960" s="12"/>
      <c r="D960" s="13"/>
      <c r="F960" s="14"/>
      <c r="G960" s="14"/>
      <c r="H960" s="14"/>
      <c r="I960" s="14"/>
      <c r="J960" s="14"/>
      <c r="K960" s="12"/>
    </row>
    <row r="961" ht="19.5" customHeight="1">
      <c r="A961" s="12"/>
      <c r="C961" s="12"/>
      <c r="D961" s="13"/>
      <c r="F961" s="14"/>
      <c r="G961" s="14"/>
      <c r="H961" s="14"/>
      <c r="I961" s="14"/>
      <c r="J961" s="14"/>
      <c r="K961" s="12"/>
    </row>
    <row r="962" ht="19.5" customHeight="1">
      <c r="A962" s="12"/>
      <c r="C962" s="12"/>
      <c r="D962" s="13"/>
      <c r="F962" s="14"/>
      <c r="G962" s="14"/>
      <c r="H962" s="14"/>
      <c r="I962" s="14"/>
      <c r="J962" s="14"/>
      <c r="K962" s="12"/>
    </row>
    <row r="963" ht="19.5" customHeight="1">
      <c r="A963" s="12"/>
      <c r="C963" s="12"/>
      <c r="D963" s="13"/>
      <c r="F963" s="14"/>
      <c r="G963" s="14"/>
      <c r="H963" s="14"/>
      <c r="I963" s="14"/>
      <c r="J963" s="14"/>
      <c r="K963" s="12"/>
    </row>
    <row r="964" ht="19.5" customHeight="1">
      <c r="A964" s="12"/>
      <c r="C964" s="12"/>
      <c r="D964" s="13"/>
      <c r="F964" s="14"/>
      <c r="G964" s="14"/>
      <c r="H964" s="14"/>
      <c r="I964" s="14"/>
      <c r="J964" s="14"/>
      <c r="K964" s="12"/>
    </row>
    <row r="965" ht="19.5" customHeight="1">
      <c r="A965" s="12"/>
      <c r="C965" s="12"/>
      <c r="D965" s="13"/>
      <c r="F965" s="14"/>
      <c r="G965" s="14"/>
      <c r="H965" s="14"/>
      <c r="I965" s="14"/>
      <c r="J965" s="14"/>
      <c r="K965" s="12"/>
    </row>
    <row r="966" ht="19.5" customHeight="1">
      <c r="A966" s="12"/>
      <c r="C966" s="12"/>
      <c r="D966" s="13"/>
      <c r="F966" s="14"/>
      <c r="G966" s="14"/>
      <c r="H966" s="14"/>
      <c r="I966" s="14"/>
      <c r="J966" s="14"/>
      <c r="K966" s="12"/>
    </row>
    <row r="967" ht="19.5" customHeight="1">
      <c r="A967" s="12"/>
      <c r="C967" s="12"/>
      <c r="D967" s="13"/>
      <c r="F967" s="14"/>
      <c r="G967" s="14"/>
      <c r="H967" s="14"/>
      <c r="I967" s="14"/>
      <c r="J967" s="14"/>
      <c r="K967" s="12"/>
    </row>
    <row r="968" ht="19.5" customHeight="1">
      <c r="A968" s="12"/>
      <c r="C968" s="12"/>
      <c r="D968" s="13"/>
      <c r="F968" s="14"/>
      <c r="G968" s="14"/>
      <c r="H968" s="14"/>
      <c r="I968" s="14"/>
      <c r="J968" s="14"/>
      <c r="K968" s="12"/>
    </row>
    <row r="969" ht="19.5" customHeight="1">
      <c r="A969" s="12"/>
      <c r="C969" s="12"/>
      <c r="D969" s="13"/>
      <c r="F969" s="14"/>
      <c r="G969" s="14"/>
      <c r="H969" s="14"/>
      <c r="I969" s="14"/>
      <c r="J969" s="14"/>
      <c r="K969" s="12"/>
    </row>
    <row r="970" ht="19.5" customHeight="1">
      <c r="A970" s="12"/>
      <c r="C970" s="12"/>
      <c r="D970" s="13"/>
      <c r="F970" s="14"/>
      <c r="G970" s="14"/>
      <c r="H970" s="14"/>
      <c r="I970" s="14"/>
      <c r="J970" s="14"/>
      <c r="K970" s="12"/>
    </row>
    <row r="971" ht="19.5" customHeight="1">
      <c r="A971" s="12"/>
      <c r="C971" s="12"/>
      <c r="D971" s="13"/>
      <c r="F971" s="14"/>
      <c r="G971" s="14"/>
      <c r="H971" s="14"/>
      <c r="I971" s="14"/>
      <c r="J971" s="14"/>
      <c r="K971" s="12"/>
    </row>
    <row r="972" ht="19.5" customHeight="1">
      <c r="A972" s="12"/>
      <c r="C972" s="12"/>
      <c r="D972" s="13"/>
      <c r="F972" s="14"/>
      <c r="G972" s="14"/>
      <c r="H972" s="14"/>
      <c r="I972" s="14"/>
      <c r="J972" s="14"/>
      <c r="K972" s="12"/>
    </row>
    <row r="973" ht="19.5" customHeight="1">
      <c r="A973" s="12"/>
      <c r="C973" s="12"/>
      <c r="D973" s="13"/>
      <c r="F973" s="14"/>
      <c r="G973" s="14"/>
      <c r="H973" s="14"/>
      <c r="I973" s="14"/>
      <c r="J973" s="14"/>
      <c r="K973" s="12"/>
    </row>
    <row r="974" ht="19.5" customHeight="1">
      <c r="A974" s="12"/>
      <c r="C974" s="12"/>
      <c r="D974" s="13"/>
      <c r="F974" s="14"/>
      <c r="G974" s="14"/>
      <c r="H974" s="14"/>
      <c r="I974" s="14"/>
      <c r="J974" s="14"/>
      <c r="K974" s="12"/>
    </row>
    <row r="975" ht="19.5" customHeight="1">
      <c r="A975" s="12"/>
      <c r="C975" s="12"/>
      <c r="D975" s="13"/>
      <c r="F975" s="14"/>
      <c r="G975" s="14"/>
      <c r="H975" s="14"/>
      <c r="I975" s="14"/>
      <c r="J975" s="14"/>
      <c r="K975" s="12"/>
    </row>
    <row r="976" ht="19.5" customHeight="1">
      <c r="A976" s="12"/>
      <c r="C976" s="12"/>
      <c r="D976" s="13"/>
      <c r="F976" s="14"/>
      <c r="G976" s="14"/>
      <c r="H976" s="14"/>
      <c r="I976" s="14"/>
      <c r="J976" s="14"/>
      <c r="K976" s="12"/>
    </row>
    <row r="977" ht="19.5" customHeight="1">
      <c r="A977" s="12"/>
      <c r="C977" s="12"/>
      <c r="D977" s="13"/>
      <c r="F977" s="14"/>
      <c r="G977" s="14"/>
      <c r="H977" s="14"/>
      <c r="I977" s="14"/>
      <c r="J977" s="14"/>
      <c r="K977" s="12"/>
    </row>
    <row r="978" ht="19.5" customHeight="1">
      <c r="A978" s="12"/>
      <c r="C978" s="12"/>
      <c r="D978" s="13"/>
      <c r="F978" s="14"/>
      <c r="G978" s="14"/>
      <c r="H978" s="14"/>
      <c r="I978" s="14"/>
      <c r="J978" s="14"/>
      <c r="K978" s="12"/>
    </row>
  </sheetData>
  <mergeCells count="10">
    <mergeCell ref="E9:G9"/>
    <mergeCell ref="J9:J10"/>
    <mergeCell ref="A6:K6"/>
    <mergeCell ref="A7:K7"/>
    <mergeCell ref="A8:K8"/>
    <mergeCell ref="A9:A10"/>
    <mergeCell ref="B9:B10"/>
    <mergeCell ref="C9:C10"/>
    <mergeCell ref="D9:D10"/>
    <mergeCell ref="K9:K10"/>
  </mergeCells>
  <printOptions/>
  <pageMargins bottom="0.787401575" footer="0.0" header="0.0" left="0.511811024" right="0.511811024" top="0.787401575"/>
  <pageSetup paperSize="9" scale="60" orientation="landscape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57.13"/>
    <col customWidth="1" min="3" max="3" width="9.13"/>
    <col customWidth="1" min="4" max="4" width="16.25"/>
    <col customWidth="1" min="5" max="5" width="25.0"/>
    <col customWidth="1" min="6" max="6" width="22.25"/>
    <col customWidth="1" min="7" max="8" width="23.88"/>
    <col customWidth="1" min="9" max="9" width="23.63"/>
    <col customWidth="1" min="10" max="10" width="20.63"/>
    <col customWidth="1" min="11" max="11" width="39.0"/>
    <col customWidth="1" min="12" max="26" width="8.63"/>
  </cols>
  <sheetData>
    <row r="1" ht="19.5" customHeight="1">
      <c r="A1" s="4"/>
      <c r="B1" s="5"/>
      <c r="C1" s="6"/>
      <c r="D1" s="7"/>
      <c r="E1" s="5"/>
      <c r="F1" s="8"/>
      <c r="G1" s="8"/>
      <c r="H1" s="8"/>
      <c r="I1" s="8"/>
      <c r="J1" s="8"/>
      <c r="K1" s="9"/>
    </row>
    <row r="2" ht="19.5" customHeight="1">
      <c r="A2" s="10" t="s">
        <v>83</v>
      </c>
      <c r="B2" s="11" t="s">
        <v>84</v>
      </c>
      <c r="C2" s="12"/>
      <c r="D2" s="13"/>
      <c r="F2" s="14"/>
      <c r="G2" s="14"/>
      <c r="H2" s="14"/>
      <c r="I2" s="14"/>
      <c r="J2" s="17" t="s">
        <v>144</v>
      </c>
      <c r="K2" s="18"/>
    </row>
    <row r="3" ht="19.5" customHeight="1">
      <c r="A3" s="10" t="s">
        <v>86</v>
      </c>
      <c r="B3" s="11" t="s">
        <v>87</v>
      </c>
      <c r="C3" s="12"/>
      <c r="D3" s="13"/>
      <c r="F3" s="14"/>
      <c r="G3" s="14"/>
      <c r="H3" s="14"/>
      <c r="I3" s="14"/>
      <c r="J3" s="14"/>
      <c r="K3" s="18"/>
    </row>
    <row r="4" ht="19.5" customHeight="1">
      <c r="A4" s="19"/>
      <c r="C4" s="12"/>
      <c r="D4" s="13"/>
      <c r="F4" s="14"/>
      <c r="G4" s="14"/>
      <c r="H4" s="14"/>
      <c r="I4" s="14"/>
      <c r="J4" s="14"/>
      <c r="K4" s="18"/>
    </row>
    <row r="5" ht="19.5" customHeight="1">
      <c r="A5" s="19"/>
      <c r="C5" s="12"/>
      <c r="D5" s="13"/>
      <c r="F5" s="14"/>
      <c r="G5" s="14"/>
      <c r="H5" s="14"/>
      <c r="I5" s="14"/>
      <c r="J5" s="14"/>
      <c r="K5" s="18"/>
    </row>
    <row r="6" ht="159.0" customHeight="1">
      <c r="A6" s="20" t="s">
        <v>1887</v>
      </c>
      <c r="K6" s="21"/>
    </row>
    <row r="7" ht="64.5" customHeight="1">
      <c r="A7" s="22" t="s">
        <v>1888</v>
      </c>
      <c r="K7" s="21"/>
    </row>
    <row r="8" ht="42.0" customHeight="1">
      <c r="A8" s="88" t="s">
        <v>90</v>
      </c>
      <c r="B8" s="24"/>
      <c r="C8" s="24"/>
      <c r="D8" s="24"/>
      <c r="E8" s="24"/>
      <c r="F8" s="24"/>
      <c r="G8" s="24"/>
      <c r="H8" s="24"/>
      <c r="I8" s="24"/>
      <c r="J8" s="24"/>
      <c r="K8" s="25"/>
    </row>
    <row r="9" ht="19.5" customHeight="1">
      <c r="A9" s="26" t="s">
        <v>1</v>
      </c>
      <c r="B9" s="26" t="s">
        <v>91</v>
      </c>
      <c r="C9" s="26" t="s">
        <v>92</v>
      </c>
      <c r="D9" s="26" t="s">
        <v>93</v>
      </c>
      <c r="E9" s="27" t="s">
        <v>94</v>
      </c>
      <c r="F9" s="28"/>
      <c r="G9" s="29"/>
      <c r="H9" s="30"/>
      <c r="I9" s="30"/>
      <c r="J9" s="31" t="s">
        <v>95</v>
      </c>
      <c r="K9" s="26" t="s">
        <v>96</v>
      </c>
    </row>
    <row r="10" ht="19.5" customHeight="1">
      <c r="A10" s="32"/>
      <c r="B10" s="32"/>
      <c r="C10" s="32"/>
      <c r="D10" s="32"/>
      <c r="E10" s="33" t="s">
        <v>97</v>
      </c>
      <c r="F10" s="34" t="s">
        <v>121</v>
      </c>
      <c r="G10" s="34" t="s">
        <v>99</v>
      </c>
      <c r="H10" s="35" t="s">
        <v>100</v>
      </c>
      <c r="I10" s="35" t="s">
        <v>101</v>
      </c>
      <c r="J10" s="32"/>
      <c r="K10" s="32"/>
    </row>
    <row r="11" ht="19.5" customHeight="1">
      <c r="A11" s="46">
        <v>1.0</v>
      </c>
      <c r="B11" s="37" t="s">
        <v>147</v>
      </c>
      <c r="C11" s="46" t="s">
        <v>148</v>
      </c>
      <c r="D11" s="78">
        <v>4.0</v>
      </c>
      <c r="E11" s="37">
        <v>2.0</v>
      </c>
      <c r="F11" s="40">
        <v>4.0</v>
      </c>
      <c r="G11" s="40">
        <v>4.0</v>
      </c>
      <c r="H11" s="40">
        <f>G11*F11*E11*D11</f>
        <v>128</v>
      </c>
      <c r="I11" s="42"/>
      <c r="J11" s="43">
        <f t="shared" ref="J11:J13" si="1">H11-I11</f>
        <v>128</v>
      </c>
      <c r="K11" s="46"/>
    </row>
    <row r="12" ht="19.5" customHeight="1">
      <c r="A12" s="46"/>
      <c r="B12" s="37"/>
      <c r="C12" s="46"/>
      <c r="D12" s="78"/>
      <c r="E12" s="37"/>
      <c r="F12" s="40"/>
      <c r="G12" s="40" t="s">
        <v>1858</v>
      </c>
      <c r="H12" s="40"/>
      <c r="I12" s="42"/>
      <c r="J12" s="43">
        <f t="shared" si="1"/>
        <v>0</v>
      </c>
      <c r="K12" s="79"/>
    </row>
    <row r="13" ht="19.5" customHeight="1">
      <c r="A13" s="46"/>
      <c r="B13" s="37"/>
      <c r="C13" s="46"/>
      <c r="D13" s="78"/>
      <c r="E13" s="37"/>
      <c r="F13" s="40"/>
      <c r="G13" s="40"/>
      <c r="H13" s="40"/>
      <c r="I13" s="42"/>
      <c r="J13" s="43">
        <f t="shared" si="1"/>
        <v>0</v>
      </c>
      <c r="K13" s="79"/>
    </row>
    <row r="14" ht="19.5" customHeight="1">
      <c r="A14" s="74" t="s">
        <v>1</v>
      </c>
      <c r="B14" s="74" t="s">
        <v>91</v>
      </c>
      <c r="C14" s="74" t="s">
        <v>92</v>
      </c>
      <c r="D14" s="74" t="s">
        <v>93</v>
      </c>
      <c r="E14" s="50" t="s">
        <v>97</v>
      </c>
      <c r="F14" s="53" t="s">
        <v>121</v>
      </c>
      <c r="G14" s="53" t="s">
        <v>99</v>
      </c>
      <c r="H14" s="75" t="s">
        <v>100</v>
      </c>
      <c r="I14" s="75" t="s">
        <v>101</v>
      </c>
      <c r="J14" s="76" t="s">
        <v>95</v>
      </c>
      <c r="K14" s="74" t="s">
        <v>96</v>
      </c>
    </row>
    <row r="15" ht="19.5" customHeight="1">
      <c r="A15" s="46">
        <v>1.0</v>
      </c>
      <c r="B15" s="37" t="s">
        <v>1320</v>
      </c>
      <c r="C15" s="46" t="s">
        <v>148</v>
      </c>
      <c r="D15" s="78">
        <v>4.0</v>
      </c>
      <c r="E15" s="37">
        <v>0.15</v>
      </c>
      <c r="F15" s="78">
        <v>4.0</v>
      </c>
      <c r="G15" s="40">
        <v>4.0</v>
      </c>
      <c r="H15" s="40">
        <f>G15*F15*E15*D15</f>
        <v>9.6</v>
      </c>
      <c r="I15" s="42"/>
      <c r="J15" s="264">
        <f>SUM(H15:H16)</f>
        <v>9.6</v>
      </c>
      <c r="K15" s="46"/>
    </row>
    <row r="16" ht="19.5" customHeight="1">
      <c r="A16" s="46"/>
      <c r="B16" s="37"/>
      <c r="C16" s="46"/>
      <c r="D16" s="78"/>
      <c r="E16" s="37"/>
      <c r="F16" s="78"/>
      <c r="G16" s="40"/>
      <c r="H16" s="40"/>
      <c r="I16" s="42"/>
      <c r="J16" s="32"/>
      <c r="K16" s="46"/>
    </row>
    <row r="17" ht="19.5" customHeight="1">
      <c r="A17" s="74" t="s">
        <v>1</v>
      </c>
      <c r="B17" s="74" t="s">
        <v>91</v>
      </c>
      <c r="C17" s="74" t="s">
        <v>92</v>
      </c>
      <c r="D17" s="74" t="s">
        <v>93</v>
      </c>
      <c r="E17" s="50" t="s">
        <v>97</v>
      </c>
      <c r="F17" s="53" t="s">
        <v>121</v>
      </c>
      <c r="G17" s="53" t="s">
        <v>99</v>
      </c>
      <c r="H17" s="75" t="s">
        <v>100</v>
      </c>
      <c r="I17" s="75" t="s">
        <v>101</v>
      </c>
      <c r="J17" s="76" t="s">
        <v>95</v>
      </c>
      <c r="K17" s="74" t="s">
        <v>96</v>
      </c>
    </row>
    <row r="18" ht="19.5" customHeight="1">
      <c r="A18" s="46">
        <v>1.0</v>
      </c>
      <c r="B18" s="37" t="s">
        <v>345</v>
      </c>
      <c r="C18" s="46" t="s">
        <v>148</v>
      </c>
      <c r="D18" s="78"/>
      <c r="E18" s="37"/>
      <c r="F18" s="78"/>
      <c r="G18" s="40"/>
      <c r="H18" s="40"/>
      <c r="I18" s="42"/>
      <c r="J18" s="40"/>
      <c r="K18" s="46"/>
    </row>
    <row r="19" ht="19.5" customHeight="1">
      <c r="A19" s="46"/>
      <c r="B19" s="37"/>
      <c r="C19" s="46"/>
      <c r="D19" s="78"/>
      <c r="E19" s="37"/>
      <c r="F19" s="78"/>
      <c r="G19" s="40"/>
      <c r="H19" s="40"/>
      <c r="I19" s="42"/>
      <c r="J19" s="43">
        <f>SUM(H18:H19)</f>
        <v>0</v>
      </c>
      <c r="K19" s="46"/>
    </row>
    <row r="20" ht="19.5" customHeight="1">
      <c r="A20" s="74" t="s">
        <v>1</v>
      </c>
      <c r="B20" s="74" t="s">
        <v>91</v>
      </c>
      <c r="C20" s="74" t="s">
        <v>92</v>
      </c>
      <c r="D20" s="74" t="s">
        <v>93</v>
      </c>
      <c r="E20" s="50" t="s">
        <v>347</v>
      </c>
      <c r="F20" s="53" t="s">
        <v>121</v>
      </c>
      <c r="G20" s="53" t="s">
        <v>99</v>
      </c>
      <c r="H20" s="75" t="s">
        <v>100</v>
      </c>
      <c r="I20" s="75" t="s">
        <v>101</v>
      </c>
      <c r="J20" s="76" t="s">
        <v>95</v>
      </c>
      <c r="K20" s="74" t="s">
        <v>96</v>
      </c>
    </row>
    <row r="21" ht="19.5" customHeight="1">
      <c r="A21" s="46">
        <v>1.0</v>
      </c>
      <c r="B21" s="37" t="s">
        <v>912</v>
      </c>
      <c r="C21" s="46" t="s">
        <v>103</v>
      </c>
      <c r="D21" s="78"/>
      <c r="E21" s="37"/>
      <c r="F21" s="40"/>
      <c r="G21" s="40"/>
      <c r="H21" s="40"/>
      <c r="I21" s="42"/>
      <c r="J21" s="107"/>
      <c r="K21" s="46" t="s">
        <v>1322</v>
      </c>
    </row>
    <row r="22" ht="19.5" customHeight="1">
      <c r="A22" s="74" t="s">
        <v>1</v>
      </c>
      <c r="B22" s="74" t="s">
        <v>91</v>
      </c>
      <c r="C22" s="74" t="s">
        <v>92</v>
      </c>
      <c r="D22" s="74" t="s">
        <v>93</v>
      </c>
      <c r="E22" s="50" t="s">
        <v>187</v>
      </c>
      <c r="F22" s="53"/>
      <c r="G22" s="53"/>
      <c r="H22" s="75" t="s">
        <v>100</v>
      </c>
      <c r="I22" s="75" t="s">
        <v>101</v>
      </c>
      <c r="J22" s="76" t="s">
        <v>95</v>
      </c>
      <c r="K22" s="74" t="s">
        <v>96</v>
      </c>
    </row>
    <row r="23" ht="19.5" customHeight="1">
      <c r="A23" s="46">
        <v>1.0</v>
      </c>
      <c r="B23" s="37" t="s">
        <v>1323</v>
      </c>
      <c r="C23" s="46" t="s">
        <v>158</v>
      </c>
      <c r="D23" s="78" t="str">
        <f>D21</f>
        <v/>
      </c>
      <c r="E23" s="37">
        <v>100.0</v>
      </c>
      <c r="F23" s="40"/>
      <c r="G23" s="40"/>
      <c r="H23" s="40">
        <f>E23*D23</f>
        <v>0</v>
      </c>
      <c r="I23" s="42"/>
      <c r="J23" s="43">
        <f>H23-I23</f>
        <v>0</v>
      </c>
      <c r="K23" s="46" t="s">
        <v>355</v>
      </c>
    </row>
    <row r="24" ht="19.5" customHeight="1">
      <c r="A24" s="50" t="s">
        <v>1</v>
      </c>
      <c r="B24" s="50" t="s">
        <v>91</v>
      </c>
      <c r="C24" s="50" t="s">
        <v>92</v>
      </c>
      <c r="D24" s="50" t="s">
        <v>93</v>
      </c>
      <c r="E24" s="50" t="s">
        <v>97</v>
      </c>
      <c r="F24" s="53" t="s">
        <v>121</v>
      </c>
      <c r="G24" s="53" t="s">
        <v>99</v>
      </c>
      <c r="H24" s="53" t="s">
        <v>100</v>
      </c>
      <c r="I24" s="53" t="s">
        <v>101</v>
      </c>
      <c r="J24" s="53" t="s">
        <v>95</v>
      </c>
      <c r="K24" s="50" t="s">
        <v>96</v>
      </c>
    </row>
    <row r="25" ht="19.5" customHeight="1">
      <c r="A25" s="46">
        <v>1.0</v>
      </c>
      <c r="B25" s="416" t="s">
        <v>1337</v>
      </c>
      <c r="C25" s="46" t="s">
        <v>108</v>
      </c>
      <c r="D25" s="78">
        <v>1.0</v>
      </c>
      <c r="E25" s="37"/>
      <c r="F25" s="78"/>
      <c r="G25" s="40"/>
      <c r="H25" s="40"/>
      <c r="I25" s="42"/>
      <c r="J25" s="43">
        <f t="shared" ref="J25:J29" si="2">D25</f>
        <v>1</v>
      </c>
      <c r="K25" s="46"/>
    </row>
    <row r="26" ht="19.5" customHeight="1">
      <c r="A26" s="46">
        <v>2.0</v>
      </c>
      <c r="B26" s="416" t="s">
        <v>1338</v>
      </c>
      <c r="C26" s="46" t="s">
        <v>108</v>
      </c>
      <c r="D26" s="78">
        <v>1.0</v>
      </c>
      <c r="E26" s="37"/>
      <c r="F26" s="78"/>
      <c r="G26" s="40"/>
      <c r="H26" s="40"/>
      <c r="I26" s="42"/>
      <c r="J26" s="43">
        <f t="shared" si="2"/>
        <v>1</v>
      </c>
      <c r="K26" s="46"/>
    </row>
    <row r="27" ht="19.5" customHeight="1">
      <c r="A27" s="46">
        <v>3.0</v>
      </c>
      <c r="B27" s="416" t="s">
        <v>1339</v>
      </c>
      <c r="C27" s="46" t="s">
        <v>106</v>
      </c>
      <c r="D27" s="78">
        <v>1.0</v>
      </c>
      <c r="E27" s="37"/>
      <c r="F27" s="78"/>
      <c r="G27" s="40"/>
      <c r="H27" s="40"/>
      <c r="I27" s="42"/>
      <c r="J27" s="43">
        <f t="shared" si="2"/>
        <v>1</v>
      </c>
      <c r="K27" s="40"/>
    </row>
    <row r="28" ht="19.5" customHeight="1">
      <c r="A28" s="46">
        <v>3.0</v>
      </c>
      <c r="B28" s="416" t="s">
        <v>1340</v>
      </c>
      <c r="C28" s="46" t="s">
        <v>106</v>
      </c>
      <c r="D28" s="78">
        <v>6.0</v>
      </c>
      <c r="E28" s="37"/>
      <c r="F28" s="78"/>
      <c r="G28" s="40"/>
      <c r="H28" s="40"/>
      <c r="I28" s="42"/>
      <c r="J28" s="43">
        <f t="shared" si="2"/>
        <v>6</v>
      </c>
      <c r="K28" s="40"/>
    </row>
    <row r="29" ht="19.5" customHeight="1">
      <c r="A29" s="46">
        <v>3.0</v>
      </c>
      <c r="B29" s="416" t="s">
        <v>1341</v>
      </c>
      <c r="C29" s="46" t="s">
        <v>1342</v>
      </c>
      <c r="D29" s="78">
        <v>1.0</v>
      </c>
      <c r="E29" s="37"/>
      <c r="F29" s="78"/>
      <c r="G29" s="40"/>
      <c r="H29" s="40"/>
      <c r="I29" s="42"/>
      <c r="J29" s="43">
        <f t="shared" si="2"/>
        <v>1</v>
      </c>
      <c r="K29" s="40"/>
    </row>
    <row r="30" ht="19.5" customHeight="1">
      <c r="A30" s="12"/>
      <c r="C30" s="12"/>
      <c r="D30" s="13"/>
      <c r="F30" s="14"/>
      <c r="G30" s="14"/>
      <c r="H30" s="14"/>
      <c r="I30" s="14"/>
      <c r="J30" s="14"/>
      <c r="K30" s="12"/>
    </row>
    <row r="31" ht="19.5" customHeight="1">
      <c r="A31" s="74" t="s">
        <v>1</v>
      </c>
      <c r="B31" s="74" t="s">
        <v>91</v>
      </c>
      <c r="C31" s="74" t="s">
        <v>92</v>
      </c>
      <c r="D31" s="74" t="s">
        <v>93</v>
      </c>
      <c r="E31" s="50" t="s">
        <v>97</v>
      </c>
      <c r="F31" s="53" t="s">
        <v>121</v>
      </c>
      <c r="G31" s="53" t="s">
        <v>99</v>
      </c>
      <c r="H31" s="53" t="s">
        <v>100</v>
      </c>
      <c r="I31" s="53" t="s">
        <v>101</v>
      </c>
      <c r="J31" s="53" t="s">
        <v>95</v>
      </c>
      <c r="K31" s="50" t="s">
        <v>96</v>
      </c>
    </row>
    <row r="32" ht="19.5" customHeight="1">
      <c r="A32" s="46">
        <v>1.0</v>
      </c>
      <c r="B32" s="37" t="s">
        <v>1343</v>
      </c>
      <c r="C32" s="46" t="s">
        <v>103</v>
      </c>
      <c r="D32" s="78">
        <v>1.0</v>
      </c>
      <c r="E32" s="37">
        <v>1.0</v>
      </c>
      <c r="F32" s="78">
        <v>1.0</v>
      </c>
      <c r="G32" s="40">
        <v>1.0</v>
      </c>
      <c r="H32" s="40">
        <v>1.0</v>
      </c>
      <c r="I32" s="42"/>
      <c r="J32" s="40"/>
      <c r="K32" s="46"/>
    </row>
    <row r="33" ht="19.5" customHeight="1">
      <c r="A33" s="46"/>
      <c r="B33" s="37"/>
      <c r="C33" s="46"/>
      <c r="D33" s="78"/>
      <c r="E33" s="37"/>
      <c r="F33" s="78"/>
      <c r="G33" s="40"/>
      <c r="H33" s="40"/>
      <c r="I33" s="42"/>
      <c r="J33" s="43">
        <f>SUM(H32:H33)</f>
        <v>1</v>
      </c>
      <c r="K33" s="46"/>
    </row>
    <row r="34" ht="19.5" customHeight="1">
      <c r="A34" s="12"/>
      <c r="C34" s="12"/>
      <c r="D34" s="13"/>
      <c r="F34" s="14"/>
      <c r="G34" s="14"/>
      <c r="H34" s="14"/>
      <c r="I34" s="14"/>
      <c r="J34" s="14"/>
      <c r="K34" s="12"/>
    </row>
    <row r="35" ht="19.5" customHeight="1">
      <c r="A35" s="74" t="s">
        <v>1</v>
      </c>
      <c r="B35" s="74" t="s">
        <v>91</v>
      </c>
      <c r="C35" s="74" t="s">
        <v>92</v>
      </c>
      <c r="D35" s="74" t="s">
        <v>93</v>
      </c>
      <c r="E35" s="50" t="s">
        <v>97</v>
      </c>
      <c r="F35" s="53" t="s">
        <v>121</v>
      </c>
      <c r="G35" s="53" t="s">
        <v>99</v>
      </c>
      <c r="H35" s="53" t="s">
        <v>100</v>
      </c>
      <c r="I35" s="53" t="s">
        <v>101</v>
      </c>
      <c r="J35" s="53" t="s">
        <v>95</v>
      </c>
      <c r="K35" s="50" t="s">
        <v>96</v>
      </c>
    </row>
    <row r="36" ht="19.5" customHeight="1">
      <c r="A36" s="46">
        <v>1.0</v>
      </c>
      <c r="B36" s="37" t="s">
        <v>1778</v>
      </c>
      <c r="C36" s="46" t="s">
        <v>103</v>
      </c>
      <c r="D36" s="78">
        <v>4.0</v>
      </c>
      <c r="E36" s="37">
        <v>1.0</v>
      </c>
      <c r="F36" s="78">
        <v>10.0</v>
      </c>
      <c r="G36" s="40">
        <v>10.0</v>
      </c>
      <c r="H36" s="40">
        <f>F36*E36*D36</f>
        <v>40</v>
      </c>
      <c r="I36" s="42"/>
      <c r="J36" s="327">
        <f>SUM(H36:H37)</f>
        <v>40</v>
      </c>
      <c r="K36" s="46"/>
    </row>
    <row r="37" ht="19.5" customHeight="1">
      <c r="A37" s="46"/>
      <c r="B37" s="37"/>
      <c r="C37" s="46"/>
      <c r="D37" s="78"/>
      <c r="E37" s="37"/>
      <c r="F37" s="78"/>
      <c r="G37" s="40"/>
      <c r="H37" s="40"/>
      <c r="I37" s="42"/>
      <c r="J37" s="32"/>
      <c r="K37" s="46"/>
    </row>
    <row r="38" ht="19.5" customHeight="1">
      <c r="A38" s="12"/>
      <c r="C38" s="12"/>
      <c r="D38" s="13"/>
      <c r="F38" s="14"/>
      <c r="G38" s="14"/>
      <c r="H38" s="14"/>
      <c r="I38" s="14"/>
      <c r="J38" s="14"/>
      <c r="K38" s="12"/>
    </row>
    <row r="39" ht="19.5" customHeight="1">
      <c r="A39" s="12"/>
      <c r="C39" s="12"/>
      <c r="D39" s="13"/>
      <c r="F39" s="14"/>
      <c r="G39" s="14"/>
      <c r="H39" s="14"/>
      <c r="I39" s="14"/>
      <c r="J39" s="14"/>
      <c r="K39" s="12"/>
    </row>
    <row r="40" ht="19.5" customHeight="1">
      <c r="A40" s="12"/>
      <c r="C40" s="12"/>
      <c r="D40" s="13"/>
      <c r="F40" s="14"/>
      <c r="G40" s="14"/>
      <c r="H40" s="14"/>
      <c r="I40" s="14"/>
      <c r="J40" s="14"/>
      <c r="K40" s="12"/>
    </row>
    <row r="41" ht="19.5" customHeight="1">
      <c r="A41" s="12"/>
      <c r="C41" s="12"/>
      <c r="D41" s="13"/>
      <c r="F41" s="14"/>
      <c r="G41" s="14"/>
      <c r="H41" s="14"/>
      <c r="I41" s="14"/>
      <c r="J41" s="14"/>
      <c r="K41" s="12"/>
    </row>
    <row r="42" ht="19.5" customHeight="1">
      <c r="A42" s="12"/>
      <c r="C42" s="12"/>
      <c r="D42" s="13"/>
      <c r="F42" s="14"/>
      <c r="G42" s="14"/>
      <c r="H42" s="14"/>
      <c r="I42" s="14"/>
      <c r="J42" s="14"/>
      <c r="K42" s="12"/>
    </row>
    <row r="43" ht="19.5" customHeight="1">
      <c r="A43" s="12"/>
      <c r="C43" s="12"/>
      <c r="D43" s="13"/>
      <c r="F43" s="14"/>
      <c r="G43" s="14"/>
      <c r="H43" s="14"/>
      <c r="I43" s="14"/>
      <c r="J43" s="14"/>
      <c r="K43" s="12"/>
    </row>
    <row r="44" ht="19.5" customHeight="1">
      <c r="A44" s="12"/>
      <c r="C44" s="12"/>
      <c r="D44" s="13"/>
      <c r="F44" s="14"/>
      <c r="G44" s="14"/>
      <c r="H44" s="14"/>
      <c r="I44" s="14"/>
      <c r="J44" s="14"/>
      <c r="K44" s="12"/>
    </row>
    <row r="45" ht="19.5" customHeight="1">
      <c r="A45" s="12"/>
      <c r="C45" s="12"/>
      <c r="D45" s="13"/>
      <c r="F45" s="14"/>
      <c r="G45" s="14"/>
      <c r="H45" s="14"/>
      <c r="I45" s="14"/>
      <c r="J45" s="14"/>
      <c r="K45" s="12"/>
    </row>
    <row r="46" ht="19.5" customHeight="1">
      <c r="A46" s="12"/>
      <c r="C46" s="12"/>
      <c r="D46" s="13"/>
      <c r="F46" s="14"/>
      <c r="G46" s="14"/>
      <c r="H46" s="14"/>
      <c r="I46" s="14"/>
      <c r="J46" s="14"/>
      <c r="K46" s="12"/>
    </row>
    <row r="47" ht="19.5" customHeight="1">
      <c r="A47" s="12"/>
      <c r="C47" s="12"/>
      <c r="D47" s="13"/>
      <c r="F47" s="14"/>
      <c r="G47" s="14"/>
      <c r="H47" s="14"/>
      <c r="I47" s="14"/>
      <c r="J47" s="14"/>
      <c r="K47" s="12"/>
    </row>
    <row r="48" ht="19.5" customHeight="1">
      <c r="A48" s="12"/>
      <c r="C48" s="12"/>
      <c r="D48" s="13"/>
      <c r="F48" s="14"/>
      <c r="G48" s="14"/>
      <c r="H48" s="14"/>
      <c r="I48" s="14"/>
      <c r="J48" s="14"/>
      <c r="K48" s="12"/>
    </row>
    <row r="49" ht="19.5" customHeight="1">
      <c r="A49" s="12"/>
      <c r="C49" s="12"/>
      <c r="D49" s="13"/>
      <c r="F49" s="14"/>
      <c r="G49" s="14"/>
      <c r="H49" s="14"/>
      <c r="I49" s="14"/>
      <c r="J49" s="14"/>
      <c r="K49" s="12"/>
    </row>
    <row r="50" ht="19.5" customHeight="1">
      <c r="A50" s="12"/>
      <c r="C50" s="12"/>
      <c r="D50" s="13"/>
      <c r="F50" s="14"/>
      <c r="G50" s="14"/>
      <c r="H50" s="14"/>
      <c r="I50" s="14"/>
      <c r="J50" s="14"/>
      <c r="K50" s="12"/>
    </row>
    <row r="51" ht="19.5" customHeight="1">
      <c r="A51" s="12"/>
      <c r="C51" s="12"/>
      <c r="D51" s="13"/>
      <c r="F51" s="14"/>
      <c r="G51" s="14"/>
      <c r="H51" s="14"/>
      <c r="I51" s="14"/>
      <c r="J51" s="14"/>
      <c r="K51" s="12"/>
    </row>
    <row r="52" ht="19.5" customHeight="1">
      <c r="A52" s="12"/>
      <c r="C52" s="12"/>
      <c r="D52" s="13"/>
      <c r="F52" s="14"/>
      <c r="G52" s="14"/>
      <c r="H52" s="14"/>
      <c r="I52" s="14"/>
      <c r="J52" s="14"/>
      <c r="K52" s="12"/>
    </row>
    <row r="53" ht="19.5" customHeight="1">
      <c r="A53" s="12"/>
      <c r="C53" s="12"/>
      <c r="D53" s="13"/>
      <c r="F53" s="14"/>
      <c r="G53" s="14"/>
      <c r="H53" s="14"/>
      <c r="I53" s="14"/>
      <c r="J53" s="14"/>
      <c r="K53" s="12"/>
    </row>
    <row r="54" ht="19.5" customHeight="1">
      <c r="A54" s="12"/>
      <c r="C54" s="12"/>
      <c r="D54" s="13"/>
      <c r="F54" s="14"/>
      <c r="G54" s="14"/>
      <c r="H54" s="14"/>
      <c r="I54" s="14"/>
      <c r="J54" s="14"/>
      <c r="K54" s="12"/>
    </row>
    <row r="55" ht="19.5" customHeight="1">
      <c r="A55" s="12"/>
      <c r="C55" s="12"/>
      <c r="D55" s="13"/>
      <c r="F55" s="14"/>
      <c r="G55" s="14"/>
      <c r="H55" s="14"/>
      <c r="I55" s="14"/>
      <c r="J55" s="14"/>
      <c r="K55" s="12"/>
    </row>
    <row r="56" ht="19.5" customHeight="1">
      <c r="A56" s="12"/>
      <c r="C56" s="12"/>
      <c r="D56" s="13"/>
      <c r="F56" s="14"/>
      <c r="G56" s="14"/>
      <c r="H56" s="14"/>
      <c r="I56" s="14"/>
      <c r="J56" s="14"/>
      <c r="K56" s="12"/>
    </row>
    <row r="57" ht="19.5" customHeight="1">
      <c r="A57" s="12"/>
      <c r="C57" s="12"/>
      <c r="D57" s="13"/>
      <c r="F57" s="14"/>
      <c r="G57" s="14"/>
      <c r="H57" s="14"/>
      <c r="I57" s="14"/>
      <c r="J57" s="14"/>
      <c r="K57" s="12"/>
    </row>
    <row r="58" ht="19.5" customHeight="1">
      <c r="A58" s="12"/>
      <c r="C58" s="12"/>
      <c r="D58" s="13"/>
      <c r="F58" s="14"/>
      <c r="G58" s="14"/>
      <c r="H58" s="14"/>
      <c r="I58" s="14"/>
      <c r="J58" s="14"/>
      <c r="K58" s="12"/>
    </row>
    <row r="59" ht="19.5" customHeight="1">
      <c r="A59" s="12"/>
      <c r="C59" s="12"/>
      <c r="D59" s="13"/>
      <c r="F59" s="14"/>
      <c r="G59" s="14"/>
      <c r="H59" s="14"/>
      <c r="I59" s="14"/>
      <c r="J59" s="14"/>
      <c r="K59" s="12"/>
    </row>
    <row r="60" ht="19.5" customHeight="1">
      <c r="A60" s="12"/>
      <c r="C60" s="12"/>
      <c r="D60" s="13"/>
      <c r="F60" s="14"/>
      <c r="G60" s="14"/>
      <c r="H60" s="14"/>
      <c r="I60" s="14"/>
      <c r="J60" s="14"/>
      <c r="K60" s="12"/>
    </row>
    <row r="61" ht="19.5" customHeight="1">
      <c r="A61" s="12"/>
      <c r="C61" s="12"/>
      <c r="D61" s="13"/>
      <c r="F61" s="14"/>
      <c r="G61" s="14"/>
      <c r="H61" s="14"/>
      <c r="I61" s="14"/>
      <c r="J61" s="14"/>
      <c r="K61" s="12"/>
    </row>
    <row r="62" ht="19.5" customHeight="1">
      <c r="A62" s="12"/>
      <c r="C62" s="12"/>
      <c r="D62" s="13"/>
      <c r="F62" s="14"/>
      <c r="G62" s="14"/>
      <c r="H62" s="14"/>
      <c r="I62" s="14"/>
      <c r="J62" s="14"/>
      <c r="K62" s="12"/>
    </row>
    <row r="63" ht="19.5" customHeight="1">
      <c r="A63" s="12"/>
      <c r="C63" s="12"/>
      <c r="D63" s="13"/>
      <c r="F63" s="14"/>
      <c r="G63" s="14"/>
      <c r="H63" s="14"/>
      <c r="I63" s="14"/>
      <c r="J63" s="14"/>
      <c r="K63" s="12"/>
    </row>
    <row r="64" ht="19.5" customHeight="1">
      <c r="A64" s="12"/>
      <c r="C64" s="12"/>
      <c r="D64" s="13"/>
      <c r="F64" s="14"/>
      <c r="G64" s="14"/>
      <c r="H64" s="14"/>
      <c r="I64" s="14"/>
      <c r="J64" s="14"/>
      <c r="K64" s="12"/>
    </row>
    <row r="65" ht="19.5" customHeight="1">
      <c r="A65" s="12"/>
      <c r="C65" s="12"/>
      <c r="D65" s="13"/>
      <c r="F65" s="14"/>
      <c r="G65" s="14"/>
      <c r="H65" s="14"/>
      <c r="I65" s="14"/>
      <c r="J65" s="14"/>
      <c r="K65" s="12"/>
    </row>
    <row r="66" ht="19.5" customHeight="1">
      <c r="A66" s="12"/>
      <c r="C66" s="12"/>
      <c r="D66" s="13"/>
      <c r="F66" s="14"/>
      <c r="G66" s="14"/>
      <c r="H66" s="14"/>
      <c r="I66" s="14"/>
      <c r="J66" s="14"/>
      <c r="K66" s="12"/>
    </row>
    <row r="67" ht="19.5" customHeight="1">
      <c r="A67" s="12"/>
      <c r="C67" s="12"/>
      <c r="D67" s="13"/>
      <c r="F67" s="14"/>
      <c r="G67" s="14"/>
      <c r="H67" s="14"/>
      <c r="I67" s="14"/>
      <c r="J67" s="14"/>
      <c r="K67" s="12"/>
    </row>
    <row r="68" ht="19.5" customHeight="1">
      <c r="A68" s="12"/>
      <c r="C68" s="12"/>
      <c r="D68" s="13"/>
      <c r="F68" s="14"/>
      <c r="G68" s="14"/>
      <c r="H68" s="14"/>
      <c r="I68" s="14"/>
      <c r="J68" s="14"/>
      <c r="K68" s="12"/>
    </row>
    <row r="69" ht="19.5" customHeight="1">
      <c r="A69" s="12"/>
      <c r="C69" s="12"/>
      <c r="D69" s="13"/>
      <c r="F69" s="14"/>
      <c r="G69" s="14"/>
      <c r="H69" s="14"/>
      <c r="I69" s="14"/>
      <c r="J69" s="14"/>
      <c r="K69" s="12"/>
    </row>
    <row r="70" ht="19.5" customHeight="1">
      <c r="A70" s="12"/>
      <c r="C70" s="12"/>
      <c r="D70" s="13"/>
      <c r="F70" s="14"/>
      <c r="G70" s="14"/>
      <c r="H70" s="14"/>
      <c r="I70" s="14"/>
      <c r="J70" s="14"/>
      <c r="K70" s="12"/>
    </row>
    <row r="71" ht="19.5" customHeight="1">
      <c r="A71" s="12"/>
      <c r="C71" s="12"/>
      <c r="D71" s="13"/>
      <c r="F71" s="14"/>
      <c r="G71" s="14"/>
      <c r="H71" s="14"/>
      <c r="I71" s="14"/>
      <c r="J71" s="14"/>
      <c r="K71" s="12"/>
    </row>
    <row r="72" ht="19.5" customHeight="1">
      <c r="A72" s="12"/>
      <c r="C72" s="12"/>
      <c r="D72" s="13"/>
      <c r="F72" s="14"/>
      <c r="G72" s="14"/>
      <c r="H72" s="14"/>
      <c r="I72" s="14"/>
      <c r="J72" s="14"/>
      <c r="K72" s="12"/>
    </row>
    <row r="73" ht="19.5" customHeight="1">
      <c r="A73" s="12"/>
      <c r="C73" s="12"/>
      <c r="D73" s="13"/>
      <c r="F73" s="14"/>
      <c r="G73" s="14"/>
      <c r="H73" s="14"/>
      <c r="I73" s="14"/>
      <c r="J73" s="14"/>
      <c r="K73" s="12"/>
    </row>
    <row r="74" ht="19.5" customHeight="1">
      <c r="A74" s="12"/>
      <c r="C74" s="12"/>
      <c r="D74" s="13"/>
      <c r="F74" s="14"/>
      <c r="G74" s="14"/>
      <c r="H74" s="14"/>
      <c r="I74" s="14"/>
      <c r="J74" s="14"/>
      <c r="K74" s="12"/>
    </row>
    <row r="75" ht="19.5" customHeight="1">
      <c r="A75" s="12"/>
      <c r="C75" s="12"/>
      <c r="D75" s="13"/>
      <c r="F75" s="14"/>
      <c r="G75" s="14"/>
      <c r="H75" s="14"/>
      <c r="I75" s="14"/>
      <c r="J75" s="14"/>
      <c r="K75" s="12"/>
    </row>
    <row r="76" ht="19.5" customHeight="1">
      <c r="A76" s="12"/>
      <c r="C76" s="12"/>
      <c r="D76" s="13"/>
      <c r="F76" s="14"/>
      <c r="G76" s="14"/>
      <c r="H76" s="14"/>
      <c r="I76" s="14"/>
      <c r="J76" s="14"/>
      <c r="K76" s="12"/>
    </row>
    <row r="77" ht="19.5" customHeight="1">
      <c r="A77" s="12"/>
      <c r="C77" s="12"/>
      <c r="D77" s="13"/>
      <c r="F77" s="14"/>
      <c r="G77" s="14"/>
      <c r="H77" s="14"/>
      <c r="I77" s="14"/>
      <c r="J77" s="14"/>
      <c r="K77" s="12"/>
    </row>
    <row r="78" ht="19.5" customHeight="1">
      <c r="A78" s="12"/>
      <c r="C78" s="12"/>
      <c r="D78" s="13"/>
      <c r="F78" s="14"/>
      <c r="G78" s="14"/>
      <c r="H78" s="14"/>
      <c r="I78" s="14"/>
      <c r="J78" s="14"/>
      <c r="K78" s="12"/>
    </row>
    <row r="79" ht="19.5" customHeight="1">
      <c r="A79" s="12"/>
      <c r="C79" s="12"/>
      <c r="D79" s="13"/>
      <c r="F79" s="14"/>
      <c r="G79" s="14"/>
      <c r="H79" s="14"/>
      <c r="I79" s="14"/>
      <c r="J79" s="14"/>
      <c r="K79" s="12"/>
    </row>
    <row r="80" ht="19.5" customHeight="1">
      <c r="A80" s="12"/>
      <c r="C80" s="12"/>
      <c r="D80" s="13"/>
      <c r="F80" s="14"/>
      <c r="G80" s="14"/>
      <c r="H80" s="14"/>
      <c r="I80" s="14"/>
      <c r="J80" s="14"/>
      <c r="K80" s="12"/>
    </row>
    <row r="81" ht="19.5" customHeight="1">
      <c r="A81" s="12"/>
      <c r="C81" s="12"/>
      <c r="D81" s="13"/>
      <c r="F81" s="14"/>
      <c r="G81" s="14"/>
      <c r="H81" s="14"/>
      <c r="I81" s="14"/>
      <c r="J81" s="14"/>
      <c r="K81" s="12"/>
    </row>
    <row r="82" ht="19.5" customHeight="1">
      <c r="A82" s="12"/>
      <c r="C82" s="12"/>
      <c r="D82" s="13"/>
      <c r="F82" s="14"/>
      <c r="G82" s="14"/>
      <c r="H82" s="14"/>
      <c r="I82" s="14"/>
      <c r="J82" s="14"/>
      <c r="K82" s="12"/>
    </row>
    <row r="83" ht="19.5" customHeight="1">
      <c r="A83" s="12"/>
      <c r="C83" s="12"/>
      <c r="D83" s="13"/>
      <c r="F83" s="14"/>
      <c r="G83" s="14"/>
      <c r="H83" s="14"/>
      <c r="I83" s="14"/>
      <c r="J83" s="14"/>
      <c r="K83" s="12"/>
    </row>
    <row r="84" ht="19.5" customHeight="1">
      <c r="A84" s="12"/>
      <c r="C84" s="12"/>
      <c r="D84" s="13"/>
      <c r="F84" s="14"/>
      <c r="G84" s="14"/>
      <c r="H84" s="14"/>
      <c r="I84" s="14"/>
      <c r="J84" s="14"/>
      <c r="K84" s="12"/>
    </row>
    <row r="85" ht="19.5" customHeight="1">
      <c r="A85" s="12"/>
      <c r="C85" s="12"/>
      <c r="D85" s="13"/>
      <c r="F85" s="14"/>
      <c r="G85" s="14"/>
      <c r="H85" s="14"/>
      <c r="I85" s="14"/>
      <c r="J85" s="14"/>
      <c r="K85" s="12"/>
    </row>
    <row r="86" ht="19.5" customHeight="1">
      <c r="A86" s="12"/>
      <c r="C86" s="12"/>
      <c r="D86" s="13"/>
      <c r="F86" s="14"/>
      <c r="G86" s="14"/>
      <c r="H86" s="14"/>
      <c r="I86" s="14"/>
      <c r="J86" s="14"/>
      <c r="K86" s="12"/>
    </row>
    <row r="87" ht="19.5" customHeight="1">
      <c r="A87" s="12"/>
      <c r="C87" s="12"/>
      <c r="D87" s="13"/>
      <c r="F87" s="14"/>
      <c r="G87" s="14"/>
      <c r="H87" s="14"/>
      <c r="I87" s="14"/>
      <c r="J87" s="14"/>
      <c r="K87" s="12"/>
    </row>
    <row r="88" ht="19.5" customHeight="1">
      <c r="A88" s="12"/>
      <c r="C88" s="12"/>
      <c r="D88" s="13"/>
      <c r="F88" s="14"/>
      <c r="G88" s="14"/>
      <c r="H88" s="14"/>
      <c r="I88" s="14"/>
      <c r="J88" s="14"/>
      <c r="K88" s="12"/>
    </row>
    <row r="89" ht="19.5" customHeight="1">
      <c r="A89" s="12"/>
      <c r="C89" s="12"/>
      <c r="D89" s="13"/>
      <c r="F89" s="14"/>
      <c r="G89" s="14"/>
      <c r="H89" s="14"/>
      <c r="I89" s="14"/>
      <c r="J89" s="14"/>
      <c r="K89" s="12"/>
    </row>
    <row r="90" ht="19.5" customHeight="1">
      <c r="A90" s="12"/>
      <c r="C90" s="12"/>
      <c r="D90" s="13"/>
      <c r="F90" s="14"/>
      <c r="G90" s="14"/>
      <c r="H90" s="14"/>
      <c r="I90" s="14"/>
      <c r="J90" s="14"/>
      <c r="K90" s="12"/>
    </row>
    <row r="91" ht="19.5" customHeight="1">
      <c r="A91" s="12"/>
      <c r="C91" s="12"/>
      <c r="D91" s="13"/>
      <c r="F91" s="14"/>
      <c r="G91" s="14"/>
      <c r="H91" s="14"/>
      <c r="I91" s="14"/>
      <c r="J91" s="14"/>
      <c r="K91" s="12"/>
    </row>
    <row r="92" ht="19.5" customHeight="1">
      <c r="A92" s="12"/>
      <c r="C92" s="12"/>
      <c r="D92" s="13"/>
      <c r="F92" s="14"/>
      <c r="G92" s="14"/>
      <c r="H92" s="14"/>
      <c r="I92" s="14"/>
      <c r="J92" s="14"/>
      <c r="K92" s="12"/>
    </row>
    <row r="93" ht="19.5" customHeight="1">
      <c r="A93" s="12"/>
      <c r="C93" s="12"/>
      <c r="D93" s="13"/>
      <c r="F93" s="14"/>
      <c r="G93" s="14"/>
      <c r="H93" s="14"/>
      <c r="I93" s="14"/>
      <c r="J93" s="14"/>
      <c r="K93" s="12"/>
    </row>
    <row r="94" ht="19.5" customHeight="1">
      <c r="A94" s="12"/>
      <c r="C94" s="12"/>
      <c r="D94" s="13"/>
      <c r="F94" s="14"/>
      <c r="G94" s="14"/>
      <c r="H94" s="14"/>
      <c r="I94" s="14"/>
      <c r="J94" s="14"/>
      <c r="K94" s="12"/>
    </row>
    <row r="95" ht="19.5" customHeight="1">
      <c r="A95" s="12"/>
      <c r="C95" s="12"/>
      <c r="D95" s="13"/>
      <c r="F95" s="14"/>
      <c r="G95" s="14"/>
      <c r="H95" s="14"/>
      <c r="I95" s="14"/>
      <c r="J95" s="14"/>
      <c r="K95" s="12"/>
    </row>
    <row r="96" ht="19.5" customHeight="1">
      <c r="A96" s="12"/>
      <c r="C96" s="12"/>
      <c r="D96" s="13"/>
      <c r="F96" s="14"/>
      <c r="G96" s="14"/>
      <c r="H96" s="14"/>
      <c r="I96" s="14"/>
      <c r="J96" s="14"/>
      <c r="K96" s="12"/>
    </row>
    <row r="97" ht="19.5" customHeight="1">
      <c r="A97" s="12"/>
      <c r="C97" s="12"/>
      <c r="D97" s="13"/>
      <c r="F97" s="14"/>
      <c r="G97" s="14"/>
      <c r="H97" s="14"/>
      <c r="I97" s="14"/>
      <c r="J97" s="14"/>
      <c r="K97" s="12"/>
    </row>
    <row r="98" ht="19.5" customHeight="1">
      <c r="A98" s="12"/>
      <c r="C98" s="12"/>
      <c r="D98" s="13"/>
      <c r="F98" s="14"/>
      <c r="G98" s="14"/>
      <c r="H98" s="14"/>
      <c r="I98" s="14"/>
      <c r="J98" s="14"/>
      <c r="K98" s="12"/>
    </row>
    <row r="99" ht="19.5" customHeight="1">
      <c r="A99" s="12"/>
      <c r="C99" s="12"/>
      <c r="D99" s="13"/>
      <c r="F99" s="14"/>
      <c r="G99" s="14"/>
      <c r="H99" s="14"/>
      <c r="I99" s="14"/>
      <c r="J99" s="14"/>
      <c r="K99" s="12"/>
    </row>
    <row r="100" ht="19.5" customHeight="1">
      <c r="A100" s="12"/>
      <c r="C100" s="12"/>
      <c r="D100" s="13"/>
      <c r="F100" s="14"/>
      <c r="G100" s="14"/>
      <c r="H100" s="14"/>
      <c r="I100" s="14"/>
      <c r="J100" s="14"/>
      <c r="K100" s="12"/>
    </row>
    <row r="101" ht="19.5" customHeight="1">
      <c r="A101" s="12"/>
      <c r="C101" s="12"/>
      <c r="D101" s="13"/>
      <c r="F101" s="14"/>
      <c r="G101" s="14"/>
      <c r="H101" s="14"/>
      <c r="I101" s="14"/>
      <c r="J101" s="14"/>
      <c r="K101" s="12"/>
    </row>
    <row r="102" ht="19.5" customHeight="1">
      <c r="A102" s="12"/>
      <c r="C102" s="12"/>
      <c r="D102" s="13"/>
      <c r="F102" s="14"/>
      <c r="G102" s="14"/>
      <c r="H102" s="14"/>
      <c r="I102" s="14"/>
      <c r="J102" s="14"/>
      <c r="K102" s="12"/>
    </row>
    <row r="103" ht="19.5" customHeight="1">
      <c r="A103" s="12"/>
      <c r="C103" s="12"/>
      <c r="D103" s="13"/>
      <c r="F103" s="14"/>
      <c r="G103" s="14"/>
      <c r="H103" s="14"/>
      <c r="I103" s="14"/>
      <c r="J103" s="14"/>
      <c r="K103" s="12"/>
    </row>
    <row r="104" ht="19.5" customHeight="1">
      <c r="A104" s="12"/>
      <c r="C104" s="12"/>
      <c r="D104" s="13"/>
      <c r="F104" s="14"/>
      <c r="G104" s="14"/>
      <c r="H104" s="14"/>
      <c r="I104" s="14"/>
      <c r="J104" s="14"/>
      <c r="K104" s="12"/>
    </row>
    <row r="105" ht="19.5" customHeight="1">
      <c r="A105" s="12"/>
      <c r="C105" s="12"/>
      <c r="D105" s="13"/>
      <c r="F105" s="14"/>
      <c r="G105" s="14"/>
      <c r="H105" s="14"/>
      <c r="I105" s="14"/>
      <c r="J105" s="14"/>
      <c r="K105" s="12"/>
    </row>
    <row r="106" ht="19.5" customHeight="1">
      <c r="A106" s="12"/>
      <c r="C106" s="12"/>
      <c r="D106" s="13"/>
      <c r="F106" s="14"/>
      <c r="G106" s="14"/>
      <c r="H106" s="14"/>
      <c r="I106" s="14"/>
      <c r="J106" s="14"/>
      <c r="K106" s="12"/>
    </row>
    <row r="107" ht="19.5" customHeight="1">
      <c r="A107" s="12"/>
      <c r="C107" s="12"/>
      <c r="D107" s="13"/>
      <c r="F107" s="14"/>
      <c r="G107" s="14"/>
      <c r="H107" s="14"/>
      <c r="I107" s="14"/>
      <c r="J107" s="14"/>
      <c r="K107" s="12"/>
    </row>
    <row r="108" ht="19.5" customHeight="1">
      <c r="A108" s="12"/>
      <c r="C108" s="12"/>
      <c r="D108" s="13"/>
      <c r="F108" s="14"/>
      <c r="G108" s="14"/>
      <c r="H108" s="14"/>
      <c r="I108" s="14"/>
      <c r="J108" s="14"/>
      <c r="K108" s="12"/>
    </row>
    <row r="109" ht="19.5" customHeight="1">
      <c r="A109" s="12"/>
      <c r="C109" s="12"/>
      <c r="D109" s="13"/>
      <c r="F109" s="14"/>
      <c r="G109" s="14"/>
      <c r="H109" s="14"/>
      <c r="I109" s="14"/>
      <c r="J109" s="14"/>
      <c r="K109" s="12"/>
    </row>
    <row r="110" ht="19.5" customHeight="1">
      <c r="A110" s="12"/>
      <c r="C110" s="12"/>
      <c r="D110" s="13"/>
      <c r="F110" s="14"/>
      <c r="G110" s="14"/>
      <c r="H110" s="14"/>
      <c r="I110" s="14"/>
      <c r="J110" s="14"/>
      <c r="K110" s="12"/>
    </row>
    <row r="111" ht="19.5" customHeight="1">
      <c r="A111" s="12"/>
      <c r="C111" s="12"/>
      <c r="D111" s="13"/>
      <c r="F111" s="14"/>
      <c r="G111" s="14"/>
      <c r="H111" s="14"/>
      <c r="I111" s="14"/>
      <c r="J111" s="14"/>
      <c r="K111" s="12"/>
    </row>
    <row r="112" ht="19.5" customHeight="1">
      <c r="A112" s="12"/>
      <c r="C112" s="12"/>
      <c r="D112" s="13"/>
      <c r="F112" s="14"/>
      <c r="G112" s="14"/>
      <c r="H112" s="14"/>
      <c r="I112" s="14"/>
      <c r="J112" s="14"/>
      <c r="K112" s="12"/>
    </row>
    <row r="113" ht="19.5" customHeight="1">
      <c r="A113" s="12"/>
      <c r="C113" s="12"/>
      <c r="D113" s="13"/>
      <c r="F113" s="14"/>
      <c r="G113" s="14"/>
      <c r="H113" s="14"/>
      <c r="I113" s="14"/>
      <c r="J113" s="14"/>
      <c r="K113" s="12"/>
    </row>
    <row r="114" ht="19.5" customHeight="1">
      <c r="A114" s="12"/>
      <c r="C114" s="12"/>
      <c r="D114" s="13"/>
      <c r="F114" s="14"/>
      <c r="G114" s="14"/>
      <c r="H114" s="14"/>
      <c r="I114" s="14"/>
      <c r="J114" s="14"/>
      <c r="K114" s="12"/>
    </row>
    <row r="115" ht="19.5" customHeight="1">
      <c r="A115" s="12"/>
      <c r="C115" s="12"/>
      <c r="D115" s="13"/>
      <c r="F115" s="14"/>
      <c r="G115" s="14"/>
      <c r="H115" s="14"/>
      <c r="I115" s="14"/>
      <c r="J115" s="14"/>
      <c r="K115" s="12"/>
    </row>
    <row r="116" ht="19.5" customHeight="1">
      <c r="A116" s="12"/>
      <c r="C116" s="12"/>
      <c r="D116" s="13"/>
      <c r="F116" s="14"/>
      <c r="G116" s="14"/>
      <c r="H116" s="14"/>
      <c r="I116" s="14"/>
      <c r="J116" s="14"/>
      <c r="K116" s="12"/>
    </row>
    <row r="117" ht="19.5" customHeight="1">
      <c r="A117" s="12"/>
      <c r="C117" s="12"/>
      <c r="D117" s="13"/>
      <c r="F117" s="14"/>
      <c r="G117" s="14"/>
      <c r="H117" s="14"/>
      <c r="I117" s="14"/>
      <c r="J117" s="14"/>
      <c r="K117" s="12"/>
    </row>
    <row r="118" ht="19.5" customHeight="1">
      <c r="A118" s="12"/>
      <c r="C118" s="12"/>
      <c r="D118" s="13"/>
      <c r="F118" s="14"/>
      <c r="G118" s="14"/>
      <c r="H118" s="14"/>
      <c r="I118" s="14"/>
      <c r="J118" s="14"/>
      <c r="K118" s="12"/>
    </row>
    <row r="119" ht="19.5" customHeight="1">
      <c r="A119" s="12"/>
      <c r="C119" s="12"/>
      <c r="D119" s="13"/>
      <c r="F119" s="14"/>
      <c r="G119" s="14"/>
      <c r="H119" s="14"/>
      <c r="I119" s="14"/>
      <c r="J119" s="14"/>
      <c r="K119" s="12"/>
    </row>
    <row r="120" ht="19.5" customHeight="1">
      <c r="A120" s="12"/>
      <c r="C120" s="12"/>
      <c r="D120" s="13"/>
      <c r="F120" s="14"/>
      <c r="G120" s="14"/>
      <c r="H120" s="14"/>
      <c r="I120" s="14"/>
      <c r="J120" s="14"/>
      <c r="K120" s="12"/>
    </row>
    <row r="121" ht="19.5" customHeight="1">
      <c r="A121" s="12"/>
      <c r="C121" s="12"/>
      <c r="D121" s="13"/>
      <c r="F121" s="14"/>
      <c r="G121" s="14"/>
      <c r="H121" s="14"/>
      <c r="I121" s="14"/>
      <c r="J121" s="14"/>
      <c r="K121" s="12"/>
    </row>
    <row r="122" ht="19.5" customHeight="1">
      <c r="A122" s="12"/>
      <c r="C122" s="12"/>
      <c r="D122" s="13"/>
      <c r="F122" s="14"/>
      <c r="G122" s="14"/>
      <c r="H122" s="14"/>
      <c r="I122" s="14"/>
      <c r="J122" s="14"/>
      <c r="K122" s="12"/>
    </row>
    <row r="123" ht="19.5" customHeight="1">
      <c r="A123" s="12"/>
      <c r="C123" s="12"/>
      <c r="D123" s="13"/>
      <c r="F123" s="14"/>
      <c r="G123" s="14"/>
      <c r="H123" s="14"/>
      <c r="I123" s="14"/>
      <c r="J123" s="14"/>
      <c r="K123" s="12"/>
    </row>
    <row r="124" ht="19.5" customHeight="1">
      <c r="A124" s="12"/>
      <c r="C124" s="12"/>
      <c r="D124" s="13"/>
      <c r="F124" s="14"/>
      <c r="G124" s="14"/>
      <c r="H124" s="14"/>
      <c r="I124" s="14"/>
      <c r="J124" s="14"/>
      <c r="K124" s="12"/>
    </row>
    <row r="125" ht="19.5" customHeight="1">
      <c r="A125" s="12"/>
      <c r="C125" s="12"/>
      <c r="D125" s="13"/>
      <c r="F125" s="14"/>
      <c r="G125" s="14"/>
      <c r="H125" s="14"/>
      <c r="I125" s="14"/>
      <c r="J125" s="14"/>
      <c r="K125" s="12"/>
    </row>
    <row r="126" ht="19.5" customHeight="1">
      <c r="A126" s="12"/>
      <c r="C126" s="12"/>
      <c r="D126" s="13"/>
      <c r="F126" s="14"/>
      <c r="G126" s="14"/>
      <c r="H126" s="14"/>
      <c r="I126" s="14"/>
      <c r="J126" s="14"/>
      <c r="K126" s="12"/>
    </row>
    <row r="127" ht="19.5" customHeight="1">
      <c r="A127" s="12"/>
      <c r="C127" s="12"/>
      <c r="D127" s="13"/>
      <c r="F127" s="14"/>
      <c r="G127" s="14"/>
      <c r="H127" s="14"/>
      <c r="I127" s="14"/>
      <c r="J127" s="14"/>
      <c r="K127" s="12"/>
    </row>
    <row r="128" ht="19.5" customHeight="1">
      <c r="A128" s="12"/>
      <c r="C128" s="12"/>
      <c r="D128" s="13"/>
      <c r="F128" s="14"/>
      <c r="G128" s="14"/>
      <c r="H128" s="14"/>
      <c r="I128" s="14"/>
      <c r="J128" s="14"/>
      <c r="K128" s="12"/>
    </row>
    <row r="129" ht="19.5" customHeight="1">
      <c r="A129" s="12"/>
      <c r="C129" s="12"/>
      <c r="D129" s="13"/>
      <c r="F129" s="14"/>
      <c r="G129" s="14"/>
      <c r="H129" s="14"/>
      <c r="I129" s="14"/>
      <c r="J129" s="14"/>
      <c r="K129" s="12"/>
    </row>
    <row r="130" ht="19.5" customHeight="1">
      <c r="A130" s="12"/>
      <c r="C130" s="12"/>
      <c r="D130" s="13"/>
      <c r="F130" s="14"/>
      <c r="G130" s="14"/>
      <c r="H130" s="14"/>
      <c r="I130" s="14"/>
      <c r="J130" s="14"/>
      <c r="K130" s="12"/>
    </row>
    <row r="131" ht="19.5" customHeight="1">
      <c r="A131" s="12"/>
      <c r="C131" s="12"/>
      <c r="D131" s="13"/>
      <c r="F131" s="14"/>
      <c r="G131" s="14"/>
      <c r="H131" s="14"/>
      <c r="I131" s="14"/>
      <c r="J131" s="14"/>
      <c r="K131" s="12"/>
    </row>
    <row r="132" ht="19.5" customHeight="1">
      <c r="A132" s="12"/>
      <c r="C132" s="12"/>
      <c r="D132" s="13"/>
      <c r="F132" s="14"/>
      <c r="G132" s="14"/>
      <c r="H132" s="14"/>
      <c r="I132" s="14"/>
      <c r="J132" s="14"/>
      <c r="K132" s="12"/>
    </row>
    <row r="133" ht="19.5" customHeight="1">
      <c r="A133" s="12"/>
      <c r="C133" s="12"/>
      <c r="D133" s="13"/>
      <c r="F133" s="14"/>
      <c r="G133" s="14"/>
      <c r="H133" s="14"/>
      <c r="I133" s="14"/>
      <c r="J133" s="14"/>
      <c r="K133" s="12"/>
    </row>
    <row r="134" ht="19.5" customHeight="1">
      <c r="A134" s="12"/>
      <c r="C134" s="12"/>
      <c r="D134" s="13"/>
      <c r="F134" s="14"/>
      <c r="G134" s="14"/>
      <c r="H134" s="14"/>
      <c r="I134" s="14"/>
      <c r="J134" s="14"/>
      <c r="K134" s="12"/>
    </row>
    <row r="135" ht="19.5" customHeight="1">
      <c r="A135" s="12"/>
      <c r="C135" s="12"/>
      <c r="D135" s="13"/>
      <c r="F135" s="14"/>
      <c r="G135" s="14"/>
      <c r="H135" s="14"/>
      <c r="I135" s="14"/>
      <c r="J135" s="14"/>
      <c r="K135" s="12"/>
    </row>
    <row r="136" ht="19.5" customHeight="1">
      <c r="A136" s="12"/>
      <c r="C136" s="12"/>
      <c r="D136" s="13"/>
      <c r="F136" s="14"/>
      <c r="G136" s="14"/>
      <c r="H136" s="14"/>
      <c r="I136" s="14"/>
      <c r="J136" s="14"/>
      <c r="K136" s="12"/>
    </row>
    <row r="137" ht="19.5" customHeight="1">
      <c r="A137" s="12"/>
      <c r="C137" s="12"/>
      <c r="D137" s="13"/>
      <c r="F137" s="14"/>
      <c r="G137" s="14"/>
      <c r="H137" s="14"/>
      <c r="I137" s="14"/>
      <c r="J137" s="14"/>
      <c r="K137" s="12"/>
    </row>
    <row r="138" ht="19.5" customHeight="1">
      <c r="A138" s="12"/>
      <c r="C138" s="12"/>
      <c r="D138" s="13"/>
      <c r="F138" s="14"/>
      <c r="G138" s="14"/>
      <c r="H138" s="14"/>
      <c r="I138" s="14"/>
      <c r="J138" s="14"/>
      <c r="K138" s="12"/>
    </row>
    <row r="139" ht="19.5" customHeight="1">
      <c r="A139" s="12"/>
      <c r="C139" s="12"/>
      <c r="D139" s="13"/>
      <c r="F139" s="14"/>
      <c r="G139" s="14"/>
      <c r="H139" s="14"/>
      <c r="I139" s="14"/>
      <c r="J139" s="14"/>
      <c r="K139" s="12"/>
    </row>
    <row r="140" ht="19.5" customHeight="1">
      <c r="A140" s="12"/>
      <c r="C140" s="12"/>
      <c r="D140" s="13"/>
      <c r="F140" s="14"/>
      <c r="G140" s="14"/>
      <c r="H140" s="14"/>
      <c r="I140" s="14"/>
      <c r="J140" s="14"/>
      <c r="K140" s="12"/>
    </row>
    <row r="141" ht="19.5" customHeight="1">
      <c r="A141" s="12"/>
      <c r="C141" s="12"/>
      <c r="D141" s="13"/>
      <c r="F141" s="14"/>
      <c r="G141" s="14"/>
      <c r="H141" s="14"/>
      <c r="I141" s="14"/>
      <c r="J141" s="14"/>
      <c r="K141" s="12"/>
    </row>
    <row r="142" ht="19.5" customHeight="1">
      <c r="A142" s="12"/>
      <c r="C142" s="12"/>
      <c r="D142" s="13"/>
      <c r="F142" s="14"/>
      <c r="G142" s="14"/>
      <c r="H142" s="14"/>
      <c r="I142" s="14"/>
      <c r="J142" s="14"/>
      <c r="K142" s="12"/>
    </row>
    <row r="143" ht="19.5" customHeight="1">
      <c r="A143" s="12"/>
      <c r="C143" s="12"/>
      <c r="D143" s="13"/>
      <c r="F143" s="14"/>
      <c r="G143" s="14"/>
      <c r="H143" s="14"/>
      <c r="I143" s="14"/>
      <c r="J143" s="14"/>
      <c r="K143" s="12"/>
    </row>
    <row r="144" ht="19.5" customHeight="1">
      <c r="A144" s="12"/>
      <c r="C144" s="12"/>
      <c r="D144" s="13"/>
      <c r="F144" s="14"/>
      <c r="G144" s="14"/>
      <c r="H144" s="14"/>
      <c r="I144" s="14"/>
      <c r="J144" s="14"/>
      <c r="K144" s="12"/>
    </row>
    <row r="145" ht="19.5" customHeight="1">
      <c r="A145" s="12"/>
      <c r="C145" s="12"/>
      <c r="D145" s="13"/>
      <c r="F145" s="14"/>
      <c r="G145" s="14"/>
      <c r="H145" s="14"/>
      <c r="I145" s="14"/>
      <c r="J145" s="14"/>
      <c r="K145" s="12"/>
    </row>
    <row r="146" ht="19.5" customHeight="1">
      <c r="A146" s="12"/>
      <c r="C146" s="12"/>
      <c r="D146" s="13"/>
      <c r="F146" s="14"/>
      <c r="G146" s="14"/>
      <c r="H146" s="14"/>
      <c r="I146" s="14"/>
      <c r="J146" s="14"/>
      <c r="K146" s="12"/>
    </row>
    <row r="147" ht="19.5" customHeight="1">
      <c r="A147" s="12"/>
      <c r="C147" s="12"/>
      <c r="D147" s="13"/>
      <c r="F147" s="14"/>
      <c r="G147" s="14"/>
      <c r="H147" s="14"/>
      <c r="I147" s="14"/>
      <c r="J147" s="14"/>
      <c r="K147" s="12"/>
    </row>
    <row r="148" ht="19.5" customHeight="1">
      <c r="A148" s="12"/>
      <c r="C148" s="12"/>
      <c r="D148" s="13"/>
      <c r="F148" s="14"/>
      <c r="G148" s="14"/>
      <c r="H148" s="14"/>
      <c r="I148" s="14"/>
      <c r="J148" s="14"/>
      <c r="K148" s="12"/>
    </row>
    <row r="149" ht="19.5" customHeight="1">
      <c r="A149" s="12"/>
      <c r="C149" s="12"/>
      <c r="D149" s="13"/>
      <c r="F149" s="14"/>
      <c r="G149" s="14"/>
      <c r="H149" s="14"/>
      <c r="I149" s="14"/>
      <c r="J149" s="14"/>
      <c r="K149" s="12"/>
    </row>
    <row r="150" ht="19.5" customHeight="1">
      <c r="A150" s="12"/>
      <c r="C150" s="12"/>
      <c r="D150" s="13"/>
      <c r="F150" s="14"/>
      <c r="G150" s="14"/>
      <c r="H150" s="14"/>
      <c r="I150" s="14"/>
      <c r="J150" s="14"/>
      <c r="K150" s="12"/>
    </row>
    <row r="151" ht="19.5" customHeight="1">
      <c r="A151" s="12"/>
      <c r="C151" s="12"/>
      <c r="D151" s="13"/>
      <c r="F151" s="14"/>
      <c r="G151" s="14"/>
      <c r="H151" s="14"/>
      <c r="I151" s="14"/>
      <c r="J151" s="14"/>
      <c r="K151" s="12"/>
    </row>
    <row r="152" ht="19.5" customHeight="1">
      <c r="A152" s="12"/>
      <c r="C152" s="12"/>
      <c r="D152" s="13"/>
      <c r="F152" s="14"/>
      <c r="G152" s="14"/>
      <c r="H152" s="14"/>
      <c r="I152" s="14"/>
      <c r="J152" s="14"/>
      <c r="K152" s="12"/>
    </row>
    <row r="153" ht="19.5" customHeight="1">
      <c r="A153" s="12"/>
      <c r="C153" s="12"/>
      <c r="D153" s="13"/>
      <c r="F153" s="14"/>
      <c r="G153" s="14"/>
      <c r="H153" s="14"/>
      <c r="I153" s="14"/>
      <c r="J153" s="14"/>
      <c r="K153" s="12"/>
    </row>
    <row r="154" ht="19.5" customHeight="1">
      <c r="A154" s="12"/>
      <c r="C154" s="12"/>
      <c r="D154" s="13"/>
      <c r="F154" s="14"/>
      <c r="G154" s="14"/>
      <c r="H154" s="14"/>
      <c r="I154" s="14"/>
      <c r="J154" s="14"/>
      <c r="K154" s="12"/>
    </row>
    <row r="155" ht="19.5" customHeight="1">
      <c r="A155" s="12"/>
      <c r="C155" s="12"/>
      <c r="D155" s="13"/>
      <c r="F155" s="14"/>
      <c r="G155" s="14"/>
      <c r="H155" s="14"/>
      <c r="I155" s="14"/>
      <c r="J155" s="14"/>
      <c r="K155" s="12"/>
    </row>
    <row r="156" ht="19.5" customHeight="1">
      <c r="A156" s="12"/>
      <c r="C156" s="12"/>
      <c r="D156" s="13"/>
      <c r="F156" s="14"/>
      <c r="G156" s="14"/>
      <c r="H156" s="14"/>
      <c r="I156" s="14"/>
      <c r="J156" s="14"/>
      <c r="K156" s="12"/>
    </row>
    <row r="157" ht="19.5" customHeight="1">
      <c r="A157" s="12"/>
      <c r="C157" s="12"/>
      <c r="D157" s="13"/>
      <c r="F157" s="14"/>
      <c r="G157" s="14"/>
      <c r="H157" s="14"/>
      <c r="I157" s="14"/>
      <c r="J157" s="14"/>
      <c r="K157" s="12"/>
    </row>
    <row r="158" ht="19.5" customHeight="1">
      <c r="A158" s="12"/>
      <c r="C158" s="12"/>
      <c r="D158" s="13"/>
      <c r="F158" s="14"/>
      <c r="G158" s="14"/>
      <c r="H158" s="14"/>
      <c r="I158" s="14"/>
      <c r="J158" s="14"/>
      <c r="K158" s="12"/>
    </row>
    <row r="159" ht="19.5" customHeight="1">
      <c r="A159" s="12"/>
      <c r="C159" s="12"/>
      <c r="D159" s="13"/>
      <c r="F159" s="14"/>
      <c r="G159" s="14"/>
      <c r="H159" s="14"/>
      <c r="I159" s="14"/>
      <c r="J159" s="14"/>
      <c r="K159" s="12"/>
    </row>
    <row r="160" ht="19.5" customHeight="1">
      <c r="A160" s="12"/>
      <c r="C160" s="12"/>
      <c r="D160" s="13"/>
      <c r="F160" s="14"/>
      <c r="G160" s="14"/>
      <c r="H160" s="14"/>
      <c r="I160" s="14"/>
      <c r="J160" s="14"/>
      <c r="K160" s="12"/>
    </row>
    <row r="161" ht="19.5" customHeight="1">
      <c r="A161" s="12"/>
      <c r="C161" s="12"/>
      <c r="D161" s="13"/>
      <c r="F161" s="14"/>
      <c r="G161" s="14"/>
      <c r="H161" s="14"/>
      <c r="I161" s="14"/>
      <c r="J161" s="14"/>
      <c r="K161" s="12"/>
    </row>
    <row r="162" ht="19.5" customHeight="1">
      <c r="A162" s="12"/>
      <c r="C162" s="12"/>
      <c r="D162" s="13"/>
      <c r="F162" s="14"/>
      <c r="G162" s="14"/>
      <c r="H162" s="14"/>
      <c r="I162" s="14"/>
      <c r="J162" s="14"/>
      <c r="K162" s="12"/>
    </row>
    <row r="163" ht="19.5" customHeight="1">
      <c r="A163" s="12"/>
      <c r="C163" s="12"/>
      <c r="D163" s="13"/>
      <c r="F163" s="14"/>
      <c r="G163" s="14"/>
      <c r="H163" s="14"/>
      <c r="I163" s="14"/>
      <c r="J163" s="14"/>
      <c r="K163" s="12"/>
    </row>
    <row r="164" ht="19.5" customHeight="1">
      <c r="A164" s="12"/>
      <c r="C164" s="12"/>
      <c r="D164" s="13"/>
      <c r="F164" s="14"/>
      <c r="G164" s="14"/>
      <c r="H164" s="14"/>
      <c r="I164" s="14"/>
      <c r="J164" s="14"/>
      <c r="K164" s="12"/>
    </row>
    <row r="165" ht="19.5" customHeight="1">
      <c r="A165" s="12"/>
      <c r="C165" s="12"/>
      <c r="D165" s="13"/>
      <c r="F165" s="14"/>
      <c r="G165" s="14"/>
      <c r="H165" s="14"/>
      <c r="I165" s="14"/>
      <c r="J165" s="14"/>
      <c r="K165" s="12"/>
    </row>
    <row r="166" ht="19.5" customHeight="1">
      <c r="A166" s="12"/>
      <c r="C166" s="12"/>
      <c r="D166" s="13"/>
      <c r="F166" s="14"/>
      <c r="G166" s="14"/>
      <c r="H166" s="14"/>
      <c r="I166" s="14"/>
      <c r="J166" s="14"/>
      <c r="K166" s="12"/>
    </row>
    <row r="167" ht="19.5" customHeight="1">
      <c r="A167" s="12"/>
      <c r="C167" s="12"/>
      <c r="D167" s="13"/>
      <c r="F167" s="14"/>
      <c r="G167" s="14"/>
      <c r="H167" s="14"/>
      <c r="I167" s="14"/>
      <c r="J167" s="14"/>
      <c r="K167" s="12"/>
    </row>
    <row r="168" ht="19.5" customHeight="1">
      <c r="A168" s="12"/>
      <c r="C168" s="12"/>
      <c r="D168" s="13"/>
      <c r="F168" s="14"/>
      <c r="G168" s="14"/>
      <c r="H168" s="14"/>
      <c r="I168" s="14"/>
      <c r="J168" s="14"/>
      <c r="K168" s="12"/>
    </row>
    <row r="169" ht="19.5" customHeight="1">
      <c r="A169" s="12"/>
      <c r="C169" s="12"/>
      <c r="D169" s="13"/>
      <c r="F169" s="14"/>
      <c r="G169" s="14"/>
      <c r="H169" s="14"/>
      <c r="I169" s="14"/>
      <c r="J169" s="14"/>
      <c r="K169" s="12"/>
    </row>
    <row r="170" ht="19.5" customHeight="1">
      <c r="A170" s="12"/>
      <c r="C170" s="12"/>
      <c r="D170" s="13"/>
      <c r="F170" s="14"/>
      <c r="G170" s="14"/>
      <c r="H170" s="14"/>
      <c r="I170" s="14"/>
      <c r="J170" s="14"/>
      <c r="K170" s="12"/>
    </row>
    <row r="171" ht="19.5" customHeight="1">
      <c r="A171" s="12"/>
      <c r="C171" s="12"/>
      <c r="D171" s="13"/>
      <c r="F171" s="14"/>
      <c r="G171" s="14"/>
      <c r="H171" s="14"/>
      <c r="I171" s="14"/>
      <c r="J171" s="14"/>
      <c r="K171" s="12"/>
    </row>
    <row r="172" ht="19.5" customHeight="1">
      <c r="A172" s="12"/>
      <c r="C172" s="12"/>
      <c r="D172" s="13"/>
      <c r="F172" s="14"/>
      <c r="G172" s="14"/>
      <c r="H172" s="14"/>
      <c r="I172" s="14"/>
      <c r="J172" s="14"/>
      <c r="K172" s="12"/>
    </row>
    <row r="173" ht="19.5" customHeight="1">
      <c r="A173" s="12"/>
      <c r="C173" s="12"/>
      <c r="D173" s="13"/>
      <c r="F173" s="14"/>
      <c r="G173" s="14"/>
      <c r="H173" s="14"/>
      <c r="I173" s="14"/>
      <c r="J173" s="14"/>
      <c r="K173" s="12"/>
    </row>
    <row r="174" ht="19.5" customHeight="1">
      <c r="A174" s="12"/>
      <c r="C174" s="12"/>
      <c r="D174" s="13"/>
      <c r="F174" s="14"/>
      <c r="G174" s="14"/>
      <c r="H174" s="14"/>
      <c r="I174" s="14"/>
      <c r="J174" s="14"/>
      <c r="K174" s="12"/>
    </row>
    <row r="175" ht="19.5" customHeight="1">
      <c r="A175" s="12"/>
      <c r="C175" s="12"/>
      <c r="D175" s="13"/>
      <c r="F175" s="14"/>
      <c r="G175" s="14"/>
      <c r="H175" s="14"/>
      <c r="I175" s="14"/>
      <c r="J175" s="14"/>
      <c r="K175" s="12"/>
    </row>
    <row r="176" ht="19.5" customHeight="1">
      <c r="A176" s="12"/>
      <c r="C176" s="12"/>
      <c r="D176" s="13"/>
      <c r="F176" s="14"/>
      <c r="G176" s="14"/>
      <c r="H176" s="14"/>
      <c r="I176" s="14"/>
      <c r="J176" s="14"/>
      <c r="K176" s="12"/>
    </row>
    <row r="177" ht="19.5" customHeight="1">
      <c r="A177" s="12"/>
      <c r="C177" s="12"/>
      <c r="D177" s="13"/>
      <c r="F177" s="14"/>
      <c r="G177" s="14"/>
      <c r="H177" s="14"/>
      <c r="I177" s="14"/>
      <c r="J177" s="14"/>
      <c r="K177" s="12"/>
    </row>
    <row r="178" ht="19.5" customHeight="1">
      <c r="A178" s="12"/>
      <c r="C178" s="12"/>
      <c r="D178" s="13"/>
      <c r="F178" s="14"/>
      <c r="G178" s="14"/>
      <c r="H178" s="14"/>
      <c r="I178" s="14"/>
      <c r="J178" s="14"/>
      <c r="K178" s="12"/>
    </row>
    <row r="179" ht="19.5" customHeight="1">
      <c r="A179" s="12"/>
      <c r="C179" s="12"/>
      <c r="D179" s="13"/>
      <c r="F179" s="14"/>
      <c r="G179" s="14"/>
      <c r="H179" s="14"/>
      <c r="I179" s="14"/>
      <c r="J179" s="14"/>
      <c r="K179" s="12"/>
    </row>
    <row r="180" ht="19.5" customHeight="1">
      <c r="A180" s="12"/>
      <c r="C180" s="12"/>
      <c r="D180" s="13"/>
      <c r="F180" s="14"/>
      <c r="G180" s="14"/>
      <c r="H180" s="14"/>
      <c r="I180" s="14"/>
      <c r="J180" s="14"/>
      <c r="K180" s="12"/>
    </row>
    <row r="181" ht="19.5" customHeight="1">
      <c r="A181" s="12"/>
      <c r="C181" s="12"/>
      <c r="D181" s="13"/>
      <c r="F181" s="14"/>
      <c r="G181" s="14"/>
      <c r="H181" s="14"/>
      <c r="I181" s="14"/>
      <c r="J181" s="14"/>
      <c r="K181" s="12"/>
    </row>
    <row r="182" ht="19.5" customHeight="1">
      <c r="A182" s="12"/>
      <c r="C182" s="12"/>
      <c r="D182" s="13"/>
      <c r="F182" s="14"/>
      <c r="G182" s="14"/>
      <c r="H182" s="14"/>
      <c r="I182" s="14"/>
      <c r="J182" s="14"/>
      <c r="K182" s="12"/>
    </row>
    <row r="183" ht="19.5" customHeight="1">
      <c r="A183" s="12"/>
      <c r="C183" s="12"/>
      <c r="D183" s="13"/>
      <c r="F183" s="14"/>
      <c r="G183" s="14"/>
      <c r="H183" s="14"/>
      <c r="I183" s="14"/>
      <c r="J183" s="14"/>
      <c r="K183" s="12"/>
    </row>
    <row r="184" ht="19.5" customHeight="1">
      <c r="A184" s="12"/>
      <c r="C184" s="12"/>
      <c r="D184" s="13"/>
      <c r="F184" s="14"/>
      <c r="G184" s="14"/>
      <c r="H184" s="14"/>
      <c r="I184" s="14"/>
      <c r="J184" s="14"/>
      <c r="K184" s="12"/>
    </row>
    <row r="185" ht="19.5" customHeight="1">
      <c r="A185" s="12"/>
      <c r="C185" s="12"/>
      <c r="D185" s="13"/>
      <c r="F185" s="14"/>
      <c r="G185" s="14"/>
      <c r="H185" s="14"/>
      <c r="I185" s="14"/>
      <c r="J185" s="14"/>
      <c r="K185" s="12"/>
    </row>
    <row r="186" ht="19.5" customHeight="1">
      <c r="A186" s="12"/>
      <c r="C186" s="12"/>
      <c r="D186" s="13"/>
      <c r="F186" s="14"/>
      <c r="G186" s="14"/>
      <c r="H186" s="14"/>
      <c r="I186" s="14"/>
      <c r="J186" s="14"/>
      <c r="K186" s="12"/>
    </row>
    <row r="187" ht="19.5" customHeight="1">
      <c r="A187" s="12"/>
      <c r="C187" s="12"/>
      <c r="D187" s="13"/>
      <c r="F187" s="14"/>
      <c r="G187" s="14"/>
      <c r="H187" s="14"/>
      <c r="I187" s="14"/>
      <c r="J187" s="14"/>
      <c r="K187" s="12"/>
    </row>
    <row r="188" ht="19.5" customHeight="1">
      <c r="A188" s="12"/>
      <c r="C188" s="12"/>
      <c r="D188" s="13"/>
      <c r="F188" s="14"/>
      <c r="G188" s="14"/>
      <c r="H188" s="14"/>
      <c r="I188" s="14"/>
      <c r="J188" s="14"/>
      <c r="K188" s="12"/>
    </row>
    <row r="189" ht="19.5" customHeight="1">
      <c r="A189" s="12"/>
      <c r="C189" s="12"/>
      <c r="D189" s="13"/>
      <c r="F189" s="14"/>
      <c r="G189" s="14"/>
      <c r="H189" s="14"/>
      <c r="I189" s="14"/>
      <c r="J189" s="14"/>
      <c r="K189" s="12"/>
    </row>
    <row r="190" ht="19.5" customHeight="1">
      <c r="A190" s="12"/>
      <c r="C190" s="12"/>
      <c r="D190" s="13"/>
      <c r="F190" s="14"/>
      <c r="G190" s="14"/>
      <c r="H190" s="14"/>
      <c r="I190" s="14"/>
      <c r="J190" s="14"/>
      <c r="K190" s="12"/>
    </row>
    <row r="191" ht="19.5" customHeight="1">
      <c r="A191" s="12"/>
      <c r="C191" s="12"/>
      <c r="D191" s="13"/>
      <c r="F191" s="14"/>
      <c r="G191" s="14"/>
      <c r="H191" s="14"/>
      <c r="I191" s="14"/>
      <c r="J191" s="14"/>
      <c r="K191" s="12"/>
    </row>
    <row r="192" ht="19.5" customHeight="1">
      <c r="A192" s="12"/>
      <c r="C192" s="12"/>
      <c r="D192" s="13"/>
      <c r="F192" s="14"/>
      <c r="G192" s="14"/>
      <c r="H192" s="14"/>
      <c r="I192" s="14"/>
      <c r="J192" s="14"/>
      <c r="K192" s="12"/>
    </row>
    <row r="193" ht="19.5" customHeight="1">
      <c r="A193" s="12"/>
      <c r="C193" s="12"/>
      <c r="D193" s="13"/>
      <c r="F193" s="14"/>
      <c r="G193" s="14"/>
      <c r="H193" s="14"/>
      <c r="I193" s="14"/>
      <c r="J193" s="14"/>
      <c r="K193" s="12"/>
    </row>
    <row r="194" ht="19.5" customHeight="1">
      <c r="A194" s="12"/>
      <c r="C194" s="12"/>
      <c r="D194" s="13"/>
      <c r="F194" s="14"/>
      <c r="G194" s="14"/>
      <c r="H194" s="14"/>
      <c r="I194" s="14"/>
      <c r="J194" s="14"/>
      <c r="K194" s="12"/>
    </row>
    <row r="195" ht="19.5" customHeight="1">
      <c r="A195" s="12"/>
      <c r="C195" s="12"/>
      <c r="D195" s="13"/>
      <c r="F195" s="14"/>
      <c r="G195" s="14"/>
      <c r="H195" s="14"/>
      <c r="I195" s="14"/>
      <c r="J195" s="14"/>
      <c r="K195" s="12"/>
    </row>
    <row r="196" ht="19.5" customHeight="1">
      <c r="A196" s="12"/>
      <c r="C196" s="12"/>
      <c r="D196" s="13"/>
      <c r="F196" s="14"/>
      <c r="G196" s="14"/>
      <c r="H196" s="14"/>
      <c r="I196" s="14"/>
      <c r="J196" s="14"/>
      <c r="K196" s="12"/>
    </row>
    <row r="197" ht="19.5" customHeight="1">
      <c r="A197" s="12"/>
      <c r="C197" s="12"/>
      <c r="D197" s="13"/>
      <c r="F197" s="14"/>
      <c r="G197" s="14"/>
      <c r="H197" s="14"/>
      <c r="I197" s="14"/>
      <c r="J197" s="14"/>
      <c r="K197" s="12"/>
    </row>
    <row r="198" ht="19.5" customHeight="1">
      <c r="A198" s="12"/>
      <c r="C198" s="12"/>
      <c r="D198" s="13"/>
      <c r="F198" s="14"/>
      <c r="G198" s="14"/>
      <c r="H198" s="14"/>
      <c r="I198" s="14"/>
      <c r="J198" s="14"/>
      <c r="K198" s="12"/>
    </row>
    <row r="199" ht="19.5" customHeight="1">
      <c r="A199" s="12"/>
      <c r="C199" s="12"/>
      <c r="D199" s="13"/>
      <c r="F199" s="14"/>
      <c r="G199" s="14"/>
      <c r="H199" s="14"/>
      <c r="I199" s="14"/>
      <c r="J199" s="14"/>
      <c r="K199" s="12"/>
    </row>
    <row r="200" ht="19.5" customHeight="1">
      <c r="A200" s="12"/>
      <c r="C200" s="12"/>
      <c r="D200" s="13"/>
      <c r="F200" s="14"/>
      <c r="G200" s="14"/>
      <c r="H200" s="14"/>
      <c r="I200" s="14"/>
      <c r="J200" s="14"/>
      <c r="K200" s="12"/>
    </row>
    <row r="201" ht="19.5" customHeight="1">
      <c r="A201" s="12"/>
      <c r="C201" s="12"/>
      <c r="D201" s="13"/>
      <c r="F201" s="14"/>
      <c r="G201" s="14"/>
      <c r="H201" s="14"/>
      <c r="I201" s="14"/>
      <c r="J201" s="14"/>
      <c r="K201" s="12"/>
    </row>
    <row r="202" ht="19.5" customHeight="1">
      <c r="A202" s="12"/>
      <c r="C202" s="12"/>
      <c r="D202" s="13"/>
      <c r="F202" s="14"/>
      <c r="G202" s="14"/>
      <c r="H202" s="14"/>
      <c r="I202" s="14"/>
      <c r="J202" s="14"/>
      <c r="K202" s="12"/>
    </row>
    <row r="203" ht="19.5" customHeight="1">
      <c r="A203" s="12"/>
      <c r="C203" s="12"/>
      <c r="D203" s="13"/>
      <c r="F203" s="14"/>
      <c r="G203" s="14"/>
      <c r="H203" s="14"/>
      <c r="I203" s="14"/>
      <c r="J203" s="14"/>
      <c r="K203" s="12"/>
    </row>
    <row r="204" ht="19.5" customHeight="1">
      <c r="A204" s="12"/>
      <c r="C204" s="12"/>
      <c r="D204" s="13"/>
      <c r="F204" s="14"/>
      <c r="G204" s="14"/>
      <c r="H204" s="14"/>
      <c r="I204" s="14"/>
      <c r="J204" s="14"/>
      <c r="K204" s="12"/>
    </row>
    <row r="205" ht="19.5" customHeight="1">
      <c r="A205" s="12"/>
      <c r="C205" s="12"/>
      <c r="D205" s="13"/>
      <c r="F205" s="14"/>
      <c r="G205" s="14"/>
      <c r="H205" s="14"/>
      <c r="I205" s="14"/>
      <c r="J205" s="14"/>
      <c r="K205" s="12"/>
    </row>
    <row r="206" ht="19.5" customHeight="1">
      <c r="A206" s="12"/>
      <c r="C206" s="12"/>
      <c r="D206" s="13"/>
      <c r="F206" s="14"/>
      <c r="G206" s="14"/>
      <c r="H206" s="14"/>
      <c r="I206" s="14"/>
      <c r="J206" s="14"/>
      <c r="K206" s="12"/>
    </row>
    <row r="207" ht="19.5" customHeight="1">
      <c r="A207" s="12"/>
      <c r="C207" s="12"/>
      <c r="D207" s="13"/>
      <c r="F207" s="14"/>
      <c r="G207" s="14"/>
      <c r="H207" s="14"/>
      <c r="I207" s="14"/>
      <c r="J207" s="14"/>
      <c r="K207" s="12"/>
    </row>
    <row r="208" ht="19.5" customHeight="1">
      <c r="A208" s="12"/>
      <c r="C208" s="12"/>
      <c r="D208" s="13"/>
      <c r="F208" s="14"/>
      <c r="G208" s="14"/>
      <c r="H208" s="14"/>
      <c r="I208" s="14"/>
      <c r="J208" s="14"/>
      <c r="K208" s="12"/>
    </row>
    <row r="209" ht="19.5" customHeight="1">
      <c r="A209" s="12"/>
      <c r="C209" s="12"/>
      <c r="D209" s="13"/>
      <c r="F209" s="14"/>
      <c r="G209" s="14"/>
      <c r="H209" s="14"/>
      <c r="I209" s="14"/>
      <c r="J209" s="14"/>
      <c r="K209" s="12"/>
    </row>
    <row r="210" ht="19.5" customHeight="1">
      <c r="A210" s="12"/>
      <c r="C210" s="12"/>
      <c r="D210" s="13"/>
      <c r="F210" s="14"/>
      <c r="G210" s="14"/>
      <c r="H210" s="14"/>
      <c r="I210" s="14"/>
      <c r="J210" s="14"/>
      <c r="K210" s="12"/>
    </row>
    <row r="211" ht="19.5" customHeight="1">
      <c r="A211" s="12"/>
      <c r="C211" s="12"/>
      <c r="D211" s="13"/>
      <c r="F211" s="14"/>
      <c r="G211" s="14"/>
      <c r="H211" s="14"/>
      <c r="I211" s="14"/>
      <c r="J211" s="14"/>
      <c r="K211" s="12"/>
    </row>
    <row r="212" ht="19.5" customHeight="1">
      <c r="A212" s="12"/>
      <c r="C212" s="12"/>
      <c r="D212" s="13"/>
      <c r="F212" s="14"/>
      <c r="G212" s="14"/>
      <c r="H212" s="14"/>
      <c r="I212" s="14"/>
      <c r="J212" s="14"/>
      <c r="K212" s="12"/>
    </row>
    <row r="213" ht="19.5" customHeight="1">
      <c r="A213" s="12"/>
      <c r="C213" s="12"/>
      <c r="D213" s="13"/>
      <c r="F213" s="14"/>
      <c r="G213" s="14"/>
      <c r="H213" s="14"/>
      <c r="I213" s="14"/>
      <c r="J213" s="14"/>
      <c r="K213" s="12"/>
    </row>
    <row r="214" ht="19.5" customHeight="1">
      <c r="A214" s="12"/>
      <c r="C214" s="12"/>
      <c r="D214" s="13"/>
      <c r="F214" s="14"/>
      <c r="G214" s="14"/>
      <c r="H214" s="14"/>
      <c r="I214" s="14"/>
      <c r="J214" s="14"/>
      <c r="K214" s="12"/>
    </row>
    <row r="215" ht="19.5" customHeight="1">
      <c r="A215" s="12"/>
      <c r="C215" s="12"/>
      <c r="D215" s="13"/>
      <c r="F215" s="14"/>
      <c r="G215" s="14"/>
      <c r="H215" s="14"/>
      <c r="I215" s="14"/>
      <c r="J215" s="14"/>
      <c r="K215" s="12"/>
    </row>
    <row r="216" ht="19.5" customHeight="1">
      <c r="A216" s="12"/>
      <c r="C216" s="12"/>
      <c r="D216" s="13"/>
      <c r="F216" s="14"/>
      <c r="G216" s="14"/>
      <c r="H216" s="14"/>
      <c r="I216" s="14"/>
      <c r="J216" s="14"/>
      <c r="K216" s="12"/>
    </row>
    <row r="217" ht="19.5" customHeight="1">
      <c r="A217" s="12"/>
      <c r="C217" s="12"/>
      <c r="D217" s="13"/>
      <c r="F217" s="14"/>
      <c r="G217" s="14"/>
      <c r="H217" s="14"/>
      <c r="I217" s="14"/>
      <c r="J217" s="14"/>
      <c r="K217" s="12"/>
    </row>
    <row r="218" ht="19.5" customHeight="1">
      <c r="A218" s="12"/>
      <c r="C218" s="12"/>
      <c r="D218" s="13"/>
      <c r="F218" s="14"/>
      <c r="G218" s="14"/>
      <c r="H218" s="14"/>
      <c r="I218" s="14"/>
      <c r="J218" s="14"/>
      <c r="K218" s="12"/>
    </row>
    <row r="219" ht="19.5" customHeight="1">
      <c r="A219" s="12"/>
      <c r="C219" s="12"/>
      <c r="D219" s="13"/>
      <c r="F219" s="14"/>
      <c r="G219" s="14"/>
      <c r="H219" s="14"/>
      <c r="I219" s="14"/>
      <c r="J219" s="14"/>
      <c r="K219" s="12"/>
    </row>
    <row r="220" ht="19.5" customHeight="1">
      <c r="A220" s="12"/>
      <c r="C220" s="12"/>
      <c r="D220" s="13"/>
      <c r="F220" s="14"/>
      <c r="G220" s="14"/>
      <c r="H220" s="14"/>
      <c r="I220" s="14"/>
      <c r="J220" s="14"/>
      <c r="K220" s="12"/>
    </row>
    <row r="221" ht="19.5" customHeight="1">
      <c r="A221" s="12"/>
      <c r="C221" s="12"/>
      <c r="D221" s="13"/>
      <c r="F221" s="14"/>
      <c r="G221" s="14"/>
      <c r="H221" s="14"/>
      <c r="I221" s="14"/>
      <c r="J221" s="14"/>
      <c r="K221" s="12"/>
    </row>
    <row r="222" ht="19.5" customHeight="1">
      <c r="A222" s="12"/>
      <c r="C222" s="12"/>
      <c r="D222" s="13"/>
      <c r="F222" s="14"/>
      <c r="G222" s="14"/>
      <c r="H222" s="14"/>
      <c r="I222" s="14"/>
      <c r="J222" s="14"/>
      <c r="K222" s="12"/>
    </row>
    <row r="223" ht="19.5" customHeight="1">
      <c r="A223" s="12"/>
      <c r="C223" s="12"/>
      <c r="D223" s="13"/>
      <c r="F223" s="14"/>
      <c r="G223" s="14"/>
      <c r="H223" s="14"/>
      <c r="I223" s="14"/>
      <c r="J223" s="14"/>
      <c r="K223" s="12"/>
    </row>
    <row r="224" ht="19.5" customHeight="1">
      <c r="A224" s="12"/>
      <c r="C224" s="12"/>
      <c r="D224" s="13"/>
      <c r="F224" s="14"/>
      <c r="G224" s="14"/>
      <c r="H224" s="14"/>
      <c r="I224" s="14"/>
      <c r="J224" s="14"/>
      <c r="K224" s="12"/>
    </row>
    <row r="225" ht="19.5" customHeight="1">
      <c r="A225" s="12"/>
      <c r="C225" s="12"/>
      <c r="D225" s="13"/>
      <c r="F225" s="14"/>
      <c r="G225" s="14"/>
      <c r="H225" s="14"/>
      <c r="I225" s="14"/>
      <c r="J225" s="14"/>
      <c r="K225" s="12"/>
    </row>
    <row r="226" ht="19.5" customHeight="1">
      <c r="A226" s="12"/>
      <c r="C226" s="12"/>
      <c r="D226" s="13"/>
      <c r="F226" s="14"/>
      <c r="G226" s="14"/>
      <c r="H226" s="14"/>
      <c r="I226" s="14"/>
      <c r="J226" s="14"/>
      <c r="K226" s="12"/>
    </row>
    <row r="227" ht="19.5" customHeight="1">
      <c r="A227" s="12"/>
      <c r="C227" s="12"/>
      <c r="D227" s="13"/>
      <c r="F227" s="14"/>
      <c r="G227" s="14"/>
      <c r="H227" s="14"/>
      <c r="I227" s="14"/>
      <c r="J227" s="14"/>
      <c r="K227" s="12"/>
    </row>
    <row r="228" ht="19.5" customHeight="1">
      <c r="A228" s="12"/>
      <c r="C228" s="12"/>
      <c r="D228" s="13"/>
      <c r="F228" s="14"/>
      <c r="G228" s="14"/>
      <c r="H228" s="14"/>
      <c r="I228" s="14"/>
      <c r="J228" s="14"/>
      <c r="K228" s="12"/>
    </row>
    <row r="229" ht="19.5" customHeight="1">
      <c r="A229" s="12"/>
      <c r="C229" s="12"/>
      <c r="D229" s="13"/>
      <c r="F229" s="14"/>
      <c r="G229" s="14"/>
      <c r="H229" s="14"/>
      <c r="I229" s="14"/>
      <c r="J229" s="14"/>
      <c r="K229" s="12"/>
    </row>
    <row r="230" ht="19.5" customHeight="1">
      <c r="A230" s="12"/>
      <c r="C230" s="12"/>
      <c r="D230" s="13"/>
      <c r="F230" s="14"/>
      <c r="G230" s="14"/>
      <c r="H230" s="14"/>
      <c r="I230" s="14"/>
      <c r="J230" s="14"/>
      <c r="K230" s="12"/>
    </row>
    <row r="231" ht="19.5" customHeight="1">
      <c r="A231" s="12"/>
      <c r="C231" s="12"/>
      <c r="D231" s="13"/>
      <c r="F231" s="14"/>
      <c r="G231" s="14"/>
      <c r="H231" s="14"/>
      <c r="I231" s="14"/>
      <c r="J231" s="14"/>
      <c r="K231" s="12"/>
    </row>
    <row r="232" ht="19.5" customHeight="1">
      <c r="A232" s="12"/>
      <c r="C232" s="12"/>
      <c r="D232" s="13"/>
      <c r="F232" s="14"/>
      <c r="G232" s="14"/>
      <c r="H232" s="14"/>
      <c r="I232" s="14"/>
      <c r="J232" s="14"/>
      <c r="K232" s="12"/>
    </row>
    <row r="233" ht="19.5" customHeight="1">
      <c r="A233" s="12"/>
      <c r="C233" s="12"/>
      <c r="D233" s="13"/>
      <c r="F233" s="14"/>
      <c r="G233" s="14"/>
      <c r="H233" s="14"/>
      <c r="I233" s="14"/>
      <c r="J233" s="14"/>
      <c r="K233" s="12"/>
    </row>
    <row r="234" ht="19.5" customHeight="1">
      <c r="A234" s="12"/>
      <c r="C234" s="12"/>
      <c r="D234" s="13"/>
      <c r="F234" s="14"/>
      <c r="G234" s="14"/>
      <c r="H234" s="14"/>
      <c r="I234" s="14"/>
      <c r="J234" s="14"/>
      <c r="K234" s="12"/>
    </row>
    <row r="235" ht="19.5" customHeight="1">
      <c r="A235" s="12"/>
      <c r="C235" s="12"/>
      <c r="D235" s="13"/>
      <c r="F235" s="14"/>
      <c r="G235" s="14"/>
      <c r="H235" s="14"/>
      <c r="I235" s="14"/>
      <c r="J235" s="14"/>
      <c r="K235" s="12"/>
    </row>
    <row r="236" ht="19.5" customHeight="1">
      <c r="A236" s="12"/>
      <c r="C236" s="12"/>
      <c r="D236" s="13"/>
      <c r="F236" s="14"/>
      <c r="G236" s="14"/>
      <c r="H236" s="14"/>
      <c r="I236" s="14"/>
      <c r="J236" s="14"/>
      <c r="K236" s="12"/>
    </row>
    <row r="237" ht="19.5" customHeight="1">
      <c r="A237" s="12"/>
      <c r="C237" s="12"/>
      <c r="D237" s="13"/>
      <c r="F237" s="14"/>
      <c r="G237" s="14"/>
      <c r="H237" s="14"/>
      <c r="I237" s="14"/>
      <c r="J237" s="14"/>
      <c r="K237" s="12"/>
    </row>
    <row r="238" ht="19.5" customHeight="1">
      <c r="A238" s="12"/>
      <c r="C238" s="12"/>
      <c r="D238" s="13"/>
      <c r="F238" s="14"/>
      <c r="G238" s="14"/>
      <c r="H238" s="14"/>
      <c r="I238" s="14"/>
      <c r="J238" s="14"/>
      <c r="K238" s="12"/>
    </row>
    <row r="239" ht="19.5" customHeight="1">
      <c r="A239" s="12"/>
      <c r="C239" s="12"/>
      <c r="D239" s="13"/>
      <c r="F239" s="14"/>
      <c r="G239" s="14"/>
      <c r="H239" s="14"/>
      <c r="I239" s="14"/>
      <c r="J239" s="14"/>
      <c r="K239" s="12"/>
    </row>
    <row r="240" ht="19.5" customHeight="1">
      <c r="A240" s="12"/>
      <c r="C240" s="12"/>
      <c r="D240" s="13"/>
      <c r="F240" s="14"/>
      <c r="G240" s="14"/>
      <c r="H240" s="14"/>
      <c r="I240" s="14"/>
      <c r="J240" s="14"/>
      <c r="K240" s="12"/>
    </row>
    <row r="241" ht="19.5" customHeight="1">
      <c r="A241" s="12"/>
      <c r="C241" s="12"/>
      <c r="D241" s="13"/>
      <c r="F241" s="14"/>
      <c r="G241" s="14"/>
      <c r="H241" s="14"/>
      <c r="I241" s="14"/>
      <c r="J241" s="14"/>
      <c r="K241" s="12"/>
    </row>
    <row r="242" ht="19.5" customHeight="1">
      <c r="A242" s="12"/>
      <c r="C242" s="12"/>
      <c r="D242" s="13"/>
      <c r="F242" s="14"/>
      <c r="G242" s="14"/>
      <c r="H242" s="14"/>
      <c r="I242" s="14"/>
      <c r="J242" s="14"/>
      <c r="K242" s="12"/>
    </row>
    <row r="243" ht="19.5" customHeight="1">
      <c r="A243" s="12"/>
      <c r="C243" s="12"/>
      <c r="D243" s="13"/>
      <c r="F243" s="14"/>
      <c r="G243" s="14"/>
      <c r="H243" s="14"/>
      <c r="I243" s="14"/>
      <c r="J243" s="14"/>
      <c r="K243" s="12"/>
    </row>
    <row r="244" ht="19.5" customHeight="1">
      <c r="A244" s="12"/>
      <c r="C244" s="12"/>
      <c r="D244" s="13"/>
      <c r="F244" s="14"/>
      <c r="G244" s="14"/>
      <c r="H244" s="14"/>
      <c r="I244" s="14"/>
      <c r="J244" s="14"/>
      <c r="K244" s="12"/>
    </row>
    <row r="245" ht="19.5" customHeight="1">
      <c r="A245" s="12"/>
      <c r="C245" s="12"/>
      <c r="D245" s="13"/>
      <c r="F245" s="14"/>
      <c r="G245" s="14"/>
      <c r="H245" s="14"/>
      <c r="I245" s="14"/>
      <c r="J245" s="14"/>
      <c r="K245" s="12"/>
    </row>
    <row r="246" ht="19.5" customHeight="1">
      <c r="A246" s="12"/>
      <c r="C246" s="12"/>
      <c r="D246" s="13"/>
      <c r="F246" s="14"/>
      <c r="G246" s="14"/>
      <c r="H246" s="14"/>
      <c r="I246" s="14"/>
      <c r="J246" s="14"/>
      <c r="K246" s="12"/>
    </row>
    <row r="247" ht="19.5" customHeight="1">
      <c r="A247" s="12"/>
      <c r="C247" s="12"/>
      <c r="D247" s="13"/>
      <c r="F247" s="14"/>
      <c r="G247" s="14"/>
      <c r="H247" s="14"/>
      <c r="I247" s="14"/>
      <c r="J247" s="14"/>
      <c r="K247" s="12"/>
    </row>
    <row r="248" ht="19.5" customHeight="1">
      <c r="A248" s="12"/>
      <c r="C248" s="12"/>
      <c r="D248" s="13"/>
      <c r="F248" s="14"/>
      <c r="G248" s="14"/>
      <c r="H248" s="14"/>
      <c r="I248" s="14"/>
      <c r="J248" s="14"/>
      <c r="K248" s="12"/>
    </row>
    <row r="249" ht="19.5" customHeight="1">
      <c r="A249" s="12"/>
      <c r="C249" s="12"/>
      <c r="D249" s="13"/>
      <c r="F249" s="14"/>
      <c r="G249" s="14"/>
      <c r="H249" s="14"/>
      <c r="I249" s="14"/>
      <c r="J249" s="14"/>
      <c r="K249" s="12"/>
    </row>
    <row r="250" ht="19.5" customHeight="1">
      <c r="A250" s="12"/>
      <c r="C250" s="12"/>
      <c r="D250" s="13"/>
      <c r="F250" s="14"/>
      <c r="G250" s="14"/>
      <c r="H250" s="14"/>
      <c r="I250" s="14"/>
      <c r="J250" s="14"/>
      <c r="K250" s="12"/>
    </row>
    <row r="251" ht="19.5" customHeight="1">
      <c r="A251" s="12"/>
      <c r="C251" s="12"/>
      <c r="D251" s="13"/>
      <c r="F251" s="14"/>
      <c r="G251" s="14"/>
      <c r="H251" s="14"/>
      <c r="I251" s="14"/>
      <c r="J251" s="14"/>
      <c r="K251" s="12"/>
    </row>
    <row r="252" ht="19.5" customHeight="1">
      <c r="A252" s="12"/>
      <c r="C252" s="12"/>
      <c r="D252" s="13"/>
      <c r="F252" s="14"/>
      <c r="G252" s="14"/>
      <c r="H252" s="14"/>
      <c r="I252" s="14"/>
      <c r="J252" s="14"/>
      <c r="K252" s="12"/>
    </row>
    <row r="253" ht="19.5" customHeight="1">
      <c r="A253" s="12"/>
      <c r="C253" s="12"/>
      <c r="D253" s="13"/>
      <c r="F253" s="14"/>
      <c r="G253" s="14"/>
      <c r="H253" s="14"/>
      <c r="I253" s="14"/>
      <c r="J253" s="14"/>
      <c r="K253" s="12"/>
    </row>
    <row r="254" ht="19.5" customHeight="1">
      <c r="A254" s="12"/>
      <c r="C254" s="12"/>
      <c r="D254" s="13"/>
      <c r="F254" s="14"/>
      <c r="G254" s="14"/>
      <c r="H254" s="14"/>
      <c r="I254" s="14"/>
      <c r="J254" s="14"/>
      <c r="K254" s="12"/>
    </row>
    <row r="255" ht="19.5" customHeight="1">
      <c r="A255" s="12"/>
      <c r="C255" s="12"/>
      <c r="D255" s="13"/>
      <c r="F255" s="14"/>
      <c r="G255" s="14"/>
      <c r="H255" s="14"/>
      <c r="I255" s="14"/>
      <c r="J255" s="14"/>
      <c r="K255" s="12"/>
    </row>
    <row r="256" ht="19.5" customHeight="1">
      <c r="A256" s="12"/>
      <c r="C256" s="12"/>
      <c r="D256" s="13"/>
      <c r="F256" s="14"/>
      <c r="G256" s="14"/>
      <c r="H256" s="14"/>
      <c r="I256" s="14"/>
      <c r="J256" s="14"/>
      <c r="K256" s="12"/>
    </row>
    <row r="257" ht="19.5" customHeight="1">
      <c r="A257" s="12"/>
      <c r="C257" s="12"/>
      <c r="D257" s="13"/>
      <c r="F257" s="14"/>
      <c r="G257" s="14"/>
      <c r="H257" s="14"/>
      <c r="I257" s="14"/>
      <c r="J257" s="14"/>
      <c r="K257" s="12"/>
    </row>
    <row r="258" ht="19.5" customHeight="1">
      <c r="A258" s="12"/>
      <c r="C258" s="12"/>
      <c r="D258" s="13"/>
      <c r="F258" s="14"/>
      <c r="G258" s="14"/>
      <c r="H258" s="14"/>
      <c r="I258" s="14"/>
      <c r="J258" s="14"/>
      <c r="K258" s="12"/>
    </row>
    <row r="259" ht="19.5" customHeight="1">
      <c r="A259" s="12"/>
      <c r="C259" s="12"/>
      <c r="D259" s="13"/>
      <c r="F259" s="14"/>
      <c r="G259" s="14"/>
      <c r="H259" s="14"/>
      <c r="I259" s="14"/>
      <c r="J259" s="14"/>
      <c r="K259" s="12"/>
    </row>
    <row r="260" ht="19.5" customHeight="1">
      <c r="A260" s="12"/>
      <c r="C260" s="12"/>
      <c r="D260" s="13"/>
      <c r="F260" s="14"/>
      <c r="G260" s="14"/>
      <c r="H260" s="14"/>
      <c r="I260" s="14"/>
      <c r="J260" s="14"/>
      <c r="K260" s="12"/>
    </row>
    <row r="261" ht="19.5" customHeight="1">
      <c r="A261" s="12"/>
      <c r="C261" s="12"/>
      <c r="D261" s="13"/>
      <c r="F261" s="14"/>
      <c r="G261" s="14"/>
      <c r="H261" s="14"/>
      <c r="I261" s="14"/>
      <c r="J261" s="14"/>
      <c r="K261" s="12"/>
    </row>
    <row r="262" ht="19.5" customHeight="1">
      <c r="A262" s="12"/>
      <c r="C262" s="12"/>
      <c r="D262" s="13"/>
      <c r="F262" s="14"/>
      <c r="G262" s="14"/>
      <c r="H262" s="14"/>
      <c r="I262" s="14"/>
      <c r="J262" s="14"/>
      <c r="K262" s="12"/>
    </row>
    <row r="263" ht="19.5" customHeight="1">
      <c r="A263" s="12"/>
      <c r="C263" s="12"/>
      <c r="D263" s="13"/>
      <c r="F263" s="14"/>
      <c r="G263" s="14"/>
      <c r="H263" s="14"/>
      <c r="I263" s="14"/>
      <c r="J263" s="14"/>
      <c r="K263" s="12"/>
    </row>
    <row r="264" ht="19.5" customHeight="1">
      <c r="A264" s="12"/>
      <c r="C264" s="12"/>
      <c r="D264" s="13"/>
      <c r="F264" s="14"/>
      <c r="G264" s="14"/>
      <c r="H264" s="14"/>
      <c r="I264" s="14"/>
      <c r="J264" s="14"/>
      <c r="K264" s="12"/>
    </row>
    <row r="265" ht="19.5" customHeight="1">
      <c r="A265" s="12"/>
      <c r="C265" s="12"/>
      <c r="D265" s="13"/>
      <c r="F265" s="14"/>
      <c r="G265" s="14"/>
      <c r="H265" s="14"/>
      <c r="I265" s="14"/>
      <c r="J265" s="14"/>
      <c r="K265" s="12"/>
    </row>
    <row r="266" ht="19.5" customHeight="1">
      <c r="A266" s="12"/>
      <c r="C266" s="12"/>
      <c r="D266" s="13"/>
      <c r="F266" s="14"/>
      <c r="G266" s="14"/>
      <c r="H266" s="14"/>
      <c r="I266" s="14"/>
      <c r="J266" s="14"/>
      <c r="K266" s="12"/>
    </row>
    <row r="267" ht="19.5" customHeight="1">
      <c r="A267" s="12"/>
      <c r="C267" s="12"/>
      <c r="D267" s="13"/>
      <c r="F267" s="14"/>
      <c r="G267" s="14"/>
      <c r="H267" s="14"/>
      <c r="I267" s="14"/>
      <c r="J267" s="14"/>
      <c r="K267" s="12"/>
    </row>
    <row r="268" ht="19.5" customHeight="1">
      <c r="A268" s="12"/>
      <c r="C268" s="12"/>
      <c r="D268" s="13"/>
      <c r="F268" s="14"/>
      <c r="G268" s="14"/>
      <c r="H268" s="14"/>
      <c r="I268" s="14"/>
      <c r="J268" s="14"/>
      <c r="K268" s="12"/>
    </row>
    <row r="269" ht="19.5" customHeight="1">
      <c r="A269" s="12"/>
      <c r="C269" s="12"/>
      <c r="D269" s="13"/>
      <c r="F269" s="14"/>
      <c r="G269" s="14"/>
      <c r="H269" s="14"/>
      <c r="I269" s="14"/>
      <c r="J269" s="14"/>
      <c r="K269" s="12"/>
    </row>
    <row r="270" ht="19.5" customHeight="1">
      <c r="A270" s="12"/>
      <c r="C270" s="12"/>
      <c r="D270" s="13"/>
      <c r="F270" s="14"/>
      <c r="G270" s="14"/>
      <c r="H270" s="14"/>
      <c r="I270" s="14"/>
      <c r="J270" s="14"/>
      <c r="K270" s="12"/>
    </row>
    <row r="271" ht="19.5" customHeight="1">
      <c r="A271" s="12"/>
      <c r="C271" s="12"/>
      <c r="D271" s="13"/>
      <c r="F271" s="14"/>
      <c r="G271" s="14"/>
      <c r="H271" s="14"/>
      <c r="I271" s="14"/>
      <c r="J271" s="14"/>
      <c r="K271" s="12"/>
    </row>
    <row r="272" ht="19.5" customHeight="1">
      <c r="A272" s="12"/>
      <c r="C272" s="12"/>
      <c r="D272" s="13"/>
      <c r="F272" s="14"/>
      <c r="G272" s="14"/>
      <c r="H272" s="14"/>
      <c r="I272" s="14"/>
      <c r="J272" s="14"/>
      <c r="K272" s="12"/>
    </row>
    <row r="273" ht="19.5" customHeight="1">
      <c r="A273" s="12"/>
      <c r="C273" s="12"/>
      <c r="D273" s="13"/>
      <c r="F273" s="14"/>
      <c r="G273" s="14"/>
      <c r="H273" s="14"/>
      <c r="I273" s="14"/>
      <c r="J273" s="14"/>
      <c r="K273" s="12"/>
    </row>
    <row r="274" ht="19.5" customHeight="1">
      <c r="A274" s="12"/>
      <c r="C274" s="12"/>
      <c r="D274" s="13"/>
      <c r="F274" s="14"/>
      <c r="G274" s="14"/>
      <c r="H274" s="14"/>
      <c r="I274" s="14"/>
      <c r="J274" s="14"/>
      <c r="K274" s="12"/>
    </row>
    <row r="275" ht="19.5" customHeight="1">
      <c r="A275" s="12"/>
      <c r="C275" s="12"/>
      <c r="D275" s="13"/>
      <c r="F275" s="14"/>
      <c r="G275" s="14"/>
      <c r="H275" s="14"/>
      <c r="I275" s="14"/>
      <c r="J275" s="14"/>
      <c r="K275" s="12"/>
    </row>
    <row r="276" ht="19.5" customHeight="1">
      <c r="A276" s="12"/>
      <c r="C276" s="12"/>
      <c r="D276" s="13"/>
      <c r="F276" s="14"/>
      <c r="G276" s="14"/>
      <c r="H276" s="14"/>
      <c r="I276" s="14"/>
      <c r="J276" s="14"/>
      <c r="K276" s="12"/>
    </row>
    <row r="277" ht="19.5" customHeight="1">
      <c r="A277" s="12"/>
      <c r="C277" s="12"/>
      <c r="D277" s="13"/>
      <c r="F277" s="14"/>
      <c r="G277" s="14"/>
      <c r="H277" s="14"/>
      <c r="I277" s="14"/>
      <c r="J277" s="14"/>
      <c r="K277" s="12"/>
    </row>
    <row r="278" ht="19.5" customHeight="1">
      <c r="A278" s="12"/>
      <c r="C278" s="12"/>
      <c r="D278" s="13"/>
      <c r="F278" s="14"/>
      <c r="G278" s="14"/>
      <c r="H278" s="14"/>
      <c r="I278" s="14"/>
      <c r="J278" s="14"/>
      <c r="K278" s="12"/>
    </row>
    <row r="279" ht="19.5" customHeight="1">
      <c r="A279" s="12"/>
      <c r="C279" s="12"/>
      <c r="D279" s="13"/>
      <c r="F279" s="14"/>
      <c r="G279" s="14"/>
      <c r="H279" s="14"/>
      <c r="I279" s="14"/>
      <c r="J279" s="14"/>
      <c r="K279" s="12"/>
    </row>
    <row r="280" ht="19.5" customHeight="1">
      <c r="A280" s="12"/>
      <c r="C280" s="12"/>
      <c r="D280" s="13"/>
      <c r="F280" s="14"/>
      <c r="G280" s="14"/>
      <c r="H280" s="14"/>
      <c r="I280" s="14"/>
      <c r="J280" s="14"/>
      <c r="K280" s="12"/>
    </row>
    <row r="281" ht="19.5" customHeight="1">
      <c r="A281" s="12"/>
      <c r="C281" s="12"/>
      <c r="D281" s="13"/>
      <c r="F281" s="14"/>
      <c r="G281" s="14"/>
      <c r="H281" s="14"/>
      <c r="I281" s="14"/>
      <c r="J281" s="14"/>
      <c r="K281" s="12"/>
    </row>
    <row r="282" ht="19.5" customHeight="1">
      <c r="A282" s="12"/>
      <c r="C282" s="12"/>
      <c r="D282" s="13"/>
      <c r="F282" s="14"/>
      <c r="G282" s="14"/>
      <c r="H282" s="14"/>
      <c r="I282" s="14"/>
      <c r="J282" s="14"/>
      <c r="K282" s="12"/>
    </row>
    <row r="283" ht="19.5" customHeight="1">
      <c r="A283" s="12"/>
      <c r="C283" s="12"/>
      <c r="D283" s="13"/>
      <c r="F283" s="14"/>
      <c r="G283" s="14"/>
      <c r="H283" s="14"/>
      <c r="I283" s="14"/>
      <c r="J283" s="14"/>
      <c r="K283" s="12"/>
    </row>
    <row r="284" ht="19.5" customHeight="1">
      <c r="A284" s="12"/>
      <c r="C284" s="12"/>
      <c r="D284" s="13"/>
      <c r="F284" s="14"/>
      <c r="G284" s="14"/>
      <c r="H284" s="14"/>
      <c r="I284" s="14"/>
      <c r="J284" s="14"/>
      <c r="K284" s="12"/>
    </row>
    <row r="285" ht="19.5" customHeight="1">
      <c r="A285" s="12"/>
      <c r="C285" s="12"/>
      <c r="D285" s="13"/>
      <c r="F285" s="14"/>
      <c r="G285" s="14"/>
      <c r="H285" s="14"/>
      <c r="I285" s="14"/>
      <c r="J285" s="14"/>
      <c r="K285" s="12"/>
    </row>
    <row r="286" ht="19.5" customHeight="1">
      <c r="A286" s="12"/>
      <c r="C286" s="12"/>
      <c r="D286" s="13"/>
      <c r="F286" s="14"/>
      <c r="G286" s="14"/>
      <c r="H286" s="14"/>
      <c r="I286" s="14"/>
      <c r="J286" s="14"/>
      <c r="K286" s="12"/>
    </row>
    <row r="287" ht="19.5" customHeight="1">
      <c r="A287" s="12"/>
      <c r="C287" s="12"/>
      <c r="D287" s="13"/>
      <c r="F287" s="14"/>
      <c r="G287" s="14"/>
      <c r="H287" s="14"/>
      <c r="I287" s="14"/>
      <c r="J287" s="14"/>
      <c r="K287" s="12"/>
    </row>
    <row r="288" ht="19.5" customHeight="1">
      <c r="A288" s="12"/>
      <c r="C288" s="12"/>
      <c r="D288" s="13"/>
      <c r="F288" s="14"/>
      <c r="G288" s="14"/>
      <c r="H288" s="14"/>
      <c r="I288" s="14"/>
      <c r="J288" s="14"/>
      <c r="K288" s="12"/>
    </row>
    <row r="289" ht="19.5" customHeight="1">
      <c r="A289" s="12"/>
      <c r="C289" s="12"/>
      <c r="D289" s="13"/>
      <c r="F289" s="14"/>
      <c r="G289" s="14"/>
      <c r="H289" s="14"/>
      <c r="I289" s="14"/>
      <c r="J289" s="14"/>
      <c r="K289" s="12"/>
    </row>
    <row r="290" ht="19.5" customHeight="1">
      <c r="A290" s="12"/>
      <c r="C290" s="12"/>
      <c r="D290" s="13"/>
      <c r="F290" s="14"/>
      <c r="G290" s="14"/>
      <c r="H290" s="14"/>
      <c r="I290" s="14"/>
      <c r="J290" s="14"/>
      <c r="K290" s="12"/>
    </row>
    <row r="291" ht="19.5" customHeight="1">
      <c r="A291" s="12"/>
      <c r="C291" s="12"/>
      <c r="D291" s="13"/>
      <c r="F291" s="14"/>
      <c r="G291" s="14"/>
      <c r="H291" s="14"/>
      <c r="I291" s="14"/>
      <c r="J291" s="14"/>
      <c r="K291" s="12"/>
    </row>
    <row r="292" ht="19.5" customHeight="1">
      <c r="A292" s="12"/>
      <c r="C292" s="12"/>
      <c r="D292" s="13"/>
      <c r="F292" s="14"/>
      <c r="G292" s="14"/>
      <c r="H292" s="14"/>
      <c r="I292" s="14"/>
      <c r="J292" s="14"/>
      <c r="K292" s="12"/>
    </row>
    <row r="293" ht="19.5" customHeight="1">
      <c r="A293" s="12"/>
      <c r="C293" s="12"/>
      <c r="D293" s="13"/>
      <c r="F293" s="14"/>
      <c r="G293" s="14"/>
      <c r="H293" s="14"/>
      <c r="I293" s="14"/>
      <c r="J293" s="14"/>
      <c r="K293" s="12"/>
    </row>
    <row r="294" ht="19.5" customHeight="1">
      <c r="A294" s="12"/>
      <c r="C294" s="12"/>
      <c r="D294" s="13"/>
      <c r="F294" s="14"/>
      <c r="G294" s="14"/>
      <c r="H294" s="14"/>
      <c r="I294" s="14"/>
      <c r="J294" s="14"/>
      <c r="K294" s="12"/>
    </row>
    <row r="295" ht="19.5" customHeight="1">
      <c r="A295" s="12"/>
      <c r="C295" s="12"/>
      <c r="D295" s="13"/>
      <c r="F295" s="14"/>
      <c r="G295" s="14"/>
      <c r="H295" s="14"/>
      <c r="I295" s="14"/>
      <c r="J295" s="14"/>
      <c r="K295" s="12"/>
    </row>
    <row r="296" ht="19.5" customHeight="1">
      <c r="A296" s="12"/>
      <c r="C296" s="12"/>
      <c r="D296" s="13"/>
      <c r="F296" s="14"/>
      <c r="G296" s="14"/>
      <c r="H296" s="14"/>
      <c r="I296" s="14"/>
      <c r="J296" s="14"/>
      <c r="K296" s="12"/>
    </row>
    <row r="297" ht="19.5" customHeight="1">
      <c r="A297" s="12"/>
      <c r="C297" s="12"/>
      <c r="D297" s="13"/>
      <c r="F297" s="14"/>
      <c r="G297" s="14"/>
      <c r="H297" s="14"/>
      <c r="I297" s="14"/>
      <c r="J297" s="14"/>
      <c r="K297" s="12"/>
    </row>
    <row r="298" ht="19.5" customHeight="1">
      <c r="A298" s="12"/>
      <c r="C298" s="12"/>
      <c r="D298" s="13"/>
      <c r="F298" s="14"/>
      <c r="G298" s="14"/>
      <c r="H298" s="14"/>
      <c r="I298" s="14"/>
      <c r="J298" s="14"/>
      <c r="K298" s="12"/>
    </row>
    <row r="299" ht="19.5" customHeight="1">
      <c r="A299" s="12"/>
      <c r="C299" s="12"/>
      <c r="D299" s="13"/>
      <c r="F299" s="14"/>
      <c r="G299" s="14"/>
      <c r="H299" s="14"/>
      <c r="I299" s="14"/>
      <c r="J299" s="14"/>
      <c r="K299" s="12"/>
    </row>
    <row r="300" ht="19.5" customHeight="1">
      <c r="A300" s="12"/>
      <c r="C300" s="12"/>
      <c r="D300" s="13"/>
      <c r="F300" s="14"/>
      <c r="G300" s="14"/>
      <c r="H300" s="14"/>
      <c r="I300" s="14"/>
      <c r="J300" s="14"/>
      <c r="K300" s="12"/>
    </row>
    <row r="301" ht="19.5" customHeight="1">
      <c r="A301" s="12"/>
      <c r="C301" s="12"/>
      <c r="D301" s="13"/>
      <c r="F301" s="14"/>
      <c r="G301" s="14"/>
      <c r="H301" s="14"/>
      <c r="I301" s="14"/>
      <c r="J301" s="14"/>
      <c r="K301" s="12"/>
    </row>
    <row r="302" ht="19.5" customHeight="1">
      <c r="A302" s="12"/>
      <c r="C302" s="12"/>
      <c r="D302" s="13"/>
      <c r="F302" s="14"/>
      <c r="G302" s="14"/>
      <c r="H302" s="14"/>
      <c r="I302" s="14"/>
      <c r="J302" s="14"/>
      <c r="K302" s="12"/>
    </row>
    <row r="303" ht="19.5" customHeight="1">
      <c r="A303" s="12"/>
      <c r="C303" s="12"/>
      <c r="D303" s="13"/>
      <c r="F303" s="14"/>
      <c r="G303" s="14"/>
      <c r="H303" s="14"/>
      <c r="I303" s="14"/>
      <c r="J303" s="14"/>
      <c r="K303" s="12"/>
    </row>
    <row r="304" ht="19.5" customHeight="1">
      <c r="A304" s="12"/>
      <c r="C304" s="12"/>
      <c r="D304" s="13"/>
      <c r="F304" s="14"/>
      <c r="G304" s="14"/>
      <c r="H304" s="14"/>
      <c r="I304" s="14"/>
      <c r="J304" s="14"/>
      <c r="K304" s="12"/>
    </row>
    <row r="305" ht="19.5" customHeight="1">
      <c r="A305" s="12"/>
      <c r="C305" s="12"/>
      <c r="D305" s="13"/>
      <c r="F305" s="14"/>
      <c r="G305" s="14"/>
      <c r="H305" s="14"/>
      <c r="I305" s="14"/>
      <c r="J305" s="14"/>
      <c r="K305" s="12"/>
    </row>
    <row r="306" ht="19.5" customHeight="1">
      <c r="A306" s="12"/>
      <c r="C306" s="12"/>
      <c r="D306" s="13"/>
      <c r="F306" s="14"/>
      <c r="G306" s="14"/>
      <c r="H306" s="14"/>
      <c r="I306" s="14"/>
      <c r="J306" s="14"/>
      <c r="K306" s="12"/>
    </row>
    <row r="307" ht="19.5" customHeight="1">
      <c r="A307" s="12"/>
      <c r="C307" s="12"/>
      <c r="D307" s="13"/>
      <c r="F307" s="14"/>
      <c r="G307" s="14"/>
      <c r="H307" s="14"/>
      <c r="I307" s="14"/>
      <c r="J307" s="14"/>
      <c r="K307" s="12"/>
    </row>
    <row r="308" ht="19.5" customHeight="1">
      <c r="A308" s="12"/>
      <c r="C308" s="12"/>
      <c r="D308" s="13"/>
      <c r="F308" s="14"/>
      <c r="G308" s="14"/>
      <c r="H308" s="14"/>
      <c r="I308" s="14"/>
      <c r="J308" s="14"/>
      <c r="K308" s="12"/>
    </row>
    <row r="309" ht="19.5" customHeight="1">
      <c r="A309" s="12"/>
      <c r="C309" s="12"/>
      <c r="D309" s="13"/>
      <c r="F309" s="14"/>
      <c r="G309" s="14"/>
      <c r="H309" s="14"/>
      <c r="I309" s="14"/>
      <c r="J309" s="14"/>
      <c r="K309" s="12"/>
    </row>
    <row r="310" ht="19.5" customHeight="1">
      <c r="A310" s="12"/>
      <c r="C310" s="12"/>
      <c r="D310" s="13"/>
      <c r="F310" s="14"/>
      <c r="G310" s="14"/>
      <c r="H310" s="14"/>
      <c r="I310" s="14"/>
      <c r="J310" s="14"/>
      <c r="K310" s="12"/>
    </row>
    <row r="311" ht="19.5" customHeight="1">
      <c r="A311" s="12"/>
      <c r="C311" s="12"/>
      <c r="D311" s="13"/>
      <c r="F311" s="14"/>
      <c r="G311" s="14"/>
      <c r="H311" s="14"/>
      <c r="I311" s="14"/>
      <c r="J311" s="14"/>
      <c r="K311" s="12"/>
    </row>
    <row r="312" ht="19.5" customHeight="1">
      <c r="A312" s="12"/>
      <c r="C312" s="12"/>
      <c r="D312" s="13"/>
      <c r="F312" s="14"/>
      <c r="G312" s="14"/>
      <c r="H312" s="14"/>
      <c r="I312" s="14"/>
      <c r="J312" s="14"/>
      <c r="K312" s="12"/>
    </row>
    <row r="313" ht="19.5" customHeight="1">
      <c r="A313" s="12"/>
      <c r="C313" s="12"/>
      <c r="D313" s="13"/>
      <c r="F313" s="14"/>
      <c r="G313" s="14"/>
      <c r="H313" s="14"/>
      <c r="I313" s="14"/>
      <c r="J313" s="14"/>
      <c r="K313" s="12"/>
    </row>
    <row r="314" ht="19.5" customHeight="1">
      <c r="A314" s="12"/>
      <c r="C314" s="12"/>
      <c r="D314" s="13"/>
      <c r="F314" s="14"/>
      <c r="G314" s="14"/>
      <c r="H314" s="14"/>
      <c r="I314" s="14"/>
      <c r="J314" s="14"/>
      <c r="K314" s="12"/>
    </row>
    <row r="315" ht="19.5" customHeight="1">
      <c r="A315" s="12"/>
      <c r="C315" s="12"/>
      <c r="D315" s="13"/>
      <c r="F315" s="14"/>
      <c r="G315" s="14"/>
      <c r="H315" s="14"/>
      <c r="I315" s="14"/>
      <c r="J315" s="14"/>
      <c r="K315" s="12"/>
    </row>
    <row r="316" ht="19.5" customHeight="1">
      <c r="A316" s="12"/>
      <c r="C316" s="12"/>
      <c r="D316" s="13"/>
      <c r="F316" s="14"/>
      <c r="G316" s="14"/>
      <c r="H316" s="14"/>
      <c r="I316" s="14"/>
      <c r="J316" s="14"/>
      <c r="K316" s="12"/>
    </row>
    <row r="317" ht="19.5" customHeight="1">
      <c r="A317" s="12"/>
      <c r="C317" s="12"/>
      <c r="D317" s="13"/>
      <c r="F317" s="14"/>
      <c r="G317" s="14"/>
      <c r="H317" s="14"/>
      <c r="I317" s="14"/>
      <c r="J317" s="14"/>
      <c r="K317" s="12"/>
    </row>
    <row r="318" ht="19.5" customHeight="1">
      <c r="A318" s="12"/>
      <c r="C318" s="12"/>
      <c r="D318" s="13"/>
      <c r="F318" s="14"/>
      <c r="G318" s="14"/>
      <c r="H318" s="14"/>
      <c r="I318" s="14"/>
      <c r="J318" s="14"/>
      <c r="K318" s="12"/>
    </row>
    <row r="319" ht="19.5" customHeight="1">
      <c r="A319" s="12"/>
      <c r="C319" s="12"/>
      <c r="D319" s="13"/>
      <c r="F319" s="14"/>
      <c r="G319" s="14"/>
      <c r="H319" s="14"/>
      <c r="I319" s="14"/>
      <c r="J319" s="14"/>
      <c r="K319" s="12"/>
    </row>
    <row r="320" ht="19.5" customHeight="1">
      <c r="A320" s="12"/>
      <c r="C320" s="12"/>
      <c r="D320" s="13"/>
      <c r="F320" s="14"/>
      <c r="G320" s="14"/>
      <c r="H320" s="14"/>
      <c r="I320" s="14"/>
      <c r="J320" s="14"/>
      <c r="K320" s="12"/>
    </row>
    <row r="321" ht="19.5" customHeight="1">
      <c r="A321" s="12"/>
      <c r="C321" s="12"/>
      <c r="D321" s="13"/>
      <c r="F321" s="14"/>
      <c r="G321" s="14"/>
      <c r="H321" s="14"/>
      <c r="I321" s="14"/>
      <c r="J321" s="14"/>
      <c r="K321" s="12"/>
    </row>
    <row r="322" ht="19.5" customHeight="1">
      <c r="A322" s="12"/>
      <c r="C322" s="12"/>
      <c r="D322" s="13"/>
      <c r="F322" s="14"/>
      <c r="G322" s="14"/>
      <c r="H322" s="14"/>
      <c r="I322" s="14"/>
      <c r="J322" s="14"/>
      <c r="K322" s="12"/>
    </row>
    <row r="323" ht="19.5" customHeight="1">
      <c r="A323" s="12"/>
      <c r="C323" s="12"/>
      <c r="D323" s="13"/>
      <c r="F323" s="14"/>
      <c r="G323" s="14"/>
      <c r="H323" s="14"/>
      <c r="I323" s="14"/>
      <c r="J323" s="14"/>
      <c r="K323" s="12"/>
    </row>
    <row r="324" ht="19.5" customHeight="1">
      <c r="A324" s="12"/>
      <c r="C324" s="12"/>
      <c r="D324" s="13"/>
      <c r="F324" s="14"/>
      <c r="G324" s="14"/>
      <c r="H324" s="14"/>
      <c r="I324" s="14"/>
      <c r="J324" s="14"/>
      <c r="K324" s="12"/>
    </row>
    <row r="325" ht="19.5" customHeight="1">
      <c r="A325" s="12"/>
      <c r="C325" s="12"/>
      <c r="D325" s="13"/>
      <c r="F325" s="14"/>
      <c r="G325" s="14"/>
      <c r="H325" s="14"/>
      <c r="I325" s="14"/>
      <c r="J325" s="14"/>
      <c r="K325" s="12"/>
    </row>
    <row r="326" ht="19.5" customHeight="1">
      <c r="A326" s="12"/>
      <c r="C326" s="12"/>
      <c r="D326" s="13"/>
      <c r="F326" s="14"/>
      <c r="G326" s="14"/>
      <c r="H326" s="14"/>
      <c r="I326" s="14"/>
      <c r="J326" s="14"/>
      <c r="K326" s="12"/>
    </row>
    <row r="327" ht="19.5" customHeight="1">
      <c r="A327" s="12"/>
      <c r="C327" s="12"/>
      <c r="D327" s="13"/>
      <c r="F327" s="14"/>
      <c r="G327" s="14"/>
      <c r="H327" s="14"/>
      <c r="I327" s="14"/>
      <c r="J327" s="14"/>
      <c r="K327" s="12"/>
    </row>
    <row r="328" ht="19.5" customHeight="1">
      <c r="A328" s="12"/>
      <c r="C328" s="12"/>
      <c r="D328" s="13"/>
      <c r="F328" s="14"/>
      <c r="G328" s="14"/>
      <c r="H328" s="14"/>
      <c r="I328" s="14"/>
      <c r="J328" s="14"/>
      <c r="K328" s="12"/>
    </row>
    <row r="329" ht="19.5" customHeight="1">
      <c r="A329" s="12"/>
      <c r="C329" s="12"/>
      <c r="D329" s="13"/>
      <c r="F329" s="14"/>
      <c r="G329" s="14"/>
      <c r="H329" s="14"/>
      <c r="I329" s="14"/>
      <c r="J329" s="14"/>
      <c r="K329" s="12"/>
    </row>
    <row r="330" ht="19.5" customHeight="1">
      <c r="A330" s="12"/>
      <c r="C330" s="12"/>
      <c r="D330" s="13"/>
      <c r="F330" s="14"/>
      <c r="G330" s="14"/>
      <c r="H330" s="14"/>
      <c r="I330" s="14"/>
      <c r="J330" s="14"/>
      <c r="K330" s="12"/>
    </row>
    <row r="331" ht="19.5" customHeight="1">
      <c r="A331" s="12"/>
      <c r="C331" s="12"/>
      <c r="D331" s="13"/>
      <c r="F331" s="14"/>
      <c r="G331" s="14"/>
      <c r="H331" s="14"/>
      <c r="I331" s="14"/>
      <c r="J331" s="14"/>
      <c r="K331" s="12"/>
    </row>
    <row r="332" ht="19.5" customHeight="1">
      <c r="A332" s="12"/>
      <c r="C332" s="12"/>
      <c r="D332" s="13"/>
      <c r="F332" s="14"/>
      <c r="G332" s="14"/>
      <c r="H332" s="14"/>
      <c r="I332" s="14"/>
      <c r="J332" s="14"/>
      <c r="K332" s="12"/>
    </row>
    <row r="333" ht="19.5" customHeight="1">
      <c r="A333" s="12"/>
      <c r="C333" s="12"/>
      <c r="D333" s="13"/>
      <c r="F333" s="14"/>
      <c r="G333" s="14"/>
      <c r="H333" s="14"/>
      <c r="I333" s="14"/>
      <c r="J333" s="14"/>
      <c r="K333" s="12"/>
    </row>
    <row r="334" ht="19.5" customHeight="1">
      <c r="A334" s="12"/>
      <c r="C334" s="12"/>
      <c r="D334" s="13"/>
      <c r="F334" s="14"/>
      <c r="G334" s="14"/>
      <c r="H334" s="14"/>
      <c r="I334" s="14"/>
      <c r="J334" s="14"/>
      <c r="K334" s="12"/>
    </row>
    <row r="335" ht="19.5" customHeight="1">
      <c r="A335" s="12"/>
      <c r="C335" s="12"/>
      <c r="D335" s="13"/>
      <c r="F335" s="14"/>
      <c r="G335" s="14"/>
      <c r="H335" s="14"/>
      <c r="I335" s="14"/>
      <c r="J335" s="14"/>
      <c r="K335" s="12"/>
    </row>
    <row r="336" ht="19.5" customHeight="1">
      <c r="A336" s="12"/>
      <c r="C336" s="12"/>
      <c r="D336" s="13"/>
      <c r="F336" s="14"/>
      <c r="G336" s="14"/>
      <c r="H336" s="14"/>
      <c r="I336" s="14"/>
      <c r="J336" s="14"/>
      <c r="K336" s="12"/>
    </row>
    <row r="337" ht="19.5" customHeight="1">
      <c r="A337" s="12"/>
      <c r="C337" s="12"/>
      <c r="D337" s="13"/>
      <c r="F337" s="14"/>
      <c r="G337" s="14"/>
      <c r="H337" s="14"/>
      <c r="I337" s="14"/>
      <c r="J337" s="14"/>
      <c r="K337" s="12"/>
    </row>
    <row r="338" ht="19.5" customHeight="1">
      <c r="A338" s="12"/>
      <c r="C338" s="12"/>
      <c r="D338" s="13"/>
      <c r="F338" s="14"/>
      <c r="G338" s="14"/>
      <c r="H338" s="14"/>
      <c r="I338" s="14"/>
      <c r="J338" s="14"/>
      <c r="K338" s="12"/>
    </row>
    <row r="339" ht="19.5" customHeight="1">
      <c r="A339" s="12"/>
      <c r="C339" s="12"/>
      <c r="D339" s="13"/>
      <c r="F339" s="14"/>
      <c r="G339" s="14"/>
      <c r="H339" s="14"/>
      <c r="I339" s="14"/>
      <c r="J339" s="14"/>
      <c r="K339" s="12"/>
    </row>
    <row r="340" ht="19.5" customHeight="1">
      <c r="A340" s="12"/>
      <c r="C340" s="12"/>
      <c r="D340" s="13"/>
      <c r="F340" s="14"/>
      <c r="G340" s="14"/>
      <c r="H340" s="14"/>
      <c r="I340" s="14"/>
      <c r="J340" s="14"/>
      <c r="K340" s="12"/>
    </row>
    <row r="341" ht="19.5" customHeight="1">
      <c r="A341" s="12"/>
      <c r="C341" s="12"/>
      <c r="D341" s="13"/>
      <c r="F341" s="14"/>
      <c r="G341" s="14"/>
      <c r="H341" s="14"/>
      <c r="I341" s="14"/>
      <c r="J341" s="14"/>
      <c r="K341" s="12"/>
    </row>
    <row r="342" ht="19.5" customHeight="1">
      <c r="A342" s="12"/>
      <c r="C342" s="12"/>
      <c r="D342" s="13"/>
      <c r="F342" s="14"/>
      <c r="G342" s="14"/>
      <c r="H342" s="14"/>
      <c r="I342" s="14"/>
      <c r="J342" s="14"/>
      <c r="K342" s="12"/>
    </row>
    <row r="343" ht="19.5" customHeight="1">
      <c r="A343" s="12"/>
      <c r="C343" s="12"/>
      <c r="D343" s="13"/>
      <c r="F343" s="14"/>
      <c r="G343" s="14"/>
      <c r="H343" s="14"/>
      <c r="I343" s="14"/>
      <c r="J343" s="14"/>
      <c r="K343" s="12"/>
    </row>
    <row r="344" ht="19.5" customHeight="1">
      <c r="A344" s="12"/>
      <c r="C344" s="12"/>
      <c r="D344" s="13"/>
      <c r="F344" s="14"/>
      <c r="G344" s="14"/>
      <c r="H344" s="14"/>
      <c r="I344" s="14"/>
      <c r="J344" s="14"/>
      <c r="K344" s="12"/>
    </row>
    <row r="345" ht="19.5" customHeight="1">
      <c r="A345" s="12"/>
      <c r="C345" s="12"/>
      <c r="D345" s="13"/>
      <c r="F345" s="14"/>
      <c r="G345" s="14"/>
      <c r="H345" s="14"/>
      <c r="I345" s="14"/>
      <c r="J345" s="14"/>
      <c r="K345" s="12"/>
    </row>
    <row r="346" ht="19.5" customHeight="1">
      <c r="A346" s="12"/>
      <c r="C346" s="12"/>
      <c r="D346" s="13"/>
      <c r="F346" s="14"/>
      <c r="G346" s="14"/>
      <c r="H346" s="14"/>
      <c r="I346" s="14"/>
      <c r="J346" s="14"/>
      <c r="K346" s="12"/>
    </row>
    <row r="347" ht="19.5" customHeight="1">
      <c r="A347" s="12"/>
      <c r="C347" s="12"/>
      <c r="D347" s="13"/>
      <c r="F347" s="14"/>
      <c r="G347" s="14"/>
      <c r="H347" s="14"/>
      <c r="I347" s="14"/>
      <c r="J347" s="14"/>
      <c r="K347" s="12"/>
    </row>
    <row r="348" ht="19.5" customHeight="1">
      <c r="A348" s="12"/>
      <c r="C348" s="12"/>
      <c r="D348" s="13"/>
      <c r="F348" s="14"/>
      <c r="G348" s="14"/>
      <c r="H348" s="14"/>
      <c r="I348" s="14"/>
      <c r="J348" s="14"/>
      <c r="K348" s="12"/>
    </row>
    <row r="349" ht="19.5" customHeight="1">
      <c r="A349" s="12"/>
      <c r="C349" s="12"/>
      <c r="D349" s="13"/>
      <c r="F349" s="14"/>
      <c r="G349" s="14"/>
      <c r="H349" s="14"/>
      <c r="I349" s="14"/>
      <c r="J349" s="14"/>
      <c r="K349" s="12"/>
    </row>
    <row r="350" ht="19.5" customHeight="1">
      <c r="A350" s="12"/>
      <c r="C350" s="12"/>
      <c r="D350" s="13"/>
      <c r="F350" s="14"/>
      <c r="G350" s="14"/>
      <c r="H350" s="14"/>
      <c r="I350" s="14"/>
      <c r="J350" s="14"/>
      <c r="K350" s="12"/>
    </row>
    <row r="351" ht="19.5" customHeight="1">
      <c r="A351" s="12"/>
      <c r="C351" s="12"/>
      <c r="D351" s="13"/>
      <c r="F351" s="14"/>
      <c r="G351" s="14"/>
      <c r="H351" s="14"/>
      <c r="I351" s="14"/>
      <c r="J351" s="14"/>
      <c r="K351" s="12"/>
    </row>
    <row r="352" ht="19.5" customHeight="1">
      <c r="A352" s="12"/>
      <c r="C352" s="12"/>
      <c r="D352" s="13"/>
      <c r="F352" s="14"/>
      <c r="G352" s="14"/>
      <c r="H352" s="14"/>
      <c r="I352" s="14"/>
      <c r="J352" s="14"/>
      <c r="K352" s="12"/>
    </row>
    <row r="353" ht="19.5" customHeight="1">
      <c r="A353" s="12"/>
      <c r="C353" s="12"/>
      <c r="D353" s="13"/>
      <c r="F353" s="14"/>
      <c r="G353" s="14"/>
      <c r="H353" s="14"/>
      <c r="I353" s="14"/>
      <c r="J353" s="14"/>
      <c r="K353" s="12"/>
    </row>
    <row r="354" ht="19.5" customHeight="1">
      <c r="A354" s="12"/>
      <c r="C354" s="12"/>
      <c r="D354" s="13"/>
      <c r="F354" s="14"/>
      <c r="G354" s="14"/>
      <c r="H354" s="14"/>
      <c r="I354" s="14"/>
      <c r="J354" s="14"/>
      <c r="K354" s="12"/>
    </row>
    <row r="355" ht="19.5" customHeight="1">
      <c r="A355" s="12"/>
      <c r="C355" s="12"/>
      <c r="D355" s="13"/>
      <c r="F355" s="14"/>
      <c r="G355" s="14"/>
      <c r="H355" s="14"/>
      <c r="I355" s="14"/>
      <c r="J355" s="14"/>
      <c r="K355" s="12"/>
    </row>
    <row r="356" ht="19.5" customHeight="1">
      <c r="A356" s="12"/>
      <c r="C356" s="12"/>
      <c r="D356" s="13"/>
      <c r="F356" s="14"/>
      <c r="G356" s="14"/>
      <c r="H356" s="14"/>
      <c r="I356" s="14"/>
      <c r="J356" s="14"/>
      <c r="K356" s="12"/>
    </row>
    <row r="357" ht="19.5" customHeight="1">
      <c r="A357" s="12"/>
      <c r="C357" s="12"/>
      <c r="D357" s="13"/>
      <c r="F357" s="14"/>
      <c r="G357" s="14"/>
      <c r="H357" s="14"/>
      <c r="I357" s="14"/>
      <c r="J357" s="14"/>
      <c r="K357" s="12"/>
    </row>
    <row r="358" ht="19.5" customHeight="1">
      <c r="A358" s="12"/>
      <c r="C358" s="12"/>
      <c r="D358" s="13"/>
      <c r="F358" s="14"/>
      <c r="G358" s="14"/>
      <c r="H358" s="14"/>
      <c r="I358" s="14"/>
      <c r="J358" s="14"/>
      <c r="K358" s="12"/>
    </row>
    <row r="359" ht="19.5" customHeight="1">
      <c r="A359" s="12"/>
      <c r="C359" s="12"/>
      <c r="D359" s="13"/>
      <c r="F359" s="14"/>
      <c r="G359" s="14"/>
      <c r="H359" s="14"/>
      <c r="I359" s="14"/>
      <c r="J359" s="14"/>
      <c r="K359" s="12"/>
    </row>
    <row r="360" ht="19.5" customHeight="1">
      <c r="A360" s="12"/>
      <c r="C360" s="12"/>
      <c r="D360" s="13"/>
      <c r="F360" s="14"/>
      <c r="G360" s="14"/>
      <c r="H360" s="14"/>
      <c r="I360" s="14"/>
      <c r="J360" s="14"/>
      <c r="K360" s="12"/>
    </row>
    <row r="361" ht="19.5" customHeight="1">
      <c r="A361" s="12"/>
      <c r="C361" s="12"/>
      <c r="D361" s="13"/>
      <c r="F361" s="14"/>
      <c r="G361" s="14"/>
      <c r="H361" s="14"/>
      <c r="I361" s="14"/>
      <c r="J361" s="14"/>
      <c r="K361" s="12"/>
    </row>
    <row r="362" ht="19.5" customHeight="1">
      <c r="A362" s="12"/>
      <c r="C362" s="12"/>
      <c r="D362" s="13"/>
      <c r="F362" s="14"/>
      <c r="G362" s="14"/>
      <c r="H362" s="14"/>
      <c r="I362" s="14"/>
      <c r="J362" s="14"/>
      <c r="K362" s="12"/>
    </row>
    <row r="363" ht="19.5" customHeight="1">
      <c r="A363" s="12"/>
      <c r="C363" s="12"/>
      <c r="D363" s="13"/>
      <c r="F363" s="14"/>
      <c r="G363" s="14"/>
      <c r="H363" s="14"/>
      <c r="I363" s="14"/>
      <c r="J363" s="14"/>
      <c r="K363" s="12"/>
    </row>
    <row r="364" ht="19.5" customHeight="1">
      <c r="A364" s="12"/>
      <c r="C364" s="12"/>
      <c r="D364" s="13"/>
      <c r="F364" s="14"/>
      <c r="G364" s="14"/>
      <c r="H364" s="14"/>
      <c r="I364" s="14"/>
      <c r="J364" s="14"/>
      <c r="K364" s="12"/>
    </row>
    <row r="365" ht="19.5" customHeight="1">
      <c r="A365" s="12"/>
      <c r="C365" s="12"/>
      <c r="D365" s="13"/>
      <c r="F365" s="14"/>
      <c r="G365" s="14"/>
      <c r="H365" s="14"/>
      <c r="I365" s="14"/>
      <c r="J365" s="14"/>
      <c r="K365" s="12"/>
    </row>
    <row r="366" ht="19.5" customHeight="1">
      <c r="A366" s="12"/>
      <c r="C366" s="12"/>
      <c r="D366" s="13"/>
      <c r="F366" s="14"/>
      <c r="G366" s="14"/>
      <c r="H366" s="14"/>
      <c r="I366" s="14"/>
      <c r="J366" s="14"/>
      <c r="K366" s="12"/>
    </row>
    <row r="367" ht="19.5" customHeight="1">
      <c r="A367" s="12"/>
      <c r="C367" s="12"/>
      <c r="D367" s="13"/>
      <c r="F367" s="14"/>
      <c r="G367" s="14"/>
      <c r="H367" s="14"/>
      <c r="I367" s="14"/>
      <c r="J367" s="14"/>
      <c r="K367" s="12"/>
    </row>
    <row r="368" ht="19.5" customHeight="1">
      <c r="A368" s="12"/>
      <c r="C368" s="12"/>
      <c r="D368" s="13"/>
      <c r="F368" s="14"/>
      <c r="G368" s="14"/>
      <c r="H368" s="14"/>
      <c r="I368" s="14"/>
      <c r="J368" s="14"/>
      <c r="K368" s="12"/>
    </row>
    <row r="369" ht="19.5" customHeight="1">
      <c r="A369" s="12"/>
      <c r="C369" s="12"/>
      <c r="D369" s="13"/>
      <c r="F369" s="14"/>
      <c r="G369" s="14"/>
      <c r="H369" s="14"/>
      <c r="I369" s="14"/>
      <c r="J369" s="14"/>
      <c r="K369" s="12"/>
    </row>
    <row r="370" ht="19.5" customHeight="1">
      <c r="A370" s="12"/>
      <c r="C370" s="12"/>
      <c r="D370" s="13"/>
      <c r="F370" s="14"/>
      <c r="G370" s="14"/>
      <c r="H370" s="14"/>
      <c r="I370" s="14"/>
      <c r="J370" s="14"/>
      <c r="K370" s="12"/>
    </row>
    <row r="371" ht="19.5" customHeight="1">
      <c r="A371" s="12"/>
      <c r="C371" s="12"/>
      <c r="D371" s="13"/>
      <c r="F371" s="14"/>
      <c r="G371" s="14"/>
      <c r="H371" s="14"/>
      <c r="I371" s="14"/>
      <c r="J371" s="14"/>
      <c r="K371" s="12"/>
    </row>
    <row r="372" ht="19.5" customHeight="1">
      <c r="A372" s="12"/>
      <c r="C372" s="12"/>
      <c r="D372" s="13"/>
      <c r="F372" s="14"/>
      <c r="G372" s="14"/>
      <c r="H372" s="14"/>
      <c r="I372" s="14"/>
      <c r="J372" s="14"/>
      <c r="K372" s="12"/>
    </row>
    <row r="373" ht="19.5" customHeight="1">
      <c r="A373" s="12"/>
      <c r="C373" s="12"/>
      <c r="D373" s="13"/>
      <c r="F373" s="14"/>
      <c r="G373" s="14"/>
      <c r="H373" s="14"/>
      <c r="I373" s="14"/>
      <c r="J373" s="14"/>
      <c r="K373" s="12"/>
    </row>
    <row r="374" ht="19.5" customHeight="1">
      <c r="A374" s="12"/>
      <c r="C374" s="12"/>
      <c r="D374" s="13"/>
      <c r="F374" s="14"/>
      <c r="G374" s="14"/>
      <c r="H374" s="14"/>
      <c r="I374" s="14"/>
      <c r="J374" s="14"/>
      <c r="K374" s="12"/>
    </row>
    <row r="375" ht="19.5" customHeight="1">
      <c r="A375" s="12"/>
      <c r="C375" s="12"/>
      <c r="D375" s="13"/>
      <c r="F375" s="14"/>
      <c r="G375" s="14"/>
      <c r="H375" s="14"/>
      <c r="I375" s="14"/>
      <c r="J375" s="14"/>
      <c r="K375" s="12"/>
    </row>
    <row r="376" ht="19.5" customHeight="1">
      <c r="A376" s="12"/>
      <c r="C376" s="12"/>
      <c r="D376" s="13"/>
      <c r="F376" s="14"/>
      <c r="G376" s="14"/>
      <c r="H376" s="14"/>
      <c r="I376" s="14"/>
      <c r="J376" s="14"/>
      <c r="K376" s="12"/>
    </row>
    <row r="377" ht="19.5" customHeight="1">
      <c r="A377" s="12"/>
      <c r="C377" s="12"/>
      <c r="D377" s="13"/>
      <c r="F377" s="14"/>
      <c r="G377" s="14"/>
      <c r="H377" s="14"/>
      <c r="I377" s="14"/>
      <c r="J377" s="14"/>
      <c r="K377" s="12"/>
    </row>
    <row r="378" ht="19.5" customHeight="1">
      <c r="A378" s="12"/>
      <c r="C378" s="12"/>
      <c r="D378" s="13"/>
      <c r="F378" s="14"/>
      <c r="G378" s="14"/>
      <c r="H378" s="14"/>
      <c r="I378" s="14"/>
      <c r="J378" s="14"/>
      <c r="K378" s="12"/>
    </row>
    <row r="379" ht="19.5" customHeight="1">
      <c r="A379" s="12"/>
      <c r="C379" s="12"/>
      <c r="D379" s="13"/>
      <c r="F379" s="14"/>
      <c r="G379" s="14"/>
      <c r="H379" s="14"/>
      <c r="I379" s="14"/>
      <c r="J379" s="14"/>
      <c r="K379" s="12"/>
    </row>
    <row r="380" ht="19.5" customHeight="1">
      <c r="A380" s="12"/>
      <c r="C380" s="12"/>
      <c r="D380" s="13"/>
      <c r="F380" s="14"/>
      <c r="G380" s="14"/>
      <c r="H380" s="14"/>
      <c r="I380" s="14"/>
      <c r="J380" s="14"/>
      <c r="K380" s="12"/>
    </row>
    <row r="381" ht="19.5" customHeight="1">
      <c r="A381" s="12"/>
      <c r="C381" s="12"/>
      <c r="D381" s="13"/>
      <c r="F381" s="14"/>
      <c r="G381" s="14"/>
      <c r="H381" s="14"/>
      <c r="I381" s="14"/>
      <c r="J381" s="14"/>
      <c r="K381" s="12"/>
    </row>
    <row r="382" ht="19.5" customHeight="1">
      <c r="A382" s="12"/>
      <c r="C382" s="12"/>
      <c r="D382" s="13"/>
      <c r="F382" s="14"/>
      <c r="G382" s="14"/>
      <c r="H382" s="14"/>
      <c r="I382" s="14"/>
      <c r="J382" s="14"/>
      <c r="K382" s="12"/>
    </row>
    <row r="383" ht="19.5" customHeight="1">
      <c r="A383" s="12"/>
      <c r="C383" s="12"/>
      <c r="D383" s="13"/>
      <c r="F383" s="14"/>
      <c r="G383" s="14"/>
      <c r="H383" s="14"/>
      <c r="I383" s="14"/>
      <c r="J383" s="14"/>
      <c r="K383" s="12"/>
    </row>
    <row r="384" ht="19.5" customHeight="1">
      <c r="A384" s="12"/>
      <c r="C384" s="12"/>
      <c r="D384" s="13"/>
      <c r="F384" s="14"/>
      <c r="G384" s="14"/>
      <c r="H384" s="14"/>
      <c r="I384" s="14"/>
      <c r="J384" s="14"/>
      <c r="K384" s="12"/>
    </row>
    <row r="385" ht="19.5" customHeight="1">
      <c r="A385" s="12"/>
      <c r="C385" s="12"/>
      <c r="D385" s="13"/>
      <c r="F385" s="14"/>
      <c r="G385" s="14"/>
      <c r="H385" s="14"/>
      <c r="I385" s="14"/>
      <c r="J385" s="14"/>
      <c r="K385" s="12"/>
    </row>
    <row r="386" ht="19.5" customHeight="1">
      <c r="A386" s="12"/>
      <c r="C386" s="12"/>
      <c r="D386" s="13"/>
      <c r="F386" s="14"/>
      <c r="G386" s="14"/>
      <c r="H386" s="14"/>
      <c r="I386" s="14"/>
      <c r="J386" s="14"/>
      <c r="K386" s="12"/>
    </row>
    <row r="387" ht="19.5" customHeight="1">
      <c r="A387" s="12"/>
      <c r="C387" s="12"/>
      <c r="D387" s="13"/>
      <c r="F387" s="14"/>
      <c r="G387" s="14"/>
      <c r="H387" s="14"/>
      <c r="I387" s="14"/>
      <c r="J387" s="14"/>
      <c r="K387" s="12"/>
    </row>
    <row r="388" ht="19.5" customHeight="1">
      <c r="A388" s="12"/>
      <c r="C388" s="12"/>
      <c r="D388" s="13"/>
      <c r="F388" s="14"/>
      <c r="G388" s="14"/>
      <c r="H388" s="14"/>
      <c r="I388" s="14"/>
      <c r="J388" s="14"/>
      <c r="K388" s="12"/>
    </row>
    <row r="389" ht="19.5" customHeight="1">
      <c r="A389" s="12"/>
      <c r="C389" s="12"/>
      <c r="D389" s="13"/>
      <c r="F389" s="14"/>
      <c r="G389" s="14"/>
      <c r="H389" s="14"/>
      <c r="I389" s="14"/>
      <c r="J389" s="14"/>
      <c r="K389" s="12"/>
    </row>
    <row r="390" ht="19.5" customHeight="1">
      <c r="A390" s="12"/>
      <c r="C390" s="12"/>
      <c r="D390" s="13"/>
      <c r="F390" s="14"/>
      <c r="G390" s="14"/>
      <c r="H390" s="14"/>
      <c r="I390" s="14"/>
      <c r="J390" s="14"/>
      <c r="K390" s="12"/>
    </row>
    <row r="391" ht="19.5" customHeight="1">
      <c r="A391" s="12"/>
      <c r="C391" s="12"/>
      <c r="D391" s="13"/>
      <c r="F391" s="14"/>
      <c r="G391" s="14"/>
      <c r="H391" s="14"/>
      <c r="I391" s="14"/>
      <c r="J391" s="14"/>
      <c r="K391" s="12"/>
    </row>
    <row r="392" ht="19.5" customHeight="1">
      <c r="A392" s="12"/>
      <c r="C392" s="12"/>
      <c r="D392" s="13"/>
      <c r="F392" s="14"/>
      <c r="G392" s="14"/>
      <c r="H392" s="14"/>
      <c r="I392" s="14"/>
      <c r="J392" s="14"/>
      <c r="K392" s="12"/>
    </row>
    <row r="393" ht="19.5" customHeight="1">
      <c r="A393" s="12"/>
      <c r="C393" s="12"/>
      <c r="D393" s="13"/>
      <c r="F393" s="14"/>
      <c r="G393" s="14"/>
      <c r="H393" s="14"/>
      <c r="I393" s="14"/>
      <c r="J393" s="14"/>
      <c r="K393" s="12"/>
    </row>
    <row r="394" ht="19.5" customHeight="1">
      <c r="A394" s="12"/>
      <c r="C394" s="12"/>
      <c r="D394" s="13"/>
      <c r="F394" s="14"/>
      <c r="G394" s="14"/>
      <c r="H394" s="14"/>
      <c r="I394" s="14"/>
      <c r="J394" s="14"/>
      <c r="K394" s="12"/>
    </row>
    <row r="395" ht="19.5" customHeight="1">
      <c r="A395" s="12"/>
      <c r="C395" s="12"/>
      <c r="D395" s="13"/>
      <c r="F395" s="14"/>
      <c r="G395" s="14"/>
      <c r="H395" s="14"/>
      <c r="I395" s="14"/>
      <c r="J395" s="14"/>
      <c r="K395" s="12"/>
    </row>
    <row r="396" ht="19.5" customHeight="1">
      <c r="A396" s="12"/>
      <c r="C396" s="12"/>
      <c r="D396" s="13"/>
      <c r="F396" s="14"/>
      <c r="G396" s="14"/>
      <c r="H396" s="14"/>
      <c r="I396" s="14"/>
      <c r="J396" s="14"/>
      <c r="K396" s="12"/>
    </row>
    <row r="397" ht="19.5" customHeight="1">
      <c r="A397" s="12"/>
      <c r="C397" s="12"/>
      <c r="D397" s="13"/>
      <c r="F397" s="14"/>
      <c r="G397" s="14"/>
      <c r="H397" s="14"/>
      <c r="I397" s="14"/>
      <c r="J397" s="14"/>
      <c r="K397" s="12"/>
    </row>
    <row r="398" ht="19.5" customHeight="1">
      <c r="A398" s="12"/>
      <c r="C398" s="12"/>
      <c r="D398" s="13"/>
      <c r="F398" s="14"/>
      <c r="G398" s="14"/>
      <c r="H398" s="14"/>
      <c r="I398" s="14"/>
      <c r="J398" s="14"/>
      <c r="K398" s="12"/>
    </row>
    <row r="399" ht="19.5" customHeight="1">
      <c r="A399" s="12"/>
      <c r="C399" s="12"/>
      <c r="D399" s="13"/>
      <c r="F399" s="14"/>
      <c r="G399" s="14"/>
      <c r="H399" s="14"/>
      <c r="I399" s="14"/>
      <c r="J399" s="14"/>
      <c r="K399" s="12"/>
    </row>
    <row r="400" ht="19.5" customHeight="1">
      <c r="A400" s="12"/>
      <c r="C400" s="12"/>
      <c r="D400" s="13"/>
      <c r="F400" s="14"/>
      <c r="G400" s="14"/>
      <c r="H400" s="14"/>
      <c r="I400" s="14"/>
      <c r="J400" s="14"/>
      <c r="K400" s="12"/>
    </row>
    <row r="401" ht="19.5" customHeight="1">
      <c r="A401" s="12"/>
      <c r="C401" s="12"/>
      <c r="D401" s="13"/>
      <c r="F401" s="14"/>
      <c r="G401" s="14"/>
      <c r="H401" s="14"/>
      <c r="I401" s="14"/>
      <c r="J401" s="14"/>
      <c r="K401" s="12"/>
    </row>
    <row r="402" ht="19.5" customHeight="1">
      <c r="A402" s="12"/>
      <c r="C402" s="12"/>
      <c r="D402" s="13"/>
      <c r="F402" s="14"/>
      <c r="G402" s="14"/>
      <c r="H402" s="14"/>
      <c r="I402" s="14"/>
      <c r="J402" s="14"/>
      <c r="K402" s="12"/>
    </row>
    <row r="403" ht="19.5" customHeight="1">
      <c r="A403" s="12"/>
      <c r="C403" s="12"/>
      <c r="D403" s="13"/>
      <c r="F403" s="14"/>
      <c r="G403" s="14"/>
      <c r="H403" s="14"/>
      <c r="I403" s="14"/>
      <c r="J403" s="14"/>
      <c r="K403" s="12"/>
    </row>
    <row r="404" ht="19.5" customHeight="1">
      <c r="A404" s="12"/>
      <c r="C404" s="12"/>
      <c r="D404" s="13"/>
      <c r="F404" s="14"/>
      <c r="G404" s="14"/>
      <c r="H404" s="14"/>
      <c r="I404" s="14"/>
      <c r="J404" s="14"/>
      <c r="K404" s="12"/>
    </row>
    <row r="405" ht="19.5" customHeight="1">
      <c r="A405" s="12"/>
      <c r="C405" s="12"/>
      <c r="D405" s="13"/>
      <c r="F405" s="14"/>
      <c r="G405" s="14"/>
      <c r="H405" s="14"/>
      <c r="I405" s="14"/>
      <c r="J405" s="14"/>
      <c r="K405" s="12"/>
    </row>
    <row r="406" ht="19.5" customHeight="1">
      <c r="A406" s="12"/>
      <c r="C406" s="12"/>
      <c r="D406" s="13"/>
      <c r="F406" s="14"/>
      <c r="G406" s="14"/>
      <c r="H406" s="14"/>
      <c r="I406" s="14"/>
      <c r="J406" s="14"/>
      <c r="K406" s="12"/>
    </row>
    <row r="407" ht="19.5" customHeight="1">
      <c r="A407" s="12"/>
      <c r="C407" s="12"/>
      <c r="D407" s="13"/>
      <c r="F407" s="14"/>
      <c r="G407" s="14"/>
      <c r="H407" s="14"/>
      <c r="I407" s="14"/>
      <c r="J407" s="14"/>
      <c r="K407" s="12"/>
    </row>
    <row r="408" ht="19.5" customHeight="1">
      <c r="A408" s="12"/>
      <c r="C408" s="12"/>
      <c r="D408" s="13"/>
      <c r="F408" s="14"/>
      <c r="G408" s="14"/>
      <c r="H408" s="14"/>
      <c r="I408" s="14"/>
      <c r="J408" s="14"/>
      <c r="K408" s="12"/>
    </row>
    <row r="409" ht="19.5" customHeight="1">
      <c r="A409" s="12"/>
      <c r="C409" s="12"/>
      <c r="D409" s="13"/>
      <c r="F409" s="14"/>
      <c r="G409" s="14"/>
      <c r="H409" s="14"/>
      <c r="I409" s="14"/>
      <c r="J409" s="14"/>
      <c r="K409" s="12"/>
    </row>
    <row r="410" ht="19.5" customHeight="1">
      <c r="A410" s="12"/>
      <c r="C410" s="12"/>
      <c r="D410" s="13"/>
      <c r="F410" s="14"/>
      <c r="G410" s="14"/>
      <c r="H410" s="14"/>
      <c r="I410" s="14"/>
      <c r="J410" s="14"/>
      <c r="K410" s="12"/>
    </row>
    <row r="411" ht="19.5" customHeight="1">
      <c r="A411" s="12"/>
      <c r="C411" s="12"/>
      <c r="D411" s="13"/>
      <c r="F411" s="14"/>
      <c r="G411" s="14"/>
      <c r="H411" s="14"/>
      <c r="I411" s="14"/>
      <c r="J411" s="14"/>
      <c r="K411" s="12"/>
    </row>
    <row r="412" ht="19.5" customHeight="1">
      <c r="A412" s="12"/>
      <c r="C412" s="12"/>
      <c r="D412" s="13"/>
      <c r="F412" s="14"/>
      <c r="G412" s="14"/>
      <c r="H412" s="14"/>
      <c r="I412" s="14"/>
      <c r="J412" s="14"/>
      <c r="K412" s="12"/>
    </row>
    <row r="413" ht="19.5" customHeight="1">
      <c r="A413" s="12"/>
      <c r="C413" s="12"/>
      <c r="D413" s="13"/>
      <c r="F413" s="14"/>
      <c r="G413" s="14"/>
      <c r="H413" s="14"/>
      <c r="I413" s="14"/>
      <c r="J413" s="14"/>
      <c r="K413" s="12"/>
    </row>
    <row r="414" ht="19.5" customHeight="1">
      <c r="A414" s="12"/>
      <c r="C414" s="12"/>
      <c r="D414" s="13"/>
      <c r="F414" s="14"/>
      <c r="G414" s="14"/>
      <c r="H414" s="14"/>
      <c r="I414" s="14"/>
      <c r="J414" s="14"/>
      <c r="K414" s="12"/>
    </row>
    <row r="415" ht="19.5" customHeight="1">
      <c r="A415" s="12"/>
      <c r="C415" s="12"/>
      <c r="D415" s="13"/>
      <c r="F415" s="14"/>
      <c r="G415" s="14"/>
      <c r="H415" s="14"/>
      <c r="I415" s="14"/>
      <c r="J415" s="14"/>
      <c r="K415" s="12"/>
    </row>
    <row r="416" ht="19.5" customHeight="1">
      <c r="A416" s="12"/>
      <c r="C416" s="12"/>
      <c r="D416" s="13"/>
      <c r="F416" s="14"/>
      <c r="G416" s="14"/>
      <c r="H416" s="14"/>
      <c r="I416" s="14"/>
      <c r="J416" s="14"/>
      <c r="K416" s="12"/>
    </row>
    <row r="417" ht="19.5" customHeight="1">
      <c r="A417" s="12"/>
      <c r="C417" s="12"/>
      <c r="D417" s="13"/>
      <c r="F417" s="14"/>
      <c r="G417" s="14"/>
      <c r="H417" s="14"/>
      <c r="I417" s="14"/>
      <c r="J417" s="14"/>
      <c r="K417" s="12"/>
    </row>
    <row r="418" ht="19.5" customHeight="1">
      <c r="A418" s="12"/>
      <c r="C418" s="12"/>
      <c r="D418" s="13"/>
      <c r="F418" s="14"/>
      <c r="G418" s="14"/>
      <c r="H418" s="14"/>
      <c r="I418" s="14"/>
      <c r="J418" s="14"/>
      <c r="K418" s="12"/>
    </row>
    <row r="419" ht="19.5" customHeight="1">
      <c r="A419" s="12"/>
      <c r="C419" s="12"/>
      <c r="D419" s="13"/>
      <c r="F419" s="14"/>
      <c r="G419" s="14"/>
      <c r="H419" s="14"/>
      <c r="I419" s="14"/>
      <c r="J419" s="14"/>
      <c r="K419" s="12"/>
    </row>
    <row r="420" ht="19.5" customHeight="1">
      <c r="A420" s="12"/>
      <c r="C420" s="12"/>
      <c r="D420" s="13"/>
      <c r="F420" s="14"/>
      <c r="G420" s="14"/>
      <c r="H420" s="14"/>
      <c r="I420" s="14"/>
      <c r="J420" s="14"/>
      <c r="K420" s="12"/>
    </row>
    <row r="421" ht="19.5" customHeight="1">
      <c r="A421" s="12"/>
      <c r="C421" s="12"/>
      <c r="D421" s="13"/>
      <c r="F421" s="14"/>
      <c r="G421" s="14"/>
      <c r="H421" s="14"/>
      <c r="I421" s="14"/>
      <c r="J421" s="14"/>
      <c r="K421" s="12"/>
    </row>
    <row r="422" ht="19.5" customHeight="1">
      <c r="A422" s="12"/>
      <c r="C422" s="12"/>
      <c r="D422" s="13"/>
      <c r="F422" s="14"/>
      <c r="G422" s="14"/>
      <c r="H422" s="14"/>
      <c r="I422" s="14"/>
      <c r="J422" s="14"/>
      <c r="K422" s="12"/>
    </row>
    <row r="423" ht="19.5" customHeight="1">
      <c r="A423" s="12"/>
      <c r="C423" s="12"/>
      <c r="D423" s="13"/>
      <c r="F423" s="14"/>
      <c r="G423" s="14"/>
      <c r="H423" s="14"/>
      <c r="I423" s="14"/>
      <c r="J423" s="14"/>
      <c r="K423" s="12"/>
    </row>
    <row r="424" ht="19.5" customHeight="1">
      <c r="A424" s="12"/>
      <c r="C424" s="12"/>
      <c r="D424" s="13"/>
      <c r="F424" s="14"/>
      <c r="G424" s="14"/>
      <c r="H424" s="14"/>
      <c r="I424" s="14"/>
      <c r="J424" s="14"/>
      <c r="K424" s="12"/>
    </row>
    <row r="425" ht="19.5" customHeight="1">
      <c r="A425" s="12"/>
      <c r="C425" s="12"/>
      <c r="D425" s="13"/>
      <c r="F425" s="14"/>
      <c r="G425" s="14"/>
      <c r="H425" s="14"/>
      <c r="I425" s="14"/>
      <c r="J425" s="14"/>
      <c r="K425" s="12"/>
    </row>
    <row r="426" ht="19.5" customHeight="1">
      <c r="A426" s="12"/>
      <c r="C426" s="12"/>
      <c r="D426" s="13"/>
      <c r="F426" s="14"/>
      <c r="G426" s="14"/>
      <c r="H426" s="14"/>
      <c r="I426" s="14"/>
      <c r="J426" s="14"/>
      <c r="K426" s="12"/>
    </row>
    <row r="427" ht="19.5" customHeight="1">
      <c r="A427" s="12"/>
      <c r="C427" s="12"/>
      <c r="D427" s="13"/>
      <c r="F427" s="14"/>
      <c r="G427" s="14"/>
      <c r="H427" s="14"/>
      <c r="I427" s="14"/>
      <c r="J427" s="14"/>
      <c r="K427" s="12"/>
    </row>
    <row r="428" ht="19.5" customHeight="1">
      <c r="A428" s="12"/>
      <c r="C428" s="12"/>
      <c r="D428" s="13"/>
      <c r="F428" s="14"/>
      <c r="G428" s="14"/>
      <c r="H428" s="14"/>
      <c r="I428" s="14"/>
      <c r="J428" s="14"/>
      <c r="K428" s="12"/>
    </row>
    <row r="429" ht="19.5" customHeight="1">
      <c r="A429" s="12"/>
      <c r="C429" s="12"/>
      <c r="D429" s="13"/>
      <c r="F429" s="14"/>
      <c r="G429" s="14"/>
      <c r="H429" s="14"/>
      <c r="I429" s="14"/>
      <c r="J429" s="14"/>
      <c r="K429" s="12"/>
    </row>
    <row r="430" ht="19.5" customHeight="1">
      <c r="A430" s="12"/>
      <c r="C430" s="12"/>
      <c r="D430" s="13"/>
      <c r="F430" s="14"/>
      <c r="G430" s="14"/>
      <c r="H430" s="14"/>
      <c r="I430" s="14"/>
      <c r="J430" s="14"/>
      <c r="K430" s="12"/>
    </row>
    <row r="431" ht="19.5" customHeight="1">
      <c r="A431" s="12"/>
      <c r="C431" s="12"/>
      <c r="D431" s="13"/>
      <c r="F431" s="14"/>
      <c r="G431" s="14"/>
      <c r="H431" s="14"/>
      <c r="I431" s="14"/>
      <c r="J431" s="14"/>
      <c r="K431" s="12"/>
    </row>
    <row r="432" ht="19.5" customHeight="1">
      <c r="A432" s="12"/>
      <c r="C432" s="12"/>
      <c r="D432" s="13"/>
      <c r="F432" s="14"/>
      <c r="G432" s="14"/>
      <c r="H432" s="14"/>
      <c r="I432" s="14"/>
      <c r="J432" s="14"/>
      <c r="K432" s="12"/>
    </row>
    <row r="433" ht="19.5" customHeight="1">
      <c r="A433" s="12"/>
      <c r="C433" s="12"/>
      <c r="D433" s="13"/>
      <c r="F433" s="14"/>
      <c r="G433" s="14"/>
      <c r="H433" s="14"/>
      <c r="I433" s="14"/>
      <c r="J433" s="14"/>
      <c r="K433" s="12"/>
    </row>
    <row r="434" ht="19.5" customHeight="1">
      <c r="A434" s="12"/>
      <c r="C434" s="12"/>
      <c r="D434" s="13"/>
      <c r="F434" s="14"/>
      <c r="G434" s="14"/>
      <c r="H434" s="14"/>
      <c r="I434" s="14"/>
      <c r="J434" s="14"/>
      <c r="K434" s="12"/>
    </row>
    <row r="435" ht="19.5" customHeight="1">
      <c r="A435" s="12"/>
      <c r="C435" s="12"/>
      <c r="D435" s="13"/>
      <c r="F435" s="14"/>
      <c r="G435" s="14"/>
      <c r="H435" s="14"/>
      <c r="I435" s="14"/>
      <c r="J435" s="14"/>
      <c r="K435" s="12"/>
    </row>
    <row r="436" ht="19.5" customHeight="1">
      <c r="A436" s="12"/>
      <c r="C436" s="12"/>
      <c r="D436" s="13"/>
      <c r="F436" s="14"/>
      <c r="G436" s="14"/>
      <c r="H436" s="14"/>
      <c r="I436" s="14"/>
      <c r="J436" s="14"/>
      <c r="K436" s="12"/>
    </row>
    <row r="437" ht="19.5" customHeight="1">
      <c r="A437" s="12"/>
      <c r="C437" s="12"/>
      <c r="D437" s="13"/>
      <c r="F437" s="14"/>
      <c r="G437" s="14"/>
      <c r="H437" s="14"/>
      <c r="I437" s="14"/>
      <c r="J437" s="14"/>
      <c r="K437" s="12"/>
    </row>
    <row r="438" ht="19.5" customHeight="1">
      <c r="A438" s="12"/>
      <c r="C438" s="12"/>
      <c r="D438" s="13"/>
      <c r="F438" s="14"/>
      <c r="G438" s="14"/>
      <c r="H438" s="14"/>
      <c r="I438" s="14"/>
      <c r="J438" s="14"/>
      <c r="K438" s="12"/>
    </row>
    <row r="439" ht="19.5" customHeight="1">
      <c r="A439" s="12"/>
      <c r="C439" s="12"/>
      <c r="D439" s="13"/>
      <c r="F439" s="14"/>
      <c r="G439" s="14"/>
      <c r="H439" s="14"/>
      <c r="I439" s="14"/>
      <c r="J439" s="14"/>
      <c r="K439" s="12"/>
    </row>
    <row r="440" ht="19.5" customHeight="1">
      <c r="A440" s="12"/>
      <c r="C440" s="12"/>
      <c r="D440" s="13"/>
      <c r="F440" s="14"/>
      <c r="G440" s="14"/>
      <c r="H440" s="14"/>
      <c r="I440" s="14"/>
      <c r="J440" s="14"/>
      <c r="K440" s="12"/>
    </row>
    <row r="441" ht="19.5" customHeight="1">
      <c r="A441" s="12"/>
      <c r="C441" s="12"/>
      <c r="D441" s="13"/>
      <c r="F441" s="14"/>
      <c r="G441" s="14"/>
      <c r="H441" s="14"/>
      <c r="I441" s="14"/>
      <c r="J441" s="14"/>
      <c r="K441" s="12"/>
    </row>
    <row r="442" ht="19.5" customHeight="1">
      <c r="A442" s="12"/>
      <c r="C442" s="12"/>
      <c r="D442" s="13"/>
      <c r="F442" s="14"/>
      <c r="G442" s="14"/>
      <c r="H442" s="14"/>
      <c r="I442" s="14"/>
      <c r="J442" s="14"/>
      <c r="K442" s="12"/>
    </row>
    <row r="443" ht="19.5" customHeight="1">
      <c r="A443" s="12"/>
      <c r="C443" s="12"/>
      <c r="D443" s="13"/>
      <c r="F443" s="14"/>
      <c r="G443" s="14"/>
      <c r="H443" s="14"/>
      <c r="I443" s="14"/>
      <c r="J443" s="14"/>
      <c r="K443" s="12"/>
    </row>
    <row r="444" ht="19.5" customHeight="1">
      <c r="A444" s="12"/>
      <c r="C444" s="12"/>
      <c r="D444" s="13"/>
      <c r="F444" s="14"/>
      <c r="G444" s="14"/>
      <c r="H444" s="14"/>
      <c r="I444" s="14"/>
      <c r="J444" s="14"/>
      <c r="K444" s="12"/>
    </row>
    <row r="445" ht="19.5" customHeight="1">
      <c r="A445" s="12"/>
      <c r="C445" s="12"/>
      <c r="D445" s="13"/>
      <c r="F445" s="14"/>
      <c r="G445" s="14"/>
      <c r="H445" s="14"/>
      <c r="I445" s="14"/>
      <c r="J445" s="14"/>
      <c r="K445" s="12"/>
    </row>
    <row r="446" ht="19.5" customHeight="1">
      <c r="A446" s="12"/>
      <c r="C446" s="12"/>
      <c r="D446" s="13"/>
      <c r="F446" s="14"/>
      <c r="G446" s="14"/>
      <c r="H446" s="14"/>
      <c r="I446" s="14"/>
      <c r="J446" s="14"/>
      <c r="K446" s="12"/>
    </row>
    <row r="447" ht="19.5" customHeight="1">
      <c r="A447" s="12"/>
      <c r="C447" s="12"/>
      <c r="D447" s="13"/>
      <c r="F447" s="14"/>
      <c r="G447" s="14"/>
      <c r="H447" s="14"/>
      <c r="I447" s="14"/>
      <c r="J447" s="14"/>
      <c r="K447" s="12"/>
    </row>
    <row r="448" ht="19.5" customHeight="1">
      <c r="A448" s="12"/>
      <c r="C448" s="12"/>
      <c r="D448" s="13"/>
      <c r="F448" s="14"/>
      <c r="G448" s="14"/>
      <c r="H448" s="14"/>
      <c r="I448" s="14"/>
      <c r="J448" s="14"/>
      <c r="K448" s="12"/>
    </row>
    <row r="449" ht="19.5" customHeight="1">
      <c r="A449" s="12"/>
      <c r="C449" s="12"/>
      <c r="D449" s="13"/>
      <c r="F449" s="14"/>
      <c r="G449" s="14"/>
      <c r="H449" s="14"/>
      <c r="I449" s="14"/>
      <c r="J449" s="14"/>
      <c r="K449" s="12"/>
    </row>
    <row r="450" ht="19.5" customHeight="1">
      <c r="A450" s="12"/>
      <c r="C450" s="12"/>
      <c r="D450" s="13"/>
      <c r="F450" s="14"/>
      <c r="G450" s="14"/>
      <c r="H450" s="14"/>
      <c r="I450" s="14"/>
      <c r="J450" s="14"/>
      <c r="K450" s="12"/>
    </row>
    <row r="451" ht="19.5" customHeight="1">
      <c r="A451" s="12"/>
      <c r="C451" s="12"/>
      <c r="D451" s="13"/>
      <c r="F451" s="14"/>
      <c r="G451" s="14"/>
      <c r="H451" s="14"/>
      <c r="I451" s="14"/>
      <c r="J451" s="14"/>
      <c r="K451" s="12"/>
    </row>
    <row r="452" ht="19.5" customHeight="1">
      <c r="A452" s="12"/>
      <c r="C452" s="12"/>
      <c r="D452" s="13"/>
      <c r="F452" s="14"/>
      <c r="G452" s="14"/>
      <c r="H452" s="14"/>
      <c r="I452" s="14"/>
      <c r="J452" s="14"/>
      <c r="K452" s="12"/>
    </row>
    <row r="453" ht="19.5" customHeight="1">
      <c r="A453" s="12"/>
      <c r="C453" s="12"/>
      <c r="D453" s="13"/>
      <c r="F453" s="14"/>
      <c r="G453" s="14"/>
      <c r="H453" s="14"/>
      <c r="I453" s="14"/>
      <c r="J453" s="14"/>
      <c r="K453" s="12"/>
    </row>
    <row r="454" ht="19.5" customHeight="1">
      <c r="A454" s="12"/>
      <c r="C454" s="12"/>
      <c r="D454" s="13"/>
      <c r="F454" s="14"/>
      <c r="G454" s="14"/>
      <c r="H454" s="14"/>
      <c r="I454" s="14"/>
      <c r="J454" s="14"/>
      <c r="K454" s="12"/>
    </row>
    <row r="455" ht="19.5" customHeight="1">
      <c r="A455" s="12"/>
      <c r="C455" s="12"/>
      <c r="D455" s="13"/>
      <c r="F455" s="14"/>
      <c r="G455" s="14"/>
      <c r="H455" s="14"/>
      <c r="I455" s="14"/>
      <c r="J455" s="14"/>
      <c r="K455" s="12"/>
    </row>
    <row r="456" ht="19.5" customHeight="1">
      <c r="A456" s="12"/>
      <c r="C456" s="12"/>
      <c r="D456" s="13"/>
      <c r="F456" s="14"/>
      <c r="G456" s="14"/>
      <c r="H456" s="14"/>
      <c r="I456" s="14"/>
      <c r="J456" s="14"/>
      <c r="K456" s="12"/>
    </row>
    <row r="457" ht="19.5" customHeight="1">
      <c r="A457" s="12"/>
      <c r="C457" s="12"/>
      <c r="D457" s="13"/>
      <c r="F457" s="14"/>
      <c r="G457" s="14"/>
      <c r="H457" s="14"/>
      <c r="I457" s="14"/>
      <c r="J457" s="14"/>
      <c r="K457" s="12"/>
    </row>
    <row r="458" ht="19.5" customHeight="1">
      <c r="A458" s="12"/>
      <c r="C458" s="12"/>
      <c r="D458" s="13"/>
      <c r="F458" s="14"/>
      <c r="G458" s="14"/>
      <c r="H458" s="14"/>
      <c r="I458" s="14"/>
      <c r="J458" s="14"/>
      <c r="K458" s="12"/>
    </row>
    <row r="459" ht="19.5" customHeight="1">
      <c r="A459" s="12"/>
      <c r="C459" s="12"/>
      <c r="D459" s="13"/>
      <c r="F459" s="14"/>
      <c r="G459" s="14"/>
      <c r="H459" s="14"/>
      <c r="I459" s="14"/>
      <c r="J459" s="14"/>
      <c r="K459" s="12"/>
    </row>
    <row r="460" ht="19.5" customHeight="1">
      <c r="A460" s="12"/>
      <c r="C460" s="12"/>
      <c r="D460" s="13"/>
      <c r="F460" s="14"/>
      <c r="G460" s="14"/>
      <c r="H460" s="14"/>
      <c r="I460" s="14"/>
      <c r="J460" s="14"/>
      <c r="K460" s="12"/>
    </row>
    <row r="461" ht="19.5" customHeight="1">
      <c r="A461" s="12"/>
      <c r="C461" s="12"/>
      <c r="D461" s="13"/>
      <c r="F461" s="14"/>
      <c r="G461" s="14"/>
      <c r="H461" s="14"/>
      <c r="I461" s="14"/>
      <c r="J461" s="14"/>
      <c r="K461" s="12"/>
    </row>
    <row r="462" ht="19.5" customHeight="1">
      <c r="A462" s="12"/>
      <c r="C462" s="12"/>
      <c r="D462" s="13"/>
      <c r="F462" s="14"/>
      <c r="G462" s="14"/>
      <c r="H462" s="14"/>
      <c r="I462" s="14"/>
      <c r="J462" s="14"/>
      <c r="K462" s="12"/>
    </row>
    <row r="463" ht="19.5" customHeight="1">
      <c r="A463" s="12"/>
      <c r="C463" s="12"/>
      <c r="D463" s="13"/>
      <c r="F463" s="14"/>
      <c r="G463" s="14"/>
      <c r="H463" s="14"/>
      <c r="I463" s="14"/>
      <c r="J463" s="14"/>
      <c r="K463" s="12"/>
    </row>
    <row r="464" ht="19.5" customHeight="1">
      <c r="A464" s="12"/>
      <c r="C464" s="12"/>
      <c r="D464" s="13"/>
      <c r="F464" s="14"/>
      <c r="G464" s="14"/>
      <c r="H464" s="14"/>
      <c r="I464" s="14"/>
      <c r="J464" s="14"/>
      <c r="K464" s="12"/>
    </row>
    <row r="465" ht="19.5" customHeight="1">
      <c r="A465" s="12"/>
      <c r="C465" s="12"/>
      <c r="D465" s="13"/>
      <c r="F465" s="14"/>
      <c r="G465" s="14"/>
      <c r="H465" s="14"/>
      <c r="I465" s="14"/>
      <c r="J465" s="14"/>
      <c r="K465" s="12"/>
    </row>
    <row r="466" ht="19.5" customHeight="1">
      <c r="A466" s="12"/>
      <c r="C466" s="12"/>
      <c r="D466" s="13"/>
      <c r="F466" s="14"/>
      <c r="G466" s="14"/>
      <c r="H466" s="14"/>
      <c r="I466" s="14"/>
      <c r="J466" s="14"/>
      <c r="K466" s="12"/>
    </row>
    <row r="467" ht="19.5" customHeight="1">
      <c r="A467" s="12"/>
      <c r="C467" s="12"/>
      <c r="D467" s="13"/>
      <c r="F467" s="14"/>
      <c r="G467" s="14"/>
      <c r="H467" s="14"/>
      <c r="I467" s="14"/>
      <c r="J467" s="14"/>
      <c r="K467" s="12"/>
    </row>
    <row r="468" ht="19.5" customHeight="1">
      <c r="A468" s="12"/>
      <c r="C468" s="12"/>
      <c r="D468" s="13"/>
      <c r="F468" s="14"/>
      <c r="G468" s="14"/>
      <c r="H468" s="14"/>
      <c r="I468" s="14"/>
      <c r="J468" s="14"/>
      <c r="K468" s="12"/>
    </row>
    <row r="469" ht="19.5" customHeight="1">
      <c r="A469" s="12"/>
      <c r="C469" s="12"/>
      <c r="D469" s="13"/>
      <c r="F469" s="14"/>
      <c r="G469" s="14"/>
      <c r="H469" s="14"/>
      <c r="I469" s="14"/>
      <c r="J469" s="14"/>
      <c r="K469" s="12"/>
    </row>
    <row r="470" ht="19.5" customHeight="1">
      <c r="A470" s="12"/>
      <c r="C470" s="12"/>
      <c r="D470" s="13"/>
      <c r="F470" s="14"/>
      <c r="G470" s="14"/>
      <c r="H470" s="14"/>
      <c r="I470" s="14"/>
      <c r="J470" s="14"/>
      <c r="K470" s="12"/>
    </row>
    <row r="471" ht="19.5" customHeight="1">
      <c r="A471" s="12"/>
      <c r="C471" s="12"/>
      <c r="D471" s="13"/>
      <c r="F471" s="14"/>
      <c r="G471" s="14"/>
      <c r="H471" s="14"/>
      <c r="I471" s="14"/>
      <c r="J471" s="14"/>
      <c r="K471" s="12"/>
    </row>
    <row r="472" ht="19.5" customHeight="1">
      <c r="A472" s="12"/>
      <c r="C472" s="12"/>
      <c r="D472" s="13"/>
      <c r="F472" s="14"/>
      <c r="G472" s="14"/>
      <c r="H472" s="14"/>
      <c r="I472" s="14"/>
      <c r="J472" s="14"/>
      <c r="K472" s="12"/>
    </row>
    <row r="473" ht="19.5" customHeight="1">
      <c r="A473" s="12"/>
      <c r="C473" s="12"/>
      <c r="D473" s="13"/>
      <c r="F473" s="14"/>
      <c r="G473" s="14"/>
      <c r="H473" s="14"/>
      <c r="I473" s="14"/>
      <c r="J473" s="14"/>
      <c r="K473" s="12"/>
    </row>
    <row r="474" ht="19.5" customHeight="1">
      <c r="A474" s="12"/>
      <c r="C474" s="12"/>
      <c r="D474" s="13"/>
      <c r="F474" s="14"/>
      <c r="G474" s="14"/>
      <c r="H474" s="14"/>
      <c r="I474" s="14"/>
      <c r="J474" s="14"/>
      <c r="K474" s="12"/>
    </row>
    <row r="475" ht="19.5" customHeight="1">
      <c r="A475" s="12"/>
      <c r="C475" s="12"/>
      <c r="D475" s="13"/>
      <c r="F475" s="14"/>
      <c r="G475" s="14"/>
      <c r="H475" s="14"/>
      <c r="I475" s="14"/>
      <c r="J475" s="14"/>
      <c r="K475" s="12"/>
    </row>
    <row r="476" ht="19.5" customHeight="1">
      <c r="A476" s="12"/>
      <c r="C476" s="12"/>
      <c r="D476" s="13"/>
      <c r="F476" s="14"/>
      <c r="G476" s="14"/>
      <c r="H476" s="14"/>
      <c r="I476" s="14"/>
      <c r="J476" s="14"/>
      <c r="K476" s="12"/>
    </row>
    <row r="477" ht="19.5" customHeight="1">
      <c r="A477" s="12"/>
      <c r="C477" s="12"/>
      <c r="D477" s="13"/>
      <c r="F477" s="14"/>
      <c r="G477" s="14"/>
      <c r="H477" s="14"/>
      <c r="I477" s="14"/>
      <c r="J477" s="14"/>
      <c r="K477" s="12"/>
    </row>
    <row r="478" ht="19.5" customHeight="1">
      <c r="A478" s="12"/>
      <c r="C478" s="12"/>
      <c r="D478" s="13"/>
      <c r="F478" s="14"/>
      <c r="G478" s="14"/>
      <c r="H478" s="14"/>
      <c r="I478" s="14"/>
      <c r="J478" s="14"/>
      <c r="K478" s="12"/>
    </row>
    <row r="479" ht="19.5" customHeight="1">
      <c r="A479" s="12"/>
      <c r="C479" s="12"/>
      <c r="D479" s="13"/>
      <c r="F479" s="14"/>
      <c r="G479" s="14"/>
      <c r="H479" s="14"/>
      <c r="I479" s="14"/>
      <c r="J479" s="14"/>
      <c r="K479" s="12"/>
    </row>
    <row r="480" ht="19.5" customHeight="1">
      <c r="A480" s="12"/>
      <c r="C480" s="12"/>
      <c r="D480" s="13"/>
      <c r="F480" s="14"/>
      <c r="G480" s="14"/>
      <c r="H480" s="14"/>
      <c r="I480" s="14"/>
      <c r="J480" s="14"/>
      <c r="K480" s="12"/>
    </row>
    <row r="481" ht="19.5" customHeight="1">
      <c r="A481" s="12"/>
      <c r="C481" s="12"/>
      <c r="D481" s="13"/>
      <c r="F481" s="14"/>
      <c r="G481" s="14"/>
      <c r="H481" s="14"/>
      <c r="I481" s="14"/>
      <c r="J481" s="14"/>
      <c r="K481" s="12"/>
    </row>
    <row r="482" ht="19.5" customHeight="1">
      <c r="A482" s="12"/>
      <c r="C482" s="12"/>
      <c r="D482" s="13"/>
      <c r="F482" s="14"/>
      <c r="G482" s="14"/>
      <c r="H482" s="14"/>
      <c r="I482" s="14"/>
      <c r="J482" s="14"/>
      <c r="K482" s="12"/>
    </row>
    <row r="483" ht="19.5" customHeight="1">
      <c r="A483" s="12"/>
      <c r="C483" s="12"/>
      <c r="D483" s="13"/>
      <c r="F483" s="14"/>
      <c r="G483" s="14"/>
      <c r="H483" s="14"/>
      <c r="I483" s="14"/>
      <c r="J483" s="14"/>
      <c r="K483" s="12"/>
    </row>
    <row r="484" ht="19.5" customHeight="1">
      <c r="A484" s="12"/>
      <c r="C484" s="12"/>
      <c r="D484" s="13"/>
      <c r="F484" s="14"/>
      <c r="G484" s="14"/>
      <c r="H484" s="14"/>
      <c r="I484" s="14"/>
      <c r="J484" s="14"/>
      <c r="K484" s="12"/>
    </row>
    <row r="485" ht="19.5" customHeight="1">
      <c r="A485" s="12"/>
      <c r="C485" s="12"/>
      <c r="D485" s="13"/>
      <c r="F485" s="14"/>
      <c r="G485" s="14"/>
      <c r="H485" s="14"/>
      <c r="I485" s="14"/>
      <c r="J485" s="14"/>
      <c r="K485" s="12"/>
    </row>
    <row r="486" ht="19.5" customHeight="1">
      <c r="A486" s="12"/>
      <c r="C486" s="12"/>
      <c r="D486" s="13"/>
      <c r="F486" s="14"/>
      <c r="G486" s="14"/>
      <c r="H486" s="14"/>
      <c r="I486" s="14"/>
      <c r="J486" s="14"/>
      <c r="K486" s="12"/>
    </row>
    <row r="487" ht="19.5" customHeight="1">
      <c r="A487" s="12"/>
      <c r="C487" s="12"/>
      <c r="D487" s="13"/>
      <c r="F487" s="14"/>
      <c r="G487" s="14"/>
      <c r="H487" s="14"/>
      <c r="I487" s="14"/>
      <c r="J487" s="14"/>
      <c r="K487" s="12"/>
    </row>
    <row r="488" ht="19.5" customHeight="1">
      <c r="A488" s="12"/>
      <c r="C488" s="12"/>
      <c r="D488" s="13"/>
      <c r="F488" s="14"/>
      <c r="G488" s="14"/>
      <c r="H488" s="14"/>
      <c r="I488" s="14"/>
      <c r="J488" s="14"/>
      <c r="K488" s="12"/>
    </row>
    <row r="489" ht="19.5" customHeight="1">
      <c r="A489" s="12"/>
      <c r="C489" s="12"/>
      <c r="D489" s="13"/>
      <c r="F489" s="14"/>
      <c r="G489" s="14"/>
      <c r="H489" s="14"/>
      <c r="I489" s="14"/>
      <c r="J489" s="14"/>
      <c r="K489" s="12"/>
    </row>
    <row r="490" ht="19.5" customHeight="1">
      <c r="A490" s="12"/>
      <c r="C490" s="12"/>
      <c r="D490" s="13"/>
      <c r="F490" s="14"/>
      <c r="G490" s="14"/>
      <c r="H490" s="14"/>
      <c r="I490" s="14"/>
      <c r="J490" s="14"/>
      <c r="K490" s="12"/>
    </row>
    <row r="491" ht="19.5" customHeight="1">
      <c r="A491" s="12"/>
      <c r="C491" s="12"/>
      <c r="D491" s="13"/>
      <c r="F491" s="14"/>
      <c r="G491" s="14"/>
      <c r="H491" s="14"/>
      <c r="I491" s="14"/>
      <c r="J491" s="14"/>
      <c r="K491" s="12"/>
    </row>
    <row r="492" ht="19.5" customHeight="1">
      <c r="A492" s="12"/>
      <c r="C492" s="12"/>
      <c r="D492" s="13"/>
      <c r="F492" s="14"/>
      <c r="G492" s="14"/>
      <c r="H492" s="14"/>
      <c r="I492" s="14"/>
      <c r="J492" s="14"/>
      <c r="K492" s="12"/>
    </row>
    <row r="493" ht="19.5" customHeight="1">
      <c r="A493" s="12"/>
      <c r="C493" s="12"/>
      <c r="D493" s="13"/>
      <c r="F493" s="14"/>
      <c r="G493" s="14"/>
      <c r="H493" s="14"/>
      <c r="I493" s="14"/>
      <c r="J493" s="14"/>
      <c r="K493" s="12"/>
    </row>
    <row r="494" ht="19.5" customHeight="1">
      <c r="A494" s="12"/>
      <c r="C494" s="12"/>
      <c r="D494" s="13"/>
      <c r="F494" s="14"/>
      <c r="G494" s="14"/>
      <c r="H494" s="14"/>
      <c r="I494" s="14"/>
      <c r="J494" s="14"/>
      <c r="K494" s="12"/>
    </row>
    <row r="495" ht="19.5" customHeight="1">
      <c r="A495" s="12"/>
      <c r="C495" s="12"/>
      <c r="D495" s="13"/>
      <c r="F495" s="14"/>
      <c r="G495" s="14"/>
      <c r="H495" s="14"/>
      <c r="I495" s="14"/>
      <c r="J495" s="14"/>
      <c r="K495" s="12"/>
    </row>
    <row r="496" ht="19.5" customHeight="1">
      <c r="A496" s="12"/>
      <c r="C496" s="12"/>
      <c r="D496" s="13"/>
      <c r="F496" s="14"/>
      <c r="G496" s="14"/>
      <c r="H496" s="14"/>
      <c r="I496" s="14"/>
      <c r="J496" s="14"/>
      <c r="K496" s="12"/>
    </row>
    <row r="497" ht="19.5" customHeight="1">
      <c r="A497" s="12"/>
      <c r="C497" s="12"/>
      <c r="D497" s="13"/>
      <c r="F497" s="14"/>
      <c r="G497" s="14"/>
      <c r="H497" s="14"/>
      <c r="I497" s="14"/>
      <c r="J497" s="14"/>
      <c r="K497" s="12"/>
    </row>
    <row r="498" ht="19.5" customHeight="1">
      <c r="A498" s="12"/>
      <c r="C498" s="12"/>
      <c r="D498" s="13"/>
      <c r="F498" s="14"/>
      <c r="G498" s="14"/>
      <c r="H498" s="14"/>
      <c r="I498" s="14"/>
      <c r="J498" s="14"/>
      <c r="K498" s="12"/>
    </row>
    <row r="499" ht="19.5" customHeight="1">
      <c r="A499" s="12"/>
      <c r="C499" s="12"/>
      <c r="D499" s="13"/>
      <c r="F499" s="14"/>
      <c r="G499" s="14"/>
      <c r="H499" s="14"/>
      <c r="I499" s="14"/>
      <c r="J499" s="14"/>
      <c r="K499" s="12"/>
    </row>
    <row r="500" ht="19.5" customHeight="1">
      <c r="A500" s="12"/>
      <c r="C500" s="12"/>
      <c r="D500" s="13"/>
      <c r="F500" s="14"/>
      <c r="G500" s="14"/>
      <c r="H500" s="14"/>
      <c r="I500" s="14"/>
      <c r="J500" s="14"/>
      <c r="K500" s="12"/>
    </row>
    <row r="501" ht="19.5" customHeight="1">
      <c r="A501" s="12"/>
      <c r="C501" s="12"/>
      <c r="D501" s="13"/>
      <c r="F501" s="14"/>
      <c r="G501" s="14"/>
      <c r="H501" s="14"/>
      <c r="I501" s="14"/>
      <c r="J501" s="14"/>
      <c r="K501" s="12"/>
    </row>
    <row r="502" ht="19.5" customHeight="1">
      <c r="A502" s="12"/>
      <c r="C502" s="12"/>
      <c r="D502" s="13"/>
      <c r="F502" s="14"/>
      <c r="G502" s="14"/>
      <c r="H502" s="14"/>
      <c r="I502" s="14"/>
      <c r="J502" s="14"/>
      <c r="K502" s="12"/>
    </row>
    <row r="503" ht="19.5" customHeight="1">
      <c r="A503" s="12"/>
      <c r="C503" s="12"/>
      <c r="D503" s="13"/>
      <c r="F503" s="14"/>
      <c r="G503" s="14"/>
      <c r="H503" s="14"/>
      <c r="I503" s="14"/>
      <c r="J503" s="14"/>
      <c r="K503" s="12"/>
    </row>
    <row r="504" ht="19.5" customHeight="1">
      <c r="A504" s="12"/>
      <c r="C504" s="12"/>
      <c r="D504" s="13"/>
      <c r="F504" s="14"/>
      <c r="G504" s="14"/>
      <c r="H504" s="14"/>
      <c r="I504" s="14"/>
      <c r="J504" s="14"/>
      <c r="K504" s="12"/>
    </row>
    <row r="505" ht="19.5" customHeight="1">
      <c r="A505" s="12"/>
      <c r="C505" s="12"/>
      <c r="D505" s="13"/>
      <c r="F505" s="14"/>
      <c r="G505" s="14"/>
      <c r="H505" s="14"/>
      <c r="I505" s="14"/>
      <c r="J505" s="14"/>
      <c r="K505" s="12"/>
    </row>
    <row r="506" ht="19.5" customHeight="1">
      <c r="A506" s="12"/>
      <c r="C506" s="12"/>
      <c r="D506" s="13"/>
      <c r="F506" s="14"/>
      <c r="G506" s="14"/>
      <c r="H506" s="14"/>
      <c r="I506" s="14"/>
      <c r="J506" s="14"/>
      <c r="K506" s="12"/>
    </row>
    <row r="507" ht="19.5" customHeight="1">
      <c r="A507" s="12"/>
      <c r="C507" s="12"/>
      <c r="D507" s="13"/>
      <c r="F507" s="14"/>
      <c r="G507" s="14"/>
      <c r="H507" s="14"/>
      <c r="I507" s="14"/>
      <c r="J507" s="14"/>
      <c r="K507" s="12"/>
    </row>
    <row r="508" ht="19.5" customHeight="1">
      <c r="A508" s="12"/>
      <c r="C508" s="12"/>
      <c r="D508" s="13"/>
      <c r="F508" s="14"/>
      <c r="G508" s="14"/>
      <c r="H508" s="14"/>
      <c r="I508" s="14"/>
      <c r="J508" s="14"/>
      <c r="K508" s="12"/>
    </row>
    <row r="509" ht="19.5" customHeight="1">
      <c r="A509" s="12"/>
      <c r="C509" s="12"/>
      <c r="D509" s="13"/>
      <c r="F509" s="14"/>
      <c r="G509" s="14"/>
      <c r="H509" s="14"/>
      <c r="I509" s="14"/>
      <c r="J509" s="14"/>
      <c r="K509" s="12"/>
    </row>
    <row r="510" ht="19.5" customHeight="1">
      <c r="A510" s="12"/>
      <c r="C510" s="12"/>
      <c r="D510" s="13"/>
      <c r="F510" s="14"/>
      <c r="G510" s="14"/>
      <c r="H510" s="14"/>
      <c r="I510" s="14"/>
      <c r="J510" s="14"/>
      <c r="K510" s="12"/>
    </row>
    <row r="511" ht="19.5" customHeight="1">
      <c r="A511" s="12"/>
      <c r="C511" s="12"/>
      <c r="D511" s="13"/>
      <c r="F511" s="14"/>
      <c r="G511" s="14"/>
      <c r="H511" s="14"/>
      <c r="I511" s="14"/>
      <c r="J511" s="14"/>
      <c r="K511" s="12"/>
    </row>
    <row r="512" ht="19.5" customHeight="1">
      <c r="A512" s="12"/>
      <c r="C512" s="12"/>
      <c r="D512" s="13"/>
      <c r="F512" s="14"/>
      <c r="G512" s="14"/>
      <c r="H512" s="14"/>
      <c r="I512" s="14"/>
      <c r="J512" s="14"/>
      <c r="K512" s="12"/>
    </row>
    <row r="513" ht="19.5" customHeight="1">
      <c r="A513" s="12"/>
      <c r="C513" s="12"/>
      <c r="D513" s="13"/>
      <c r="F513" s="14"/>
      <c r="G513" s="14"/>
      <c r="H513" s="14"/>
      <c r="I513" s="14"/>
      <c r="J513" s="14"/>
      <c r="K513" s="12"/>
    </row>
    <row r="514" ht="19.5" customHeight="1">
      <c r="A514" s="12"/>
      <c r="C514" s="12"/>
      <c r="D514" s="13"/>
      <c r="F514" s="14"/>
      <c r="G514" s="14"/>
      <c r="H514" s="14"/>
      <c r="I514" s="14"/>
      <c r="J514" s="14"/>
      <c r="K514" s="12"/>
    </row>
    <row r="515" ht="19.5" customHeight="1">
      <c r="A515" s="12"/>
      <c r="C515" s="12"/>
      <c r="D515" s="13"/>
      <c r="F515" s="14"/>
      <c r="G515" s="14"/>
      <c r="H515" s="14"/>
      <c r="I515" s="14"/>
      <c r="J515" s="14"/>
      <c r="K515" s="12"/>
    </row>
    <row r="516" ht="19.5" customHeight="1">
      <c r="A516" s="12"/>
      <c r="C516" s="12"/>
      <c r="D516" s="13"/>
      <c r="F516" s="14"/>
      <c r="G516" s="14"/>
      <c r="H516" s="14"/>
      <c r="I516" s="14"/>
      <c r="J516" s="14"/>
      <c r="K516" s="12"/>
    </row>
    <row r="517" ht="19.5" customHeight="1">
      <c r="A517" s="12"/>
      <c r="C517" s="12"/>
      <c r="D517" s="13"/>
      <c r="F517" s="14"/>
      <c r="G517" s="14"/>
      <c r="H517" s="14"/>
      <c r="I517" s="14"/>
      <c r="J517" s="14"/>
      <c r="K517" s="12"/>
    </row>
    <row r="518" ht="19.5" customHeight="1">
      <c r="A518" s="12"/>
      <c r="C518" s="12"/>
      <c r="D518" s="13"/>
      <c r="F518" s="14"/>
      <c r="G518" s="14"/>
      <c r="H518" s="14"/>
      <c r="I518" s="14"/>
      <c r="J518" s="14"/>
      <c r="K518" s="12"/>
    </row>
    <row r="519" ht="19.5" customHeight="1">
      <c r="A519" s="12"/>
      <c r="C519" s="12"/>
      <c r="D519" s="13"/>
      <c r="F519" s="14"/>
      <c r="G519" s="14"/>
      <c r="H519" s="14"/>
      <c r="I519" s="14"/>
      <c r="J519" s="14"/>
      <c r="K519" s="12"/>
    </row>
    <row r="520" ht="19.5" customHeight="1">
      <c r="A520" s="12"/>
      <c r="C520" s="12"/>
      <c r="D520" s="13"/>
      <c r="F520" s="14"/>
      <c r="G520" s="14"/>
      <c r="H520" s="14"/>
      <c r="I520" s="14"/>
      <c r="J520" s="14"/>
      <c r="K520" s="12"/>
    </row>
    <row r="521" ht="19.5" customHeight="1">
      <c r="A521" s="12"/>
      <c r="C521" s="12"/>
      <c r="D521" s="13"/>
      <c r="F521" s="14"/>
      <c r="G521" s="14"/>
      <c r="H521" s="14"/>
      <c r="I521" s="14"/>
      <c r="J521" s="14"/>
      <c r="K521" s="12"/>
    </row>
    <row r="522" ht="19.5" customHeight="1">
      <c r="A522" s="12"/>
      <c r="C522" s="12"/>
      <c r="D522" s="13"/>
      <c r="F522" s="14"/>
      <c r="G522" s="14"/>
      <c r="H522" s="14"/>
      <c r="I522" s="14"/>
      <c r="J522" s="14"/>
      <c r="K522" s="12"/>
    </row>
    <row r="523" ht="19.5" customHeight="1">
      <c r="A523" s="12"/>
      <c r="C523" s="12"/>
      <c r="D523" s="13"/>
      <c r="F523" s="14"/>
      <c r="G523" s="14"/>
      <c r="H523" s="14"/>
      <c r="I523" s="14"/>
      <c r="J523" s="14"/>
      <c r="K523" s="12"/>
    </row>
    <row r="524" ht="19.5" customHeight="1">
      <c r="A524" s="12"/>
      <c r="C524" s="12"/>
      <c r="D524" s="13"/>
      <c r="F524" s="14"/>
      <c r="G524" s="14"/>
      <c r="H524" s="14"/>
      <c r="I524" s="14"/>
      <c r="J524" s="14"/>
      <c r="K524" s="12"/>
    </row>
    <row r="525" ht="19.5" customHeight="1">
      <c r="A525" s="12"/>
      <c r="C525" s="12"/>
      <c r="D525" s="13"/>
      <c r="F525" s="14"/>
      <c r="G525" s="14"/>
      <c r="H525" s="14"/>
      <c r="I525" s="14"/>
      <c r="J525" s="14"/>
      <c r="K525" s="12"/>
    </row>
    <row r="526" ht="19.5" customHeight="1">
      <c r="A526" s="12"/>
      <c r="C526" s="12"/>
      <c r="D526" s="13"/>
      <c r="F526" s="14"/>
      <c r="G526" s="14"/>
      <c r="H526" s="14"/>
      <c r="I526" s="14"/>
      <c r="J526" s="14"/>
      <c r="K526" s="12"/>
    </row>
    <row r="527" ht="19.5" customHeight="1">
      <c r="A527" s="12"/>
      <c r="C527" s="12"/>
      <c r="D527" s="13"/>
      <c r="F527" s="14"/>
      <c r="G527" s="14"/>
      <c r="H527" s="14"/>
      <c r="I527" s="14"/>
      <c r="J527" s="14"/>
      <c r="K527" s="12"/>
    </row>
    <row r="528" ht="19.5" customHeight="1">
      <c r="A528" s="12"/>
      <c r="C528" s="12"/>
      <c r="D528" s="13"/>
      <c r="F528" s="14"/>
      <c r="G528" s="14"/>
      <c r="H528" s="14"/>
      <c r="I528" s="14"/>
      <c r="J528" s="14"/>
      <c r="K528" s="12"/>
    </row>
    <row r="529" ht="19.5" customHeight="1">
      <c r="A529" s="12"/>
      <c r="C529" s="12"/>
      <c r="D529" s="13"/>
      <c r="F529" s="14"/>
      <c r="G529" s="14"/>
      <c r="H529" s="14"/>
      <c r="I529" s="14"/>
      <c r="J529" s="14"/>
      <c r="K529" s="12"/>
    </row>
    <row r="530" ht="19.5" customHeight="1">
      <c r="A530" s="12"/>
      <c r="C530" s="12"/>
      <c r="D530" s="13"/>
      <c r="F530" s="14"/>
      <c r="G530" s="14"/>
      <c r="H530" s="14"/>
      <c r="I530" s="14"/>
      <c r="J530" s="14"/>
      <c r="K530" s="12"/>
    </row>
    <row r="531" ht="19.5" customHeight="1">
      <c r="A531" s="12"/>
      <c r="C531" s="12"/>
      <c r="D531" s="13"/>
      <c r="F531" s="14"/>
      <c r="G531" s="14"/>
      <c r="H531" s="14"/>
      <c r="I531" s="14"/>
      <c r="J531" s="14"/>
      <c r="K531" s="12"/>
    </row>
    <row r="532" ht="19.5" customHeight="1">
      <c r="A532" s="12"/>
      <c r="C532" s="12"/>
      <c r="D532" s="13"/>
      <c r="F532" s="14"/>
      <c r="G532" s="14"/>
      <c r="H532" s="14"/>
      <c r="I532" s="14"/>
      <c r="J532" s="14"/>
      <c r="K532" s="12"/>
    </row>
    <row r="533" ht="19.5" customHeight="1">
      <c r="A533" s="12"/>
      <c r="C533" s="12"/>
      <c r="D533" s="13"/>
      <c r="F533" s="14"/>
      <c r="G533" s="14"/>
      <c r="H533" s="14"/>
      <c r="I533" s="14"/>
      <c r="J533" s="14"/>
      <c r="K533" s="12"/>
    </row>
    <row r="534" ht="19.5" customHeight="1">
      <c r="A534" s="12"/>
      <c r="C534" s="12"/>
      <c r="D534" s="13"/>
      <c r="F534" s="14"/>
      <c r="G534" s="14"/>
      <c r="H534" s="14"/>
      <c r="I534" s="14"/>
      <c r="J534" s="14"/>
      <c r="K534" s="12"/>
    </row>
    <row r="535" ht="19.5" customHeight="1">
      <c r="A535" s="12"/>
      <c r="C535" s="12"/>
      <c r="D535" s="13"/>
      <c r="F535" s="14"/>
      <c r="G535" s="14"/>
      <c r="H535" s="14"/>
      <c r="I535" s="14"/>
      <c r="J535" s="14"/>
      <c r="K535" s="12"/>
    </row>
    <row r="536" ht="19.5" customHeight="1">
      <c r="A536" s="12"/>
      <c r="C536" s="12"/>
      <c r="D536" s="13"/>
      <c r="F536" s="14"/>
      <c r="G536" s="14"/>
      <c r="H536" s="14"/>
      <c r="I536" s="14"/>
      <c r="J536" s="14"/>
      <c r="K536" s="12"/>
    </row>
    <row r="537" ht="19.5" customHeight="1">
      <c r="A537" s="12"/>
      <c r="C537" s="12"/>
      <c r="D537" s="13"/>
      <c r="F537" s="14"/>
      <c r="G537" s="14"/>
      <c r="H537" s="14"/>
      <c r="I537" s="14"/>
      <c r="J537" s="14"/>
      <c r="K537" s="12"/>
    </row>
    <row r="538" ht="19.5" customHeight="1">
      <c r="A538" s="12"/>
      <c r="C538" s="12"/>
      <c r="D538" s="13"/>
      <c r="F538" s="14"/>
      <c r="G538" s="14"/>
      <c r="H538" s="14"/>
      <c r="I538" s="14"/>
      <c r="J538" s="14"/>
      <c r="K538" s="12"/>
    </row>
    <row r="539" ht="19.5" customHeight="1">
      <c r="A539" s="12"/>
      <c r="C539" s="12"/>
      <c r="D539" s="13"/>
      <c r="F539" s="14"/>
      <c r="G539" s="14"/>
      <c r="H539" s="14"/>
      <c r="I539" s="14"/>
      <c r="J539" s="14"/>
      <c r="K539" s="12"/>
    </row>
    <row r="540" ht="19.5" customHeight="1">
      <c r="A540" s="12"/>
      <c r="C540" s="12"/>
      <c r="D540" s="13"/>
      <c r="F540" s="14"/>
      <c r="G540" s="14"/>
      <c r="H540" s="14"/>
      <c r="I540" s="14"/>
      <c r="J540" s="14"/>
      <c r="K540" s="12"/>
    </row>
    <row r="541" ht="19.5" customHeight="1">
      <c r="A541" s="12"/>
      <c r="C541" s="12"/>
      <c r="D541" s="13"/>
      <c r="F541" s="14"/>
      <c r="G541" s="14"/>
      <c r="H541" s="14"/>
      <c r="I541" s="14"/>
      <c r="J541" s="14"/>
      <c r="K541" s="12"/>
    </row>
    <row r="542" ht="19.5" customHeight="1">
      <c r="A542" s="12"/>
      <c r="C542" s="12"/>
      <c r="D542" s="13"/>
      <c r="F542" s="14"/>
      <c r="G542" s="14"/>
      <c r="H542" s="14"/>
      <c r="I542" s="14"/>
      <c r="J542" s="14"/>
      <c r="K542" s="12"/>
    </row>
    <row r="543" ht="19.5" customHeight="1">
      <c r="A543" s="12"/>
      <c r="C543" s="12"/>
      <c r="D543" s="13"/>
      <c r="F543" s="14"/>
      <c r="G543" s="14"/>
      <c r="H543" s="14"/>
      <c r="I543" s="14"/>
      <c r="J543" s="14"/>
      <c r="K543" s="12"/>
    </row>
    <row r="544" ht="19.5" customHeight="1">
      <c r="A544" s="12"/>
      <c r="C544" s="12"/>
      <c r="D544" s="13"/>
      <c r="F544" s="14"/>
      <c r="G544" s="14"/>
      <c r="H544" s="14"/>
      <c r="I544" s="14"/>
      <c r="J544" s="14"/>
      <c r="K544" s="12"/>
    </row>
    <row r="545" ht="19.5" customHeight="1">
      <c r="A545" s="12"/>
      <c r="C545" s="12"/>
      <c r="D545" s="13"/>
      <c r="F545" s="14"/>
      <c r="G545" s="14"/>
      <c r="H545" s="14"/>
      <c r="I545" s="14"/>
      <c r="J545" s="14"/>
      <c r="K545" s="12"/>
    </row>
    <row r="546" ht="19.5" customHeight="1">
      <c r="A546" s="12"/>
      <c r="C546" s="12"/>
      <c r="D546" s="13"/>
      <c r="F546" s="14"/>
      <c r="G546" s="14"/>
      <c r="H546" s="14"/>
      <c r="I546" s="14"/>
      <c r="J546" s="14"/>
      <c r="K546" s="12"/>
    </row>
    <row r="547" ht="19.5" customHeight="1">
      <c r="A547" s="12"/>
      <c r="C547" s="12"/>
      <c r="D547" s="13"/>
      <c r="F547" s="14"/>
      <c r="G547" s="14"/>
      <c r="H547" s="14"/>
      <c r="I547" s="14"/>
      <c r="J547" s="14"/>
      <c r="K547" s="12"/>
    </row>
    <row r="548" ht="19.5" customHeight="1">
      <c r="A548" s="12"/>
      <c r="C548" s="12"/>
      <c r="D548" s="13"/>
      <c r="F548" s="14"/>
      <c r="G548" s="14"/>
      <c r="H548" s="14"/>
      <c r="I548" s="14"/>
      <c r="J548" s="14"/>
      <c r="K548" s="12"/>
    </row>
    <row r="549" ht="19.5" customHeight="1">
      <c r="A549" s="12"/>
      <c r="C549" s="12"/>
      <c r="D549" s="13"/>
      <c r="F549" s="14"/>
      <c r="G549" s="14"/>
      <c r="H549" s="14"/>
      <c r="I549" s="14"/>
      <c r="J549" s="14"/>
      <c r="K549" s="12"/>
    </row>
    <row r="550" ht="19.5" customHeight="1">
      <c r="A550" s="12"/>
      <c r="C550" s="12"/>
      <c r="D550" s="13"/>
      <c r="F550" s="14"/>
      <c r="G550" s="14"/>
      <c r="H550" s="14"/>
      <c r="I550" s="14"/>
      <c r="J550" s="14"/>
      <c r="K550" s="12"/>
    </row>
    <row r="551" ht="19.5" customHeight="1">
      <c r="A551" s="12"/>
      <c r="C551" s="12"/>
      <c r="D551" s="13"/>
      <c r="F551" s="14"/>
      <c r="G551" s="14"/>
      <c r="H551" s="14"/>
      <c r="I551" s="14"/>
      <c r="J551" s="14"/>
      <c r="K551" s="12"/>
    </row>
    <row r="552" ht="19.5" customHeight="1">
      <c r="A552" s="12"/>
      <c r="C552" s="12"/>
      <c r="D552" s="13"/>
      <c r="F552" s="14"/>
      <c r="G552" s="14"/>
      <c r="H552" s="14"/>
      <c r="I552" s="14"/>
      <c r="J552" s="14"/>
      <c r="K552" s="12"/>
    </row>
    <row r="553" ht="19.5" customHeight="1">
      <c r="A553" s="12"/>
      <c r="C553" s="12"/>
      <c r="D553" s="13"/>
      <c r="F553" s="14"/>
      <c r="G553" s="14"/>
      <c r="H553" s="14"/>
      <c r="I553" s="14"/>
      <c r="J553" s="14"/>
      <c r="K553" s="12"/>
    </row>
    <row r="554" ht="19.5" customHeight="1">
      <c r="A554" s="12"/>
      <c r="C554" s="12"/>
      <c r="D554" s="13"/>
      <c r="F554" s="14"/>
      <c r="G554" s="14"/>
      <c r="H554" s="14"/>
      <c r="I554" s="14"/>
      <c r="J554" s="14"/>
      <c r="K554" s="12"/>
    </row>
    <row r="555" ht="19.5" customHeight="1">
      <c r="A555" s="12"/>
      <c r="C555" s="12"/>
      <c r="D555" s="13"/>
      <c r="F555" s="14"/>
      <c r="G555" s="14"/>
      <c r="H555" s="14"/>
      <c r="I555" s="14"/>
      <c r="J555" s="14"/>
      <c r="K555" s="12"/>
    </row>
    <row r="556" ht="19.5" customHeight="1">
      <c r="A556" s="12"/>
      <c r="C556" s="12"/>
      <c r="D556" s="13"/>
      <c r="F556" s="14"/>
      <c r="G556" s="14"/>
      <c r="H556" s="14"/>
      <c r="I556" s="14"/>
      <c r="J556" s="14"/>
      <c r="K556" s="12"/>
    </row>
    <row r="557" ht="19.5" customHeight="1">
      <c r="A557" s="12"/>
      <c r="C557" s="12"/>
      <c r="D557" s="13"/>
      <c r="F557" s="14"/>
      <c r="G557" s="14"/>
      <c r="H557" s="14"/>
      <c r="I557" s="14"/>
      <c r="J557" s="14"/>
      <c r="K557" s="12"/>
    </row>
    <row r="558" ht="19.5" customHeight="1">
      <c r="A558" s="12"/>
      <c r="C558" s="12"/>
      <c r="D558" s="13"/>
      <c r="F558" s="14"/>
      <c r="G558" s="14"/>
      <c r="H558" s="14"/>
      <c r="I558" s="14"/>
      <c r="J558" s="14"/>
      <c r="K558" s="12"/>
    </row>
    <row r="559" ht="19.5" customHeight="1">
      <c r="A559" s="12"/>
      <c r="C559" s="12"/>
      <c r="D559" s="13"/>
      <c r="F559" s="14"/>
      <c r="G559" s="14"/>
      <c r="H559" s="14"/>
      <c r="I559" s="14"/>
      <c r="J559" s="14"/>
      <c r="K559" s="12"/>
    </row>
    <row r="560" ht="19.5" customHeight="1">
      <c r="A560" s="12"/>
      <c r="C560" s="12"/>
      <c r="D560" s="13"/>
      <c r="F560" s="14"/>
      <c r="G560" s="14"/>
      <c r="H560" s="14"/>
      <c r="I560" s="14"/>
      <c r="J560" s="14"/>
      <c r="K560" s="12"/>
    </row>
    <row r="561" ht="19.5" customHeight="1">
      <c r="A561" s="12"/>
      <c r="C561" s="12"/>
      <c r="D561" s="13"/>
      <c r="F561" s="14"/>
      <c r="G561" s="14"/>
      <c r="H561" s="14"/>
      <c r="I561" s="14"/>
      <c r="J561" s="14"/>
      <c r="K561" s="12"/>
    </row>
    <row r="562" ht="19.5" customHeight="1">
      <c r="A562" s="12"/>
      <c r="C562" s="12"/>
      <c r="D562" s="13"/>
      <c r="F562" s="14"/>
      <c r="G562" s="14"/>
      <c r="H562" s="14"/>
      <c r="I562" s="14"/>
      <c r="J562" s="14"/>
      <c r="K562" s="12"/>
    </row>
    <row r="563" ht="19.5" customHeight="1">
      <c r="A563" s="12"/>
      <c r="C563" s="12"/>
      <c r="D563" s="13"/>
      <c r="F563" s="14"/>
      <c r="G563" s="14"/>
      <c r="H563" s="14"/>
      <c r="I563" s="14"/>
      <c r="J563" s="14"/>
      <c r="K563" s="12"/>
    </row>
    <row r="564" ht="19.5" customHeight="1">
      <c r="A564" s="12"/>
      <c r="C564" s="12"/>
      <c r="D564" s="13"/>
      <c r="F564" s="14"/>
      <c r="G564" s="14"/>
      <c r="H564" s="14"/>
      <c r="I564" s="14"/>
      <c r="J564" s="14"/>
      <c r="K564" s="12"/>
    </row>
    <row r="565" ht="19.5" customHeight="1">
      <c r="A565" s="12"/>
      <c r="C565" s="12"/>
      <c r="D565" s="13"/>
      <c r="F565" s="14"/>
      <c r="G565" s="14"/>
      <c r="H565" s="14"/>
      <c r="I565" s="14"/>
      <c r="J565" s="14"/>
      <c r="K565" s="12"/>
    </row>
    <row r="566" ht="19.5" customHeight="1">
      <c r="A566" s="12"/>
      <c r="C566" s="12"/>
      <c r="D566" s="13"/>
      <c r="F566" s="14"/>
      <c r="G566" s="14"/>
      <c r="H566" s="14"/>
      <c r="I566" s="14"/>
      <c r="J566" s="14"/>
      <c r="K566" s="12"/>
    </row>
    <row r="567" ht="19.5" customHeight="1">
      <c r="A567" s="12"/>
      <c r="C567" s="12"/>
      <c r="D567" s="13"/>
      <c r="F567" s="14"/>
      <c r="G567" s="14"/>
      <c r="H567" s="14"/>
      <c r="I567" s="14"/>
      <c r="J567" s="14"/>
      <c r="K567" s="12"/>
    </row>
    <row r="568" ht="19.5" customHeight="1">
      <c r="A568" s="12"/>
      <c r="C568" s="12"/>
      <c r="D568" s="13"/>
      <c r="F568" s="14"/>
      <c r="G568" s="14"/>
      <c r="H568" s="14"/>
      <c r="I568" s="14"/>
      <c r="J568" s="14"/>
      <c r="K568" s="12"/>
    </row>
    <row r="569" ht="19.5" customHeight="1">
      <c r="A569" s="12"/>
      <c r="C569" s="12"/>
      <c r="D569" s="13"/>
      <c r="F569" s="14"/>
      <c r="G569" s="14"/>
      <c r="H569" s="14"/>
      <c r="I569" s="14"/>
      <c r="J569" s="14"/>
      <c r="K569" s="12"/>
    </row>
    <row r="570" ht="19.5" customHeight="1">
      <c r="A570" s="12"/>
      <c r="C570" s="12"/>
      <c r="D570" s="13"/>
      <c r="F570" s="14"/>
      <c r="G570" s="14"/>
      <c r="H570" s="14"/>
      <c r="I570" s="14"/>
      <c r="J570" s="14"/>
      <c r="K570" s="12"/>
    </row>
    <row r="571" ht="19.5" customHeight="1">
      <c r="A571" s="12"/>
      <c r="C571" s="12"/>
      <c r="D571" s="13"/>
      <c r="F571" s="14"/>
      <c r="G571" s="14"/>
      <c r="H571" s="14"/>
      <c r="I571" s="14"/>
      <c r="J571" s="14"/>
      <c r="K571" s="12"/>
    </row>
    <row r="572" ht="19.5" customHeight="1">
      <c r="A572" s="12"/>
      <c r="C572" s="12"/>
      <c r="D572" s="13"/>
      <c r="F572" s="14"/>
      <c r="G572" s="14"/>
      <c r="H572" s="14"/>
      <c r="I572" s="14"/>
      <c r="J572" s="14"/>
      <c r="K572" s="12"/>
    </row>
    <row r="573" ht="19.5" customHeight="1">
      <c r="A573" s="12"/>
      <c r="C573" s="12"/>
      <c r="D573" s="13"/>
      <c r="F573" s="14"/>
      <c r="G573" s="14"/>
      <c r="H573" s="14"/>
      <c r="I573" s="14"/>
      <c r="J573" s="14"/>
      <c r="K573" s="12"/>
    </row>
    <row r="574" ht="19.5" customHeight="1">
      <c r="A574" s="12"/>
      <c r="C574" s="12"/>
      <c r="D574" s="13"/>
      <c r="F574" s="14"/>
      <c r="G574" s="14"/>
      <c r="H574" s="14"/>
      <c r="I574" s="14"/>
      <c r="J574" s="14"/>
      <c r="K574" s="12"/>
    </row>
    <row r="575" ht="19.5" customHeight="1">
      <c r="A575" s="12"/>
      <c r="C575" s="12"/>
      <c r="D575" s="13"/>
      <c r="F575" s="14"/>
      <c r="G575" s="14"/>
      <c r="H575" s="14"/>
      <c r="I575" s="14"/>
      <c r="J575" s="14"/>
      <c r="K575" s="12"/>
    </row>
    <row r="576" ht="19.5" customHeight="1">
      <c r="A576" s="12"/>
      <c r="C576" s="12"/>
      <c r="D576" s="13"/>
      <c r="F576" s="14"/>
      <c r="G576" s="14"/>
      <c r="H576" s="14"/>
      <c r="I576" s="14"/>
      <c r="J576" s="14"/>
      <c r="K576" s="12"/>
    </row>
    <row r="577" ht="19.5" customHeight="1">
      <c r="A577" s="12"/>
      <c r="C577" s="12"/>
      <c r="D577" s="13"/>
      <c r="F577" s="14"/>
      <c r="G577" s="14"/>
      <c r="H577" s="14"/>
      <c r="I577" s="14"/>
      <c r="J577" s="14"/>
      <c r="K577" s="12"/>
    </row>
    <row r="578" ht="19.5" customHeight="1">
      <c r="A578" s="12"/>
      <c r="C578" s="12"/>
      <c r="D578" s="13"/>
      <c r="F578" s="14"/>
      <c r="G578" s="14"/>
      <c r="H578" s="14"/>
      <c r="I578" s="14"/>
      <c r="J578" s="14"/>
      <c r="K578" s="12"/>
    </row>
    <row r="579" ht="19.5" customHeight="1">
      <c r="A579" s="12"/>
      <c r="C579" s="12"/>
      <c r="D579" s="13"/>
      <c r="F579" s="14"/>
      <c r="G579" s="14"/>
      <c r="H579" s="14"/>
      <c r="I579" s="14"/>
      <c r="J579" s="14"/>
      <c r="K579" s="12"/>
    </row>
    <row r="580" ht="19.5" customHeight="1">
      <c r="A580" s="12"/>
      <c r="C580" s="12"/>
      <c r="D580" s="13"/>
      <c r="F580" s="14"/>
      <c r="G580" s="14"/>
      <c r="H580" s="14"/>
      <c r="I580" s="14"/>
      <c r="J580" s="14"/>
      <c r="K580" s="12"/>
    </row>
    <row r="581" ht="19.5" customHeight="1">
      <c r="A581" s="12"/>
      <c r="C581" s="12"/>
      <c r="D581" s="13"/>
      <c r="F581" s="14"/>
      <c r="G581" s="14"/>
      <c r="H581" s="14"/>
      <c r="I581" s="14"/>
      <c r="J581" s="14"/>
      <c r="K581" s="12"/>
    </row>
    <row r="582" ht="19.5" customHeight="1">
      <c r="A582" s="12"/>
      <c r="C582" s="12"/>
      <c r="D582" s="13"/>
      <c r="F582" s="14"/>
      <c r="G582" s="14"/>
      <c r="H582" s="14"/>
      <c r="I582" s="14"/>
      <c r="J582" s="14"/>
      <c r="K582" s="12"/>
    </row>
    <row r="583" ht="19.5" customHeight="1">
      <c r="A583" s="12"/>
      <c r="C583" s="12"/>
      <c r="D583" s="13"/>
      <c r="F583" s="14"/>
      <c r="G583" s="14"/>
      <c r="H583" s="14"/>
      <c r="I583" s="14"/>
      <c r="J583" s="14"/>
      <c r="K583" s="12"/>
    </row>
    <row r="584" ht="19.5" customHeight="1">
      <c r="A584" s="12"/>
      <c r="C584" s="12"/>
      <c r="D584" s="13"/>
      <c r="F584" s="14"/>
      <c r="G584" s="14"/>
      <c r="H584" s="14"/>
      <c r="I584" s="14"/>
      <c r="J584" s="14"/>
      <c r="K584" s="12"/>
    </row>
    <row r="585" ht="19.5" customHeight="1">
      <c r="A585" s="12"/>
      <c r="C585" s="12"/>
      <c r="D585" s="13"/>
      <c r="F585" s="14"/>
      <c r="G585" s="14"/>
      <c r="H585" s="14"/>
      <c r="I585" s="14"/>
      <c r="J585" s="14"/>
      <c r="K585" s="12"/>
    </row>
    <row r="586" ht="19.5" customHeight="1">
      <c r="A586" s="12"/>
      <c r="C586" s="12"/>
      <c r="D586" s="13"/>
      <c r="F586" s="14"/>
      <c r="G586" s="14"/>
      <c r="H586" s="14"/>
      <c r="I586" s="14"/>
      <c r="J586" s="14"/>
      <c r="K586" s="12"/>
    </row>
    <row r="587" ht="19.5" customHeight="1">
      <c r="A587" s="12"/>
      <c r="C587" s="12"/>
      <c r="D587" s="13"/>
      <c r="F587" s="14"/>
      <c r="G587" s="14"/>
      <c r="H587" s="14"/>
      <c r="I587" s="14"/>
      <c r="J587" s="14"/>
      <c r="K587" s="12"/>
    </row>
    <row r="588" ht="19.5" customHeight="1">
      <c r="A588" s="12"/>
      <c r="C588" s="12"/>
      <c r="D588" s="13"/>
      <c r="F588" s="14"/>
      <c r="G588" s="14"/>
      <c r="H588" s="14"/>
      <c r="I588" s="14"/>
      <c r="J588" s="14"/>
      <c r="K588" s="12"/>
    </row>
    <row r="589" ht="19.5" customHeight="1">
      <c r="A589" s="12"/>
      <c r="C589" s="12"/>
      <c r="D589" s="13"/>
      <c r="F589" s="14"/>
      <c r="G589" s="14"/>
      <c r="H589" s="14"/>
      <c r="I589" s="14"/>
      <c r="J589" s="14"/>
      <c r="K589" s="12"/>
    </row>
    <row r="590" ht="19.5" customHeight="1">
      <c r="A590" s="12"/>
      <c r="C590" s="12"/>
      <c r="D590" s="13"/>
      <c r="F590" s="14"/>
      <c r="G590" s="14"/>
      <c r="H590" s="14"/>
      <c r="I590" s="14"/>
      <c r="J590" s="14"/>
      <c r="K590" s="12"/>
    </row>
    <row r="591" ht="19.5" customHeight="1">
      <c r="A591" s="12"/>
      <c r="C591" s="12"/>
      <c r="D591" s="13"/>
      <c r="F591" s="14"/>
      <c r="G591" s="14"/>
      <c r="H591" s="14"/>
      <c r="I591" s="14"/>
      <c r="J591" s="14"/>
      <c r="K591" s="12"/>
    </row>
    <row r="592" ht="19.5" customHeight="1">
      <c r="A592" s="12"/>
      <c r="C592" s="12"/>
      <c r="D592" s="13"/>
      <c r="F592" s="14"/>
      <c r="G592" s="14"/>
      <c r="H592" s="14"/>
      <c r="I592" s="14"/>
      <c r="J592" s="14"/>
      <c r="K592" s="12"/>
    </row>
    <row r="593" ht="19.5" customHeight="1">
      <c r="A593" s="12"/>
      <c r="C593" s="12"/>
      <c r="D593" s="13"/>
      <c r="F593" s="14"/>
      <c r="G593" s="14"/>
      <c r="H593" s="14"/>
      <c r="I593" s="14"/>
      <c r="J593" s="14"/>
      <c r="K593" s="12"/>
    </row>
    <row r="594" ht="19.5" customHeight="1">
      <c r="A594" s="12"/>
      <c r="C594" s="12"/>
      <c r="D594" s="13"/>
      <c r="F594" s="14"/>
      <c r="G594" s="14"/>
      <c r="H594" s="14"/>
      <c r="I594" s="14"/>
      <c r="J594" s="14"/>
      <c r="K594" s="12"/>
    </row>
    <row r="595" ht="19.5" customHeight="1">
      <c r="A595" s="12"/>
      <c r="C595" s="12"/>
      <c r="D595" s="13"/>
      <c r="F595" s="14"/>
      <c r="G595" s="14"/>
      <c r="H595" s="14"/>
      <c r="I595" s="14"/>
      <c r="J595" s="14"/>
      <c r="K595" s="12"/>
    </row>
    <row r="596" ht="19.5" customHeight="1">
      <c r="A596" s="12"/>
      <c r="C596" s="12"/>
      <c r="D596" s="13"/>
      <c r="F596" s="14"/>
      <c r="G596" s="14"/>
      <c r="H596" s="14"/>
      <c r="I596" s="14"/>
      <c r="J596" s="14"/>
      <c r="K596" s="12"/>
    </row>
    <row r="597" ht="19.5" customHeight="1">
      <c r="A597" s="12"/>
      <c r="C597" s="12"/>
      <c r="D597" s="13"/>
      <c r="F597" s="14"/>
      <c r="G597" s="14"/>
      <c r="H597" s="14"/>
      <c r="I597" s="14"/>
      <c r="J597" s="14"/>
      <c r="K597" s="12"/>
    </row>
    <row r="598" ht="19.5" customHeight="1">
      <c r="A598" s="12"/>
      <c r="C598" s="12"/>
      <c r="D598" s="13"/>
      <c r="F598" s="14"/>
      <c r="G598" s="14"/>
      <c r="H598" s="14"/>
      <c r="I598" s="14"/>
      <c r="J598" s="14"/>
      <c r="K598" s="12"/>
    </row>
    <row r="599" ht="19.5" customHeight="1">
      <c r="A599" s="12"/>
      <c r="C599" s="12"/>
      <c r="D599" s="13"/>
      <c r="F599" s="14"/>
      <c r="G599" s="14"/>
      <c r="H599" s="14"/>
      <c r="I599" s="14"/>
      <c r="J599" s="14"/>
      <c r="K599" s="12"/>
    </row>
    <row r="600" ht="19.5" customHeight="1">
      <c r="A600" s="12"/>
      <c r="C600" s="12"/>
      <c r="D600" s="13"/>
      <c r="F600" s="14"/>
      <c r="G600" s="14"/>
      <c r="H600" s="14"/>
      <c r="I600" s="14"/>
      <c r="J600" s="14"/>
      <c r="K600" s="12"/>
    </row>
    <row r="601" ht="19.5" customHeight="1">
      <c r="A601" s="12"/>
      <c r="C601" s="12"/>
      <c r="D601" s="13"/>
      <c r="F601" s="14"/>
      <c r="G601" s="14"/>
      <c r="H601" s="14"/>
      <c r="I601" s="14"/>
      <c r="J601" s="14"/>
      <c r="K601" s="12"/>
    </row>
    <row r="602" ht="19.5" customHeight="1">
      <c r="A602" s="12"/>
      <c r="C602" s="12"/>
      <c r="D602" s="13"/>
      <c r="F602" s="14"/>
      <c r="G602" s="14"/>
      <c r="H602" s="14"/>
      <c r="I602" s="14"/>
      <c r="J602" s="14"/>
      <c r="K602" s="12"/>
    </row>
    <row r="603" ht="19.5" customHeight="1">
      <c r="A603" s="12"/>
      <c r="C603" s="12"/>
      <c r="D603" s="13"/>
      <c r="F603" s="14"/>
      <c r="G603" s="14"/>
      <c r="H603" s="14"/>
      <c r="I603" s="14"/>
      <c r="J603" s="14"/>
      <c r="K603" s="12"/>
    </row>
    <row r="604" ht="19.5" customHeight="1">
      <c r="A604" s="12"/>
      <c r="C604" s="12"/>
      <c r="D604" s="13"/>
      <c r="F604" s="14"/>
      <c r="G604" s="14"/>
      <c r="H604" s="14"/>
      <c r="I604" s="14"/>
      <c r="J604" s="14"/>
      <c r="K604" s="12"/>
    </row>
    <row r="605" ht="19.5" customHeight="1">
      <c r="A605" s="12"/>
      <c r="C605" s="12"/>
      <c r="D605" s="13"/>
      <c r="F605" s="14"/>
      <c r="G605" s="14"/>
      <c r="H605" s="14"/>
      <c r="I605" s="14"/>
      <c r="J605" s="14"/>
      <c r="K605" s="12"/>
    </row>
    <row r="606" ht="19.5" customHeight="1">
      <c r="A606" s="12"/>
      <c r="C606" s="12"/>
      <c r="D606" s="13"/>
      <c r="F606" s="14"/>
      <c r="G606" s="14"/>
      <c r="H606" s="14"/>
      <c r="I606" s="14"/>
      <c r="J606" s="14"/>
      <c r="K606" s="12"/>
    </row>
    <row r="607" ht="19.5" customHeight="1">
      <c r="A607" s="12"/>
      <c r="C607" s="12"/>
      <c r="D607" s="13"/>
      <c r="F607" s="14"/>
      <c r="G607" s="14"/>
      <c r="H607" s="14"/>
      <c r="I607" s="14"/>
      <c r="J607" s="14"/>
      <c r="K607" s="12"/>
    </row>
    <row r="608" ht="19.5" customHeight="1">
      <c r="A608" s="12"/>
      <c r="C608" s="12"/>
      <c r="D608" s="13"/>
      <c r="F608" s="14"/>
      <c r="G608" s="14"/>
      <c r="H608" s="14"/>
      <c r="I608" s="14"/>
      <c r="J608" s="14"/>
      <c r="K608" s="12"/>
    </row>
    <row r="609" ht="19.5" customHeight="1">
      <c r="A609" s="12"/>
      <c r="C609" s="12"/>
      <c r="D609" s="13"/>
      <c r="F609" s="14"/>
      <c r="G609" s="14"/>
      <c r="H609" s="14"/>
      <c r="I609" s="14"/>
      <c r="J609" s="14"/>
      <c r="K609" s="12"/>
    </row>
    <row r="610" ht="19.5" customHeight="1">
      <c r="A610" s="12"/>
      <c r="C610" s="12"/>
      <c r="D610" s="13"/>
      <c r="F610" s="14"/>
      <c r="G610" s="14"/>
      <c r="H610" s="14"/>
      <c r="I610" s="14"/>
      <c r="J610" s="14"/>
      <c r="K610" s="12"/>
    </row>
    <row r="611" ht="19.5" customHeight="1">
      <c r="A611" s="12"/>
      <c r="C611" s="12"/>
      <c r="D611" s="13"/>
      <c r="F611" s="14"/>
      <c r="G611" s="14"/>
      <c r="H611" s="14"/>
      <c r="I611" s="14"/>
      <c r="J611" s="14"/>
      <c r="K611" s="12"/>
    </row>
    <row r="612" ht="19.5" customHeight="1">
      <c r="A612" s="12"/>
      <c r="C612" s="12"/>
      <c r="D612" s="13"/>
      <c r="F612" s="14"/>
      <c r="G612" s="14"/>
      <c r="H612" s="14"/>
      <c r="I612" s="14"/>
      <c r="J612" s="14"/>
      <c r="K612" s="12"/>
    </row>
    <row r="613" ht="19.5" customHeight="1">
      <c r="A613" s="12"/>
      <c r="C613" s="12"/>
      <c r="D613" s="13"/>
      <c r="F613" s="14"/>
      <c r="G613" s="14"/>
      <c r="H613" s="14"/>
      <c r="I613" s="14"/>
      <c r="J613" s="14"/>
      <c r="K613" s="12"/>
    </row>
    <row r="614" ht="19.5" customHeight="1">
      <c r="A614" s="12"/>
      <c r="C614" s="12"/>
      <c r="D614" s="13"/>
      <c r="F614" s="14"/>
      <c r="G614" s="14"/>
      <c r="H614" s="14"/>
      <c r="I614" s="14"/>
      <c r="J614" s="14"/>
      <c r="K614" s="12"/>
    </row>
    <row r="615" ht="19.5" customHeight="1">
      <c r="A615" s="12"/>
      <c r="C615" s="12"/>
      <c r="D615" s="13"/>
      <c r="F615" s="14"/>
      <c r="G615" s="14"/>
      <c r="H615" s="14"/>
      <c r="I615" s="14"/>
      <c r="J615" s="14"/>
      <c r="K615" s="12"/>
    </row>
    <row r="616" ht="19.5" customHeight="1">
      <c r="A616" s="12"/>
      <c r="C616" s="12"/>
      <c r="D616" s="13"/>
      <c r="F616" s="14"/>
      <c r="G616" s="14"/>
      <c r="H616" s="14"/>
      <c r="I616" s="14"/>
      <c r="J616" s="14"/>
      <c r="K616" s="12"/>
    </row>
    <row r="617" ht="19.5" customHeight="1">
      <c r="A617" s="12"/>
      <c r="C617" s="12"/>
      <c r="D617" s="13"/>
      <c r="F617" s="14"/>
      <c r="G617" s="14"/>
      <c r="H617" s="14"/>
      <c r="I617" s="14"/>
      <c r="J617" s="14"/>
      <c r="K617" s="12"/>
    </row>
    <row r="618" ht="19.5" customHeight="1">
      <c r="A618" s="12"/>
      <c r="C618" s="12"/>
      <c r="D618" s="13"/>
      <c r="F618" s="14"/>
      <c r="G618" s="14"/>
      <c r="H618" s="14"/>
      <c r="I618" s="14"/>
      <c r="J618" s="14"/>
      <c r="K618" s="12"/>
    </row>
    <row r="619" ht="19.5" customHeight="1">
      <c r="A619" s="12"/>
      <c r="C619" s="12"/>
      <c r="D619" s="13"/>
      <c r="F619" s="14"/>
      <c r="G619" s="14"/>
      <c r="H619" s="14"/>
      <c r="I619" s="14"/>
      <c r="J619" s="14"/>
      <c r="K619" s="12"/>
    </row>
    <row r="620" ht="19.5" customHeight="1">
      <c r="A620" s="12"/>
      <c r="C620" s="12"/>
      <c r="D620" s="13"/>
      <c r="F620" s="14"/>
      <c r="G620" s="14"/>
      <c r="H620" s="14"/>
      <c r="I620" s="14"/>
      <c r="J620" s="14"/>
      <c r="K620" s="12"/>
    </row>
    <row r="621" ht="19.5" customHeight="1">
      <c r="A621" s="12"/>
      <c r="C621" s="12"/>
      <c r="D621" s="13"/>
      <c r="F621" s="14"/>
      <c r="G621" s="14"/>
      <c r="H621" s="14"/>
      <c r="I621" s="14"/>
      <c r="J621" s="14"/>
      <c r="K621" s="12"/>
    </row>
    <row r="622" ht="19.5" customHeight="1">
      <c r="A622" s="12"/>
      <c r="C622" s="12"/>
      <c r="D622" s="13"/>
      <c r="F622" s="14"/>
      <c r="G622" s="14"/>
      <c r="H622" s="14"/>
      <c r="I622" s="14"/>
      <c r="J622" s="14"/>
      <c r="K622" s="12"/>
    </row>
    <row r="623" ht="19.5" customHeight="1">
      <c r="A623" s="12"/>
      <c r="C623" s="12"/>
      <c r="D623" s="13"/>
      <c r="F623" s="14"/>
      <c r="G623" s="14"/>
      <c r="H623" s="14"/>
      <c r="I623" s="14"/>
      <c r="J623" s="14"/>
      <c r="K623" s="12"/>
    </row>
    <row r="624" ht="19.5" customHeight="1">
      <c r="A624" s="12"/>
      <c r="C624" s="12"/>
      <c r="D624" s="13"/>
      <c r="F624" s="14"/>
      <c r="G624" s="14"/>
      <c r="H624" s="14"/>
      <c r="I624" s="14"/>
      <c r="J624" s="14"/>
      <c r="K624" s="12"/>
    </row>
    <row r="625" ht="19.5" customHeight="1">
      <c r="A625" s="12"/>
      <c r="C625" s="12"/>
      <c r="D625" s="13"/>
      <c r="F625" s="14"/>
      <c r="G625" s="14"/>
      <c r="H625" s="14"/>
      <c r="I625" s="14"/>
      <c r="J625" s="14"/>
      <c r="K625" s="12"/>
    </row>
    <row r="626" ht="19.5" customHeight="1">
      <c r="A626" s="12"/>
      <c r="C626" s="12"/>
      <c r="D626" s="13"/>
      <c r="F626" s="14"/>
      <c r="G626" s="14"/>
      <c r="H626" s="14"/>
      <c r="I626" s="14"/>
      <c r="J626" s="14"/>
      <c r="K626" s="12"/>
    </row>
    <row r="627" ht="19.5" customHeight="1">
      <c r="A627" s="12"/>
      <c r="C627" s="12"/>
      <c r="D627" s="13"/>
      <c r="F627" s="14"/>
      <c r="G627" s="14"/>
      <c r="H627" s="14"/>
      <c r="I627" s="14"/>
      <c r="J627" s="14"/>
      <c r="K627" s="12"/>
    </row>
    <row r="628" ht="19.5" customHeight="1">
      <c r="A628" s="12"/>
      <c r="C628" s="12"/>
      <c r="D628" s="13"/>
      <c r="F628" s="14"/>
      <c r="G628" s="14"/>
      <c r="H628" s="14"/>
      <c r="I628" s="14"/>
      <c r="J628" s="14"/>
      <c r="K628" s="12"/>
    </row>
    <row r="629" ht="19.5" customHeight="1">
      <c r="A629" s="12"/>
      <c r="C629" s="12"/>
      <c r="D629" s="13"/>
      <c r="F629" s="14"/>
      <c r="G629" s="14"/>
      <c r="H629" s="14"/>
      <c r="I629" s="14"/>
      <c r="J629" s="14"/>
      <c r="K629" s="12"/>
    </row>
    <row r="630" ht="19.5" customHeight="1">
      <c r="A630" s="12"/>
      <c r="C630" s="12"/>
      <c r="D630" s="13"/>
      <c r="F630" s="14"/>
      <c r="G630" s="14"/>
      <c r="H630" s="14"/>
      <c r="I630" s="14"/>
      <c r="J630" s="14"/>
      <c r="K630" s="12"/>
    </row>
    <row r="631" ht="19.5" customHeight="1">
      <c r="A631" s="12"/>
      <c r="C631" s="12"/>
      <c r="D631" s="13"/>
      <c r="F631" s="14"/>
      <c r="G631" s="14"/>
      <c r="H631" s="14"/>
      <c r="I631" s="14"/>
      <c r="J631" s="14"/>
      <c r="K631" s="12"/>
    </row>
    <row r="632" ht="19.5" customHeight="1">
      <c r="A632" s="12"/>
      <c r="C632" s="12"/>
      <c r="D632" s="13"/>
      <c r="F632" s="14"/>
      <c r="G632" s="14"/>
      <c r="H632" s="14"/>
      <c r="I632" s="14"/>
      <c r="J632" s="14"/>
      <c r="K632" s="12"/>
    </row>
    <row r="633" ht="19.5" customHeight="1">
      <c r="A633" s="12"/>
      <c r="C633" s="12"/>
      <c r="D633" s="13"/>
      <c r="F633" s="14"/>
      <c r="G633" s="14"/>
      <c r="H633" s="14"/>
      <c r="I633" s="14"/>
      <c r="J633" s="14"/>
      <c r="K633" s="12"/>
    </row>
    <row r="634" ht="19.5" customHeight="1">
      <c r="A634" s="12"/>
      <c r="C634" s="12"/>
      <c r="D634" s="13"/>
      <c r="F634" s="14"/>
      <c r="G634" s="14"/>
      <c r="H634" s="14"/>
      <c r="I634" s="14"/>
      <c r="J634" s="14"/>
      <c r="K634" s="12"/>
    </row>
    <row r="635" ht="19.5" customHeight="1">
      <c r="A635" s="12"/>
      <c r="C635" s="12"/>
      <c r="D635" s="13"/>
      <c r="F635" s="14"/>
      <c r="G635" s="14"/>
      <c r="H635" s="14"/>
      <c r="I635" s="14"/>
      <c r="J635" s="14"/>
      <c r="K635" s="12"/>
    </row>
    <row r="636" ht="19.5" customHeight="1">
      <c r="A636" s="12"/>
      <c r="C636" s="12"/>
      <c r="D636" s="13"/>
      <c r="F636" s="14"/>
      <c r="G636" s="14"/>
      <c r="H636" s="14"/>
      <c r="I636" s="14"/>
      <c r="J636" s="14"/>
      <c r="K636" s="12"/>
    </row>
    <row r="637" ht="19.5" customHeight="1">
      <c r="A637" s="12"/>
      <c r="C637" s="12"/>
      <c r="D637" s="13"/>
      <c r="F637" s="14"/>
      <c r="G637" s="14"/>
      <c r="H637" s="14"/>
      <c r="I637" s="14"/>
      <c r="J637" s="14"/>
      <c r="K637" s="12"/>
    </row>
    <row r="638" ht="19.5" customHeight="1">
      <c r="A638" s="12"/>
      <c r="C638" s="12"/>
      <c r="D638" s="13"/>
      <c r="F638" s="14"/>
      <c r="G638" s="14"/>
      <c r="H638" s="14"/>
      <c r="I638" s="14"/>
      <c r="J638" s="14"/>
      <c r="K638" s="12"/>
    </row>
    <row r="639" ht="19.5" customHeight="1">
      <c r="A639" s="12"/>
      <c r="C639" s="12"/>
      <c r="D639" s="13"/>
      <c r="F639" s="14"/>
      <c r="G639" s="14"/>
      <c r="H639" s="14"/>
      <c r="I639" s="14"/>
      <c r="J639" s="14"/>
      <c r="K639" s="12"/>
    </row>
    <row r="640" ht="19.5" customHeight="1">
      <c r="A640" s="12"/>
      <c r="C640" s="12"/>
      <c r="D640" s="13"/>
      <c r="F640" s="14"/>
      <c r="G640" s="14"/>
      <c r="H640" s="14"/>
      <c r="I640" s="14"/>
      <c r="J640" s="14"/>
      <c r="K640" s="12"/>
    </row>
    <row r="641" ht="19.5" customHeight="1">
      <c r="A641" s="12"/>
      <c r="C641" s="12"/>
      <c r="D641" s="13"/>
      <c r="F641" s="14"/>
      <c r="G641" s="14"/>
      <c r="H641" s="14"/>
      <c r="I641" s="14"/>
      <c r="J641" s="14"/>
      <c r="K641" s="12"/>
    </row>
    <row r="642" ht="19.5" customHeight="1">
      <c r="A642" s="12"/>
      <c r="C642" s="12"/>
      <c r="D642" s="13"/>
      <c r="F642" s="14"/>
      <c r="G642" s="14"/>
      <c r="H642" s="14"/>
      <c r="I642" s="14"/>
      <c r="J642" s="14"/>
      <c r="K642" s="12"/>
    </row>
    <row r="643" ht="19.5" customHeight="1">
      <c r="A643" s="12"/>
      <c r="C643" s="12"/>
      <c r="D643" s="13"/>
      <c r="F643" s="14"/>
      <c r="G643" s="14"/>
      <c r="H643" s="14"/>
      <c r="I643" s="14"/>
      <c r="J643" s="14"/>
      <c r="K643" s="12"/>
    </row>
    <row r="644" ht="19.5" customHeight="1">
      <c r="A644" s="12"/>
      <c r="C644" s="12"/>
      <c r="D644" s="13"/>
      <c r="F644" s="14"/>
      <c r="G644" s="14"/>
      <c r="H644" s="14"/>
      <c r="I644" s="14"/>
      <c r="J644" s="14"/>
      <c r="K644" s="12"/>
    </row>
    <row r="645" ht="19.5" customHeight="1">
      <c r="A645" s="12"/>
      <c r="C645" s="12"/>
      <c r="D645" s="13"/>
      <c r="F645" s="14"/>
      <c r="G645" s="14"/>
      <c r="H645" s="14"/>
      <c r="I645" s="14"/>
      <c r="J645" s="14"/>
      <c r="K645" s="12"/>
    </row>
    <row r="646" ht="19.5" customHeight="1">
      <c r="A646" s="12"/>
      <c r="C646" s="12"/>
      <c r="D646" s="13"/>
      <c r="F646" s="14"/>
      <c r="G646" s="14"/>
      <c r="H646" s="14"/>
      <c r="I646" s="14"/>
      <c r="J646" s="14"/>
      <c r="K646" s="12"/>
    </row>
    <row r="647" ht="19.5" customHeight="1">
      <c r="A647" s="12"/>
      <c r="C647" s="12"/>
      <c r="D647" s="13"/>
      <c r="F647" s="14"/>
      <c r="G647" s="14"/>
      <c r="H647" s="14"/>
      <c r="I647" s="14"/>
      <c r="J647" s="14"/>
      <c r="K647" s="12"/>
    </row>
    <row r="648" ht="19.5" customHeight="1">
      <c r="A648" s="12"/>
      <c r="C648" s="12"/>
      <c r="D648" s="13"/>
      <c r="F648" s="14"/>
      <c r="G648" s="14"/>
      <c r="H648" s="14"/>
      <c r="I648" s="14"/>
      <c r="J648" s="14"/>
      <c r="K648" s="12"/>
    </row>
    <row r="649" ht="19.5" customHeight="1">
      <c r="A649" s="12"/>
      <c r="C649" s="12"/>
      <c r="D649" s="13"/>
      <c r="F649" s="14"/>
      <c r="G649" s="14"/>
      <c r="H649" s="14"/>
      <c r="I649" s="14"/>
      <c r="J649" s="14"/>
      <c r="K649" s="12"/>
    </row>
    <row r="650" ht="19.5" customHeight="1">
      <c r="A650" s="12"/>
      <c r="C650" s="12"/>
      <c r="D650" s="13"/>
      <c r="F650" s="14"/>
      <c r="G650" s="14"/>
      <c r="H650" s="14"/>
      <c r="I650" s="14"/>
      <c r="J650" s="14"/>
      <c r="K650" s="12"/>
    </row>
    <row r="651" ht="19.5" customHeight="1">
      <c r="A651" s="12"/>
      <c r="C651" s="12"/>
      <c r="D651" s="13"/>
      <c r="F651" s="14"/>
      <c r="G651" s="14"/>
      <c r="H651" s="14"/>
      <c r="I651" s="14"/>
      <c r="J651" s="14"/>
      <c r="K651" s="12"/>
    </row>
    <row r="652" ht="19.5" customHeight="1">
      <c r="A652" s="12"/>
      <c r="C652" s="12"/>
      <c r="D652" s="13"/>
      <c r="F652" s="14"/>
      <c r="G652" s="14"/>
      <c r="H652" s="14"/>
      <c r="I652" s="14"/>
      <c r="J652" s="14"/>
      <c r="K652" s="12"/>
    </row>
    <row r="653" ht="19.5" customHeight="1">
      <c r="A653" s="12"/>
      <c r="C653" s="12"/>
      <c r="D653" s="13"/>
      <c r="F653" s="14"/>
      <c r="G653" s="14"/>
      <c r="H653" s="14"/>
      <c r="I653" s="14"/>
      <c r="J653" s="14"/>
      <c r="K653" s="12"/>
    </row>
    <row r="654" ht="19.5" customHeight="1">
      <c r="A654" s="12"/>
      <c r="C654" s="12"/>
      <c r="D654" s="13"/>
      <c r="F654" s="14"/>
      <c r="G654" s="14"/>
      <c r="H654" s="14"/>
      <c r="I654" s="14"/>
      <c r="J654" s="14"/>
      <c r="K654" s="12"/>
    </row>
    <row r="655" ht="19.5" customHeight="1">
      <c r="A655" s="12"/>
      <c r="C655" s="12"/>
      <c r="D655" s="13"/>
      <c r="F655" s="14"/>
      <c r="G655" s="14"/>
      <c r="H655" s="14"/>
      <c r="I655" s="14"/>
      <c r="J655" s="14"/>
      <c r="K655" s="12"/>
    </row>
    <row r="656" ht="19.5" customHeight="1">
      <c r="A656" s="12"/>
      <c r="C656" s="12"/>
      <c r="D656" s="13"/>
      <c r="F656" s="14"/>
      <c r="G656" s="14"/>
      <c r="H656" s="14"/>
      <c r="I656" s="14"/>
      <c r="J656" s="14"/>
      <c r="K656" s="12"/>
    </row>
    <row r="657" ht="19.5" customHeight="1">
      <c r="A657" s="12"/>
      <c r="C657" s="12"/>
      <c r="D657" s="13"/>
      <c r="F657" s="14"/>
      <c r="G657" s="14"/>
      <c r="H657" s="14"/>
      <c r="I657" s="14"/>
      <c r="J657" s="14"/>
      <c r="K657" s="12"/>
    </row>
    <row r="658" ht="19.5" customHeight="1">
      <c r="A658" s="12"/>
      <c r="C658" s="12"/>
      <c r="D658" s="13"/>
      <c r="F658" s="14"/>
      <c r="G658" s="14"/>
      <c r="H658" s="14"/>
      <c r="I658" s="14"/>
      <c r="J658" s="14"/>
      <c r="K658" s="12"/>
    </row>
    <row r="659" ht="19.5" customHeight="1">
      <c r="A659" s="12"/>
      <c r="C659" s="12"/>
      <c r="D659" s="13"/>
      <c r="F659" s="14"/>
      <c r="G659" s="14"/>
      <c r="H659" s="14"/>
      <c r="I659" s="14"/>
      <c r="J659" s="14"/>
      <c r="K659" s="12"/>
    </row>
    <row r="660" ht="19.5" customHeight="1">
      <c r="A660" s="12"/>
      <c r="C660" s="12"/>
      <c r="D660" s="13"/>
      <c r="F660" s="14"/>
      <c r="G660" s="14"/>
      <c r="H660" s="14"/>
      <c r="I660" s="14"/>
      <c r="J660" s="14"/>
      <c r="K660" s="12"/>
    </row>
    <row r="661" ht="19.5" customHeight="1">
      <c r="A661" s="12"/>
      <c r="C661" s="12"/>
      <c r="D661" s="13"/>
      <c r="F661" s="14"/>
      <c r="G661" s="14"/>
      <c r="H661" s="14"/>
      <c r="I661" s="14"/>
      <c r="J661" s="14"/>
      <c r="K661" s="12"/>
    </row>
    <row r="662" ht="19.5" customHeight="1">
      <c r="A662" s="12"/>
      <c r="C662" s="12"/>
      <c r="D662" s="13"/>
      <c r="F662" s="14"/>
      <c r="G662" s="14"/>
      <c r="H662" s="14"/>
      <c r="I662" s="14"/>
      <c r="J662" s="14"/>
      <c r="K662" s="12"/>
    </row>
    <row r="663" ht="19.5" customHeight="1">
      <c r="A663" s="12"/>
      <c r="C663" s="12"/>
      <c r="D663" s="13"/>
      <c r="F663" s="14"/>
      <c r="G663" s="14"/>
      <c r="H663" s="14"/>
      <c r="I663" s="14"/>
      <c r="J663" s="14"/>
      <c r="K663" s="12"/>
    </row>
    <row r="664" ht="19.5" customHeight="1">
      <c r="A664" s="12"/>
      <c r="C664" s="12"/>
      <c r="D664" s="13"/>
      <c r="F664" s="14"/>
      <c r="G664" s="14"/>
      <c r="H664" s="14"/>
      <c r="I664" s="14"/>
      <c r="J664" s="14"/>
      <c r="K664" s="12"/>
    </row>
    <row r="665" ht="19.5" customHeight="1">
      <c r="A665" s="12"/>
      <c r="C665" s="12"/>
      <c r="D665" s="13"/>
      <c r="F665" s="14"/>
      <c r="G665" s="14"/>
      <c r="H665" s="14"/>
      <c r="I665" s="14"/>
      <c r="J665" s="14"/>
      <c r="K665" s="12"/>
    </row>
    <row r="666" ht="19.5" customHeight="1">
      <c r="A666" s="12"/>
      <c r="C666" s="12"/>
      <c r="D666" s="13"/>
      <c r="F666" s="14"/>
      <c r="G666" s="14"/>
      <c r="H666" s="14"/>
      <c r="I666" s="14"/>
      <c r="J666" s="14"/>
      <c r="K666" s="12"/>
    </row>
    <row r="667" ht="19.5" customHeight="1">
      <c r="A667" s="12"/>
      <c r="C667" s="12"/>
      <c r="D667" s="13"/>
      <c r="F667" s="14"/>
      <c r="G667" s="14"/>
      <c r="H667" s="14"/>
      <c r="I667" s="14"/>
      <c r="J667" s="14"/>
      <c r="K667" s="12"/>
    </row>
    <row r="668" ht="19.5" customHeight="1">
      <c r="A668" s="12"/>
      <c r="C668" s="12"/>
      <c r="D668" s="13"/>
      <c r="F668" s="14"/>
      <c r="G668" s="14"/>
      <c r="H668" s="14"/>
      <c r="I668" s="14"/>
      <c r="J668" s="14"/>
      <c r="K668" s="12"/>
    </row>
    <row r="669" ht="19.5" customHeight="1">
      <c r="A669" s="12"/>
      <c r="C669" s="12"/>
      <c r="D669" s="13"/>
      <c r="F669" s="14"/>
      <c r="G669" s="14"/>
      <c r="H669" s="14"/>
      <c r="I669" s="14"/>
      <c r="J669" s="14"/>
      <c r="K669" s="12"/>
    </row>
    <row r="670" ht="19.5" customHeight="1">
      <c r="A670" s="12"/>
      <c r="C670" s="12"/>
      <c r="D670" s="13"/>
      <c r="F670" s="14"/>
      <c r="G670" s="14"/>
      <c r="H670" s="14"/>
      <c r="I670" s="14"/>
      <c r="J670" s="14"/>
      <c r="K670" s="12"/>
    </row>
    <row r="671" ht="19.5" customHeight="1">
      <c r="A671" s="12"/>
      <c r="C671" s="12"/>
      <c r="D671" s="13"/>
      <c r="F671" s="14"/>
      <c r="G671" s="14"/>
      <c r="H671" s="14"/>
      <c r="I671" s="14"/>
      <c r="J671" s="14"/>
      <c r="K671" s="12"/>
    </row>
    <row r="672" ht="19.5" customHeight="1">
      <c r="A672" s="12"/>
      <c r="C672" s="12"/>
      <c r="D672" s="13"/>
      <c r="F672" s="14"/>
      <c r="G672" s="14"/>
      <c r="H672" s="14"/>
      <c r="I672" s="14"/>
      <c r="J672" s="14"/>
      <c r="K672" s="12"/>
    </row>
    <row r="673" ht="19.5" customHeight="1">
      <c r="A673" s="12"/>
      <c r="C673" s="12"/>
      <c r="D673" s="13"/>
      <c r="F673" s="14"/>
      <c r="G673" s="14"/>
      <c r="H673" s="14"/>
      <c r="I673" s="14"/>
      <c r="J673" s="14"/>
      <c r="K673" s="12"/>
    </row>
    <row r="674" ht="19.5" customHeight="1">
      <c r="A674" s="12"/>
      <c r="C674" s="12"/>
      <c r="D674" s="13"/>
      <c r="F674" s="14"/>
      <c r="G674" s="14"/>
      <c r="H674" s="14"/>
      <c r="I674" s="14"/>
      <c r="J674" s="14"/>
      <c r="K674" s="12"/>
    </row>
    <row r="675" ht="19.5" customHeight="1">
      <c r="A675" s="12"/>
      <c r="C675" s="12"/>
      <c r="D675" s="13"/>
      <c r="F675" s="14"/>
      <c r="G675" s="14"/>
      <c r="H675" s="14"/>
      <c r="I675" s="14"/>
      <c r="J675" s="14"/>
      <c r="K675" s="12"/>
    </row>
    <row r="676" ht="19.5" customHeight="1">
      <c r="A676" s="12"/>
      <c r="C676" s="12"/>
      <c r="D676" s="13"/>
      <c r="F676" s="14"/>
      <c r="G676" s="14"/>
      <c r="H676" s="14"/>
      <c r="I676" s="14"/>
      <c r="J676" s="14"/>
      <c r="K676" s="12"/>
    </row>
    <row r="677" ht="19.5" customHeight="1">
      <c r="A677" s="12"/>
      <c r="C677" s="12"/>
      <c r="D677" s="13"/>
      <c r="F677" s="14"/>
      <c r="G677" s="14"/>
      <c r="H677" s="14"/>
      <c r="I677" s="14"/>
      <c r="J677" s="14"/>
      <c r="K677" s="12"/>
    </row>
    <row r="678" ht="19.5" customHeight="1">
      <c r="A678" s="12"/>
      <c r="C678" s="12"/>
      <c r="D678" s="13"/>
      <c r="F678" s="14"/>
      <c r="G678" s="14"/>
      <c r="H678" s="14"/>
      <c r="I678" s="14"/>
      <c r="J678" s="14"/>
      <c r="K678" s="12"/>
    </row>
    <row r="679" ht="19.5" customHeight="1">
      <c r="A679" s="12"/>
      <c r="C679" s="12"/>
      <c r="D679" s="13"/>
      <c r="F679" s="14"/>
      <c r="G679" s="14"/>
      <c r="H679" s="14"/>
      <c r="I679" s="14"/>
      <c r="J679" s="14"/>
      <c r="K679" s="12"/>
    </row>
    <row r="680" ht="19.5" customHeight="1">
      <c r="A680" s="12"/>
      <c r="C680" s="12"/>
      <c r="D680" s="13"/>
      <c r="F680" s="14"/>
      <c r="G680" s="14"/>
      <c r="H680" s="14"/>
      <c r="I680" s="14"/>
      <c r="J680" s="14"/>
      <c r="K680" s="12"/>
    </row>
    <row r="681" ht="19.5" customHeight="1">
      <c r="A681" s="12"/>
      <c r="C681" s="12"/>
      <c r="D681" s="13"/>
      <c r="F681" s="14"/>
      <c r="G681" s="14"/>
      <c r="H681" s="14"/>
      <c r="I681" s="14"/>
      <c r="J681" s="14"/>
      <c r="K681" s="12"/>
    </row>
    <row r="682" ht="19.5" customHeight="1">
      <c r="A682" s="12"/>
      <c r="C682" s="12"/>
      <c r="D682" s="13"/>
      <c r="F682" s="14"/>
      <c r="G682" s="14"/>
      <c r="H682" s="14"/>
      <c r="I682" s="14"/>
      <c r="J682" s="14"/>
      <c r="K682" s="12"/>
    </row>
    <row r="683" ht="19.5" customHeight="1">
      <c r="A683" s="12"/>
      <c r="C683" s="12"/>
      <c r="D683" s="13"/>
      <c r="F683" s="14"/>
      <c r="G683" s="14"/>
      <c r="H683" s="14"/>
      <c r="I683" s="14"/>
      <c r="J683" s="14"/>
      <c r="K683" s="12"/>
    </row>
    <row r="684" ht="19.5" customHeight="1">
      <c r="A684" s="12"/>
      <c r="C684" s="12"/>
      <c r="D684" s="13"/>
      <c r="F684" s="14"/>
      <c r="G684" s="14"/>
      <c r="H684" s="14"/>
      <c r="I684" s="14"/>
      <c r="J684" s="14"/>
      <c r="K684" s="12"/>
    </row>
    <row r="685" ht="19.5" customHeight="1">
      <c r="A685" s="12"/>
      <c r="C685" s="12"/>
      <c r="D685" s="13"/>
      <c r="F685" s="14"/>
      <c r="G685" s="14"/>
      <c r="H685" s="14"/>
      <c r="I685" s="14"/>
      <c r="J685" s="14"/>
      <c r="K685" s="12"/>
    </row>
    <row r="686" ht="19.5" customHeight="1">
      <c r="A686" s="12"/>
      <c r="C686" s="12"/>
      <c r="D686" s="13"/>
      <c r="F686" s="14"/>
      <c r="G686" s="14"/>
      <c r="H686" s="14"/>
      <c r="I686" s="14"/>
      <c r="J686" s="14"/>
      <c r="K686" s="12"/>
    </row>
    <row r="687" ht="19.5" customHeight="1">
      <c r="A687" s="12"/>
      <c r="C687" s="12"/>
      <c r="D687" s="13"/>
      <c r="F687" s="14"/>
      <c r="G687" s="14"/>
      <c r="H687" s="14"/>
      <c r="I687" s="14"/>
      <c r="J687" s="14"/>
      <c r="K687" s="12"/>
    </row>
    <row r="688" ht="19.5" customHeight="1">
      <c r="A688" s="12"/>
      <c r="C688" s="12"/>
      <c r="D688" s="13"/>
      <c r="F688" s="14"/>
      <c r="G688" s="14"/>
      <c r="H688" s="14"/>
      <c r="I688" s="14"/>
      <c r="J688" s="14"/>
      <c r="K688" s="12"/>
    </row>
    <row r="689" ht="19.5" customHeight="1">
      <c r="A689" s="12"/>
      <c r="C689" s="12"/>
      <c r="D689" s="13"/>
      <c r="F689" s="14"/>
      <c r="G689" s="14"/>
      <c r="H689" s="14"/>
      <c r="I689" s="14"/>
      <c r="J689" s="14"/>
      <c r="K689" s="12"/>
    </row>
    <row r="690" ht="19.5" customHeight="1">
      <c r="A690" s="12"/>
      <c r="C690" s="12"/>
      <c r="D690" s="13"/>
      <c r="F690" s="14"/>
      <c r="G690" s="14"/>
      <c r="H690" s="14"/>
      <c r="I690" s="14"/>
      <c r="J690" s="14"/>
      <c r="K690" s="12"/>
    </row>
    <row r="691" ht="19.5" customHeight="1">
      <c r="A691" s="12"/>
      <c r="C691" s="12"/>
      <c r="D691" s="13"/>
      <c r="F691" s="14"/>
      <c r="G691" s="14"/>
      <c r="H691" s="14"/>
      <c r="I691" s="14"/>
      <c r="J691" s="14"/>
      <c r="K691" s="12"/>
    </row>
    <row r="692" ht="19.5" customHeight="1">
      <c r="A692" s="12"/>
      <c r="C692" s="12"/>
      <c r="D692" s="13"/>
      <c r="F692" s="14"/>
      <c r="G692" s="14"/>
      <c r="H692" s="14"/>
      <c r="I692" s="14"/>
      <c r="J692" s="14"/>
      <c r="K692" s="12"/>
    </row>
    <row r="693" ht="19.5" customHeight="1">
      <c r="A693" s="12"/>
      <c r="C693" s="12"/>
      <c r="D693" s="13"/>
      <c r="F693" s="14"/>
      <c r="G693" s="14"/>
      <c r="H693" s="14"/>
      <c r="I693" s="14"/>
      <c r="J693" s="14"/>
      <c r="K693" s="12"/>
    </row>
    <row r="694" ht="19.5" customHeight="1">
      <c r="A694" s="12"/>
      <c r="C694" s="12"/>
      <c r="D694" s="13"/>
      <c r="F694" s="14"/>
      <c r="G694" s="14"/>
      <c r="H694" s="14"/>
      <c r="I694" s="14"/>
      <c r="J694" s="14"/>
      <c r="K694" s="12"/>
    </row>
    <row r="695" ht="19.5" customHeight="1">
      <c r="A695" s="12"/>
      <c r="C695" s="12"/>
      <c r="D695" s="13"/>
      <c r="F695" s="14"/>
      <c r="G695" s="14"/>
      <c r="H695" s="14"/>
      <c r="I695" s="14"/>
      <c r="J695" s="14"/>
      <c r="K695" s="12"/>
    </row>
    <row r="696" ht="19.5" customHeight="1">
      <c r="A696" s="12"/>
      <c r="C696" s="12"/>
      <c r="D696" s="13"/>
      <c r="F696" s="14"/>
      <c r="G696" s="14"/>
      <c r="H696" s="14"/>
      <c r="I696" s="14"/>
      <c r="J696" s="14"/>
      <c r="K696" s="12"/>
    </row>
    <row r="697" ht="19.5" customHeight="1">
      <c r="A697" s="12"/>
      <c r="C697" s="12"/>
      <c r="D697" s="13"/>
      <c r="F697" s="14"/>
      <c r="G697" s="14"/>
      <c r="H697" s="14"/>
      <c r="I697" s="14"/>
      <c r="J697" s="14"/>
      <c r="K697" s="12"/>
    </row>
    <row r="698" ht="19.5" customHeight="1">
      <c r="A698" s="12"/>
      <c r="C698" s="12"/>
      <c r="D698" s="13"/>
      <c r="F698" s="14"/>
      <c r="G698" s="14"/>
      <c r="H698" s="14"/>
      <c r="I698" s="14"/>
      <c r="J698" s="14"/>
      <c r="K698" s="12"/>
    </row>
    <row r="699" ht="19.5" customHeight="1">
      <c r="A699" s="12"/>
      <c r="C699" s="12"/>
      <c r="D699" s="13"/>
      <c r="F699" s="14"/>
      <c r="G699" s="14"/>
      <c r="H699" s="14"/>
      <c r="I699" s="14"/>
      <c r="J699" s="14"/>
      <c r="K699" s="12"/>
    </row>
    <row r="700" ht="19.5" customHeight="1">
      <c r="A700" s="12"/>
      <c r="C700" s="12"/>
      <c r="D700" s="13"/>
      <c r="F700" s="14"/>
      <c r="G700" s="14"/>
      <c r="H700" s="14"/>
      <c r="I700" s="14"/>
      <c r="J700" s="14"/>
      <c r="K700" s="12"/>
    </row>
    <row r="701" ht="19.5" customHeight="1">
      <c r="A701" s="12"/>
      <c r="C701" s="12"/>
      <c r="D701" s="13"/>
      <c r="F701" s="14"/>
      <c r="G701" s="14"/>
      <c r="H701" s="14"/>
      <c r="I701" s="14"/>
      <c r="J701" s="14"/>
      <c r="K701" s="12"/>
    </row>
    <row r="702" ht="19.5" customHeight="1">
      <c r="A702" s="12"/>
      <c r="C702" s="12"/>
      <c r="D702" s="13"/>
      <c r="F702" s="14"/>
      <c r="G702" s="14"/>
      <c r="H702" s="14"/>
      <c r="I702" s="14"/>
      <c r="J702" s="14"/>
      <c r="K702" s="12"/>
    </row>
    <row r="703" ht="19.5" customHeight="1">
      <c r="A703" s="12"/>
      <c r="C703" s="12"/>
      <c r="D703" s="13"/>
      <c r="F703" s="14"/>
      <c r="G703" s="14"/>
      <c r="H703" s="14"/>
      <c r="I703" s="14"/>
      <c r="J703" s="14"/>
      <c r="K703" s="12"/>
    </row>
    <row r="704" ht="19.5" customHeight="1">
      <c r="A704" s="12"/>
      <c r="C704" s="12"/>
      <c r="D704" s="13"/>
      <c r="F704" s="14"/>
      <c r="G704" s="14"/>
      <c r="H704" s="14"/>
      <c r="I704" s="14"/>
      <c r="J704" s="14"/>
      <c r="K704" s="12"/>
    </row>
    <row r="705" ht="19.5" customHeight="1">
      <c r="A705" s="12"/>
      <c r="C705" s="12"/>
      <c r="D705" s="13"/>
      <c r="F705" s="14"/>
      <c r="G705" s="14"/>
      <c r="H705" s="14"/>
      <c r="I705" s="14"/>
      <c r="J705" s="14"/>
      <c r="K705" s="12"/>
    </row>
    <row r="706" ht="19.5" customHeight="1">
      <c r="A706" s="12"/>
      <c r="C706" s="12"/>
      <c r="D706" s="13"/>
      <c r="F706" s="14"/>
      <c r="G706" s="14"/>
      <c r="H706" s="14"/>
      <c r="I706" s="14"/>
      <c r="J706" s="14"/>
      <c r="K706" s="12"/>
    </row>
    <row r="707" ht="19.5" customHeight="1">
      <c r="A707" s="12"/>
      <c r="C707" s="12"/>
      <c r="D707" s="13"/>
      <c r="F707" s="14"/>
      <c r="G707" s="14"/>
      <c r="H707" s="14"/>
      <c r="I707" s="14"/>
      <c r="J707" s="14"/>
      <c r="K707" s="12"/>
    </row>
    <row r="708" ht="19.5" customHeight="1">
      <c r="A708" s="12"/>
      <c r="C708" s="12"/>
      <c r="D708" s="13"/>
      <c r="F708" s="14"/>
      <c r="G708" s="14"/>
      <c r="H708" s="14"/>
      <c r="I708" s="14"/>
      <c r="J708" s="14"/>
      <c r="K708" s="12"/>
    </row>
    <row r="709" ht="19.5" customHeight="1">
      <c r="A709" s="12"/>
      <c r="C709" s="12"/>
      <c r="D709" s="13"/>
      <c r="F709" s="14"/>
      <c r="G709" s="14"/>
      <c r="H709" s="14"/>
      <c r="I709" s="14"/>
      <c r="J709" s="14"/>
      <c r="K709" s="12"/>
    </row>
    <row r="710" ht="19.5" customHeight="1">
      <c r="A710" s="12"/>
      <c r="C710" s="12"/>
      <c r="D710" s="13"/>
      <c r="F710" s="14"/>
      <c r="G710" s="14"/>
      <c r="H710" s="14"/>
      <c r="I710" s="14"/>
      <c r="J710" s="14"/>
      <c r="K710" s="12"/>
    </row>
    <row r="711" ht="19.5" customHeight="1">
      <c r="A711" s="12"/>
      <c r="C711" s="12"/>
      <c r="D711" s="13"/>
      <c r="F711" s="14"/>
      <c r="G711" s="14"/>
      <c r="H711" s="14"/>
      <c r="I711" s="14"/>
      <c r="J711" s="14"/>
      <c r="K711" s="12"/>
    </row>
    <row r="712" ht="19.5" customHeight="1">
      <c r="A712" s="12"/>
      <c r="C712" s="12"/>
      <c r="D712" s="13"/>
      <c r="F712" s="14"/>
      <c r="G712" s="14"/>
      <c r="H712" s="14"/>
      <c r="I712" s="14"/>
      <c r="J712" s="14"/>
      <c r="K712" s="12"/>
    </row>
    <row r="713" ht="19.5" customHeight="1">
      <c r="A713" s="12"/>
      <c r="C713" s="12"/>
      <c r="D713" s="13"/>
      <c r="F713" s="14"/>
      <c r="G713" s="14"/>
      <c r="H713" s="14"/>
      <c r="I713" s="14"/>
      <c r="J713" s="14"/>
      <c r="K713" s="12"/>
    </row>
    <row r="714" ht="19.5" customHeight="1">
      <c r="A714" s="12"/>
      <c r="C714" s="12"/>
      <c r="D714" s="13"/>
      <c r="F714" s="14"/>
      <c r="G714" s="14"/>
      <c r="H714" s="14"/>
      <c r="I714" s="14"/>
      <c r="J714" s="14"/>
      <c r="K714" s="12"/>
    </row>
    <row r="715" ht="19.5" customHeight="1">
      <c r="A715" s="12"/>
      <c r="C715" s="12"/>
      <c r="D715" s="13"/>
      <c r="F715" s="14"/>
      <c r="G715" s="14"/>
      <c r="H715" s="14"/>
      <c r="I715" s="14"/>
      <c r="J715" s="14"/>
      <c r="K715" s="12"/>
    </row>
    <row r="716" ht="19.5" customHeight="1">
      <c r="A716" s="12"/>
      <c r="C716" s="12"/>
      <c r="D716" s="13"/>
      <c r="F716" s="14"/>
      <c r="G716" s="14"/>
      <c r="H716" s="14"/>
      <c r="I716" s="14"/>
      <c r="J716" s="14"/>
      <c r="K716" s="12"/>
    </row>
    <row r="717" ht="19.5" customHeight="1">
      <c r="A717" s="12"/>
      <c r="C717" s="12"/>
      <c r="D717" s="13"/>
      <c r="F717" s="14"/>
      <c r="G717" s="14"/>
      <c r="H717" s="14"/>
      <c r="I717" s="14"/>
      <c r="J717" s="14"/>
      <c r="K717" s="12"/>
    </row>
    <row r="718" ht="19.5" customHeight="1">
      <c r="A718" s="12"/>
      <c r="C718" s="12"/>
      <c r="D718" s="13"/>
      <c r="F718" s="14"/>
      <c r="G718" s="14"/>
      <c r="H718" s="14"/>
      <c r="I718" s="14"/>
      <c r="J718" s="14"/>
      <c r="K718" s="12"/>
    </row>
    <row r="719" ht="19.5" customHeight="1">
      <c r="A719" s="12"/>
      <c r="C719" s="12"/>
      <c r="D719" s="13"/>
      <c r="F719" s="14"/>
      <c r="G719" s="14"/>
      <c r="H719" s="14"/>
      <c r="I719" s="14"/>
      <c r="J719" s="14"/>
      <c r="K719" s="12"/>
    </row>
    <row r="720" ht="19.5" customHeight="1">
      <c r="A720" s="12"/>
      <c r="C720" s="12"/>
      <c r="D720" s="13"/>
      <c r="F720" s="14"/>
      <c r="G720" s="14"/>
      <c r="H720" s="14"/>
      <c r="I720" s="14"/>
      <c r="J720" s="14"/>
      <c r="K720" s="12"/>
    </row>
    <row r="721" ht="19.5" customHeight="1">
      <c r="A721" s="12"/>
      <c r="C721" s="12"/>
      <c r="D721" s="13"/>
      <c r="F721" s="14"/>
      <c r="G721" s="14"/>
      <c r="H721" s="14"/>
      <c r="I721" s="14"/>
      <c r="J721" s="14"/>
      <c r="K721" s="12"/>
    </row>
    <row r="722" ht="19.5" customHeight="1">
      <c r="A722" s="12"/>
      <c r="C722" s="12"/>
      <c r="D722" s="13"/>
      <c r="F722" s="14"/>
      <c r="G722" s="14"/>
      <c r="H722" s="14"/>
      <c r="I722" s="14"/>
      <c r="J722" s="14"/>
      <c r="K722" s="12"/>
    </row>
    <row r="723" ht="19.5" customHeight="1">
      <c r="A723" s="12"/>
      <c r="C723" s="12"/>
      <c r="D723" s="13"/>
      <c r="F723" s="14"/>
      <c r="G723" s="14"/>
      <c r="H723" s="14"/>
      <c r="I723" s="14"/>
      <c r="J723" s="14"/>
      <c r="K723" s="12"/>
    </row>
    <row r="724" ht="19.5" customHeight="1">
      <c r="A724" s="12"/>
      <c r="C724" s="12"/>
      <c r="D724" s="13"/>
      <c r="F724" s="14"/>
      <c r="G724" s="14"/>
      <c r="H724" s="14"/>
      <c r="I724" s="14"/>
      <c r="J724" s="14"/>
      <c r="K724" s="12"/>
    </row>
    <row r="725" ht="19.5" customHeight="1">
      <c r="A725" s="12"/>
      <c r="C725" s="12"/>
      <c r="D725" s="13"/>
      <c r="F725" s="14"/>
      <c r="G725" s="14"/>
      <c r="H725" s="14"/>
      <c r="I725" s="14"/>
      <c r="J725" s="14"/>
      <c r="K725" s="12"/>
    </row>
    <row r="726" ht="19.5" customHeight="1">
      <c r="A726" s="12"/>
      <c r="C726" s="12"/>
      <c r="D726" s="13"/>
      <c r="F726" s="14"/>
      <c r="G726" s="14"/>
      <c r="H726" s="14"/>
      <c r="I726" s="14"/>
      <c r="J726" s="14"/>
      <c r="K726" s="12"/>
    </row>
    <row r="727" ht="19.5" customHeight="1">
      <c r="A727" s="12"/>
      <c r="C727" s="12"/>
      <c r="D727" s="13"/>
      <c r="F727" s="14"/>
      <c r="G727" s="14"/>
      <c r="H727" s="14"/>
      <c r="I727" s="14"/>
      <c r="J727" s="14"/>
      <c r="K727" s="12"/>
    </row>
    <row r="728" ht="19.5" customHeight="1">
      <c r="A728" s="12"/>
      <c r="C728" s="12"/>
      <c r="D728" s="13"/>
      <c r="F728" s="14"/>
      <c r="G728" s="14"/>
      <c r="H728" s="14"/>
      <c r="I728" s="14"/>
      <c r="J728" s="14"/>
      <c r="K728" s="12"/>
    </row>
    <row r="729" ht="19.5" customHeight="1">
      <c r="A729" s="12"/>
      <c r="C729" s="12"/>
      <c r="D729" s="13"/>
      <c r="F729" s="14"/>
      <c r="G729" s="14"/>
      <c r="H729" s="14"/>
      <c r="I729" s="14"/>
      <c r="J729" s="14"/>
      <c r="K729" s="12"/>
    </row>
    <row r="730" ht="19.5" customHeight="1">
      <c r="A730" s="12"/>
      <c r="C730" s="12"/>
      <c r="D730" s="13"/>
      <c r="F730" s="14"/>
      <c r="G730" s="14"/>
      <c r="H730" s="14"/>
      <c r="I730" s="14"/>
      <c r="J730" s="14"/>
      <c r="K730" s="12"/>
    </row>
    <row r="731" ht="19.5" customHeight="1">
      <c r="A731" s="12"/>
      <c r="C731" s="12"/>
      <c r="D731" s="13"/>
      <c r="F731" s="14"/>
      <c r="G731" s="14"/>
      <c r="H731" s="14"/>
      <c r="I731" s="14"/>
      <c r="J731" s="14"/>
      <c r="K731" s="12"/>
    </row>
    <row r="732" ht="19.5" customHeight="1">
      <c r="A732" s="12"/>
      <c r="C732" s="12"/>
      <c r="D732" s="13"/>
      <c r="F732" s="14"/>
      <c r="G732" s="14"/>
      <c r="H732" s="14"/>
      <c r="I732" s="14"/>
      <c r="J732" s="14"/>
      <c r="K732" s="12"/>
    </row>
    <row r="733" ht="19.5" customHeight="1">
      <c r="A733" s="12"/>
      <c r="C733" s="12"/>
      <c r="D733" s="13"/>
      <c r="F733" s="14"/>
      <c r="G733" s="14"/>
      <c r="H733" s="14"/>
      <c r="I733" s="14"/>
      <c r="J733" s="14"/>
      <c r="K733" s="12"/>
    </row>
    <row r="734" ht="19.5" customHeight="1">
      <c r="A734" s="12"/>
      <c r="C734" s="12"/>
      <c r="D734" s="13"/>
      <c r="F734" s="14"/>
      <c r="G734" s="14"/>
      <c r="H734" s="14"/>
      <c r="I734" s="14"/>
      <c r="J734" s="14"/>
      <c r="K734" s="12"/>
    </row>
    <row r="735" ht="19.5" customHeight="1">
      <c r="A735" s="12"/>
      <c r="C735" s="12"/>
      <c r="D735" s="13"/>
      <c r="F735" s="14"/>
      <c r="G735" s="14"/>
      <c r="H735" s="14"/>
      <c r="I735" s="14"/>
      <c r="J735" s="14"/>
      <c r="K735" s="12"/>
    </row>
    <row r="736" ht="19.5" customHeight="1">
      <c r="A736" s="12"/>
      <c r="C736" s="12"/>
      <c r="D736" s="13"/>
      <c r="F736" s="14"/>
      <c r="G736" s="14"/>
      <c r="H736" s="14"/>
      <c r="I736" s="14"/>
      <c r="J736" s="14"/>
      <c r="K736" s="12"/>
    </row>
    <row r="737" ht="19.5" customHeight="1">
      <c r="A737" s="12"/>
      <c r="C737" s="12"/>
      <c r="D737" s="13"/>
      <c r="F737" s="14"/>
      <c r="G737" s="14"/>
      <c r="H737" s="14"/>
      <c r="I737" s="14"/>
      <c r="J737" s="14"/>
      <c r="K737" s="12"/>
    </row>
    <row r="738" ht="19.5" customHeight="1">
      <c r="A738" s="12"/>
      <c r="C738" s="12"/>
      <c r="D738" s="13"/>
      <c r="F738" s="14"/>
      <c r="G738" s="14"/>
      <c r="H738" s="14"/>
      <c r="I738" s="14"/>
      <c r="J738" s="14"/>
      <c r="K738" s="12"/>
    </row>
    <row r="739" ht="19.5" customHeight="1">
      <c r="A739" s="12"/>
      <c r="C739" s="12"/>
      <c r="D739" s="13"/>
      <c r="F739" s="14"/>
      <c r="G739" s="14"/>
      <c r="H739" s="14"/>
      <c r="I739" s="14"/>
      <c r="J739" s="14"/>
      <c r="K739" s="12"/>
    </row>
    <row r="740" ht="19.5" customHeight="1">
      <c r="A740" s="12"/>
      <c r="C740" s="12"/>
      <c r="D740" s="13"/>
      <c r="F740" s="14"/>
      <c r="G740" s="14"/>
      <c r="H740" s="14"/>
      <c r="I740" s="14"/>
      <c r="J740" s="14"/>
      <c r="K740" s="12"/>
    </row>
    <row r="741" ht="19.5" customHeight="1">
      <c r="A741" s="12"/>
      <c r="C741" s="12"/>
      <c r="D741" s="13"/>
      <c r="F741" s="14"/>
      <c r="G741" s="14"/>
      <c r="H741" s="14"/>
      <c r="I741" s="14"/>
      <c r="J741" s="14"/>
      <c r="K741" s="12"/>
    </row>
    <row r="742" ht="19.5" customHeight="1">
      <c r="A742" s="12"/>
      <c r="C742" s="12"/>
      <c r="D742" s="13"/>
      <c r="F742" s="14"/>
      <c r="G742" s="14"/>
      <c r="H742" s="14"/>
      <c r="I742" s="14"/>
      <c r="J742" s="14"/>
      <c r="K742" s="12"/>
    </row>
    <row r="743" ht="19.5" customHeight="1">
      <c r="A743" s="12"/>
      <c r="C743" s="12"/>
      <c r="D743" s="13"/>
      <c r="F743" s="14"/>
      <c r="G743" s="14"/>
      <c r="H743" s="14"/>
      <c r="I743" s="14"/>
      <c r="J743" s="14"/>
      <c r="K743" s="12"/>
    </row>
    <row r="744" ht="19.5" customHeight="1">
      <c r="A744" s="12"/>
      <c r="C744" s="12"/>
      <c r="D744" s="13"/>
      <c r="F744" s="14"/>
      <c r="G744" s="14"/>
      <c r="H744" s="14"/>
      <c r="I744" s="14"/>
      <c r="J744" s="14"/>
      <c r="K744" s="12"/>
    </row>
    <row r="745" ht="19.5" customHeight="1">
      <c r="A745" s="12"/>
      <c r="C745" s="12"/>
      <c r="D745" s="13"/>
      <c r="F745" s="14"/>
      <c r="G745" s="14"/>
      <c r="H745" s="14"/>
      <c r="I745" s="14"/>
      <c r="J745" s="14"/>
      <c r="K745" s="12"/>
    </row>
    <row r="746" ht="19.5" customHeight="1">
      <c r="A746" s="12"/>
      <c r="C746" s="12"/>
      <c r="D746" s="13"/>
      <c r="F746" s="14"/>
      <c r="G746" s="14"/>
      <c r="H746" s="14"/>
      <c r="I746" s="14"/>
      <c r="J746" s="14"/>
      <c r="K746" s="12"/>
    </row>
    <row r="747" ht="19.5" customHeight="1">
      <c r="A747" s="12"/>
      <c r="C747" s="12"/>
      <c r="D747" s="13"/>
      <c r="F747" s="14"/>
      <c r="G747" s="14"/>
      <c r="H747" s="14"/>
      <c r="I747" s="14"/>
      <c r="J747" s="14"/>
      <c r="K747" s="12"/>
    </row>
    <row r="748" ht="19.5" customHeight="1">
      <c r="A748" s="12"/>
      <c r="C748" s="12"/>
      <c r="D748" s="13"/>
      <c r="F748" s="14"/>
      <c r="G748" s="14"/>
      <c r="H748" s="14"/>
      <c r="I748" s="14"/>
      <c r="J748" s="14"/>
      <c r="K748" s="12"/>
    </row>
    <row r="749" ht="19.5" customHeight="1">
      <c r="A749" s="12"/>
      <c r="C749" s="12"/>
      <c r="D749" s="13"/>
      <c r="F749" s="14"/>
      <c r="G749" s="14"/>
      <c r="H749" s="14"/>
      <c r="I749" s="14"/>
      <c r="J749" s="14"/>
      <c r="K749" s="12"/>
    </row>
    <row r="750" ht="19.5" customHeight="1">
      <c r="A750" s="12"/>
      <c r="C750" s="12"/>
      <c r="D750" s="13"/>
      <c r="F750" s="14"/>
      <c r="G750" s="14"/>
      <c r="H750" s="14"/>
      <c r="I750" s="14"/>
      <c r="J750" s="14"/>
      <c r="K750" s="12"/>
    </row>
    <row r="751" ht="19.5" customHeight="1">
      <c r="A751" s="12"/>
      <c r="C751" s="12"/>
      <c r="D751" s="13"/>
      <c r="F751" s="14"/>
      <c r="G751" s="14"/>
      <c r="H751" s="14"/>
      <c r="I751" s="14"/>
      <c r="J751" s="14"/>
      <c r="K751" s="12"/>
    </row>
    <row r="752" ht="19.5" customHeight="1">
      <c r="A752" s="12"/>
      <c r="C752" s="12"/>
      <c r="D752" s="13"/>
      <c r="F752" s="14"/>
      <c r="G752" s="14"/>
      <c r="H752" s="14"/>
      <c r="I752" s="14"/>
      <c r="J752" s="14"/>
      <c r="K752" s="12"/>
    </row>
    <row r="753" ht="19.5" customHeight="1">
      <c r="A753" s="12"/>
      <c r="C753" s="12"/>
      <c r="D753" s="13"/>
      <c r="F753" s="14"/>
      <c r="G753" s="14"/>
      <c r="H753" s="14"/>
      <c r="I753" s="14"/>
      <c r="J753" s="14"/>
      <c r="K753" s="12"/>
    </row>
    <row r="754" ht="19.5" customHeight="1">
      <c r="A754" s="12"/>
      <c r="C754" s="12"/>
      <c r="D754" s="13"/>
      <c r="F754" s="14"/>
      <c r="G754" s="14"/>
      <c r="H754" s="14"/>
      <c r="I754" s="14"/>
      <c r="J754" s="14"/>
      <c r="K754" s="12"/>
    </row>
    <row r="755" ht="19.5" customHeight="1">
      <c r="A755" s="12"/>
      <c r="C755" s="12"/>
      <c r="D755" s="13"/>
      <c r="F755" s="14"/>
      <c r="G755" s="14"/>
      <c r="H755" s="14"/>
      <c r="I755" s="14"/>
      <c r="J755" s="14"/>
      <c r="K755" s="12"/>
    </row>
    <row r="756" ht="19.5" customHeight="1">
      <c r="A756" s="12"/>
      <c r="C756" s="12"/>
      <c r="D756" s="13"/>
      <c r="F756" s="14"/>
      <c r="G756" s="14"/>
      <c r="H756" s="14"/>
      <c r="I756" s="14"/>
      <c r="J756" s="14"/>
      <c r="K756" s="12"/>
    </row>
    <row r="757" ht="19.5" customHeight="1">
      <c r="A757" s="12"/>
      <c r="C757" s="12"/>
      <c r="D757" s="13"/>
      <c r="F757" s="14"/>
      <c r="G757" s="14"/>
      <c r="H757" s="14"/>
      <c r="I757" s="14"/>
      <c r="J757" s="14"/>
      <c r="K757" s="12"/>
    </row>
    <row r="758" ht="19.5" customHeight="1">
      <c r="A758" s="12"/>
      <c r="C758" s="12"/>
      <c r="D758" s="13"/>
      <c r="F758" s="14"/>
      <c r="G758" s="14"/>
      <c r="H758" s="14"/>
      <c r="I758" s="14"/>
      <c r="J758" s="14"/>
      <c r="K758" s="12"/>
    </row>
    <row r="759" ht="19.5" customHeight="1">
      <c r="A759" s="12"/>
      <c r="C759" s="12"/>
      <c r="D759" s="13"/>
      <c r="F759" s="14"/>
      <c r="G759" s="14"/>
      <c r="H759" s="14"/>
      <c r="I759" s="14"/>
      <c r="J759" s="14"/>
      <c r="K759" s="12"/>
    </row>
    <row r="760" ht="19.5" customHeight="1">
      <c r="A760" s="12"/>
      <c r="C760" s="12"/>
      <c r="D760" s="13"/>
      <c r="F760" s="14"/>
      <c r="G760" s="14"/>
      <c r="H760" s="14"/>
      <c r="I760" s="14"/>
      <c r="J760" s="14"/>
      <c r="K760" s="12"/>
    </row>
    <row r="761" ht="19.5" customHeight="1">
      <c r="A761" s="12"/>
      <c r="C761" s="12"/>
      <c r="D761" s="13"/>
      <c r="F761" s="14"/>
      <c r="G761" s="14"/>
      <c r="H761" s="14"/>
      <c r="I761" s="14"/>
      <c r="J761" s="14"/>
      <c r="K761" s="12"/>
    </row>
    <row r="762" ht="19.5" customHeight="1">
      <c r="A762" s="12"/>
      <c r="C762" s="12"/>
      <c r="D762" s="13"/>
      <c r="F762" s="14"/>
      <c r="G762" s="14"/>
      <c r="H762" s="14"/>
      <c r="I762" s="14"/>
      <c r="J762" s="14"/>
      <c r="K762" s="12"/>
    </row>
    <row r="763" ht="19.5" customHeight="1">
      <c r="A763" s="12"/>
      <c r="C763" s="12"/>
      <c r="D763" s="13"/>
      <c r="F763" s="14"/>
      <c r="G763" s="14"/>
      <c r="H763" s="14"/>
      <c r="I763" s="14"/>
      <c r="J763" s="14"/>
      <c r="K763" s="12"/>
    </row>
    <row r="764" ht="19.5" customHeight="1">
      <c r="A764" s="12"/>
      <c r="C764" s="12"/>
      <c r="D764" s="13"/>
      <c r="F764" s="14"/>
      <c r="G764" s="14"/>
      <c r="H764" s="14"/>
      <c r="I764" s="14"/>
      <c r="J764" s="14"/>
      <c r="K764" s="12"/>
    </row>
    <row r="765" ht="19.5" customHeight="1">
      <c r="A765" s="12"/>
      <c r="C765" s="12"/>
      <c r="D765" s="13"/>
      <c r="F765" s="14"/>
      <c r="G765" s="14"/>
      <c r="H765" s="14"/>
      <c r="I765" s="14"/>
      <c r="J765" s="14"/>
      <c r="K765" s="12"/>
    </row>
    <row r="766" ht="19.5" customHeight="1">
      <c r="A766" s="12"/>
      <c r="C766" s="12"/>
      <c r="D766" s="13"/>
      <c r="F766" s="14"/>
      <c r="G766" s="14"/>
      <c r="H766" s="14"/>
      <c r="I766" s="14"/>
      <c r="J766" s="14"/>
      <c r="K766" s="12"/>
    </row>
    <row r="767" ht="19.5" customHeight="1">
      <c r="A767" s="12"/>
      <c r="C767" s="12"/>
      <c r="D767" s="13"/>
      <c r="F767" s="14"/>
      <c r="G767" s="14"/>
      <c r="H767" s="14"/>
      <c r="I767" s="14"/>
      <c r="J767" s="14"/>
      <c r="K767" s="12"/>
    </row>
    <row r="768" ht="19.5" customHeight="1">
      <c r="A768" s="12"/>
      <c r="C768" s="12"/>
      <c r="D768" s="13"/>
      <c r="F768" s="14"/>
      <c r="G768" s="14"/>
      <c r="H768" s="14"/>
      <c r="I768" s="14"/>
      <c r="J768" s="14"/>
      <c r="K768" s="12"/>
    </row>
    <row r="769" ht="19.5" customHeight="1">
      <c r="A769" s="12"/>
      <c r="C769" s="12"/>
      <c r="D769" s="13"/>
      <c r="F769" s="14"/>
      <c r="G769" s="14"/>
      <c r="H769" s="14"/>
      <c r="I769" s="14"/>
      <c r="J769" s="14"/>
      <c r="K769" s="12"/>
    </row>
    <row r="770" ht="19.5" customHeight="1">
      <c r="A770" s="12"/>
      <c r="C770" s="12"/>
      <c r="D770" s="13"/>
      <c r="F770" s="14"/>
      <c r="G770" s="14"/>
      <c r="H770" s="14"/>
      <c r="I770" s="14"/>
      <c r="J770" s="14"/>
      <c r="K770" s="12"/>
    </row>
    <row r="771" ht="19.5" customHeight="1">
      <c r="A771" s="12"/>
      <c r="C771" s="12"/>
      <c r="D771" s="13"/>
      <c r="F771" s="14"/>
      <c r="G771" s="14"/>
      <c r="H771" s="14"/>
      <c r="I771" s="14"/>
      <c r="J771" s="14"/>
      <c r="K771" s="12"/>
    </row>
    <row r="772" ht="19.5" customHeight="1">
      <c r="A772" s="12"/>
      <c r="C772" s="12"/>
      <c r="D772" s="13"/>
      <c r="F772" s="14"/>
      <c r="G772" s="14"/>
      <c r="H772" s="14"/>
      <c r="I772" s="14"/>
      <c r="J772" s="14"/>
      <c r="K772" s="12"/>
    </row>
    <row r="773" ht="19.5" customHeight="1">
      <c r="A773" s="12"/>
      <c r="C773" s="12"/>
      <c r="D773" s="13"/>
      <c r="F773" s="14"/>
      <c r="G773" s="14"/>
      <c r="H773" s="14"/>
      <c r="I773" s="14"/>
      <c r="J773" s="14"/>
      <c r="K773" s="12"/>
    </row>
    <row r="774" ht="19.5" customHeight="1">
      <c r="A774" s="12"/>
      <c r="C774" s="12"/>
      <c r="D774" s="13"/>
      <c r="F774" s="14"/>
      <c r="G774" s="14"/>
      <c r="H774" s="14"/>
      <c r="I774" s="14"/>
      <c r="J774" s="14"/>
      <c r="K774" s="12"/>
    </row>
    <row r="775" ht="19.5" customHeight="1">
      <c r="A775" s="12"/>
      <c r="C775" s="12"/>
      <c r="D775" s="13"/>
      <c r="F775" s="14"/>
      <c r="G775" s="14"/>
      <c r="H775" s="14"/>
      <c r="I775" s="14"/>
      <c r="J775" s="14"/>
      <c r="K775" s="12"/>
    </row>
    <row r="776" ht="19.5" customHeight="1">
      <c r="A776" s="12"/>
      <c r="C776" s="12"/>
      <c r="D776" s="13"/>
      <c r="F776" s="14"/>
      <c r="G776" s="14"/>
      <c r="H776" s="14"/>
      <c r="I776" s="14"/>
      <c r="J776" s="14"/>
      <c r="K776" s="12"/>
    </row>
    <row r="777" ht="19.5" customHeight="1">
      <c r="A777" s="12"/>
      <c r="C777" s="12"/>
      <c r="D777" s="13"/>
      <c r="F777" s="14"/>
      <c r="G777" s="14"/>
      <c r="H777" s="14"/>
      <c r="I777" s="14"/>
      <c r="J777" s="14"/>
      <c r="K777" s="12"/>
    </row>
    <row r="778" ht="19.5" customHeight="1">
      <c r="A778" s="12"/>
      <c r="C778" s="12"/>
      <c r="D778" s="13"/>
      <c r="F778" s="14"/>
      <c r="G778" s="14"/>
      <c r="H778" s="14"/>
      <c r="I778" s="14"/>
      <c r="J778" s="14"/>
      <c r="K778" s="12"/>
    </row>
    <row r="779" ht="19.5" customHeight="1">
      <c r="A779" s="12"/>
      <c r="C779" s="12"/>
      <c r="D779" s="13"/>
      <c r="F779" s="14"/>
      <c r="G779" s="14"/>
      <c r="H779" s="14"/>
      <c r="I779" s="14"/>
      <c r="J779" s="14"/>
      <c r="K779" s="12"/>
    </row>
    <row r="780" ht="19.5" customHeight="1">
      <c r="A780" s="12"/>
      <c r="C780" s="12"/>
      <c r="D780" s="13"/>
      <c r="F780" s="14"/>
      <c r="G780" s="14"/>
      <c r="H780" s="14"/>
      <c r="I780" s="14"/>
      <c r="J780" s="14"/>
      <c r="K780" s="12"/>
    </row>
    <row r="781" ht="19.5" customHeight="1">
      <c r="A781" s="12"/>
      <c r="C781" s="12"/>
      <c r="D781" s="13"/>
      <c r="F781" s="14"/>
      <c r="G781" s="14"/>
      <c r="H781" s="14"/>
      <c r="I781" s="14"/>
      <c r="J781" s="14"/>
      <c r="K781" s="12"/>
    </row>
    <row r="782" ht="19.5" customHeight="1">
      <c r="A782" s="12"/>
      <c r="C782" s="12"/>
      <c r="D782" s="13"/>
      <c r="F782" s="14"/>
      <c r="G782" s="14"/>
      <c r="H782" s="14"/>
      <c r="I782" s="14"/>
      <c r="J782" s="14"/>
      <c r="K782" s="12"/>
    </row>
    <row r="783" ht="19.5" customHeight="1">
      <c r="A783" s="12"/>
      <c r="C783" s="12"/>
      <c r="D783" s="13"/>
      <c r="F783" s="14"/>
      <c r="G783" s="14"/>
      <c r="H783" s="14"/>
      <c r="I783" s="14"/>
      <c r="J783" s="14"/>
      <c r="K783" s="12"/>
    </row>
    <row r="784" ht="19.5" customHeight="1">
      <c r="A784" s="12"/>
      <c r="C784" s="12"/>
      <c r="D784" s="13"/>
      <c r="F784" s="14"/>
      <c r="G784" s="14"/>
      <c r="H784" s="14"/>
      <c r="I784" s="14"/>
      <c r="J784" s="14"/>
      <c r="K784" s="12"/>
    </row>
    <row r="785" ht="19.5" customHeight="1">
      <c r="A785" s="12"/>
      <c r="C785" s="12"/>
      <c r="D785" s="13"/>
      <c r="F785" s="14"/>
      <c r="G785" s="14"/>
      <c r="H785" s="14"/>
      <c r="I785" s="14"/>
      <c r="J785" s="14"/>
      <c r="K785" s="12"/>
    </row>
    <row r="786" ht="19.5" customHeight="1">
      <c r="A786" s="12"/>
      <c r="C786" s="12"/>
      <c r="D786" s="13"/>
      <c r="F786" s="14"/>
      <c r="G786" s="14"/>
      <c r="H786" s="14"/>
      <c r="I786" s="14"/>
      <c r="J786" s="14"/>
      <c r="K786" s="12"/>
    </row>
    <row r="787" ht="19.5" customHeight="1">
      <c r="A787" s="12"/>
      <c r="C787" s="12"/>
      <c r="D787" s="13"/>
      <c r="F787" s="14"/>
      <c r="G787" s="14"/>
      <c r="H787" s="14"/>
      <c r="I787" s="14"/>
      <c r="J787" s="14"/>
      <c r="K787" s="12"/>
    </row>
    <row r="788" ht="19.5" customHeight="1">
      <c r="A788" s="12"/>
      <c r="C788" s="12"/>
      <c r="D788" s="13"/>
      <c r="F788" s="14"/>
      <c r="G788" s="14"/>
      <c r="H788" s="14"/>
      <c r="I788" s="14"/>
      <c r="J788" s="14"/>
      <c r="K788" s="12"/>
    </row>
    <row r="789" ht="19.5" customHeight="1">
      <c r="A789" s="12"/>
      <c r="C789" s="12"/>
      <c r="D789" s="13"/>
      <c r="F789" s="14"/>
      <c r="G789" s="14"/>
      <c r="H789" s="14"/>
      <c r="I789" s="14"/>
      <c r="J789" s="14"/>
      <c r="K789" s="12"/>
    </row>
    <row r="790" ht="19.5" customHeight="1">
      <c r="A790" s="12"/>
      <c r="C790" s="12"/>
      <c r="D790" s="13"/>
      <c r="F790" s="14"/>
      <c r="G790" s="14"/>
      <c r="H790" s="14"/>
      <c r="I790" s="14"/>
      <c r="J790" s="14"/>
      <c r="K790" s="12"/>
    </row>
    <row r="791" ht="19.5" customHeight="1">
      <c r="A791" s="12"/>
      <c r="C791" s="12"/>
      <c r="D791" s="13"/>
      <c r="F791" s="14"/>
      <c r="G791" s="14"/>
      <c r="H791" s="14"/>
      <c r="I791" s="14"/>
      <c r="J791" s="14"/>
      <c r="K791" s="12"/>
    </row>
    <row r="792" ht="19.5" customHeight="1">
      <c r="A792" s="12"/>
      <c r="C792" s="12"/>
      <c r="D792" s="13"/>
      <c r="F792" s="14"/>
      <c r="G792" s="14"/>
      <c r="H792" s="14"/>
      <c r="I792" s="14"/>
      <c r="J792" s="14"/>
      <c r="K792" s="12"/>
    </row>
    <row r="793" ht="19.5" customHeight="1">
      <c r="A793" s="12"/>
      <c r="C793" s="12"/>
      <c r="D793" s="13"/>
      <c r="F793" s="14"/>
      <c r="G793" s="14"/>
      <c r="H793" s="14"/>
      <c r="I793" s="14"/>
      <c r="J793" s="14"/>
      <c r="K793" s="12"/>
    </row>
    <row r="794" ht="19.5" customHeight="1">
      <c r="A794" s="12"/>
      <c r="C794" s="12"/>
      <c r="D794" s="13"/>
      <c r="F794" s="14"/>
      <c r="G794" s="14"/>
      <c r="H794" s="14"/>
      <c r="I794" s="14"/>
      <c r="J794" s="14"/>
      <c r="K794" s="12"/>
    </row>
    <row r="795" ht="19.5" customHeight="1">
      <c r="A795" s="12"/>
      <c r="C795" s="12"/>
      <c r="D795" s="13"/>
      <c r="F795" s="14"/>
      <c r="G795" s="14"/>
      <c r="H795" s="14"/>
      <c r="I795" s="14"/>
      <c r="J795" s="14"/>
      <c r="K795" s="12"/>
    </row>
    <row r="796" ht="19.5" customHeight="1">
      <c r="A796" s="12"/>
      <c r="C796" s="12"/>
      <c r="D796" s="13"/>
      <c r="F796" s="14"/>
      <c r="G796" s="14"/>
      <c r="H796" s="14"/>
      <c r="I796" s="14"/>
      <c r="J796" s="14"/>
      <c r="K796" s="12"/>
    </row>
    <row r="797" ht="19.5" customHeight="1">
      <c r="A797" s="12"/>
      <c r="C797" s="12"/>
      <c r="D797" s="13"/>
      <c r="F797" s="14"/>
      <c r="G797" s="14"/>
      <c r="H797" s="14"/>
      <c r="I797" s="14"/>
      <c r="J797" s="14"/>
      <c r="K797" s="12"/>
    </row>
    <row r="798" ht="19.5" customHeight="1">
      <c r="A798" s="12"/>
      <c r="C798" s="12"/>
      <c r="D798" s="13"/>
      <c r="F798" s="14"/>
      <c r="G798" s="14"/>
      <c r="H798" s="14"/>
      <c r="I798" s="14"/>
      <c r="J798" s="14"/>
      <c r="K798" s="12"/>
    </row>
    <row r="799" ht="19.5" customHeight="1">
      <c r="A799" s="12"/>
      <c r="C799" s="12"/>
      <c r="D799" s="13"/>
      <c r="F799" s="14"/>
      <c r="G799" s="14"/>
      <c r="H799" s="14"/>
      <c r="I799" s="14"/>
      <c r="J799" s="14"/>
      <c r="K799" s="12"/>
    </row>
    <row r="800" ht="19.5" customHeight="1">
      <c r="A800" s="12"/>
      <c r="C800" s="12"/>
      <c r="D800" s="13"/>
      <c r="F800" s="14"/>
      <c r="G800" s="14"/>
      <c r="H800" s="14"/>
      <c r="I800" s="14"/>
      <c r="J800" s="14"/>
      <c r="K800" s="12"/>
    </row>
    <row r="801" ht="19.5" customHeight="1">
      <c r="A801" s="12"/>
      <c r="C801" s="12"/>
      <c r="D801" s="13"/>
      <c r="F801" s="14"/>
      <c r="G801" s="14"/>
      <c r="H801" s="14"/>
      <c r="I801" s="14"/>
      <c r="J801" s="14"/>
      <c r="K801" s="12"/>
    </row>
    <row r="802" ht="19.5" customHeight="1">
      <c r="A802" s="12"/>
      <c r="C802" s="12"/>
      <c r="D802" s="13"/>
      <c r="F802" s="14"/>
      <c r="G802" s="14"/>
      <c r="H802" s="14"/>
      <c r="I802" s="14"/>
      <c r="J802" s="14"/>
      <c r="K802" s="12"/>
    </row>
    <row r="803" ht="19.5" customHeight="1">
      <c r="A803" s="12"/>
      <c r="C803" s="12"/>
      <c r="D803" s="13"/>
      <c r="F803" s="14"/>
      <c r="G803" s="14"/>
      <c r="H803" s="14"/>
      <c r="I803" s="14"/>
      <c r="J803" s="14"/>
      <c r="K803" s="12"/>
    </row>
    <row r="804" ht="19.5" customHeight="1">
      <c r="A804" s="12"/>
      <c r="C804" s="12"/>
      <c r="D804" s="13"/>
      <c r="F804" s="14"/>
      <c r="G804" s="14"/>
      <c r="H804" s="14"/>
      <c r="I804" s="14"/>
      <c r="J804" s="14"/>
      <c r="K804" s="12"/>
    </row>
    <row r="805" ht="19.5" customHeight="1">
      <c r="A805" s="12"/>
      <c r="C805" s="12"/>
      <c r="D805" s="13"/>
      <c r="F805" s="14"/>
      <c r="G805" s="14"/>
      <c r="H805" s="14"/>
      <c r="I805" s="14"/>
      <c r="J805" s="14"/>
      <c r="K805" s="12"/>
    </row>
    <row r="806" ht="19.5" customHeight="1">
      <c r="A806" s="12"/>
      <c r="C806" s="12"/>
      <c r="D806" s="13"/>
      <c r="F806" s="14"/>
      <c r="G806" s="14"/>
      <c r="H806" s="14"/>
      <c r="I806" s="14"/>
      <c r="J806" s="14"/>
      <c r="K806" s="12"/>
    </row>
    <row r="807" ht="19.5" customHeight="1">
      <c r="A807" s="12"/>
      <c r="C807" s="12"/>
      <c r="D807" s="13"/>
      <c r="F807" s="14"/>
      <c r="G807" s="14"/>
      <c r="H807" s="14"/>
      <c r="I807" s="14"/>
      <c r="J807" s="14"/>
      <c r="K807" s="12"/>
    </row>
    <row r="808" ht="19.5" customHeight="1">
      <c r="A808" s="12"/>
      <c r="C808" s="12"/>
      <c r="D808" s="13"/>
      <c r="F808" s="14"/>
      <c r="G808" s="14"/>
      <c r="H808" s="14"/>
      <c r="I808" s="14"/>
      <c r="J808" s="14"/>
      <c r="K808" s="12"/>
    </row>
    <row r="809" ht="19.5" customHeight="1">
      <c r="A809" s="12"/>
      <c r="C809" s="12"/>
      <c r="D809" s="13"/>
      <c r="F809" s="14"/>
      <c r="G809" s="14"/>
      <c r="H809" s="14"/>
      <c r="I809" s="14"/>
      <c r="J809" s="14"/>
      <c r="K809" s="12"/>
    </row>
    <row r="810" ht="19.5" customHeight="1">
      <c r="A810" s="12"/>
      <c r="C810" s="12"/>
      <c r="D810" s="13"/>
      <c r="F810" s="14"/>
      <c r="G810" s="14"/>
      <c r="H810" s="14"/>
      <c r="I810" s="14"/>
      <c r="J810" s="14"/>
      <c r="K810" s="12"/>
    </row>
    <row r="811" ht="19.5" customHeight="1">
      <c r="A811" s="12"/>
      <c r="C811" s="12"/>
      <c r="D811" s="13"/>
      <c r="F811" s="14"/>
      <c r="G811" s="14"/>
      <c r="H811" s="14"/>
      <c r="I811" s="14"/>
      <c r="J811" s="14"/>
      <c r="K811" s="12"/>
    </row>
    <row r="812" ht="19.5" customHeight="1">
      <c r="A812" s="12"/>
      <c r="C812" s="12"/>
      <c r="D812" s="13"/>
      <c r="F812" s="14"/>
      <c r="G812" s="14"/>
      <c r="H812" s="14"/>
      <c r="I812" s="14"/>
      <c r="J812" s="14"/>
      <c r="K812" s="12"/>
    </row>
    <row r="813" ht="19.5" customHeight="1">
      <c r="A813" s="12"/>
      <c r="C813" s="12"/>
      <c r="D813" s="13"/>
      <c r="F813" s="14"/>
      <c r="G813" s="14"/>
      <c r="H813" s="14"/>
      <c r="I813" s="14"/>
      <c r="J813" s="14"/>
      <c r="K813" s="12"/>
    </row>
    <row r="814" ht="19.5" customHeight="1">
      <c r="A814" s="12"/>
      <c r="C814" s="12"/>
      <c r="D814" s="13"/>
      <c r="F814" s="14"/>
      <c r="G814" s="14"/>
      <c r="H814" s="14"/>
      <c r="I814" s="14"/>
      <c r="J814" s="14"/>
      <c r="K814" s="12"/>
    </row>
    <row r="815" ht="19.5" customHeight="1">
      <c r="A815" s="12"/>
      <c r="C815" s="12"/>
      <c r="D815" s="13"/>
      <c r="F815" s="14"/>
      <c r="G815" s="14"/>
      <c r="H815" s="14"/>
      <c r="I815" s="14"/>
      <c r="J815" s="14"/>
      <c r="K815" s="12"/>
    </row>
    <row r="816" ht="19.5" customHeight="1">
      <c r="A816" s="12"/>
      <c r="C816" s="12"/>
      <c r="D816" s="13"/>
      <c r="F816" s="14"/>
      <c r="G816" s="14"/>
      <c r="H816" s="14"/>
      <c r="I816" s="14"/>
      <c r="J816" s="14"/>
      <c r="K816" s="12"/>
    </row>
    <row r="817" ht="19.5" customHeight="1">
      <c r="A817" s="12"/>
      <c r="C817" s="12"/>
      <c r="D817" s="13"/>
      <c r="F817" s="14"/>
      <c r="G817" s="14"/>
      <c r="H817" s="14"/>
      <c r="I817" s="14"/>
      <c r="J817" s="14"/>
      <c r="K817" s="12"/>
    </row>
    <row r="818" ht="19.5" customHeight="1">
      <c r="A818" s="12"/>
      <c r="C818" s="12"/>
      <c r="D818" s="13"/>
      <c r="F818" s="14"/>
      <c r="G818" s="14"/>
      <c r="H818" s="14"/>
      <c r="I818" s="14"/>
      <c r="J818" s="14"/>
      <c r="K818" s="12"/>
    </row>
    <row r="819" ht="19.5" customHeight="1">
      <c r="A819" s="12"/>
      <c r="C819" s="12"/>
      <c r="D819" s="13"/>
      <c r="F819" s="14"/>
      <c r="G819" s="14"/>
      <c r="H819" s="14"/>
      <c r="I819" s="14"/>
      <c r="J819" s="14"/>
      <c r="K819" s="12"/>
    </row>
    <row r="820" ht="19.5" customHeight="1">
      <c r="A820" s="12"/>
      <c r="C820" s="12"/>
      <c r="D820" s="13"/>
      <c r="F820" s="14"/>
      <c r="G820" s="14"/>
      <c r="H820" s="14"/>
      <c r="I820" s="14"/>
      <c r="J820" s="14"/>
      <c r="K820" s="12"/>
    </row>
    <row r="821" ht="19.5" customHeight="1">
      <c r="A821" s="12"/>
      <c r="C821" s="12"/>
      <c r="D821" s="13"/>
      <c r="F821" s="14"/>
      <c r="G821" s="14"/>
      <c r="H821" s="14"/>
      <c r="I821" s="14"/>
      <c r="J821" s="14"/>
      <c r="K821" s="12"/>
    </row>
    <row r="822" ht="19.5" customHeight="1">
      <c r="A822" s="12"/>
      <c r="C822" s="12"/>
      <c r="D822" s="13"/>
      <c r="F822" s="14"/>
      <c r="G822" s="14"/>
      <c r="H822" s="14"/>
      <c r="I822" s="14"/>
      <c r="J822" s="14"/>
      <c r="K822" s="12"/>
    </row>
    <row r="823" ht="19.5" customHeight="1">
      <c r="A823" s="12"/>
      <c r="C823" s="12"/>
      <c r="D823" s="13"/>
      <c r="F823" s="14"/>
      <c r="G823" s="14"/>
      <c r="H823" s="14"/>
      <c r="I823" s="14"/>
      <c r="J823" s="14"/>
      <c r="K823" s="12"/>
    </row>
    <row r="824" ht="19.5" customHeight="1">
      <c r="A824" s="12"/>
      <c r="C824" s="12"/>
      <c r="D824" s="13"/>
      <c r="F824" s="14"/>
      <c r="G824" s="14"/>
      <c r="H824" s="14"/>
      <c r="I824" s="14"/>
      <c r="J824" s="14"/>
      <c r="K824" s="12"/>
    </row>
    <row r="825" ht="19.5" customHeight="1">
      <c r="A825" s="12"/>
      <c r="C825" s="12"/>
      <c r="D825" s="13"/>
      <c r="F825" s="14"/>
      <c r="G825" s="14"/>
      <c r="H825" s="14"/>
      <c r="I825" s="14"/>
      <c r="J825" s="14"/>
      <c r="K825" s="12"/>
    </row>
    <row r="826" ht="19.5" customHeight="1">
      <c r="A826" s="12"/>
      <c r="C826" s="12"/>
      <c r="D826" s="13"/>
      <c r="F826" s="14"/>
      <c r="G826" s="14"/>
      <c r="H826" s="14"/>
      <c r="I826" s="14"/>
      <c r="J826" s="14"/>
      <c r="K826" s="12"/>
    </row>
    <row r="827" ht="19.5" customHeight="1">
      <c r="A827" s="12"/>
      <c r="C827" s="12"/>
      <c r="D827" s="13"/>
      <c r="F827" s="14"/>
      <c r="G827" s="14"/>
      <c r="H827" s="14"/>
      <c r="I827" s="14"/>
      <c r="J827" s="14"/>
      <c r="K827" s="12"/>
    </row>
    <row r="828" ht="19.5" customHeight="1">
      <c r="A828" s="12"/>
      <c r="C828" s="12"/>
      <c r="D828" s="13"/>
      <c r="F828" s="14"/>
      <c r="G828" s="14"/>
      <c r="H828" s="14"/>
      <c r="I828" s="14"/>
      <c r="J828" s="14"/>
      <c r="K828" s="12"/>
    </row>
    <row r="829" ht="19.5" customHeight="1">
      <c r="A829" s="12"/>
      <c r="C829" s="12"/>
      <c r="D829" s="13"/>
      <c r="F829" s="14"/>
      <c r="G829" s="14"/>
      <c r="H829" s="14"/>
      <c r="I829" s="14"/>
      <c r="J829" s="14"/>
      <c r="K829" s="12"/>
    </row>
    <row r="830" ht="19.5" customHeight="1">
      <c r="A830" s="12"/>
      <c r="C830" s="12"/>
      <c r="D830" s="13"/>
      <c r="F830" s="14"/>
      <c r="G830" s="14"/>
      <c r="H830" s="14"/>
      <c r="I830" s="14"/>
      <c r="J830" s="14"/>
      <c r="K830" s="12"/>
    </row>
    <row r="831" ht="19.5" customHeight="1">
      <c r="A831" s="12"/>
      <c r="C831" s="12"/>
      <c r="D831" s="13"/>
      <c r="F831" s="14"/>
      <c r="G831" s="14"/>
      <c r="H831" s="14"/>
      <c r="I831" s="14"/>
      <c r="J831" s="14"/>
      <c r="K831" s="12"/>
    </row>
    <row r="832" ht="19.5" customHeight="1">
      <c r="A832" s="12"/>
      <c r="C832" s="12"/>
      <c r="D832" s="13"/>
      <c r="F832" s="14"/>
      <c r="G832" s="14"/>
      <c r="H832" s="14"/>
      <c r="I832" s="14"/>
      <c r="J832" s="14"/>
      <c r="K832" s="12"/>
    </row>
    <row r="833" ht="19.5" customHeight="1">
      <c r="A833" s="12"/>
      <c r="C833" s="12"/>
      <c r="D833" s="13"/>
      <c r="F833" s="14"/>
      <c r="G833" s="14"/>
      <c r="H833" s="14"/>
      <c r="I833" s="14"/>
      <c r="J833" s="14"/>
      <c r="K833" s="12"/>
    </row>
    <row r="834" ht="19.5" customHeight="1">
      <c r="A834" s="12"/>
      <c r="C834" s="12"/>
      <c r="D834" s="13"/>
      <c r="F834" s="14"/>
      <c r="G834" s="14"/>
      <c r="H834" s="14"/>
      <c r="I834" s="14"/>
      <c r="J834" s="14"/>
      <c r="K834" s="12"/>
    </row>
    <row r="835" ht="19.5" customHeight="1">
      <c r="A835" s="12"/>
      <c r="C835" s="12"/>
      <c r="D835" s="13"/>
      <c r="F835" s="14"/>
      <c r="G835" s="14"/>
      <c r="H835" s="14"/>
      <c r="I835" s="14"/>
      <c r="J835" s="14"/>
      <c r="K835" s="12"/>
    </row>
    <row r="836" ht="19.5" customHeight="1">
      <c r="A836" s="12"/>
      <c r="C836" s="12"/>
      <c r="D836" s="13"/>
      <c r="F836" s="14"/>
      <c r="G836" s="14"/>
      <c r="H836" s="14"/>
      <c r="I836" s="14"/>
      <c r="J836" s="14"/>
      <c r="K836" s="12"/>
    </row>
    <row r="837" ht="19.5" customHeight="1">
      <c r="A837" s="12"/>
      <c r="C837" s="12"/>
      <c r="D837" s="13"/>
      <c r="F837" s="14"/>
      <c r="G837" s="14"/>
      <c r="H837" s="14"/>
      <c r="I837" s="14"/>
      <c r="J837" s="14"/>
      <c r="K837" s="12"/>
    </row>
    <row r="838" ht="19.5" customHeight="1">
      <c r="A838" s="12"/>
      <c r="C838" s="12"/>
      <c r="D838" s="13"/>
      <c r="F838" s="14"/>
      <c r="G838" s="14"/>
      <c r="H838" s="14"/>
      <c r="I838" s="14"/>
      <c r="J838" s="14"/>
      <c r="K838" s="12"/>
    </row>
    <row r="839" ht="19.5" customHeight="1">
      <c r="A839" s="12"/>
      <c r="C839" s="12"/>
      <c r="D839" s="13"/>
      <c r="F839" s="14"/>
      <c r="G839" s="14"/>
      <c r="H839" s="14"/>
      <c r="I839" s="14"/>
      <c r="J839" s="14"/>
      <c r="K839" s="12"/>
    </row>
    <row r="840" ht="19.5" customHeight="1">
      <c r="A840" s="12"/>
      <c r="C840" s="12"/>
      <c r="D840" s="13"/>
      <c r="F840" s="14"/>
      <c r="G840" s="14"/>
      <c r="H840" s="14"/>
      <c r="I840" s="14"/>
      <c r="J840" s="14"/>
      <c r="K840" s="12"/>
    </row>
    <row r="841" ht="19.5" customHeight="1">
      <c r="A841" s="12"/>
      <c r="C841" s="12"/>
      <c r="D841" s="13"/>
      <c r="F841" s="14"/>
      <c r="G841" s="14"/>
      <c r="H841" s="14"/>
      <c r="I841" s="14"/>
      <c r="J841" s="14"/>
      <c r="K841" s="12"/>
    </row>
    <row r="842" ht="19.5" customHeight="1">
      <c r="A842" s="12"/>
      <c r="C842" s="12"/>
      <c r="D842" s="13"/>
      <c r="F842" s="14"/>
      <c r="G842" s="14"/>
      <c r="H842" s="14"/>
      <c r="I842" s="14"/>
      <c r="J842" s="14"/>
      <c r="K842" s="12"/>
    </row>
    <row r="843" ht="19.5" customHeight="1">
      <c r="A843" s="12"/>
      <c r="C843" s="12"/>
      <c r="D843" s="13"/>
      <c r="F843" s="14"/>
      <c r="G843" s="14"/>
      <c r="H843" s="14"/>
      <c r="I843" s="14"/>
      <c r="J843" s="14"/>
      <c r="K843" s="12"/>
    </row>
    <row r="844" ht="19.5" customHeight="1">
      <c r="A844" s="12"/>
      <c r="C844" s="12"/>
      <c r="D844" s="13"/>
      <c r="F844" s="14"/>
      <c r="G844" s="14"/>
      <c r="H844" s="14"/>
      <c r="I844" s="14"/>
      <c r="J844" s="14"/>
      <c r="K844" s="12"/>
    </row>
    <row r="845" ht="19.5" customHeight="1">
      <c r="A845" s="12"/>
      <c r="C845" s="12"/>
      <c r="D845" s="13"/>
      <c r="F845" s="14"/>
      <c r="G845" s="14"/>
      <c r="H845" s="14"/>
      <c r="I845" s="14"/>
      <c r="J845" s="14"/>
      <c r="K845" s="12"/>
    </row>
    <row r="846" ht="19.5" customHeight="1">
      <c r="A846" s="12"/>
      <c r="C846" s="12"/>
      <c r="D846" s="13"/>
      <c r="F846" s="14"/>
      <c r="G846" s="14"/>
      <c r="H846" s="14"/>
      <c r="I846" s="14"/>
      <c r="J846" s="14"/>
      <c r="K846" s="12"/>
    </row>
    <row r="847" ht="19.5" customHeight="1">
      <c r="A847" s="12"/>
      <c r="C847" s="12"/>
      <c r="D847" s="13"/>
      <c r="F847" s="14"/>
      <c r="G847" s="14"/>
      <c r="H847" s="14"/>
      <c r="I847" s="14"/>
      <c r="J847" s="14"/>
      <c r="K847" s="12"/>
    </row>
    <row r="848" ht="19.5" customHeight="1">
      <c r="A848" s="12"/>
      <c r="C848" s="12"/>
      <c r="D848" s="13"/>
      <c r="F848" s="14"/>
      <c r="G848" s="14"/>
      <c r="H848" s="14"/>
      <c r="I848" s="14"/>
      <c r="J848" s="14"/>
      <c r="K848" s="12"/>
    </row>
    <row r="849" ht="19.5" customHeight="1">
      <c r="A849" s="12"/>
      <c r="C849" s="12"/>
      <c r="D849" s="13"/>
      <c r="F849" s="14"/>
      <c r="G849" s="14"/>
      <c r="H849" s="14"/>
      <c r="I849" s="14"/>
      <c r="J849" s="14"/>
      <c r="K849" s="12"/>
    </row>
    <row r="850" ht="19.5" customHeight="1">
      <c r="A850" s="12"/>
      <c r="C850" s="12"/>
      <c r="D850" s="13"/>
      <c r="F850" s="14"/>
      <c r="G850" s="14"/>
      <c r="H850" s="14"/>
      <c r="I850" s="14"/>
      <c r="J850" s="14"/>
      <c r="K850" s="12"/>
    </row>
    <row r="851" ht="19.5" customHeight="1">
      <c r="A851" s="12"/>
      <c r="C851" s="12"/>
      <c r="D851" s="13"/>
      <c r="F851" s="14"/>
      <c r="G851" s="14"/>
      <c r="H851" s="14"/>
      <c r="I851" s="14"/>
      <c r="J851" s="14"/>
      <c r="K851" s="12"/>
    </row>
    <row r="852" ht="19.5" customHeight="1">
      <c r="A852" s="12"/>
      <c r="C852" s="12"/>
      <c r="D852" s="13"/>
      <c r="F852" s="14"/>
      <c r="G852" s="14"/>
      <c r="H852" s="14"/>
      <c r="I852" s="14"/>
      <c r="J852" s="14"/>
      <c r="K852" s="12"/>
    </row>
    <row r="853" ht="19.5" customHeight="1">
      <c r="A853" s="12"/>
      <c r="C853" s="12"/>
      <c r="D853" s="13"/>
      <c r="F853" s="14"/>
      <c r="G853" s="14"/>
      <c r="H853" s="14"/>
      <c r="I853" s="14"/>
      <c r="J853" s="14"/>
      <c r="K853" s="12"/>
    </row>
    <row r="854" ht="19.5" customHeight="1">
      <c r="A854" s="12"/>
      <c r="C854" s="12"/>
      <c r="D854" s="13"/>
      <c r="F854" s="14"/>
      <c r="G854" s="14"/>
      <c r="H854" s="14"/>
      <c r="I854" s="14"/>
      <c r="J854" s="14"/>
      <c r="K854" s="12"/>
    </row>
    <row r="855" ht="19.5" customHeight="1">
      <c r="A855" s="12"/>
      <c r="C855" s="12"/>
      <c r="D855" s="13"/>
      <c r="F855" s="14"/>
      <c r="G855" s="14"/>
      <c r="H855" s="14"/>
      <c r="I855" s="14"/>
      <c r="J855" s="14"/>
      <c r="K855" s="12"/>
    </row>
    <row r="856" ht="19.5" customHeight="1">
      <c r="A856" s="12"/>
      <c r="C856" s="12"/>
      <c r="D856" s="13"/>
      <c r="F856" s="14"/>
      <c r="G856" s="14"/>
      <c r="H856" s="14"/>
      <c r="I856" s="14"/>
      <c r="J856" s="14"/>
      <c r="K856" s="12"/>
    </row>
    <row r="857" ht="19.5" customHeight="1">
      <c r="A857" s="12"/>
      <c r="C857" s="12"/>
      <c r="D857" s="13"/>
      <c r="F857" s="14"/>
      <c r="G857" s="14"/>
      <c r="H857" s="14"/>
      <c r="I857" s="14"/>
      <c r="J857" s="14"/>
      <c r="K857" s="12"/>
    </row>
    <row r="858" ht="19.5" customHeight="1">
      <c r="A858" s="12"/>
      <c r="C858" s="12"/>
      <c r="D858" s="13"/>
      <c r="F858" s="14"/>
      <c r="G858" s="14"/>
      <c r="H858" s="14"/>
      <c r="I858" s="14"/>
      <c r="J858" s="14"/>
      <c r="K858" s="12"/>
    </row>
    <row r="859" ht="19.5" customHeight="1">
      <c r="A859" s="12"/>
      <c r="C859" s="12"/>
      <c r="D859" s="13"/>
      <c r="F859" s="14"/>
      <c r="G859" s="14"/>
      <c r="H859" s="14"/>
      <c r="I859" s="14"/>
      <c r="J859" s="14"/>
      <c r="K859" s="12"/>
    </row>
    <row r="860" ht="19.5" customHeight="1">
      <c r="A860" s="12"/>
      <c r="C860" s="12"/>
      <c r="D860" s="13"/>
      <c r="F860" s="14"/>
      <c r="G860" s="14"/>
      <c r="H860" s="14"/>
      <c r="I860" s="14"/>
      <c r="J860" s="14"/>
      <c r="K860" s="12"/>
    </row>
    <row r="861" ht="19.5" customHeight="1">
      <c r="A861" s="12"/>
      <c r="C861" s="12"/>
      <c r="D861" s="13"/>
      <c r="F861" s="14"/>
      <c r="G861" s="14"/>
      <c r="H861" s="14"/>
      <c r="I861" s="14"/>
      <c r="J861" s="14"/>
      <c r="K861" s="12"/>
    </row>
    <row r="862" ht="19.5" customHeight="1">
      <c r="A862" s="12"/>
      <c r="C862" s="12"/>
      <c r="D862" s="13"/>
      <c r="F862" s="14"/>
      <c r="G862" s="14"/>
      <c r="H862" s="14"/>
      <c r="I862" s="14"/>
      <c r="J862" s="14"/>
      <c r="K862" s="12"/>
    </row>
    <row r="863" ht="19.5" customHeight="1">
      <c r="A863" s="12"/>
      <c r="C863" s="12"/>
      <c r="D863" s="13"/>
      <c r="F863" s="14"/>
      <c r="G863" s="14"/>
      <c r="H863" s="14"/>
      <c r="I863" s="14"/>
      <c r="J863" s="14"/>
      <c r="K863" s="12"/>
    </row>
    <row r="864" ht="19.5" customHeight="1">
      <c r="A864" s="12"/>
      <c r="C864" s="12"/>
      <c r="D864" s="13"/>
      <c r="F864" s="14"/>
      <c r="G864" s="14"/>
      <c r="H864" s="14"/>
      <c r="I864" s="14"/>
      <c r="J864" s="14"/>
      <c r="K864" s="12"/>
    </row>
    <row r="865" ht="19.5" customHeight="1">
      <c r="A865" s="12"/>
      <c r="C865" s="12"/>
      <c r="D865" s="13"/>
      <c r="F865" s="14"/>
      <c r="G865" s="14"/>
      <c r="H865" s="14"/>
      <c r="I865" s="14"/>
      <c r="J865" s="14"/>
      <c r="K865" s="12"/>
    </row>
    <row r="866" ht="19.5" customHeight="1">
      <c r="A866" s="12"/>
      <c r="C866" s="12"/>
      <c r="D866" s="13"/>
      <c r="F866" s="14"/>
      <c r="G866" s="14"/>
      <c r="H866" s="14"/>
      <c r="I866" s="14"/>
      <c r="J866" s="14"/>
      <c r="K866" s="12"/>
    </row>
    <row r="867" ht="19.5" customHeight="1">
      <c r="A867" s="12"/>
      <c r="C867" s="12"/>
      <c r="D867" s="13"/>
      <c r="F867" s="14"/>
      <c r="G867" s="14"/>
      <c r="H867" s="14"/>
      <c r="I867" s="14"/>
      <c r="J867" s="14"/>
      <c r="K867" s="12"/>
    </row>
    <row r="868" ht="19.5" customHeight="1">
      <c r="A868" s="12"/>
      <c r="C868" s="12"/>
      <c r="D868" s="13"/>
      <c r="F868" s="14"/>
      <c r="G868" s="14"/>
      <c r="H868" s="14"/>
      <c r="I868" s="14"/>
      <c r="J868" s="14"/>
      <c r="K868" s="12"/>
    </row>
    <row r="869" ht="19.5" customHeight="1">
      <c r="A869" s="12"/>
      <c r="C869" s="12"/>
      <c r="D869" s="13"/>
      <c r="F869" s="14"/>
      <c r="G869" s="14"/>
      <c r="H869" s="14"/>
      <c r="I869" s="14"/>
      <c r="J869" s="14"/>
      <c r="K869" s="12"/>
    </row>
    <row r="870" ht="19.5" customHeight="1">
      <c r="A870" s="12"/>
      <c r="C870" s="12"/>
      <c r="D870" s="13"/>
      <c r="F870" s="14"/>
      <c r="G870" s="14"/>
      <c r="H870" s="14"/>
      <c r="I870" s="14"/>
      <c r="J870" s="14"/>
      <c r="K870" s="12"/>
    </row>
    <row r="871" ht="19.5" customHeight="1">
      <c r="A871" s="12"/>
      <c r="C871" s="12"/>
      <c r="D871" s="13"/>
      <c r="F871" s="14"/>
      <c r="G871" s="14"/>
      <c r="H871" s="14"/>
      <c r="I871" s="14"/>
      <c r="J871" s="14"/>
      <c r="K871" s="12"/>
    </row>
    <row r="872" ht="19.5" customHeight="1">
      <c r="A872" s="12"/>
      <c r="C872" s="12"/>
      <c r="D872" s="13"/>
      <c r="F872" s="14"/>
      <c r="G872" s="14"/>
      <c r="H872" s="14"/>
      <c r="I872" s="14"/>
      <c r="J872" s="14"/>
      <c r="K872" s="12"/>
    </row>
    <row r="873" ht="19.5" customHeight="1">
      <c r="A873" s="12"/>
      <c r="C873" s="12"/>
      <c r="D873" s="13"/>
      <c r="F873" s="14"/>
      <c r="G873" s="14"/>
      <c r="H873" s="14"/>
      <c r="I873" s="14"/>
      <c r="J873" s="14"/>
      <c r="K873" s="12"/>
    </row>
    <row r="874" ht="19.5" customHeight="1">
      <c r="A874" s="12"/>
      <c r="C874" s="12"/>
      <c r="D874" s="13"/>
      <c r="F874" s="14"/>
      <c r="G874" s="14"/>
      <c r="H874" s="14"/>
      <c r="I874" s="14"/>
      <c r="J874" s="14"/>
      <c r="K874" s="12"/>
    </row>
    <row r="875" ht="19.5" customHeight="1">
      <c r="A875" s="12"/>
      <c r="C875" s="12"/>
      <c r="D875" s="13"/>
      <c r="F875" s="14"/>
      <c r="G875" s="14"/>
      <c r="H875" s="14"/>
      <c r="I875" s="14"/>
      <c r="J875" s="14"/>
      <c r="K875" s="12"/>
    </row>
    <row r="876" ht="19.5" customHeight="1">
      <c r="A876" s="12"/>
      <c r="C876" s="12"/>
      <c r="D876" s="13"/>
      <c r="F876" s="14"/>
      <c r="G876" s="14"/>
      <c r="H876" s="14"/>
      <c r="I876" s="14"/>
      <c r="J876" s="14"/>
      <c r="K876" s="12"/>
    </row>
    <row r="877" ht="19.5" customHeight="1">
      <c r="A877" s="12"/>
      <c r="C877" s="12"/>
      <c r="D877" s="13"/>
      <c r="F877" s="14"/>
      <c r="G877" s="14"/>
      <c r="H877" s="14"/>
      <c r="I877" s="14"/>
      <c r="J877" s="14"/>
      <c r="K877" s="12"/>
    </row>
    <row r="878" ht="19.5" customHeight="1">
      <c r="A878" s="12"/>
      <c r="C878" s="12"/>
      <c r="D878" s="13"/>
      <c r="F878" s="14"/>
      <c r="G878" s="14"/>
      <c r="H878" s="14"/>
      <c r="I878" s="14"/>
      <c r="J878" s="14"/>
      <c r="K878" s="12"/>
    </row>
    <row r="879" ht="19.5" customHeight="1">
      <c r="A879" s="12"/>
      <c r="C879" s="12"/>
      <c r="D879" s="13"/>
      <c r="F879" s="14"/>
      <c r="G879" s="14"/>
      <c r="H879" s="14"/>
      <c r="I879" s="14"/>
      <c r="J879" s="14"/>
      <c r="K879" s="12"/>
    </row>
    <row r="880" ht="19.5" customHeight="1">
      <c r="A880" s="12"/>
      <c r="C880" s="12"/>
      <c r="D880" s="13"/>
      <c r="F880" s="14"/>
      <c r="G880" s="14"/>
      <c r="H880" s="14"/>
      <c r="I880" s="14"/>
      <c r="J880" s="14"/>
      <c r="K880" s="12"/>
    </row>
    <row r="881" ht="19.5" customHeight="1">
      <c r="A881" s="12"/>
      <c r="C881" s="12"/>
      <c r="D881" s="13"/>
      <c r="F881" s="14"/>
      <c r="G881" s="14"/>
      <c r="H881" s="14"/>
      <c r="I881" s="14"/>
      <c r="J881" s="14"/>
      <c r="K881" s="12"/>
    </row>
    <row r="882" ht="19.5" customHeight="1">
      <c r="A882" s="12"/>
      <c r="C882" s="12"/>
      <c r="D882" s="13"/>
      <c r="F882" s="14"/>
      <c r="G882" s="14"/>
      <c r="H882" s="14"/>
      <c r="I882" s="14"/>
      <c r="J882" s="14"/>
      <c r="K882" s="12"/>
    </row>
    <row r="883" ht="19.5" customHeight="1">
      <c r="A883" s="12"/>
      <c r="C883" s="12"/>
      <c r="D883" s="13"/>
      <c r="F883" s="14"/>
      <c r="G883" s="14"/>
      <c r="H883" s="14"/>
      <c r="I883" s="14"/>
      <c r="J883" s="14"/>
      <c r="K883" s="12"/>
    </row>
    <row r="884" ht="19.5" customHeight="1">
      <c r="A884" s="12"/>
      <c r="C884" s="12"/>
      <c r="D884" s="13"/>
      <c r="F884" s="14"/>
      <c r="G884" s="14"/>
      <c r="H884" s="14"/>
      <c r="I884" s="14"/>
      <c r="J884" s="14"/>
      <c r="K884" s="12"/>
    </row>
    <row r="885" ht="19.5" customHeight="1">
      <c r="A885" s="12"/>
      <c r="C885" s="12"/>
      <c r="D885" s="13"/>
      <c r="F885" s="14"/>
      <c r="G885" s="14"/>
      <c r="H885" s="14"/>
      <c r="I885" s="14"/>
      <c r="J885" s="14"/>
      <c r="K885" s="12"/>
    </row>
    <row r="886" ht="19.5" customHeight="1">
      <c r="A886" s="12"/>
      <c r="C886" s="12"/>
      <c r="D886" s="13"/>
      <c r="F886" s="14"/>
      <c r="G886" s="14"/>
      <c r="H886" s="14"/>
      <c r="I886" s="14"/>
      <c r="J886" s="14"/>
      <c r="K886" s="12"/>
    </row>
    <row r="887" ht="19.5" customHeight="1">
      <c r="A887" s="12"/>
      <c r="C887" s="12"/>
      <c r="D887" s="13"/>
      <c r="F887" s="14"/>
      <c r="G887" s="14"/>
      <c r="H887" s="14"/>
      <c r="I887" s="14"/>
      <c r="J887" s="14"/>
      <c r="K887" s="12"/>
    </row>
    <row r="888" ht="19.5" customHeight="1">
      <c r="A888" s="12"/>
      <c r="C888" s="12"/>
      <c r="D888" s="13"/>
      <c r="F888" s="14"/>
      <c r="G888" s="14"/>
      <c r="H888" s="14"/>
      <c r="I888" s="14"/>
      <c r="J888" s="14"/>
      <c r="K888" s="12"/>
    </row>
    <row r="889" ht="19.5" customHeight="1">
      <c r="A889" s="12"/>
      <c r="C889" s="12"/>
      <c r="D889" s="13"/>
      <c r="F889" s="14"/>
      <c r="G889" s="14"/>
      <c r="H889" s="14"/>
      <c r="I889" s="14"/>
      <c r="J889" s="14"/>
      <c r="K889" s="12"/>
    </row>
    <row r="890" ht="19.5" customHeight="1">
      <c r="A890" s="12"/>
      <c r="C890" s="12"/>
      <c r="D890" s="13"/>
      <c r="F890" s="14"/>
      <c r="G890" s="14"/>
      <c r="H890" s="14"/>
      <c r="I890" s="14"/>
      <c r="J890" s="14"/>
      <c r="K890" s="12"/>
    </row>
    <row r="891" ht="19.5" customHeight="1">
      <c r="A891" s="12"/>
      <c r="C891" s="12"/>
      <c r="D891" s="13"/>
      <c r="F891" s="14"/>
      <c r="G891" s="14"/>
      <c r="H891" s="14"/>
      <c r="I891" s="14"/>
      <c r="J891" s="14"/>
      <c r="K891" s="12"/>
    </row>
    <row r="892" ht="19.5" customHeight="1">
      <c r="A892" s="12"/>
      <c r="C892" s="12"/>
      <c r="D892" s="13"/>
      <c r="F892" s="14"/>
      <c r="G892" s="14"/>
      <c r="H892" s="14"/>
      <c r="I892" s="14"/>
      <c r="J892" s="14"/>
      <c r="K892" s="12"/>
    </row>
    <row r="893" ht="19.5" customHeight="1">
      <c r="A893" s="12"/>
      <c r="C893" s="12"/>
      <c r="D893" s="13"/>
      <c r="F893" s="14"/>
      <c r="G893" s="14"/>
      <c r="H893" s="14"/>
      <c r="I893" s="14"/>
      <c r="J893" s="14"/>
      <c r="K893" s="12"/>
    </row>
    <row r="894" ht="19.5" customHeight="1">
      <c r="A894" s="12"/>
      <c r="C894" s="12"/>
      <c r="D894" s="13"/>
      <c r="F894" s="14"/>
      <c r="G894" s="14"/>
      <c r="H894" s="14"/>
      <c r="I894" s="14"/>
      <c r="J894" s="14"/>
      <c r="K894" s="12"/>
    </row>
    <row r="895" ht="19.5" customHeight="1">
      <c r="A895" s="12"/>
      <c r="C895" s="12"/>
      <c r="D895" s="13"/>
      <c r="F895" s="14"/>
      <c r="G895" s="14"/>
      <c r="H895" s="14"/>
      <c r="I895" s="14"/>
      <c r="J895" s="14"/>
      <c r="K895" s="12"/>
    </row>
    <row r="896" ht="19.5" customHeight="1">
      <c r="A896" s="12"/>
      <c r="C896" s="12"/>
      <c r="D896" s="13"/>
      <c r="F896" s="14"/>
      <c r="G896" s="14"/>
      <c r="H896" s="14"/>
      <c r="I896" s="14"/>
      <c r="J896" s="14"/>
      <c r="K896" s="12"/>
    </row>
    <row r="897" ht="19.5" customHeight="1">
      <c r="A897" s="12"/>
      <c r="C897" s="12"/>
      <c r="D897" s="13"/>
      <c r="F897" s="14"/>
      <c r="G897" s="14"/>
      <c r="H897" s="14"/>
      <c r="I897" s="14"/>
      <c r="J897" s="14"/>
      <c r="K897" s="12"/>
    </row>
    <row r="898" ht="19.5" customHeight="1">
      <c r="A898" s="12"/>
      <c r="C898" s="12"/>
      <c r="D898" s="13"/>
      <c r="F898" s="14"/>
      <c r="G898" s="14"/>
      <c r="H898" s="14"/>
      <c r="I898" s="14"/>
      <c r="J898" s="14"/>
      <c r="K898" s="12"/>
    </row>
    <row r="899" ht="19.5" customHeight="1">
      <c r="A899" s="12"/>
      <c r="C899" s="12"/>
      <c r="D899" s="13"/>
      <c r="F899" s="14"/>
      <c r="G899" s="14"/>
      <c r="H899" s="14"/>
      <c r="I899" s="14"/>
      <c r="J899" s="14"/>
      <c r="K899" s="12"/>
    </row>
    <row r="900" ht="19.5" customHeight="1">
      <c r="A900" s="12"/>
      <c r="C900" s="12"/>
      <c r="D900" s="13"/>
      <c r="F900" s="14"/>
      <c r="G900" s="14"/>
      <c r="H900" s="14"/>
      <c r="I900" s="14"/>
      <c r="J900" s="14"/>
      <c r="K900" s="12"/>
    </row>
    <row r="901" ht="19.5" customHeight="1">
      <c r="A901" s="12"/>
      <c r="C901" s="12"/>
      <c r="D901" s="13"/>
      <c r="F901" s="14"/>
      <c r="G901" s="14"/>
      <c r="H901" s="14"/>
      <c r="I901" s="14"/>
      <c r="J901" s="14"/>
      <c r="K901" s="12"/>
    </row>
    <row r="902" ht="19.5" customHeight="1">
      <c r="A902" s="12"/>
      <c r="C902" s="12"/>
      <c r="D902" s="13"/>
      <c r="F902" s="14"/>
      <c r="G902" s="14"/>
      <c r="H902" s="14"/>
      <c r="I902" s="14"/>
      <c r="J902" s="14"/>
      <c r="K902" s="12"/>
    </row>
    <row r="903" ht="19.5" customHeight="1">
      <c r="A903" s="12"/>
      <c r="C903" s="12"/>
      <c r="D903" s="13"/>
      <c r="F903" s="14"/>
      <c r="G903" s="14"/>
      <c r="H903" s="14"/>
      <c r="I903" s="14"/>
      <c r="J903" s="14"/>
      <c r="K903" s="12"/>
    </row>
    <row r="904" ht="19.5" customHeight="1">
      <c r="A904" s="12"/>
      <c r="C904" s="12"/>
      <c r="D904" s="13"/>
      <c r="F904" s="14"/>
      <c r="G904" s="14"/>
      <c r="H904" s="14"/>
      <c r="I904" s="14"/>
      <c r="J904" s="14"/>
      <c r="K904" s="12"/>
    </row>
    <row r="905" ht="19.5" customHeight="1">
      <c r="A905" s="12"/>
      <c r="C905" s="12"/>
      <c r="D905" s="13"/>
      <c r="F905" s="14"/>
      <c r="G905" s="14"/>
      <c r="H905" s="14"/>
      <c r="I905" s="14"/>
      <c r="J905" s="14"/>
      <c r="K905" s="12"/>
    </row>
    <row r="906" ht="19.5" customHeight="1">
      <c r="A906" s="12"/>
      <c r="C906" s="12"/>
      <c r="D906" s="13"/>
      <c r="F906" s="14"/>
      <c r="G906" s="14"/>
      <c r="H906" s="14"/>
      <c r="I906" s="14"/>
      <c r="J906" s="14"/>
      <c r="K906" s="12"/>
    </row>
    <row r="907" ht="19.5" customHeight="1">
      <c r="A907" s="12"/>
      <c r="C907" s="12"/>
      <c r="D907" s="13"/>
      <c r="F907" s="14"/>
      <c r="G907" s="14"/>
      <c r="H907" s="14"/>
      <c r="I907" s="14"/>
      <c r="J907" s="14"/>
      <c r="K907" s="12"/>
    </row>
    <row r="908" ht="19.5" customHeight="1">
      <c r="A908" s="12"/>
      <c r="C908" s="12"/>
      <c r="D908" s="13"/>
      <c r="F908" s="14"/>
      <c r="G908" s="14"/>
      <c r="H908" s="14"/>
      <c r="I908" s="14"/>
      <c r="J908" s="14"/>
      <c r="K908" s="12"/>
    </row>
    <row r="909" ht="19.5" customHeight="1">
      <c r="A909" s="12"/>
      <c r="C909" s="12"/>
      <c r="D909" s="13"/>
      <c r="F909" s="14"/>
      <c r="G909" s="14"/>
      <c r="H909" s="14"/>
      <c r="I909" s="14"/>
      <c r="J909" s="14"/>
      <c r="K909" s="12"/>
    </row>
    <row r="910" ht="19.5" customHeight="1">
      <c r="A910" s="12"/>
      <c r="C910" s="12"/>
      <c r="D910" s="13"/>
      <c r="F910" s="14"/>
      <c r="G910" s="14"/>
      <c r="H910" s="14"/>
      <c r="I910" s="14"/>
      <c r="J910" s="14"/>
      <c r="K910" s="12"/>
    </row>
    <row r="911" ht="19.5" customHeight="1">
      <c r="A911" s="12"/>
      <c r="C911" s="12"/>
      <c r="D911" s="13"/>
      <c r="F911" s="14"/>
      <c r="G911" s="14"/>
      <c r="H911" s="14"/>
      <c r="I911" s="14"/>
      <c r="J911" s="14"/>
      <c r="K911" s="12"/>
    </row>
    <row r="912" ht="19.5" customHeight="1">
      <c r="A912" s="12"/>
      <c r="C912" s="12"/>
      <c r="D912" s="13"/>
      <c r="F912" s="14"/>
      <c r="G912" s="14"/>
      <c r="H912" s="14"/>
      <c r="I912" s="14"/>
      <c r="J912" s="14"/>
      <c r="K912" s="12"/>
    </row>
    <row r="913" ht="19.5" customHeight="1">
      <c r="A913" s="12"/>
      <c r="C913" s="12"/>
      <c r="D913" s="13"/>
      <c r="F913" s="14"/>
      <c r="G913" s="14"/>
      <c r="H913" s="14"/>
      <c r="I913" s="14"/>
      <c r="J913" s="14"/>
      <c r="K913" s="12"/>
    </row>
    <row r="914" ht="19.5" customHeight="1">
      <c r="A914" s="12"/>
      <c r="C914" s="12"/>
      <c r="D914" s="13"/>
      <c r="F914" s="14"/>
      <c r="G914" s="14"/>
      <c r="H914" s="14"/>
      <c r="I914" s="14"/>
      <c r="J914" s="14"/>
      <c r="K914" s="12"/>
    </row>
    <row r="915" ht="19.5" customHeight="1">
      <c r="A915" s="12"/>
      <c r="C915" s="12"/>
      <c r="D915" s="13"/>
      <c r="F915" s="14"/>
      <c r="G915" s="14"/>
      <c r="H915" s="14"/>
      <c r="I915" s="14"/>
      <c r="J915" s="14"/>
      <c r="K915" s="12"/>
    </row>
    <row r="916" ht="19.5" customHeight="1">
      <c r="A916" s="12"/>
      <c r="C916" s="12"/>
      <c r="D916" s="13"/>
      <c r="F916" s="14"/>
      <c r="G916" s="14"/>
      <c r="H916" s="14"/>
      <c r="I916" s="14"/>
      <c r="J916" s="14"/>
      <c r="K916" s="12"/>
    </row>
    <row r="917" ht="19.5" customHeight="1">
      <c r="A917" s="12"/>
      <c r="C917" s="12"/>
      <c r="D917" s="13"/>
      <c r="F917" s="14"/>
      <c r="G917" s="14"/>
      <c r="H917" s="14"/>
      <c r="I917" s="14"/>
      <c r="J917" s="14"/>
      <c r="K917" s="12"/>
    </row>
    <row r="918" ht="19.5" customHeight="1">
      <c r="A918" s="12"/>
      <c r="C918" s="12"/>
      <c r="D918" s="13"/>
      <c r="F918" s="14"/>
      <c r="G918" s="14"/>
      <c r="H918" s="14"/>
      <c r="I918" s="14"/>
      <c r="J918" s="14"/>
      <c r="K918" s="12"/>
    </row>
    <row r="919" ht="19.5" customHeight="1">
      <c r="A919" s="12"/>
      <c r="C919" s="12"/>
      <c r="D919" s="13"/>
      <c r="F919" s="14"/>
      <c r="G919" s="14"/>
      <c r="H919" s="14"/>
      <c r="I919" s="14"/>
      <c r="J919" s="14"/>
      <c r="K919" s="12"/>
    </row>
    <row r="920" ht="19.5" customHeight="1">
      <c r="A920" s="12"/>
      <c r="C920" s="12"/>
      <c r="D920" s="13"/>
      <c r="F920" s="14"/>
      <c r="G920" s="14"/>
      <c r="H920" s="14"/>
      <c r="I920" s="14"/>
      <c r="J920" s="14"/>
      <c r="K920" s="12"/>
    </row>
    <row r="921" ht="19.5" customHeight="1">
      <c r="A921" s="12"/>
      <c r="C921" s="12"/>
      <c r="D921" s="13"/>
      <c r="F921" s="14"/>
      <c r="G921" s="14"/>
      <c r="H921" s="14"/>
      <c r="I921" s="14"/>
      <c r="J921" s="14"/>
      <c r="K921" s="12"/>
    </row>
    <row r="922" ht="19.5" customHeight="1">
      <c r="A922" s="12"/>
      <c r="C922" s="12"/>
      <c r="D922" s="13"/>
      <c r="F922" s="14"/>
      <c r="G922" s="14"/>
      <c r="H922" s="14"/>
      <c r="I922" s="14"/>
      <c r="J922" s="14"/>
      <c r="K922" s="12"/>
    </row>
    <row r="923" ht="19.5" customHeight="1">
      <c r="A923" s="12"/>
      <c r="C923" s="12"/>
      <c r="D923" s="13"/>
      <c r="F923" s="14"/>
      <c r="G923" s="14"/>
      <c r="H923" s="14"/>
      <c r="I923" s="14"/>
      <c r="J923" s="14"/>
      <c r="K923" s="12"/>
    </row>
    <row r="924" ht="19.5" customHeight="1">
      <c r="A924" s="12"/>
      <c r="C924" s="12"/>
      <c r="D924" s="13"/>
      <c r="F924" s="14"/>
      <c r="G924" s="14"/>
      <c r="H924" s="14"/>
      <c r="I924" s="14"/>
      <c r="J924" s="14"/>
      <c r="K924" s="12"/>
    </row>
    <row r="925" ht="19.5" customHeight="1">
      <c r="A925" s="12"/>
      <c r="C925" s="12"/>
      <c r="D925" s="13"/>
      <c r="F925" s="14"/>
      <c r="G925" s="14"/>
      <c r="H925" s="14"/>
      <c r="I925" s="14"/>
      <c r="J925" s="14"/>
      <c r="K925" s="12"/>
    </row>
    <row r="926" ht="19.5" customHeight="1">
      <c r="A926" s="12"/>
      <c r="C926" s="12"/>
      <c r="D926" s="13"/>
      <c r="F926" s="14"/>
      <c r="G926" s="14"/>
      <c r="H926" s="14"/>
      <c r="I926" s="14"/>
      <c r="J926" s="14"/>
      <c r="K926" s="12"/>
    </row>
    <row r="927" ht="19.5" customHeight="1">
      <c r="A927" s="12"/>
      <c r="C927" s="12"/>
      <c r="D927" s="13"/>
      <c r="F927" s="14"/>
      <c r="G927" s="14"/>
      <c r="H927" s="14"/>
      <c r="I927" s="14"/>
      <c r="J927" s="14"/>
      <c r="K927" s="12"/>
    </row>
    <row r="928" ht="19.5" customHeight="1">
      <c r="A928" s="12"/>
      <c r="C928" s="12"/>
      <c r="D928" s="13"/>
      <c r="F928" s="14"/>
      <c r="G928" s="14"/>
      <c r="H928" s="14"/>
      <c r="I928" s="14"/>
      <c r="J928" s="14"/>
      <c r="K928" s="12"/>
    </row>
    <row r="929" ht="19.5" customHeight="1">
      <c r="A929" s="12"/>
      <c r="C929" s="12"/>
      <c r="D929" s="13"/>
      <c r="F929" s="14"/>
      <c r="G929" s="14"/>
      <c r="H929" s="14"/>
      <c r="I929" s="14"/>
      <c r="J929" s="14"/>
      <c r="K929" s="12"/>
    </row>
    <row r="930" ht="19.5" customHeight="1">
      <c r="A930" s="12"/>
      <c r="C930" s="12"/>
      <c r="D930" s="13"/>
      <c r="F930" s="14"/>
      <c r="G930" s="14"/>
      <c r="H930" s="14"/>
      <c r="I930" s="14"/>
      <c r="J930" s="14"/>
      <c r="K930" s="12"/>
    </row>
    <row r="931" ht="19.5" customHeight="1">
      <c r="A931" s="12"/>
      <c r="C931" s="12"/>
      <c r="D931" s="13"/>
      <c r="F931" s="14"/>
      <c r="G931" s="14"/>
      <c r="H931" s="14"/>
      <c r="I931" s="14"/>
      <c r="J931" s="14"/>
      <c r="K931" s="12"/>
    </row>
    <row r="932" ht="19.5" customHeight="1">
      <c r="A932" s="12"/>
      <c r="C932" s="12"/>
      <c r="D932" s="13"/>
      <c r="F932" s="14"/>
      <c r="G932" s="14"/>
      <c r="H932" s="14"/>
      <c r="I932" s="14"/>
      <c r="J932" s="14"/>
      <c r="K932" s="12"/>
    </row>
    <row r="933" ht="19.5" customHeight="1">
      <c r="A933" s="12"/>
      <c r="C933" s="12"/>
      <c r="D933" s="13"/>
      <c r="F933" s="14"/>
      <c r="G933" s="14"/>
      <c r="H933" s="14"/>
      <c r="I933" s="14"/>
      <c r="J933" s="14"/>
      <c r="K933" s="12"/>
    </row>
    <row r="934" ht="19.5" customHeight="1">
      <c r="A934" s="12"/>
      <c r="C934" s="12"/>
      <c r="D934" s="13"/>
      <c r="F934" s="14"/>
      <c r="G934" s="14"/>
      <c r="H934" s="14"/>
      <c r="I934" s="14"/>
      <c r="J934" s="14"/>
      <c r="K934" s="12"/>
    </row>
    <row r="935" ht="19.5" customHeight="1">
      <c r="A935" s="12"/>
      <c r="C935" s="12"/>
      <c r="D935" s="13"/>
      <c r="F935" s="14"/>
      <c r="G935" s="14"/>
      <c r="H935" s="14"/>
      <c r="I935" s="14"/>
      <c r="J935" s="14"/>
      <c r="K935" s="12"/>
    </row>
    <row r="936" ht="19.5" customHeight="1">
      <c r="A936" s="12"/>
      <c r="C936" s="12"/>
      <c r="D936" s="13"/>
      <c r="F936" s="14"/>
      <c r="G936" s="14"/>
      <c r="H936" s="14"/>
      <c r="I936" s="14"/>
      <c r="J936" s="14"/>
      <c r="K936" s="12"/>
    </row>
    <row r="937" ht="19.5" customHeight="1">
      <c r="A937" s="12"/>
      <c r="C937" s="12"/>
      <c r="D937" s="13"/>
      <c r="F937" s="14"/>
      <c r="G937" s="14"/>
      <c r="H937" s="14"/>
      <c r="I937" s="14"/>
      <c r="J937" s="14"/>
      <c r="K937" s="12"/>
    </row>
    <row r="938" ht="19.5" customHeight="1">
      <c r="A938" s="12"/>
      <c r="C938" s="12"/>
      <c r="D938" s="13"/>
      <c r="F938" s="14"/>
      <c r="G938" s="14"/>
      <c r="H938" s="14"/>
      <c r="I938" s="14"/>
      <c r="J938" s="14"/>
      <c r="K938" s="12"/>
    </row>
    <row r="939" ht="19.5" customHeight="1">
      <c r="A939" s="12"/>
      <c r="C939" s="12"/>
      <c r="D939" s="13"/>
      <c r="F939" s="14"/>
      <c r="G939" s="14"/>
      <c r="H939" s="14"/>
      <c r="I939" s="14"/>
      <c r="J939" s="14"/>
      <c r="K939" s="12"/>
    </row>
    <row r="940" ht="19.5" customHeight="1">
      <c r="A940" s="12"/>
      <c r="C940" s="12"/>
      <c r="D940" s="13"/>
      <c r="F940" s="14"/>
      <c r="G940" s="14"/>
      <c r="H940" s="14"/>
      <c r="I940" s="14"/>
      <c r="J940" s="14"/>
      <c r="K940" s="12"/>
    </row>
    <row r="941" ht="19.5" customHeight="1">
      <c r="A941" s="12"/>
      <c r="C941" s="12"/>
      <c r="D941" s="13"/>
      <c r="F941" s="14"/>
      <c r="G941" s="14"/>
      <c r="H941" s="14"/>
      <c r="I941" s="14"/>
      <c r="J941" s="14"/>
      <c r="K941" s="12"/>
    </row>
    <row r="942" ht="19.5" customHeight="1">
      <c r="A942" s="12"/>
      <c r="C942" s="12"/>
      <c r="D942" s="13"/>
      <c r="F942" s="14"/>
      <c r="G942" s="14"/>
      <c r="H942" s="14"/>
      <c r="I942" s="14"/>
      <c r="J942" s="14"/>
      <c r="K942" s="12"/>
    </row>
    <row r="943" ht="19.5" customHeight="1">
      <c r="A943" s="12"/>
      <c r="C943" s="12"/>
      <c r="D943" s="13"/>
      <c r="F943" s="14"/>
      <c r="G943" s="14"/>
      <c r="H943" s="14"/>
      <c r="I943" s="14"/>
      <c r="J943" s="14"/>
      <c r="K943" s="12"/>
    </row>
    <row r="944" ht="19.5" customHeight="1">
      <c r="A944" s="12"/>
      <c r="C944" s="12"/>
      <c r="D944" s="13"/>
      <c r="F944" s="14"/>
      <c r="G944" s="14"/>
      <c r="H944" s="14"/>
      <c r="I944" s="14"/>
      <c r="J944" s="14"/>
      <c r="K944" s="12"/>
    </row>
    <row r="945" ht="19.5" customHeight="1">
      <c r="A945" s="12"/>
      <c r="C945" s="12"/>
      <c r="D945" s="13"/>
      <c r="F945" s="14"/>
      <c r="G945" s="14"/>
      <c r="H945" s="14"/>
      <c r="I945" s="14"/>
      <c r="J945" s="14"/>
      <c r="K945" s="12"/>
    </row>
    <row r="946" ht="19.5" customHeight="1">
      <c r="A946" s="12"/>
      <c r="C946" s="12"/>
      <c r="D946" s="13"/>
      <c r="F946" s="14"/>
      <c r="G946" s="14"/>
      <c r="H946" s="14"/>
      <c r="I946" s="14"/>
      <c r="J946" s="14"/>
      <c r="K946" s="12"/>
    </row>
    <row r="947" ht="19.5" customHeight="1">
      <c r="A947" s="12"/>
      <c r="C947" s="12"/>
      <c r="D947" s="13"/>
      <c r="F947" s="14"/>
      <c r="G947" s="14"/>
      <c r="H947" s="14"/>
      <c r="I947" s="14"/>
      <c r="J947" s="14"/>
      <c r="K947" s="12"/>
    </row>
    <row r="948" ht="19.5" customHeight="1">
      <c r="A948" s="12"/>
      <c r="C948" s="12"/>
      <c r="D948" s="13"/>
      <c r="F948" s="14"/>
      <c r="G948" s="14"/>
      <c r="H948" s="14"/>
      <c r="I948" s="14"/>
      <c r="J948" s="14"/>
      <c r="K948" s="12"/>
    </row>
    <row r="949" ht="19.5" customHeight="1">
      <c r="A949" s="12"/>
      <c r="C949" s="12"/>
      <c r="D949" s="13"/>
      <c r="F949" s="14"/>
      <c r="G949" s="14"/>
      <c r="H949" s="14"/>
      <c r="I949" s="14"/>
      <c r="J949" s="14"/>
      <c r="K949" s="12"/>
    </row>
    <row r="950" ht="19.5" customHeight="1">
      <c r="A950" s="12"/>
      <c r="C950" s="12"/>
      <c r="D950" s="13"/>
      <c r="F950" s="14"/>
      <c r="G950" s="14"/>
      <c r="H950" s="14"/>
      <c r="I950" s="14"/>
      <c r="J950" s="14"/>
      <c r="K950" s="12"/>
    </row>
    <row r="951" ht="19.5" customHeight="1">
      <c r="A951" s="12"/>
      <c r="C951" s="12"/>
      <c r="D951" s="13"/>
      <c r="F951" s="14"/>
      <c r="G951" s="14"/>
      <c r="H951" s="14"/>
      <c r="I951" s="14"/>
      <c r="J951" s="14"/>
      <c r="K951" s="12"/>
    </row>
    <row r="952" ht="19.5" customHeight="1">
      <c r="A952" s="12"/>
      <c r="C952" s="12"/>
      <c r="D952" s="13"/>
      <c r="F952" s="14"/>
      <c r="G952" s="14"/>
      <c r="H952" s="14"/>
      <c r="I952" s="14"/>
      <c r="J952" s="14"/>
      <c r="K952" s="12"/>
    </row>
    <row r="953" ht="19.5" customHeight="1">
      <c r="A953" s="12"/>
      <c r="C953" s="12"/>
      <c r="D953" s="13"/>
      <c r="F953" s="14"/>
      <c r="G953" s="14"/>
      <c r="H953" s="14"/>
      <c r="I953" s="14"/>
      <c r="J953" s="14"/>
      <c r="K953" s="12"/>
    </row>
    <row r="954" ht="19.5" customHeight="1">
      <c r="A954" s="12"/>
      <c r="C954" s="12"/>
      <c r="D954" s="13"/>
      <c r="F954" s="14"/>
      <c r="G954" s="14"/>
      <c r="H954" s="14"/>
      <c r="I954" s="14"/>
      <c r="J954" s="14"/>
      <c r="K954" s="12"/>
    </row>
    <row r="955" ht="19.5" customHeight="1">
      <c r="A955" s="12"/>
      <c r="C955" s="12"/>
      <c r="D955" s="13"/>
      <c r="F955" s="14"/>
      <c r="G955" s="14"/>
      <c r="H955" s="14"/>
      <c r="I955" s="14"/>
      <c r="J955" s="14"/>
      <c r="K955" s="12"/>
    </row>
    <row r="956" ht="19.5" customHeight="1">
      <c r="A956" s="12"/>
      <c r="C956" s="12"/>
      <c r="D956" s="13"/>
      <c r="F956" s="14"/>
      <c r="G956" s="14"/>
      <c r="H956" s="14"/>
      <c r="I956" s="14"/>
      <c r="J956" s="14"/>
      <c r="K956" s="12"/>
    </row>
    <row r="957" ht="19.5" customHeight="1">
      <c r="A957" s="12"/>
      <c r="C957" s="12"/>
      <c r="D957" s="13"/>
      <c r="F957" s="14"/>
      <c r="G957" s="14"/>
      <c r="H957" s="14"/>
      <c r="I957" s="14"/>
      <c r="J957" s="14"/>
      <c r="K957" s="12"/>
    </row>
    <row r="958" ht="19.5" customHeight="1">
      <c r="A958" s="12"/>
      <c r="C958" s="12"/>
      <c r="D958" s="13"/>
      <c r="F958" s="14"/>
      <c r="G958" s="14"/>
      <c r="H958" s="14"/>
      <c r="I958" s="14"/>
      <c r="J958" s="14"/>
      <c r="K958" s="12"/>
    </row>
    <row r="959" ht="19.5" customHeight="1">
      <c r="A959" s="12"/>
      <c r="C959" s="12"/>
      <c r="D959" s="13"/>
      <c r="F959" s="14"/>
      <c r="G959" s="14"/>
      <c r="H959" s="14"/>
      <c r="I959" s="14"/>
      <c r="J959" s="14"/>
      <c r="K959" s="12"/>
    </row>
    <row r="960" ht="19.5" customHeight="1">
      <c r="A960" s="12"/>
      <c r="C960" s="12"/>
      <c r="D960" s="13"/>
      <c r="F960" s="14"/>
      <c r="G960" s="14"/>
      <c r="H960" s="14"/>
      <c r="I960" s="14"/>
      <c r="J960" s="14"/>
      <c r="K960" s="12"/>
    </row>
    <row r="961" ht="19.5" customHeight="1">
      <c r="A961" s="12"/>
      <c r="C961" s="12"/>
      <c r="D961" s="13"/>
      <c r="F961" s="14"/>
      <c r="G961" s="14"/>
      <c r="H961" s="14"/>
      <c r="I961" s="14"/>
      <c r="J961" s="14"/>
      <c r="K961" s="12"/>
    </row>
    <row r="962" ht="19.5" customHeight="1">
      <c r="A962" s="12"/>
      <c r="C962" s="12"/>
      <c r="D962" s="13"/>
      <c r="F962" s="14"/>
      <c r="G962" s="14"/>
      <c r="H962" s="14"/>
      <c r="I962" s="14"/>
      <c r="J962" s="14"/>
      <c r="K962" s="12"/>
    </row>
    <row r="963" ht="19.5" customHeight="1">
      <c r="A963" s="12"/>
      <c r="C963" s="12"/>
      <c r="D963" s="13"/>
      <c r="F963" s="14"/>
      <c r="G963" s="14"/>
      <c r="H963" s="14"/>
      <c r="I963" s="14"/>
      <c r="J963" s="14"/>
      <c r="K963" s="12"/>
    </row>
    <row r="964" ht="19.5" customHeight="1">
      <c r="A964" s="12"/>
      <c r="C964" s="12"/>
      <c r="D964" s="13"/>
      <c r="F964" s="14"/>
      <c r="G964" s="14"/>
      <c r="H964" s="14"/>
      <c r="I964" s="14"/>
      <c r="J964" s="14"/>
      <c r="K964" s="12"/>
    </row>
    <row r="965" ht="19.5" customHeight="1">
      <c r="A965" s="12"/>
      <c r="C965" s="12"/>
      <c r="D965" s="13"/>
      <c r="F965" s="14"/>
      <c r="G965" s="14"/>
      <c r="H965" s="14"/>
      <c r="I965" s="14"/>
      <c r="J965" s="14"/>
      <c r="K965" s="12"/>
    </row>
    <row r="966" ht="19.5" customHeight="1">
      <c r="A966" s="12"/>
      <c r="C966" s="12"/>
      <c r="D966" s="13"/>
      <c r="F966" s="14"/>
      <c r="G966" s="14"/>
      <c r="H966" s="14"/>
      <c r="I966" s="14"/>
      <c r="J966" s="14"/>
      <c r="K966" s="12"/>
    </row>
    <row r="967" ht="19.5" customHeight="1">
      <c r="A967" s="12"/>
      <c r="C967" s="12"/>
      <c r="D967" s="13"/>
      <c r="F967" s="14"/>
      <c r="G967" s="14"/>
      <c r="H967" s="14"/>
      <c r="I967" s="14"/>
      <c r="J967" s="14"/>
      <c r="K967" s="12"/>
    </row>
    <row r="968" ht="19.5" customHeight="1">
      <c r="A968" s="12"/>
      <c r="C968" s="12"/>
      <c r="D968" s="13"/>
      <c r="F968" s="14"/>
      <c r="G968" s="14"/>
      <c r="H968" s="14"/>
      <c r="I968" s="14"/>
      <c r="J968" s="14"/>
      <c r="K968" s="12"/>
    </row>
    <row r="969" ht="19.5" customHeight="1">
      <c r="A969" s="12"/>
      <c r="C969" s="12"/>
      <c r="D969" s="13"/>
      <c r="F969" s="14"/>
      <c r="G969" s="14"/>
      <c r="H969" s="14"/>
      <c r="I969" s="14"/>
      <c r="J969" s="14"/>
      <c r="K969" s="12"/>
    </row>
    <row r="970" ht="19.5" customHeight="1">
      <c r="A970" s="12"/>
      <c r="C970" s="12"/>
      <c r="D970" s="13"/>
      <c r="F970" s="14"/>
      <c r="G970" s="14"/>
      <c r="H970" s="14"/>
      <c r="I970" s="14"/>
      <c r="J970" s="14"/>
      <c r="K970" s="12"/>
    </row>
    <row r="971" ht="19.5" customHeight="1">
      <c r="A971" s="12"/>
      <c r="C971" s="12"/>
      <c r="D971" s="13"/>
      <c r="F971" s="14"/>
      <c r="G971" s="14"/>
      <c r="H971" s="14"/>
      <c r="I971" s="14"/>
      <c r="J971" s="14"/>
      <c r="K971" s="12"/>
    </row>
    <row r="972" ht="19.5" customHeight="1">
      <c r="A972" s="12"/>
      <c r="C972" s="12"/>
      <c r="D972" s="13"/>
      <c r="F972" s="14"/>
      <c r="G972" s="14"/>
      <c r="H972" s="14"/>
      <c r="I972" s="14"/>
      <c r="J972" s="14"/>
      <c r="K972" s="12"/>
    </row>
    <row r="973" ht="19.5" customHeight="1">
      <c r="A973" s="12"/>
      <c r="C973" s="12"/>
      <c r="D973" s="13"/>
      <c r="F973" s="14"/>
      <c r="G973" s="14"/>
      <c r="H973" s="14"/>
      <c r="I973" s="14"/>
      <c r="J973" s="14"/>
      <c r="K973" s="12"/>
    </row>
    <row r="974" ht="19.5" customHeight="1">
      <c r="A974" s="12"/>
      <c r="C974" s="12"/>
      <c r="D974" s="13"/>
      <c r="F974" s="14"/>
      <c r="G974" s="14"/>
      <c r="H974" s="14"/>
      <c r="I974" s="14"/>
      <c r="J974" s="14"/>
      <c r="K974" s="12"/>
    </row>
    <row r="975" ht="19.5" customHeight="1">
      <c r="A975" s="12"/>
      <c r="C975" s="12"/>
      <c r="D975" s="13"/>
      <c r="F975" s="14"/>
      <c r="G975" s="14"/>
      <c r="H975" s="14"/>
      <c r="I975" s="14"/>
      <c r="J975" s="14"/>
      <c r="K975" s="12"/>
    </row>
    <row r="976" ht="19.5" customHeight="1">
      <c r="A976" s="12"/>
      <c r="C976" s="12"/>
      <c r="D976" s="13"/>
      <c r="F976" s="14"/>
      <c r="G976" s="14"/>
      <c r="H976" s="14"/>
      <c r="I976" s="14"/>
      <c r="J976" s="14"/>
      <c r="K976" s="12"/>
    </row>
    <row r="977" ht="19.5" customHeight="1">
      <c r="A977" s="12"/>
      <c r="C977" s="12"/>
      <c r="D977" s="13"/>
      <c r="F977" s="14"/>
      <c r="G977" s="14"/>
      <c r="H977" s="14"/>
      <c r="I977" s="14"/>
      <c r="J977" s="14"/>
      <c r="K977" s="12"/>
    </row>
    <row r="978" ht="19.5" customHeight="1">
      <c r="A978" s="12"/>
      <c r="C978" s="12"/>
      <c r="D978" s="13"/>
      <c r="F978" s="14"/>
      <c r="G978" s="14"/>
      <c r="H978" s="14"/>
      <c r="I978" s="14"/>
      <c r="J978" s="14"/>
      <c r="K978" s="12"/>
    </row>
    <row r="979" ht="19.5" customHeight="1">
      <c r="A979" s="12"/>
      <c r="C979" s="12"/>
      <c r="D979" s="13"/>
      <c r="F979" s="14"/>
      <c r="G979" s="14"/>
      <c r="H979" s="14"/>
      <c r="I979" s="14"/>
      <c r="J979" s="14"/>
      <c r="K979" s="12"/>
    </row>
    <row r="980" ht="19.5" customHeight="1">
      <c r="A980" s="12"/>
      <c r="C980" s="12"/>
      <c r="D980" s="13"/>
      <c r="F980" s="14"/>
      <c r="G980" s="14"/>
      <c r="H980" s="14"/>
      <c r="I980" s="14"/>
      <c r="J980" s="14"/>
      <c r="K980" s="12"/>
    </row>
    <row r="981" ht="19.5" customHeight="1">
      <c r="A981" s="12"/>
      <c r="C981" s="12"/>
      <c r="D981" s="13"/>
      <c r="F981" s="14"/>
      <c r="G981" s="14"/>
      <c r="H981" s="14"/>
      <c r="I981" s="14"/>
      <c r="J981" s="14"/>
      <c r="K981" s="12"/>
    </row>
    <row r="982" ht="19.5" customHeight="1">
      <c r="A982" s="12"/>
      <c r="C982" s="12"/>
      <c r="D982" s="13"/>
      <c r="F982" s="14"/>
      <c r="G982" s="14"/>
      <c r="H982" s="14"/>
      <c r="I982" s="14"/>
      <c r="J982" s="14"/>
      <c r="K982" s="12"/>
    </row>
    <row r="983" ht="19.5" customHeight="1">
      <c r="A983" s="12"/>
      <c r="C983" s="12"/>
      <c r="D983" s="13"/>
      <c r="F983" s="14"/>
      <c r="G983" s="14"/>
      <c r="H983" s="14"/>
      <c r="I983" s="14"/>
      <c r="J983" s="14"/>
      <c r="K983" s="12"/>
    </row>
    <row r="984" ht="19.5" customHeight="1">
      <c r="A984" s="12"/>
      <c r="C984" s="12"/>
      <c r="D984" s="13"/>
      <c r="F984" s="14"/>
      <c r="G984" s="14"/>
      <c r="H984" s="14"/>
      <c r="I984" s="14"/>
      <c r="J984" s="14"/>
      <c r="K984" s="12"/>
    </row>
    <row r="985" ht="19.5" customHeight="1">
      <c r="A985" s="12"/>
      <c r="C985" s="12"/>
      <c r="D985" s="13"/>
      <c r="F985" s="14"/>
      <c r="G985" s="14"/>
      <c r="H985" s="14"/>
      <c r="I985" s="14"/>
      <c r="J985" s="14"/>
      <c r="K985" s="12"/>
    </row>
    <row r="986" ht="19.5" customHeight="1">
      <c r="A986" s="12"/>
      <c r="C986" s="12"/>
      <c r="D986" s="13"/>
      <c r="F986" s="14"/>
      <c r="G986" s="14"/>
      <c r="H986" s="14"/>
      <c r="I986" s="14"/>
      <c r="J986" s="14"/>
      <c r="K986" s="12"/>
    </row>
    <row r="987" ht="19.5" customHeight="1">
      <c r="A987" s="12"/>
      <c r="C987" s="12"/>
      <c r="D987" s="13"/>
      <c r="F987" s="14"/>
      <c r="G987" s="14"/>
      <c r="H987" s="14"/>
      <c r="I987" s="14"/>
      <c r="J987" s="14"/>
      <c r="K987" s="12"/>
    </row>
    <row r="988" ht="19.5" customHeight="1">
      <c r="A988" s="12"/>
      <c r="C988" s="12"/>
      <c r="D988" s="13"/>
      <c r="F988" s="14"/>
      <c r="G988" s="14"/>
      <c r="H988" s="14"/>
      <c r="I988" s="14"/>
      <c r="J988" s="14"/>
      <c r="K988" s="12"/>
    </row>
    <row r="989" ht="19.5" customHeight="1">
      <c r="A989" s="12"/>
      <c r="C989" s="12"/>
      <c r="D989" s="13"/>
      <c r="F989" s="14"/>
      <c r="G989" s="14"/>
      <c r="H989" s="14"/>
      <c r="I989" s="14"/>
      <c r="J989" s="14"/>
      <c r="K989" s="12"/>
    </row>
    <row r="990" ht="19.5" customHeight="1">
      <c r="A990" s="12"/>
      <c r="C990" s="12"/>
      <c r="D990" s="13"/>
      <c r="F990" s="14"/>
      <c r="G990" s="14"/>
      <c r="H990" s="14"/>
      <c r="I990" s="14"/>
      <c r="J990" s="14"/>
      <c r="K990" s="12"/>
    </row>
    <row r="991" ht="19.5" customHeight="1">
      <c r="A991" s="12"/>
      <c r="C991" s="12"/>
      <c r="D991" s="13"/>
      <c r="F991" s="14"/>
      <c r="G991" s="14"/>
      <c r="H991" s="14"/>
      <c r="I991" s="14"/>
      <c r="J991" s="14"/>
      <c r="K991" s="12"/>
    </row>
    <row r="992" ht="19.5" customHeight="1">
      <c r="A992" s="12"/>
      <c r="C992" s="12"/>
      <c r="D992" s="13"/>
      <c r="F992" s="14"/>
      <c r="G992" s="14"/>
      <c r="H992" s="14"/>
      <c r="I992" s="14"/>
      <c r="J992" s="14"/>
      <c r="K992" s="12"/>
    </row>
    <row r="993" ht="19.5" customHeight="1">
      <c r="A993" s="12"/>
      <c r="C993" s="12"/>
      <c r="D993" s="13"/>
      <c r="F993" s="14"/>
      <c r="G993" s="14"/>
      <c r="H993" s="14"/>
      <c r="I993" s="14"/>
      <c r="J993" s="14"/>
      <c r="K993" s="12"/>
    </row>
    <row r="994" ht="19.5" customHeight="1">
      <c r="A994" s="12"/>
      <c r="C994" s="12"/>
      <c r="D994" s="13"/>
      <c r="F994" s="14"/>
      <c r="G994" s="14"/>
      <c r="H994" s="14"/>
      <c r="I994" s="14"/>
      <c r="J994" s="14"/>
      <c r="K994" s="12"/>
    </row>
    <row r="995" ht="19.5" customHeight="1">
      <c r="A995" s="12"/>
      <c r="C995" s="12"/>
      <c r="D995" s="13"/>
      <c r="F995" s="14"/>
      <c r="G995" s="14"/>
      <c r="H995" s="14"/>
      <c r="I995" s="14"/>
      <c r="J995" s="14"/>
      <c r="K995" s="12"/>
    </row>
    <row r="996" ht="19.5" customHeight="1">
      <c r="A996" s="12"/>
      <c r="C996" s="12"/>
      <c r="D996" s="13"/>
      <c r="F996" s="14"/>
      <c r="G996" s="14"/>
      <c r="H996" s="14"/>
      <c r="I996" s="14"/>
      <c r="J996" s="14"/>
      <c r="K996" s="12"/>
    </row>
    <row r="997" ht="19.5" customHeight="1">
      <c r="A997" s="12"/>
      <c r="C997" s="12"/>
      <c r="D997" s="13"/>
      <c r="F997" s="14"/>
      <c r="G997" s="14"/>
      <c r="H997" s="14"/>
      <c r="I997" s="14"/>
      <c r="J997" s="14"/>
      <c r="K997" s="12"/>
    </row>
    <row r="998" ht="19.5" customHeight="1">
      <c r="A998" s="12"/>
      <c r="C998" s="12"/>
      <c r="D998" s="13"/>
      <c r="F998" s="14"/>
      <c r="G998" s="14"/>
      <c r="H998" s="14"/>
      <c r="I998" s="14"/>
      <c r="J998" s="14"/>
      <c r="K998" s="12"/>
    </row>
    <row r="999" ht="19.5" customHeight="1">
      <c r="A999" s="12"/>
      <c r="C999" s="12"/>
      <c r="D999" s="13"/>
      <c r="F999" s="14"/>
      <c r="G999" s="14"/>
      <c r="H999" s="14"/>
      <c r="I999" s="14"/>
      <c r="J999" s="14"/>
      <c r="K999" s="12"/>
    </row>
    <row r="1000" ht="19.5" customHeight="1">
      <c r="A1000" s="12"/>
      <c r="C1000" s="12"/>
      <c r="D1000" s="13"/>
      <c r="F1000" s="14"/>
      <c r="G1000" s="14"/>
      <c r="H1000" s="14"/>
      <c r="I1000" s="14"/>
      <c r="J1000" s="14"/>
      <c r="K1000" s="12"/>
    </row>
  </sheetData>
  <mergeCells count="12">
    <mergeCell ref="E9:G9"/>
    <mergeCell ref="J9:J10"/>
    <mergeCell ref="J15:J16"/>
    <mergeCell ref="J36:J37"/>
    <mergeCell ref="A6:K6"/>
    <mergeCell ref="A7:K7"/>
    <mergeCell ref="A8:K8"/>
    <mergeCell ref="A9:A10"/>
    <mergeCell ref="B9:B10"/>
    <mergeCell ref="C9:C10"/>
    <mergeCell ref="D9:D10"/>
    <mergeCell ref="K9:K10"/>
  </mergeCells>
  <printOptions/>
  <pageMargins bottom="0.787401575" footer="0.0" header="0.0" left="0.511811024" right="0.511811024" top="0.787401575"/>
  <pageSetup orientation="landscape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57.13"/>
    <col customWidth="1" min="3" max="3" width="9.13"/>
    <col customWidth="1" min="4" max="4" width="16.25"/>
    <col customWidth="1" min="5" max="5" width="25.0"/>
    <col customWidth="1" min="6" max="6" width="22.25"/>
    <col customWidth="1" min="7" max="8" width="23.88"/>
    <col customWidth="1" min="9" max="9" width="23.63"/>
    <col customWidth="1" min="10" max="10" width="20.63"/>
    <col customWidth="1" min="11" max="11" width="39.0"/>
    <col customWidth="1" min="12" max="26" width="8.63"/>
  </cols>
  <sheetData>
    <row r="1" ht="19.5" customHeight="1">
      <c r="A1" s="4"/>
      <c r="B1" s="5"/>
      <c r="C1" s="6"/>
      <c r="D1" s="7"/>
      <c r="E1" s="5"/>
      <c r="F1" s="8"/>
      <c r="G1" s="8"/>
      <c r="H1" s="8"/>
      <c r="I1" s="8"/>
      <c r="J1" s="8"/>
      <c r="K1" s="9"/>
    </row>
    <row r="2" ht="19.5" customHeight="1">
      <c r="A2" s="10" t="s">
        <v>83</v>
      </c>
      <c r="B2" s="11" t="s">
        <v>84</v>
      </c>
      <c r="C2" s="12"/>
      <c r="D2" s="13"/>
      <c r="F2" s="14"/>
      <c r="G2" s="14"/>
      <c r="H2" s="14"/>
      <c r="I2" s="14"/>
      <c r="J2" s="17" t="s">
        <v>144</v>
      </c>
      <c r="K2" s="18"/>
    </row>
    <row r="3" ht="19.5" customHeight="1">
      <c r="A3" s="10" t="s">
        <v>86</v>
      </c>
      <c r="B3" s="11" t="s">
        <v>87</v>
      </c>
      <c r="C3" s="12"/>
      <c r="D3" s="13"/>
      <c r="F3" s="14"/>
      <c r="G3" s="14"/>
      <c r="H3" s="14"/>
      <c r="I3" s="14"/>
      <c r="J3" s="14"/>
      <c r="K3" s="18"/>
    </row>
    <row r="4" ht="19.5" customHeight="1">
      <c r="A4" s="19"/>
      <c r="C4" s="12"/>
      <c r="D4" s="13"/>
      <c r="F4" s="14"/>
      <c r="G4" s="14"/>
      <c r="H4" s="14"/>
      <c r="I4" s="14"/>
      <c r="J4" s="14"/>
      <c r="K4" s="18"/>
    </row>
    <row r="5" ht="19.5" customHeight="1">
      <c r="A5" s="19"/>
      <c r="C5" s="12"/>
      <c r="D5" s="13"/>
      <c r="F5" s="14"/>
      <c r="G5" s="14"/>
      <c r="H5" s="14"/>
      <c r="I5" s="14"/>
      <c r="J5" s="14"/>
      <c r="K5" s="18"/>
    </row>
    <row r="6" ht="159.0" customHeight="1">
      <c r="A6" s="20" t="s">
        <v>1889</v>
      </c>
      <c r="K6" s="21"/>
    </row>
    <row r="7" ht="64.5" customHeight="1">
      <c r="A7" s="22" t="s">
        <v>1890</v>
      </c>
      <c r="K7" s="21"/>
    </row>
    <row r="8" ht="42.0" customHeight="1">
      <c r="A8" s="88" t="s">
        <v>90</v>
      </c>
      <c r="B8" s="24"/>
      <c r="C8" s="24"/>
      <c r="D8" s="24"/>
      <c r="E8" s="24"/>
      <c r="F8" s="24"/>
      <c r="G8" s="24"/>
      <c r="H8" s="24"/>
      <c r="I8" s="24"/>
      <c r="J8" s="24"/>
      <c r="K8" s="25"/>
    </row>
    <row r="9" ht="19.5" customHeight="1">
      <c r="A9" s="26" t="s">
        <v>1</v>
      </c>
      <c r="B9" s="26" t="s">
        <v>91</v>
      </c>
      <c r="C9" s="26" t="s">
        <v>92</v>
      </c>
      <c r="D9" s="26" t="s">
        <v>93</v>
      </c>
      <c r="E9" s="27" t="s">
        <v>94</v>
      </c>
      <c r="F9" s="28"/>
      <c r="G9" s="29"/>
      <c r="H9" s="30"/>
      <c r="I9" s="30"/>
      <c r="J9" s="31" t="s">
        <v>95</v>
      </c>
      <c r="K9" s="26" t="s">
        <v>96</v>
      </c>
    </row>
    <row r="10" ht="19.5" customHeight="1">
      <c r="A10" s="32"/>
      <c r="B10" s="32"/>
      <c r="C10" s="32"/>
      <c r="D10" s="32"/>
      <c r="E10" s="33" t="s">
        <v>97</v>
      </c>
      <c r="F10" s="34" t="s">
        <v>121</v>
      </c>
      <c r="G10" s="34" t="s">
        <v>99</v>
      </c>
      <c r="H10" s="35" t="s">
        <v>100</v>
      </c>
      <c r="I10" s="35" t="s">
        <v>101</v>
      </c>
      <c r="J10" s="32"/>
      <c r="K10" s="32"/>
    </row>
    <row r="11" ht="19.5" customHeight="1">
      <c r="A11" s="46">
        <v>1.0</v>
      </c>
      <c r="B11" s="37" t="s">
        <v>147</v>
      </c>
      <c r="C11" s="46" t="s">
        <v>148</v>
      </c>
      <c r="D11" s="78">
        <v>4.0</v>
      </c>
      <c r="E11" s="37">
        <v>2.0</v>
      </c>
      <c r="F11" s="40">
        <v>4.0</v>
      </c>
      <c r="G11" s="40">
        <v>4.0</v>
      </c>
      <c r="H11" s="40">
        <f>G11*F11*E11*D11</f>
        <v>128</v>
      </c>
      <c r="I11" s="42"/>
      <c r="J11" s="43">
        <f t="shared" ref="J11:J13" si="1">H11-I11</f>
        <v>128</v>
      </c>
      <c r="K11" s="46"/>
    </row>
    <row r="12" ht="19.5" customHeight="1">
      <c r="A12" s="46"/>
      <c r="B12" s="37"/>
      <c r="C12" s="46"/>
      <c r="D12" s="78"/>
      <c r="E12" s="37"/>
      <c r="F12" s="40"/>
      <c r="G12" s="40" t="s">
        <v>1858</v>
      </c>
      <c r="H12" s="40"/>
      <c r="I12" s="42"/>
      <c r="J12" s="43">
        <f t="shared" si="1"/>
        <v>0</v>
      </c>
      <c r="K12" s="79"/>
    </row>
    <row r="13" ht="19.5" customHeight="1">
      <c r="A13" s="46"/>
      <c r="B13" s="37"/>
      <c r="C13" s="46"/>
      <c r="D13" s="78"/>
      <c r="E13" s="37"/>
      <c r="F13" s="40"/>
      <c r="G13" s="40"/>
      <c r="H13" s="40"/>
      <c r="I13" s="42"/>
      <c r="J13" s="43">
        <f t="shared" si="1"/>
        <v>0</v>
      </c>
      <c r="K13" s="79"/>
    </row>
    <row r="14" ht="19.5" customHeight="1">
      <c r="A14" s="74" t="s">
        <v>1</v>
      </c>
      <c r="B14" s="74" t="s">
        <v>91</v>
      </c>
      <c r="C14" s="74" t="s">
        <v>92</v>
      </c>
      <c r="D14" s="74" t="s">
        <v>93</v>
      </c>
      <c r="E14" s="50" t="s">
        <v>97</v>
      </c>
      <c r="F14" s="53" t="s">
        <v>121</v>
      </c>
      <c r="G14" s="53" t="s">
        <v>99</v>
      </c>
      <c r="H14" s="75" t="s">
        <v>100</v>
      </c>
      <c r="I14" s="75" t="s">
        <v>101</v>
      </c>
      <c r="J14" s="76" t="s">
        <v>95</v>
      </c>
      <c r="K14" s="74" t="s">
        <v>96</v>
      </c>
    </row>
    <row r="15" ht="19.5" customHeight="1">
      <c r="A15" s="46">
        <v>1.0</v>
      </c>
      <c r="B15" s="37" t="s">
        <v>1320</v>
      </c>
      <c r="C15" s="46" t="s">
        <v>148</v>
      </c>
      <c r="D15" s="78">
        <v>4.0</v>
      </c>
      <c r="E15" s="37">
        <v>0.15</v>
      </c>
      <c r="F15" s="78">
        <v>4.0</v>
      </c>
      <c r="G15" s="40">
        <v>4.0</v>
      </c>
      <c r="H15" s="40">
        <f>G15*F15*E15*D15</f>
        <v>9.6</v>
      </c>
      <c r="I15" s="42"/>
      <c r="J15" s="264">
        <f>SUM(H15:H16)</f>
        <v>9.6</v>
      </c>
      <c r="K15" s="46"/>
    </row>
    <row r="16" ht="19.5" customHeight="1">
      <c r="A16" s="46"/>
      <c r="B16" s="37"/>
      <c r="C16" s="46"/>
      <c r="D16" s="78"/>
      <c r="E16" s="37"/>
      <c r="F16" s="78"/>
      <c r="G16" s="40"/>
      <c r="H16" s="40"/>
      <c r="I16" s="42"/>
      <c r="J16" s="32"/>
      <c r="K16" s="46"/>
    </row>
    <row r="17" ht="19.5" customHeight="1">
      <c r="A17" s="74" t="s">
        <v>1</v>
      </c>
      <c r="B17" s="74" t="s">
        <v>91</v>
      </c>
      <c r="C17" s="74" t="s">
        <v>92</v>
      </c>
      <c r="D17" s="74" t="s">
        <v>93</v>
      </c>
      <c r="E17" s="50" t="s">
        <v>97</v>
      </c>
      <c r="F17" s="53" t="s">
        <v>121</v>
      </c>
      <c r="G17" s="53" t="s">
        <v>99</v>
      </c>
      <c r="H17" s="75" t="s">
        <v>100</v>
      </c>
      <c r="I17" s="75" t="s">
        <v>101</v>
      </c>
      <c r="J17" s="76" t="s">
        <v>95</v>
      </c>
      <c r="K17" s="74" t="s">
        <v>96</v>
      </c>
    </row>
    <row r="18" ht="19.5" customHeight="1">
      <c r="A18" s="46">
        <v>1.0</v>
      </c>
      <c r="B18" s="37" t="s">
        <v>345</v>
      </c>
      <c r="C18" s="46" t="s">
        <v>148</v>
      </c>
      <c r="D18" s="78"/>
      <c r="E18" s="37"/>
      <c r="F18" s="78"/>
      <c r="G18" s="40"/>
      <c r="H18" s="40"/>
      <c r="I18" s="42"/>
      <c r="J18" s="40"/>
      <c r="K18" s="46"/>
    </row>
    <row r="19" ht="19.5" customHeight="1">
      <c r="A19" s="46"/>
      <c r="B19" s="37"/>
      <c r="C19" s="46"/>
      <c r="D19" s="78"/>
      <c r="E19" s="37"/>
      <c r="F19" s="78"/>
      <c r="G19" s="40"/>
      <c r="H19" s="40"/>
      <c r="I19" s="42"/>
      <c r="J19" s="43">
        <f>SUM(H18:H19)</f>
        <v>0</v>
      </c>
      <c r="K19" s="46"/>
    </row>
    <row r="20" ht="19.5" customHeight="1">
      <c r="A20" s="74" t="s">
        <v>1</v>
      </c>
      <c r="B20" s="74" t="s">
        <v>91</v>
      </c>
      <c r="C20" s="74" t="s">
        <v>92</v>
      </c>
      <c r="D20" s="74" t="s">
        <v>93</v>
      </c>
      <c r="E20" s="50" t="s">
        <v>347</v>
      </c>
      <c r="F20" s="53" t="s">
        <v>121</v>
      </c>
      <c r="G20" s="53" t="s">
        <v>99</v>
      </c>
      <c r="H20" s="75" t="s">
        <v>100</v>
      </c>
      <c r="I20" s="75" t="s">
        <v>101</v>
      </c>
      <c r="J20" s="76" t="s">
        <v>95</v>
      </c>
      <c r="K20" s="74" t="s">
        <v>96</v>
      </c>
    </row>
    <row r="21" ht="19.5" customHeight="1">
      <c r="A21" s="46">
        <v>1.0</v>
      </c>
      <c r="B21" s="37" t="s">
        <v>912</v>
      </c>
      <c r="C21" s="46" t="s">
        <v>103</v>
      </c>
      <c r="D21" s="78"/>
      <c r="E21" s="37"/>
      <c r="F21" s="40"/>
      <c r="G21" s="40"/>
      <c r="H21" s="40"/>
      <c r="I21" s="42"/>
      <c r="J21" s="107"/>
      <c r="K21" s="46" t="s">
        <v>1322</v>
      </c>
    </row>
    <row r="22" ht="19.5" customHeight="1">
      <c r="A22" s="74" t="s">
        <v>1</v>
      </c>
      <c r="B22" s="74" t="s">
        <v>91</v>
      </c>
      <c r="C22" s="74" t="s">
        <v>92</v>
      </c>
      <c r="D22" s="74" t="s">
        <v>93</v>
      </c>
      <c r="E22" s="50" t="s">
        <v>187</v>
      </c>
      <c r="F22" s="53"/>
      <c r="G22" s="53"/>
      <c r="H22" s="75" t="s">
        <v>100</v>
      </c>
      <c r="I22" s="75" t="s">
        <v>101</v>
      </c>
      <c r="J22" s="76" t="s">
        <v>95</v>
      </c>
      <c r="K22" s="74" t="s">
        <v>96</v>
      </c>
    </row>
    <row r="23" ht="19.5" customHeight="1">
      <c r="A23" s="46">
        <v>1.0</v>
      </c>
      <c r="B23" s="37" t="s">
        <v>1323</v>
      </c>
      <c r="C23" s="46" t="s">
        <v>158</v>
      </c>
      <c r="D23" s="78" t="str">
        <f>D21</f>
        <v/>
      </c>
      <c r="E23" s="37">
        <v>100.0</v>
      </c>
      <c r="F23" s="40"/>
      <c r="G23" s="40"/>
      <c r="H23" s="40">
        <f>E23*D23</f>
        <v>0</v>
      </c>
      <c r="I23" s="42"/>
      <c r="J23" s="43">
        <f>H23-I23</f>
        <v>0</v>
      </c>
      <c r="K23" s="46" t="s">
        <v>355</v>
      </c>
    </row>
    <row r="24" ht="19.5" customHeight="1">
      <c r="A24" s="50" t="s">
        <v>1</v>
      </c>
      <c r="B24" s="50" t="s">
        <v>91</v>
      </c>
      <c r="C24" s="50" t="s">
        <v>92</v>
      </c>
      <c r="D24" s="50" t="s">
        <v>93</v>
      </c>
      <c r="E24" s="50" t="s">
        <v>97</v>
      </c>
      <c r="F24" s="53" t="s">
        <v>121</v>
      </c>
      <c r="G24" s="53" t="s">
        <v>99</v>
      </c>
      <c r="H24" s="53" t="s">
        <v>100</v>
      </c>
      <c r="I24" s="53" t="s">
        <v>101</v>
      </c>
      <c r="J24" s="53" t="s">
        <v>95</v>
      </c>
      <c r="K24" s="50" t="s">
        <v>96</v>
      </c>
    </row>
    <row r="25" ht="19.5" customHeight="1">
      <c r="A25" s="46">
        <v>1.0</v>
      </c>
      <c r="B25" s="416" t="s">
        <v>1337</v>
      </c>
      <c r="C25" s="46" t="s">
        <v>108</v>
      </c>
      <c r="D25" s="78">
        <v>1.0</v>
      </c>
      <c r="E25" s="37"/>
      <c r="F25" s="78"/>
      <c r="G25" s="40"/>
      <c r="H25" s="40"/>
      <c r="I25" s="42"/>
      <c r="J25" s="43">
        <f t="shared" ref="J25:J29" si="2">D25</f>
        <v>1</v>
      </c>
      <c r="K25" s="46"/>
    </row>
    <row r="26" ht="19.5" customHeight="1">
      <c r="A26" s="46">
        <v>2.0</v>
      </c>
      <c r="B26" s="416" t="s">
        <v>1338</v>
      </c>
      <c r="C26" s="46" t="s">
        <v>108</v>
      </c>
      <c r="D26" s="78">
        <v>1.0</v>
      </c>
      <c r="E26" s="37"/>
      <c r="F26" s="78"/>
      <c r="G26" s="40"/>
      <c r="H26" s="40"/>
      <c r="I26" s="42"/>
      <c r="J26" s="43">
        <f t="shared" si="2"/>
        <v>1</v>
      </c>
      <c r="K26" s="46"/>
    </row>
    <row r="27" ht="19.5" customHeight="1">
      <c r="A27" s="46">
        <v>3.0</v>
      </c>
      <c r="B27" s="416" t="s">
        <v>1339</v>
      </c>
      <c r="C27" s="46" t="s">
        <v>106</v>
      </c>
      <c r="D27" s="78">
        <v>1.0</v>
      </c>
      <c r="E27" s="37"/>
      <c r="F27" s="78"/>
      <c r="G27" s="40"/>
      <c r="H27" s="40"/>
      <c r="I27" s="42"/>
      <c r="J27" s="43">
        <f t="shared" si="2"/>
        <v>1</v>
      </c>
      <c r="K27" s="40"/>
    </row>
    <row r="28" ht="19.5" customHeight="1">
      <c r="A28" s="46">
        <v>3.0</v>
      </c>
      <c r="B28" s="416" t="s">
        <v>1340</v>
      </c>
      <c r="C28" s="46" t="s">
        <v>106</v>
      </c>
      <c r="D28" s="78">
        <v>6.0</v>
      </c>
      <c r="E28" s="37"/>
      <c r="F28" s="78"/>
      <c r="G28" s="40"/>
      <c r="H28" s="40"/>
      <c r="I28" s="42"/>
      <c r="J28" s="43">
        <f t="shared" si="2"/>
        <v>6</v>
      </c>
      <c r="K28" s="40"/>
    </row>
    <row r="29" ht="19.5" customHeight="1">
      <c r="A29" s="46">
        <v>3.0</v>
      </c>
      <c r="B29" s="416" t="s">
        <v>1341</v>
      </c>
      <c r="C29" s="46" t="s">
        <v>1342</v>
      </c>
      <c r="D29" s="78">
        <v>1.0</v>
      </c>
      <c r="E29" s="37"/>
      <c r="F29" s="78"/>
      <c r="G29" s="40"/>
      <c r="H29" s="40"/>
      <c r="I29" s="42"/>
      <c r="J29" s="43">
        <f t="shared" si="2"/>
        <v>1</v>
      </c>
      <c r="K29" s="40"/>
    </row>
    <row r="30" ht="19.5" customHeight="1">
      <c r="A30" s="12"/>
      <c r="C30" s="12"/>
      <c r="D30" s="13"/>
      <c r="F30" s="14"/>
      <c r="G30" s="14"/>
      <c r="H30" s="14"/>
      <c r="I30" s="14"/>
      <c r="J30" s="14"/>
      <c r="K30" s="12"/>
    </row>
    <row r="31" ht="19.5" customHeight="1">
      <c r="A31" s="74" t="s">
        <v>1</v>
      </c>
      <c r="B31" s="74" t="s">
        <v>91</v>
      </c>
      <c r="C31" s="74" t="s">
        <v>92</v>
      </c>
      <c r="D31" s="74" t="s">
        <v>93</v>
      </c>
      <c r="E31" s="50" t="s">
        <v>97</v>
      </c>
      <c r="F31" s="53" t="s">
        <v>121</v>
      </c>
      <c r="G31" s="53" t="s">
        <v>99</v>
      </c>
      <c r="H31" s="53" t="s">
        <v>100</v>
      </c>
      <c r="I31" s="53" t="s">
        <v>101</v>
      </c>
      <c r="J31" s="53" t="s">
        <v>95</v>
      </c>
      <c r="K31" s="50" t="s">
        <v>96</v>
      </c>
    </row>
    <row r="32" ht="19.5" customHeight="1">
      <c r="A32" s="46">
        <v>1.0</v>
      </c>
      <c r="B32" s="37" t="s">
        <v>1343</v>
      </c>
      <c r="C32" s="46" t="s">
        <v>103</v>
      </c>
      <c r="D32" s="78">
        <v>1.0</v>
      </c>
      <c r="E32" s="37">
        <v>1.0</v>
      </c>
      <c r="F32" s="78">
        <v>1.0</v>
      </c>
      <c r="G32" s="40">
        <v>1.0</v>
      </c>
      <c r="H32" s="40">
        <v>1.0</v>
      </c>
      <c r="I32" s="42"/>
      <c r="J32" s="40"/>
      <c r="K32" s="46"/>
    </row>
    <row r="33" ht="19.5" customHeight="1">
      <c r="A33" s="46"/>
      <c r="B33" s="37"/>
      <c r="C33" s="46"/>
      <c r="D33" s="78"/>
      <c r="E33" s="37"/>
      <c r="F33" s="78"/>
      <c r="G33" s="40"/>
      <c r="H33" s="40"/>
      <c r="I33" s="42"/>
      <c r="J33" s="43">
        <f>SUM(H32:H33)</f>
        <v>1</v>
      </c>
      <c r="K33" s="46"/>
    </row>
    <row r="34" ht="19.5" customHeight="1">
      <c r="A34" s="12"/>
      <c r="C34" s="12"/>
      <c r="D34" s="13"/>
      <c r="F34" s="14"/>
      <c r="G34" s="14"/>
      <c r="H34" s="14"/>
      <c r="I34" s="14"/>
      <c r="J34" s="14"/>
      <c r="K34" s="12"/>
    </row>
    <row r="35" ht="19.5" customHeight="1">
      <c r="A35" s="74" t="s">
        <v>1</v>
      </c>
      <c r="B35" s="74" t="s">
        <v>91</v>
      </c>
      <c r="C35" s="74" t="s">
        <v>92</v>
      </c>
      <c r="D35" s="74" t="s">
        <v>93</v>
      </c>
      <c r="E35" s="50" t="s">
        <v>97</v>
      </c>
      <c r="F35" s="53" t="s">
        <v>121</v>
      </c>
      <c r="G35" s="53" t="s">
        <v>99</v>
      </c>
      <c r="H35" s="53" t="s">
        <v>100</v>
      </c>
      <c r="I35" s="53" t="s">
        <v>101</v>
      </c>
      <c r="J35" s="53" t="s">
        <v>95</v>
      </c>
      <c r="K35" s="50" t="s">
        <v>96</v>
      </c>
    </row>
    <row r="36" ht="19.5" customHeight="1">
      <c r="A36" s="46">
        <v>1.0</v>
      </c>
      <c r="B36" s="37" t="s">
        <v>1778</v>
      </c>
      <c r="C36" s="46" t="s">
        <v>103</v>
      </c>
      <c r="D36" s="78">
        <v>4.0</v>
      </c>
      <c r="E36" s="37">
        <v>1.0</v>
      </c>
      <c r="F36" s="78">
        <v>10.0</v>
      </c>
      <c r="G36" s="40">
        <v>10.0</v>
      </c>
      <c r="H36" s="40">
        <f>F36*E36*D36</f>
        <v>40</v>
      </c>
      <c r="I36" s="42"/>
      <c r="J36" s="327">
        <f>SUM(H36:H37)</f>
        <v>40</v>
      </c>
      <c r="K36" s="46"/>
    </row>
    <row r="37" ht="19.5" customHeight="1">
      <c r="A37" s="46"/>
      <c r="B37" s="37"/>
      <c r="C37" s="46"/>
      <c r="D37" s="78"/>
      <c r="E37" s="37"/>
      <c r="F37" s="78"/>
      <c r="G37" s="40"/>
      <c r="H37" s="40"/>
      <c r="I37" s="42"/>
      <c r="J37" s="32"/>
      <c r="K37" s="46"/>
    </row>
    <row r="38" ht="19.5" customHeight="1">
      <c r="A38" s="12"/>
      <c r="C38" s="12"/>
      <c r="D38" s="13"/>
      <c r="F38" s="14"/>
      <c r="G38" s="14"/>
      <c r="H38" s="14"/>
      <c r="I38" s="14"/>
      <c r="J38" s="14"/>
      <c r="K38" s="12"/>
    </row>
    <row r="39" ht="19.5" customHeight="1">
      <c r="A39" s="12"/>
      <c r="C39" s="12"/>
      <c r="D39" s="13"/>
      <c r="F39" s="14"/>
      <c r="G39" s="14"/>
      <c r="H39" s="14"/>
      <c r="I39" s="14"/>
      <c r="J39" s="14"/>
      <c r="K39" s="12"/>
    </row>
    <row r="40" ht="19.5" customHeight="1">
      <c r="A40" s="12"/>
      <c r="C40" s="12"/>
      <c r="D40" s="13"/>
      <c r="F40" s="14"/>
      <c r="G40" s="14"/>
      <c r="H40" s="14"/>
      <c r="I40" s="14"/>
      <c r="J40" s="14"/>
      <c r="K40" s="12"/>
    </row>
    <row r="41" ht="19.5" customHeight="1">
      <c r="A41" s="12"/>
      <c r="C41" s="12"/>
      <c r="D41" s="13"/>
      <c r="F41" s="14"/>
      <c r="G41" s="14"/>
      <c r="H41" s="14"/>
      <c r="I41" s="14"/>
      <c r="J41" s="14"/>
      <c r="K41" s="12"/>
    </row>
    <row r="42" ht="19.5" customHeight="1">
      <c r="A42" s="12"/>
      <c r="C42" s="12"/>
      <c r="D42" s="13"/>
      <c r="F42" s="14"/>
      <c r="G42" s="14"/>
      <c r="H42" s="14"/>
      <c r="I42" s="14"/>
      <c r="J42" s="14"/>
      <c r="K42" s="12"/>
    </row>
    <row r="43" ht="19.5" customHeight="1">
      <c r="A43" s="12"/>
      <c r="C43" s="12"/>
      <c r="D43" s="13"/>
      <c r="F43" s="14"/>
      <c r="G43" s="14"/>
      <c r="H43" s="14"/>
      <c r="I43" s="14"/>
      <c r="J43" s="14"/>
      <c r="K43" s="12"/>
    </row>
    <row r="44" ht="19.5" customHeight="1">
      <c r="A44" s="12"/>
      <c r="C44" s="12"/>
      <c r="D44" s="13"/>
      <c r="F44" s="14"/>
      <c r="G44" s="14"/>
      <c r="H44" s="14"/>
      <c r="I44" s="14"/>
      <c r="J44" s="14"/>
      <c r="K44" s="12"/>
    </row>
    <row r="45" ht="19.5" customHeight="1">
      <c r="A45" s="12"/>
      <c r="C45" s="12"/>
      <c r="D45" s="13"/>
      <c r="F45" s="14"/>
      <c r="G45" s="14"/>
      <c r="H45" s="14"/>
      <c r="I45" s="14"/>
      <c r="J45" s="14"/>
      <c r="K45" s="12"/>
    </row>
    <row r="46" ht="19.5" customHeight="1">
      <c r="A46" s="12"/>
      <c r="C46" s="12"/>
      <c r="D46" s="13"/>
      <c r="F46" s="14"/>
      <c r="G46" s="14"/>
      <c r="H46" s="14"/>
      <c r="I46" s="14"/>
      <c r="J46" s="14"/>
      <c r="K46" s="12"/>
    </row>
    <row r="47" ht="19.5" customHeight="1">
      <c r="A47" s="12"/>
      <c r="C47" s="12"/>
      <c r="D47" s="13"/>
      <c r="F47" s="14"/>
      <c r="G47" s="14"/>
      <c r="H47" s="14"/>
      <c r="I47" s="14"/>
      <c r="J47" s="14"/>
      <c r="K47" s="12"/>
    </row>
    <row r="48" ht="19.5" customHeight="1">
      <c r="A48" s="12"/>
      <c r="C48" s="12"/>
      <c r="D48" s="13"/>
      <c r="F48" s="14"/>
      <c r="G48" s="14"/>
      <c r="H48" s="14"/>
      <c r="I48" s="14"/>
      <c r="J48" s="14"/>
      <c r="K48" s="12"/>
    </row>
    <row r="49" ht="19.5" customHeight="1">
      <c r="A49" s="12"/>
      <c r="C49" s="12"/>
      <c r="D49" s="13"/>
      <c r="F49" s="14"/>
      <c r="G49" s="14"/>
      <c r="H49" s="14"/>
      <c r="I49" s="14"/>
      <c r="J49" s="14"/>
      <c r="K49" s="12"/>
    </row>
    <row r="50" ht="19.5" customHeight="1">
      <c r="A50" s="12"/>
      <c r="C50" s="12"/>
      <c r="D50" s="13"/>
      <c r="F50" s="14"/>
      <c r="G50" s="14"/>
      <c r="H50" s="14"/>
      <c r="I50" s="14"/>
      <c r="J50" s="14"/>
      <c r="K50" s="12"/>
    </row>
    <row r="51" ht="19.5" customHeight="1">
      <c r="A51" s="12"/>
      <c r="C51" s="12"/>
      <c r="D51" s="13"/>
      <c r="F51" s="14"/>
      <c r="G51" s="14"/>
      <c r="H51" s="14"/>
      <c r="I51" s="14"/>
      <c r="J51" s="14"/>
      <c r="K51" s="12"/>
    </row>
    <row r="52" ht="19.5" customHeight="1">
      <c r="A52" s="12"/>
      <c r="C52" s="12"/>
      <c r="D52" s="13"/>
      <c r="F52" s="14"/>
      <c r="G52" s="14"/>
      <c r="H52" s="14"/>
      <c r="I52" s="14"/>
      <c r="J52" s="14"/>
      <c r="K52" s="12"/>
    </row>
    <row r="53" ht="19.5" customHeight="1">
      <c r="A53" s="12"/>
      <c r="C53" s="12"/>
      <c r="D53" s="13"/>
      <c r="F53" s="14"/>
      <c r="G53" s="14"/>
      <c r="H53" s="14"/>
      <c r="I53" s="14"/>
      <c r="J53" s="14"/>
      <c r="K53" s="12"/>
    </row>
    <row r="54" ht="19.5" customHeight="1">
      <c r="A54" s="12"/>
      <c r="C54" s="12"/>
      <c r="D54" s="13"/>
      <c r="F54" s="14"/>
      <c r="G54" s="14"/>
      <c r="H54" s="14"/>
      <c r="I54" s="14"/>
      <c r="J54" s="14"/>
      <c r="K54" s="12"/>
    </row>
    <row r="55" ht="19.5" customHeight="1">
      <c r="A55" s="12"/>
      <c r="C55" s="12"/>
      <c r="D55" s="13"/>
      <c r="F55" s="14"/>
      <c r="G55" s="14"/>
      <c r="H55" s="14"/>
      <c r="I55" s="14"/>
      <c r="J55" s="14"/>
      <c r="K55" s="12"/>
    </row>
    <row r="56" ht="19.5" customHeight="1">
      <c r="A56" s="12"/>
      <c r="C56" s="12"/>
      <c r="D56" s="13"/>
      <c r="F56" s="14"/>
      <c r="G56" s="14"/>
      <c r="H56" s="14"/>
      <c r="I56" s="14"/>
      <c r="J56" s="14"/>
      <c r="K56" s="12"/>
    </row>
    <row r="57" ht="19.5" customHeight="1">
      <c r="A57" s="12"/>
      <c r="C57" s="12"/>
      <c r="D57" s="13"/>
      <c r="F57" s="14"/>
      <c r="G57" s="14"/>
      <c r="H57" s="14"/>
      <c r="I57" s="14"/>
      <c r="J57" s="14"/>
      <c r="K57" s="12"/>
    </row>
    <row r="58" ht="19.5" customHeight="1">
      <c r="A58" s="12"/>
      <c r="C58" s="12"/>
      <c r="D58" s="13"/>
      <c r="F58" s="14"/>
      <c r="G58" s="14"/>
      <c r="H58" s="14"/>
      <c r="I58" s="14"/>
      <c r="J58" s="14"/>
      <c r="K58" s="12"/>
    </row>
    <row r="59" ht="19.5" customHeight="1">
      <c r="A59" s="12"/>
      <c r="C59" s="12"/>
      <c r="D59" s="13"/>
      <c r="F59" s="14"/>
      <c r="G59" s="14"/>
      <c r="H59" s="14"/>
      <c r="I59" s="14"/>
      <c r="J59" s="14"/>
      <c r="K59" s="12"/>
    </row>
    <row r="60" ht="19.5" customHeight="1">
      <c r="A60" s="12"/>
      <c r="C60" s="12"/>
      <c r="D60" s="13"/>
      <c r="F60" s="14"/>
      <c r="G60" s="14"/>
      <c r="H60" s="14"/>
      <c r="I60" s="14"/>
      <c r="J60" s="14"/>
      <c r="K60" s="12"/>
    </row>
    <row r="61" ht="19.5" customHeight="1">
      <c r="A61" s="12"/>
      <c r="C61" s="12"/>
      <c r="D61" s="13"/>
      <c r="F61" s="14"/>
      <c r="G61" s="14"/>
      <c r="H61" s="14"/>
      <c r="I61" s="14"/>
      <c r="J61" s="14"/>
      <c r="K61" s="12"/>
    </row>
    <row r="62" ht="19.5" customHeight="1">
      <c r="A62" s="12"/>
      <c r="C62" s="12"/>
      <c r="D62" s="13"/>
      <c r="F62" s="14"/>
      <c r="G62" s="14"/>
      <c r="H62" s="14"/>
      <c r="I62" s="14"/>
      <c r="J62" s="14"/>
      <c r="K62" s="12"/>
    </row>
    <row r="63" ht="19.5" customHeight="1">
      <c r="A63" s="12"/>
      <c r="C63" s="12"/>
      <c r="D63" s="13"/>
      <c r="F63" s="14"/>
      <c r="G63" s="14"/>
      <c r="H63" s="14"/>
      <c r="I63" s="14"/>
      <c r="J63" s="14"/>
      <c r="K63" s="12"/>
    </row>
    <row r="64" ht="19.5" customHeight="1">
      <c r="A64" s="12"/>
      <c r="C64" s="12"/>
      <c r="D64" s="13"/>
      <c r="F64" s="14"/>
      <c r="G64" s="14"/>
      <c r="H64" s="14"/>
      <c r="I64" s="14"/>
      <c r="J64" s="14"/>
      <c r="K64" s="12"/>
    </row>
    <row r="65" ht="19.5" customHeight="1">
      <c r="A65" s="12"/>
      <c r="C65" s="12"/>
      <c r="D65" s="13"/>
      <c r="F65" s="14"/>
      <c r="G65" s="14"/>
      <c r="H65" s="14"/>
      <c r="I65" s="14"/>
      <c r="J65" s="14"/>
      <c r="K65" s="12"/>
    </row>
    <row r="66" ht="19.5" customHeight="1">
      <c r="A66" s="12"/>
      <c r="C66" s="12"/>
      <c r="D66" s="13"/>
      <c r="F66" s="14"/>
      <c r="G66" s="14"/>
      <c r="H66" s="14"/>
      <c r="I66" s="14"/>
      <c r="J66" s="14"/>
      <c r="K66" s="12"/>
    </row>
    <row r="67" ht="19.5" customHeight="1">
      <c r="A67" s="12"/>
      <c r="C67" s="12"/>
      <c r="D67" s="13"/>
      <c r="F67" s="14"/>
      <c r="G67" s="14"/>
      <c r="H67" s="14"/>
      <c r="I67" s="14"/>
      <c r="J67" s="14"/>
      <c r="K67" s="12"/>
    </row>
    <row r="68" ht="19.5" customHeight="1">
      <c r="A68" s="12"/>
      <c r="C68" s="12"/>
      <c r="D68" s="13"/>
      <c r="F68" s="14"/>
      <c r="G68" s="14"/>
      <c r="H68" s="14"/>
      <c r="I68" s="14"/>
      <c r="J68" s="14"/>
      <c r="K68" s="12"/>
    </row>
    <row r="69" ht="19.5" customHeight="1">
      <c r="A69" s="12"/>
      <c r="C69" s="12"/>
      <c r="D69" s="13"/>
      <c r="F69" s="14"/>
      <c r="G69" s="14"/>
      <c r="H69" s="14"/>
      <c r="I69" s="14"/>
      <c r="J69" s="14"/>
      <c r="K69" s="12"/>
    </row>
    <row r="70" ht="19.5" customHeight="1">
      <c r="A70" s="12"/>
      <c r="C70" s="12"/>
      <c r="D70" s="13"/>
      <c r="F70" s="14"/>
      <c r="G70" s="14"/>
      <c r="H70" s="14"/>
      <c r="I70" s="14"/>
      <c r="J70" s="14"/>
      <c r="K70" s="12"/>
    </row>
    <row r="71" ht="19.5" customHeight="1">
      <c r="A71" s="12"/>
      <c r="C71" s="12"/>
      <c r="D71" s="13"/>
      <c r="F71" s="14"/>
      <c r="G71" s="14"/>
      <c r="H71" s="14"/>
      <c r="I71" s="14"/>
      <c r="J71" s="14"/>
      <c r="K71" s="12"/>
    </row>
    <row r="72" ht="19.5" customHeight="1">
      <c r="A72" s="12"/>
      <c r="C72" s="12"/>
      <c r="D72" s="13"/>
      <c r="F72" s="14"/>
      <c r="G72" s="14"/>
      <c r="H72" s="14"/>
      <c r="I72" s="14"/>
      <c r="J72" s="14"/>
      <c r="K72" s="12"/>
    </row>
    <row r="73" ht="19.5" customHeight="1">
      <c r="A73" s="12"/>
      <c r="C73" s="12"/>
      <c r="D73" s="13"/>
      <c r="F73" s="14"/>
      <c r="G73" s="14"/>
      <c r="H73" s="14"/>
      <c r="I73" s="14"/>
      <c r="J73" s="14"/>
      <c r="K73" s="12"/>
    </row>
    <row r="74" ht="19.5" customHeight="1">
      <c r="A74" s="12"/>
      <c r="C74" s="12"/>
      <c r="D74" s="13"/>
      <c r="F74" s="14"/>
      <c r="G74" s="14"/>
      <c r="H74" s="14"/>
      <c r="I74" s="14"/>
      <c r="J74" s="14"/>
      <c r="K74" s="12"/>
    </row>
    <row r="75" ht="19.5" customHeight="1">
      <c r="A75" s="12"/>
      <c r="C75" s="12"/>
      <c r="D75" s="13"/>
      <c r="F75" s="14"/>
      <c r="G75" s="14"/>
      <c r="H75" s="14"/>
      <c r="I75" s="14"/>
      <c r="J75" s="14"/>
      <c r="K75" s="12"/>
    </row>
    <row r="76" ht="19.5" customHeight="1">
      <c r="A76" s="12"/>
      <c r="C76" s="12"/>
      <c r="D76" s="13"/>
      <c r="F76" s="14"/>
      <c r="G76" s="14"/>
      <c r="H76" s="14"/>
      <c r="I76" s="14"/>
      <c r="J76" s="14"/>
      <c r="K76" s="12"/>
    </row>
    <row r="77" ht="19.5" customHeight="1">
      <c r="A77" s="12"/>
      <c r="C77" s="12"/>
      <c r="D77" s="13"/>
      <c r="F77" s="14"/>
      <c r="G77" s="14"/>
      <c r="H77" s="14"/>
      <c r="I77" s="14"/>
      <c r="J77" s="14"/>
      <c r="K77" s="12"/>
    </row>
    <row r="78" ht="19.5" customHeight="1">
      <c r="A78" s="12"/>
      <c r="C78" s="12"/>
      <c r="D78" s="13"/>
      <c r="F78" s="14"/>
      <c r="G78" s="14"/>
      <c r="H78" s="14"/>
      <c r="I78" s="14"/>
      <c r="J78" s="14"/>
      <c r="K78" s="12"/>
    </row>
    <row r="79" ht="19.5" customHeight="1">
      <c r="A79" s="12"/>
      <c r="C79" s="12"/>
      <c r="D79" s="13"/>
      <c r="F79" s="14"/>
      <c r="G79" s="14"/>
      <c r="H79" s="14"/>
      <c r="I79" s="14"/>
      <c r="J79" s="14"/>
      <c r="K79" s="12"/>
    </row>
    <row r="80" ht="19.5" customHeight="1">
      <c r="A80" s="12"/>
      <c r="C80" s="12"/>
      <c r="D80" s="13"/>
      <c r="F80" s="14"/>
      <c r="G80" s="14"/>
      <c r="H80" s="14"/>
      <c r="I80" s="14"/>
      <c r="J80" s="14"/>
      <c r="K80" s="12"/>
    </row>
    <row r="81" ht="19.5" customHeight="1">
      <c r="A81" s="12"/>
      <c r="C81" s="12"/>
      <c r="D81" s="13"/>
      <c r="F81" s="14"/>
      <c r="G81" s="14"/>
      <c r="H81" s="14"/>
      <c r="I81" s="14"/>
      <c r="J81" s="14"/>
      <c r="K81" s="12"/>
    </row>
    <row r="82" ht="19.5" customHeight="1">
      <c r="A82" s="12"/>
      <c r="C82" s="12"/>
      <c r="D82" s="13"/>
      <c r="F82" s="14"/>
      <c r="G82" s="14"/>
      <c r="H82" s="14"/>
      <c r="I82" s="14"/>
      <c r="J82" s="14"/>
      <c r="K82" s="12"/>
    </row>
    <row r="83" ht="19.5" customHeight="1">
      <c r="A83" s="12"/>
      <c r="C83" s="12"/>
      <c r="D83" s="13"/>
      <c r="F83" s="14"/>
      <c r="G83" s="14"/>
      <c r="H83" s="14"/>
      <c r="I83" s="14"/>
      <c r="J83" s="14"/>
      <c r="K83" s="12"/>
    </row>
    <row r="84" ht="19.5" customHeight="1">
      <c r="A84" s="12"/>
      <c r="C84" s="12"/>
      <c r="D84" s="13"/>
      <c r="F84" s="14"/>
      <c r="G84" s="14"/>
      <c r="H84" s="14"/>
      <c r="I84" s="14"/>
      <c r="J84" s="14"/>
      <c r="K84" s="12"/>
    </row>
    <row r="85" ht="19.5" customHeight="1">
      <c r="A85" s="12"/>
      <c r="C85" s="12"/>
      <c r="D85" s="13"/>
      <c r="F85" s="14"/>
      <c r="G85" s="14"/>
      <c r="H85" s="14"/>
      <c r="I85" s="14"/>
      <c r="J85" s="14"/>
      <c r="K85" s="12"/>
    </row>
    <row r="86" ht="19.5" customHeight="1">
      <c r="A86" s="12"/>
      <c r="C86" s="12"/>
      <c r="D86" s="13"/>
      <c r="F86" s="14"/>
      <c r="G86" s="14"/>
      <c r="H86" s="14"/>
      <c r="I86" s="14"/>
      <c r="J86" s="14"/>
      <c r="K86" s="12"/>
    </row>
    <row r="87" ht="19.5" customHeight="1">
      <c r="A87" s="12"/>
      <c r="C87" s="12"/>
      <c r="D87" s="13"/>
      <c r="F87" s="14"/>
      <c r="G87" s="14"/>
      <c r="H87" s="14"/>
      <c r="I87" s="14"/>
      <c r="J87" s="14"/>
      <c r="K87" s="12"/>
    </row>
    <row r="88" ht="19.5" customHeight="1">
      <c r="A88" s="12"/>
      <c r="C88" s="12"/>
      <c r="D88" s="13"/>
      <c r="F88" s="14"/>
      <c r="G88" s="14"/>
      <c r="H88" s="14"/>
      <c r="I88" s="14"/>
      <c r="J88" s="14"/>
      <c r="K88" s="12"/>
    </row>
    <row r="89" ht="19.5" customHeight="1">
      <c r="A89" s="12"/>
      <c r="C89" s="12"/>
      <c r="D89" s="13"/>
      <c r="F89" s="14"/>
      <c r="G89" s="14"/>
      <c r="H89" s="14"/>
      <c r="I89" s="14"/>
      <c r="J89" s="14"/>
      <c r="K89" s="12"/>
    </row>
    <row r="90" ht="19.5" customHeight="1">
      <c r="A90" s="12"/>
      <c r="C90" s="12"/>
      <c r="D90" s="13"/>
      <c r="F90" s="14"/>
      <c r="G90" s="14"/>
      <c r="H90" s="14"/>
      <c r="I90" s="14"/>
      <c r="J90" s="14"/>
      <c r="K90" s="12"/>
    </row>
    <row r="91" ht="19.5" customHeight="1">
      <c r="A91" s="12"/>
      <c r="C91" s="12"/>
      <c r="D91" s="13"/>
      <c r="F91" s="14"/>
      <c r="G91" s="14"/>
      <c r="H91" s="14"/>
      <c r="I91" s="14"/>
      <c r="J91" s="14"/>
      <c r="K91" s="12"/>
    </row>
    <row r="92" ht="19.5" customHeight="1">
      <c r="A92" s="12"/>
      <c r="C92" s="12"/>
      <c r="D92" s="13"/>
      <c r="F92" s="14"/>
      <c r="G92" s="14"/>
      <c r="H92" s="14"/>
      <c r="I92" s="14"/>
      <c r="J92" s="14"/>
      <c r="K92" s="12"/>
    </row>
    <row r="93" ht="19.5" customHeight="1">
      <c r="A93" s="12"/>
      <c r="C93" s="12"/>
      <c r="D93" s="13"/>
      <c r="F93" s="14"/>
      <c r="G93" s="14"/>
      <c r="H93" s="14"/>
      <c r="I93" s="14"/>
      <c r="J93" s="14"/>
      <c r="K93" s="12"/>
    </row>
    <row r="94" ht="19.5" customHeight="1">
      <c r="A94" s="12"/>
      <c r="C94" s="12"/>
      <c r="D94" s="13"/>
      <c r="F94" s="14"/>
      <c r="G94" s="14"/>
      <c r="H94" s="14"/>
      <c r="I94" s="14"/>
      <c r="J94" s="14"/>
      <c r="K94" s="12"/>
    </row>
    <row r="95" ht="19.5" customHeight="1">
      <c r="A95" s="12"/>
      <c r="C95" s="12"/>
      <c r="D95" s="13"/>
      <c r="F95" s="14"/>
      <c r="G95" s="14"/>
      <c r="H95" s="14"/>
      <c r="I95" s="14"/>
      <c r="J95" s="14"/>
      <c r="K95" s="12"/>
    </row>
    <row r="96" ht="19.5" customHeight="1">
      <c r="A96" s="12"/>
      <c r="C96" s="12"/>
      <c r="D96" s="13"/>
      <c r="F96" s="14"/>
      <c r="G96" s="14"/>
      <c r="H96" s="14"/>
      <c r="I96" s="14"/>
      <c r="J96" s="14"/>
      <c r="K96" s="12"/>
    </row>
    <row r="97" ht="19.5" customHeight="1">
      <c r="A97" s="12"/>
      <c r="C97" s="12"/>
      <c r="D97" s="13"/>
      <c r="F97" s="14"/>
      <c r="G97" s="14"/>
      <c r="H97" s="14"/>
      <c r="I97" s="14"/>
      <c r="J97" s="14"/>
      <c r="K97" s="12"/>
    </row>
    <row r="98" ht="19.5" customHeight="1">
      <c r="A98" s="12"/>
      <c r="C98" s="12"/>
      <c r="D98" s="13"/>
      <c r="F98" s="14"/>
      <c r="G98" s="14"/>
      <c r="H98" s="14"/>
      <c r="I98" s="14"/>
      <c r="J98" s="14"/>
      <c r="K98" s="12"/>
    </row>
    <row r="99" ht="19.5" customHeight="1">
      <c r="A99" s="12"/>
      <c r="C99" s="12"/>
      <c r="D99" s="13"/>
      <c r="F99" s="14"/>
      <c r="G99" s="14"/>
      <c r="H99" s="14"/>
      <c r="I99" s="14"/>
      <c r="J99" s="14"/>
      <c r="K99" s="12"/>
    </row>
    <row r="100" ht="19.5" customHeight="1">
      <c r="A100" s="12"/>
      <c r="C100" s="12"/>
      <c r="D100" s="13"/>
      <c r="F100" s="14"/>
      <c r="G100" s="14"/>
      <c r="H100" s="14"/>
      <c r="I100" s="14"/>
      <c r="J100" s="14"/>
      <c r="K100" s="12"/>
    </row>
    <row r="101" ht="19.5" customHeight="1">
      <c r="A101" s="12"/>
      <c r="C101" s="12"/>
      <c r="D101" s="13"/>
      <c r="F101" s="14"/>
      <c r="G101" s="14"/>
      <c r="H101" s="14"/>
      <c r="I101" s="14"/>
      <c r="J101" s="14"/>
      <c r="K101" s="12"/>
    </row>
    <row r="102" ht="19.5" customHeight="1">
      <c r="A102" s="12"/>
      <c r="C102" s="12"/>
      <c r="D102" s="13"/>
      <c r="F102" s="14"/>
      <c r="G102" s="14"/>
      <c r="H102" s="14"/>
      <c r="I102" s="14"/>
      <c r="J102" s="14"/>
      <c r="K102" s="12"/>
    </row>
    <row r="103" ht="19.5" customHeight="1">
      <c r="A103" s="12"/>
      <c r="C103" s="12"/>
      <c r="D103" s="13"/>
      <c r="F103" s="14"/>
      <c r="G103" s="14"/>
      <c r="H103" s="14"/>
      <c r="I103" s="14"/>
      <c r="J103" s="14"/>
      <c r="K103" s="12"/>
    </row>
    <row r="104" ht="19.5" customHeight="1">
      <c r="A104" s="12"/>
      <c r="C104" s="12"/>
      <c r="D104" s="13"/>
      <c r="F104" s="14"/>
      <c r="G104" s="14"/>
      <c r="H104" s="14"/>
      <c r="I104" s="14"/>
      <c r="J104" s="14"/>
      <c r="K104" s="12"/>
    </row>
    <row r="105" ht="19.5" customHeight="1">
      <c r="A105" s="12"/>
      <c r="C105" s="12"/>
      <c r="D105" s="13"/>
      <c r="F105" s="14"/>
      <c r="G105" s="14"/>
      <c r="H105" s="14"/>
      <c r="I105" s="14"/>
      <c r="J105" s="14"/>
      <c r="K105" s="12"/>
    </row>
    <row r="106" ht="19.5" customHeight="1">
      <c r="A106" s="12"/>
      <c r="C106" s="12"/>
      <c r="D106" s="13"/>
      <c r="F106" s="14"/>
      <c r="G106" s="14"/>
      <c r="H106" s="14"/>
      <c r="I106" s="14"/>
      <c r="J106" s="14"/>
      <c r="K106" s="12"/>
    </row>
    <row r="107" ht="19.5" customHeight="1">
      <c r="A107" s="12"/>
      <c r="C107" s="12"/>
      <c r="D107" s="13"/>
      <c r="F107" s="14"/>
      <c r="G107" s="14"/>
      <c r="H107" s="14"/>
      <c r="I107" s="14"/>
      <c r="J107" s="14"/>
      <c r="K107" s="12"/>
    </row>
    <row r="108" ht="19.5" customHeight="1">
      <c r="A108" s="12"/>
      <c r="C108" s="12"/>
      <c r="D108" s="13"/>
      <c r="F108" s="14"/>
      <c r="G108" s="14"/>
      <c r="H108" s="14"/>
      <c r="I108" s="14"/>
      <c r="J108" s="14"/>
      <c r="K108" s="12"/>
    </row>
    <row r="109" ht="19.5" customHeight="1">
      <c r="A109" s="12"/>
      <c r="C109" s="12"/>
      <c r="D109" s="13"/>
      <c r="F109" s="14"/>
      <c r="G109" s="14"/>
      <c r="H109" s="14"/>
      <c r="I109" s="14"/>
      <c r="J109" s="14"/>
      <c r="K109" s="12"/>
    </row>
    <row r="110" ht="19.5" customHeight="1">
      <c r="A110" s="12"/>
      <c r="C110" s="12"/>
      <c r="D110" s="13"/>
      <c r="F110" s="14"/>
      <c r="G110" s="14"/>
      <c r="H110" s="14"/>
      <c r="I110" s="14"/>
      <c r="J110" s="14"/>
      <c r="K110" s="12"/>
    </row>
    <row r="111" ht="19.5" customHeight="1">
      <c r="A111" s="12"/>
      <c r="C111" s="12"/>
      <c r="D111" s="13"/>
      <c r="F111" s="14"/>
      <c r="G111" s="14"/>
      <c r="H111" s="14"/>
      <c r="I111" s="14"/>
      <c r="J111" s="14"/>
      <c r="K111" s="12"/>
    </row>
    <row r="112" ht="19.5" customHeight="1">
      <c r="A112" s="12"/>
      <c r="C112" s="12"/>
      <c r="D112" s="13"/>
      <c r="F112" s="14"/>
      <c r="G112" s="14"/>
      <c r="H112" s="14"/>
      <c r="I112" s="14"/>
      <c r="J112" s="14"/>
      <c r="K112" s="12"/>
    </row>
    <row r="113" ht="19.5" customHeight="1">
      <c r="A113" s="12"/>
      <c r="C113" s="12"/>
      <c r="D113" s="13"/>
      <c r="F113" s="14"/>
      <c r="G113" s="14"/>
      <c r="H113" s="14"/>
      <c r="I113" s="14"/>
      <c r="J113" s="14"/>
      <c r="K113" s="12"/>
    </row>
    <row r="114" ht="19.5" customHeight="1">
      <c r="A114" s="12"/>
      <c r="C114" s="12"/>
      <c r="D114" s="13"/>
      <c r="F114" s="14"/>
      <c r="G114" s="14"/>
      <c r="H114" s="14"/>
      <c r="I114" s="14"/>
      <c r="J114" s="14"/>
      <c r="K114" s="12"/>
    </row>
    <row r="115" ht="19.5" customHeight="1">
      <c r="A115" s="12"/>
      <c r="C115" s="12"/>
      <c r="D115" s="13"/>
      <c r="F115" s="14"/>
      <c r="G115" s="14"/>
      <c r="H115" s="14"/>
      <c r="I115" s="14"/>
      <c r="J115" s="14"/>
      <c r="K115" s="12"/>
    </row>
    <row r="116" ht="19.5" customHeight="1">
      <c r="A116" s="12"/>
      <c r="C116" s="12"/>
      <c r="D116" s="13"/>
      <c r="F116" s="14"/>
      <c r="G116" s="14"/>
      <c r="H116" s="14"/>
      <c r="I116" s="14"/>
      <c r="J116" s="14"/>
      <c r="K116" s="12"/>
    </row>
    <row r="117" ht="19.5" customHeight="1">
      <c r="A117" s="12"/>
      <c r="C117" s="12"/>
      <c r="D117" s="13"/>
      <c r="F117" s="14"/>
      <c r="G117" s="14"/>
      <c r="H117" s="14"/>
      <c r="I117" s="14"/>
      <c r="J117" s="14"/>
      <c r="K117" s="12"/>
    </row>
    <row r="118" ht="19.5" customHeight="1">
      <c r="A118" s="12"/>
      <c r="C118" s="12"/>
      <c r="D118" s="13"/>
      <c r="F118" s="14"/>
      <c r="G118" s="14"/>
      <c r="H118" s="14"/>
      <c r="I118" s="14"/>
      <c r="J118" s="14"/>
      <c r="K118" s="12"/>
    </row>
    <row r="119" ht="19.5" customHeight="1">
      <c r="A119" s="12"/>
      <c r="C119" s="12"/>
      <c r="D119" s="13"/>
      <c r="F119" s="14"/>
      <c r="G119" s="14"/>
      <c r="H119" s="14"/>
      <c r="I119" s="14"/>
      <c r="J119" s="14"/>
      <c r="K119" s="12"/>
    </row>
    <row r="120" ht="19.5" customHeight="1">
      <c r="A120" s="12"/>
      <c r="C120" s="12"/>
      <c r="D120" s="13"/>
      <c r="F120" s="14"/>
      <c r="G120" s="14"/>
      <c r="H120" s="14"/>
      <c r="I120" s="14"/>
      <c r="J120" s="14"/>
      <c r="K120" s="12"/>
    </row>
    <row r="121" ht="19.5" customHeight="1">
      <c r="A121" s="12"/>
      <c r="C121" s="12"/>
      <c r="D121" s="13"/>
      <c r="F121" s="14"/>
      <c r="G121" s="14"/>
      <c r="H121" s="14"/>
      <c r="I121" s="14"/>
      <c r="J121" s="14"/>
      <c r="K121" s="12"/>
    </row>
    <row r="122" ht="19.5" customHeight="1">
      <c r="A122" s="12"/>
      <c r="C122" s="12"/>
      <c r="D122" s="13"/>
      <c r="F122" s="14"/>
      <c r="G122" s="14"/>
      <c r="H122" s="14"/>
      <c r="I122" s="14"/>
      <c r="J122" s="14"/>
      <c r="K122" s="12"/>
    </row>
    <row r="123" ht="19.5" customHeight="1">
      <c r="A123" s="12"/>
      <c r="C123" s="12"/>
      <c r="D123" s="13"/>
      <c r="F123" s="14"/>
      <c r="G123" s="14"/>
      <c r="H123" s="14"/>
      <c r="I123" s="14"/>
      <c r="J123" s="14"/>
      <c r="K123" s="12"/>
    </row>
    <row r="124" ht="19.5" customHeight="1">
      <c r="A124" s="12"/>
      <c r="C124" s="12"/>
      <c r="D124" s="13"/>
      <c r="F124" s="14"/>
      <c r="G124" s="14"/>
      <c r="H124" s="14"/>
      <c r="I124" s="14"/>
      <c r="J124" s="14"/>
      <c r="K124" s="12"/>
    </row>
    <row r="125" ht="19.5" customHeight="1">
      <c r="A125" s="12"/>
      <c r="C125" s="12"/>
      <c r="D125" s="13"/>
      <c r="F125" s="14"/>
      <c r="G125" s="14"/>
      <c r="H125" s="14"/>
      <c r="I125" s="14"/>
      <c r="J125" s="14"/>
      <c r="K125" s="12"/>
    </row>
    <row r="126" ht="19.5" customHeight="1">
      <c r="A126" s="12"/>
      <c r="C126" s="12"/>
      <c r="D126" s="13"/>
      <c r="F126" s="14"/>
      <c r="G126" s="14"/>
      <c r="H126" s="14"/>
      <c r="I126" s="14"/>
      <c r="J126" s="14"/>
      <c r="K126" s="12"/>
    </row>
    <row r="127" ht="19.5" customHeight="1">
      <c r="A127" s="12"/>
      <c r="C127" s="12"/>
      <c r="D127" s="13"/>
      <c r="F127" s="14"/>
      <c r="G127" s="14"/>
      <c r="H127" s="14"/>
      <c r="I127" s="14"/>
      <c r="J127" s="14"/>
      <c r="K127" s="12"/>
    </row>
    <row r="128" ht="19.5" customHeight="1">
      <c r="A128" s="12"/>
      <c r="C128" s="12"/>
      <c r="D128" s="13"/>
      <c r="F128" s="14"/>
      <c r="G128" s="14"/>
      <c r="H128" s="14"/>
      <c r="I128" s="14"/>
      <c r="J128" s="14"/>
      <c r="K128" s="12"/>
    </row>
    <row r="129" ht="19.5" customHeight="1">
      <c r="A129" s="12"/>
      <c r="C129" s="12"/>
      <c r="D129" s="13"/>
      <c r="F129" s="14"/>
      <c r="G129" s="14"/>
      <c r="H129" s="14"/>
      <c r="I129" s="14"/>
      <c r="J129" s="14"/>
      <c r="K129" s="12"/>
    </row>
    <row r="130" ht="19.5" customHeight="1">
      <c r="A130" s="12"/>
      <c r="C130" s="12"/>
      <c r="D130" s="13"/>
      <c r="F130" s="14"/>
      <c r="G130" s="14"/>
      <c r="H130" s="14"/>
      <c r="I130" s="14"/>
      <c r="J130" s="14"/>
      <c r="K130" s="12"/>
    </row>
    <row r="131" ht="19.5" customHeight="1">
      <c r="A131" s="12"/>
      <c r="C131" s="12"/>
      <c r="D131" s="13"/>
      <c r="F131" s="14"/>
      <c r="G131" s="14"/>
      <c r="H131" s="14"/>
      <c r="I131" s="14"/>
      <c r="J131" s="14"/>
      <c r="K131" s="12"/>
    </row>
    <row r="132" ht="19.5" customHeight="1">
      <c r="A132" s="12"/>
      <c r="C132" s="12"/>
      <c r="D132" s="13"/>
      <c r="F132" s="14"/>
      <c r="G132" s="14"/>
      <c r="H132" s="14"/>
      <c r="I132" s="14"/>
      <c r="J132" s="14"/>
      <c r="K132" s="12"/>
    </row>
    <row r="133" ht="19.5" customHeight="1">
      <c r="A133" s="12"/>
      <c r="C133" s="12"/>
      <c r="D133" s="13"/>
      <c r="F133" s="14"/>
      <c r="G133" s="14"/>
      <c r="H133" s="14"/>
      <c r="I133" s="14"/>
      <c r="J133" s="14"/>
      <c r="K133" s="12"/>
    </row>
    <row r="134" ht="19.5" customHeight="1">
      <c r="A134" s="12"/>
      <c r="C134" s="12"/>
      <c r="D134" s="13"/>
      <c r="F134" s="14"/>
      <c r="G134" s="14"/>
      <c r="H134" s="14"/>
      <c r="I134" s="14"/>
      <c r="J134" s="14"/>
      <c r="K134" s="12"/>
    </row>
    <row r="135" ht="19.5" customHeight="1">
      <c r="A135" s="12"/>
      <c r="C135" s="12"/>
      <c r="D135" s="13"/>
      <c r="F135" s="14"/>
      <c r="G135" s="14"/>
      <c r="H135" s="14"/>
      <c r="I135" s="14"/>
      <c r="J135" s="14"/>
      <c r="K135" s="12"/>
    </row>
    <row r="136" ht="19.5" customHeight="1">
      <c r="A136" s="12"/>
      <c r="C136" s="12"/>
      <c r="D136" s="13"/>
      <c r="F136" s="14"/>
      <c r="G136" s="14"/>
      <c r="H136" s="14"/>
      <c r="I136" s="14"/>
      <c r="J136" s="14"/>
      <c r="K136" s="12"/>
    </row>
    <row r="137" ht="19.5" customHeight="1">
      <c r="A137" s="12"/>
      <c r="C137" s="12"/>
      <c r="D137" s="13"/>
      <c r="F137" s="14"/>
      <c r="G137" s="14"/>
      <c r="H137" s="14"/>
      <c r="I137" s="14"/>
      <c r="J137" s="14"/>
      <c r="K137" s="12"/>
    </row>
    <row r="138" ht="19.5" customHeight="1">
      <c r="A138" s="12"/>
      <c r="C138" s="12"/>
      <c r="D138" s="13"/>
      <c r="F138" s="14"/>
      <c r="G138" s="14"/>
      <c r="H138" s="14"/>
      <c r="I138" s="14"/>
      <c r="J138" s="14"/>
      <c r="K138" s="12"/>
    </row>
    <row r="139" ht="19.5" customHeight="1">
      <c r="A139" s="12"/>
      <c r="C139" s="12"/>
      <c r="D139" s="13"/>
      <c r="F139" s="14"/>
      <c r="G139" s="14"/>
      <c r="H139" s="14"/>
      <c r="I139" s="14"/>
      <c r="J139" s="14"/>
      <c r="K139" s="12"/>
    </row>
    <row r="140" ht="19.5" customHeight="1">
      <c r="A140" s="12"/>
      <c r="C140" s="12"/>
      <c r="D140" s="13"/>
      <c r="F140" s="14"/>
      <c r="G140" s="14"/>
      <c r="H140" s="14"/>
      <c r="I140" s="14"/>
      <c r="J140" s="14"/>
      <c r="K140" s="12"/>
    </row>
    <row r="141" ht="19.5" customHeight="1">
      <c r="A141" s="12"/>
      <c r="C141" s="12"/>
      <c r="D141" s="13"/>
      <c r="F141" s="14"/>
      <c r="G141" s="14"/>
      <c r="H141" s="14"/>
      <c r="I141" s="14"/>
      <c r="J141" s="14"/>
      <c r="K141" s="12"/>
    </row>
    <row r="142" ht="19.5" customHeight="1">
      <c r="A142" s="12"/>
      <c r="C142" s="12"/>
      <c r="D142" s="13"/>
      <c r="F142" s="14"/>
      <c r="G142" s="14"/>
      <c r="H142" s="14"/>
      <c r="I142" s="14"/>
      <c r="J142" s="14"/>
      <c r="K142" s="12"/>
    </row>
    <row r="143" ht="19.5" customHeight="1">
      <c r="A143" s="12"/>
      <c r="C143" s="12"/>
      <c r="D143" s="13"/>
      <c r="F143" s="14"/>
      <c r="G143" s="14"/>
      <c r="H143" s="14"/>
      <c r="I143" s="14"/>
      <c r="J143" s="14"/>
      <c r="K143" s="12"/>
    </row>
    <row r="144" ht="19.5" customHeight="1">
      <c r="A144" s="12"/>
      <c r="C144" s="12"/>
      <c r="D144" s="13"/>
      <c r="F144" s="14"/>
      <c r="G144" s="14"/>
      <c r="H144" s="14"/>
      <c r="I144" s="14"/>
      <c r="J144" s="14"/>
      <c r="K144" s="12"/>
    </row>
    <row r="145" ht="19.5" customHeight="1">
      <c r="A145" s="12"/>
      <c r="C145" s="12"/>
      <c r="D145" s="13"/>
      <c r="F145" s="14"/>
      <c r="G145" s="14"/>
      <c r="H145" s="14"/>
      <c r="I145" s="14"/>
      <c r="J145" s="14"/>
      <c r="K145" s="12"/>
    </row>
    <row r="146" ht="19.5" customHeight="1">
      <c r="A146" s="12"/>
      <c r="C146" s="12"/>
      <c r="D146" s="13"/>
      <c r="F146" s="14"/>
      <c r="G146" s="14"/>
      <c r="H146" s="14"/>
      <c r="I146" s="14"/>
      <c r="J146" s="14"/>
      <c r="K146" s="12"/>
    </row>
    <row r="147" ht="19.5" customHeight="1">
      <c r="A147" s="12"/>
      <c r="C147" s="12"/>
      <c r="D147" s="13"/>
      <c r="F147" s="14"/>
      <c r="G147" s="14"/>
      <c r="H147" s="14"/>
      <c r="I147" s="14"/>
      <c r="J147" s="14"/>
      <c r="K147" s="12"/>
    </row>
    <row r="148" ht="19.5" customHeight="1">
      <c r="A148" s="12"/>
      <c r="C148" s="12"/>
      <c r="D148" s="13"/>
      <c r="F148" s="14"/>
      <c r="G148" s="14"/>
      <c r="H148" s="14"/>
      <c r="I148" s="14"/>
      <c r="J148" s="14"/>
      <c r="K148" s="12"/>
    </row>
    <row r="149" ht="19.5" customHeight="1">
      <c r="A149" s="12"/>
      <c r="C149" s="12"/>
      <c r="D149" s="13"/>
      <c r="F149" s="14"/>
      <c r="G149" s="14"/>
      <c r="H149" s="14"/>
      <c r="I149" s="14"/>
      <c r="J149" s="14"/>
      <c r="K149" s="12"/>
    </row>
    <row r="150" ht="19.5" customHeight="1">
      <c r="A150" s="12"/>
      <c r="C150" s="12"/>
      <c r="D150" s="13"/>
      <c r="F150" s="14"/>
      <c r="G150" s="14"/>
      <c r="H150" s="14"/>
      <c r="I150" s="14"/>
      <c r="J150" s="14"/>
      <c r="K150" s="12"/>
    </row>
    <row r="151" ht="19.5" customHeight="1">
      <c r="A151" s="12"/>
      <c r="C151" s="12"/>
      <c r="D151" s="13"/>
      <c r="F151" s="14"/>
      <c r="G151" s="14"/>
      <c r="H151" s="14"/>
      <c r="I151" s="14"/>
      <c r="J151" s="14"/>
      <c r="K151" s="12"/>
    </row>
    <row r="152" ht="19.5" customHeight="1">
      <c r="A152" s="12"/>
      <c r="C152" s="12"/>
      <c r="D152" s="13"/>
      <c r="F152" s="14"/>
      <c r="G152" s="14"/>
      <c r="H152" s="14"/>
      <c r="I152" s="14"/>
      <c r="J152" s="14"/>
      <c r="K152" s="12"/>
    </row>
    <row r="153" ht="19.5" customHeight="1">
      <c r="A153" s="12"/>
      <c r="C153" s="12"/>
      <c r="D153" s="13"/>
      <c r="F153" s="14"/>
      <c r="G153" s="14"/>
      <c r="H153" s="14"/>
      <c r="I153" s="14"/>
      <c r="J153" s="14"/>
      <c r="K153" s="12"/>
    </row>
    <row r="154" ht="19.5" customHeight="1">
      <c r="A154" s="12"/>
      <c r="C154" s="12"/>
      <c r="D154" s="13"/>
      <c r="F154" s="14"/>
      <c r="G154" s="14"/>
      <c r="H154" s="14"/>
      <c r="I154" s="14"/>
      <c r="J154" s="14"/>
      <c r="K154" s="12"/>
    </row>
    <row r="155" ht="19.5" customHeight="1">
      <c r="A155" s="12"/>
      <c r="C155" s="12"/>
      <c r="D155" s="13"/>
      <c r="F155" s="14"/>
      <c r="G155" s="14"/>
      <c r="H155" s="14"/>
      <c r="I155" s="14"/>
      <c r="J155" s="14"/>
      <c r="K155" s="12"/>
    </row>
    <row r="156" ht="19.5" customHeight="1">
      <c r="A156" s="12"/>
      <c r="C156" s="12"/>
      <c r="D156" s="13"/>
      <c r="F156" s="14"/>
      <c r="G156" s="14"/>
      <c r="H156" s="14"/>
      <c r="I156" s="14"/>
      <c r="J156" s="14"/>
      <c r="K156" s="12"/>
    </row>
    <row r="157" ht="19.5" customHeight="1">
      <c r="A157" s="12"/>
      <c r="C157" s="12"/>
      <c r="D157" s="13"/>
      <c r="F157" s="14"/>
      <c r="G157" s="14"/>
      <c r="H157" s="14"/>
      <c r="I157" s="14"/>
      <c r="J157" s="14"/>
      <c r="K157" s="12"/>
    </row>
    <row r="158" ht="19.5" customHeight="1">
      <c r="A158" s="12"/>
      <c r="C158" s="12"/>
      <c r="D158" s="13"/>
      <c r="F158" s="14"/>
      <c r="G158" s="14"/>
      <c r="H158" s="14"/>
      <c r="I158" s="14"/>
      <c r="J158" s="14"/>
      <c r="K158" s="12"/>
    </row>
    <row r="159" ht="19.5" customHeight="1">
      <c r="A159" s="12"/>
      <c r="C159" s="12"/>
      <c r="D159" s="13"/>
      <c r="F159" s="14"/>
      <c r="G159" s="14"/>
      <c r="H159" s="14"/>
      <c r="I159" s="14"/>
      <c r="J159" s="14"/>
      <c r="K159" s="12"/>
    </row>
    <row r="160" ht="19.5" customHeight="1">
      <c r="A160" s="12"/>
      <c r="C160" s="12"/>
      <c r="D160" s="13"/>
      <c r="F160" s="14"/>
      <c r="G160" s="14"/>
      <c r="H160" s="14"/>
      <c r="I160" s="14"/>
      <c r="J160" s="14"/>
      <c r="K160" s="12"/>
    </row>
    <row r="161" ht="19.5" customHeight="1">
      <c r="A161" s="12"/>
      <c r="C161" s="12"/>
      <c r="D161" s="13"/>
      <c r="F161" s="14"/>
      <c r="G161" s="14"/>
      <c r="H161" s="14"/>
      <c r="I161" s="14"/>
      <c r="J161" s="14"/>
      <c r="K161" s="12"/>
    </row>
    <row r="162" ht="19.5" customHeight="1">
      <c r="A162" s="12"/>
      <c r="C162" s="12"/>
      <c r="D162" s="13"/>
      <c r="F162" s="14"/>
      <c r="G162" s="14"/>
      <c r="H162" s="14"/>
      <c r="I162" s="14"/>
      <c r="J162" s="14"/>
      <c r="K162" s="12"/>
    </row>
    <row r="163" ht="19.5" customHeight="1">
      <c r="A163" s="12"/>
      <c r="C163" s="12"/>
      <c r="D163" s="13"/>
      <c r="F163" s="14"/>
      <c r="G163" s="14"/>
      <c r="H163" s="14"/>
      <c r="I163" s="14"/>
      <c r="J163" s="14"/>
      <c r="K163" s="12"/>
    </row>
    <row r="164" ht="19.5" customHeight="1">
      <c r="A164" s="12"/>
      <c r="C164" s="12"/>
      <c r="D164" s="13"/>
      <c r="F164" s="14"/>
      <c r="G164" s="14"/>
      <c r="H164" s="14"/>
      <c r="I164" s="14"/>
      <c r="J164" s="14"/>
      <c r="K164" s="12"/>
    </row>
    <row r="165" ht="19.5" customHeight="1">
      <c r="A165" s="12"/>
      <c r="C165" s="12"/>
      <c r="D165" s="13"/>
      <c r="F165" s="14"/>
      <c r="G165" s="14"/>
      <c r="H165" s="14"/>
      <c r="I165" s="14"/>
      <c r="J165" s="14"/>
      <c r="K165" s="12"/>
    </row>
    <row r="166" ht="19.5" customHeight="1">
      <c r="A166" s="12"/>
      <c r="C166" s="12"/>
      <c r="D166" s="13"/>
      <c r="F166" s="14"/>
      <c r="G166" s="14"/>
      <c r="H166" s="14"/>
      <c r="I166" s="14"/>
      <c r="J166" s="14"/>
      <c r="K166" s="12"/>
    </row>
    <row r="167" ht="19.5" customHeight="1">
      <c r="A167" s="12"/>
      <c r="C167" s="12"/>
      <c r="D167" s="13"/>
      <c r="F167" s="14"/>
      <c r="G167" s="14"/>
      <c r="H167" s="14"/>
      <c r="I167" s="14"/>
      <c r="J167" s="14"/>
      <c r="K167" s="12"/>
    </row>
    <row r="168" ht="19.5" customHeight="1">
      <c r="A168" s="12"/>
      <c r="C168" s="12"/>
      <c r="D168" s="13"/>
      <c r="F168" s="14"/>
      <c r="G168" s="14"/>
      <c r="H168" s="14"/>
      <c r="I168" s="14"/>
      <c r="J168" s="14"/>
      <c r="K168" s="12"/>
    </row>
    <row r="169" ht="19.5" customHeight="1">
      <c r="A169" s="12"/>
      <c r="C169" s="12"/>
      <c r="D169" s="13"/>
      <c r="F169" s="14"/>
      <c r="G169" s="14"/>
      <c r="H169" s="14"/>
      <c r="I169" s="14"/>
      <c r="J169" s="14"/>
      <c r="K169" s="12"/>
    </row>
    <row r="170" ht="19.5" customHeight="1">
      <c r="A170" s="12"/>
      <c r="C170" s="12"/>
      <c r="D170" s="13"/>
      <c r="F170" s="14"/>
      <c r="G170" s="14"/>
      <c r="H170" s="14"/>
      <c r="I170" s="14"/>
      <c r="J170" s="14"/>
      <c r="K170" s="12"/>
    </row>
    <row r="171" ht="19.5" customHeight="1">
      <c r="A171" s="12"/>
      <c r="C171" s="12"/>
      <c r="D171" s="13"/>
      <c r="F171" s="14"/>
      <c r="G171" s="14"/>
      <c r="H171" s="14"/>
      <c r="I171" s="14"/>
      <c r="J171" s="14"/>
      <c r="K171" s="12"/>
    </row>
    <row r="172" ht="19.5" customHeight="1">
      <c r="A172" s="12"/>
      <c r="C172" s="12"/>
      <c r="D172" s="13"/>
      <c r="F172" s="14"/>
      <c r="G172" s="14"/>
      <c r="H172" s="14"/>
      <c r="I172" s="14"/>
      <c r="J172" s="14"/>
      <c r="K172" s="12"/>
    </row>
    <row r="173" ht="19.5" customHeight="1">
      <c r="A173" s="12"/>
      <c r="C173" s="12"/>
      <c r="D173" s="13"/>
      <c r="F173" s="14"/>
      <c r="G173" s="14"/>
      <c r="H173" s="14"/>
      <c r="I173" s="14"/>
      <c r="J173" s="14"/>
      <c r="K173" s="12"/>
    </row>
    <row r="174" ht="19.5" customHeight="1">
      <c r="A174" s="12"/>
      <c r="C174" s="12"/>
      <c r="D174" s="13"/>
      <c r="F174" s="14"/>
      <c r="G174" s="14"/>
      <c r="H174" s="14"/>
      <c r="I174" s="14"/>
      <c r="J174" s="14"/>
      <c r="K174" s="12"/>
    </row>
    <row r="175" ht="19.5" customHeight="1">
      <c r="A175" s="12"/>
      <c r="C175" s="12"/>
      <c r="D175" s="13"/>
      <c r="F175" s="14"/>
      <c r="G175" s="14"/>
      <c r="H175" s="14"/>
      <c r="I175" s="14"/>
      <c r="J175" s="14"/>
      <c r="K175" s="12"/>
    </row>
    <row r="176" ht="19.5" customHeight="1">
      <c r="A176" s="12"/>
      <c r="C176" s="12"/>
      <c r="D176" s="13"/>
      <c r="F176" s="14"/>
      <c r="G176" s="14"/>
      <c r="H176" s="14"/>
      <c r="I176" s="14"/>
      <c r="J176" s="14"/>
      <c r="K176" s="12"/>
    </row>
    <row r="177" ht="19.5" customHeight="1">
      <c r="A177" s="12"/>
      <c r="C177" s="12"/>
      <c r="D177" s="13"/>
      <c r="F177" s="14"/>
      <c r="G177" s="14"/>
      <c r="H177" s="14"/>
      <c r="I177" s="14"/>
      <c r="J177" s="14"/>
      <c r="K177" s="12"/>
    </row>
    <row r="178" ht="19.5" customHeight="1">
      <c r="A178" s="12"/>
      <c r="C178" s="12"/>
      <c r="D178" s="13"/>
      <c r="F178" s="14"/>
      <c r="G178" s="14"/>
      <c r="H178" s="14"/>
      <c r="I178" s="14"/>
      <c r="J178" s="14"/>
      <c r="K178" s="12"/>
    </row>
    <row r="179" ht="19.5" customHeight="1">
      <c r="A179" s="12"/>
      <c r="C179" s="12"/>
      <c r="D179" s="13"/>
      <c r="F179" s="14"/>
      <c r="G179" s="14"/>
      <c r="H179" s="14"/>
      <c r="I179" s="14"/>
      <c r="J179" s="14"/>
      <c r="K179" s="12"/>
    </row>
    <row r="180" ht="19.5" customHeight="1">
      <c r="A180" s="12"/>
      <c r="C180" s="12"/>
      <c r="D180" s="13"/>
      <c r="F180" s="14"/>
      <c r="G180" s="14"/>
      <c r="H180" s="14"/>
      <c r="I180" s="14"/>
      <c r="J180" s="14"/>
      <c r="K180" s="12"/>
    </row>
    <row r="181" ht="19.5" customHeight="1">
      <c r="A181" s="12"/>
      <c r="C181" s="12"/>
      <c r="D181" s="13"/>
      <c r="F181" s="14"/>
      <c r="G181" s="14"/>
      <c r="H181" s="14"/>
      <c r="I181" s="14"/>
      <c r="J181" s="14"/>
      <c r="K181" s="12"/>
    </row>
    <row r="182" ht="19.5" customHeight="1">
      <c r="A182" s="12"/>
      <c r="C182" s="12"/>
      <c r="D182" s="13"/>
      <c r="F182" s="14"/>
      <c r="G182" s="14"/>
      <c r="H182" s="14"/>
      <c r="I182" s="14"/>
      <c r="J182" s="14"/>
      <c r="K182" s="12"/>
    </row>
    <row r="183" ht="19.5" customHeight="1">
      <c r="A183" s="12"/>
      <c r="C183" s="12"/>
      <c r="D183" s="13"/>
      <c r="F183" s="14"/>
      <c r="G183" s="14"/>
      <c r="H183" s="14"/>
      <c r="I183" s="14"/>
      <c r="J183" s="14"/>
      <c r="K183" s="12"/>
    </row>
    <row r="184" ht="19.5" customHeight="1">
      <c r="A184" s="12"/>
      <c r="C184" s="12"/>
      <c r="D184" s="13"/>
      <c r="F184" s="14"/>
      <c r="G184" s="14"/>
      <c r="H184" s="14"/>
      <c r="I184" s="14"/>
      <c r="J184" s="14"/>
      <c r="K184" s="12"/>
    </row>
    <row r="185" ht="19.5" customHeight="1">
      <c r="A185" s="12"/>
      <c r="C185" s="12"/>
      <c r="D185" s="13"/>
      <c r="F185" s="14"/>
      <c r="G185" s="14"/>
      <c r="H185" s="14"/>
      <c r="I185" s="14"/>
      <c r="J185" s="14"/>
      <c r="K185" s="12"/>
    </row>
    <row r="186" ht="19.5" customHeight="1">
      <c r="A186" s="12"/>
      <c r="C186" s="12"/>
      <c r="D186" s="13"/>
      <c r="F186" s="14"/>
      <c r="G186" s="14"/>
      <c r="H186" s="14"/>
      <c r="I186" s="14"/>
      <c r="J186" s="14"/>
      <c r="K186" s="12"/>
    </row>
    <row r="187" ht="19.5" customHeight="1">
      <c r="A187" s="12"/>
      <c r="C187" s="12"/>
      <c r="D187" s="13"/>
      <c r="F187" s="14"/>
      <c r="G187" s="14"/>
      <c r="H187" s="14"/>
      <c r="I187" s="14"/>
      <c r="J187" s="14"/>
      <c r="K187" s="12"/>
    </row>
    <row r="188" ht="19.5" customHeight="1">
      <c r="A188" s="12"/>
      <c r="C188" s="12"/>
      <c r="D188" s="13"/>
      <c r="F188" s="14"/>
      <c r="G188" s="14"/>
      <c r="H188" s="14"/>
      <c r="I188" s="14"/>
      <c r="J188" s="14"/>
      <c r="K188" s="12"/>
    </row>
    <row r="189" ht="19.5" customHeight="1">
      <c r="A189" s="12"/>
      <c r="C189" s="12"/>
      <c r="D189" s="13"/>
      <c r="F189" s="14"/>
      <c r="G189" s="14"/>
      <c r="H189" s="14"/>
      <c r="I189" s="14"/>
      <c r="J189" s="14"/>
      <c r="K189" s="12"/>
    </row>
    <row r="190" ht="19.5" customHeight="1">
      <c r="A190" s="12"/>
      <c r="C190" s="12"/>
      <c r="D190" s="13"/>
      <c r="F190" s="14"/>
      <c r="G190" s="14"/>
      <c r="H190" s="14"/>
      <c r="I190" s="14"/>
      <c r="J190" s="14"/>
      <c r="K190" s="12"/>
    </row>
    <row r="191" ht="19.5" customHeight="1">
      <c r="A191" s="12"/>
      <c r="C191" s="12"/>
      <c r="D191" s="13"/>
      <c r="F191" s="14"/>
      <c r="G191" s="14"/>
      <c r="H191" s="14"/>
      <c r="I191" s="14"/>
      <c r="J191" s="14"/>
      <c r="K191" s="12"/>
    </row>
    <row r="192" ht="19.5" customHeight="1">
      <c r="A192" s="12"/>
      <c r="C192" s="12"/>
      <c r="D192" s="13"/>
      <c r="F192" s="14"/>
      <c r="G192" s="14"/>
      <c r="H192" s="14"/>
      <c r="I192" s="14"/>
      <c r="J192" s="14"/>
      <c r="K192" s="12"/>
    </row>
    <row r="193" ht="19.5" customHeight="1">
      <c r="A193" s="12"/>
      <c r="C193" s="12"/>
      <c r="D193" s="13"/>
      <c r="F193" s="14"/>
      <c r="G193" s="14"/>
      <c r="H193" s="14"/>
      <c r="I193" s="14"/>
      <c r="J193" s="14"/>
      <c r="K193" s="12"/>
    </row>
    <row r="194" ht="19.5" customHeight="1">
      <c r="A194" s="12"/>
      <c r="C194" s="12"/>
      <c r="D194" s="13"/>
      <c r="F194" s="14"/>
      <c r="G194" s="14"/>
      <c r="H194" s="14"/>
      <c r="I194" s="14"/>
      <c r="J194" s="14"/>
      <c r="K194" s="12"/>
    </row>
    <row r="195" ht="19.5" customHeight="1">
      <c r="A195" s="12"/>
      <c r="C195" s="12"/>
      <c r="D195" s="13"/>
      <c r="F195" s="14"/>
      <c r="G195" s="14"/>
      <c r="H195" s="14"/>
      <c r="I195" s="14"/>
      <c r="J195" s="14"/>
      <c r="K195" s="12"/>
    </row>
    <row r="196" ht="19.5" customHeight="1">
      <c r="A196" s="12"/>
      <c r="C196" s="12"/>
      <c r="D196" s="13"/>
      <c r="F196" s="14"/>
      <c r="G196" s="14"/>
      <c r="H196" s="14"/>
      <c r="I196" s="14"/>
      <c r="J196" s="14"/>
      <c r="K196" s="12"/>
    </row>
    <row r="197" ht="19.5" customHeight="1">
      <c r="A197" s="12"/>
      <c r="C197" s="12"/>
      <c r="D197" s="13"/>
      <c r="F197" s="14"/>
      <c r="G197" s="14"/>
      <c r="H197" s="14"/>
      <c r="I197" s="14"/>
      <c r="J197" s="14"/>
      <c r="K197" s="12"/>
    </row>
    <row r="198" ht="19.5" customHeight="1">
      <c r="A198" s="12"/>
      <c r="C198" s="12"/>
      <c r="D198" s="13"/>
      <c r="F198" s="14"/>
      <c r="G198" s="14"/>
      <c r="H198" s="14"/>
      <c r="I198" s="14"/>
      <c r="J198" s="14"/>
      <c r="K198" s="12"/>
    </row>
    <row r="199" ht="19.5" customHeight="1">
      <c r="A199" s="12"/>
      <c r="C199" s="12"/>
      <c r="D199" s="13"/>
      <c r="F199" s="14"/>
      <c r="G199" s="14"/>
      <c r="H199" s="14"/>
      <c r="I199" s="14"/>
      <c r="J199" s="14"/>
      <c r="K199" s="12"/>
    </row>
    <row r="200" ht="19.5" customHeight="1">
      <c r="A200" s="12"/>
      <c r="C200" s="12"/>
      <c r="D200" s="13"/>
      <c r="F200" s="14"/>
      <c r="G200" s="14"/>
      <c r="H200" s="14"/>
      <c r="I200" s="14"/>
      <c r="J200" s="14"/>
      <c r="K200" s="12"/>
    </row>
    <row r="201" ht="19.5" customHeight="1">
      <c r="A201" s="12"/>
      <c r="C201" s="12"/>
      <c r="D201" s="13"/>
      <c r="F201" s="14"/>
      <c r="G201" s="14"/>
      <c r="H201" s="14"/>
      <c r="I201" s="14"/>
      <c r="J201" s="14"/>
      <c r="K201" s="12"/>
    </row>
    <row r="202" ht="19.5" customHeight="1">
      <c r="A202" s="12"/>
      <c r="C202" s="12"/>
      <c r="D202" s="13"/>
      <c r="F202" s="14"/>
      <c r="G202" s="14"/>
      <c r="H202" s="14"/>
      <c r="I202" s="14"/>
      <c r="J202" s="14"/>
      <c r="K202" s="12"/>
    </row>
    <row r="203" ht="19.5" customHeight="1">
      <c r="A203" s="12"/>
      <c r="C203" s="12"/>
      <c r="D203" s="13"/>
      <c r="F203" s="14"/>
      <c r="G203" s="14"/>
      <c r="H203" s="14"/>
      <c r="I203" s="14"/>
      <c r="J203" s="14"/>
      <c r="K203" s="12"/>
    </row>
    <row r="204" ht="19.5" customHeight="1">
      <c r="A204" s="12"/>
      <c r="C204" s="12"/>
      <c r="D204" s="13"/>
      <c r="F204" s="14"/>
      <c r="G204" s="14"/>
      <c r="H204" s="14"/>
      <c r="I204" s="14"/>
      <c r="J204" s="14"/>
      <c r="K204" s="12"/>
    </row>
    <row r="205" ht="19.5" customHeight="1">
      <c r="A205" s="12"/>
      <c r="C205" s="12"/>
      <c r="D205" s="13"/>
      <c r="F205" s="14"/>
      <c r="G205" s="14"/>
      <c r="H205" s="14"/>
      <c r="I205" s="14"/>
      <c r="J205" s="14"/>
      <c r="K205" s="12"/>
    </row>
    <row r="206" ht="19.5" customHeight="1">
      <c r="A206" s="12"/>
      <c r="C206" s="12"/>
      <c r="D206" s="13"/>
      <c r="F206" s="14"/>
      <c r="G206" s="14"/>
      <c r="H206" s="14"/>
      <c r="I206" s="14"/>
      <c r="J206" s="14"/>
      <c r="K206" s="12"/>
    </row>
    <row r="207" ht="19.5" customHeight="1">
      <c r="A207" s="12"/>
      <c r="C207" s="12"/>
      <c r="D207" s="13"/>
      <c r="F207" s="14"/>
      <c r="G207" s="14"/>
      <c r="H207" s="14"/>
      <c r="I207" s="14"/>
      <c r="J207" s="14"/>
      <c r="K207" s="12"/>
    </row>
    <row r="208" ht="19.5" customHeight="1">
      <c r="A208" s="12"/>
      <c r="C208" s="12"/>
      <c r="D208" s="13"/>
      <c r="F208" s="14"/>
      <c r="G208" s="14"/>
      <c r="H208" s="14"/>
      <c r="I208" s="14"/>
      <c r="J208" s="14"/>
      <c r="K208" s="12"/>
    </row>
    <row r="209" ht="19.5" customHeight="1">
      <c r="A209" s="12"/>
      <c r="C209" s="12"/>
      <c r="D209" s="13"/>
      <c r="F209" s="14"/>
      <c r="G209" s="14"/>
      <c r="H209" s="14"/>
      <c r="I209" s="14"/>
      <c r="J209" s="14"/>
      <c r="K209" s="12"/>
    </row>
    <row r="210" ht="19.5" customHeight="1">
      <c r="A210" s="12"/>
      <c r="C210" s="12"/>
      <c r="D210" s="13"/>
      <c r="F210" s="14"/>
      <c r="G210" s="14"/>
      <c r="H210" s="14"/>
      <c r="I210" s="14"/>
      <c r="J210" s="14"/>
      <c r="K210" s="12"/>
    </row>
    <row r="211" ht="19.5" customHeight="1">
      <c r="A211" s="12"/>
      <c r="C211" s="12"/>
      <c r="D211" s="13"/>
      <c r="F211" s="14"/>
      <c r="G211" s="14"/>
      <c r="H211" s="14"/>
      <c r="I211" s="14"/>
      <c r="J211" s="14"/>
      <c r="K211" s="12"/>
    </row>
    <row r="212" ht="19.5" customHeight="1">
      <c r="A212" s="12"/>
      <c r="C212" s="12"/>
      <c r="D212" s="13"/>
      <c r="F212" s="14"/>
      <c r="G212" s="14"/>
      <c r="H212" s="14"/>
      <c r="I212" s="14"/>
      <c r="J212" s="14"/>
      <c r="K212" s="12"/>
    </row>
    <row r="213" ht="19.5" customHeight="1">
      <c r="A213" s="12"/>
      <c r="C213" s="12"/>
      <c r="D213" s="13"/>
      <c r="F213" s="14"/>
      <c r="G213" s="14"/>
      <c r="H213" s="14"/>
      <c r="I213" s="14"/>
      <c r="J213" s="14"/>
      <c r="K213" s="12"/>
    </row>
    <row r="214" ht="19.5" customHeight="1">
      <c r="A214" s="12"/>
      <c r="C214" s="12"/>
      <c r="D214" s="13"/>
      <c r="F214" s="14"/>
      <c r="G214" s="14"/>
      <c r="H214" s="14"/>
      <c r="I214" s="14"/>
      <c r="J214" s="14"/>
      <c r="K214" s="12"/>
    </row>
    <row r="215" ht="19.5" customHeight="1">
      <c r="A215" s="12"/>
      <c r="C215" s="12"/>
      <c r="D215" s="13"/>
      <c r="F215" s="14"/>
      <c r="G215" s="14"/>
      <c r="H215" s="14"/>
      <c r="I215" s="14"/>
      <c r="J215" s="14"/>
      <c r="K215" s="12"/>
    </row>
    <row r="216" ht="19.5" customHeight="1">
      <c r="A216" s="12"/>
      <c r="C216" s="12"/>
      <c r="D216" s="13"/>
      <c r="F216" s="14"/>
      <c r="G216" s="14"/>
      <c r="H216" s="14"/>
      <c r="I216" s="14"/>
      <c r="J216" s="14"/>
      <c r="K216" s="12"/>
    </row>
    <row r="217" ht="19.5" customHeight="1">
      <c r="A217" s="12"/>
      <c r="C217" s="12"/>
      <c r="D217" s="13"/>
      <c r="F217" s="14"/>
      <c r="G217" s="14"/>
      <c r="H217" s="14"/>
      <c r="I217" s="14"/>
      <c r="J217" s="14"/>
      <c r="K217" s="12"/>
    </row>
    <row r="218" ht="19.5" customHeight="1">
      <c r="A218" s="12"/>
      <c r="C218" s="12"/>
      <c r="D218" s="13"/>
      <c r="F218" s="14"/>
      <c r="G218" s="14"/>
      <c r="H218" s="14"/>
      <c r="I218" s="14"/>
      <c r="J218" s="14"/>
      <c r="K218" s="12"/>
    </row>
    <row r="219" ht="19.5" customHeight="1">
      <c r="A219" s="12"/>
      <c r="C219" s="12"/>
      <c r="D219" s="13"/>
      <c r="F219" s="14"/>
      <c r="G219" s="14"/>
      <c r="H219" s="14"/>
      <c r="I219" s="14"/>
      <c r="J219" s="14"/>
      <c r="K219" s="12"/>
    </row>
    <row r="220" ht="19.5" customHeight="1">
      <c r="A220" s="12"/>
      <c r="C220" s="12"/>
      <c r="D220" s="13"/>
      <c r="F220" s="14"/>
      <c r="G220" s="14"/>
      <c r="H220" s="14"/>
      <c r="I220" s="14"/>
      <c r="J220" s="14"/>
      <c r="K220" s="12"/>
    </row>
    <row r="221" ht="19.5" customHeight="1">
      <c r="A221" s="12"/>
      <c r="C221" s="12"/>
      <c r="D221" s="13"/>
      <c r="F221" s="14"/>
      <c r="G221" s="14"/>
      <c r="H221" s="14"/>
      <c r="I221" s="14"/>
      <c r="J221" s="14"/>
      <c r="K221" s="12"/>
    </row>
    <row r="222" ht="19.5" customHeight="1">
      <c r="A222" s="12"/>
      <c r="C222" s="12"/>
      <c r="D222" s="13"/>
      <c r="F222" s="14"/>
      <c r="G222" s="14"/>
      <c r="H222" s="14"/>
      <c r="I222" s="14"/>
      <c r="J222" s="14"/>
      <c r="K222" s="12"/>
    </row>
    <row r="223" ht="19.5" customHeight="1">
      <c r="A223" s="12"/>
      <c r="C223" s="12"/>
      <c r="D223" s="13"/>
      <c r="F223" s="14"/>
      <c r="G223" s="14"/>
      <c r="H223" s="14"/>
      <c r="I223" s="14"/>
      <c r="J223" s="14"/>
      <c r="K223" s="12"/>
    </row>
    <row r="224" ht="19.5" customHeight="1">
      <c r="A224" s="12"/>
      <c r="C224" s="12"/>
      <c r="D224" s="13"/>
      <c r="F224" s="14"/>
      <c r="G224" s="14"/>
      <c r="H224" s="14"/>
      <c r="I224" s="14"/>
      <c r="J224" s="14"/>
      <c r="K224" s="12"/>
    </row>
    <row r="225" ht="19.5" customHeight="1">
      <c r="A225" s="12"/>
      <c r="C225" s="12"/>
      <c r="D225" s="13"/>
      <c r="F225" s="14"/>
      <c r="G225" s="14"/>
      <c r="H225" s="14"/>
      <c r="I225" s="14"/>
      <c r="J225" s="14"/>
      <c r="K225" s="12"/>
    </row>
    <row r="226" ht="19.5" customHeight="1">
      <c r="A226" s="12"/>
      <c r="C226" s="12"/>
      <c r="D226" s="13"/>
      <c r="F226" s="14"/>
      <c r="G226" s="14"/>
      <c r="H226" s="14"/>
      <c r="I226" s="14"/>
      <c r="J226" s="14"/>
      <c r="K226" s="12"/>
    </row>
    <row r="227" ht="19.5" customHeight="1">
      <c r="A227" s="12"/>
      <c r="C227" s="12"/>
      <c r="D227" s="13"/>
      <c r="F227" s="14"/>
      <c r="G227" s="14"/>
      <c r="H227" s="14"/>
      <c r="I227" s="14"/>
      <c r="J227" s="14"/>
      <c r="K227" s="12"/>
    </row>
    <row r="228" ht="19.5" customHeight="1">
      <c r="A228" s="12"/>
      <c r="C228" s="12"/>
      <c r="D228" s="13"/>
      <c r="F228" s="14"/>
      <c r="G228" s="14"/>
      <c r="H228" s="14"/>
      <c r="I228" s="14"/>
      <c r="J228" s="14"/>
      <c r="K228" s="12"/>
    </row>
    <row r="229" ht="19.5" customHeight="1">
      <c r="A229" s="12"/>
      <c r="C229" s="12"/>
      <c r="D229" s="13"/>
      <c r="F229" s="14"/>
      <c r="G229" s="14"/>
      <c r="H229" s="14"/>
      <c r="I229" s="14"/>
      <c r="J229" s="14"/>
      <c r="K229" s="12"/>
    </row>
    <row r="230" ht="19.5" customHeight="1">
      <c r="A230" s="12"/>
      <c r="C230" s="12"/>
      <c r="D230" s="13"/>
      <c r="F230" s="14"/>
      <c r="G230" s="14"/>
      <c r="H230" s="14"/>
      <c r="I230" s="14"/>
      <c r="J230" s="14"/>
      <c r="K230" s="12"/>
    </row>
    <row r="231" ht="19.5" customHeight="1">
      <c r="A231" s="12"/>
      <c r="C231" s="12"/>
      <c r="D231" s="13"/>
      <c r="F231" s="14"/>
      <c r="G231" s="14"/>
      <c r="H231" s="14"/>
      <c r="I231" s="14"/>
      <c r="J231" s="14"/>
      <c r="K231" s="12"/>
    </row>
    <row r="232" ht="19.5" customHeight="1">
      <c r="A232" s="12"/>
      <c r="C232" s="12"/>
      <c r="D232" s="13"/>
      <c r="F232" s="14"/>
      <c r="G232" s="14"/>
      <c r="H232" s="14"/>
      <c r="I232" s="14"/>
      <c r="J232" s="14"/>
      <c r="K232" s="12"/>
    </row>
    <row r="233" ht="19.5" customHeight="1">
      <c r="A233" s="12"/>
      <c r="C233" s="12"/>
      <c r="D233" s="13"/>
      <c r="F233" s="14"/>
      <c r="G233" s="14"/>
      <c r="H233" s="14"/>
      <c r="I233" s="14"/>
      <c r="J233" s="14"/>
      <c r="K233" s="12"/>
    </row>
    <row r="234" ht="19.5" customHeight="1">
      <c r="A234" s="12"/>
      <c r="C234" s="12"/>
      <c r="D234" s="13"/>
      <c r="F234" s="14"/>
      <c r="G234" s="14"/>
      <c r="H234" s="14"/>
      <c r="I234" s="14"/>
      <c r="J234" s="14"/>
      <c r="K234" s="12"/>
    </row>
    <row r="235" ht="19.5" customHeight="1">
      <c r="A235" s="12"/>
      <c r="C235" s="12"/>
      <c r="D235" s="13"/>
      <c r="F235" s="14"/>
      <c r="G235" s="14"/>
      <c r="H235" s="14"/>
      <c r="I235" s="14"/>
      <c r="J235" s="14"/>
      <c r="K235" s="12"/>
    </row>
    <row r="236" ht="19.5" customHeight="1">
      <c r="A236" s="12"/>
      <c r="C236" s="12"/>
      <c r="D236" s="13"/>
      <c r="F236" s="14"/>
      <c r="G236" s="14"/>
      <c r="H236" s="14"/>
      <c r="I236" s="14"/>
      <c r="J236" s="14"/>
      <c r="K236" s="12"/>
    </row>
    <row r="237" ht="19.5" customHeight="1">
      <c r="A237" s="12"/>
      <c r="C237" s="12"/>
      <c r="D237" s="13"/>
      <c r="F237" s="14"/>
      <c r="G237" s="14"/>
      <c r="H237" s="14"/>
      <c r="I237" s="14"/>
      <c r="J237" s="14"/>
      <c r="K237" s="12"/>
    </row>
    <row r="238" ht="19.5" customHeight="1">
      <c r="A238" s="12"/>
      <c r="C238" s="12"/>
      <c r="D238" s="13"/>
      <c r="F238" s="14"/>
      <c r="G238" s="14"/>
      <c r="H238" s="14"/>
      <c r="I238" s="14"/>
      <c r="J238" s="14"/>
      <c r="K238" s="12"/>
    </row>
    <row r="239" ht="19.5" customHeight="1">
      <c r="A239" s="12"/>
      <c r="C239" s="12"/>
      <c r="D239" s="13"/>
      <c r="F239" s="14"/>
      <c r="G239" s="14"/>
      <c r="H239" s="14"/>
      <c r="I239" s="14"/>
      <c r="J239" s="14"/>
      <c r="K239" s="12"/>
    </row>
    <row r="240" ht="19.5" customHeight="1">
      <c r="A240" s="12"/>
      <c r="C240" s="12"/>
      <c r="D240" s="13"/>
      <c r="F240" s="14"/>
      <c r="G240" s="14"/>
      <c r="H240" s="14"/>
      <c r="I240" s="14"/>
      <c r="J240" s="14"/>
      <c r="K240" s="12"/>
    </row>
    <row r="241" ht="19.5" customHeight="1">
      <c r="A241" s="12"/>
      <c r="C241" s="12"/>
      <c r="D241" s="13"/>
      <c r="F241" s="14"/>
      <c r="G241" s="14"/>
      <c r="H241" s="14"/>
      <c r="I241" s="14"/>
      <c r="J241" s="14"/>
      <c r="K241" s="12"/>
    </row>
    <row r="242" ht="19.5" customHeight="1">
      <c r="A242" s="12"/>
      <c r="C242" s="12"/>
      <c r="D242" s="13"/>
      <c r="F242" s="14"/>
      <c r="G242" s="14"/>
      <c r="H242" s="14"/>
      <c r="I242" s="14"/>
      <c r="J242" s="14"/>
      <c r="K242" s="12"/>
    </row>
    <row r="243" ht="19.5" customHeight="1">
      <c r="A243" s="12"/>
      <c r="C243" s="12"/>
      <c r="D243" s="13"/>
      <c r="F243" s="14"/>
      <c r="G243" s="14"/>
      <c r="H243" s="14"/>
      <c r="I243" s="14"/>
      <c r="J243" s="14"/>
      <c r="K243" s="12"/>
    </row>
    <row r="244" ht="19.5" customHeight="1">
      <c r="A244" s="12"/>
      <c r="C244" s="12"/>
      <c r="D244" s="13"/>
      <c r="F244" s="14"/>
      <c r="G244" s="14"/>
      <c r="H244" s="14"/>
      <c r="I244" s="14"/>
      <c r="J244" s="14"/>
      <c r="K244" s="12"/>
    </row>
    <row r="245" ht="19.5" customHeight="1">
      <c r="A245" s="12"/>
      <c r="C245" s="12"/>
      <c r="D245" s="13"/>
      <c r="F245" s="14"/>
      <c r="G245" s="14"/>
      <c r="H245" s="14"/>
      <c r="I245" s="14"/>
      <c r="J245" s="14"/>
      <c r="K245" s="12"/>
    </row>
    <row r="246" ht="19.5" customHeight="1">
      <c r="A246" s="12"/>
      <c r="C246" s="12"/>
      <c r="D246" s="13"/>
      <c r="F246" s="14"/>
      <c r="G246" s="14"/>
      <c r="H246" s="14"/>
      <c r="I246" s="14"/>
      <c r="J246" s="14"/>
      <c r="K246" s="12"/>
    </row>
    <row r="247" ht="19.5" customHeight="1">
      <c r="A247" s="12"/>
      <c r="C247" s="12"/>
      <c r="D247" s="13"/>
      <c r="F247" s="14"/>
      <c r="G247" s="14"/>
      <c r="H247" s="14"/>
      <c r="I247" s="14"/>
      <c r="J247" s="14"/>
      <c r="K247" s="12"/>
    </row>
    <row r="248" ht="19.5" customHeight="1">
      <c r="A248" s="12"/>
      <c r="C248" s="12"/>
      <c r="D248" s="13"/>
      <c r="F248" s="14"/>
      <c r="G248" s="14"/>
      <c r="H248" s="14"/>
      <c r="I248" s="14"/>
      <c r="J248" s="14"/>
      <c r="K248" s="12"/>
    </row>
    <row r="249" ht="19.5" customHeight="1">
      <c r="A249" s="12"/>
      <c r="C249" s="12"/>
      <c r="D249" s="13"/>
      <c r="F249" s="14"/>
      <c r="G249" s="14"/>
      <c r="H249" s="14"/>
      <c r="I249" s="14"/>
      <c r="J249" s="14"/>
      <c r="K249" s="12"/>
    </row>
    <row r="250" ht="19.5" customHeight="1">
      <c r="A250" s="12"/>
      <c r="C250" s="12"/>
      <c r="D250" s="13"/>
      <c r="F250" s="14"/>
      <c r="G250" s="14"/>
      <c r="H250" s="14"/>
      <c r="I250" s="14"/>
      <c r="J250" s="14"/>
      <c r="K250" s="12"/>
    </row>
    <row r="251" ht="19.5" customHeight="1">
      <c r="A251" s="12"/>
      <c r="C251" s="12"/>
      <c r="D251" s="13"/>
      <c r="F251" s="14"/>
      <c r="G251" s="14"/>
      <c r="H251" s="14"/>
      <c r="I251" s="14"/>
      <c r="J251" s="14"/>
      <c r="K251" s="12"/>
    </row>
    <row r="252" ht="19.5" customHeight="1">
      <c r="A252" s="12"/>
      <c r="C252" s="12"/>
      <c r="D252" s="13"/>
      <c r="F252" s="14"/>
      <c r="G252" s="14"/>
      <c r="H252" s="14"/>
      <c r="I252" s="14"/>
      <c r="J252" s="14"/>
      <c r="K252" s="12"/>
    </row>
    <row r="253" ht="19.5" customHeight="1">
      <c r="A253" s="12"/>
      <c r="C253" s="12"/>
      <c r="D253" s="13"/>
      <c r="F253" s="14"/>
      <c r="G253" s="14"/>
      <c r="H253" s="14"/>
      <c r="I253" s="14"/>
      <c r="J253" s="14"/>
      <c r="K253" s="12"/>
    </row>
    <row r="254" ht="19.5" customHeight="1">
      <c r="A254" s="12"/>
      <c r="C254" s="12"/>
      <c r="D254" s="13"/>
      <c r="F254" s="14"/>
      <c r="G254" s="14"/>
      <c r="H254" s="14"/>
      <c r="I254" s="14"/>
      <c r="J254" s="14"/>
      <c r="K254" s="12"/>
    </row>
    <row r="255" ht="19.5" customHeight="1">
      <c r="A255" s="12"/>
      <c r="C255" s="12"/>
      <c r="D255" s="13"/>
      <c r="F255" s="14"/>
      <c r="G255" s="14"/>
      <c r="H255" s="14"/>
      <c r="I255" s="14"/>
      <c r="J255" s="14"/>
      <c r="K255" s="12"/>
    </row>
    <row r="256" ht="19.5" customHeight="1">
      <c r="A256" s="12"/>
      <c r="C256" s="12"/>
      <c r="D256" s="13"/>
      <c r="F256" s="14"/>
      <c r="G256" s="14"/>
      <c r="H256" s="14"/>
      <c r="I256" s="14"/>
      <c r="J256" s="14"/>
      <c r="K256" s="12"/>
    </row>
    <row r="257" ht="19.5" customHeight="1">
      <c r="A257" s="12"/>
      <c r="C257" s="12"/>
      <c r="D257" s="13"/>
      <c r="F257" s="14"/>
      <c r="G257" s="14"/>
      <c r="H257" s="14"/>
      <c r="I257" s="14"/>
      <c r="J257" s="14"/>
      <c r="K257" s="12"/>
    </row>
    <row r="258" ht="19.5" customHeight="1">
      <c r="A258" s="12"/>
      <c r="C258" s="12"/>
      <c r="D258" s="13"/>
      <c r="F258" s="14"/>
      <c r="G258" s="14"/>
      <c r="H258" s="14"/>
      <c r="I258" s="14"/>
      <c r="J258" s="14"/>
      <c r="K258" s="12"/>
    </row>
    <row r="259" ht="19.5" customHeight="1">
      <c r="A259" s="12"/>
      <c r="C259" s="12"/>
      <c r="D259" s="13"/>
      <c r="F259" s="14"/>
      <c r="G259" s="14"/>
      <c r="H259" s="14"/>
      <c r="I259" s="14"/>
      <c r="J259" s="14"/>
      <c r="K259" s="12"/>
    </row>
    <row r="260" ht="19.5" customHeight="1">
      <c r="A260" s="12"/>
      <c r="C260" s="12"/>
      <c r="D260" s="13"/>
      <c r="F260" s="14"/>
      <c r="G260" s="14"/>
      <c r="H260" s="14"/>
      <c r="I260" s="14"/>
      <c r="J260" s="14"/>
      <c r="K260" s="12"/>
    </row>
    <row r="261" ht="19.5" customHeight="1">
      <c r="A261" s="12"/>
      <c r="C261" s="12"/>
      <c r="D261" s="13"/>
      <c r="F261" s="14"/>
      <c r="G261" s="14"/>
      <c r="H261" s="14"/>
      <c r="I261" s="14"/>
      <c r="J261" s="14"/>
      <c r="K261" s="12"/>
    </row>
    <row r="262" ht="19.5" customHeight="1">
      <c r="A262" s="12"/>
      <c r="C262" s="12"/>
      <c r="D262" s="13"/>
      <c r="F262" s="14"/>
      <c r="G262" s="14"/>
      <c r="H262" s="14"/>
      <c r="I262" s="14"/>
      <c r="J262" s="14"/>
      <c r="K262" s="12"/>
    </row>
    <row r="263" ht="19.5" customHeight="1">
      <c r="A263" s="12"/>
      <c r="C263" s="12"/>
      <c r="D263" s="13"/>
      <c r="F263" s="14"/>
      <c r="G263" s="14"/>
      <c r="H263" s="14"/>
      <c r="I263" s="14"/>
      <c r="J263" s="14"/>
      <c r="K263" s="12"/>
    </row>
    <row r="264" ht="19.5" customHeight="1">
      <c r="A264" s="12"/>
      <c r="C264" s="12"/>
      <c r="D264" s="13"/>
      <c r="F264" s="14"/>
      <c r="G264" s="14"/>
      <c r="H264" s="14"/>
      <c r="I264" s="14"/>
      <c r="J264" s="14"/>
      <c r="K264" s="12"/>
    </row>
    <row r="265" ht="19.5" customHeight="1">
      <c r="A265" s="12"/>
      <c r="C265" s="12"/>
      <c r="D265" s="13"/>
      <c r="F265" s="14"/>
      <c r="G265" s="14"/>
      <c r="H265" s="14"/>
      <c r="I265" s="14"/>
      <c r="J265" s="14"/>
      <c r="K265" s="12"/>
    </row>
    <row r="266" ht="19.5" customHeight="1">
      <c r="A266" s="12"/>
      <c r="C266" s="12"/>
      <c r="D266" s="13"/>
      <c r="F266" s="14"/>
      <c r="G266" s="14"/>
      <c r="H266" s="14"/>
      <c r="I266" s="14"/>
      <c r="J266" s="14"/>
      <c r="K266" s="12"/>
    </row>
    <row r="267" ht="19.5" customHeight="1">
      <c r="A267" s="12"/>
      <c r="C267" s="12"/>
      <c r="D267" s="13"/>
      <c r="F267" s="14"/>
      <c r="G267" s="14"/>
      <c r="H267" s="14"/>
      <c r="I267" s="14"/>
      <c r="J267" s="14"/>
      <c r="K267" s="12"/>
    </row>
    <row r="268" ht="19.5" customHeight="1">
      <c r="A268" s="12"/>
      <c r="C268" s="12"/>
      <c r="D268" s="13"/>
      <c r="F268" s="14"/>
      <c r="G268" s="14"/>
      <c r="H268" s="14"/>
      <c r="I268" s="14"/>
      <c r="J268" s="14"/>
      <c r="K268" s="12"/>
    </row>
    <row r="269" ht="19.5" customHeight="1">
      <c r="A269" s="12"/>
      <c r="C269" s="12"/>
      <c r="D269" s="13"/>
      <c r="F269" s="14"/>
      <c r="G269" s="14"/>
      <c r="H269" s="14"/>
      <c r="I269" s="14"/>
      <c r="J269" s="14"/>
      <c r="K269" s="12"/>
    </row>
    <row r="270" ht="19.5" customHeight="1">
      <c r="A270" s="12"/>
      <c r="C270" s="12"/>
      <c r="D270" s="13"/>
      <c r="F270" s="14"/>
      <c r="G270" s="14"/>
      <c r="H270" s="14"/>
      <c r="I270" s="14"/>
      <c r="J270" s="14"/>
      <c r="K270" s="12"/>
    </row>
    <row r="271" ht="19.5" customHeight="1">
      <c r="A271" s="12"/>
      <c r="C271" s="12"/>
      <c r="D271" s="13"/>
      <c r="F271" s="14"/>
      <c r="G271" s="14"/>
      <c r="H271" s="14"/>
      <c r="I271" s="14"/>
      <c r="J271" s="14"/>
      <c r="K271" s="12"/>
    </row>
    <row r="272" ht="19.5" customHeight="1">
      <c r="A272" s="12"/>
      <c r="C272" s="12"/>
      <c r="D272" s="13"/>
      <c r="F272" s="14"/>
      <c r="G272" s="14"/>
      <c r="H272" s="14"/>
      <c r="I272" s="14"/>
      <c r="J272" s="14"/>
      <c r="K272" s="12"/>
    </row>
    <row r="273" ht="19.5" customHeight="1">
      <c r="A273" s="12"/>
      <c r="C273" s="12"/>
      <c r="D273" s="13"/>
      <c r="F273" s="14"/>
      <c r="G273" s="14"/>
      <c r="H273" s="14"/>
      <c r="I273" s="14"/>
      <c r="J273" s="14"/>
      <c r="K273" s="12"/>
    </row>
    <row r="274" ht="19.5" customHeight="1">
      <c r="A274" s="12"/>
      <c r="C274" s="12"/>
      <c r="D274" s="13"/>
      <c r="F274" s="14"/>
      <c r="G274" s="14"/>
      <c r="H274" s="14"/>
      <c r="I274" s="14"/>
      <c r="J274" s="14"/>
      <c r="K274" s="12"/>
    </row>
    <row r="275" ht="19.5" customHeight="1">
      <c r="A275" s="12"/>
      <c r="C275" s="12"/>
      <c r="D275" s="13"/>
      <c r="F275" s="14"/>
      <c r="G275" s="14"/>
      <c r="H275" s="14"/>
      <c r="I275" s="14"/>
      <c r="J275" s="14"/>
      <c r="K275" s="12"/>
    </row>
    <row r="276" ht="19.5" customHeight="1">
      <c r="A276" s="12"/>
      <c r="C276" s="12"/>
      <c r="D276" s="13"/>
      <c r="F276" s="14"/>
      <c r="G276" s="14"/>
      <c r="H276" s="14"/>
      <c r="I276" s="14"/>
      <c r="J276" s="14"/>
      <c r="K276" s="12"/>
    </row>
    <row r="277" ht="19.5" customHeight="1">
      <c r="A277" s="12"/>
      <c r="C277" s="12"/>
      <c r="D277" s="13"/>
      <c r="F277" s="14"/>
      <c r="G277" s="14"/>
      <c r="H277" s="14"/>
      <c r="I277" s="14"/>
      <c r="J277" s="14"/>
      <c r="K277" s="12"/>
    </row>
    <row r="278" ht="19.5" customHeight="1">
      <c r="A278" s="12"/>
      <c r="C278" s="12"/>
      <c r="D278" s="13"/>
      <c r="F278" s="14"/>
      <c r="G278" s="14"/>
      <c r="H278" s="14"/>
      <c r="I278" s="14"/>
      <c r="J278" s="14"/>
      <c r="K278" s="12"/>
    </row>
    <row r="279" ht="19.5" customHeight="1">
      <c r="A279" s="12"/>
      <c r="C279" s="12"/>
      <c r="D279" s="13"/>
      <c r="F279" s="14"/>
      <c r="G279" s="14"/>
      <c r="H279" s="14"/>
      <c r="I279" s="14"/>
      <c r="J279" s="14"/>
      <c r="K279" s="12"/>
    </row>
    <row r="280" ht="19.5" customHeight="1">
      <c r="A280" s="12"/>
      <c r="C280" s="12"/>
      <c r="D280" s="13"/>
      <c r="F280" s="14"/>
      <c r="G280" s="14"/>
      <c r="H280" s="14"/>
      <c r="I280" s="14"/>
      <c r="J280" s="14"/>
      <c r="K280" s="12"/>
    </row>
    <row r="281" ht="19.5" customHeight="1">
      <c r="A281" s="12"/>
      <c r="C281" s="12"/>
      <c r="D281" s="13"/>
      <c r="F281" s="14"/>
      <c r="G281" s="14"/>
      <c r="H281" s="14"/>
      <c r="I281" s="14"/>
      <c r="J281" s="14"/>
      <c r="K281" s="12"/>
    </row>
    <row r="282" ht="19.5" customHeight="1">
      <c r="A282" s="12"/>
      <c r="C282" s="12"/>
      <c r="D282" s="13"/>
      <c r="F282" s="14"/>
      <c r="G282" s="14"/>
      <c r="H282" s="14"/>
      <c r="I282" s="14"/>
      <c r="J282" s="14"/>
      <c r="K282" s="12"/>
    </row>
    <row r="283" ht="19.5" customHeight="1">
      <c r="A283" s="12"/>
      <c r="C283" s="12"/>
      <c r="D283" s="13"/>
      <c r="F283" s="14"/>
      <c r="G283" s="14"/>
      <c r="H283" s="14"/>
      <c r="I283" s="14"/>
      <c r="J283" s="14"/>
      <c r="K283" s="12"/>
    </row>
    <row r="284" ht="19.5" customHeight="1">
      <c r="A284" s="12"/>
      <c r="C284" s="12"/>
      <c r="D284" s="13"/>
      <c r="F284" s="14"/>
      <c r="G284" s="14"/>
      <c r="H284" s="14"/>
      <c r="I284" s="14"/>
      <c r="J284" s="14"/>
      <c r="K284" s="12"/>
    </row>
    <row r="285" ht="19.5" customHeight="1">
      <c r="A285" s="12"/>
      <c r="C285" s="12"/>
      <c r="D285" s="13"/>
      <c r="F285" s="14"/>
      <c r="G285" s="14"/>
      <c r="H285" s="14"/>
      <c r="I285" s="14"/>
      <c r="J285" s="14"/>
      <c r="K285" s="12"/>
    </row>
    <row r="286" ht="19.5" customHeight="1">
      <c r="A286" s="12"/>
      <c r="C286" s="12"/>
      <c r="D286" s="13"/>
      <c r="F286" s="14"/>
      <c r="G286" s="14"/>
      <c r="H286" s="14"/>
      <c r="I286" s="14"/>
      <c r="J286" s="14"/>
      <c r="K286" s="12"/>
    </row>
    <row r="287" ht="19.5" customHeight="1">
      <c r="A287" s="12"/>
      <c r="C287" s="12"/>
      <c r="D287" s="13"/>
      <c r="F287" s="14"/>
      <c r="G287" s="14"/>
      <c r="H287" s="14"/>
      <c r="I287" s="14"/>
      <c r="J287" s="14"/>
      <c r="K287" s="12"/>
    </row>
    <row r="288" ht="19.5" customHeight="1">
      <c r="A288" s="12"/>
      <c r="C288" s="12"/>
      <c r="D288" s="13"/>
      <c r="F288" s="14"/>
      <c r="G288" s="14"/>
      <c r="H288" s="14"/>
      <c r="I288" s="14"/>
      <c r="J288" s="14"/>
      <c r="K288" s="12"/>
    </row>
    <row r="289" ht="19.5" customHeight="1">
      <c r="A289" s="12"/>
      <c r="C289" s="12"/>
      <c r="D289" s="13"/>
      <c r="F289" s="14"/>
      <c r="G289" s="14"/>
      <c r="H289" s="14"/>
      <c r="I289" s="14"/>
      <c r="J289" s="14"/>
      <c r="K289" s="12"/>
    </row>
    <row r="290" ht="19.5" customHeight="1">
      <c r="A290" s="12"/>
      <c r="C290" s="12"/>
      <c r="D290" s="13"/>
      <c r="F290" s="14"/>
      <c r="G290" s="14"/>
      <c r="H290" s="14"/>
      <c r="I290" s="14"/>
      <c r="J290" s="14"/>
      <c r="K290" s="12"/>
    </row>
    <row r="291" ht="19.5" customHeight="1">
      <c r="A291" s="12"/>
      <c r="C291" s="12"/>
      <c r="D291" s="13"/>
      <c r="F291" s="14"/>
      <c r="G291" s="14"/>
      <c r="H291" s="14"/>
      <c r="I291" s="14"/>
      <c r="J291" s="14"/>
      <c r="K291" s="12"/>
    </row>
    <row r="292" ht="19.5" customHeight="1">
      <c r="A292" s="12"/>
      <c r="C292" s="12"/>
      <c r="D292" s="13"/>
      <c r="F292" s="14"/>
      <c r="G292" s="14"/>
      <c r="H292" s="14"/>
      <c r="I292" s="14"/>
      <c r="J292" s="14"/>
      <c r="K292" s="12"/>
    </row>
    <row r="293" ht="19.5" customHeight="1">
      <c r="A293" s="12"/>
      <c r="C293" s="12"/>
      <c r="D293" s="13"/>
      <c r="F293" s="14"/>
      <c r="G293" s="14"/>
      <c r="H293" s="14"/>
      <c r="I293" s="14"/>
      <c r="J293" s="14"/>
      <c r="K293" s="12"/>
    </row>
    <row r="294" ht="19.5" customHeight="1">
      <c r="A294" s="12"/>
      <c r="C294" s="12"/>
      <c r="D294" s="13"/>
      <c r="F294" s="14"/>
      <c r="G294" s="14"/>
      <c r="H294" s="14"/>
      <c r="I294" s="14"/>
      <c r="J294" s="14"/>
      <c r="K294" s="12"/>
    </row>
    <row r="295" ht="19.5" customHeight="1">
      <c r="A295" s="12"/>
      <c r="C295" s="12"/>
      <c r="D295" s="13"/>
      <c r="F295" s="14"/>
      <c r="G295" s="14"/>
      <c r="H295" s="14"/>
      <c r="I295" s="14"/>
      <c r="J295" s="14"/>
      <c r="K295" s="12"/>
    </row>
    <row r="296" ht="19.5" customHeight="1">
      <c r="A296" s="12"/>
      <c r="C296" s="12"/>
      <c r="D296" s="13"/>
      <c r="F296" s="14"/>
      <c r="G296" s="14"/>
      <c r="H296" s="14"/>
      <c r="I296" s="14"/>
      <c r="J296" s="14"/>
      <c r="K296" s="12"/>
    </row>
    <row r="297" ht="19.5" customHeight="1">
      <c r="A297" s="12"/>
      <c r="C297" s="12"/>
      <c r="D297" s="13"/>
      <c r="F297" s="14"/>
      <c r="G297" s="14"/>
      <c r="H297" s="14"/>
      <c r="I297" s="14"/>
      <c r="J297" s="14"/>
      <c r="K297" s="12"/>
    </row>
    <row r="298" ht="19.5" customHeight="1">
      <c r="A298" s="12"/>
      <c r="C298" s="12"/>
      <c r="D298" s="13"/>
      <c r="F298" s="14"/>
      <c r="G298" s="14"/>
      <c r="H298" s="14"/>
      <c r="I298" s="14"/>
      <c r="J298" s="14"/>
      <c r="K298" s="12"/>
    </row>
    <row r="299" ht="19.5" customHeight="1">
      <c r="A299" s="12"/>
      <c r="C299" s="12"/>
      <c r="D299" s="13"/>
      <c r="F299" s="14"/>
      <c r="G299" s="14"/>
      <c r="H299" s="14"/>
      <c r="I299" s="14"/>
      <c r="J299" s="14"/>
      <c r="K299" s="12"/>
    </row>
    <row r="300" ht="19.5" customHeight="1">
      <c r="A300" s="12"/>
      <c r="C300" s="12"/>
      <c r="D300" s="13"/>
      <c r="F300" s="14"/>
      <c r="G300" s="14"/>
      <c r="H300" s="14"/>
      <c r="I300" s="14"/>
      <c r="J300" s="14"/>
      <c r="K300" s="12"/>
    </row>
    <row r="301" ht="19.5" customHeight="1">
      <c r="A301" s="12"/>
      <c r="C301" s="12"/>
      <c r="D301" s="13"/>
      <c r="F301" s="14"/>
      <c r="G301" s="14"/>
      <c r="H301" s="14"/>
      <c r="I301" s="14"/>
      <c r="J301" s="14"/>
      <c r="K301" s="12"/>
    </row>
    <row r="302" ht="19.5" customHeight="1">
      <c r="A302" s="12"/>
      <c r="C302" s="12"/>
      <c r="D302" s="13"/>
      <c r="F302" s="14"/>
      <c r="G302" s="14"/>
      <c r="H302" s="14"/>
      <c r="I302" s="14"/>
      <c r="J302" s="14"/>
      <c r="K302" s="12"/>
    </row>
    <row r="303" ht="19.5" customHeight="1">
      <c r="A303" s="12"/>
      <c r="C303" s="12"/>
      <c r="D303" s="13"/>
      <c r="F303" s="14"/>
      <c r="G303" s="14"/>
      <c r="H303" s="14"/>
      <c r="I303" s="14"/>
      <c r="J303" s="14"/>
      <c r="K303" s="12"/>
    </row>
    <row r="304" ht="19.5" customHeight="1">
      <c r="A304" s="12"/>
      <c r="C304" s="12"/>
      <c r="D304" s="13"/>
      <c r="F304" s="14"/>
      <c r="G304" s="14"/>
      <c r="H304" s="14"/>
      <c r="I304" s="14"/>
      <c r="J304" s="14"/>
      <c r="K304" s="12"/>
    </row>
    <row r="305" ht="19.5" customHeight="1">
      <c r="A305" s="12"/>
      <c r="C305" s="12"/>
      <c r="D305" s="13"/>
      <c r="F305" s="14"/>
      <c r="G305" s="14"/>
      <c r="H305" s="14"/>
      <c r="I305" s="14"/>
      <c r="J305" s="14"/>
      <c r="K305" s="12"/>
    </row>
    <row r="306" ht="19.5" customHeight="1">
      <c r="A306" s="12"/>
      <c r="C306" s="12"/>
      <c r="D306" s="13"/>
      <c r="F306" s="14"/>
      <c r="G306" s="14"/>
      <c r="H306" s="14"/>
      <c r="I306" s="14"/>
      <c r="J306" s="14"/>
      <c r="K306" s="12"/>
    </row>
    <row r="307" ht="19.5" customHeight="1">
      <c r="A307" s="12"/>
      <c r="C307" s="12"/>
      <c r="D307" s="13"/>
      <c r="F307" s="14"/>
      <c r="G307" s="14"/>
      <c r="H307" s="14"/>
      <c r="I307" s="14"/>
      <c r="J307" s="14"/>
      <c r="K307" s="12"/>
    </row>
    <row r="308" ht="19.5" customHeight="1">
      <c r="A308" s="12"/>
      <c r="C308" s="12"/>
      <c r="D308" s="13"/>
      <c r="F308" s="14"/>
      <c r="G308" s="14"/>
      <c r="H308" s="14"/>
      <c r="I308" s="14"/>
      <c r="J308" s="14"/>
      <c r="K308" s="12"/>
    </row>
    <row r="309" ht="19.5" customHeight="1">
      <c r="A309" s="12"/>
      <c r="C309" s="12"/>
      <c r="D309" s="13"/>
      <c r="F309" s="14"/>
      <c r="G309" s="14"/>
      <c r="H309" s="14"/>
      <c r="I309" s="14"/>
      <c r="J309" s="14"/>
      <c r="K309" s="12"/>
    </row>
    <row r="310" ht="19.5" customHeight="1">
      <c r="A310" s="12"/>
      <c r="C310" s="12"/>
      <c r="D310" s="13"/>
      <c r="F310" s="14"/>
      <c r="G310" s="14"/>
      <c r="H310" s="14"/>
      <c r="I310" s="14"/>
      <c r="J310" s="14"/>
      <c r="K310" s="12"/>
    </row>
    <row r="311" ht="19.5" customHeight="1">
      <c r="A311" s="12"/>
      <c r="C311" s="12"/>
      <c r="D311" s="13"/>
      <c r="F311" s="14"/>
      <c r="G311" s="14"/>
      <c r="H311" s="14"/>
      <c r="I311" s="14"/>
      <c r="J311" s="14"/>
      <c r="K311" s="12"/>
    </row>
    <row r="312" ht="19.5" customHeight="1">
      <c r="A312" s="12"/>
      <c r="C312" s="12"/>
      <c r="D312" s="13"/>
      <c r="F312" s="14"/>
      <c r="G312" s="14"/>
      <c r="H312" s="14"/>
      <c r="I312" s="14"/>
      <c r="J312" s="14"/>
      <c r="K312" s="12"/>
    </row>
    <row r="313" ht="19.5" customHeight="1">
      <c r="A313" s="12"/>
      <c r="C313" s="12"/>
      <c r="D313" s="13"/>
      <c r="F313" s="14"/>
      <c r="G313" s="14"/>
      <c r="H313" s="14"/>
      <c r="I313" s="14"/>
      <c r="J313" s="14"/>
      <c r="K313" s="12"/>
    </row>
    <row r="314" ht="19.5" customHeight="1">
      <c r="A314" s="12"/>
      <c r="C314" s="12"/>
      <c r="D314" s="13"/>
      <c r="F314" s="14"/>
      <c r="G314" s="14"/>
      <c r="H314" s="14"/>
      <c r="I314" s="14"/>
      <c r="J314" s="14"/>
      <c r="K314" s="12"/>
    </row>
    <row r="315" ht="19.5" customHeight="1">
      <c r="A315" s="12"/>
      <c r="C315" s="12"/>
      <c r="D315" s="13"/>
      <c r="F315" s="14"/>
      <c r="G315" s="14"/>
      <c r="H315" s="14"/>
      <c r="I315" s="14"/>
      <c r="J315" s="14"/>
      <c r="K315" s="12"/>
    </row>
    <row r="316" ht="19.5" customHeight="1">
      <c r="A316" s="12"/>
      <c r="C316" s="12"/>
      <c r="D316" s="13"/>
      <c r="F316" s="14"/>
      <c r="G316" s="14"/>
      <c r="H316" s="14"/>
      <c r="I316" s="14"/>
      <c r="J316" s="14"/>
      <c r="K316" s="12"/>
    </row>
    <row r="317" ht="19.5" customHeight="1">
      <c r="A317" s="12"/>
      <c r="C317" s="12"/>
      <c r="D317" s="13"/>
      <c r="F317" s="14"/>
      <c r="G317" s="14"/>
      <c r="H317" s="14"/>
      <c r="I317" s="14"/>
      <c r="J317" s="14"/>
      <c r="K317" s="12"/>
    </row>
    <row r="318" ht="19.5" customHeight="1">
      <c r="A318" s="12"/>
      <c r="C318" s="12"/>
      <c r="D318" s="13"/>
      <c r="F318" s="14"/>
      <c r="G318" s="14"/>
      <c r="H318" s="14"/>
      <c r="I318" s="14"/>
      <c r="J318" s="14"/>
      <c r="K318" s="12"/>
    </row>
    <row r="319" ht="19.5" customHeight="1">
      <c r="A319" s="12"/>
      <c r="C319" s="12"/>
      <c r="D319" s="13"/>
      <c r="F319" s="14"/>
      <c r="G319" s="14"/>
      <c r="H319" s="14"/>
      <c r="I319" s="14"/>
      <c r="J319" s="14"/>
      <c r="K319" s="12"/>
    </row>
    <row r="320" ht="19.5" customHeight="1">
      <c r="A320" s="12"/>
      <c r="C320" s="12"/>
      <c r="D320" s="13"/>
      <c r="F320" s="14"/>
      <c r="G320" s="14"/>
      <c r="H320" s="14"/>
      <c r="I320" s="14"/>
      <c r="J320" s="14"/>
      <c r="K320" s="12"/>
    </row>
    <row r="321" ht="19.5" customHeight="1">
      <c r="A321" s="12"/>
      <c r="C321" s="12"/>
      <c r="D321" s="13"/>
      <c r="F321" s="14"/>
      <c r="G321" s="14"/>
      <c r="H321" s="14"/>
      <c r="I321" s="14"/>
      <c r="J321" s="14"/>
      <c r="K321" s="12"/>
    </row>
    <row r="322" ht="19.5" customHeight="1">
      <c r="A322" s="12"/>
      <c r="C322" s="12"/>
      <c r="D322" s="13"/>
      <c r="F322" s="14"/>
      <c r="G322" s="14"/>
      <c r="H322" s="14"/>
      <c r="I322" s="14"/>
      <c r="J322" s="14"/>
      <c r="K322" s="12"/>
    </row>
    <row r="323" ht="19.5" customHeight="1">
      <c r="A323" s="12"/>
      <c r="C323" s="12"/>
      <c r="D323" s="13"/>
      <c r="F323" s="14"/>
      <c r="G323" s="14"/>
      <c r="H323" s="14"/>
      <c r="I323" s="14"/>
      <c r="J323" s="14"/>
      <c r="K323" s="12"/>
    </row>
    <row r="324" ht="19.5" customHeight="1">
      <c r="A324" s="12"/>
      <c r="C324" s="12"/>
      <c r="D324" s="13"/>
      <c r="F324" s="14"/>
      <c r="G324" s="14"/>
      <c r="H324" s="14"/>
      <c r="I324" s="14"/>
      <c r="J324" s="14"/>
      <c r="K324" s="12"/>
    </row>
    <row r="325" ht="19.5" customHeight="1">
      <c r="A325" s="12"/>
      <c r="C325" s="12"/>
      <c r="D325" s="13"/>
      <c r="F325" s="14"/>
      <c r="G325" s="14"/>
      <c r="H325" s="14"/>
      <c r="I325" s="14"/>
      <c r="J325" s="14"/>
      <c r="K325" s="12"/>
    </row>
    <row r="326" ht="19.5" customHeight="1">
      <c r="A326" s="12"/>
      <c r="C326" s="12"/>
      <c r="D326" s="13"/>
      <c r="F326" s="14"/>
      <c r="G326" s="14"/>
      <c r="H326" s="14"/>
      <c r="I326" s="14"/>
      <c r="J326" s="14"/>
      <c r="K326" s="12"/>
    </row>
    <row r="327" ht="19.5" customHeight="1">
      <c r="A327" s="12"/>
      <c r="C327" s="12"/>
      <c r="D327" s="13"/>
      <c r="F327" s="14"/>
      <c r="G327" s="14"/>
      <c r="H327" s="14"/>
      <c r="I327" s="14"/>
      <c r="J327" s="14"/>
      <c r="K327" s="12"/>
    </row>
    <row r="328" ht="19.5" customHeight="1">
      <c r="A328" s="12"/>
      <c r="C328" s="12"/>
      <c r="D328" s="13"/>
      <c r="F328" s="14"/>
      <c r="G328" s="14"/>
      <c r="H328" s="14"/>
      <c r="I328" s="14"/>
      <c r="J328" s="14"/>
      <c r="K328" s="12"/>
    </row>
    <row r="329" ht="19.5" customHeight="1">
      <c r="A329" s="12"/>
      <c r="C329" s="12"/>
      <c r="D329" s="13"/>
      <c r="F329" s="14"/>
      <c r="G329" s="14"/>
      <c r="H329" s="14"/>
      <c r="I329" s="14"/>
      <c r="J329" s="14"/>
      <c r="K329" s="12"/>
    </row>
    <row r="330" ht="19.5" customHeight="1">
      <c r="A330" s="12"/>
      <c r="C330" s="12"/>
      <c r="D330" s="13"/>
      <c r="F330" s="14"/>
      <c r="G330" s="14"/>
      <c r="H330" s="14"/>
      <c r="I330" s="14"/>
      <c r="J330" s="14"/>
      <c r="K330" s="12"/>
    </row>
    <row r="331" ht="19.5" customHeight="1">
      <c r="A331" s="12"/>
      <c r="C331" s="12"/>
      <c r="D331" s="13"/>
      <c r="F331" s="14"/>
      <c r="G331" s="14"/>
      <c r="H331" s="14"/>
      <c r="I331" s="14"/>
      <c r="J331" s="14"/>
      <c r="K331" s="12"/>
    </row>
    <row r="332" ht="19.5" customHeight="1">
      <c r="A332" s="12"/>
      <c r="C332" s="12"/>
      <c r="D332" s="13"/>
      <c r="F332" s="14"/>
      <c r="G332" s="14"/>
      <c r="H332" s="14"/>
      <c r="I332" s="14"/>
      <c r="J332" s="14"/>
      <c r="K332" s="12"/>
    </row>
    <row r="333" ht="19.5" customHeight="1">
      <c r="A333" s="12"/>
      <c r="C333" s="12"/>
      <c r="D333" s="13"/>
      <c r="F333" s="14"/>
      <c r="G333" s="14"/>
      <c r="H333" s="14"/>
      <c r="I333" s="14"/>
      <c r="J333" s="14"/>
      <c r="K333" s="12"/>
    </row>
    <row r="334" ht="19.5" customHeight="1">
      <c r="A334" s="12"/>
      <c r="C334" s="12"/>
      <c r="D334" s="13"/>
      <c r="F334" s="14"/>
      <c r="G334" s="14"/>
      <c r="H334" s="14"/>
      <c r="I334" s="14"/>
      <c r="J334" s="14"/>
      <c r="K334" s="12"/>
    </row>
    <row r="335" ht="19.5" customHeight="1">
      <c r="A335" s="12"/>
      <c r="C335" s="12"/>
      <c r="D335" s="13"/>
      <c r="F335" s="14"/>
      <c r="G335" s="14"/>
      <c r="H335" s="14"/>
      <c r="I335" s="14"/>
      <c r="J335" s="14"/>
      <c r="K335" s="12"/>
    </row>
    <row r="336" ht="19.5" customHeight="1">
      <c r="A336" s="12"/>
      <c r="C336" s="12"/>
      <c r="D336" s="13"/>
      <c r="F336" s="14"/>
      <c r="G336" s="14"/>
      <c r="H336" s="14"/>
      <c r="I336" s="14"/>
      <c r="J336" s="14"/>
      <c r="K336" s="12"/>
    </row>
    <row r="337" ht="19.5" customHeight="1">
      <c r="A337" s="12"/>
      <c r="C337" s="12"/>
      <c r="D337" s="13"/>
      <c r="F337" s="14"/>
      <c r="G337" s="14"/>
      <c r="H337" s="14"/>
      <c r="I337" s="14"/>
      <c r="J337" s="14"/>
      <c r="K337" s="12"/>
    </row>
    <row r="338" ht="19.5" customHeight="1">
      <c r="A338" s="12"/>
      <c r="C338" s="12"/>
      <c r="D338" s="13"/>
      <c r="F338" s="14"/>
      <c r="G338" s="14"/>
      <c r="H338" s="14"/>
      <c r="I338" s="14"/>
      <c r="J338" s="14"/>
      <c r="K338" s="12"/>
    </row>
    <row r="339" ht="19.5" customHeight="1">
      <c r="A339" s="12"/>
      <c r="C339" s="12"/>
      <c r="D339" s="13"/>
      <c r="F339" s="14"/>
      <c r="G339" s="14"/>
      <c r="H339" s="14"/>
      <c r="I339" s="14"/>
      <c r="J339" s="14"/>
      <c r="K339" s="12"/>
    </row>
    <row r="340" ht="19.5" customHeight="1">
      <c r="A340" s="12"/>
      <c r="C340" s="12"/>
      <c r="D340" s="13"/>
      <c r="F340" s="14"/>
      <c r="G340" s="14"/>
      <c r="H340" s="14"/>
      <c r="I340" s="14"/>
      <c r="J340" s="14"/>
      <c r="K340" s="12"/>
    </row>
    <row r="341" ht="19.5" customHeight="1">
      <c r="A341" s="12"/>
      <c r="C341" s="12"/>
      <c r="D341" s="13"/>
      <c r="F341" s="14"/>
      <c r="G341" s="14"/>
      <c r="H341" s="14"/>
      <c r="I341" s="14"/>
      <c r="J341" s="14"/>
      <c r="K341" s="12"/>
    </row>
    <row r="342" ht="19.5" customHeight="1">
      <c r="A342" s="12"/>
      <c r="C342" s="12"/>
      <c r="D342" s="13"/>
      <c r="F342" s="14"/>
      <c r="G342" s="14"/>
      <c r="H342" s="14"/>
      <c r="I342" s="14"/>
      <c r="J342" s="14"/>
      <c r="K342" s="12"/>
    </row>
    <row r="343" ht="19.5" customHeight="1">
      <c r="A343" s="12"/>
      <c r="C343" s="12"/>
      <c r="D343" s="13"/>
      <c r="F343" s="14"/>
      <c r="G343" s="14"/>
      <c r="H343" s="14"/>
      <c r="I343" s="14"/>
      <c r="J343" s="14"/>
      <c r="K343" s="12"/>
    </row>
    <row r="344" ht="19.5" customHeight="1">
      <c r="A344" s="12"/>
      <c r="C344" s="12"/>
      <c r="D344" s="13"/>
      <c r="F344" s="14"/>
      <c r="G344" s="14"/>
      <c r="H344" s="14"/>
      <c r="I344" s="14"/>
      <c r="J344" s="14"/>
      <c r="K344" s="12"/>
    </row>
    <row r="345" ht="19.5" customHeight="1">
      <c r="A345" s="12"/>
      <c r="C345" s="12"/>
      <c r="D345" s="13"/>
      <c r="F345" s="14"/>
      <c r="G345" s="14"/>
      <c r="H345" s="14"/>
      <c r="I345" s="14"/>
      <c r="J345" s="14"/>
      <c r="K345" s="12"/>
    </row>
    <row r="346" ht="19.5" customHeight="1">
      <c r="A346" s="12"/>
      <c r="C346" s="12"/>
      <c r="D346" s="13"/>
      <c r="F346" s="14"/>
      <c r="G346" s="14"/>
      <c r="H346" s="14"/>
      <c r="I346" s="14"/>
      <c r="J346" s="14"/>
      <c r="K346" s="12"/>
    </row>
    <row r="347" ht="19.5" customHeight="1">
      <c r="A347" s="12"/>
      <c r="C347" s="12"/>
      <c r="D347" s="13"/>
      <c r="F347" s="14"/>
      <c r="G347" s="14"/>
      <c r="H347" s="14"/>
      <c r="I347" s="14"/>
      <c r="J347" s="14"/>
      <c r="K347" s="12"/>
    </row>
    <row r="348" ht="19.5" customHeight="1">
      <c r="A348" s="12"/>
      <c r="C348" s="12"/>
      <c r="D348" s="13"/>
      <c r="F348" s="14"/>
      <c r="G348" s="14"/>
      <c r="H348" s="14"/>
      <c r="I348" s="14"/>
      <c r="J348" s="14"/>
      <c r="K348" s="12"/>
    </row>
    <row r="349" ht="19.5" customHeight="1">
      <c r="A349" s="12"/>
      <c r="C349" s="12"/>
      <c r="D349" s="13"/>
      <c r="F349" s="14"/>
      <c r="G349" s="14"/>
      <c r="H349" s="14"/>
      <c r="I349" s="14"/>
      <c r="J349" s="14"/>
      <c r="K349" s="12"/>
    </row>
    <row r="350" ht="19.5" customHeight="1">
      <c r="A350" s="12"/>
      <c r="C350" s="12"/>
      <c r="D350" s="13"/>
      <c r="F350" s="14"/>
      <c r="G350" s="14"/>
      <c r="H350" s="14"/>
      <c r="I350" s="14"/>
      <c r="J350" s="14"/>
      <c r="K350" s="12"/>
    </row>
    <row r="351" ht="19.5" customHeight="1">
      <c r="A351" s="12"/>
      <c r="C351" s="12"/>
      <c r="D351" s="13"/>
      <c r="F351" s="14"/>
      <c r="G351" s="14"/>
      <c r="H351" s="14"/>
      <c r="I351" s="14"/>
      <c r="J351" s="14"/>
      <c r="K351" s="12"/>
    </row>
    <row r="352" ht="19.5" customHeight="1">
      <c r="A352" s="12"/>
      <c r="C352" s="12"/>
      <c r="D352" s="13"/>
      <c r="F352" s="14"/>
      <c r="G352" s="14"/>
      <c r="H352" s="14"/>
      <c r="I352" s="14"/>
      <c r="J352" s="14"/>
      <c r="K352" s="12"/>
    </row>
    <row r="353" ht="19.5" customHeight="1">
      <c r="A353" s="12"/>
      <c r="C353" s="12"/>
      <c r="D353" s="13"/>
      <c r="F353" s="14"/>
      <c r="G353" s="14"/>
      <c r="H353" s="14"/>
      <c r="I353" s="14"/>
      <c r="J353" s="14"/>
      <c r="K353" s="12"/>
    </row>
    <row r="354" ht="19.5" customHeight="1">
      <c r="A354" s="12"/>
      <c r="C354" s="12"/>
      <c r="D354" s="13"/>
      <c r="F354" s="14"/>
      <c r="G354" s="14"/>
      <c r="H354" s="14"/>
      <c r="I354" s="14"/>
      <c r="J354" s="14"/>
      <c r="K354" s="12"/>
    </row>
    <row r="355" ht="19.5" customHeight="1">
      <c r="A355" s="12"/>
      <c r="C355" s="12"/>
      <c r="D355" s="13"/>
      <c r="F355" s="14"/>
      <c r="G355" s="14"/>
      <c r="H355" s="14"/>
      <c r="I355" s="14"/>
      <c r="J355" s="14"/>
      <c r="K355" s="12"/>
    </row>
    <row r="356" ht="19.5" customHeight="1">
      <c r="A356" s="12"/>
      <c r="C356" s="12"/>
      <c r="D356" s="13"/>
      <c r="F356" s="14"/>
      <c r="G356" s="14"/>
      <c r="H356" s="14"/>
      <c r="I356" s="14"/>
      <c r="J356" s="14"/>
      <c r="K356" s="12"/>
    </row>
    <row r="357" ht="19.5" customHeight="1">
      <c r="A357" s="12"/>
      <c r="C357" s="12"/>
      <c r="D357" s="13"/>
      <c r="F357" s="14"/>
      <c r="G357" s="14"/>
      <c r="H357" s="14"/>
      <c r="I357" s="14"/>
      <c r="J357" s="14"/>
      <c r="K357" s="12"/>
    </row>
    <row r="358" ht="19.5" customHeight="1">
      <c r="A358" s="12"/>
      <c r="C358" s="12"/>
      <c r="D358" s="13"/>
      <c r="F358" s="14"/>
      <c r="G358" s="14"/>
      <c r="H358" s="14"/>
      <c r="I358" s="14"/>
      <c r="J358" s="14"/>
      <c r="K358" s="12"/>
    </row>
    <row r="359" ht="19.5" customHeight="1">
      <c r="A359" s="12"/>
      <c r="C359" s="12"/>
      <c r="D359" s="13"/>
      <c r="F359" s="14"/>
      <c r="G359" s="14"/>
      <c r="H359" s="14"/>
      <c r="I359" s="14"/>
      <c r="J359" s="14"/>
      <c r="K359" s="12"/>
    </row>
    <row r="360" ht="19.5" customHeight="1">
      <c r="A360" s="12"/>
      <c r="C360" s="12"/>
      <c r="D360" s="13"/>
      <c r="F360" s="14"/>
      <c r="G360" s="14"/>
      <c r="H360" s="14"/>
      <c r="I360" s="14"/>
      <c r="J360" s="14"/>
      <c r="K360" s="12"/>
    </row>
    <row r="361" ht="19.5" customHeight="1">
      <c r="A361" s="12"/>
      <c r="C361" s="12"/>
      <c r="D361" s="13"/>
      <c r="F361" s="14"/>
      <c r="G361" s="14"/>
      <c r="H361" s="14"/>
      <c r="I361" s="14"/>
      <c r="J361" s="14"/>
      <c r="K361" s="12"/>
    </row>
    <row r="362" ht="19.5" customHeight="1">
      <c r="A362" s="12"/>
      <c r="C362" s="12"/>
      <c r="D362" s="13"/>
      <c r="F362" s="14"/>
      <c r="G362" s="14"/>
      <c r="H362" s="14"/>
      <c r="I362" s="14"/>
      <c r="J362" s="14"/>
      <c r="K362" s="12"/>
    </row>
    <row r="363" ht="19.5" customHeight="1">
      <c r="A363" s="12"/>
      <c r="C363" s="12"/>
      <c r="D363" s="13"/>
      <c r="F363" s="14"/>
      <c r="G363" s="14"/>
      <c r="H363" s="14"/>
      <c r="I363" s="14"/>
      <c r="J363" s="14"/>
      <c r="K363" s="12"/>
    </row>
    <row r="364" ht="19.5" customHeight="1">
      <c r="A364" s="12"/>
      <c r="C364" s="12"/>
      <c r="D364" s="13"/>
      <c r="F364" s="14"/>
      <c r="G364" s="14"/>
      <c r="H364" s="14"/>
      <c r="I364" s="14"/>
      <c r="J364" s="14"/>
      <c r="K364" s="12"/>
    </row>
    <row r="365" ht="19.5" customHeight="1">
      <c r="A365" s="12"/>
      <c r="C365" s="12"/>
      <c r="D365" s="13"/>
      <c r="F365" s="14"/>
      <c r="G365" s="14"/>
      <c r="H365" s="14"/>
      <c r="I365" s="14"/>
      <c r="J365" s="14"/>
      <c r="K365" s="12"/>
    </row>
    <row r="366" ht="19.5" customHeight="1">
      <c r="A366" s="12"/>
      <c r="C366" s="12"/>
      <c r="D366" s="13"/>
      <c r="F366" s="14"/>
      <c r="G366" s="14"/>
      <c r="H366" s="14"/>
      <c r="I366" s="14"/>
      <c r="J366" s="14"/>
      <c r="K366" s="12"/>
    </row>
    <row r="367" ht="19.5" customHeight="1">
      <c r="A367" s="12"/>
      <c r="C367" s="12"/>
      <c r="D367" s="13"/>
      <c r="F367" s="14"/>
      <c r="G367" s="14"/>
      <c r="H367" s="14"/>
      <c r="I367" s="14"/>
      <c r="J367" s="14"/>
      <c r="K367" s="12"/>
    </row>
    <row r="368" ht="19.5" customHeight="1">
      <c r="A368" s="12"/>
      <c r="C368" s="12"/>
      <c r="D368" s="13"/>
      <c r="F368" s="14"/>
      <c r="G368" s="14"/>
      <c r="H368" s="14"/>
      <c r="I368" s="14"/>
      <c r="J368" s="14"/>
      <c r="K368" s="12"/>
    </row>
    <row r="369" ht="19.5" customHeight="1">
      <c r="A369" s="12"/>
      <c r="C369" s="12"/>
      <c r="D369" s="13"/>
      <c r="F369" s="14"/>
      <c r="G369" s="14"/>
      <c r="H369" s="14"/>
      <c r="I369" s="14"/>
      <c r="J369" s="14"/>
      <c r="K369" s="12"/>
    </row>
    <row r="370" ht="19.5" customHeight="1">
      <c r="A370" s="12"/>
      <c r="C370" s="12"/>
      <c r="D370" s="13"/>
      <c r="F370" s="14"/>
      <c r="G370" s="14"/>
      <c r="H370" s="14"/>
      <c r="I370" s="14"/>
      <c r="J370" s="14"/>
      <c r="K370" s="12"/>
    </row>
    <row r="371" ht="19.5" customHeight="1">
      <c r="A371" s="12"/>
      <c r="C371" s="12"/>
      <c r="D371" s="13"/>
      <c r="F371" s="14"/>
      <c r="G371" s="14"/>
      <c r="H371" s="14"/>
      <c r="I371" s="14"/>
      <c r="J371" s="14"/>
      <c r="K371" s="12"/>
    </row>
    <row r="372" ht="19.5" customHeight="1">
      <c r="A372" s="12"/>
      <c r="C372" s="12"/>
      <c r="D372" s="13"/>
      <c r="F372" s="14"/>
      <c r="G372" s="14"/>
      <c r="H372" s="14"/>
      <c r="I372" s="14"/>
      <c r="J372" s="14"/>
      <c r="K372" s="12"/>
    </row>
    <row r="373" ht="19.5" customHeight="1">
      <c r="A373" s="12"/>
      <c r="C373" s="12"/>
      <c r="D373" s="13"/>
      <c r="F373" s="14"/>
      <c r="G373" s="14"/>
      <c r="H373" s="14"/>
      <c r="I373" s="14"/>
      <c r="J373" s="14"/>
      <c r="K373" s="12"/>
    </row>
    <row r="374" ht="19.5" customHeight="1">
      <c r="A374" s="12"/>
      <c r="C374" s="12"/>
      <c r="D374" s="13"/>
      <c r="F374" s="14"/>
      <c r="G374" s="14"/>
      <c r="H374" s="14"/>
      <c r="I374" s="14"/>
      <c r="J374" s="14"/>
      <c r="K374" s="12"/>
    </row>
    <row r="375" ht="19.5" customHeight="1">
      <c r="A375" s="12"/>
      <c r="C375" s="12"/>
      <c r="D375" s="13"/>
      <c r="F375" s="14"/>
      <c r="G375" s="14"/>
      <c r="H375" s="14"/>
      <c r="I375" s="14"/>
      <c r="J375" s="14"/>
      <c r="K375" s="12"/>
    </row>
    <row r="376" ht="19.5" customHeight="1">
      <c r="A376" s="12"/>
      <c r="C376" s="12"/>
      <c r="D376" s="13"/>
      <c r="F376" s="14"/>
      <c r="G376" s="14"/>
      <c r="H376" s="14"/>
      <c r="I376" s="14"/>
      <c r="J376" s="14"/>
      <c r="K376" s="12"/>
    </row>
    <row r="377" ht="19.5" customHeight="1">
      <c r="A377" s="12"/>
      <c r="C377" s="12"/>
      <c r="D377" s="13"/>
      <c r="F377" s="14"/>
      <c r="G377" s="14"/>
      <c r="H377" s="14"/>
      <c r="I377" s="14"/>
      <c r="J377" s="14"/>
      <c r="K377" s="12"/>
    </row>
    <row r="378" ht="19.5" customHeight="1">
      <c r="A378" s="12"/>
      <c r="C378" s="12"/>
      <c r="D378" s="13"/>
      <c r="F378" s="14"/>
      <c r="G378" s="14"/>
      <c r="H378" s="14"/>
      <c r="I378" s="14"/>
      <c r="J378" s="14"/>
      <c r="K378" s="12"/>
    </row>
    <row r="379" ht="19.5" customHeight="1">
      <c r="A379" s="12"/>
      <c r="C379" s="12"/>
      <c r="D379" s="13"/>
      <c r="F379" s="14"/>
      <c r="G379" s="14"/>
      <c r="H379" s="14"/>
      <c r="I379" s="14"/>
      <c r="J379" s="14"/>
      <c r="K379" s="12"/>
    </row>
    <row r="380" ht="19.5" customHeight="1">
      <c r="A380" s="12"/>
      <c r="C380" s="12"/>
      <c r="D380" s="13"/>
      <c r="F380" s="14"/>
      <c r="G380" s="14"/>
      <c r="H380" s="14"/>
      <c r="I380" s="14"/>
      <c r="J380" s="14"/>
      <c r="K380" s="12"/>
    </row>
    <row r="381" ht="19.5" customHeight="1">
      <c r="A381" s="12"/>
      <c r="C381" s="12"/>
      <c r="D381" s="13"/>
      <c r="F381" s="14"/>
      <c r="G381" s="14"/>
      <c r="H381" s="14"/>
      <c r="I381" s="14"/>
      <c r="J381" s="14"/>
      <c r="K381" s="12"/>
    </row>
    <row r="382" ht="19.5" customHeight="1">
      <c r="A382" s="12"/>
      <c r="C382" s="12"/>
      <c r="D382" s="13"/>
      <c r="F382" s="14"/>
      <c r="G382" s="14"/>
      <c r="H382" s="14"/>
      <c r="I382" s="14"/>
      <c r="J382" s="14"/>
      <c r="K382" s="12"/>
    </row>
    <row r="383" ht="19.5" customHeight="1">
      <c r="A383" s="12"/>
      <c r="C383" s="12"/>
      <c r="D383" s="13"/>
      <c r="F383" s="14"/>
      <c r="G383" s="14"/>
      <c r="H383" s="14"/>
      <c r="I383" s="14"/>
      <c r="J383" s="14"/>
      <c r="K383" s="12"/>
    </row>
    <row r="384" ht="19.5" customHeight="1">
      <c r="A384" s="12"/>
      <c r="C384" s="12"/>
      <c r="D384" s="13"/>
      <c r="F384" s="14"/>
      <c r="G384" s="14"/>
      <c r="H384" s="14"/>
      <c r="I384" s="14"/>
      <c r="J384" s="14"/>
      <c r="K384" s="12"/>
    </row>
    <row r="385" ht="19.5" customHeight="1">
      <c r="A385" s="12"/>
      <c r="C385" s="12"/>
      <c r="D385" s="13"/>
      <c r="F385" s="14"/>
      <c r="G385" s="14"/>
      <c r="H385" s="14"/>
      <c r="I385" s="14"/>
      <c r="J385" s="14"/>
      <c r="K385" s="12"/>
    </row>
    <row r="386" ht="19.5" customHeight="1">
      <c r="A386" s="12"/>
      <c r="C386" s="12"/>
      <c r="D386" s="13"/>
      <c r="F386" s="14"/>
      <c r="G386" s="14"/>
      <c r="H386" s="14"/>
      <c r="I386" s="14"/>
      <c r="J386" s="14"/>
      <c r="K386" s="12"/>
    </row>
    <row r="387" ht="19.5" customHeight="1">
      <c r="A387" s="12"/>
      <c r="C387" s="12"/>
      <c r="D387" s="13"/>
      <c r="F387" s="14"/>
      <c r="G387" s="14"/>
      <c r="H387" s="14"/>
      <c r="I387" s="14"/>
      <c r="J387" s="14"/>
      <c r="K387" s="12"/>
    </row>
    <row r="388" ht="19.5" customHeight="1">
      <c r="A388" s="12"/>
      <c r="C388" s="12"/>
      <c r="D388" s="13"/>
      <c r="F388" s="14"/>
      <c r="G388" s="14"/>
      <c r="H388" s="14"/>
      <c r="I388" s="14"/>
      <c r="J388" s="14"/>
      <c r="K388" s="12"/>
    </row>
    <row r="389" ht="19.5" customHeight="1">
      <c r="A389" s="12"/>
      <c r="C389" s="12"/>
      <c r="D389" s="13"/>
      <c r="F389" s="14"/>
      <c r="G389" s="14"/>
      <c r="H389" s="14"/>
      <c r="I389" s="14"/>
      <c r="J389" s="14"/>
      <c r="K389" s="12"/>
    </row>
    <row r="390" ht="19.5" customHeight="1">
      <c r="A390" s="12"/>
      <c r="C390" s="12"/>
      <c r="D390" s="13"/>
      <c r="F390" s="14"/>
      <c r="G390" s="14"/>
      <c r="H390" s="14"/>
      <c r="I390" s="14"/>
      <c r="J390" s="14"/>
      <c r="K390" s="12"/>
    </row>
    <row r="391" ht="19.5" customHeight="1">
      <c r="A391" s="12"/>
      <c r="C391" s="12"/>
      <c r="D391" s="13"/>
      <c r="F391" s="14"/>
      <c r="G391" s="14"/>
      <c r="H391" s="14"/>
      <c r="I391" s="14"/>
      <c r="J391" s="14"/>
      <c r="K391" s="12"/>
    </row>
    <row r="392" ht="19.5" customHeight="1">
      <c r="A392" s="12"/>
      <c r="C392" s="12"/>
      <c r="D392" s="13"/>
      <c r="F392" s="14"/>
      <c r="G392" s="14"/>
      <c r="H392" s="14"/>
      <c r="I392" s="14"/>
      <c r="J392" s="14"/>
      <c r="K392" s="12"/>
    </row>
    <row r="393" ht="19.5" customHeight="1">
      <c r="A393" s="12"/>
      <c r="C393" s="12"/>
      <c r="D393" s="13"/>
      <c r="F393" s="14"/>
      <c r="G393" s="14"/>
      <c r="H393" s="14"/>
      <c r="I393" s="14"/>
      <c r="J393" s="14"/>
      <c r="K393" s="12"/>
    </row>
    <row r="394" ht="19.5" customHeight="1">
      <c r="A394" s="12"/>
      <c r="C394" s="12"/>
      <c r="D394" s="13"/>
      <c r="F394" s="14"/>
      <c r="G394" s="14"/>
      <c r="H394" s="14"/>
      <c r="I394" s="14"/>
      <c r="J394" s="14"/>
      <c r="K394" s="12"/>
    </row>
    <row r="395" ht="19.5" customHeight="1">
      <c r="A395" s="12"/>
      <c r="C395" s="12"/>
      <c r="D395" s="13"/>
      <c r="F395" s="14"/>
      <c r="G395" s="14"/>
      <c r="H395" s="14"/>
      <c r="I395" s="14"/>
      <c r="J395" s="14"/>
      <c r="K395" s="12"/>
    </row>
    <row r="396" ht="19.5" customHeight="1">
      <c r="A396" s="12"/>
      <c r="C396" s="12"/>
      <c r="D396" s="13"/>
      <c r="F396" s="14"/>
      <c r="G396" s="14"/>
      <c r="H396" s="14"/>
      <c r="I396" s="14"/>
      <c r="J396" s="14"/>
      <c r="K396" s="12"/>
    </row>
    <row r="397" ht="19.5" customHeight="1">
      <c r="A397" s="12"/>
      <c r="C397" s="12"/>
      <c r="D397" s="13"/>
      <c r="F397" s="14"/>
      <c r="G397" s="14"/>
      <c r="H397" s="14"/>
      <c r="I397" s="14"/>
      <c r="J397" s="14"/>
      <c r="K397" s="12"/>
    </row>
    <row r="398" ht="19.5" customHeight="1">
      <c r="A398" s="12"/>
      <c r="C398" s="12"/>
      <c r="D398" s="13"/>
      <c r="F398" s="14"/>
      <c r="G398" s="14"/>
      <c r="H398" s="14"/>
      <c r="I398" s="14"/>
      <c r="J398" s="14"/>
      <c r="K398" s="12"/>
    </row>
    <row r="399" ht="19.5" customHeight="1">
      <c r="A399" s="12"/>
      <c r="C399" s="12"/>
      <c r="D399" s="13"/>
      <c r="F399" s="14"/>
      <c r="G399" s="14"/>
      <c r="H399" s="14"/>
      <c r="I399" s="14"/>
      <c r="J399" s="14"/>
      <c r="K399" s="12"/>
    </row>
    <row r="400" ht="19.5" customHeight="1">
      <c r="A400" s="12"/>
      <c r="C400" s="12"/>
      <c r="D400" s="13"/>
      <c r="F400" s="14"/>
      <c r="G400" s="14"/>
      <c r="H400" s="14"/>
      <c r="I400" s="14"/>
      <c r="J400" s="14"/>
      <c r="K400" s="12"/>
    </row>
    <row r="401" ht="19.5" customHeight="1">
      <c r="A401" s="12"/>
      <c r="C401" s="12"/>
      <c r="D401" s="13"/>
      <c r="F401" s="14"/>
      <c r="G401" s="14"/>
      <c r="H401" s="14"/>
      <c r="I401" s="14"/>
      <c r="J401" s="14"/>
      <c r="K401" s="12"/>
    </row>
    <row r="402" ht="19.5" customHeight="1">
      <c r="A402" s="12"/>
      <c r="C402" s="12"/>
      <c r="D402" s="13"/>
      <c r="F402" s="14"/>
      <c r="G402" s="14"/>
      <c r="H402" s="14"/>
      <c r="I402" s="14"/>
      <c r="J402" s="14"/>
      <c r="K402" s="12"/>
    </row>
    <row r="403" ht="19.5" customHeight="1">
      <c r="A403" s="12"/>
      <c r="C403" s="12"/>
      <c r="D403" s="13"/>
      <c r="F403" s="14"/>
      <c r="G403" s="14"/>
      <c r="H403" s="14"/>
      <c r="I403" s="14"/>
      <c r="J403" s="14"/>
      <c r="K403" s="12"/>
    </row>
    <row r="404" ht="19.5" customHeight="1">
      <c r="A404" s="12"/>
      <c r="C404" s="12"/>
      <c r="D404" s="13"/>
      <c r="F404" s="14"/>
      <c r="G404" s="14"/>
      <c r="H404" s="14"/>
      <c r="I404" s="14"/>
      <c r="J404" s="14"/>
      <c r="K404" s="12"/>
    </row>
    <row r="405" ht="19.5" customHeight="1">
      <c r="A405" s="12"/>
      <c r="C405" s="12"/>
      <c r="D405" s="13"/>
      <c r="F405" s="14"/>
      <c r="G405" s="14"/>
      <c r="H405" s="14"/>
      <c r="I405" s="14"/>
      <c r="J405" s="14"/>
      <c r="K405" s="12"/>
    </row>
    <row r="406" ht="19.5" customHeight="1">
      <c r="A406" s="12"/>
      <c r="C406" s="12"/>
      <c r="D406" s="13"/>
      <c r="F406" s="14"/>
      <c r="G406" s="14"/>
      <c r="H406" s="14"/>
      <c r="I406" s="14"/>
      <c r="J406" s="14"/>
      <c r="K406" s="12"/>
    </row>
    <row r="407" ht="19.5" customHeight="1">
      <c r="A407" s="12"/>
      <c r="C407" s="12"/>
      <c r="D407" s="13"/>
      <c r="F407" s="14"/>
      <c r="G407" s="14"/>
      <c r="H407" s="14"/>
      <c r="I407" s="14"/>
      <c r="J407" s="14"/>
      <c r="K407" s="12"/>
    </row>
    <row r="408" ht="19.5" customHeight="1">
      <c r="A408" s="12"/>
      <c r="C408" s="12"/>
      <c r="D408" s="13"/>
      <c r="F408" s="14"/>
      <c r="G408" s="14"/>
      <c r="H408" s="14"/>
      <c r="I408" s="14"/>
      <c r="J408" s="14"/>
      <c r="K408" s="12"/>
    </row>
    <row r="409" ht="19.5" customHeight="1">
      <c r="A409" s="12"/>
      <c r="C409" s="12"/>
      <c r="D409" s="13"/>
      <c r="F409" s="14"/>
      <c r="G409" s="14"/>
      <c r="H409" s="14"/>
      <c r="I409" s="14"/>
      <c r="J409" s="14"/>
      <c r="K409" s="12"/>
    </row>
    <row r="410" ht="19.5" customHeight="1">
      <c r="A410" s="12"/>
      <c r="C410" s="12"/>
      <c r="D410" s="13"/>
      <c r="F410" s="14"/>
      <c r="G410" s="14"/>
      <c r="H410" s="14"/>
      <c r="I410" s="14"/>
      <c r="J410" s="14"/>
      <c r="K410" s="12"/>
    </row>
    <row r="411" ht="19.5" customHeight="1">
      <c r="A411" s="12"/>
      <c r="C411" s="12"/>
      <c r="D411" s="13"/>
      <c r="F411" s="14"/>
      <c r="G411" s="14"/>
      <c r="H411" s="14"/>
      <c r="I411" s="14"/>
      <c r="J411" s="14"/>
      <c r="K411" s="12"/>
    </row>
    <row r="412" ht="19.5" customHeight="1">
      <c r="A412" s="12"/>
      <c r="C412" s="12"/>
      <c r="D412" s="13"/>
      <c r="F412" s="14"/>
      <c r="G412" s="14"/>
      <c r="H412" s="14"/>
      <c r="I412" s="14"/>
      <c r="J412" s="14"/>
      <c r="K412" s="12"/>
    </row>
    <row r="413" ht="19.5" customHeight="1">
      <c r="A413" s="12"/>
      <c r="C413" s="12"/>
      <c r="D413" s="13"/>
      <c r="F413" s="14"/>
      <c r="G413" s="14"/>
      <c r="H413" s="14"/>
      <c r="I413" s="14"/>
      <c r="J413" s="14"/>
      <c r="K413" s="12"/>
    </row>
    <row r="414" ht="19.5" customHeight="1">
      <c r="A414" s="12"/>
      <c r="C414" s="12"/>
      <c r="D414" s="13"/>
      <c r="F414" s="14"/>
      <c r="G414" s="14"/>
      <c r="H414" s="14"/>
      <c r="I414" s="14"/>
      <c r="J414" s="14"/>
      <c r="K414" s="12"/>
    </row>
    <row r="415" ht="19.5" customHeight="1">
      <c r="A415" s="12"/>
      <c r="C415" s="12"/>
      <c r="D415" s="13"/>
      <c r="F415" s="14"/>
      <c r="G415" s="14"/>
      <c r="H415" s="14"/>
      <c r="I415" s="14"/>
      <c r="J415" s="14"/>
      <c r="K415" s="12"/>
    </row>
    <row r="416" ht="19.5" customHeight="1">
      <c r="A416" s="12"/>
      <c r="C416" s="12"/>
      <c r="D416" s="13"/>
      <c r="F416" s="14"/>
      <c r="G416" s="14"/>
      <c r="H416" s="14"/>
      <c r="I416" s="14"/>
      <c r="J416" s="14"/>
      <c r="K416" s="12"/>
    </row>
    <row r="417" ht="19.5" customHeight="1">
      <c r="A417" s="12"/>
      <c r="C417" s="12"/>
      <c r="D417" s="13"/>
      <c r="F417" s="14"/>
      <c r="G417" s="14"/>
      <c r="H417" s="14"/>
      <c r="I417" s="14"/>
      <c r="J417" s="14"/>
      <c r="K417" s="12"/>
    </row>
    <row r="418" ht="19.5" customHeight="1">
      <c r="A418" s="12"/>
      <c r="C418" s="12"/>
      <c r="D418" s="13"/>
      <c r="F418" s="14"/>
      <c r="G418" s="14"/>
      <c r="H418" s="14"/>
      <c r="I418" s="14"/>
      <c r="J418" s="14"/>
      <c r="K418" s="12"/>
    </row>
    <row r="419" ht="19.5" customHeight="1">
      <c r="A419" s="12"/>
      <c r="C419" s="12"/>
      <c r="D419" s="13"/>
      <c r="F419" s="14"/>
      <c r="G419" s="14"/>
      <c r="H419" s="14"/>
      <c r="I419" s="14"/>
      <c r="J419" s="14"/>
      <c r="K419" s="12"/>
    </row>
    <row r="420" ht="19.5" customHeight="1">
      <c r="A420" s="12"/>
      <c r="C420" s="12"/>
      <c r="D420" s="13"/>
      <c r="F420" s="14"/>
      <c r="G420" s="14"/>
      <c r="H420" s="14"/>
      <c r="I420" s="14"/>
      <c r="J420" s="14"/>
      <c r="K420" s="12"/>
    </row>
    <row r="421" ht="19.5" customHeight="1">
      <c r="A421" s="12"/>
      <c r="C421" s="12"/>
      <c r="D421" s="13"/>
      <c r="F421" s="14"/>
      <c r="G421" s="14"/>
      <c r="H421" s="14"/>
      <c r="I421" s="14"/>
      <c r="J421" s="14"/>
      <c r="K421" s="12"/>
    </row>
    <row r="422" ht="19.5" customHeight="1">
      <c r="A422" s="12"/>
      <c r="C422" s="12"/>
      <c r="D422" s="13"/>
      <c r="F422" s="14"/>
      <c r="G422" s="14"/>
      <c r="H422" s="14"/>
      <c r="I422" s="14"/>
      <c r="J422" s="14"/>
      <c r="K422" s="12"/>
    </row>
    <row r="423" ht="19.5" customHeight="1">
      <c r="A423" s="12"/>
      <c r="C423" s="12"/>
      <c r="D423" s="13"/>
      <c r="F423" s="14"/>
      <c r="G423" s="14"/>
      <c r="H423" s="14"/>
      <c r="I423" s="14"/>
      <c r="J423" s="14"/>
      <c r="K423" s="12"/>
    </row>
    <row r="424" ht="19.5" customHeight="1">
      <c r="A424" s="12"/>
      <c r="C424" s="12"/>
      <c r="D424" s="13"/>
      <c r="F424" s="14"/>
      <c r="G424" s="14"/>
      <c r="H424" s="14"/>
      <c r="I424" s="14"/>
      <c r="J424" s="14"/>
      <c r="K424" s="12"/>
    </row>
    <row r="425" ht="19.5" customHeight="1">
      <c r="A425" s="12"/>
      <c r="C425" s="12"/>
      <c r="D425" s="13"/>
      <c r="F425" s="14"/>
      <c r="G425" s="14"/>
      <c r="H425" s="14"/>
      <c r="I425" s="14"/>
      <c r="J425" s="14"/>
      <c r="K425" s="12"/>
    </row>
    <row r="426" ht="19.5" customHeight="1">
      <c r="A426" s="12"/>
      <c r="C426" s="12"/>
      <c r="D426" s="13"/>
      <c r="F426" s="14"/>
      <c r="G426" s="14"/>
      <c r="H426" s="14"/>
      <c r="I426" s="14"/>
      <c r="J426" s="14"/>
      <c r="K426" s="12"/>
    </row>
    <row r="427" ht="19.5" customHeight="1">
      <c r="A427" s="12"/>
      <c r="C427" s="12"/>
      <c r="D427" s="13"/>
      <c r="F427" s="14"/>
      <c r="G427" s="14"/>
      <c r="H427" s="14"/>
      <c r="I427" s="14"/>
      <c r="J427" s="14"/>
      <c r="K427" s="12"/>
    </row>
    <row r="428" ht="19.5" customHeight="1">
      <c r="A428" s="12"/>
      <c r="C428" s="12"/>
      <c r="D428" s="13"/>
      <c r="F428" s="14"/>
      <c r="G428" s="14"/>
      <c r="H428" s="14"/>
      <c r="I428" s="14"/>
      <c r="J428" s="14"/>
      <c r="K428" s="12"/>
    </row>
    <row r="429" ht="19.5" customHeight="1">
      <c r="A429" s="12"/>
      <c r="C429" s="12"/>
      <c r="D429" s="13"/>
      <c r="F429" s="14"/>
      <c r="G429" s="14"/>
      <c r="H429" s="14"/>
      <c r="I429" s="14"/>
      <c r="J429" s="14"/>
      <c r="K429" s="12"/>
    </row>
    <row r="430" ht="19.5" customHeight="1">
      <c r="A430" s="12"/>
      <c r="C430" s="12"/>
      <c r="D430" s="13"/>
      <c r="F430" s="14"/>
      <c r="G430" s="14"/>
      <c r="H430" s="14"/>
      <c r="I430" s="14"/>
      <c r="J430" s="14"/>
      <c r="K430" s="12"/>
    </row>
    <row r="431" ht="19.5" customHeight="1">
      <c r="A431" s="12"/>
      <c r="C431" s="12"/>
      <c r="D431" s="13"/>
      <c r="F431" s="14"/>
      <c r="G431" s="14"/>
      <c r="H431" s="14"/>
      <c r="I431" s="14"/>
      <c r="J431" s="14"/>
      <c r="K431" s="12"/>
    </row>
    <row r="432" ht="19.5" customHeight="1">
      <c r="A432" s="12"/>
      <c r="C432" s="12"/>
      <c r="D432" s="13"/>
      <c r="F432" s="14"/>
      <c r="G432" s="14"/>
      <c r="H432" s="14"/>
      <c r="I432" s="14"/>
      <c r="J432" s="14"/>
      <c r="K432" s="12"/>
    </row>
    <row r="433" ht="19.5" customHeight="1">
      <c r="A433" s="12"/>
      <c r="C433" s="12"/>
      <c r="D433" s="13"/>
      <c r="F433" s="14"/>
      <c r="G433" s="14"/>
      <c r="H433" s="14"/>
      <c r="I433" s="14"/>
      <c r="J433" s="14"/>
      <c r="K433" s="12"/>
    </row>
    <row r="434" ht="19.5" customHeight="1">
      <c r="A434" s="12"/>
      <c r="C434" s="12"/>
      <c r="D434" s="13"/>
      <c r="F434" s="14"/>
      <c r="G434" s="14"/>
      <c r="H434" s="14"/>
      <c r="I434" s="14"/>
      <c r="J434" s="14"/>
      <c r="K434" s="12"/>
    </row>
    <row r="435" ht="19.5" customHeight="1">
      <c r="A435" s="12"/>
      <c r="C435" s="12"/>
      <c r="D435" s="13"/>
      <c r="F435" s="14"/>
      <c r="G435" s="14"/>
      <c r="H435" s="14"/>
      <c r="I435" s="14"/>
      <c r="J435" s="14"/>
      <c r="K435" s="12"/>
    </row>
    <row r="436" ht="19.5" customHeight="1">
      <c r="A436" s="12"/>
      <c r="C436" s="12"/>
      <c r="D436" s="13"/>
      <c r="F436" s="14"/>
      <c r="G436" s="14"/>
      <c r="H436" s="14"/>
      <c r="I436" s="14"/>
      <c r="J436" s="14"/>
      <c r="K436" s="12"/>
    </row>
    <row r="437" ht="19.5" customHeight="1">
      <c r="A437" s="12"/>
      <c r="C437" s="12"/>
      <c r="D437" s="13"/>
      <c r="F437" s="14"/>
      <c r="G437" s="14"/>
      <c r="H437" s="14"/>
      <c r="I437" s="14"/>
      <c r="J437" s="14"/>
      <c r="K437" s="12"/>
    </row>
    <row r="438" ht="19.5" customHeight="1">
      <c r="A438" s="12"/>
      <c r="C438" s="12"/>
      <c r="D438" s="13"/>
      <c r="F438" s="14"/>
      <c r="G438" s="14"/>
      <c r="H438" s="14"/>
      <c r="I438" s="14"/>
      <c r="J438" s="14"/>
      <c r="K438" s="12"/>
    </row>
    <row r="439" ht="19.5" customHeight="1">
      <c r="A439" s="12"/>
      <c r="C439" s="12"/>
      <c r="D439" s="13"/>
      <c r="F439" s="14"/>
      <c r="G439" s="14"/>
      <c r="H439" s="14"/>
      <c r="I439" s="14"/>
      <c r="J439" s="14"/>
      <c r="K439" s="12"/>
    </row>
    <row r="440" ht="19.5" customHeight="1">
      <c r="A440" s="12"/>
      <c r="C440" s="12"/>
      <c r="D440" s="13"/>
      <c r="F440" s="14"/>
      <c r="G440" s="14"/>
      <c r="H440" s="14"/>
      <c r="I440" s="14"/>
      <c r="J440" s="14"/>
      <c r="K440" s="12"/>
    </row>
    <row r="441" ht="19.5" customHeight="1">
      <c r="A441" s="12"/>
      <c r="C441" s="12"/>
      <c r="D441" s="13"/>
      <c r="F441" s="14"/>
      <c r="G441" s="14"/>
      <c r="H441" s="14"/>
      <c r="I441" s="14"/>
      <c r="J441" s="14"/>
      <c r="K441" s="12"/>
    </row>
    <row r="442" ht="19.5" customHeight="1">
      <c r="A442" s="12"/>
      <c r="C442" s="12"/>
      <c r="D442" s="13"/>
      <c r="F442" s="14"/>
      <c r="G442" s="14"/>
      <c r="H442" s="14"/>
      <c r="I442" s="14"/>
      <c r="J442" s="14"/>
      <c r="K442" s="12"/>
    </row>
    <row r="443" ht="19.5" customHeight="1">
      <c r="A443" s="12"/>
      <c r="C443" s="12"/>
      <c r="D443" s="13"/>
      <c r="F443" s="14"/>
      <c r="G443" s="14"/>
      <c r="H443" s="14"/>
      <c r="I443" s="14"/>
      <c r="J443" s="14"/>
      <c r="K443" s="12"/>
    </row>
    <row r="444" ht="19.5" customHeight="1">
      <c r="A444" s="12"/>
      <c r="C444" s="12"/>
      <c r="D444" s="13"/>
      <c r="F444" s="14"/>
      <c r="G444" s="14"/>
      <c r="H444" s="14"/>
      <c r="I444" s="14"/>
      <c r="J444" s="14"/>
      <c r="K444" s="12"/>
    </row>
    <row r="445" ht="19.5" customHeight="1">
      <c r="A445" s="12"/>
      <c r="C445" s="12"/>
      <c r="D445" s="13"/>
      <c r="F445" s="14"/>
      <c r="G445" s="14"/>
      <c r="H445" s="14"/>
      <c r="I445" s="14"/>
      <c r="J445" s="14"/>
      <c r="K445" s="12"/>
    </row>
    <row r="446" ht="19.5" customHeight="1">
      <c r="A446" s="12"/>
      <c r="C446" s="12"/>
      <c r="D446" s="13"/>
      <c r="F446" s="14"/>
      <c r="G446" s="14"/>
      <c r="H446" s="14"/>
      <c r="I446" s="14"/>
      <c r="J446" s="14"/>
      <c r="K446" s="12"/>
    </row>
    <row r="447" ht="19.5" customHeight="1">
      <c r="A447" s="12"/>
      <c r="C447" s="12"/>
      <c r="D447" s="13"/>
      <c r="F447" s="14"/>
      <c r="G447" s="14"/>
      <c r="H447" s="14"/>
      <c r="I447" s="14"/>
      <c r="J447" s="14"/>
      <c r="K447" s="12"/>
    </row>
    <row r="448" ht="19.5" customHeight="1">
      <c r="A448" s="12"/>
      <c r="C448" s="12"/>
      <c r="D448" s="13"/>
      <c r="F448" s="14"/>
      <c r="G448" s="14"/>
      <c r="H448" s="14"/>
      <c r="I448" s="14"/>
      <c r="J448" s="14"/>
      <c r="K448" s="12"/>
    </row>
    <row r="449" ht="19.5" customHeight="1">
      <c r="A449" s="12"/>
      <c r="C449" s="12"/>
      <c r="D449" s="13"/>
      <c r="F449" s="14"/>
      <c r="G449" s="14"/>
      <c r="H449" s="14"/>
      <c r="I449" s="14"/>
      <c r="J449" s="14"/>
      <c r="K449" s="12"/>
    </row>
    <row r="450" ht="19.5" customHeight="1">
      <c r="A450" s="12"/>
      <c r="C450" s="12"/>
      <c r="D450" s="13"/>
      <c r="F450" s="14"/>
      <c r="G450" s="14"/>
      <c r="H450" s="14"/>
      <c r="I450" s="14"/>
      <c r="J450" s="14"/>
      <c r="K450" s="12"/>
    </row>
    <row r="451" ht="19.5" customHeight="1">
      <c r="A451" s="12"/>
      <c r="C451" s="12"/>
      <c r="D451" s="13"/>
      <c r="F451" s="14"/>
      <c r="G451" s="14"/>
      <c r="H451" s="14"/>
      <c r="I451" s="14"/>
      <c r="J451" s="14"/>
      <c r="K451" s="12"/>
    </row>
    <row r="452" ht="19.5" customHeight="1">
      <c r="A452" s="12"/>
      <c r="C452" s="12"/>
      <c r="D452" s="13"/>
      <c r="F452" s="14"/>
      <c r="G452" s="14"/>
      <c r="H452" s="14"/>
      <c r="I452" s="14"/>
      <c r="J452" s="14"/>
      <c r="K452" s="12"/>
    </row>
    <row r="453" ht="19.5" customHeight="1">
      <c r="A453" s="12"/>
      <c r="C453" s="12"/>
      <c r="D453" s="13"/>
      <c r="F453" s="14"/>
      <c r="G453" s="14"/>
      <c r="H453" s="14"/>
      <c r="I453" s="14"/>
      <c r="J453" s="14"/>
      <c r="K453" s="12"/>
    </row>
    <row r="454" ht="19.5" customHeight="1">
      <c r="A454" s="12"/>
      <c r="C454" s="12"/>
      <c r="D454" s="13"/>
      <c r="F454" s="14"/>
      <c r="G454" s="14"/>
      <c r="H454" s="14"/>
      <c r="I454" s="14"/>
      <c r="J454" s="14"/>
      <c r="K454" s="12"/>
    </row>
    <row r="455" ht="19.5" customHeight="1">
      <c r="A455" s="12"/>
      <c r="C455" s="12"/>
      <c r="D455" s="13"/>
      <c r="F455" s="14"/>
      <c r="G455" s="14"/>
      <c r="H455" s="14"/>
      <c r="I455" s="14"/>
      <c r="J455" s="14"/>
      <c r="K455" s="12"/>
    </row>
    <row r="456" ht="19.5" customHeight="1">
      <c r="A456" s="12"/>
      <c r="C456" s="12"/>
      <c r="D456" s="13"/>
      <c r="F456" s="14"/>
      <c r="G456" s="14"/>
      <c r="H456" s="14"/>
      <c r="I456" s="14"/>
      <c r="J456" s="14"/>
      <c r="K456" s="12"/>
    </row>
    <row r="457" ht="19.5" customHeight="1">
      <c r="A457" s="12"/>
      <c r="C457" s="12"/>
      <c r="D457" s="13"/>
      <c r="F457" s="14"/>
      <c r="G457" s="14"/>
      <c r="H457" s="14"/>
      <c r="I457" s="14"/>
      <c r="J457" s="14"/>
      <c r="K457" s="12"/>
    </row>
    <row r="458" ht="19.5" customHeight="1">
      <c r="A458" s="12"/>
      <c r="C458" s="12"/>
      <c r="D458" s="13"/>
      <c r="F458" s="14"/>
      <c r="G458" s="14"/>
      <c r="H458" s="14"/>
      <c r="I458" s="14"/>
      <c r="J458" s="14"/>
      <c r="K458" s="12"/>
    </row>
    <row r="459" ht="19.5" customHeight="1">
      <c r="A459" s="12"/>
      <c r="C459" s="12"/>
      <c r="D459" s="13"/>
      <c r="F459" s="14"/>
      <c r="G459" s="14"/>
      <c r="H459" s="14"/>
      <c r="I459" s="14"/>
      <c r="J459" s="14"/>
      <c r="K459" s="12"/>
    </row>
    <row r="460" ht="19.5" customHeight="1">
      <c r="A460" s="12"/>
      <c r="C460" s="12"/>
      <c r="D460" s="13"/>
      <c r="F460" s="14"/>
      <c r="G460" s="14"/>
      <c r="H460" s="14"/>
      <c r="I460" s="14"/>
      <c r="J460" s="14"/>
      <c r="K460" s="12"/>
    </row>
    <row r="461" ht="19.5" customHeight="1">
      <c r="A461" s="12"/>
      <c r="C461" s="12"/>
      <c r="D461" s="13"/>
      <c r="F461" s="14"/>
      <c r="G461" s="14"/>
      <c r="H461" s="14"/>
      <c r="I461" s="14"/>
      <c r="J461" s="14"/>
      <c r="K461" s="12"/>
    </row>
    <row r="462" ht="19.5" customHeight="1">
      <c r="A462" s="12"/>
      <c r="C462" s="12"/>
      <c r="D462" s="13"/>
      <c r="F462" s="14"/>
      <c r="G462" s="14"/>
      <c r="H462" s="14"/>
      <c r="I462" s="14"/>
      <c r="J462" s="14"/>
      <c r="K462" s="12"/>
    </row>
    <row r="463" ht="19.5" customHeight="1">
      <c r="A463" s="12"/>
      <c r="C463" s="12"/>
      <c r="D463" s="13"/>
      <c r="F463" s="14"/>
      <c r="G463" s="14"/>
      <c r="H463" s="14"/>
      <c r="I463" s="14"/>
      <c r="J463" s="14"/>
      <c r="K463" s="12"/>
    </row>
    <row r="464" ht="19.5" customHeight="1">
      <c r="A464" s="12"/>
      <c r="C464" s="12"/>
      <c r="D464" s="13"/>
      <c r="F464" s="14"/>
      <c r="G464" s="14"/>
      <c r="H464" s="14"/>
      <c r="I464" s="14"/>
      <c r="J464" s="14"/>
      <c r="K464" s="12"/>
    </row>
    <row r="465" ht="19.5" customHeight="1">
      <c r="A465" s="12"/>
      <c r="C465" s="12"/>
      <c r="D465" s="13"/>
      <c r="F465" s="14"/>
      <c r="G465" s="14"/>
      <c r="H465" s="14"/>
      <c r="I465" s="14"/>
      <c r="J465" s="14"/>
      <c r="K465" s="12"/>
    </row>
    <row r="466" ht="19.5" customHeight="1">
      <c r="A466" s="12"/>
      <c r="C466" s="12"/>
      <c r="D466" s="13"/>
      <c r="F466" s="14"/>
      <c r="G466" s="14"/>
      <c r="H466" s="14"/>
      <c r="I466" s="14"/>
      <c r="J466" s="14"/>
      <c r="K466" s="12"/>
    </row>
    <row r="467" ht="19.5" customHeight="1">
      <c r="A467" s="12"/>
      <c r="C467" s="12"/>
      <c r="D467" s="13"/>
      <c r="F467" s="14"/>
      <c r="G467" s="14"/>
      <c r="H467" s="14"/>
      <c r="I467" s="14"/>
      <c r="J467" s="14"/>
      <c r="K467" s="12"/>
    </row>
    <row r="468" ht="19.5" customHeight="1">
      <c r="A468" s="12"/>
      <c r="C468" s="12"/>
      <c r="D468" s="13"/>
      <c r="F468" s="14"/>
      <c r="G468" s="14"/>
      <c r="H468" s="14"/>
      <c r="I468" s="14"/>
      <c r="J468" s="14"/>
      <c r="K468" s="12"/>
    </row>
    <row r="469" ht="19.5" customHeight="1">
      <c r="A469" s="12"/>
      <c r="C469" s="12"/>
      <c r="D469" s="13"/>
      <c r="F469" s="14"/>
      <c r="G469" s="14"/>
      <c r="H469" s="14"/>
      <c r="I469" s="14"/>
      <c r="J469" s="14"/>
      <c r="K469" s="12"/>
    </row>
    <row r="470" ht="19.5" customHeight="1">
      <c r="A470" s="12"/>
      <c r="C470" s="12"/>
      <c r="D470" s="13"/>
      <c r="F470" s="14"/>
      <c r="G470" s="14"/>
      <c r="H470" s="14"/>
      <c r="I470" s="14"/>
      <c r="J470" s="14"/>
      <c r="K470" s="12"/>
    </row>
    <row r="471" ht="19.5" customHeight="1">
      <c r="A471" s="12"/>
      <c r="C471" s="12"/>
      <c r="D471" s="13"/>
      <c r="F471" s="14"/>
      <c r="G471" s="14"/>
      <c r="H471" s="14"/>
      <c r="I471" s="14"/>
      <c r="J471" s="14"/>
      <c r="K471" s="12"/>
    </row>
    <row r="472" ht="19.5" customHeight="1">
      <c r="A472" s="12"/>
      <c r="C472" s="12"/>
      <c r="D472" s="13"/>
      <c r="F472" s="14"/>
      <c r="G472" s="14"/>
      <c r="H472" s="14"/>
      <c r="I472" s="14"/>
      <c r="J472" s="14"/>
      <c r="K472" s="12"/>
    </row>
    <row r="473" ht="19.5" customHeight="1">
      <c r="A473" s="12"/>
      <c r="C473" s="12"/>
      <c r="D473" s="13"/>
      <c r="F473" s="14"/>
      <c r="G473" s="14"/>
      <c r="H473" s="14"/>
      <c r="I473" s="14"/>
      <c r="J473" s="14"/>
      <c r="K473" s="12"/>
    </row>
    <row r="474" ht="19.5" customHeight="1">
      <c r="A474" s="12"/>
      <c r="C474" s="12"/>
      <c r="D474" s="13"/>
      <c r="F474" s="14"/>
      <c r="G474" s="14"/>
      <c r="H474" s="14"/>
      <c r="I474" s="14"/>
      <c r="J474" s="14"/>
      <c r="K474" s="12"/>
    </row>
    <row r="475" ht="19.5" customHeight="1">
      <c r="A475" s="12"/>
      <c r="C475" s="12"/>
      <c r="D475" s="13"/>
      <c r="F475" s="14"/>
      <c r="G475" s="14"/>
      <c r="H475" s="14"/>
      <c r="I475" s="14"/>
      <c r="J475" s="14"/>
      <c r="K475" s="12"/>
    </row>
    <row r="476" ht="19.5" customHeight="1">
      <c r="A476" s="12"/>
      <c r="C476" s="12"/>
      <c r="D476" s="13"/>
      <c r="F476" s="14"/>
      <c r="G476" s="14"/>
      <c r="H476" s="14"/>
      <c r="I476" s="14"/>
      <c r="J476" s="14"/>
      <c r="K476" s="12"/>
    </row>
    <row r="477" ht="19.5" customHeight="1">
      <c r="A477" s="12"/>
      <c r="C477" s="12"/>
      <c r="D477" s="13"/>
      <c r="F477" s="14"/>
      <c r="G477" s="14"/>
      <c r="H477" s="14"/>
      <c r="I477" s="14"/>
      <c r="J477" s="14"/>
      <c r="K477" s="12"/>
    </row>
    <row r="478" ht="19.5" customHeight="1">
      <c r="A478" s="12"/>
      <c r="C478" s="12"/>
      <c r="D478" s="13"/>
      <c r="F478" s="14"/>
      <c r="G478" s="14"/>
      <c r="H478" s="14"/>
      <c r="I478" s="14"/>
      <c r="J478" s="14"/>
      <c r="K478" s="12"/>
    </row>
    <row r="479" ht="19.5" customHeight="1">
      <c r="A479" s="12"/>
      <c r="C479" s="12"/>
      <c r="D479" s="13"/>
      <c r="F479" s="14"/>
      <c r="G479" s="14"/>
      <c r="H479" s="14"/>
      <c r="I479" s="14"/>
      <c r="J479" s="14"/>
      <c r="K479" s="12"/>
    </row>
    <row r="480" ht="19.5" customHeight="1">
      <c r="A480" s="12"/>
      <c r="C480" s="12"/>
      <c r="D480" s="13"/>
      <c r="F480" s="14"/>
      <c r="G480" s="14"/>
      <c r="H480" s="14"/>
      <c r="I480" s="14"/>
      <c r="J480" s="14"/>
      <c r="K480" s="12"/>
    </row>
    <row r="481" ht="19.5" customHeight="1">
      <c r="A481" s="12"/>
      <c r="C481" s="12"/>
      <c r="D481" s="13"/>
      <c r="F481" s="14"/>
      <c r="G481" s="14"/>
      <c r="H481" s="14"/>
      <c r="I481" s="14"/>
      <c r="J481" s="14"/>
      <c r="K481" s="12"/>
    </row>
    <row r="482" ht="19.5" customHeight="1">
      <c r="A482" s="12"/>
      <c r="C482" s="12"/>
      <c r="D482" s="13"/>
      <c r="F482" s="14"/>
      <c r="G482" s="14"/>
      <c r="H482" s="14"/>
      <c r="I482" s="14"/>
      <c r="J482" s="14"/>
      <c r="K482" s="12"/>
    </row>
    <row r="483" ht="19.5" customHeight="1">
      <c r="A483" s="12"/>
      <c r="C483" s="12"/>
      <c r="D483" s="13"/>
      <c r="F483" s="14"/>
      <c r="G483" s="14"/>
      <c r="H483" s="14"/>
      <c r="I483" s="14"/>
      <c r="J483" s="14"/>
      <c r="K483" s="12"/>
    </row>
    <row r="484" ht="19.5" customHeight="1">
      <c r="A484" s="12"/>
      <c r="C484" s="12"/>
      <c r="D484" s="13"/>
      <c r="F484" s="14"/>
      <c r="G484" s="14"/>
      <c r="H484" s="14"/>
      <c r="I484" s="14"/>
      <c r="J484" s="14"/>
      <c r="K484" s="12"/>
    </row>
    <row r="485" ht="19.5" customHeight="1">
      <c r="A485" s="12"/>
      <c r="C485" s="12"/>
      <c r="D485" s="13"/>
      <c r="F485" s="14"/>
      <c r="G485" s="14"/>
      <c r="H485" s="14"/>
      <c r="I485" s="14"/>
      <c r="J485" s="14"/>
      <c r="K485" s="12"/>
    </row>
    <row r="486" ht="19.5" customHeight="1">
      <c r="A486" s="12"/>
      <c r="C486" s="12"/>
      <c r="D486" s="13"/>
      <c r="F486" s="14"/>
      <c r="G486" s="14"/>
      <c r="H486" s="14"/>
      <c r="I486" s="14"/>
      <c r="J486" s="14"/>
      <c r="K486" s="12"/>
    </row>
    <row r="487" ht="19.5" customHeight="1">
      <c r="A487" s="12"/>
      <c r="C487" s="12"/>
      <c r="D487" s="13"/>
      <c r="F487" s="14"/>
      <c r="G487" s="14"/>
      <c r="H487" s="14"/>
      <c r="I487" s="14"/>
      <c r="J487" s="14"/>
      <c r="K487" s="12"/>
    </row>
    <row r="488" ht="19.5" customHeight="1">
      <c r="A488" s="12"/>
      <c r="C488" s="12"/>
      <c r="D488" s="13"/>
      <c r="F488" s="14"/>
      <c r="G488" s="14"/>
      <c r="H488" s="14"/>
      <c r="I488" s="14"/>
      <c r="J488" s="14"/>
      <c r="K488" s="12"/>
    </row>
    <row r="489" ht="19.5" customHeight="1">
      <c r="A489" s="12"/>
      <c r="C489" s="12"/>
      <c r="D489" s="13"/>
      <c r="F489" s="14"/>
      <c r="G489" s="14"/>
      <c r="H489" s="14"/>
      <c r="I489" s="14"/>
      <c r="J489" s="14"/>
      <c r="K489" s="12"/>
    </row>
    <row r="490" ht="19.5" customHeight="1">
      <c r="A490" s="12"/>
      <c r="C490" s="12"/>
      <c r="D490" s="13"/>
      <c r="F490" s="14"/>
      <c r="G490" s="14"/>
      <c r="H490" s="14"/>
      <c r="I490" s="14"/>
      <c r="J490" s="14"/>
      <c r="K490" s="12"/>
    </row>
    <row r="491" ht="19.5" customHeight="1">
      <c r="A491" s="12"/>
      <c r="C491" s="12"/>
      <c r="D491" s="13"/>
      <c r="F491" s="14"/>
      <c r="G491" s="14"/>
      <c r="H491" s="14"/>
      <c r="I491" s="14"/>
      <c r="J491" s="14"/>
      <c r="K491" s="12"/>
    </row>
    <row r="492" ht="19.5" customHeight="1">
      <c r="A492" s="12"/>
      <c r="C492" s="12"/>
      <c r="D492" s="13"/>
      <c r="F492" s="14"/>
      <c r="G492" s="14"/>
      <c r="H492" s="14"/>
      <c r="I492" s="14"/>
      <c r="J492" s="14"/>
      <c r="K492" s="12"/>
    </row>
    <row r="493" ht="19.5" customHeight="1">
      <c r="A493" s="12"/>
      <c r="C493" s="12"/>
      <c r="D493" s="13"/>
      <c r="F493" s="14"/>
      <c r="G493" s="14"/>
      <c r="H493" s="14"/>
      <c r="I493" s="14"/>
      <c r="J493" s="14"/>
      <c r="K493" s="12"/>
    </row>
    <row r="494" ht="19.5" customHeight="1">
      <c r="A494" s="12"/>
      <c r="C494" s="12"/>
      <c r="D494" s="13"/>
      <c r="F494" s="14"/>
      <c r="G494" s="14"/>
      <c r="H494" s="14"/>
      <c r="I494" s="14"/>
      <c r="J494" s="14"/>
      <c r="K494" s="12"/>
    </row>
    <row r="495" ht="19.5" customHeight="1">
      <c r="A495" s="12"/>
      <c r="C495" s="12"/>
      <c r="D495" s="13"/>
      <c r="F495" s="14"/>
      <c r="G495" s="14"/>
      <c r="H495" s="14"/>
      <c r="I495" s="14"/>
      <c r="J495" s="14"/>
      <c r="K495" s="12"/>
    </row>
    <row r="496" ht="19.5" customHeight="1">
      <c r="A496" s="12"/>
      <c r="C496" s="12"/>
      <c r="D496" s="13"/>
      <c r="F496" s="14"/>
      <c r="G496" s="14"/>
      <c r="H496" s="14"/>
      <c r="I496" s="14"/>
      <c r="J496" s="14"/>
      <c r="K496" s="12"/>
    </row>
    <row r="497" ht="19.5" customHeight="1">
      <c r="A497" s="12"/>
      <c r="C497" s="12"/>
      <c r="D497" s="13"/>
      <c r="F497" s="14"/>
      <c r="G497" s="14"/>
      <c r="H497" s="14"/>
      <c r="I497" s="14"/>
      <c r="J497" s="14"/>
      <c r="K497" s="12"/>
    </row>
    <row r="498" ht="19.5" customHeight="1">
      <c r="A498" s="12"/>
      <c r="C498" s="12"/>
      <c r="D498" s="13"/>
      <c r="F498" s="14"/>
      <c r="G498" s="14"/>
      <c r="H498" s="14"/>
      <c r="I498" s="14"/>
      <c r="J498" s="14"/>
      <c r="K498" s="12"/>
    </row>
    <row r="499" ht="19.5" customHeight="1">
      <c r="A499" s="12"/>
      <c r="C499" s="12"/>
      <c r="D499" s="13"/>
      <c r="F499" s="14"/>
      <c r="G499" s="14"/>
      <c r="H499" s="14"/>
      <c r="I499" s="14"/>
      <c r="J499" s="14"/>
      <c r="K499" s="12"/>
    </row>
    <row r="500" ht="19.5" customHeight="1">
      <c r="A500" s="12"/>
      <c r="C500" s="12"/>
      <c r="D500" s="13"/>
      <c r="F500" s="14"/>
      <c r="G500" s="14"/>
      <c r="H500" s="14"/>
      <c r="I500" s="14"/>
      <c r="J500" s="14"/>
      <c r="K500" s="12"/>
    </row>
    <row r="501" ht="19.5" customHeight="1">
      <c r="A501" s="12"/>
      <c r="C501" s="12"/>
      <c r="D501" s="13"/>
      <c r="F501" s="14"/>
      <c r="G501" s="14"/>
      <c r="H501" s="14"/>
      <c r="I501" s="14"/>
      <c r="J501" s="14"/>
      <c r="K501" s="12"/>
    </row>
    <row r="502" ht="19.5" customHeight="1">
      <c r="A502" s="12"/>
      <c r="C502" s="12"/>
      <c r="D502" s="13"/>
      <c r="F502" s="14"/>
      <c r="G502" s="14"/>
      <c r="H502" s="14"/>
      <c r="I502" s="14"/>
      <c r="J502" s="14"/>
      <c r="K502" s="12"/>
    </row>
    <row r="503" ht="19.5" customHeight="1">
      <c r="A503" s="12"/>
      <c r="C503" s="12"/>
      <c r="D503" s="13"/>
      <c r="F503" s="14"/>
      <c r="G503" s="14"/>
      <c r="H503" s="14"/>
      <c r="I503" s="14"/>
      <c r="J503" s="14"/>
      <c r="K503" s="12"/>
    </row>
    <row r="504" ht="19.5" customHeight="1">
      <c r="A504" s="12"/>
      <c r="C504" s="12"/>
      <c r="D504" s="13"/>
      <c r="F504" s="14"/>
      <c r="G504" s="14"/>
      <c r="H504" s="14"/>
      <c r="I504" s="14"/>
      <c r="J504" s="14"/>
      <c r="K504" s="12"/>
    </row>
    <row r="505" ht="19.5" customHeight="1">
      <c r="A505" s="12"/>
      <c r="C505" s="12"/>
      <c r="D505" s="13"/>
      <c r="F505" s="14"/>
      <c r="G505" s="14"/>
      <c r="H505" s="14"/>
      <c r="I505" s="14"/>
      <c r="J505" s="14"/>
      <c r="K505" s="12"/>
    </row>
    <row r="506" ht="19.5" customHeight="1">
      <c r="A506" s="12"/>
      <c r="C506" s="12"/>
      <c r="D506" s="13"/>
      <c r="F506" s="14"/>
      <c r="G506" s="14"/>
      <c r="H506" s="14"/>
      <c r="I506" s="14"/>
      <c r="J506" s="14"/>
      <c r="K506" s="12"/>
    </row>
    <row r="507" ht="19.5" customHeight="1">
      <c r="A507" s="12"/>
      <c r="C507" s="12"/>
      <c r="D507" s="13"/>
      <c r="F507" s="14"/>
      <c r="G507" s="14"/>
      <c r="H507" s="14"/>
      <c r="I507" s="14"/>
      <c r="J507" s="14"/>
      <c r="K507" s="12"/>
    </row>
    <row r="508" ht="19.5" customHeight="1">
      <c r="A508" s="12"/>
      <c r="C508" s="12"/>
      <c r="D508" s="13"/>
      <c r="F508" s="14"/>
      <c r="G508" s="14"/>
      <c r="H508" s="14"/>
      <c r="I508" s="14"/>
      <c r="J508" s="14"/>
      <c r="K508" s="12"/>
    </row>
    <row r="509" ht="19.5" customHeight="1">
      <c r="A509" s="12"/>
      <c r="C509" s="12"/>
      <c r="D509" s="13"/>
      <c r="F509" s="14"/>
      <c r="G509" s="14"/>
      <c r="H509" s="14"/>
      <c r="I509" s="14"/>
      <c r="J509" s="14"/>
      <c r="K509" s="12"/>
    </row>
    <row r="510" ht="19.5" customHeight="1">
      <c r="A510" s="12"/>
      <c r="C510" s="12"/>
      <c r="D510" s="13"/>
      <c r="F510" s="14"/>
      <c r="G510" s="14"/>
      <c r="H510" s="14"/>
      <c r="I510" s="14"/>
      <c r="J510" s="14"/>
      <c r="K510" s="12"/>
    </row>
    <row r="511" ht="19.5" customHeight="1">
      <c r="A511" s="12"/>
      <c r="C511" s="12"/>
      <c r="D511" s="13"/>
      <c r="F511" s="14"/>
      <c r="G511" s="14"/>
      <c r="H511" s="14"/>
      <c r="I511" s="14"/>
      <c r="J511" s="14"/>
      <c r="K511" s="12"/>
    </row>
    <row r="512" ht="19.5" customHeight="1">
      <c r="A512" s="12"/>
      <c r="C512" s="12"/>
      <c r="D512" s="13"/>
      <c r="F512" s="14"/>
      <c r="G512" s="14"/>
      <c r="H512" s="14"/>
      <c r="I512" s="14"/>
      <c r="J512" s="14"/>
      <c r="K512" s="12"/>
    </row>
    <row r="513" ht="19.5" customHeight="1">
      <c r="A513" s="12"/>
      <c r="C513" s="12"/>
      <c r="D513" s="13"/>
      <c r="F513" s="14"/>
      <c r="G513" s="14"/>
      <c r="H513" s="14"/>
      <c r="I513" s="14"/>
      <c r="J513" s="14"/>
      <c r="K513" s="12"/>
    </row>
    <row r="514" ht="19.5" customHeight="1">
      <c r="A514" s="12"/>
      <c r="C514" s="12"/>
      <c r="D514" s="13"/>
      <c r="F514" s="14"/>
      <c r="G514" s="14"/>
      <c r="H514" s="14"/>
      <c r="I514" s="14"/>
      <c r="J514" s="14"/>
      <c r="K514" s="12"/>
    </row>
    <row r="515" ht="19.5" customHeight="1">
      <c r="A515" s="12"/>
      <c r="C515" s="12"/>
      <c r="D515" s="13"/>
      <c r="F515" s="14"/>
      <c r="G515" s="14"/>
      <c r="H515" s="14"/>
      <c r="I515" s="14"/>
      <c r="J515" s="14"/>
      <c r="K515" s="12"/>
    </row>
    <row r="516" ht="19.5" customHeight="1">
      <c r="A516" s="12"/>
      <c r="C516" s="12"/>
      <c r="D516" s="13"/>
      <c r="F516" s="14"/>
      <c r="G516" s="14"/>
      <c r="H516" s="14"/>
      <c r="I516" s="14"/>
      <c r="J516" s="14"/>
      <c r="K516" s="12"/>
    </row>
    <row r="517" ht="19.5" customHeight="1">
      <c r="A517" s="12"/>
      <c r="C517" s="12"/>
      <c r="D517" s="13"/>
      <c r="F517" s="14"/>
      <c r="G517" s="14"/>
      <c r="H517" s="14"/>
      <c r="I517" s="14"/>
      <c r="J517" s="14"/>
      <c r="K517" s="12"/>
    </row>
    <row r="518" ht="19.5" customHeight="1">
      <c r="A518" s="12"/>
      <c r="C518" s="12"/>
      <c r="D518" s="13"/>
      <c r="F518" s="14"/>
      <c r="G518" s="14"/>
      <c r="H518" s="14"/>
      <c r="I518" s="14"/>
      <c r="J518" s="14"/>
      <c r="K518" s="12"/>
    </row>
    <row r="519" ht="19.5" customHeight="1">
      <c r="A519" s="12"/>
      <c r="C519" s="12"/>
      <c r="D519" s="13"/>
      <c r="F519" s="14"/>
      <c r="G519" s="14"/>
      <c r="H519" s="14"/>
      <c r="I519" s="14"/>
      <c r="J519" s="14"/>
      <c r="K519" s="12"/>
    </row>
    <row r="520" ht="19.5" customHeight="1">
      <c r="A520" s="12"/>
      <c r="C520" s="12"/>
      <c r="D520" s="13"/>
      <c r="F520" s="14"/>
      <c r="G520" s="14"/>
      <c r="H520" s="14"/>
      <c r="I520" s="14"/>
      <c r="J520" s="14"/>
      <c r="K520" s="12"/>
    </row>
    <row r="521" ht="19.5" customHeight="1">
      <c r="A521" s="12"/>
      <c r="C521" s="12"/>
      <c r="D521" s="13"/>
      <c r="F521" s="14"/>
      <c r="G521" s="14"/>
      <c r="H521" s="14"/>
      <c r="I521" s="14"/>
      <c r="J521" s="14"/>
      <c r="K521" s="12"/>
    </row>
    <row r="522" ht="19.5" customHeight="1">
      <c r="A522" s="12"/>
      <c r="C522" s="12"/>
      <c r="D522" s="13"/>
      <c r="F522" s="14"/>
      <c r="G522" s="14"/>
      <c r="H522" s="14"/>
      <c r="I522" s="14"/>
      <c r="J522" s="14"/>
      <c r="K522" s="12"/>
    </row>
    <row r="523" ht="19.5" customHeight="1">
      <c r="A523" s="12"/>
      <c r="C523" s="12"/>
      <c r="D523" s="13"/>
      <c r="F523" s="14"/>
      <c r="G523" s="14"/>
      <c r="H523" s="14"/>
      <c r="I523" s="14"/>
      <c r="J523" s="14"/>
      <c r="K523" s="12"/>
    </row>
    <row r="524" ht="19.5" customHeight="1">
      <c r="A524" s="12"/>
      <c r="C524" s="12"/>
      <c r="D524" s="13"/>
      <c r="F524" s="14"/>
      <c r="G524" s="14"/>
      <c r="H524" s="14"/>
      <c r="I524" s="14"/>
      <c r="J524" s="14"/>
      <c r="K524" s="12"/>
    </row>
    <row r="525" ht="19.5" customHeight="1">
      <c r="A525" s="12"/>
      <c r="C525" s="12"/>
      <c r="D525" s="13"/>
      <c r="F525" s="14"/>
      <c r="G525" s="14"/>
      <c r="H525" s="14"/>
      <c r="I525" s="14"/>
      <c r="J525" s="14"/>
      <c r="K525" s="12"/>
    </row>
    <row r="526" ht="19.5" customHeight="1">
      <c r="A526" s="12"/>
      <c r="C526" s="12"/>
      <c r="D526" s="13"/>
      <c r="F526" s="14"/>
      <c r="G526" s="14"/>
      <c r="H526" s="14"/>
      <c r="I526" s="14"/>
      <c r="J526" s="14"/>
      <c r="K526" s="12"/>
    </row>
    <row r="527" ht="19.5" customHeight="1">
      <c r="A527" s="12"/>
      <c r="C527" s="12"/>
      <c r="D527" s="13"/>
      <c r="F527" s="14"/>
      <c r="G527" s="14"/>
      <c r="H527" s="14"/>
      <c r="I527" s="14"/>
      <c r="J527" s="14"/>
      <c r="K527" s="12"/>
    </row>
    <row r="528" ht="19.5" customHeight="1">
      <c r="A528" s="12"/>
      <c r="C528" s="12"/>
      <c r="D528" s="13"/>
      <c r="F528" s="14"/>
      <c r="G528" s="14"/>
      <c r="H528" s="14"/>
      <c r="I528" s="14"/>
      <c r="J528" s="14"/>
      <c r="K528" s="12"/>
    </row>
    <row r="529" ht="19.5" customHeight="1">
      <c r="A529" s="12"/>
      <c r="C529" s="12"/>
      <c r="D529" s="13"/>
      <c r="F529" s="14"/>
      <c r="G529" s="14"/>
      <c r="H529" s="14"/>
      <c r="I529" s="14"/>
      <c r="J529" s="14"/>
      <c r="K529" s="12"/>
    </row>
    <row r="530" ht="19.5" customHeight="1">
      <c r="A530" s="12"/>
      <c r="C530" s="12"/>
      <c r="D530" s="13"/>
      <c r="F530" s="14"/>
      <c r="G530" s="14"/>
      <c r="H530" s="14"/>
      <c r="I530" s="14"/>
      <c r="J530" s="14"/>
      <c r="K530" s="12"/>
    </row>
    <row r="531" ht="19.5" customHeight="1">
      <c r="A531" s="12"/>
      <c r="C531" s="12"/>
      <c r="D531" s="13"/>
      <c r="F531" s="14"/>
      <c r="G531" s="14"/>
      <c r="H531" s="14"/>
      <c r="I531" s="14"/>
      <c r="J531" s="14"/>
      <c r="K531" s="12"/>
    </row>
    <row r="532" ht="19.5" customHeight="1">
      <c r="A532" s="12"/>
      <c r="C532" s="12"/>
      <c r="D532" s="13"/>
      <c r="F532" s="14"/>
      <c r="G532" s="14"/>
      <c r="H532" s="14"/>
      <c r="I532" s="14"/>
      <c r="J532" s="14"/>
      <c r="K532" s="12"/>
    </row>
    <row r="533" ht="19.5" customHeight="1">
      <c r="A533" s="12"/>
      <c r="C533" s="12"/>
      <c r="D533" s="13"/>
      <c r="F533" s="14"/>
      <c r="G533" s="14"/>
      <c r="H533" s="14"/>
      <c r="I533" s="14"/>
      <c r="J533" s="14"/>
      <c r="K533" s="12"/>
    </row>
    <row r="534" ht="19.5" customHeight="1">
      <c r="A534" s="12"/>
      <c r="C534" s="12"/>
      <c r="D534" s="13"/>
      <c r="F534" s="14"/>
      <c r="G534" s="14"/>
      <c r="H534" s="14"/>
      <c r="I534" s="14"/>
      <c r="J534" s="14"/>
      <c r="K534" s="12"/>
    </row>
    <row r="535" ht="19.5" customHeight="1">
      <c r="A535" s="12"/>
      <c r="C535" s="12"/>
      <c r="D535" s="13"/>
      <c r="F535" s="14"/>
      <c r="G535" s="14"/>
      <c r="H535" s="14"/>
      <c r="I535" s="14"/>
      <c r="J535" s="14"/>
      <c r="K535" s="12"/>
    </row>
    <row r="536" ht="19.5" customHeight="1">
      <c r="A536" s="12"/>
      <c r="C536" s="12"/>
      <c r="D536" s="13"/>
      <c r="F536" s="14"/>
      <c r="G536" s="14"/>
      <c r="H536" s="14"/>
      <c r="I536" s="14"/>
      <c r="J536" s="14"/>
      <c r="K536" s="12"/>
    </row>
    <row r="537" ht="19.5" customHeight="1">
      <c r="A537" s="12"/>
      <c r="C537" s="12"/>
      <c r="D537" s="13"/>
      <c r="F537" s="14"/>
      <c r="G537" s="14"/>
      <c r="H537" s="14"/>
      <c r="I537" s="14"/>
      <c r="J537" s="14"/>
      <c r="K537" s="12"/>
    </row>
    <row r="538" ht="19.5" customHeight="1">
      <c r="A538" s="12"/>
      <c r="C538" s="12"/>
      <c r="D538" s="13"/>
      <c r="F538" s="14"/>
      <c r="G538" s="14"/>
      <c r="H538" s="14"/>
      <c r="I538" s="14"/>
      <c r="J538" s="14"/>
      <c r="K538" s="12"/>
    </row>
    <row r="539" ht="19.5" customHeight="1">
      <c r="A539" s="12"/>
      <c r="C539" s="12"/>
      <c r="D539" s="13"/>
      <c r="F539" s="14"/>
      <c r="G539" s="14"/>
      <c r="H539" s="14"/>
      <c r="I539" s="14"/>
      <c r="J539" s="14"/>
      <c r="K539" s="12"/>
    </row>
    <row r="540" ht="19.5" customHeight="1">
      <c r="A540" s="12"/>
      <c r="C540" s="12"/>
      <c r="D540" s="13"/>
      <c r="F540" s="14"/>
      <c r="G540" s="14"/>
      <c r="H540" s="14"/>
      <c r="I540" s="14"/>
      <c r="J540" s="14"/>
      <c r="K540" s="12"/>
    </row>
    <row r="541" ht="19.5" customHeight="1">
      <c r="A541" s="12"/>
      <c r="C541" s="12"/>
      <c r="D541" s="13"/>
      <c r="F541" s="14"/>
      <c r="G541" s="14"/>
      <c r="H541" s="14"/>
      <c r="I541" s="14"/>
      <c r="J541" s="14"/>
      <c r="K541" s="12"/>
    </row>
    <row r="542" ht="19.5" customHeight="1">
      <c r="A542" s="12"/>
      <c r="C542" s="12"/>
      <c r="D542" s="13"/>
      <c r="F542" s="14"/>
      <c r="G542" s="14"/>
      <c r="H542" s="14"/>
      <c r="I542" s="14"/>
      <c r="J542" s="14"/>
      <c r="K542" s="12"/>
    </row>
    <row r="543" ht="19.5" customHeight="1">
      <c r="A543" s="12"/>
      <c r="C543" s="12"/>
      <c r="D543" s="13"/>
      <c r="F543" s="14"/>
      <c r="G543" s="14"/>
      <c r="H543" s="14"/>
      <c r="I543" s="14"/>
      <c r="J543" s="14"/>
      <c r="K543" s="12"/>
    </row>
    <row r="544" ht="19.5" customHeight="1">
      <c r="A544" s="12"/>
      <c r="C544" s="12"/>
      <c r="D544" s="13"/>
      <c r="F544" s="14"/>
      <c r="G544" s="14"/>
      <c r="H544" s="14"/>
      <c r="I544" s="14"/>
      <c r="J544" s="14"/>
      <c r="K544" s="12"/>
    </row>
    <row r="545" ht="19.5" customHeight="1">
      <c r="A545" s="12"/>
      <c r="C545" s="12"/>
      <c r="D545" s="13"/>
      <c r="F545" s="14"/>
      <c r="G545" s="14"/>
      <c r="H545" s="14"/>
      <c r="I545" s="14"/>
      <c r="J545" s="14"/>
      <c r="K545" s="12"/>
    </row>
    <row r="546" ht="19.5" customHeight="1">
      <c r="A546" s="12"/>
      <c r="C546" s="12"/>
      <c r="D546" s="13"/>
      <c r="F546" s="14"/>
      <c r="G546" s="14"/>
      <c r="H546" s="14"/>
      <c r="I546" s="14"/>
      <c r="J546" s="14"/>
      <c r="K546" s="12"/>
    </row>
    <row r="547" ht="19.5" customHeight="1">
      <c r="A547" s="12"/>
      <c r="C547" s="12"/>
      <c r="D547" s="13"/>
      <c r="F547" s="14"/>
      <c r="G547" s="14"/>
      <c r="H547" s="14"/>
      <c r="I547" s="14"/>
      <c r="J547" s="14"/>
      <c r="K547" s="12"/>
    </row>
    <row r="548" ht="19.5" customHeight="1">
      <c r="A548" s="12"/>
      <c r="C548" s="12"/>
      <c r="D548" s="13"/>
      <c r="F548" s="14"/>
      <c r="G548" s="14"/>
      <c r="H548" s="14"/>
      <c r="I548" s="14"/>
      <c r="J548" s="14"/>
      <c r="K548" s="12"/>
    </row>
    <row r="549" ht="19.5" customHeight="1">
      <c r="A549" s="12"/>
      <c r="C549" s="12"/>
      <c r="D549" s="13"/>
      <c r="F549" s="14"/>
      <c r="G549" s="14"/>
      <c r="H549" s="14"/>
      <c r="I549" s="14"/>
      <c r="J549" s="14"/>
      <c r="K549" s="12"/>
    </row>
    <row r="550" ht="19.5" customHeight="1">
      <c r="A550" s="12"/>
      <c r="C550" s="12"/>
      <c r="D550" s="13"/>
      <c r="F550" s="14"/>
      <c r="G550" s="14"/>
      <c r="H550" s="14"/>
      <c r="I550" s="14"/>
      <c r="J550" s="14"/>
      <c r="K550" s="12"/>
    </row>
    <row r="551" ht="19.5" customHeight="1">
      <c r="A551" s="12"/>
      <c r="C551" s="12"/>
      <c r="D551" s="13"/>
      <c r="F551" s="14"/>
      <c r="G551" s="14"/>
      <c r="H551" s="14"/>
      <c r="I551" s="14"/>
      <c r="J551" s="14"/>
      <c r="K551" s="12"/>
    </row>
    <row r="552" ht="19.5" customHeight="1">
      <c r="A552" s="12"/>
      <c r="C552" s="12"/>
      <c r="D552" s="13"/>
      <c r="F552" s="14"/>
      <c r="G552" s="14"/>
      <c r="H552" s="14"/>
      <c r="I552" s="14"/>
      <c r="J552" s="14"/>
      <c r="K552" s="12"/>
    </row>
    <row r="553" ht="19.5" customHeight="1">
      <c r="A553" s="12"/>
      <c r="C553" s="12"/>
      <c r="D553" s="13"/>
      <c r="F553" s="14"/>
      <c r="G553" s="14"/>
      <c r="H553" s="14"/>
      <c r="I553" s="14"/>
      <c r="J553" s="14"/>
      <c r="K553" s="12"/>
    </row>
    <row r="554" ht="19.5" customHeight="1">
      <c r="A554" s="12"/>
      <c r="C554" s="12"/>
      <c r="D554" s="13"/>
      <c r="F554" s="14"/>
      <c r="G554" s="14"/>
      <c r="H554" s="14"/>
      <c r="I554" s="14"/>
      <c r="J554" s="14"/>
      <c r="K554" s="12"/>
    </row>
    <row r="555" ht="19.5" customHeight="1">
      <c r="A555" s="12"/>
      <c r="C555" s="12"/>
      <c r="D555" s="13"/>
      <c r="F555" s="14"/>
      <c r="G555" s="14"/>
      <c r="H555" s="14"/>
      <c r="I555" s="14"/>
      <c r="J555" s="14"/>
      <c r="K555" s="12"/>
    </row>
    <row r="556" ht="19.5" customHeight="1">
      <c r="A556" s="12"/>
      <c r="C556" s="12"/>
      <c r="D556" s="13"/>
      <c r="F556" s="14"/>
      <c r="G556" s="14"/>
      <c r="H556" s="14"/>
      <c r="I556" s="14"/>
      <c r="J556" s="14"/>
      <c r="K556" s="12"/>
    </row>
    <row r="557" ht="19.5" customHeight="1">
      <c r="A557" s="12"/>
      <c r="C557" s="12"/>
      <c r="D557" s="13"/>
      <c r="F557" s="14"/>
      <c r="G557" s="14"/>
      <c r="H557" s="14"/>
      <c r="I557" s="14"/>
      <c r="J557" s="14"/>
      <c r="K557" s="12"/>
    </row>
    <row r="558" ht="19.5" customHeight="1">
      <c r="A558" s="12"/>
      <c r="C558" s="12"/>
      <c r="D558" s="13"/>
      <c r="F558" s="14"/>
      <c r="G558" s="14"/>
      <c r="H558" s="14"/>
      <c r="I558" s="14"/>
      <c r="J558" s="14"/>
      <c r="K558" s="12"/>
    </row>
    <row r="559" ht="19.5" customHeight="1">
      <c r="A559" s="12"/>
      <c r="C559" s="12"/>
      <c r="D559" s="13"/>
      <c r="F559" s="14"/>
      <c r="G559" s="14"/>
      <c r="H559" s="14"/>
      <c r="I559" s="14"/>
      <c r="J559" s="14"/>
      <c r="K559" s="12"/>
    </row>
    <row r="560" ht="19.5" customHeight="1">
      <c r="A560" s="12"/>
      <c r="C560" s="12"/>
      <c r="D560" s="13"/>
      <c r="F560" s="14"/>
      <c r="G560" s="14"/>
      <c r="H560" s="14"/>
      <c r="I560" s="14"/>
      <c r="J560" s="14"/>
      <c r="K560" s="12"/>
    </row>
    <row r="561" ht="19.5" customHeight="1">
      <c r="A561" s="12"/>
      <c r="C561" s="12"/>
      <c r="D561" s="13"/>
      <c r="F561" s="14"/>
      <c r="G561" s="14"/>
      <c r="H561" s="14"/>
      <c r="I561" s="14"/>
      <c r="J561" s="14"/>
      <c r="K561" s="12"/>
    </row>
    <row r="562" ht="19.5" customHeight="1">
      <c r="A562" s="12"/>
      <c r="C562" s="12"/>
      <c r="D562" s="13"/>
      <c r="F562" s="14"/>
      <c r="G562" s="14"/>
      <c r="H562" s="14"/>
      <c r="I562" s="14"/>
      <c r="J562" s="14"/>
      <c r="K562" s="12"/>
    </row>
    <row r="563" ht="19.5" customHeight="1">
      <c r="A563" s="12"/>
      <c r="C563" s="12"/>
      <c r="D563" s="13"/>
      <c r="F563" s="14"/>
      <c r="G563" s="14"/>
      <c r="H563" s="14"/>
      <c r="I563" s="14"/>
      <c r="J563" s="14"/>
      <c r="K563" s="12"/>
    </row>
    <row r="564" ht="19.5" customHeight="1">
      <c r="A564" s="12"/>
      <c r="C564" s="12"/>
      <c r="D564" s="13"/>
      <c r="F564" s="14"/>
      <c r="G564" s="14"/>
      <c r="H564" s="14"/>
      <c r="I564" s="14"/>
      <c r="J564" s="14"/>
      <c r="K564" s="12"/>
    </row>
    <row r="565" ht="19.5" customHeight="1">
      <c r="A565" s="12"/>
      <c r="C565" s="12"/>
      <c r="D565" s="13"/>
      <c r="F565" s="14"/>
      <c r="G565" s="14"/>
      <c r="H565" s="14"/>
      <c r="I565" s="14"/>
      <c r="J565" s="14"/>
      <c r="K565" s="12"/>
    </row>
    <row r="566" ht="19.5" customHeight="1">
      <c r="A566" s="12"/>
      <c r="C566" s="12"/>
      <c r="D566" s="13"/>
      <c r="F566" s="14"/>
      <c r="G566" s="14"/>
      <c r="H566" s="14"/>
      <c r="I566" s="14"/>
      <c r="J566" s="14"/>
      <c r="K566" s="12"/>
    </row>
    <row r="567" ht="19.5" customHeight="1">
      <c r="A567" s="12"/>
      <c r="C567" s="12"/>
      <c r="D567" s="13"/>
      <c r="F567" s="14"/>
      <c r="G567" s="14"/>
      <c r="H567" s="14"/>
      <c r="I567" s="14"/>
      <c r="J567" s="14"/>
      <c r="K567" s="12"/>
    </row>
    <row r="568" ht="19.5" customHeight="1">
      <c r="A568" s="12"/>
      <c r="C568" s="12"/>
      <c r="D568" s="13"/>
      <c r="F568" s="14"/>
      <c r="G568" s="14"/>
      <c r="H568" s="14"/>
      <c r="I568" s="14"/>
      <c r="J568" s="14"/>
      <c r="K568" s="12"/>
    </row>
    <row r="569" ht="19.5" customHeight="1">
      <c r="A569" s="12"/>
      <c r="C569" s="12"/>
      <c r="D569" s="13"/>
      <c r="F569" s="14"/>
      <c r="G569" s="14"/>
      <c r="H569" s="14"/>
      <c r="I569" s="14"/>
      <c r="J569" s="14"/>
      <c r="K569" s="12"/>
    </row>
    <row r="570" ht="19.5" customHeight="1">
      <c r="A570" s="12"/>
      <c r="C570" s="12"/>
      <c r="D570" s="13"/>
      <c r="F570" s="14"/>
      <c r="G570" s="14"/>
      <c r="H570" s="14"/>
      <c r="I570" s="14"/>
      <c r="J570" s="14"/>
      <c r="K570" s="12"/>
    </row>
    <row r="571" ht="19.5" customHeight="1">
      <c r="A571" s="12"/>
      <c r="C571" s="12"/>
      <c r="D571" s="13"/>
      <c r="F571" s="14"/>
      <c r="G571" s="14"/>
      <c r="H571" s="14"/>
      <c r="I571" s="14"/>
      <c r="J571" s="14"/>
      <c r="K571" s="12"/>
    </row>
    <row r="572" ht="19.5" customHeight="1">
      <c r="A572" s="12"/>
      <c r="C572" s="12"/>
      <c r="D572" s="13"/>
      <c r="F572" s="14"/>
      <c r="G572" s="14"/>
      <c r="H572" s="14"/>
      <c r="I572" s="14"/>
      <c r="J572" s="14"/>
      <c r="K572" s="12"/>
    </row>
    <row r="573" ht="19.5" customHeight="1">
      <c r="A573" s="12"/>
      <c r="C573" s="12"/>
      <c r="D573" s="13"/>
      <c r="F573" s="14"/>
      <c r="G573" s="14"/>
      <c r="H573" s="14"/>
      <c r="I573" s="14"/>
      <c r="J573" s="14"/>
      <c r="K573" s="12"/>
    </row>
    <row r="574" ht="19.5" customHeight="1">
      <c r="A574" s="12"/>
      <c r="C574" s="12"/>
      <c r="D574" s="13"/>
      <c r="F574" s="14"/>
      <c r="G574" s="14"/>
      <c r="H574" s="14"/>
      <c r="I574" s="14"/>
      <c r="J574" s="14"/>
      <c r="K574" s="12"/>
    </row>
    <row r="575" ht="19.5" customHeight="1">
      <c r="A575" s="12"/>
      <c r="C575" s="12"/>
      <c r="D575" s="13"/>
      <c r="F575" s="14"/>
      <c r="G575" s="14"/>
      <c r="H575" s="14"/>
      <c r="I575" s="14"/>
      <c r="J575" s="14"/>
      <c r="K575" s="12"/>
    </row>
    <row r="576" ht="19.5" customHeight="1">
      <c r="A576" s="12"/>
      <c r="C576" s="12"/>
      <c r="D576" s="13"/>
      <c r="F576" s="14"/>
      <c r="G576" s="14"/>
      <c r="H576" s="14"/>
      <c r="I576" s="14"/>
      <c r="J576" s="14"/>
      <c r="K576" s="12"/>
    </row>
    <row r="577" ht="19.5" customHeight="1">
      <c r="A577" s="12"/>
      <c r="C577" s="12"/>
      <c r="D577" s="13"/>
      <c r="F577" s="14"/>
      <c r="G577" s="14"/>
      <c r="H577" s="14"/>
      <c r="I577" s="14"/>
      <c r="J577" s="14"/>
      <c r="K577" s="12"/>
    </row>
    <row r="578" ht="19.5" customHeight="1">
      <c r="A578" s="12"/>
      <c r="C578" s="12"/>
      <c r="D578" s="13"/>
      <c r="F578" s="14"/>
      <c r="G578" s="14"/>
      <c r="H578" s="14"/>
      <c r="I578" s="14"/>
      <c r="J578" s="14"/>
      <c r="K578" s="12"/>
    </row>
    <row r="579" ht="19.5" customHeight="1">
      <c r="A579" s="12"/>
      <c r="C579" s="12"/>
      <c r="D579" s="13"/>
      <c r="F579" s="14"/>
      <c r="G579" s="14"/>
      <c r="H579" s="14"/>
      <c r="I579" s="14"/>
      <c r="J579" s="14"/>
      <c r="K579" s="12"/>
    </row>
    <row r="580" ht="19.5" customHeight="1">
      <c r="A580" s="12"/>
      <c r="C580" s="12"/>
      <c r="D580" s="13"/>
      <c r="F580" s="14"/>
      <c r="G580" s="14"/>
      <c r="H580" s="14"/>
      <c r="I580" s="14"/>
      <c r="J580" s="14"/>
      <c r="K580" s="12"/>
    </row>
    <row r="581" ht="19.5" customHeight="1">
      <c r="A581" s="12"/>
      <c r="C581" s="12"/>
      <c r="D581" s="13"/>
      <c r="F581" s="14"/>
      <c r="G581" s="14"/>
      <c r="H581" s="14"/>
      <c r="I581" s="14"/>
      <c r="J581" s="14"/>
      <c r="K581" s="12"/>
    </row>
    <row r="582" ht="19.5" customHeight="1">
      <c r="A582" s="12"/>
      <c r="C582" s="12"/>
      <c r="D582" s="13"/>
      <c r="F582" s="14"/>
      <c r="G582" s="14"/>
      <c r="H582" s="14"/>
      <c r="I582" s="14"/>
      <c r="J582" s="14"/>
      <c r="K582" s="12"/>
    </row>
    <row r="583" ht="19.5" customHeight="1">
      <c r="A583" s="12"/>
      <c r="C583" s="12"/>
      <c r="D583" s="13"/>
      <c r="F583" s="14"/>
      <c r="G583" s="14"/>
      <c r="H583" s="14"/>
      <c r="I583" s="14"/>
      <c r="J583" s="14"/>
      <c r="K583" s="12"/>
    </row>
    <row r="584" ht="19.5" customHeight="1">
      <c r="A584" s="12"/>
      <c r="C584" s="12"/>
      <c r="D584" s="13"/>
      <c r="F584" s="14"/>
      <c r="G584" s="14"/>
      <c r="H584" s="14"/>
      <c r="I584" s="14"/>
      <c r="J584" s="14"/>
      <c r="K584" s="12"/>
    </row>
    <row r="585" ht="19.5" customHeight="1">
      <c r="A585" s="12"/>
      <c r="C585" s="12"/>
      <c r="D585" s="13"/>
      <c r="F585" s="14"/>
      <c r="G585" s="14"/>
      <c r="H585" s="14"/>
      <c r="I585" s="14"/>
      <c r="J585" s="14"/>
      <c r="K585" s="12"/>
    </row>
    <row r="586" ht="19.5" customHeight="1">
      <c r="A586" s="12"/>
      <c r="C586" s="12"/>
      <c r="D586" s="13"/>
      <c r="F586" s="14"/>
      <c r="G586" s="14"/>
      <c r="H586" s="14"/>
      <c r="I586" s="14"/>
      <c r="J586" s="14"/>
      <c r="K586" s="12"/>
    </row>
    <row r="587" ht="19.5" customHeight="1">
      <c r="A587" s="12"/>
      <c r="C587" s="12"/>
      <c r="D587" s="13"/>
      <c r="F587" s="14"/>
      <c r="G587" s="14"/>
      <c r="H587" s="14"/>
      <c r="I587" s="14"/>
      <c r="J587" s="14"/>
      <c r="K587" s="12"/>
    </row>
    <row r="588" ht="19.5" customHeight="1">
      <c r="A588" s="12"/>
      <c r="C588" s="12"/>
      <c r="D588" s="13"/>
      <c r="F588" s="14"/>
      <c r="G588" s="14"/>
      <c r="H588" s="14"/>
      <c r="I588" s="14"/>
      <c r="J588" s="14"/>
      <c r="K588" s="12"/>
    </row>
    <row r="589" ht="19.5" customHeight="1">
      <c r="A589" s="12"/>
      <c r="C589" s="12"/>
      <c r="D589" s="13"/>
      <c r="F589" s="14"/>
      <c r="G589" s="14"/>
      <c r="H589" s="14"/>
      <c r="I589" s="14"/>
      <c r="J589" s="14"/>
      <c r="K589" s="12"/>
    </row>
    <row r="590" ht="19.5" customHeight="1">
      <c r="A590" s="12"/>
      <c r="C590" s="12"/>
      <c r="D590" s="13"/>
      <c r="F590" s="14"/>
      <c r="G590" s="14"/>
      <c r="H590" s="14"/>
      <c r="I590" s="14"/>
      <c r="J590" s="14"/>
      <c r="K590" s="12"/>
    </row>
    <row r="591" ht="19.5" customHeight="1">
      <c r="A591" s="12"/>
      <c r="C591" s="12"/>
      <c r="D591" s="13"/>
      <c r="F591" s="14"/>
      <c r="G591" s="14"/>
      <c r="H591" s="14"/>
      <c r="I591" s="14"/>
      <c r="J591" s="14"/>
      <c r="K591" s="12"/>
    </row>
    <row r="592" ht="19.5" customHeight="1">
      <c r="A592" s="12"/>
      <c r="C592" s="12"/>
      <c r="D592" s="13"/>
      <c r="F592" s="14"/>
      <c r="G592" s="14"/>
      <c r="H592" s="14"/>
      <c r="I592" s="14"/>
      <c r="J592" s="14"/>
      <c r="K592" s="12"/>
    </row>
    <row r="593" ht="19.5" customHeight="1">
      <c r="A593" s="12"/>
      <c r="C593" s="12"/>
      <c r="D593" s="13"/>
      <c r="F593" s="14"/>
      <c r="G593" s="14"/>
      <c r="H593" s="14"/>
      <c r="I593" s="14"/>
      <c r="J593" s="14"/>
      <c r="K593" s="12"/>
    </row>
    <row r="594" ht="19.5" customHeight="1">
      <c r="A594" s="12"/>
      <c r="C594" s="12"/>
      <c r="D594" s="13"/>
      <c r="F594" s="14"/>
      <c r="G594" s="14"/>
      <c r="H594" s="14"/>
      <c r="I594" s="14"/>
      <c r="J594" s="14"/>
      <c r="K594" s="12"/>
    </row>
    <row r="595" ht="19.5" customHeight="1">
      <c r="A595" s="12"/>
      <c r="C595" s="12"/>
      <c r="D595" s="13"/>
      <c r="F595" s="14"/>
      <c r="G595" s="14"/>
      <c r="H595" s="14"/>
      <c r="I595" s="14"/>
      <c r="J595" s="14"/>
      <c r="K595" s="12"/>
    </row>
    <row r="596" ht="19.5" customHeight="1">
      <c r="A596" s="12"/>
      <c r="C596" s="12"/>
      <c r="D596" s="13"/>
      <c r="F596" s="14"/>
      <c r="G596" s="14"/>
      <c r="H596" s="14"/>
      <c r="I596" s="14"/>
      <c r="J596" s="14"/>
      <c r="K596" s="12"/>
    </row>
    <row r="597" ht="19.5" customHeight="1">
      <c r="A597" s="12"/>
      <c r="C597" s="12"/>
      <c r="D597" s="13"/>
      <c r="F597" s="14"/>
      <c r="G597" s="14"/>
      <c r="H597" s="14"/>
      <c r="I597" s="14"/>
      <c r="J597" s="14"/>
      <c r="K597" s="12"/>
    </row>
    <row r="598" ht="19.5" customHeight="1">
      <c r="A598" s="12"/>
      <c r="C598" s="12"/>
      <c r="D598" s="13"/>
      <c r="F598" s="14"/>
      <c r="G598" s="14"/>
      <c r="H598" s="14"/>
      <c r="I598" s="14"/>
      <c r="J598" s="14"/>
      <c r="K598" s="12"/>
    </row>
    <row r="599" ht="19.5" customHeight="1">
      <c r="A599" s="12"/>
      <c r="C599" s="12"/>
      <c r="D599" s="13"/>
      <c r="F599" s="14"/>
      <c r="G599" s="14"/>
      <c r="H599" s="14"/>
      <c r="I599" s="14"/>
      <c r="J599" s="14"/>
      <c r="K599" s="12"/>
    </row>
    <row r="600" ht="19.5" customHeight="1">
      <c r="A600" s="12"/>
      <c r="C600" s="12"/>
      <c r="D600" s="13"/>
      <c r="F600" s="14"/>
      <c r="G600" s="14"/>
      <c r="H600" s="14"/>
      <c r="I600" s="14"/>
      <c r="J600" s="14"/>
      <c r="K600" s="12"/>
    </row>
    <row r="601" ht="19.5" customHeight="1">
      <c r="A601" s="12"/>
      <c r="C601" s="12"/>
      <c r="D601" s="13"/>
      <c r="F601" s="14"/>
      <c r="G601" s="14"/>
      <c r="H601" s="14"/>
      <c r="I601" s="14"/>
      <c r="J601" s="14"/>
      <c r="K601" s="12"/>
    </row>
    <row r="602" ht="19.5" customHeight="1">
      <c r="A602" s="12"/>
      <c r="C602" s="12"/>
      <c r="D602" s="13"/>
      <c r="F602" s="14"/>
      <c r="G602" s="14"/>
      <c r="H602" s="14"/>
      <c r="I602" s="14"/>
      <c r="J602" s="14"/>
      <c r="K602" s="12"/>
    </row>
    <row r="603" ht="19.5" customHeight="1">
      <c r="A603" s="12"/>
      <c r="C603" s="12"/>
      <c r="D603" s="13"/>
      <c r="F603" s="14"/>
      <c r="G603" s="14"/>
      <c r="H603" s="14"/>
      <c r="I603" s="14"/>
      <c r="J603" s="14"/>
      <c r="K603" s="12"/>
    </row>
    <row r="604" ht="19.5" customHeight="1">
      <c r="A604" s="12"/>
      <c r="C604" s="12"/>
      <c r="D604" s="13"/>
      <c r="F604" s="14"/>
      <c r="G604" s="14"/>
      <c r="H604" s="14"/>
      <c r="I604" s="14"/>
      <c r="J604" s="14"/>
      <c r="K604" s="12"/>
    </row>
    <row r="605" ht="19.5" customHeight="1">
      <c r="A605" s="12"/>
      <c r="C605" s="12"/>
      <c r="D605" s="13"/>
      <c r="F605" s="14"/>
      <c r="G605" s="14"/>
      <c r="H605" s="14"/>
      <c r="I605" s="14"/>
      <c r="J605" s="14"/>
      <c r="K605" s="12"/>
    </row>
    <row r="606" ht="19.5" customHeight="1">
      <c r="A606" s="12"/>
      <c r="C606" s="12"/>
      <c r="D606" s="13"/>
      <c r="F606" s="14"/>
      <c r="G606" s="14"/>
      <c r="H606" s="14"/>
      <c r="I606" s="14"/>
      <c r="J606" s="14"/>
      <c r="K606" s="12"/>
    </row>
    <row r="607" ht="19.5" customHeight="1">
      <c r="A607" s="12"/>
      <c r="C607" s="12"/>
      <c r="D607" s="13"/>
      <c r="F607" s="14"/>
      <c r="G607" s="14"/>
      <c r="H607" s="14"/>
      <c r="I607" s="14"/>
      <c r="J607" s="14"/>
      <c r="K607" s="12"/>
    </row>
    <row r="608" ht="19.5" customHeight="1">
      <c r="A608" s="12"/>
      <c r="C608" s="12"/>
      <c r="D608" s="13"/>
      <c r="F608" s="14"/>
      <c r="G608" s="14"/>
      <c r="H608" s="14"/>
      <c r="I608" s="14"/>
      <c r="J608" s="14"/>
      <c r="K608" s="12"/>
    </row>
    <row r="609" ht="19.5" customHeight="1">
      <c r="A609" s="12"/>
      <c r="C609" s="12"/>
      <c r="D609" s="13"/>
      <c r="F609" s="14"/>
      <c r="G609" s="14"/>
      <c r="H609" s="14"/>
      <c r="I609" s="14"/>
      <c r="J609" s="14"/>
      <c r="K609" s="12"/>
    </row>
    <row r="610" ht="19.5" customHeight="1">
      <c r="A610" s="12"/>
      <c r="C610" s="12"/>
      <c r="D610" s="13"/>
      <c r="F610" s="14"/>
      <c r="G610" s="14"/>
      <c r="H610" s="14"/>
      <c r="I610" s="14"/>
      <c r="J610" s="14"/>
      <c r="K610" s="12"/>
    </row>
    <row r="611" ht="19.5" customHeight="1">
      <c r="A611" s="12"/>
      <c r="C611" s="12"/>
      <c r="D611" s="13"/>
      <c r="F611" s="14"/>
      <c r="G611" s="14"/>
      <c r="H611" s="14"/>
      <c r="I611" s="14"/>
      <c r="J611" s="14"/>
      <c r="K611" s="12"/>
    </row>
    <row r="612" ht="19.5" customHeight="1">
      <c r="A612" s="12"/>
      <c r="C612" s="12"/>
      <c r="D612" s="13"/>
      <c r="F612" s="14"/>
      <c r="G612" s="14"/>
      <c r="H612" s="14"/>
      <c r="I612" s="14"/>
      <c r="J612" s="14"/>
      <c r="K612" s="12"/>
    </row>
    <row r="613" ht="19.5" customHeight="1">
      <c r="A613" s="12"/>
      <c r="C613" s="12"/>
      <c r="D613" s="13"/>
      <c r="F613" s="14"/>
      <c r="G613" s="14"/>
      <c r="H613" s="14"/>
      <c r="I613" s="14"/>
      <c r="J613" s="14"/>
      <c r="K613" s="12"/>
    </row>
    <row r="614" ht="19.5" customHeight="1">
      <c r="A614" s="12"/>
      <c r="C614" s="12"/>
      <c r="D614" s="13"/>
      <c r="F614" s="14"/>
      <c r="G614" s="14"/>
      <c r="H614" s="14"/>
      <c r="I614" s="14"/>
      <c r="J614" s="14"/>
      <c r="K614" s="12"/>
    </row>
    <row r="615" ht="19.5" customHeight="1">
      <c r="A615" s="12"/>
      <c r="C615" s="12"/>
      <c r="D615" s="13"/>
      <c r="F615" s="14"/>
      <c r="G615" s="14"/>
      <c r="H615" s="14"/>
      <c r="I615" s="14"/>
      <c r="J615" s="14"/>
      <c r="K615" s="12"/>
    </row>
    <row r="616" ht="19.5" customHeight="1">
      <c r="A616" s="12"/>
      <c r="C616" s="12"/>
      <c r="D616" s="13"/>
      <c r="F616" s="14"/>
      <c r="G616" s="14"/>
      <c r="H616" s="14"/>
      <c r="I616" s="14"/>
      <c r="J616" s="14"/>
      <c r="K616" s="12"/>
    </row>
    <row r="617" ht="19.5" customHeight="1">
      <c r="A617" s="12"/>
      <c r="C617" s="12"/>
      <c r="D617" s="13"/>
      <c r="F617" s="14"/>
      <c r="G617" s="14"/>
      <c r="H617" s="14"/>
      <c r="I617" s="14"/>
      <c r="J617" s="14"/>
      <c r="K617" s="12"/>
    </row>
    <row r="618" ht="19.5" customHeight="1">
      <c r="A618" s="12"/>
      <c r="C618" s="12"/>
      <c r="D618" s="13"/>
      <c r="F618" s="14"/>
      <c r="G618" s="14"/>
      <c r="H618" s="14"/>
      <c r="I618" s="14"/>
      <c r="J618" s="14"/>
      <c r="K618" s="12"/>
    </row>
    <row r="619" ht="19.5" customHeight="1">
      <c r="A619" s="12"/>
      <c r="C619" s="12"/>
      <c r="D619" s="13"/>
      <c r="F619" s="14"/>
      <c r="G619" s="14"/>
      <c r="H619" s="14"/>
      <c r="I619" s="14"/>
      <c r="J619" s="14"/>
      <c r="K619" s="12"/>
    </row>
    <row r="620" ht="19.5" customHeight="1">
      <c r="A620" s="12"/>
      <c r="C620" s="12"/>
      <c r="D620" s="13"/>
      <c r="F620" s="14"/>
      <c r="G620" s="14"/>
      <c r="H620" s="14"/>
      <c r="I620" s="14"/>
      <c r="J620" s="14"/>
      <c r="K620" s="12"/>
    </row>
    <row r="621" ht="19.5" customHeight="1">
      <c r="A621" s="12"/>
      <c r="C621" s="12"/>
      <c r="D621" s="13"/>
      <c r="F621" s="14"/>
      <c r="G621" s="14"/>
      <c r="H621" s="14"/>
      <c r="I621" s="14"/>
      <c r="J621" s="14"/>
      <c r="K621" s="12"/>
    </row>
    <row r="622" ht="19.5" customHeight="1">
      <c r="A622" s="12"/>
      <c r="C622" s="12"/>
      <c r="D622" s="13"/>
      <c r="F622" s="14"/>
      <c r="G622" s="14"/>
      <c r="H622" s="14"/>
      <c r="I622" s="14"/>
      <c r="J622" s="14"/>
      <c r="K622" s="12"/>
    </row>
    <row r="623" ht="19.5" customHeight="1">
      <c r="A623" s="12"/>
      <c r="C623" s="12"/>
      <c r="D623" s="13"/>
      <c r="F623" s="14"/>
      <c r="G623" s="14"/>
      <c r="H623" s="14"/>
      <c r="I623" s="14"/>
      <c r="J623" s="14"/>
      <c r="K623" s="12"/>
    </row>
    <row r="624" ht="19.5" customHeight="1">
      <c r="A624" s="12"/>
      <c r="C624" s="12"/>
      <c r="D624" s="13"/>
      <c r="F624" s="14"/>
      <c r="G624" s="14"/>
      <c r="H624" s="14"/>
      <c r="I624" s="14"/>
      <c r="J624" s="14"/>
      <c r="K624" s="12"/>
    </row>
    <row r="625" ht="19.5" customHeight="1">
      <c r="A625" s="12"/>
      <c r="C625" s="12"/>
      <c r="D625" s="13"/>
      <c r="F625" s="14"/>
      <c r="G625" s="14"/>
      <c r="H625" s="14"/>
      <c r="I625" s="14"/>
      <c r="J625" s="14"/>
      <c r="K625" s="12"/>
    </row>
    <row r="626" ht="19.5" customHeight="1">
      <c r="A626" s="12"/>
      <c r="C626" s="12"/>
      <c r="D626" s="13"/>
      <c r="F626" s="14"/>
      <c r="G626" s="14"/>
      <c r="H626" s="14"/>
      <c r="I626" s="14"/>
      <c r="J626" s="14"/>
      <c r="K626" s="12"/>
    </row>
    <row r="627" ht="19.5" customHeight="1">
      <c r="A627" s="12"/>
      <c r="C627" s="12"/>
      <c r="D627" s="13"/>
      <c r="F627" s="14"/>
      <c r="G627" s="14"/>
      <c r="H627" s="14"/>
      <c r="I627" s="14"/>
      <c r="J627" s="14"/>
      <c r="K627" s="12"/>
    </row>
    <row r="628" ht="19.5" customHeight="1">
      <c r="A628" s="12"/>
      <c r="C628" s="12"/>
      <c r="D628" s="13"/>
      <c r="F628" s="14"/>
      <c r="G628" s="14"/>
      <c r="H628" s="14"/>
      <c r="I628" s="14"/>
      <c r="J628" s="14"/>
      <c r="K628" s="12"/>
    </row>
    <row r="629" ht="19.5" customHeight="1">
      <c r="A629" s="12"/>
      <c r="C629" s="12"/>
      <c r="D629" s="13"/>
      <c r="F629" s="14"/>
      <c r="G629" s="14"/>
      <c r="H629" s="14"/>
      <c r="I629" s="14"/>
      <c r="J629" s="14"/>
      <c r="K629" s="12"/>
    </row>
    <row r="630" ht="19.5" customHeight="1">
      <c r="A630" s="12"/>
      <c r="C630" s="12"/>
      <c r="D630" s="13"/>
      <c r="F630" s="14"/>
      <c r="G630" s="14"/>
      <c r="H630" s="14"/>
      <c r="I630" s="14"/>
      <c r="J630" s="14"/>
      <c r="K630" s="12"/>
    </row>
    <row r="631" ht="19.5" customHeight="1">
      <c r="A631" s="12"/>
      <c r="C631" s="12"/>
      <c r="D631" s="13"/>
      <c r="F631" s="14"/>
      <c r="G631" s="14"/>
      <c r="H631" s="14"/>
      <c r="I631" s="14"/>
      <c r="J631" s="14"/>
      <c r="K631" s="12"/>
    </row>
    <row r="632" ht="19.5" customHeight="1">
      <c r="A632" s="12"/>
      <c r="C632" s="12"/>
      <c r="D632" s="13"/>
      <c r="F632" s="14"/>
      <c r="G632" s="14"/>
      <c r="H632" s="14"/>
      <c r="I632" s="14"/>
      <c r="J632" s="14"/>
      <c r="K632" s="12"/>
    </row>
    <row r="633" ht="19.5" customHeight="1">
      <c r="A633" s="12"/>
      <c r="C633" s="12"/>
      <c r="D633" s="13"/>
      <c r="F633" s="14"/>
      <c r="G633" s="14"/>
      <c r="H633" s="14"/>
      <c r="I633" s="14"/>
      <c r="J633" s="14"/>
      <c r="K633" s="12"/>
    </row>
    <row r="634" ht="19.5" customHeight="1">
      <c r="A634" s="12"/>
      <c r="C634" s="12"/>
      <c r="D634" s="13"/>
      <c r="F634" s="14"/>
      <c r="G634" s="14"/>
      <c r="H634" s="14"/>
      <c r="I634" s="14"/>
      <c r="J634" s="14"/>
      <c r="K634" s="12"/>
    </row>
    <row r="635" ht="19.5" customHeight="1">
      <c r="A635" s="12"/>
      <c r="C635" s="12"/>
      <c r="D635" s="13"/>
      <c r="F635" s="14"/>
      <c r="G635" s="14"/>
      <c r="H635" s="14"/>
      <c r="I635" s="14"/>
      <c r="J635" s="14"/>
      <c r="K635" s="12"/>
    </row>
    <row r="636" ht="19.5" customHeight="1">
      <c r="A636" s="12"/>
      <c r="C636" s="12"/>
      <c r="D636" s="13"/>
      <c r="F636" s="14"/>
      <c r="G636" s="14"/>
      <c r="H636" s="14"/>
      <c r="I636" s="14"/>
      <c r="J636" s="14"/>
      <c r="K636" s="12"/>
    </row>
    <row r="637" ht="19.5" customHeight="1">
      <c r="A637" s="12"/>
      <c r="C637" s="12"/>
      <c r="D637" s="13"/>
      <c r="F637" s="14"/>
      <c r="G637" s="14"/>
      <c r="H637" s="14"/>
      <c r="I637" s="14"/>
      <c r="J637" s="14"/>
      <c r="K637" s="12"/>
    </row>
    <row r="638" ht="19.5" customHeight="1">
      <c r="A638" s="12"/>
      <c r="C638" s="12"/>
      <c r="D638" s="13"/>
      <c r="F638" s="14"/>
      <c r="G638" s="14"/>
      <c r="H638" s="14"/>
      <c r="I638" s="14"/>
      <c r="J638" s="14"/>
      <c r="K638" s="12"/>
    </row>
    <row r="639" ht="19.5" customHeight="1">
      <c r="A639" s="12"/>
      <c r="C639" s="12"/>
      <c r="D639" s="13"/>
      <c r="F639" s="14"/>
      <c r="G639" s="14"/>
      <c r="H639" s="14"/>
      <c r="I639" s="14"/>
      <c r="J639" s="14"/>
      <c r="K639" s="12"/>
    </row>
    <row r="640" ht="19.5" customHeight="1">
      <c r="A640" s="12"/>
      <c r="C640" s="12"/>
      <c r="D640" s="13"/>
      <c r="F640" s="14"/>
      <c r="G640" s="14"/>
      <c r="H640" s="14"/>
      <c r="I640" s="14"/>
      <c r="J640" s="14"/>
      <c r="K640" s="12"/>
    </row>
    <row r="641" ht="19.5" customHeight="1">
      <c r="A641" s="12"/>
      <c r="C641" s="12"/>
      <c r="D641" s="13"/>
      <c r="F641" s="14"/>
      <c r="G641" s="14"/>
      <c r="H641" s="14"/>
      <c r="I641" s="14"/>
      <c r="J641" s="14"/>
      <c r="K641" s="12"/>
    </row>
    <row r="642" ht="19.5" customHeight="1">
      <c r="A642" s="12"/>
      <c r="C642" s="12"/>
      <c r="D642" s="13"/>
      <c r="F642" s="14"/>
      <c r="G642" s="14"/>
      <c r="H642" s="14"/>
      <c r="I642" s="14"/>
      <c r="J642" s="14"/>
      <c r="K642" s="12"/>
    </row>
    <row r="643" ht="19.5" customHeight="1">
      <c r="A643" s="12"/>
      <c r="C643" s="12"/>
      <c r="D643" s="13"/>
      <c r="F643" s="14"/>
      <c r="G643" s="14"/>
      <c r="H643" s="14"/>
      <c r="I643" s="14"/>
      <c r="J643" s="14"/>
      <c r="K643" s="12"/>
    </row>
    <row r="644" ht="19.5" customHeight="1">
      <c r="A644" s="12"/>
      <c r="C644" s="12"/>
      <c r="D644" s="13"/>
      <c r="F644" s="14"/>
      <c r="G644" s="14"/>
      <c r="H644" s="14"/>
      <c r="I644" s="14"/>
      <c r="J644" s="14"/>
      <c r="K644" s="12"/>
    </row>
    <row r="645" ht="19.5" customHeight="1">
      <c r="A645" s="12"/>
      <c r="C645" s="12"/>
      <c r="D645" s="13"/>
      <c r="F645" s="14"/>
      <c r="G645" s="14"/>
      <c r="H645" s="14"/>
      <c r="I645" s="14"/>
      <c r="J645" s="14"/>
      <c r="K645" s="12"/>
    </row>
    <row r="646" ht="19.5" customHeight="1">
      <c r="A646" s="12"/>
      <c r="C646" s="12"/>
      <c r="D646" s="13"/>
      <c r="F646" s="14"/>
      <c r="G646" s="14"/>
      <c r="H646" s="14"/>
      <c r="I646" s="14"/>
      <c r="J646" s="14"/>
      <c r="K646" s="12"/>
    </row>
    <row r="647" ht="19.5" customHeight="1">
      <c r="A647" s="12"/>
      <c r="C647" s="12"/>
      <c r="D647" s="13"/>
      <c r="F647" s="14"/>
      <c r="G647" s="14"/>
      <c r="H647" s="14"/>
      <c r="I647" s="14"/>
      <c r="J647" s="14"/>
      <c r="K647" s="12"/>
    </row>
    <row r="648" ht="19.5" customHeight="1">
      <c r="A648" s="12"/>
      <c r="C648" s="12"/>
      <c r="D648" s="13"/>
      <c r="F648" s="14"/>
      <c r="G648" s="14"/>
      <c r="H648" s="14"/>
      <c r="I648" s="14"/>
      <c r="J648" s="14"/>
      <c r="K648" s="12"/>
    </row>
    <row r="649" ht="19.5" customHeight="1">
      <c r="A649" s="12"/>
      <c r="C649" s="12"/>
      <c r="D649" s="13"/>
      <c r="F649" s="14"/>
      <c r="G649" s="14"/>
      <c r="H649" s="14"/>
      <c r="I649" s="14"/>
      <c r="J649" s="14"/>
      <c r="K649" s="12"/>
    </row>
    <row r="650" ht="19.5" customHeight="1">
      <c r="A650" s="12"/>
      <c r="C650" s="12"/>
      <c r="D650" s="13"/>
      <c r="F650" s="14"/>
      <c r="G650" s="14"/>
      <c r="H650" s="14"/>
      <c r="I650" s="14"/>
      <c r="J650" s="14"/>
      <c r="K650" s="12"/>
    </row>
    <row r="651" ht="19.5" customHeight="1">
      <c r="A651" s="12"/>
      <c r="C651" s="12"/>
      <c r="D651" s="13"/>
      <c r="F651" s="14"/>
      <c r="G651" s="14"/>
      <c r="H651" s="14"/>
      <c r="I651" s="14"/>
      <c r="J651" s="14"/>
      <c r="K651" s="12"/>
    </row>
    <row r="652" ht="19.5" customHeight="1">
      <c r="A652" s="12"/>
      <c r="C652" s="12"/>
      <c r="D652" s="13"/>
      <c r="F652" s="14"/>
      <c r="G652" s="14"/>
      <c r="H652" s="14"/>
      <c r="I652" s="14"/>
      <c r="J652" s="14"/>
      <c r="K652" s="12"/>
    </row>
    <row r="653" ht="19.5" customHeight="1">
      <c r="A653" s="12"/>
      <c r="C653" s="12"/>
      <c r="D653" s="13"/>
      <c r="F653" s="14"/>
      <c r="G653" s="14"/>
      <c r="H653" s="14"/>
      <c r="I653" s="14"/>
      <c r="J653" s="14"/>
      <c r="K653" s="12"/>
    </row>
    <row r="654" ht="19.5" customHeight="1">
      <c r="A654" s="12"/>
      <c r="C654" s="12"/>
      <c r="D654" s="13"/>
      <c r="F654" s="14"/>
      <c r="G654" s="14"/>
      <c r="H654" s="14"/>
      <c r="I654" s="14"/>
      <c r="J654" s="14"/>
      <c r="K654" s="12"/>
    </row>
    <row r="655" ht="19.5" customHeight="1">
      <c r="A655" s="12"/>
      <c r="C655" s="12"/>
      <c r="D655" s="13"/>
      <c r="F655" s="14"/>
      <c r="G655" s="14"/>
      <c r="H655" s="14"/>
      <c r="I655" s="14"/>
      <c r="J655" s="14"/>
      <c r="K655" s="12"/>
    </row>
    <row r="656" ht="19.5" customHeight="1">
      <c r="A656" s="12"/>
      <c r="C656" s="12"/>
      <c r="D656" s="13"/>
      <c r="F656" s="14"/>
      <c r="G656" s="14"/>
      <c r="H656" s="14"/>
      <c r="I656" s="14"/>
      <c r="J656" s="14"/>
      <c r="K656" s="12"/>
    </row>
    <row r="657" ht="19.5" customHeight="1">
      <c r="A657" s="12"/>
      <c r="C657" s="12"/>
      <c r="D657" s="13"/>
      <c r="F657" s="14"/>
      <c r="G657" s="14"/>
      <c r="H657" s="14"/>
      <c r="I657" s="14"/>
      <c r="J657" s="14"/>
      <c r="K657" s="12"/>
    </row>
    <row r="658" ht="19.5" customHeight="1">
      <c r="A658" s="12"/>
      <c r="C658" s="12"/>
      <c r="D658" s="13"/>
      <c r="F658" s="14"/>
      <c r="G658" s="14"/>
      <c r="H658" s="14"/>
      <c r="I658" s="14"/>
      <c r="J658" s="14"/>
      <c r="K658" s="12"/>
    </row>
    <row r="659" ht="19.5" customHeight="1">
      <c r="A659" s="12"/>
      <c r="C659" s="12"/>
      <c r="D659" s="13"/>
      <c r="F659" s="14"/>
      <c r="G659" s="14"/>
      <c r="H659" s="14"/>
      <c r="I659" s="14"/>
      <c r="J659" s="14"/>
      <c r="K659" s="12"/>
    </row>
    <row r="660" ht="19.5" customHeight="1">
      <c r="A660" s="12"/>
      <c r="C660" s="12"/>
      <c r="D660" s="13"/>
      <c r="F660" s="14"/>
      <c r="G660" s="14"/>
      <c r="H660" s="14"/>
      <c r="I660" s="14"/>
      <c r="J660" s="14"/>
      <c r="K660" s="12"/>
    </row>
    <row r="661" ht="19.5" customHeight="1">
      <c r="A661" s="12"/>
      <c r="C661" s="12"/>
      <c r="D661" s="13"/>
      <c r="F661" s="14"/>
      <c r="G661" s="14"/>
      <c r="H661" s="14"/>
      <c r="I661" s="14"/>
      <c r="J661" s="14"/>
      <c r="K661" s="12"/>
    </row>
    <row r="662" ht="19.5" customHeight="1">
      <c r="A662" s="12"/>
      <c r="C662" s="12"/>
      <c r="D662" s="13"/>
      <c r="F662" s="14"/>
      <c r="G662" s="14"/>
      <c r="H662" s="14"/>
      <c r="I662" s="14"/>
      <c r="J662" s="14"/>
      <c r="K662" s="12"/>
    </row>
    <row r="663" ht="19.5" customHeight="1">
      <c r="A663" s="12"/>
      <c r="C663" s="12"/>
      <c r="D663" s="13"/>
      <c r="F663" s="14"/>
      <c r="G663" s="14"/>
      <c r="H663" s="14"/>
      <c r="I663" s="14"/>
      <c r="J663" s="14"/>
      <c r="K663" s="12"/>
    </row>
    <row r="664" ht="19.5" customHeight="1">
      <c r="A664" s="12"/>
      <c r="C664" s="12"/>
      <c r="D664" s="13"/>
      <c r="F664" s="14"/>
      <c r="G664" s="14"/>
      <c r="H664" s="14"/>
      <c r="I664" s="14"/>
      <c r="J664" s="14"/>
      <c r="K664" s="12"/>
    </row>
    <row r="665" ht="19.5" customHeight="1">
      <c r="A665" s="12"/>
      <c r="C665" s="12"/>
      <c r="D665" s="13"/>
      <c r="F665" s="14"/>
      <c r="G665" s="14"/>
      <c r="H665" s="14"/>
      <c r="I665" s="14"/>
      <c r="J665" s="14"/>
      <c r="K665" s="12"/>
    </row>
    <row r="666" ht="19.5" customHeight="1">
      <c r="A666" s="12"/>
      <c r="C666" s="12"/>
      <c r="D666" s="13"/>
      <c r="F666" s="14"/>
      <c r="G666" s="14"/>
      <c r="H666" s="14"/>
      <c r="I666" s="14"/>
      <c r="J666" s="14"/>
      <c r="K666" s="12"/>
    </row>
    <row r="667" ht="19.5" customHeight="1">
      <c r="A667" s="12"/>
      <c r="C667" s="12"/>
      <c r="D667" s="13"/>
      <c r="F667" s="14"/>
      <c r="G667" s="14"/>
      <c r="H667" s="14"/>
      <c r="I667" s="14"/>
      <c r="J667" s="14"/>
      <c r="K667" s="12"/>
    </row>
    <row r="668" ht="19.5" customHeight="1">
      <c r="A668" s="12"/>
      <c r="C668" s="12"/>
      <c r="D668" s="13"/>
      <c r="F668" s="14"/>
      <c r="G668" s="14"/>
      <c r="H668" s="14"/>
      <c r="I668" s="14"/>
      <c r="J668" s="14"/>
      <c r="K668" s="12"/>
    </row>
    <row r="669" ht="19.5" customHeight="1">
      <c r="A669" s="12"/>
      <c r="C669" s="12"/>
      <c r="D669" s="13"/>
      <c r="F669" s="14"/>
      <c r="G669" s="14"/>
      <c r="H669" s="14"/>
      <c r="I669" s="14"/>
      <c r="J669" s="14"/>
      <c r="K669" s="12"/>
    </row>
    <row r="670" ht="19.5" customHeight="1">
      <c r="A670" s="12"/>
      <c r="C670" s="12"/>
      <c r="D670" s="13"/>
      <c r="F670" s="14"/>
      <c r="G670" s="14"/>
      <c r="H670" s="14"/>
      <c r="I670" s="14"/>
      <c r="J670" s="14"/>
      <c r="K670" s="12"/>
    </row>
    <row r="671" ht="19.5" customHeight="1">
      <c r="A671" s="12"/>
      <c r="C671" s="12"/>
      <c r="D671" s="13"/>
      <c r="F671" s="14"/>
      <c r="G671" s="14"/>
      <c r="H671" s="14"/>
      <c r="I671" s="14"/>
      <c r="J671" s="14"/>
      <c r="K671" s="12"/>
    </row>
    <row r="672" ht="19.5" customHeight="1">
      <c r="A672" s="12"/>
      <c r="C672" s="12"/>
      <c r="D672" s="13"/>
      <c r="F672" s="14"/>
      <c r="G672" s="14"/>
      <c r="H672" s="14"/>
      <c r="I672" s="14"/>
      <c r="J672" s="14"/>
      <c r="K672" s="12"/>
    </row>
    <row r="673" ht="19.5" customHeight="1">
      <c r="A673" s="12"/>
      <c r="C673" s="12"/>
      <c r="D673" s="13"/>
      <c r="F673" s="14"/>
      <c r="G673" s="14"/>
      <c r="H673" s="14"/>
      <c r="I673" s="14"/>
      <c r="J673" s="14"/>
      <c r="K673" s="12"/>
    </row>
    <row r="674" ht="19.5" customHeight="1">
      <c r="A674" s="12"/>
      <c r="C674" s="12"/>
      <c r="D674" s="13"/>
      <c r="F674" s="14"/>
      <c r="G674" s="14"/>
      <c r="H674" s="14"/>
      <c r="I674" s="14"/>
      <c r="J674" s="14"/>
      <c r="K674" s="12"/>
    </row>
    <row r="675" ht="19.5" customHeight="1">
      <c r="A675" s="12"/>
      <c r="C675" s="12"/>
      <c r="D675" s="13"/>
      <c r="F675" s="14"/>
      <c r="G675" s="14"/>
      <c r="H675" s="14"/>
      <c r="I675" s="14"/>
      <c r="J675" s="14"/>
      <c r="K675" s="12"/>
    </row>
    <row r="676" ht="19.5" customHeight="1">
      <c r="A676" s="12"/>
      <c r="C676" s="12"/>
      <c r="D676" s="13"/>
      <c r="F676" s="14"/>
      <c r="G676" s="14"/>
      <c r="H676" s="14"/>
      <c r="I676" s="14"/>
      <c r="J676" s="14"/>
      <c r="K676" s="12"/>
    </row>
    <row r="677" ht="19.5" customHeight="1">
      <c r="A677" s="12"/>
      <c r="C677" s="12"/>
      <c r="D677" s="13"/>
      <c r="F677" s="14"/>
      <c r="G677" s="14"/>
      <c r="H677" s="14"/>
      <c r="I677" s="14"/>
      <c r="J677" s="14"/>
      <c r="K677" s="12"/>
    </row>
    <row r="678" ht="19.5" customHeight="1">
      <c r="A678" s="12"/>
      <c r="C678" s="12"/>
      <c r="D678" s="13"/>
      <c r="F678" s="14"/>
      <c r="G678" s="14"/>
      <c r="H678" s="14"/>
      <c r="I678" s="14"/>
      <c r="J678" s="14"/>
      <c r="K678" s="12"/>
    </row>
    <row r="679" ht="19.5" customHeight="1">
      <c r="A679" s="12"/>
      <c r="C679" s="12"/>
      <c r="D679" s="13"/>
      <c r="F679" s="14"/>
      <c r="G679" s="14"/>
      <c r="H679" s="14"/>
      <c r="I679" s="14"/>
      <c r="J679" s="14"/>
      <c r="K679" s="12"/>
    </row>
    <row r="680" ht="19.5" customHeight="1">
      <c r="A680" s="12"/>
      <c r="C680" s="12"/>
      <c r="D680" s="13"/>
      <c r="F680" s="14"/>
      <c r="G680" s="14"/>
      <c r="H680" s="14"/>
      <c r="I680" s="14"/>
      <c r="J680" s="14"/>
      <c r="K680" s="12"/>
    </row>
    <row r="681" ht="19.5" customHeight="1">
      <c r="A681" s="12"/>
      <c r="C681" s="12"/>
      <c r="D681" s="13"/>
      <c r="F681" s="14"/>
      <c r="G681" s="14"/>
      <c r="H681" s="14"/>
      <c r="I681" s="14"/>
      <c r="J681" s="14"/>
      <c r="K681" s="12"/>
    </row>
    <row r="682" ht="19.5" customHeight="1">
      <c r="A682" s="12"/>
      <c r="C682" s="12"/>
      <c r="D682" s="13"/>
      <c r="F682" s="14"/>
      <c r="G682" s="14"/>
      <c r="H682" s="14"/>
      <c r="I682" s="14"/>
      <c r="J682" s="14"/>
      <c r="K682" s="12"/>
    </row>
    <row r="683" ht="19.5" customHeight="1">
      <c r="A683" s="12"/>
      <c r="C683" s="12"/>
      <c r="D683" s="13"/>
      <c r="F683" s="14"/>
      <c r="G683" s="14"/>
      <c r="H683" s="14"/>
      <c r="I683" s="14"/>
      <c r="J683" s="14"/>
      <c r="K683" s="12"/>
    </row>
    <row r="684" ht="19.5" customHeight="1">
      <c r="A684" s="12"/>
      <c r="C684" s="12"/>
      <c r="D684" s="13"/>
      <c r="F684" s="14"/>
      <c r="G684" s="14"/>
      <c r="H684" s="14"/>
      <c r="I684" s="14"/>
      <c r="J684" s="14"/>
      <c r="K684" s="12"/>
    </row>
    <row r="685" ht="19.5" customHeight="1">
      <c r="A685" s="12"/>
      <c r="C685" s="12"/>
      <c r="D685" s="13"/>
      <c r="F685" s="14"/>
      <c r="G685" s="14"/>
      <c r="H685" s="14"/>
      <c r="I685" s="14"/>
      <c r="J685" s="14"/>
      <c r="K685" s="12"/>
    </row>
    <row r="686" ht="19.5" customHeight="1">
      <c r="A686" s="12"/>
      <c r="C686" s="12"/>
      <c r="D686" s="13"/>
      <c r="F686" s="14"/>
      <c r="G686" s="14"/>
      <c r="H686" s="14"/>
      <c r="I686" s="14"/>
      <c r="J686" s="14"/>
      <c r="K686" s="12"/>
    </row>
    <row r="687" ht="19.5" customHeight="1">
      <c r="A687" s="12"/>
      <c r="C687" s="12"/>
      <c r="D687" s="13"/>
      <c r="F687" s="14"/>
      <c r="G687" s="14"/>
      <c r="H687" s="14"/>
      <c r="I687" s="14"/>
      <c r="J687" s="14"/>
      <c r="K687" s="12"/>
    </row>
    <row r="688" ht="19.5" customHeight="1">
      <c r="A688" s="12"/>
      <c r="C688" s="12"/>
      <c r="D688" s="13"/>
      <c r="F688" s="14"/>
      <c r="G688" s="14"/>
      <c r="H688" s="14"/>
      <c r="I688" s="14"/>
      <c r="J688" s="14"/>
      <c r="K688" s="12"/>
    </row>
    <row r="689" ht="19.5" customHeight="1">
      <c r="A689" s="12"/>
      <c r="C689" s="12"/>
      <c r="D689" s="13"/>
      <c r="F689" s="14"/>
      <c r="G689" s="14"/>
      <c r="H689" s="14"/>
      <c r="I689" s="14"/>
      <c r="J689" s="14"/>
      <c r="K689" s="12"/>
    </row>
    <row r="690" ht="19.5" customHeight="1">
      <c r="A690" s="12"/>
      <c r="C690" s="12"/>
      <c r="D690" s="13"/>
      <c r="F690" s="14"/>
      <c r="G690" s="14"/>
      <c r="H690" s="14"/>
      <c r="I690" s="14"/>
      <c r="J690" s="14"/>
      <c r="K690" s="12"/>
    </row>
    <row r="691" ht="19.5" customHeight="1">
      <c r="A691" s="12"/>
      <c r="C691" s="12"/>
      <c r="D691" s="13"/>
      <c r="F691" s="14"/>
      <c r="G691" s="14"/>
      <c r="H691" s="14"/>
      <c r="I691" s="14"/>
      <c r="J691" s="14"/>
      <c r="K691" s="12"/>
    </row>
    <row r="692" ht="19.5" customHeight="1">
      <c r="A692" s="12"/>
      <c r="C692" s="12"/>
      <c r="D692" s="13"/>
      <c r="F692" s="14"/>
      <c r="G692" s="14"/>
      <c r="H692" s="14"/>
      <c r="I692" s="14"/>
      <c r="J692" s="14"/>
      <c r="K692" s="12"/>
    </row>
    <row r="693" ht="19.5" customHeight="1">
      <c r="A693" s="12"/>
      <c r="C693" s="12"/>
      <c r="D693" s="13"/>
      <c r="F693" s="14"/>
      <c r="G693" s="14"/>
      <c r="H693" s="14"/>
      <c r="I693" s="14"/>
      <c r="J693" s="14"/>
      <c r="K693" s="12"/>
    </row>
    <row r="694" ht="19.5" customHeight="1">
      <c r="A694" s="12"/>
      <c r="C694" s="12"/>
      <c r="D694" s="13"/>
      <c r="F694" s="14"/>
      <c r="G694" s="14"/>
      <c r="H694" s="14"/>
      <c r="I694" s="14"/>
      <c r="J694" s="14"/>
      <c r="K694" s="12"/>
    </row>
    <row r="695" ht="19.5" customHeight="1">
      <c r="A695" s="12"/>
      <c r="C695" s="12"/>
      <c r="D695" s="13"/>
      <c r="F695" s="14"/>
      <c r="G695" s="14"/>
      <c r="H695" s="14"/>
      <c r="I695" s="14"/>
      <c r="J695" s="14"/>
      <c r="K695" s="12"/>
    </row>
    <row r="696" ht="19.5" customHeight="1">
      <c r="A696" s="12"/>
      <c r="C696" s="12"/>
      <c r="D696" s="13"/>
      <c r="F696" s="14"/>
      <c r="G696" s="14"/>
      <c r="H696" s="14"/>
      <c r="I696" s="14"/>
      <c r="J696" s="14"/>
      <c r="K696" s="12"/>
    </row>
    <row r="697" ht="19.5" customHeight="1">
      <c r="A697" s="12"/>
      <c r="C697" s="12"/>
      <c r="D697" s="13"/>
      <c r="F697" s="14"/>
      <c r="G697" s="14"/>
      <c r="H697" s="14"/>
      <c r="I697" s="14"/>
      <c r="J697" s="14"/>
      <c r="K697" s="12"/>
    </row>
    <row r="698" ht="19.5" customHeight="1">
      <c r="A698" s="12"/>
      <c r="C698" s="12"/>
      <c r="D698" s="13"/>
      <c r="F698" s="14"/>
      <c r="G698" s="14"/>
      <c r="H698" s="14"/>
      <c r="I698" s="14"/>
      <c r="J698" s="14"/>
      <c r="K698" s="12"/>
    </row>
    <row r="699" ht="19.5" customHeight="1">
      <c r="A699" s="12"/>
      <c r="C699" s="12"/>
      <c r="D699" s="13"/>
      <c r="F699" s="14"/>
      <c r="G699" s="14"/>
      <c r="H699" s="14"/>
      <c r="I699" s="14"/>
      <c r="J699" s="14"/>
      <c r="K699" s="12"/>
    </row>
    <row r="700" ht="19.5" customHeight="1">
      <c r="A700" s="12"/>
      <c r="C700" s="12"/>
      <c r="D700" s="13"/>
      <c r="F700" s="14"/>
      <c r="G700" s="14"/>
      <c r="H700" s="14"/>
      <c r="I700" s="14"/>
      <c r="J700" s="14"/>
      <c r="K700" s="12"/>
    </row>
    <row r="701" ht="19.5" customHeight="1">
      <c r="A701" s="12"/>
      <c r="C701" s="12"/>
      <c r="D701" s="13"/>
      <c r="F701" s="14"/>
      <c r="G701" s="14"/>
      <c r="H701" s="14"/>
      <c r="I701" s="14"/>
      <c r="J701" s="14"/>
      <c r="K701" s="12"/>
    </row>
    <row r="702" ht="19.5" customHeight="1">
      <c r="A702" s="12"/>
      <c r="C702" s="12"/>
      <c r="D702" s="13"/>
      <c r="F702" s="14"/>
      <c r="G702" s="14"/>
      <c r="H702" s="14"/>
      <c r="I702" s="14"/>
      <c r="J702" s="14"/>
      <c r="K702" s="12"/>
    </row>
    <row r="703" ht="19.5" customHeight="1">
      <c r="A703" s="12"/>
      <c r="C703" s="12"/>
      <c r="D703" s="13"/>
      <c r="F703" s="14"/>
      <c r="G703" s="14"/>
      <c r="H703" s="14"/>
      <c r="I703" s="14"/>
      <c r="J703" s="14"/>
      <c r="K703" s="12"/>
    </row>
    <row r="704" ht="19.5" customHeight="1">
      <c r="A704" s="12"/>
      <c r="C704" s="12"/>
      <c r="D704" s="13"/>
      <c r="F704" s="14"/>
      <c r="G704" s="14"/>
      <c r="H704" s="14"/>
      <c r="I704" s="14"/>
      <c r="J704" s="14"/>
      <c r="K704" s="12"/>
    </row>
    <row r="705" ht="19.5" customHeight="1">
      <c r="A705" s="12"/>
      <c r="C705" s="12"/>
      <c r="D705" s="13"/>
      <c r="F705" s="14"/>
      <c r="G705" s="14"/>
      <c r="H705" s="14"/>
      <c r="I705" s="14"/>
      <c r="J705" s="14"/>
      <c r="K705" s="12"/>
    </row>
    <row r="706" ht="19.5" customHeight="1">
      <c r="A706" s="12"/>
      <c r="C706" s="12"/>
      <c r="D706" s="13"/>
      <c r="F706" s="14"/>
      <c r="G706" s="14"/>
      <c r="H706" s="14"/>
      <c r="I706" s="14"/>
      <c r="J706" s="14"/>
      <c r="K706" s="12"/>
    </row>
    <row r="707" ht="19.5" customHeight="1">
      <c r="A707" s="12"/>
      <c r="C707" s="12"/>
      <c r="D707" s="13"/>
      <c r="F707" s="14"/>
      <c r="G707" s="14"/>
      <c r="H707" s="14"/>
      <c r="I707" s="14"/>
      <c r="J707" s="14"/>
      <c r="K707" s="12"/>
    </row>
    <row r="708" ht="19.5" customHeight="1">
      <c r="A708" s="12"/>
      <c r="C708" s="12"/>
      <c r="D708" s="13"/>
      <c r="F708" s="14"/>
      <c r="G708" s="14"/>
      <c r="H708" s="14"/>
      <c r="I708" s="14"/>
      <c r="J708" s="14"/>
      <c r="K708" s="12"/>
    </row>
    <row r="709" ht="19.5" customHeight="1">
      <c r="A709" s="12"/>
      <c r="C709" s="12"/>
      <c r="D709" s="13"/>
      <c r="F709" s="14"/>
      <c r="G709" s="14"/>
      <c r="H709" s="14"/>
      <c r="I709" s="14"/>
      <c r="J709" s="14"/>
      <c r="K709" s="12"/>
    </row>
    <row r="710" ht="19.5" customHeight="1">
      <c r="A710" s="12"/>
      <c r="C710" s="12"/>
      <c r="D710" s="13"/>
      <c r="F710" s="14"/>
      <c r="G710" s="14"/>
      <c r="H710" s="14"/>
      <c r="I710" s="14"/>
      <c r="J710" s="14"/>
      <c r="K710" s="12"/>
    </row>
    <row r="711" ht="19.5" customHeight="1">
      <c r="A711" s="12"/>
      <c r="C711" s="12"/>
      <c r="D711" s="13"/>
      <c r="F711" s="14"/>
      <c r="G711" s="14"/>
      <c r="H711" s="14"/>
      <c r="I711" s="14"/>
      <c r="J711" s="14"/>
      <c r="K711" s="12"/>
    </row>
    <row r="712" ht="19.5" customHeight="1">
      <c r="A712" s="12"/>
      <c r="C712" s="12"/>
      <c r="D712" s="13"/>
      <c r="F712" s="14"/>
      <c r="G712" s="14"/>
      <c r="H712" s="14"/>
      <c r="I712" s="14"/>
      <c r="J712" s="14"/>
      <c r="K712" s="12"/>
    </row>
    <row r="713" ht="19.5" customHeight="1">
      <c r="A713" s="12"/>
      <c r="C713" s="12"/>
      <c r="D713" s="13"/>
      <c r="F713" s="14"/>
      <c r="G713" s="14"/>
      <c r="H713" s="14"/>
      <c r="I713" s="14"/>
      <c r="J713" s="14"/>
      <c r="K713" s="12"/>
    </row>
    <row r="714" ht="19.5" customHeight="1">
      <c r="A714" s="12"/>
      <c r="C714" s="12"/>
      <c r="D714" s="13"/>
      <c r="F714" s="14"/>
      <c r="G714" s="14"/>
      <c r="H714" s="14"/>
      <c r="I714" s="14"/>
      <c r="J714" s="14"/>
      <c r="K714" s="12"/>
    </row>
    <row r="715" ht="19.5" customHeight="1">
      <c r="A715" s="12"/>
      <c r="C715" s="12"/>
      <c r="D715" s="13"/>
      <c r="F715" s="14"/>
      <c r="G715" s="14"/>
      <c r="H715" s="14"/>
      <c r="I715" s="14"/>
      <c r="J715" s="14"/>
      <c r="K715" s="12"/>
    </row>
    <row r="716" ht="19.5" customHeight="1">
      <c r="A716" s="12"/>
      <c r="C716" s="12"/>
      <c r="D716" s="13"/>
      <c r="F716" s="14"/>
      <c r="G716" s="14"/>
      <c r="H716" s="14"/>
      <c r="I716" s="14"/>
      <c r="J716" s="14"/>
      <c r="K716" s="12"/>
    </row>
    <row r="717" ht="19.5" customHeight="1">
      <c r="A717" s="12"/>
      <c r="C717" s="12"/>
      <c r="D717" s="13"/>
      <c r="F717" s="14"/>
      <c r="G717" s="14"/>
      <c r="H717" s="14"/>
      <c r="I717" s="14"/>
      <c r="J717" s="14"/>
      <c r="K717" s="12"/>
    </row>
    <row r="718" ht="19.5" customHeight="1">
      <c r="A718" s="12"/>
      <c r="C718" s="12"/>
      <c r="D718" s="13"/>
      <c r="F718" s="14"/>
      <c r="G718" s="14"/>
      <c r="H718" s="14"/>
      <c r="I718" s="14"/>
      <c r="J718" s="14"/>
      <c r="K718" s="12"/>
    </row>
    <row r="719" ht="19.5" customHeight="1">
      <c r="A719" s="12"/>
      <c r="C719" s="12"/>
      <c r="D719" s="13"/>
      <c r="F719" s="14"/>
      <c r="G719" s="14"/>
      <c r="H719" s="14"/>
      <c r="I719" s="14"/>
      <c r="J719" s="14"/>
      <c r="K719" s="12"/>
    </row>
    <row r="720" ht="19.5" customHeight="1">
      <c r="A720" s="12"/>
      <c r="C720" s="12"/>
      <c r="D720" s="13"/>
      <c r="F720" s="14"/>
      <c r="G720" s="14"/>
      <c r="H720" s="14"/>
      <c r="I720" s="14"/>
      <c r="J720" s="14"/>
      <c r="K720" s="12"/>
    </row>
    <row r="721" ht="19.5" customHeight="1">
      <c r="A721" s="12"/>
      <c r="C721" s="12"/>
      <c r="D721" s="13"/>
      <c r="F721" s="14"/>
      <c r="G721" s="14"/>
      <c r="H721" s="14"/>
      <c r="I721" s="14"/>
      <c r="J721" s="14"/>
      <c r="K721" s="12"/>
    </row>
    <row r="722" ht="19.5" customHeight="1">
      <c r="A722" s="12"/>
      <c r="C722" s="12"/>
      <c r="D722" s="13"/>
      <c r="F722" s="14"/>
      <c r="G722" s="14"/>
      <c r="H722" s="14"/>
      <c r="I722" s="14"/>
      <c r="J722" s="14"/>
      <c r="K722" s="12"/>
    </row>
    <row r="723" ht="19.5" customHeight="1">
      <c r="A723" s="12"/>
      <c r="C723" s="12"/>
      <c r="D723" s="13"/>
      <c r="F723" s="14"/>
      <c r="G723" s="14"/>
      <c r="H723" s="14"/>
      <c r="I723" s="14"/>
      <c r="J723" s="14"/>
      <c r="K723" s="12"/>
    </row>
    <row r="724" ht="19.5" customHeight="1">
      <c r="A724" s="12"/>
      <c r="C724" s="12"/>
      <c r="D724" s="13"/>
      <c r="F724" s="14"/>
      <c r="G724" s="14"/>
      <c r="H724" s="14"/>
      <c r="I724" s="14"/>
      <c r="J724" s="14"/>
      <c r="K724" s="12"/>
    </row>
    <row r="725" ht="19.5" customHeight="1">
      <c r="A725" s="12"/>
      <c r="C725" s="12"/>
      <c r="D725" s="13"/>
      <c r="F725" s="14"/>
      <c r="G725" s="14"/>
      <c r="H725" s="14"/>
      <c r="I725" s="14"/>
      <c r="J725" s="14"/>
      <c r="K725" s="12"/>
    </row>
    <row r="726" ht="19.5" customHeight="1">
      <c r="A726" s="12"/>
      <c r="C726" s="12"/>
      <c r="D726" s="13"/>
      <c r="F726" s="14"/>
      <c r="G726" s="14"/>
      <c r="H726" s="14"/>
      <c r="I726" s="14"/>
      <c r="J726" s="14"/>
      <c r="K726" s="12"/>
    </row>
    <row r="727" ht="19.5" customHeight="1">
      <c r="A727" s="12"/>
      <c r="C727" s="12"/>
      <c r="D727" s="13"/>
      <c r="F727" s="14"/>
      <c r="G727" s="14"/>
      <c r="H727" s="14"/>
      <c r="I727" s="14"/>
      <c r="J727" s="14"/>
      <c r="K727" s="12"/>
    </row>
    <row r="728" ht="19.5" customHeight="1">
      <c r="A728" s="12"/>
      <c r="C728" s="12"/>
      <c r="D728" s="13"/>
      <c r="F728" s="14"/>
      <c r="G728" s="14"/>
      <c r="H728" s="14"/>
      <c r="I728" s="14"/>
      <c r="J728" s="14"/>
      <c r="K728" s="12"/>
    </row>
    <row r="729" ht="19.5" customHeight="1">
      <c r="A729" s="12"/>
      <c r="C729" s="12"/>
      <c r="D729" s="13"/>
      <c r="F729" s="14"/>
      <c r="G729" s="14"/>
      <c r="H729" s="14"/>
      <c r="I729" s="14"/>
      <c r="J729" s="14"/>
      <c r="K729" s="12"/>
    </row>
    <row r="730" ht="19.5" customHeight="1">
      <c r="A730" s="12"/>
      <c r="C730" s="12"/>
      <c r="D730" s="13"/>
      <c r="F730" s="14"/>
      <c r="G730" s="14"/>
      <c r="H730" s="14"/>
      <c r="I730" s="14"/>
      <c r="J730" s="14"/>
      <c r="K730" s="12"/>
    </row>
    <row r="731" ht="19.5" customHeight="1">
      <c r="A731" s="12"/>
      <c r="C731" s="12"/>
      <c r="D731" s="13"/>
      <c r="F731" s="14"/>
      <c r="G731" s="14"/>
      <c r="H731" s="14"/>
      <c r="I731" s="14"/>
      <c r="J731" s="14"/>
      <c r="K731" s="12"/>
    </row>
    <row r="732" ht="19.5" customHeight="1">
      <c r="A732" s="12"/>
      <c r="C732" s="12"/>
      <c r="D732" s="13"/>
      <c r="F732" s="14"/>
      <c r="G732" s="14"/>
      <c r="H732" s="14"/>
      <c r="I732" s="14"/>
      <c r="J732" s="14"/>
      <c r="K732" s="12"/>
    </row>
    <row r="733" ht="19.5" customHeight="1">
      <c r="A733" s="12"/>
      <c r="C733" s="12"/>
      <c r="D733" s="13"/>
      <c r="F733" s="14"/>
      <c r="G733" s="14"/>
      <c r="H733" s="14"/>
      <c r="I733" s="14"/>
      <c r="J733" s="14"/>
      <c r="K733" s="12"/>
    </row>
    <row r="734" ht="19.5" customHeight="1">
      <c r="A734" s="12"/>
      <c r="C734" s="12"/>
      <c r="D734" s="13"/>
      <c r="F734" s="14"/>
      <c r="G734" s="14"/>
      <c r="H734" s="14"/>
      <c r="I734" s="14"/>
      <c r="J734" s="14"/>
      <c r="K734" s="12"/>
    </row>
    <row r="735" ht="19.5" customHeight="1">
      <c r="A735" s="12"/>
      <c r="C735" s="12"/>
      <c r="D735" s="13"/>
      <c r="F735" s="14"/>
      <c r="G735" s="14"/>
      <c r="H735" s="14"/>
      <c r="I735" s="14"/>
      <c r="J735" s="14"/>
      <c r="K735" s="12"/>
    </row>
    <row r="736" ht="19.5" customHeight="1">
      <c r="A736" s="12"/>
      <c r="C736" s="12"/>
      <c r="D736" s="13"/>
      <c r="F736" s="14"/>
      <c r="G736" s="14"/>
      <c r="H736" s="14"/>
      <c r="I736" s="14"/>
      <c r="J736" s="14"/>
      <c r="K736" s="12"/>
    </row>
    <row r="737" ht="19.5" customHeight="1">
      <c r="A737" s="12"/>
      <c r="C737" s="12"/>
      <c r="D737" s="13"/>
      <c r="F737" s="14"/>
      <c r="G737" s="14"/>
      <c r="H737" s="14"/>
      <c r="I737" s="14"/>
      <c r="J737" s="14"/>
      <c r="K737" s="12"/>
    </row>
    <row r="738" ht="19.5" customHeight="1">
      <c r="A738" s="12"/>
      <c r="C738" s="12"/>
      <c r="D738" s="13"/>
      <c r="F738" s="14"/>
      <c r="G738" s="14"/>
      <c r="H738" s="14"/>
      <c r="I738" s="14"/>
      <c r="J738" s="14"/>
      <c r="K738" s="12"/>
    </row>
    <row r="739" ht="19.5" customHeight="1">
      <c r="A739" s="12"/>
      <c r="C739" s="12"/>
      <c r="D739" s="13"/>
      <c r="F739" s="14"/>
      <c r="G739" s="14"/>
      <c r="H739" s="14"/>
      <c r="I739" s="14"/>
      <c r="J739" s="14"/>
      <c r="K739" s="12"/>
    </row>
    <row r="740" ht="19.5" customHeight="1">
      <c r="A740" s="12"/>
      <c r="C740" s="12"/>
      <c r="D740" s="13"/>
      <c r="F740" s="14"/>
      <c r="G740" s="14"/>
      <c r="H740" s="14"/>
      <c r="I740" s="14"/>
      <c r="J740" s="14"/>
      <c r="K740" s="12"/>
    </row>
    <row r="741" ht="19.5" customHeight="1">
      <c r="A741" s="12"/>
      <c r="C741" s="12"/>
      <c r="D741" s="13"/>
      <c r="F741" s="14"/>
      <c r="G741" s="14"/>
      <c r="H741" s="14"/>
      <c r="I741" s="14"/>
      <c r="J741" s="14"/>
      <c r="K741" s="12"/>
    </row>
    <row r="742" ht="19.5" customHeight="1">
      <c r="A742" s="12"/>
      <c r="C742" s="12"/>
      <c r="D742" s="13"/>
      <c r="F742" s="14"/>
      <c r="G742" s="14"/>
      <c r="H742" s="14"/>
      <c r="I742" s="14"/>
      <c r="J742" s="14"/>
      <c r="K742" s="12"/>
    </row>
    <row r="743" ht="19.5" customHeight="1">
      <c r="A743" s="12"/>
      <c r="C743" s="12"/>
      <c r="D743" s="13"/>
      <c r="F743" s="14"/>
      <c r="G743" s="14"/>
      <c r="H743" s="14"/>
      <c r="I743" s="14"/>
      <c r="J743" s="14"/>
      <c r="K743" s="12"/>
    </row>
    <row r="744" ht="19.5" customHeight="1">
      <c r="A744" s="12"/>
      <c r="C744" s="12"/>
      <c r="D744" s="13"/>
      <c r="F744" s="14"/>
      <c r="G744" s="14"/>
      <c r="H744" s="14"/>
      <c r="I744" s="14"/>
      <c r="J744" s="14"/>
      <c r="K744" s="12"/>
    </row>
    <row r="745" ht="19.5" customHeight="1">
      <c r="A745" s="12"/>
      <c r="C745" s="12"/>
      <c r="D745" s="13"/>
      <c r="F745" s="14"/>
      <c r="G745" s="14"/>
      <c r="H745" s="14"/>
      <c r="I745" s="14"/>
      <c r="J745" s="14"/>
      <c r="K745" s="12"/>
    </row>
    <row r="746" ht="19.5" customHeight="1">
      <c r="A746" s="12"/>
      <c r="C746" s="12"/>
      <c r="D746" s="13"/>
      <c r="F746" s="14"/>
      <c r="G746" s="14"/>
      <c r="H746" s="14"/>
      <c r="I746" s="14"/>
      <c r="J746" s="14"/>
      <c r="K746" s="12"/>
    </row>
    <row r="747" ht="19.5" customHeight="1">
      <c r="A747" s="12"/>
      <c r="C747" s="12"/>
      <c r="D747" s="13"/>
      <c r="F747" s="14"/>
      <c r="G747" s="14"/>
      <c r="H747" s="14"/>
      <c r="I747" s="14"/>
      <c r="J747" s="14"/>
      <c r="K747" s="12"/>
    </row>
    <row r="748" ht="19.5" customHeight="1">
      <c r="A748" s="12"/>
      <c r="C748" s="12"/>
      <c r="D748" s="13"/>
      <c r="F748" s="14"/>
      <c r="G748" s="14"/>
      <c r="H748" s="14"/>
      <c r="I748" s="14"/>
      <c r="J748" s="14"/>
      <c r="K748" s="12"/>
    </row>
    <row r="749" ht="19.5" customHeight="1">
      <c r="A749" s="12"/>
      <c r="C749" s="12"/>
      <c r="D749" s="13"/>
      <c r="F749" s="14"/>
      <c r="G749" s="14"/>
      <c r="H749" s="14"/>
      <c r="I749" s="14"/>
      <c r="J749" s="14"/>
      <c r="K749" s="12"/>
    </row>
    <row r="750" ht="19.5" customHeight="1">
      <c r="A750" s="12"/>
      <c r="C750" s="12"/>
      <c r="D750" s="13"/>
      <c r="F750" s="14"/>
      <c r="G750" s="14"/>
      <c r="H750" s="14"/>
      <c r="I750" s="14"/>
      <c r="J750" s="14"/>
      <c r="K750" s="12"/>
    </row>
    <row r="751" ht="19.5" customHeight="1">
      <c r="A751" s="12"/>
      <c r="C751" s="12"/>
      <c r="D751" s="13"/>
      <c r="F751" s="14"/>
      <c r="G751" s="14"/>
      <c r="H751" s="14"/>
      <c r="I751" s="14"/>
      <c r="J751" s="14"/>
      <c r="K751" s="12"/>
    </row>
    <row r="752" ht="19.5" customHeight="1">
      <c r="A752" s="12"/>
      <c r="C752" s="12"/>
      <c r="D752" s="13"/>
      <c r="F752" s="14"/>
      <c r="G752" s="14"/>
      <c r="H752" s="14"/>
      <c r="I752" s="14"/>
      <c r="J752" s="14"/>
      <c r="K752" s="12"/>
    </row>
    <row r="753" ht="19.5" customHeight="1">
      <c r="A753" s="12"/>
      <c r="C753" s="12"/>
      <c r="D753" s="13"/>
      <c r="F753" s="14"/>
      <c r="G753" s="14"/>
      <c r="H753" s="14"/>
      <c r="I753" s="14"/>
      <c r="J753" s="14"/>
      <c r="K753" s="12"/>
    </row>
    <row r="754" ht="19.5" customHeight="1">
      <c r="A754" s="12"/>
      <c r="C754" s="12"/>
      <c r="D754" s="13"/>
      <c r="F754" s="14"/>
      <c r="G754" s="14"/>
      <c r="H754" s="14"/>
      <c r="I754" s="14"/>
      <c r="J754" s="14"/>
      <c r="K754" s="12"/>
    </row>
    <row r="755" ht="19.5" customHeight="1">
      <c r="A755" s="12"/>
      <c r="C755" s="12"/>
      <c r="D755" s="13"/>
      <c r="F755" s="14"/>
      <c r="G755" s="14"/>
      <c r="H755" s="14"/>
      <c r="I755" s="14"/>
      <c r="J755" s="14"/>
      <c r="K755" s="12"/>
    </row>
    <row r="756" ht="19.5" customHeight="1">
      <c r="A756" s="12"/>
      <c r="C756" s="12"/>
      <c r="D756" s="13"/>
      <c r="F756" s="14"/>
      <c r="G756" s="14"/>
      <c r="H756" s="14"/>
      <c r="I756" s="14"/>
      <c r="J756" s="14"/>
      <c r="K756" s="12"/>
    </row>
    <row r="757" ht="19.5" customHeight="1">
      <c r="A757" s="12"/>
      <c r="C757" s="12"/>
      <c r="D757" s="13"/>
      <c r="F757" s="14"/>
      <c r="G757" s="14"/>
      <c r="H757" s="14"/>
      <c r="I757" s="14"/>
      <c r="J757" s="14"/>
      <c r="K757" s="12"/>
    </row>
    <row r="758" ht="19.5" customHeight="1">
      <c r="A758" s="12"/>
      <c r="C758" s="12"/>
      <c r="D758" s="13"/>
      <c r="F758" s="14"/>
      <c r="G758" s="14"/>
      <c r="H758" s="14"/>
      <c r="I758" s="14"/>
      <c r="J758" s="14"/>
      <c r="K758" s="12"/>
    </row>
    <row r="759" ht="19.5" customHeight="1">
      <c r="A759" s="12"/>
      <c r="C759" s="12"/>
      <c r="D759" s="13"/>
      <c r="F759" s="14"/>
      <c r="G759" s="14"/>
      <c r="H759" s="14"/>
      <c r="I759" s="14"/>
      <c r="J759" s="14"/>
      <c r="K759" s="12"/>
    </row>
    <row r="760" ht="19.5" customHeight="1">
      <c r="A760" s="12"/>
      <c r="C760" s="12"/>
      <c r="D760" s="13"/>
      <c r="F760" s="14"/>
      <c r="G760" s="14"/>
      <c r="H760" s="14"/>
      <c r="I760" s="14"/>
      <c r="J760" s="14"/>
      <c r="K760" s="12"/>
    </row>
    <row r="761" ht="19.5" customHeight="1">
      <c r="A761" s="12"/>
      <c r="C761" s="12"/>
      <c r="D761" s="13"/>
      <c r="F761" s="14"/>
      <c r="G761" s="14"/>
      <c r="H761" s="14"/>
      <c r="I761" s="14"/>
      <c r="J761" s="14"/>
      <c r="K761" s="12"/>
    </row>
    <row r="762" ht="19.5" customHeight="1">
      <c r="A762" s="12"/>
      <c r="C762" s="12"/>
      <c r="D762" s="13"/>
      <c r="F762" s="14"/>
      <c r="G762" s="14"/>
      <c r="H762" s="14"/>
      <c r="I762" s="14"/>
      <c r="J762" s="14"/>
      <c r="K762" s="12"/>
    </row>
    <row r="763" ht="19.5" customHeight="1">
      <c r="A763" s="12"/>
      <c r="C763" s="12"/>
      <c r="D763" s="13"/>
      <c r="F763" s="14"/>
      <c r="G763" s="14"/>
      <c r="H763" s="14"/>
      <c r="I763" s="14"/>
      <c r="J763" s="14"/>
      <c r="K763" s="12"/>
    </row>
    <row r="764" ht="19.5" customHeight="1">
      <c r="A764" s="12"/>
      <c r="C764" s="12"/>
      <c r="D764" s="13"/>
      <c r="F764" s="14"/>
      <c r="G764" s="14"/>
      <c r="H764" s="14"/>
      <c r="I764" s="14"/>
      <c r="J764" s="14"/>
      <c r="K764" s="12"/>
    </row>
    <row r="765" ht="19.5" customHeight="1">
      <c r="A765" s="12"/>
      <c r="C765" s="12"/>
      <c r="D765" s="13"/>
      <c r="F765" s="14"/>
      <c r="G765" s="14"/>
      <c r="H765" s="14"/>
      <c r="I765" s="14"/>
      <c r="J765" s="14"/>
      <c r="K765" s="12"/>
    </row>
    <row r="766" ht="19.5" customHeight="1">
      <c r="A766" s="12"/>
      <c r="C766" s="12"/>
      <c r="D766" s="13"/>
      <c r="F766" s="14"/>
      <c r="G766" s="14"/>
      <c r="H766" s="14"/>
      <c r="I766" s="14"/>
      <c r="J766" s="14"/>
      <c r="K766" s="12"/>
    </row>
    <row r="767" ht="19.5" customHeight="1">
      <c r="A767" s="12"/>
      <c r="C767" s="12"/>
      <c r="D767" s="13"/>
      <c r="F767" s="14"/>
      <c r="G767" s="14"/>
      <c r="H767" s="14"/>
      <c r="I767" s="14"/>
      <c r="J767" s="14"/>
      <c r="K767" s="12"/>
    </row>
    <row r="768" ht="19.5" customHeight="1">
      <c r="A768" s="12"/>
      <c r="C768" s="12"/>
      <c r="D768" s="13"/>
      <c r="F768" s="14"/>
      <c r="G768" s="14"/>
      <c r="H768" s="14"/>
      <c r="I768" s="14"/>
      <c r="J768" s="14"/>
      <c r="K768" s="12"/>
    </row>
    <row r="769" ht="19.5" customHeight="1">
      <c r="A769" s="12"/>
      <c r="C769" s="12"/>
      <c r="D769" s="13"/>
      <c r="F769" s="14"/>
      <c r="G769" s="14"/>
      <c r="H769" s="14"/>
      <c r="I769" s="14"/>
      <c r="J769" s="14"/>
      <c r="K769" s="12"/>
    </row>
    <row r="770" ht="19.5" customHeight="1">
      <c r="A770" s="12"/>
      <c r="C770" s="12"/>
      <c r="D770" s="13"/>
      <c r="F770" s="14"/>
      <c r="G770" s="14"/>
      <c r="H770" s="14"/>
      <c r="I770" s="14"/>
      <c r="J770" s="14"/>
      <c r="K770" s="12"/>
    </row>
    <row r="771" ht="19.5" customHeight="1">
      <c r="A771" s="12"/>
      <c r="C771" s="12"/>
      <c r="D771" s="13"/>
      <c r="F771" s="14"/>
      <c r="G771" s="14"/>
      <c r="H771" s="14"/>
      <c r="I771" s="14"/>
      <c r="J771" s="14"/>
      <c r="K771" s="12"/>
    </row>
    <row r="772" ht="19.5" customHeight="1">
      <c r="A772" s="12"/>
      <c r="C772" s="12"/>
      <c r="D772" s="13"/>
      <c r="F772" s="14"/>
      <c r="G772" s="14"/>
      <c r="H772" s="14"/>
      <c r="I772" s="14"/>
      <c r="J772" s="14"/>
      <c r="K772" s="12"/>
    </row>
    <row r="773" ht="19.5" customHeight="1">
      <c r="A773" s="12"/>
      <c r="C773" s="12"/>
      <c r="D773" s="13"/>
      <c r="F773" s="14"/>
      <c r="G773" s="14"/>
      <c r="H773" s="14"/>
      <c r="I773" s="14"/>
      <c r="J773" s="14"/>
      <c r="K773" s="12"/>
    </row>
    <row r="774" ht="19.5" customHeight="1">
      <c r="A774" s="12"/>
      <c r="C774" s="12"/>
      <c r="D774" s="13"/>
      <c r="F774" s="14"/>
      <c r="G774" s="14"/>
      <c r="H774" s="14"/>
      <c r="I774" s="14"/>
      <c r="J774" s="14"/>
      <c r="K774" s="12"/>
    </row>
    <row r="775" ht="19.5" customHeight="1">
      <c r="A775" s="12"/>
      <c r="C775" s="12"/>
      <c r="D775" s="13"/>
      <c r="F775" s="14"/>
      <c r="G775" s="14"/>
      <c r="H775" s="14"/>
      <c r="I775" s="14"/>
      <c r="J775" s="14"/>
      <c r="K775" s="12"/>
    </row>
    <row r="776" ht="19.5" customHeight="1">
      <c r="A776" s="12"/>
      <c r="C776" s="12"/>
      <c r="D776" s="13"/>
      <c r="F776" s="14"/>
      <c r="G776" s="14"/>
      <c r="H776" s="14"/>
      <c r="I776" s="14"/>
      <c r="J776" s="14"/>
      <c r="K776" s="12"/>
    </row>
    <row r="777" ht="19.5" customHeight="1">
      <c r="A777" s="12"/>
      <c r="C777" s="12"/>
      <c r="D777" s="13"/>
      <c r="F777" s="14"/>
      <c r="G777" s="14"/>
      <c r="H777" s="14"/>
      <c r="I777" s="14"/>
      <c r="J777" s="14"/>
      <c r="K777" s="12"/>
    </row>
    <row r="778" ht="19.5" customHeight="1">
      <c r="A778" s="12"/>
      <c r="C778" s="12"/>
      <c r="D778" s="13"/>
      <c r="F778" s="14"/>
      <c r="G778" s="14"/>
      <c r="H778" s="14"/>
      <c r="I778" s="14"/>
      <c r="J778" s="14"/>
      <c r="K778" s="12"/>
    </row>
    <row r="779" ht="19.5" customHeight="1">
      <c r="A779" s="12"/>
      <c r="C779" s="12"/>
      <c r="D779" s="13"/>
      <c r="F779" s="14"/>
      <c r="G779" s="14"/>
      <c r="H779" s="14"/>
      <c r="I779" s="14"/>
      <c r="J779" s="14"/>
      <c r="K779" s="12"/>
    </row>
    <row r="780" ht="19.5" customHeight="1">
      <c r="A780" s="12"/>
      <c r="C780" s="12"/>
      <c r="D780" s="13"/>
      <c r="F780" s="14"/>
      <c r="G780" s="14"/>
      <c r="H780" s="14"/>
      <c r="I780" s="14"/>
      <c r="J780" s="14"/>
      <c r="K780" s="12"/>
    </row>
    <row r="781" ht="19.5" customHeight="1">
      <c r="A781" s="12"/>
      <c r="C781" s="12"/>
      <c r="D781" s="13"/>
      <c r="F781" s="14"/>
      <c r="G781" s="14"/>
      <c r="H781" s="14"/>
      <c r="I781" s="14"/>
      <c r="J781" s="14"/>
      <c r="K781" s="12"/>
    </row>
    <row r="782" ht="19.5" customHeight="1">
      <c r="A782" s="12"/>
      <c r="C782" s="12"/>
      <c r="D782" s="13"/>
      <c r="F782" s="14"/>
      <c r="G782" s="14"/>
      <c r="H782" s="14"/>
      <c r="I782" s="14"/>
      <c r="J782" s="14"/>
      <c r="K782" s="12"/>
    </row>
    <row r="783" ht="19.5" customHeight="1">
      <c r="A783" s="12"/>
      <c r="C783" s="12"/>
      <c r="D783" s="13"/>
      <c r="F783" s="14"/>
      <c r="G783" s="14"/>
      <c r="H783" s="14"/>
      <c r="I783" s="14"/>
      <c r="J783" s="14"/>
      <c r="K783" s="12"/>
    </row>
    <row r="784" ht="19.5" customHeight="1">
      <c r="A784" s="12"/>
      <c r="C784" s="12"/>
      <c r="D784" s="13"/>
      <c r="F784" s="14"/>
      <c r="G784" s="14"/>
      <c r="H784" s="14"/>
      <c r="I784" s="14"/>
      <c r="J784" s="14"/>
      <c r="K784" s="12"/>
    </row>
    <row r="785" ht="19.5" customHeight="1">
      <c r="A785" s="12"/>
      <c r="C785" s="12"/>
      <c r="D785" s="13"/>
      <c r="F785" s="14"/>
      <c r="G785" s="14"/>
      <c r="H785" s="14"/>
      <c r="I785" s="14"/>
      <c r="J785" s="14"/>
      <c r="K785" s="12"/>
    </row>
    <row r="786" ht="19.5" customHeight="1">
      <c r="A786" s="12"/>
      <c r="C786" s="12"/>
      <c r="D786" s="13"/>
      <c r="F786" s="14"/>
      <c r="G786" s="14"/>
      <c r="H786" s="14"/>
      <c r="I786" s="14"/>
      <c r="J786" s="14"/>
      <c r="K786" s="12"/>
    </row>
    <row r="787" ht="19.5" customHeight="1">
      <c r="A787" s="12"/>
      <c r="C787" s="12"/>
      <c r="D787" s="13"/>
      <c r="F787" s="14"/>
      <c r="G787" s="14"/>
      <c r="H787" s="14"/>
      <c r="I787" s="14"/>
      <c r="J787" s="14"/>
      <c r="K787" s="12"/>
    </row>
    <row r="788" ht="19.5" customHeight="1">
      <c r="A788" s="12"/>
      <c r="C788" s="12"/>
      <c r="D788" s="13"/>
      <c r="F788" s="14"/>
      <c r="G788" s="14"/>
      <c r="H788" s="14"/>
      <c r="I788" s="14"/>
      <c r="J788" s="14"/>
      <c r="K788" s="12"/>
    </row>
    <row r="789" ht="19.5" customHeight="1">
      <c r="A789" s="12"/>
      <c r="C789" s="12"/>
      <c r="D789" s="13"/>
      <c r="F789" s="14"/>
      <c r="G789" s="14"/>
      <c r="H789" s="14"/>
      <c r="I789" s="14"/>
      <c r="J789" s="14"/>
      <c r="K789" s="12"/>
    </row>
    <row r="790" ht="19.5" customHeight="1">
      <c r="A790" s="12"/>
      <c r="C790" s="12"/>
      <c r="D790" s="13"/>
      <c r="F790" s="14"/>
      <c r="G790" s="14"/>
      <c r="H790" s="14"/>
      <c r="I790" s="14"/>
      <c r="J790" s="14"/>
      <c r="K790" s="12"/>
    </row>
    <row r="791" ht="19.5" customHeight="1">
      <c r="A791" s="12"/>
      <c r="C791" s="12"/>
      <c r="D791" s="13"/>
      <c r="F791" s="14"/>
      <c r="G791" s="14"/>
      <c r="H791" s="14"/>
      <c r="I791" s="14"/>
      <c r="J791" s="14"/>
      <c r="K791" s="12"/>
    </row>
    <row r="792" ht="19.5" customHeight="1">
      <c r="A792" s="12"/>
      <c r="C792" s="12"/>
      <c r="D792" s="13"/>
      <c r="F792" s="14"/>
      <c r="G792" s="14"/>
      <c r="H792" s="14"/>
      <c r="I792" s="14"/>
      <c r="J792" s="14"/>
      <c r="K792" s="12"/>
    </row>
    <row r="793" ht="19.5" customHeight="1">
      <c r="A793" s="12"/>
      <c r="C793" s="12"/>
      <c r="D793" s="13"/>
      <c r="F793" s="14"/>
      <c r="G793" s="14"/>
      <c r="H793" s="14"/>
      <c r="I793" s="14"/>
      <c r="J793" s="14"/>
      <c r="K793" s="12"/>
    </row>
    <row r="794" ht="19.5" customHeight="1">
      <c r="A794" s="12"/>
      <c r="C794" s="12"/>
      <c r="D794" s="13"/>
      <c r="F794" s="14"/>
      <c r="G794" s="14"/>
      <c r="H794" s="14"/>
      <c r="I794" s="14"/>
      <c r="J794" s="14"/>
      <c r="K794" s="12"/>
    </row>
    <row r="795" ht="19.5" customHeight="1">
      <c r="A795" s="12"/>
      <c r="C795" s="12"/>
      <c r="D795" s="13"/>
      <c r="F795" s="14"/>
      <c r="G795" s="14"/>
      <c r="H795" s="14"/>
      <c r="I795" s="14"/>
      <c r="J795" s="14"/>
      <c r="K795" s="12"/>
    </row>
    <row r="796" ht="19.5" customHeight="1">
      <c r="A796" s="12"/>
      <c r="C796" s="12"/>
      <c r="D796" s="13"/>
      <c r="F796" s="14"/>
      <c r="G796" s="14"/>
      <c r="H796" s="14"/>
      <c r="I796" s="14"/>
      <c r="J796" s="14"/>
      <c r="K796" s="12"/>
    </row>
    <row r="797" ht="19.5" customHeight="1">
      <c r="A797" s="12"/>
      <c r="C797" s="12"/>
      <c r="D797" s="13"/>
      <c r="F797" s="14"/>
      <c r="G797" s="14"/>
      <c r="H797" s="14"/>
      <c r="I797" s="14"/>
      <c r="J797" s="14"/>
      <c r="K797" s="12"/>
    </row>
    <row r="798" ht="19.5" customHeight="1">
      <c r="A798" s="12"/>
      <c r="C798" s="12"/>
      <c r="D798" s="13"/>
      <c r="F798" s="14"/>
      <c r="G798" s="14"/>
      <c r="H798" s="14"/>
      <c r="I798" s="14"/>
      <c r="J798" s="14"/>
      <c r="K798" s="12"/>
    </row>
    <row r="799" ht="19.5" customHeight="1">
      <c r="A799" s="12"/>
      <c r="C799" s="12"/>
      <c r="D799" s="13"/>
      <c r="F799" s="14"/>
      <c r="G799" s="14"/>
      <c r="H799" s="14"/>
      <c r="I799" s="14"/>
      <c r="J799" s="14"/>
      <c r="K799" s="12"/>
    </row>
    <row r="800" ht="19.5" customHeight="1">
      <c r="A800" s="12"/>
      <c r="C800" s="12"/>
      <c r="D800" s="13"/>
      <c r="F800" s="14"/>
      <c r="G800" s="14"/>
      <c r="H800" s="14"/>
      <c r="I800" s="14"/>
      <c r="J800" s="14"/>
      <c r="K800" s="12"/>
    </row>
    <row r="801" ht="19.5" customHeight="1">
      <c r="A801" s="12"/>
      <c r="C801" s="12"/>
      <c r="D801" s="13"/>
      <c r="F801" s="14"/>
      <c r="G801" s="14"/>
      <c r="H801" s="14"/>
      <c r="I801" s="14"/>
      <c r="J801" s="14"/>
      <c r="K801" s="12"/>
    </row>
    <row r="802" ht="19.5" customHeight="1">
      <c r="A802" s="12"/>
      <c r="C802" s="12"/>
      <c r="D802" s="13"/>
      <c r="F802" s="14"/>
      <c r="G802" s="14"/>
      <c r="H802" s="14"/>
      <c r="I802" s="14"/>
      <c r="J802" s="14"/>
      <c r="K802" s="12"/>
    </row>
    <row r="803" ht="19.5" customHeight="1">
      <c r="A803" s="12"/>
      <c r="C803" s="12"/>
      <c r="D803" s="13"/>
      <c r="F803" s="14"/>
      <c r="G803" s="14"/>
      <c r="H803" s="14"/>
      <c r="I803" s="14"/>
      <c r="J803" s="14"/>
      <c r="K803" s="12"/>
    </row>
    <row r="804" ht="19.5" customHeight="1">
      <c r="A804" s="12"/>
      <c r="C804" s="12"/>
      <c r="D804" s="13"/>
      <c r="F804" s="14"/>
      <c r="G804" s="14"/>
      <c r="H804" s="14"/>
      <c r="I804" s="14"/>
      <c r="J804" s="14"/>
      <c r="K804" s="12"/>
    </row>
    <row r="805" ht="19.5" customHeight="1">
      <c r="A805" s="12"/>
      <c r="C805" s="12"/>
      <c r="D805" s="13"/>
      <c r="F805" s="14"/>
      <c r="G805" s="14"/>
      <c r="H805" s="14"/>
      <c r="I805" s="14"/>
      <c r="J805" s="14"/>
      <c r="K805" s="12"/>
    </row>
    <row r="806" ht="19.5" customHeight="1">
      <c r="A806" s="12"/>
      <c r="C806" s="12"/>
      <c r="D806" s="13"/>
      <c r="F806" s="14"/>
      <c r="G806" s="14"/>
      <c r="H806" s="14"/>
      <c r="I806" s="14"/>
      <c r="J806" s="14"/>
      <c r="K806" s="12"/>
    </row>
    <row r="807" ht="19.5" customHeight="1">
      <c r="A807" s="12"/>
      <c r="C807" s="12"/>
      <c r="D807" s="13"/>
      <c r="F807" s="14"/>
      <c r="G807" s="14"/>
      <c r="H807" s="14"/>
      <c r="I807" s="14"/>
      <c r="J807" s="14"/>
      <c r="K807" s="12"/>
    </row>
    <row r="808" ht="19.5" customHeight="1">
      <c r="A808" s="12"/>
      <c r="C808" s="12"/>
      <c r="D808" s="13"/>
      <c r="F808" s="14"/>
      <c r="G808" s="14"/>
      <c r="H808" s="14"/>
      <c r="I808" s="14"/>
      <c r="J808" s="14"/>
      <c r="K808" s="12"/>
    </row>
    <row r="809" ht="19.5" customHeight="1">
      <c r="A809" s="12"/>
      <c r="C809" s="12"/>
      <c r="D809" s="13"/>
      <c r="F809" s="14"/>
      <c r="G809" s="14"/>
      <c r="H809" s="14"/>
      <c r="I809" s="14"/>
      <c r="J809" s="14"/>
      <c r="K809" s="12"/>
    </row>
    <row r="810" ht="19.5" customHeight="1">
      <c r="A810" s="12"/>
      <c r="C810" s="12"/>
      <c r="D810" s="13"/>
      <c r="F810" s="14"/>
      <c r="G810" s="14"/>
      <c r="H810" s="14"/>
      <c r="I810" s="14"/>
      <c r="J810" s="14"/>
      <c r="K810" s="12"/>
    </row>
    <row r="811" ht="19.5" customHeight="1">
      <c r="A811" s="12"/>
      <c r="C811" s="12"/>
      <c r="D811" s="13"/>
      <c r="F811" s="14"/>
      <c r="G811" s="14"/>
      <c r="H811" s="14"/>
      <c r="I811" s="14"/>
      <c r="J811" s="14"/>
      <c r="K811" s="12"/>
    </row>
    <row r="812" ht="19.5" customHeight="1">
      <c r="A812" s="12"/>
      <c r="C812" s="12"/>
      <c r="D812" s="13"/>
      <c r="F812" s="14"/>
      <c r="G812" s="14"/>
      <c r="H812" s="14"/>
      <c r="I812" s="14"/>
      <c r="J812" s="14"/>
      <c r="K812" s="12"/>
    </row>
    <row r="813" ht="19.5" customHeight="1">
      <c r="A813" s="12"/>
      <c r="C813" s="12"/>
      <c r="D813" s="13"/>
      <c r="F813" s="14"/>
      <c r="G813" s="14"/>
      <c r="H813" s="14"/>
      <c r="I813" s="14"/>
      <c r="J813" s="14"/>
      <c r="K813" s="12"/>
    </row>
    <row r="814" ht="19.5" customHeight="1">
      <c r="A814" s="12"/>
      <c r="C814" s="12"/>
      <c r="D814" s="13"/>
      <c r="F814" s="14"/>
      <c r="G814" s="14"/>
      <c r="H814" s="14"/>
      <c r="I814" s="14"/>
      <c r="J814" s="14"/>
      <c r="K814" s="12"/>
    </row>
    <row r="815" ht="19.5" customHeight="1">
      <c r="A815" s="12"/>
      <c r="C815" s="12"/>
      <c r="D815" s="13"/>
      <c r="F815" s="14"/>
      <c r="G815" s="14"/>
      <c r="H815" s="14"/>
      <c r="I815" s="14"/>
      <c r="J815" s="14"/>
      <c r="K815" s="12"/>
    </row>
    <row r="816" ht="19.5" customHeight="1">
      <c r="A816" s="12"/>
      <c r="C816" s="12"/>
      <c r="D816" s="13"/>
      <c r="F816" s="14"/>
      <c r="G816" s="14"/>
      <c r="H816" s="14"/>
      <c r="I816" s="14"/>
      <c r="J816" s="14"/>
      <c r="K816" s="12"/>
    </row>
    <row r="817" ht="19.5" customHeight="1">
      <c r="A817" s="12"/>
      <c r="C817" s="12"/>
      <c r="D817" s="13"/>
      <c r="F817" s="14"/>
      <c r="G817" s="14"/>
      <c r="H817" s="14"/>
      <c r="I817" s="14"/>
      <c r="J817" s="14"/>
      <c r="K817" s="12"/>
    </row>
    <row r="818" ht="19.5" customHeight="1">
      <c r="A818" s="12"/>
      <c r="C818" s="12"/>
      <c r="D818" s="13"/>
      <c r="F818" s="14"/>
      <c r="G818" s="14"/>
      <c r="H818" s="14"/>
      <c r="I818" s="14"/>
      <c r="J818" s="14"/>
      <c r="K818" s="12"/>
    </row>
    <row r="819" ht="19.5" customHeight="1">
      <c r="A819" s="12"/>
      <c r="C819" s="12"/>
      <c r="D819" s="13"/>
      <c r="F819" s="14"/>
      <c r="G819" s="14"/>
      <c r="H819" s="14"/>
      <c r="I819" s="14"/>
      <c r="J819" s="14"/>
      <c r="K819" s="12"/>
    </row>
    <row r="820" ht="19.5" customHeight="1">
      <c r="A820" s="12"/>
      <c r="C820" s="12"/>
      <c r="D820" s="13"/>
      <c r="F820" s="14"/>
      <c r="G820" s="14"/>
      <c r="H820" s="14"/>
      <c r="I820" s="14"/>
      <c r="J820" s="14"/>
      <c r="K820" s="12"/>
    </row>
    <row r="821" ht="19.5" customHeight="1">
      <c r="A821" s="12"/>
      <c r="C821" s="12"/>
      <c r="D821" s="13"/>
      <c r="F821" s="14"/>
      <c r="G821" s="14"/>
      <c r="H821" s="14"/>
      <c r="I821" s="14"/>
      <c r="J821" s="14"/>
      <c r="K821" s="12"/>
    </row>
    <row r="822" ht="19.5" customHeight="1">
      <c r="A822" s="12"/>
      <c r="C822" s="12"/>
      <c r="D822" s="13"/>
      <c r="F822" s="14"/>
      <c r="G822" s="14"/>
      <c r="H822" s="14"/>
      <c r="I822" s="14"/>
      <c r="J822" s="14"/>
      <c r="K822" s="12"/>
    </row>
    <row r="823" ht="19.5" customHeight="1">
      <c r="A823" s="12"/>
      <c r="C823" s="12"/>
      <c r="D823" s="13"/>
      <c r="F823" s="14"/>
      <c r="G823" s="14"/>
      <c r="H823" s="14"/>
      <c r="I823" s="14"/>
      <c r="J823" s="14"/>
      <c r="K823" s="12"/>
    </row>
    <row r="824" ht="19.5" customHeight="1">
      <c r="A824" s="12"/>
      <c r="C824" s="12"/>
      <c r="D824" s="13"/>
      <c r="F824" s="14"/>
      <c r="G824" s="14"/>
      <c r="H824" s="14"/>
      <c r="I824" s="14"/>
      <c r="J824" s="14"/>
      <c r="K824" s="12"/>
    </row>
    <row r="825" ht="19.5" customHeight="1">
      <c r="A825" s="12"/>
      <c r="C825" s="12"/>
      <c r="D825" s="13"/>
      <c r="F825" s="14"/>
      <c r="G825" s="14"/>
      <c r="H825" s="14"/>
      <c r="I825" s="14"/>
      <c r="J825" s="14"/>
      <c r="K825" s="12"/>
    </row>
    <row r="826" ht="19.5" customHeight="1">
      <c r="A826" s="12"/>
      <c r="C826" s="12"/>
      <c r="D826" s="13"/>
      <c r="F826" s="14"/>
      <c r="G826" s="14"/>
      <c r="H826" s="14"/>
      <c r="I826" s="14"/>
      <c r="J826" s="14"/>
      <c r="K826" s="12"/>
    </row>
    <row r="827" ht="19.5" customHeight="1">
      <c r="A827" s="12"/>
      <c r="C827" s="12"/>
      <c r="D827" s="13"/>
      <c r="F827" s="14"/>
      <c r="G827" s="14"/>
      <c r="H827" s="14"/>
      <c r="I827" s="14"/>
      <c r="J827" s="14"/>
      <c r="K827" s="12"/>
    </row>
    <row r="828" ht="19.5" customHeight="1">
      <c r="A828" s="12"/>
      <c r="C828" s="12"/>
      <c r="D828" s="13"/>
      <c r="F828" s="14"/>
      <c r="G828" s="14"/>
      <c r="H828" s="14"/>
      <c r="I828" s="14"/>
      <c r="J828" s="14"/>
      <c r="K828" s="12"/>
    </row>
    <row r="829" ht="19.5" customHeight="1">
      <c r="A829" s="12"/>
      <c r="C829" s="12"/>
      <c r="D829" s="13"/>
      <c r="F829" s="14"/>
      <c r="G829" s="14"/>
      <c r="H829" s="14"/>
      <c r="I829" s="14"/>
      <c r="J829" s="14"/>
      <c r="K829" s="12"/>
    </row>
    <row r="830" ht="19.5" customHeight="1">
      <c r="A830" s="12"/>
      <c r="C830" s="12"/>
      <c r="D830" s="13"/>
      <c r="F830" s="14"/>
      <c r="G830" s="14"/>
      <c r="H830" s="14"/>
      <c r="I830" s="14"/>
      <c r="J830" s="14"/>
      <c r="K830" s="12"/>
    </row>
    <row r="831" ht="19.5" customHeight="1">
      <c r="A831" s="12"/>
      <c r="C831" s="12"/>
      <c r="D831" s="13"/>
      <c r="F831" s="14"/>
      <c r="G831" s="14"/>
      <c r="H831" s="14"/>
      <c r="I831" s="14"/>
      <c r="J831" s="14"/>
      <c r="K831" s="12"/>
    </row>
    <row r="832" ht="19.5" customHeight="1">
      <c r="A832" s="12"/>
      <c r="C832" s="12"/>
      <c r="D832" s="13"/>
      <c r="F832" s="14"/>
      <c r="G832" s="14"/>
      <c r="H832" s="14"/>
      <c r="I832" s="14"/>
      <c r="J832" s="14"/>
      <c r="K832" s="12"/>
    </row>
    <row r="833" ht="19.5" customHeight="1">
      <c r="A833" s="12"/>
      <c r="C833" s="12"/>
      <c r="D833" s="13"/>
      <c r="F833" s="14"/>
      <c r="G833" s="14"/>
      <c r="H833" s="14"/>
      <c r="I833" s="14"/>
      <c r="J833" s="14"/>
      <c r="K833" s="12"/>
    </row>
    <row r="834" ht="19.5" customHeight="1">
      <c r="A834" s="12"/>
      <c r="C834" s="12"/>
      <c r="D834" s="13"/>
      <c r="F834" s="14"/>
      <c r="G834" s="14"/>
      <c r="H834" s="14"/>
      <c r="I834" s="14"/>
      <c r="J834" s="14"/>
      <c r="K834" s="12"/>
    </row>
    <row r="835" ht="19.5" customHeight="1">
      <c r="A835" s="12"/>
      <c r="C835" s="12"/>
      <c r="D835" s="13"/>
      <c r="F835" s="14"/>
      <c r="G835" s="14"/>
      <c r="H835" s="14"/>
      <c r="I835" s="14"/>
      <c r="J835" s="14"/>
      <c r="K835" s="12"/>
    </row>
    <row r="836" ht="19.5" customHeight="1">
      <c r="A836" s="12"/>
      <c r="C836" s="12"/>
      <c r="D836" s="13"/>
      <c r="F836" s="14"/>
      <c r="G836" s="14"/>
      <c r="H836" s="14"/>
      <c r="I836" s="14"/>
      <c r="J836" s="14"/>
      <c r="K836" s="12"/>
    </row>
    <row r="837" ht="19.5" customHeight="1">
      <c r="A837" s="12"/>
      <c r="C837" s="12"/>
      <c r="D837" s="13"/>
      <c r="F837" s="14"/>
      <c r="G837" s="14"/>
      <c r="H837" s="14"/>
      <c r="I837" s="14"/>
      <c r="J837" s="14"/>
      <c r="K837" s="12"/>
    </row>
    <row r="838" ht="19.5" customHeight="1">
      <c r="A838" s="12"/>
      <c r="C838" s="12"/>
      <c r="D838" s="13"/>
      <c r="F838" s="14"/>
      <c r="G838" s="14"/>
      <c r="H838" s="14"/>
      <c r="I838" s="14"/>
      <c r="J838" s="14"/>
      <c r="K838" s="12"/>
    </row>
    <row r="839" ht="19.5" customHeight="1">
      <c r="A839" s="12"/>
      <c r="C839" s="12"/>
      <c r="D839" s="13"/>
      <c r="F839" s="14"/>
      <c r="G839" s="14"/>
      <c r="H839" s="14"/>
      <c r="I839" s="14"/>
      <c r="J839" s="14"/>
      <c r="K839" s="12"/>
    </row>
    <row r="840" ht="19.5" customHeight="1">
      <c r="A840" s="12"/>
      <c r="C840" s="12"/>
      <c r="D840" s="13"/>
      <c r="F840" s="14"/>
      <c r="G840" s="14"/>
      <c r="H840" s="14"/>
      <c r="I840" s="14"/>
      <c r="J840" s="14"/>
      <c r="K840" s="12"/>
    </row>
    <row r="841" ht="19.5" customHeight="1">
      <c r="A841" s="12"/>
      <c r="C841" s="12"/>
      <c r="D841" s="13"/>
      <c r="F841" s="14"/>
      <c r="G841" s="14"/>
      <c r="H841" s="14"/>
      <c r="I841" s="14"/>
      <c r="J841" s="14"/>
      <c r="K841" s="12"/>
    </row>
    <row r="842" ht="19.5" customHeight="1">
      <c r="A842" s="12"/>
      <c r="C842" s="12"/>
      <c r="D842" s="13"/>
      <c r="F842" s="14"/>
      <c r="G842" s="14"/>
      <c r="H842" s="14"/>
      <c r="I842" s="14"/>
      <c r="J842" s="14"/>
      <c r="K842" s="12"/>
    </row>
    <row r="843" ht="19.5" customHeight="1">
      <c r="A843" s="12"/>
      <c r="C843" s="12"/>
      <c r="D843" s="13"/>
      <c r="F843" s="14"/>
      <c r="G843" s="14"/>
      <c r="H843" s="14"/>
      <c r="I843" s="14"/>
      <c r="J843" s="14"/>
      <c r="K843" s="12"/>
    </row>
    <row r="844" ht="19.5" customHeight="1">
      <c r="A844" s="12"/>
      <c r="C844" s="12"/>
      <c r="D844" s="13"/>
      <c r="F844" s="14"/>
      <c r="G844" s="14"/>
      <c r="H844" s="14"/>
      <c r="I844" s="14"/>
      <c r="J844" s="14"/>
      <c r="K844" s="12"/>
    </row>
    <row r="845" ht="19.5" customHeight="1">
      <c r="A845" s="12"/>
      <c r="C845" s="12"/>
      <c r="D845" s="13"/>
      <c r="F845" s="14"/>
      <c r="G845" s="14"/>
      <c r="H845" s="14"/>
      <c r="I845" s="14"/>
      <c r="J845" s="14"/>
      <c r="K845" s="12"/>
    </row>
    <row r="846" ht="19.5" customHeight="1">
      <c r="A846" s="12"/>
      <c r="C846" s="12"/>
      <c r="D846" s="13"/>
      <c r="F846" s="14"/>
      <c r="G846" s="14"/>
      <c r="H846" s="14"/>
      <c r="I846" s="14"/>
      <c r="J846" s="14"/>
      <c r="K846" s="12"/>
    </row>
    <row r="847" ht="19.5" customHeight="1">
      <c r="A847" s="12"/>
      <c r="C847" s="12"/>
      <c r="D847" s="13"/>
      <c r="F847" s="14"/>
      <c r="G847" s="14"/>
      <c r="H847" s="14"/>
      <c r="I847" s="14"/>
      <c r="J847" s="14"/>
      <c r="K847" s="12"/>
    </row>
    <row r="848" ht="19.5" customHeight="1">
      <c r="A848" s="12"/>
      <c r="C848" s="12"/>
      <c r="D848" s="13"/>
      <c r="F848" s="14"/>
      <c r="G848" s="14"/>
      <c r="H848" s="14"/>
      <c r="I848" s="14"/>
      <c r="J848" s="14"/>
      <c r="K848" s="12"/>
    </row>
    <row r="849" ht="19.5" customHeight="1">
      <c r="A849" s="12"/>
      <c r="C849" s="12"/>
      <c r="D849" s="13"/>
      <c r="F849" s="14"/>
      <c r="G849" s="14"/>
      <c r="H849" s="14"/>
      <c r="I849" s="14"/>
      <c r="J849" s="14"/>
      <c r="K849" s="12"/>
    </row>
    <row r="850" ht="19.5" customHeight="1">
      <c r="A850" s="12"/>
      <c r="C850" s="12"/>
      <c r="D850" s="13"/>
      <c r="F850" s="14"/>
      <c r="G850" s="14"/>
      <c r="H850" s="14"/>
      <c r="I850" s="14"/>
      <c r="J850" s="14"/>
      <c r="K850" s="12"/>
    </row>
    <row r="851" ht="19.5" customHeight="1">
      <c r="A851" s="12"/>
      <c r="C851" s="12"/>
      <c r="D851" s="13"/>
      <c r="F851" s="14"/>
      <c r="G851" s="14"/>
      <c r="H851" s="14"/>
      <c r="I851" s="14"/>
      <c r="J851" s="14"/>
      <c r="K851" s="12"/>
    </row>
    <row r="852" ht="19.5" customHeight="1">
      <c r="A852" s="12"/>
      <c r="C852" s="12"/>
      <c r="D852" s="13"/>
      <c r="F852" s="14"/>
      <c r="G852" s="14"/>
      <c r="H852" s="14"/>
      <c r="I852" s="14"/>
      <c r="J852" s="14"/>
      <c r="K852" s="12"/>
    </row>
    <row r="853" ht="19.5" customHeight="1">
      <c r="A853" s="12"/>
      <c r="C853" s="12"/>
      <c r="D853" s="13"/>
      <c r="F853" s="14"/>
      <c r="G853" s="14"/>
      <c r="H853" s="14"/>
      <c r="I853" s="14"/>
      <c r="J853" s="14"/>
      <c r="K853" s="12"/>
    </row>
    <row r="854" ht="19.5" customHeight="1">
      <c r="A854" s="12"/>
      <c r="C854" s="12"/>
      <c r="D854" s="13"/>
      <c r="F854" s="14"/>
      <c r="G854" s="14"/>
      <c r="H854" s="14"/>
      <c r="I854" s="14"/>
      <c r="J854" s="14"/>
      <c r="K854" s="12"/>
    </row>
    <row r="855" ht="19.5" customHeight="1">
      <c r="A855" s="12"/>
      <c r="C855" s="12"/>
      <c r="D855" s="13"/>
      <c r="F855" s="14"/>
      <c r="G855" s="14"/>
      <c r="H855" s="14"/>
      <c r="I855" s="14"/>
      <c r="J855" s="14"/>
      <c r="K855" s="12"/>
    </row>
    <row r="856" ht="19.5" customHeight="1">
      <c r="A856" s="12"/>
      <c r="C856" s="12"/>
      <c r="D856" s="13"/>
      <c r="F856" s="14"/>
      <c r="G856" s="14"/>
      <c r="H856" s="14"/>
      <c r="I856" s="14"/>
      <c r="J856" s="14"/>
      <c r="K856" s="12"/>
    </row>
    <row r="857" ht="19.5" customHeight="1">
      <c r="A857" s="12"/>
      <c r="C857" s="12"/>
      <c r="D857" s="13"/>
      <c r="F857" s="14"/>
      <c r="G857" s="14"/>
      <c r="H857" s="14"/>
      <c r="I857" s="14"/>
      <c r="J857" s="14"/>
      <c r="K857" s="12"/>
    </row>
    <row r="858" ht="19.5" customHeight="1">
      <c r="A858" s="12"/>
      <c r="C858" s="12"/>
      <c r="D858" s="13"/>
      <c r="F858" s="14"/>
      <c r="G858" s="14"/>
      <c r="H858" s="14"/>
      <c r="I858" s="14"/>
      <c r="J858" s="14"/>
      <c r="K858" s="12"/>
    </row>
    <row r="859" ht="19.5" customHeight="1">
      <c r="A859" s="12"/>
      <c r="C859" s="12"/>
      <c r="D859" s="13"/>
      <c r="F859" s="14"/>
      <c r="G859" s="14"/>
      <c r="H859" s="14"/>
      <c r="I859" s="14"/>
      <c r="J859" s="14"/>
      <c r="K859" s="12"/>
    </row>
    <row r="860" ht="19.5" customHeight="1">
      <c r="A860" s="12"/>
      <c r="C860" s="12"/>
      <c r="D860" s="13"/>
      <c r="F860" s="14"/>
      <c r="G860" s="14"/>
      <c r="H860" s="14"/>
      <c r="I860" s="14"/>
      <c r="J860" s="14"/>
      <c r="K860" s="12"/>
    </row>
    <row r="861" ht="19.5" customHeight="1">
      <c r="A861" s="12"/>
      <c r="C861" s="12"/>
      <c r="D861" s="13"/>
      <c r="F861" s="14"/>
      <c r="G861" s="14"/>
      <c r="H861" s="14"/>
      <c r="I861" s="14"/>
      <c r="J861" s="14"/>
      <c r="K861" s="12"/>
    </row>
    <row r="862" ht="19.5" customHeight="1">
      <c r="A862" s="12"/>
      <c r="C862" s="12"/>
      <c r="D862" s="13"/>
      <c r="F862" s="14"/>
      <c r="G862" s="14"/>
      <c r="H862" s="14"/>
      <c r="I862" s="14"/>
      <c r="J862" s="14"/>
      <c r="K862" s="12"/>
    </row>
    <row r="863" ht="19.5" customHeight="1">
      <c r="A863" s="12"/>
      <c r="C863" s="12"/>
      <c r="D863" s="13"/>
      <c r="F863" s="14"/>
      <c r="G863" s="14"/>
      <c r="H863" s="14"/>
      <c r="I863" s="14"/>
      <c r="J863" s="14"/>
      <c r="K863" s="12"/>
    </row>
    <row r="864" ht="19.5" customHeight="1">
      <c r="A864" s="12"/>
      <c r="C864" s="12"/>
      <c r="D864" s="13"/>
      <c r="F864" s="14"/>
      <c r="G864" s="14"/>
      <c r="H864" s="14"/>
      <c r="I864" s="14"/>
      <c r="J864" s="14"/>
      <c r="K864" s="12"/>
    </row>
    <row r="865" ht="19.5" customHeight="1">
      <c r="A865" s="12"/>
      <c r="C865" s="12"/>
      <c r="D865" s="13"/>
      <c r="F865" s="14"/>
      <c r="G865" s="14"/>
      <c r="H865" s="14"/>
      <c r="I865" s="14"/>
      <c r="J865" s="14"/>
      <c r="K865" s="12"/>
    </row>
    <row r="866" ht="19.5" customHeight="1">
      <c r="A866" s="12"/>
      <c r="C866" s="12"/>
      <c r="D866" s="13"/>
      <c r="F866" s="14"/>
      <c r="G866" s="14"/>
      <c r="H866" s="14"/>
      <c r="I866" s="14"/>
      <c r="J866" s="14"/>
      <c r="K866" s="12"/>
    </row>
    <row r="867" ht="19.5" customHeight="1">
      <c r="A867" s="12"/>
      <c r="C867" s="12"/>
      <c r="D867" s="13"/>
      <c r="F867" s="14"/>
      <c r="G867" s="14"/>
      <c r="H867" s="14"/>
      <c r="I867" s="14"/>
      <c r="J867" s="14"/>
      <c r="K867" s="12"/>
    </row>
    <row r="868" ht="19.5" customHeight="1">
      <c r="A868" s="12"/>
      <c r="C868" s="12"/>
      <c r="D868" s="13"/>
      <c r="F868" s="14"/>
      <c r="G868" s="14"/>
      <c r="H868" s="14"/>
      <c r="I868" s="14"/>
      <c r="J868" s="14"/>
      <c r="K868" s="12"/>
    </row>
    <row r="869" ht="19.5" customHeight="1">
      <c r="A869" s="12"/>
      <c r="C869" s="12"/>
      <c r="D869" s="13"/>
      <c r="F869" s="14"/>
      <c r="G869" s="14"/>
      <c r="H869" s="14"/>
      <c r="I869" s="14"/>
      <c r="J869" s="14"/>
      <c r="K869" s="12"/>
    </row>
    <row r="870" ht="19.5" customHeight="1">
      <c r="A870" s="12"/>
      <c r="C870" s="12"/>
      <c r="D870" s="13"/>
      <c r="F870" s="14"/>
      <c r="G870" s="14"/>
      <c r="H870" s="14"/>
      <c r="I870" s="14"/>
      <c r="J870" s="14"/>
      <c r="K870" s="12"/>
    </row>
    <row r="871" ht="19.5" customHeight="1">
      <c r="A871" s="12"/>
      <c r="C871" s="12"/>
      <c r="D871" s="13"/>
      <c r="F871" s="14"/>
      <c r="G871" s="14"/>
      <c r="H871" s="14"/>
      <c r="I871" s="14"/>
      <c r="J871" s="14"/>
      <c r="K871" s="12"/>
    </row>
    <row r="872" ht="19.5" customHeight="1">
      <c r="A872" s="12"/>
      <c r="C872" s="12"/>
      <c r="D872" s="13"/>
      <c r="F872" s="14"/>
      <c r="G872" s="14"/>
      <c r="H872" s="14"/>
      <c r="I872" s="14"/>
      <c r="J872" s="14"/>
      <c r="K872" s="12"/>
    </row>
    <row r="873" ht="19.5" customHeight="1">
      <c r="A873" s="12"/>
      <c r="C873" s="12"/>
      <c r="D873" s="13"/>
      <c r="F873" s="14"/>
      <c r="G873" s="14"/>
      <c r="H873" s="14"/>
      <c r="I873" s="14"/>
      <c r="J873" s="14"/>
      <c r="K873" s="12"/>
    </row>
    <row r="874" ht="19.5" customHeight="1">
      <c r="A874" s="12"/>
      <c r="C874" s="12"/>
      <c r="D874" s="13"/>
      <c r="F874" s="14"/>
      <c r="G874" s="14"/>
      <c r="H874" s="14"/>
      <c r="I874" s="14"/>
      <c r="J874" s="14"/>
      <c r="K874" s="12"/>
    </row>
    <row r="875" ht="19.5" customHeight="1">
      <c r="A875" s="12"/>
      <c r="C875" s="12"/>
      <c r="D875" s="13"/>
      <c r="F875" s="14"/>
      <c r="G875" s="14"/>
      <c r="H875" s="14"/>
      <c r="I875" s="14"/>
      <c r="J875" s="14"/>
      <c r="K875" s="12"/>
    </row>
    <row r="876" ht="19.5" customHeight="1">
      <c r="A876" s="12"/>
      <c r="C876" s="12"/>
      <c r="D876" s="13"/>
      <c r="F876" s="14"/>
      <c r="G876" s="14"/>
      <c r="H876" s="14"/>
      <c r="I876" s="14"/>
      <c r="J876" s="14"/>
      <c r="K876" s="12"/>
    </row>
    <row r="877" ht="19.5" customHeight="1">
      <c r="A877" s="12"/>
      <c r="C877" s="12"/>
      <c r="D877" s="13"/>
      <c r="F877" s="14"/>
      <c r="G877" s="14"/>
      <c r="H877" s="14"/>
      <c r="I877" s="14"/>
      <c r="J877" s="14"/>
      <c r="K877" s="12"/>
    </row>
    <row r="878" ht="19.5" customHeight="1">
      <c r="A878" s="12"/>
      <c r="C878" s="12"/>
      <c r="D878" s="13"/>
      <c r="F878" s="14"/>
      <c r="G878" s="14"/>
      <c r="H878" s="14"/>
      <c r="I878" s="14"/>
      <c r="J878" s="14"/>
      <c r="K878" s="12"/>
    </row>
    <row r="879" ht="19.5" customHeight="1">
      <c r="A879" s="12"/>
      <c r="C879" s="12"/>
      <c r="D879" s="13"/>
      <c r="F879" s="14"/>
      <c r="G879" s="14"/>
      <c r="H879" s="14"/>
      <c r="I879" s="14"/>
      <c r="J879" s="14"/>
      <c r="K879" s="12"/>
    </row>
    <row r="880" ht="19.5" customHeight="1">
      <c r="A880" s="12"/>
      <c r="C880" s="12"/>
      <c r="D880" s="13"/>
      <c r="F880" s="14"/>
      <c r="G880" s="14"/>
      <c r="H880" s="14"/>
      <c r="I880" s="14"/>
      <c r="J880" s="14"/>
      <c r="K880" s="12"/>
    </row>
    <row r="881" ht="19.5" customHeight="1">
      <c r="A881" s="12"/>
      <c r="C881" s="12"/>
      <c r="D881" s="13"/>
      <c r="F881" s="14"/>
      <c r="G881" s="14"/>
      <c r="H881" s="14"/>
      <c r="I881" s="14"/>
      <c r="J881" s="14"/>
      <c r="K881" s="12"/>
    </row>
    <row r="882" ht="19.5" customHeight="1">
      <c r="A882" s="12"/>
      <c r="C882" s="12"/>
      <c r="D882" s="13"/>
      <c r="F882" s="14"/>
      <c r="G882" s="14"/>
      <c r="H882" s="14"/>
      <c r="I882" s="14"/>
      <c r="J882" s="14"/>
      <c r="K882" s="12"/>
    </row>
    <row r="883" ht="19.5" customHeight="1">
      <c r="A883" s="12"/>
      <c r="C883" s="12"/>
      <c r="D883" s="13"/>
      <c r="F883" s="14"/>
      <c r="G883" s="14"/>
      <c r="H883" s="14"/>
      <c r="I883" s="14"/>
      <c r="J883" s="14"/>
      <c r="K883" s="12"/>
    </row>
    <row r="884" ht="19.5" customHeight="1">
      <c r="A884" s="12"/>
      <c r="C884" s="12"/>
      <c r="D884" s="13"/>
      <c r="F884" s="14"/>
      <c r="G884" s="14"/>
      <c r="H884" s="14"/>
      <c r="I884" s="14"/>
      <c r="J884" s="14"/>
      <c r="K884" s="12"/>
    </row>
    <row r="885" ht="19.5" customHeight="1">
      <c r="A885" s="12"/>
      <c r="C885" s="12"/>
      <c r="D885" s="13"/>
      <c r="F885" s="14"/>
      <c r="G885" s="14"/>
      <c r="H885" s="14"/>
      <c r="I885" s="14"/>
      <c r="J885" s="14"/>
      <c r="K885" s="12"/>
    </row>
    <row r="886" ht="19.5" customHeight="1">
      <c r="A886" s="12"/>
      <c r="C886" s="12"/>
      <c r="D886" s="13"/>
      <c r="F886" s="14"/>
      <c r="G886" s="14"/>
      <c r="H886" s="14"/>
      <c r="I886" s="14"/>
      <c r="J886" s="14"/>
      <c r="K886" s="12"/>
    </row>
    <row r="887" ht="19.5" customHeight="1">
      <c r="A887" s="12"/>
      <c r="C887" s="12"/>
      <c r="D887" s="13"/>
      <c r="F887" s="14"/>
      <c r="G887" s="14"/>
      <c r="H887" s="14"/>
      <c r="I887" s="14"/>
      <c r="J887" s="14"/>
      <c r="K887" s="12"/>
    </row>
    <row r="888" ht="19.5" customHeight="1">
      <c r="A888" s="12"/>
      <c r="C888" s="12"/>
      <c r="D888" s="13"/>
      <c r="F888" s="14"/>
      <c r="G888" s="14"/>
      <c r="H888" s="14"/>
      <c r="I888" s="14"/>
      <c r="J888" s="14"/>
      <c r="K888" s="12"/>
    </row>
    <row r="889" ht="19.5" customHeight="1">
      <c r="A889" s="12"/>
      <c r="C889" s="12"/>
      <c r="D889" s="13"/>
      <c r="F889" s="14"/>
      <c r="G889" s="14"/>
      <c r="H889" s="14"/>
      <c r="I889" s="14"/>
      <c r="J889" s="14"/>
      <c r="K889" s="12"/>
    </row>
    <row r="890" ht="19.5" customHeight="1">
      <c r="A890" s="12"/>
      <c r="C890" s="12"/>
      <c r="D890" s="13"/>
      <c r="F890" s="14"/>
      <c r="G890" s="14"/>
      <c r="H890" s="14"/>
      <c r="I890" s="14"/>
      <c r="J890" s="14"/>
      <c r="K890" s="12"/>
    </row>
    <row r="891" ht="19.5" customHeight="1">
      <c r="A891" s="12"/>
      <c r="C891" s="12"/>
      <c r="D891" s="13"/>
      <c r="F891" s="14"/>
      <c r="G891" s="14"/>
      <c r="H891" s="14"/>
      <c r="I891" s="14"/>
      <c r="J891" s="14"/>
      <c r="K891" s="12"/>
    </row>
    <row r="892" ht="19.5" customHeight="1">
      <c r="A892" s="12"/>
      <c r="C892" s="12"/>
      <c r="D892" s="13"/>
      <c r="F892" s="14"/>
      <c r="G892" s="14"/>
      <c r="H892" s="14"/>
      <c r="I892" s="14"/>
      <c r="J892" s="14"/>
      <c r="K892" s="12"/>
    </row>
    <row r="893" ht="19.5" customHeight="1">
      <c r="A893" s="12"/>
      <c r="C893" s="12"/>
      <c r="D893" s="13"/>
      <c r="F893" s="14"/>
      <c r="G893" s="14"/>
      <c r="H893" s="14"/>
      <c r="I893" s="14"/>
      <c r="J893" s="14"/>
      <c r="K893" s="12"/>
    </row>
    <row r="894" ht="19.5" customHeight="1">
      <c r="A894" s="12"/>
      <c r="C894" s="12"/>
      <c r="D894" s="13"/>
      <c r="F894" s="14"/>
      <c r="G894" s="14"/>
      <c r="H894" s="14"/>
      <c r="I894" s="14"/>
      <c r="J894" s="14"/>
      <c r="K894" s="12"/>
    </row>
    <row r="895" ht="19.5" customHeight="1">
      <c r="A895" s="12"/>
      <c r="C895" s="12"/>
      <c r="D895" s="13"/>
      <c r="F895" s="14"/>
      <c r="G895" s="14"/>
      <c r="H895" s="14"/>
      <c r="I895" s="14"/>
      <c r="J895" s="14"/>
      <c r="K895" s="12"/>
    </row>
    <row r="896" ht="19.5" customHeight="1">
      <c r="A896" s="12"/>
      <c r="C896" s="12"/>
      <c r="D896" s="13"/>
      <c r="F896" s="14"/>
      <c r="G896" s="14"/>
      <c r="H896" s="14"/>
      <c r="I896" s="14"/>
      <c r="J896" s="14"/>
      <c r="K896" s="12"/>
    </row>
    <row r="897" ht="19.5" customHeight="1">
      <c r="A897" s="12"/>
      <c r="C897" s="12"/>
      <c r="D897" s="13"/>
      <c r="F897" s="14"/>
      <c r="G897" s="14"/>
      <c r="H897" s="14"/>
      <c r="I897" s="14"/>
      <c r="J897" s="14"/>
      <c r="K897" s="12"/>
    </row>
    <row r="898" ht="19.5" customHeight="1">
      <c r="A898" s="12"/>
      <c r="C898" s="12"/>
      <c r="D898" s="13"/>
      <c r="F898" s="14"/>
      <c r="G898" s="14"/>
      <c r="H898" s="14"/>
      <c r="I898" s="14"/>
      <c r="J898" s="14"/>
      <c r="K898" s="12"/>
    </row>
    <row r="899" ht="19.5" customHeight="1">
      <c r="A899" s="12"/>
      <c r="C899" s="12"/>
      <c r="D899" s="13"/>
      <c r="F899" s="14"/>
      <c r="G899" s="14"/>
      <c r="H899" s="14"/>
      <c r="I899" s="14"/>
      <c r="J899" s="14"/>
      <c r="K899" s="12"/>
    </row>
    <row r="900" ht="19.5" customHeight="1">
      <c r="A900" s="12"/>
      <c r="C900" s="12"/>
      <c r="D900" s="13"/>
      <c r="F900" s="14"/>
      <c r="G900" s="14"/>
      <c r="H900" s="14"/>
      <c r="I900" s="14"/>
      <c r="J900" s="14"/>
      <c r="K900" s="12"/>
    </row>
    <row r="901" ht="19.5" customHeight="1">
      <c r="A901" s="12"/>
      <c r="C901" s="12"/>
      <c r="D901" s="13"/>
      <c r="F901" s="14"/>
      <c r="G901" s="14"/>
      <c r="H901" s="14"/>
      <c r="I901" s="14"/>
      <c r="J901" s="14"/>
      <c r="K901" s="12"/>
    </row>
    <row r="902" ht="19.5" customHeight="1">
      <c r="A902" s="12"/>
      <c r="C902" s="12"/>
      <c r="D902" s="13"/>
      <c r="F902" s="14"/>
      <c r="G902" s="14"/>
      <c r="H902" s="14"/>
      <c r="I902" s="14"/>
      <c r="J902" s="14"/>
      <c r="K902" s="12"/>
    </row>
    <row r="903" ht="19.5" customHeight="1">
      <c r="A903" s="12"/>
      <c r="C903" s="12"/>
      <c r="D903" s="13"/>
      <c r="F903" s="14"/>
      <c r="G903" s="14"/>
      <c r="H903" s="14"/>
      <c r="I903" s="14"/>
      <c r="J903" s="14"/>
      <c r="K903" s="12"/>
    </row>
    <row r="904" ht="19.5" customHeight="1">
      <c r="A904" s="12"/>
      <c r="C904" s="12"/>
      <c r="D904" s="13"/>
      <c r="F904" s="14"/>
      <c r="G904" s="14"/>
      <c r="H904" s="14"/>
      <c r="I904" s="14"/>
      <c r="J904" s="14"/>
      <c r="K904" s="12"/>
    </row>
    <row r="905" ht="19.5" customHeight="1">
      <c r="A905" s="12"/>
      <c r="C905" s="12"/>
      <c r="D905" s="13"/>
      <c r="F905" s="14"/>
      <c r="G905" s="14"/>
      <c r="H905" s="14"/>
      <c r="I905" s="14"/>
      <c r="J905" s="14"/>
      <c r="K905" s="12"/>
    </row>
    <row r="906" ht="19.5" customHeight="1">
      <c r="A906" s="12"/>
      <c r="C906" s="12"/>
      <c r="D906" s="13"/>
      <c r="F906" s="14"/>
      <c r="G906" s="14"/>
      <c r="H906" s="14"/>
      <c r="I906" s="14"/>
      <c r="J906" s="14"/>
      <c r="K906" s="12"/>
    </row>
    <row r="907" ht="19.5" customHeight="1">
      <c r="A907" s="12"/>
      <c r="C907" s="12"/>
      <c r="D907" s="13"/>
      <c r="F907" s="14"/>
      <c r="G907" s="14"/>
      <c r="H907" s="14"/>
      <c r="I907" s="14"/>
      <c r="J907" s="14"/>
      <c r="K907" s="12"/>
    </row>
    <row r="908" ht="19.5" customHeight="1">
      <c r="A908" s="12"/>
      <c r="C908" s="12"/>
      <c r="D908" s="13"/>
      <c r="F908" s="14"/>
      <c r="G908" s="14"/>
      <c r="H908" s="14"/>
      <c r="I908" s="14"/>
      <c r="J908" s="14"/>
      <c r="K908" s="12"/>
    </row>
    <row r="909" ht="19.5" customHeight="1">
      <c r="A909" s="12"/>
      <c r="C909" s="12"/>
      <c r="D909" s="13"/>
      <c r="F909" s="14"/>
      <c r="G909" s="14"/>
      <c r="H909" s="14"/>
      <c r="I909" s="14"/>
      <c r="J909" s="14"/>
      <c r="K909" s="12"/>
    </row>
    <row r="910" ht="19.5" customHeight="1">
      <c r="A910" s="12"/>
      <c r="C910" s="12"/>
      <c r="D910" s="13"/>
      <c r="F910" s="14"/>
      <c r="G910" s="14"/>
      <c r="H910" s="14"/>
      <c r="I910" s="14"/>
      <c r="J910" s="14"/>
      <c r="K910" s="12"/>
    </row>
    <row r="911" ht="19.5" customHeight="1">
      <c r="A911" s="12"/>
      <c r="C911" s="12"/>
      <c r="D911" s="13"/>
      <c r="F911" s="14"/>
      <c r="G911" s="14"/>
      <c r="H911" s="14"/>
      <c r="I911" s="14"/>
      <c r="J911" s="14"/>
      <c r="K911" s="12"/>
    </row>
    <row r="912" ht="19.5" customHeight="1">
      <c r="A912" s="12"/>
      <c r="C912" s="12"/>
      <c r="D912" s="13"/>
      <c r="F912" s="14"/>
      <c r="G912" s="14"/>
      <c r="H912" s="14"/>
      <c r="I912" s="14"/>
      <c r="J912" s="14"/>
      <c r="K912" s="12"/>
    </row>
    <row r="913" ht="19.5" customHeight="1">
      <c r="A913" s="12"/>
      <c r="C913" s="12"/>
      <c r="D913" s="13"/>
      <c r="F913" s="14"/>
      <c r="G913" s="14"/>
      <c r="H913" s="14"/>
      <c r="I913" s="14"/>
      <c r="J913" s="14"/>
      <c r="K913" s="12"/>
    </row>
    <row r="914" ht="19.5" customHeight="1">
      <c r="A914" s="12"/>
      <c r="C914" s="12"/>
      <c r="D914" s="13"/>
      <c r="F914" s="14"/>
      <c r="G914" s="14"/>
      <c r="H914" s="14"/>
      <c r="I914" s="14"/>
      <c r="J914" s="14"/>
      <c r="K914" s="12"/>
    </row>
    <row r="915" ht="19.5" customHeight="1">
      <c r="A915" s="12"/>
      <c r="C915" s="12"/>
      <c r="D915" s="13"/>
      <c r="F915" s="14"/>
      <c r="G915" s="14"/>
      <c r="H915" s="14"/>
      <c r="I915" s="14"/>
      <c r="J915" s="14"/>
      <c r="K915" s="12"/>
    </row>
    <row r="916" ht="19.5" customHeight="1">
      <c r="A916" s="12"/>
      <c r="C916" s="12"/>
      <c r="D916" s="13"/>
      <c r="F916" s="14"/>
      <c r="G916" s="14"/>
      <c r="H916" s="14"/>
      <c r="I916" s="14"/>
      <c r="J916" s="14"/>
      <c r="K916" s="12"/>
    </row>
    <row r="917" ht="19.5" customHeight="1">
      <c r="A917" s="12"/>
      <c r="C917" s="12"/>
      <c r="D917" s="13"/>
      <c r="F917" s="14"/>
      <c r="G917" s="14"/>
      <c r="H917" s="14"/>
      <c r="I917" s="14"/>
      <c r="J917" s="14"/>
      <c r="K917" s="12"/>
    </row>
    <row r="918" ht="19.5" customHeight="1">
      <c r="A918" s="12"/>
      <c r="C918" s="12"/>
      <c r="D918" s="13"/>
      <c r="F918" s="14"/>
      <c r="G918" s="14"/>
      <c r="H918" s="14"/>
      <c r="I918" s="14"/>
      <c r="J918" s="14"/>
      <c r="K918" s="12"/>
    </row>
    <row r="919" ht="19.5" customHeight="1">
      <c r="A919" s="12"/>
      <c r="C919" s="12"/>
      <c r="D919" s="13"/>
      <c r="F919" s="14"/>
      <c r="G919" s="14"/>
      <c r="H919" s="14"/>
      <c r="I919" s="14"/>
      <c r="J919" s="14"/>
      <c r="K919" s="12"/>
    </row>
    <row r="920" ht="19.5" customHeight="1">
      <c r="A920" s="12"/>
      <c r="C920" s="12"/>
      <c r="D920" s="13"/>
      <c r="F920" s="14"/>
      <c r="G920" s="14"/>
      <c r="H920" s="14"/>
      <c r="I920" s="14"/>
      <c r="J920" s="14"/>
      <c r="K920" s="12"/>
    </row>
    <row r="921" ht="19.5" customHeight="1">
      <c r="A921" s="12"/>
      <c r="C921" s="12"/>
      <c r="D921" s="13"/>
      <c r="F921" s="14"/>
      <c r="G921" s="14"/>
      <c r="H921" s="14"/>
      <c r="I921" s="14"/>
      <c r="J921" s="14"/>
      <c r="K921" s="12"/>
    </row>
    <row r="922" ht="19.5" customHeight="1">
      <c r="A922" s="12"/>
      <c r="C922" s="12"/>
      <c r="D922" s="13"/>
      <c r="F922" s="14"/>
      <c r="G922" s="14"/>
      <c r="H922" s="14"/>
      <c r="I922" s="14"/>
      <c r="J922" s="14"/>
      <c r="K922" s="12"/>
    </row>
    <row r="923" ht="19.5" customHeight="1">
      <c r="A923" s="12"/>
      <c r="C923" s="12"/>
      <c r="D923" s="13"/>
      <c r="F923" s="14"/>
      <c r="G923" s="14"/>
      <c r="H923" s="14"/>
      <c r="I923" s="14"/>
      <c r="J923" s="14"/>
      <c r="K923" s="12"/>
    </row>
    <row r="924" ht="19.5" customHeight="1">
      <c r="A924" s="12"/>
      <c r="C924" s="12"/>
      <c r="D924" s="13"/>
      <c r="F924" s="14"/>
      <c r="G924" s="14"/>
      <c r="H924" s="14"/>
      <c r="I924" s="14"/>
      <c r="J924" s="14"/>
      <c r="K924" s="12"/>
    </row>
    <row r="925" ht="19.5" customHeight="1">
      <c r="A925" s="12"/>
      <c r="C925" s="12"/>
      <c r="D925" s="13"/>
      <c r="F925" s="14"/>
      <c r="G925" s="14"/>
      <c r="H925" s="14"/>
      <c r="I925" s="14"/>
      <c r="J925" s="14"/>
      <c r="K925" s="12"/>
    </row>
    <row r="926" ht="19.5" customHeight="1">
      <c r="A926" s="12"/>
      <c r="C926" s="12"/>
      <c r="D926" s="13"/>
      <c r="F926" s="14"/>
      <c r="G926" s="14"/>
      <c r="H926" s="14"/>
      <c r="I926" s="14"/>
      <c r="J926" s="14"/>
      <c r="K926" s="12"/>
    </row>
    <row r="927" ht="19.5" customHeight="1">
      <c r="A927" s="12"/>
      <c r="C927" s="12"/>
      <c r="D927" s="13"/>
      <c r="F927" s="14"/>
      <c r="G927" s="14"/>
      <c r="H927" s="14"/>
      <c r="I927" s="14"/>
      <c r="J927" s="14"/>
      <c r="K927" s="12"/>
    </row>
    <row r="928" ht="19.5" customHeight="1">
      <c r="A928" s="12"/>
      <c r="C928" s="12"/>
      <c r="D928" s="13"/>
      <c r="F928" s="14"/>
      <c r="G928" s="14"/>
      <c r="H928" s="14"/>
      <c r="I928" s="14"/>
      <c r="J928" s="14"/>
      <c r="K928" s="12"/>
    </row>
    <row r="929" ht="19.5" customHeight="1">
      <c r="A929" s="12"/>
      <c r="C929" s="12"/>
      <c r="D929" s="13"/>
      <c r="F929" s="14"/>
      <c r="G929" s="14"/>
      <c r="H929" s="14"/>
      <c r="I929" s="14"/>
      <c r="J929" s="14"/>
      <c r="K929" s="12"/>
    </row>
    <row r="930" ht="19.5" customHeight="1">
      <c r="A930" s="12"/>
      <c r="C930" s="12"/>
      <c r="D930" s="13"/>
      <c r="F930" s="14"/>
      <c r="G930" s="14"/>
      <c r="H930" s="14"/>
      <c r="I930" s="14"/>
      <c r="J930" s="14"/>
      <c r="K930" s="12"/>
    </row>
    <row r="931" ht="19.5" customHeight="1">
      <c r="A931" s="12"/>
      <c r="C931" s="12"/>
      <c r="D931" s="13"/>
      <c r="F931" s="14"/>
      <c r="G931" s="14"/>
      <c r="H931" s="14"/>
      <c r="I931" s="14"/>
      <c r="J931" s="14"/>
      <c r="K931" s="12"/>
    </row>
    <row r="932" ht="19.5" customHeight="1">
      <c r="A932" s="12"/>
      <c r="C932" s="12"/>
      <c r="D932" s="13"/>
      <c r="F932" s="14"/>
      <c r="G932" s="14"/>
      <c r="H932" s="14"/>
      <c r="I932" s="14"/>
      <c r="J932" s="14"/>
      <c r="K932" s="12"/>
    </row>
    <row r="933" ht="19.5" customHeight="1">
      <c r="A933" s="12"/>
      <c r="C933" s="12"/>
      <c r="D933" s="13"/>
      <c r="F933" s="14"/>
      <c r="G933" s="14"/>
      <c r="H933" s="14"/>
      <c r="I933" s="14"/>
      <c r="J933" s="14"/>
      <c r="K933" s="12"/>
    </row>
    <row r="934" ht="19.5" customHeight="1">
      <c r="A934" s="12"/>
      <c r="C934" s="12"/>
      <c r="D934" s="13"/>
      <c r="F934" s="14"/>
      <c r="G934" s="14"/>
      <c r="H934" s="14"/>
      <c r="I934" s="14"/>
      <c r="J934" s="14"/>
      <c r="K934" s="12"/>
    </row>
    <row r="935" ht="19.5" customHeight="1">
      <c r="A935" s="12"/>
      <c r="C935" s="12"/>
      <c r="D935" s="13"/>
      <c r="F935" s="14"/>
      <c r="G935" s="14"/>
      <c r="H935" s="14"/>
      <c r="I935" s="14"/>
      <c r="J935" s="14"/>
      <c r="K935" s="12"/>
    </row>
    <row r="936" ht="19.5" customHeight="1">
      <c r="A936" s="12"/>
      <c r="C936" s="12"/>
      <c r="D936" s="13"/>
      <c r="F936" s="14"/>
      <c r="G936" s="14"/>
      <c r="H936" s="14"/>
      <c r="I936" s="14"/>
      <c r="J936" s="14"/>
      <c r="K936" s="12"/>
    </row>
    <row r="937" ht="19.5" customHeight="1">
      <c r="A937" s="12"/>
      <c r="C937" s="12"/>
      <c r="D937" s="13"/>
      <c r="F937" s="14"/>
      <c r="G937" s="14"/>
      <c r="H937" s="14"/>
      <c r="I937" s="14"/>
      <c r="J937" s="14"/>
      <c r="K937" s="12"/>
    </row>
    <row r="938" ht="19.5" customHeight="1">
      <c r="A938" s="12"/>
      <c r="C938" s="12"/>
      <c r="D938" s="13"/>
      <c r="F938" s="14"/>
      <c r="G938" s="14"/>
      <c r="H938" s="14"/>
      <c r="I938" s="14"/>
      <c r="J938" s="14"/>
      <c r="K938" s="12"/>
    </row>
    <row r="939" ht="19.5" customHeight="1">
      <c r="A939" s="12"/>
      <c r="C939" s="12"/>
      <c r="D939" s="13"/>
      <c r="F939" s="14"/>
      <c r="G939" s="14"/>
      <c r="H939" s="14"/>
      <c r="I939" s="14"/>
      <c r="J939" s="14"/>
      <c r="K939" s="12"/>
    </row>
    <row r="940" ht="19.5" customHeight="1">
      <c r="A940" s="12"/>
      <c r="C940" s="12"/>
      <c r="D940" s="13"/>
      <c r="F940" s="14"/>
      <c r="G940" s="14"/>
      <c r="H940" s="14"/>
      <c r="I940" s="14"/>
      <c r="J940" s="14"/>
      <c r="K940" s="12"/>
    </row>
    <row r="941" ht="19.5" customHeight="1">
      <c r="A941" s="12"/>
      <c r="C941" s="12"/>
      <c r="D941" s="13"/>
      <c r="F941" s="14"/>
      <c r="G941" s="14"/>
      <c r="H941" s="14"/>
      <c r="I941" s="14"/>
      <c r="J941" s="14"/>
      <c r="K941" s="12"/>
    </row>
    <row r="942" ht="19.5" customHeight="1">
      <c r="A942" s="12"/>
      <c r="C942" s="12"/>
      <c r="D942" s="13"/>
      <c r="F942" s="14"/>
      <c r="G942" s="14"/>
      <c r="H942" s="14"/>
      <c r="I942" s="14"/>
      <c r="J942" s="14"/>
      <c r="K942" s="12"/>
    </row>
    <row r="943" ht="19.5" customHeight="1">
      <c r="A943" s="12"/>
      <c r="C943" s="12"/>
      <c r="D943" s="13"/>
      <c r="F943" s="14"/>
      <c r="G943" s="14"/>
      <c r="H943" s="14"/>
      <c r="I943" s="14"/>
      <c r="J943" s="14"/>
      <c r="K943" s="12"/>
    </row>
    <row r="944" ht="19.5" customHeight="1">
      <c r="A944" s="12"/>
      <c r="C944" s="12"/>
      <c r="D944" s="13"/>
      <c r="F944" s="14"/>
      <c r="G944" s="14"/>
      <c r="H944" s="14"/>
      <c r="I944" s="14"/>
      <c r="J944" s="14"/>
      <c r="K944" s="12"/>
    </row>
    <row r="945" ht="19.5" customHeight="1">
      <c r="A945" s="12"/>
      <c r="C945" s="12"/>
      <c r="D945" s="13"/>
      <c r="F945" s="14"/>
      <c r="G945" s="14"/>
      <c r="H945" s="14"/>
      <c r="I945" s="14"/>
      <c r="J945" s="14"/>
      <c r="K945" s="12"/>
    </row>
    <row r="946" ht="19.5" customHeight="1">
      <c r="A946" s="12"/>
      <c r="C946" s="12"/>
      <c r="D946" s="13"/>
      <c r="F946" s="14"/>
      <c r="G946" s="14"/>
      <c r="H946" s="14"/>
      <c r="I946" s="14"/>
      <c r="J946" s="14"/>
      <c r="K946" s="12"/>
    </row>
    <row r="947" ht="19.5" customHeight="1">
      <c r="A947" s="12"/>
      <c r="C947" s="12"/>
      <c r="D947" s="13"/>
      <c r="F947" s="14"/>
      <c r="G947" s="14"/>
      <c r="H947" s="14"/>
      <c r="I947" s="14"/>
      <c r="J947" s="14"/>
      <c r="K947" s="12"/>
    </row>
    <row r="948" ht="19.5" customHeight="1">
      <c r="A948" s="12"/>
      <c r="C948" s="12"/>
      <c r="D948" s="13"/>
      <c r="F948" s="14"/>
      <c r="G948" s="14"/>
      <c r="H948" s="14"/>
      <c r="I948" s="14"/>
      <c r="J948" s="14"/>
      <c r="K948" s="12"/>
    </row>
    <row r="949" ht="19.5" customHeight="1">
      <c r="A949" s="12"/>
      <c r="C949" s="12"/>
      <c r="D949" s="13"/>
      <c r="F949" s="14"/>
      <c r="G949" s="14"/>
      <c r="H949" s="14"/>
      <c r="I949" s="14"/>
      <c r="J949" s="14"/>
      <c r="K949" s="12"/>
    </row>
    <row r="950" ht="19.5" customHeight="1">
      <c r="A950" s="12"/>
      <c r="C950" s="12"/>
      <c r="D950" s="13"/>
      <c r="F950" s="14"/>
      <c r="G950" s="14"/>
      <c r="H950" s="14"/>
      <c r="I950" s="14"/>
      <c r="J950" s="14"/>
      <c r="K950" s="12"/>
    </row>
    <row r="951" ht="19.5" customHeight="1">
      <c r="A951" s="12"/>
      <c r="C951" s="12"/>
      <c r="D951" s="13"/>
      <c r="F951" s="14"/>
      <c r="G951" s="14"/>
      <c r="H951" s="14"/>
      <c r="I951" s="14"/>
      <c r="J951" s="14"/>
      <c r="K951" s="12"/>
    </row>
    <row r="952" ht="19.5" customHeight="1">
      <c r="A952" s="12"/>
      <c r="C952" s="12"/>
      <c r="D952" s="13"/>
      <c r="F952" s="14"/>
      <c r="G952" s="14"/>
      <c r="H952" s="14"/>
      <c r="I952" s="14"/>
      <c r="J952" s="14"/>
      <c r="K952" s="12"/>
    </row>
    <row r="953" ht="19.5" customHeight="1">
      <c r="A953" s="12"/>
      <c r="C953" s="12"/>
      <c r="D953" s="13"/>
      <c r="F953" s="14"/>
      <c r="G953" s="14"/>
      <c r="H953" s="14"/>
      <c r="I953" s="14"/>
      <c r="J953" s="14"/>
      <c r="K953" s="12"/>
    </row>
    <row r="954" ht="19.5" customHeight="1">
      <c r="A954" s="12"/>
      <c r="C954" s="12"/>
      <c r="D954" s="13"/>
      <c r="F954" s="14"/>
      <c r="G954" s="14"/>
      <c r="H954" s="14"/>
      <c r="I954" s="14"/>
      <c r="J954" s="14"/>
      <c r="K954" s="12"/>
    </row>
    <row r="955" ht="19.5" customHeight="1">
      <c r="A955" s="12"/>
      <c r="C955" s="12"/>
      <c r="D955" s="13"/>
      <c r="F955" s="14"/>
      <c r="G955" s="14"/>
      <c r="H955" s="14"/>
      <c r="I955" s="14"/>
      <c r="J955" s="14"/>
      <c r="K955" s="12"/>
    </row>
    <row r="956" ht="19.5" customHeight="1">
      <c r="A956" s="12"/>
      <c r="C956" s="12"/>
      <c r="D956" s="13"/>
      <c r="F956" s="14"/>
      <c r="G956" s="14"/>
      <c r="H956" s="14"/>
      <c r="I956" s="14"/>
      <c r="J956" s="14"/>
      <c r="K956" s="12"/>
    </row>
    <row r="957" ht="19.5" customHeight="1">
      <c r="A957" s="12"/>
      <c r="C957" s="12"/>
      <c r="D957" s="13"/>
      <c r="F957" s="14"/>
      <c r="G957" s="14"/>
      <c r="H957" s="14"/>
      <c r="I957" s="14"/>
      <c r="J957" s="14"/>
      <c r="K957" s="12"/>
    </row>
    <row r="958" ht="19.5" customHeight="1">
      <c r="A958" s="12"/>
      <c r="C958" s="12"/>
      <c r="D958" s="13"/>
      <c r="F958" s="14"/>
      <c r="G958" s="14"/>
      <c r="H958" s="14"/>
      <c r="I958" s="14"/>
      <c r="J958" s="14"/>
      <c r="K958" s="12"/>
    </row>
    <row r="959" ht="19.5" customHeight="1">
      <c r="A959" s="12"/>
      <c r="C959" s="12"/>
      <c r="D959" s="13"/>
      <c r="F959" s="14"/>
      <c r="G959" s="14"/>
      <c r="H959" s="14"/>
      <c r="I959" s="14"/>
      <c r="J959" s="14"/>
      <c r="K959" s="12"/>
    </row>
    <row r="960" ht="19.5" customHeight="1">
      <c r="A960" s="12"/>
      <c r="C960" s="12"/>
      <c r="D960" s="13"/>
      <c r="F960" s="14"/>
      <c r="G960" s="14"/>
      <c r="H960" s="14"/>
      <c r="I960" s="14"/>
      <c r="J960" s="14"/>
      <c r="K960" s="12"/>
    </row>
    <row r="961" ht="19.5" customHeight="1">
      <c r="A961" s="12"/>
      <c r="C961" s="12"/>
      <c r="D961" s="13"/>
      <c r="F961" s="14"/>
      <c r="G961" s="14"/>
      <c r="H961" s="14"/>
      <c r="I961" s="14"/>
      <c r="J961" s="14"/>
      <c r="K961" s="12"/>
    </row>
    <row r="962" ht="19.5" customHeight="1">
      <c r="A962" s="12"/>
      <c r="C962" s="12"/>
      <c r="D962" s="13"/>
      <c r="F962" s="14"/>
      <c r="G962" s="14"/>
      <c r="H962" s="14"/>
      <c r="I962" s="14"/>
      <c r="J962" s="14"/>
      <c r="K962" s="12"/>
    </row>
    <row r="963" ht="19.5" customHeight="1">
      <c r="A963" s="12"/>
      <c r="C963" s="12"/>
      <c r="D963" s="13"/>
      <c r="F963" s="14"/>
      <c r="G963" s="14"/>
      <c r="H963" s="14"/>
      <c r="I963" s="14"/>
      <c r="J963" s="14"/>
      <c r="K963" s="12"/>
    </row>
    <row r="964" ht="19.5" customHeight="1">
      <c r="A964" s="12"/>
      <c r="C964" s="12"/>
      <c r="D964" s="13"/>
      <c r="F964" s="14"/>
      <c r="G964" s="14"/>
      <c r="H964" s="14"/>
      <c r="I964" s="14"/>
      <c r="J964" s="14"/>
      <c r="K964" s="12"/>
    </row>
    <row r="965" ht="19.5" customHeight="1">
      <c r="A965" s="12"/>
      <c r="C965" s="12"/>
      <c r="D965" s="13"/>
      <c r="F965" s="14"/>
      <c r="G965" s="14"/>
      <c r="H965" s="14"/>
      <c r="I965" s="14"/>
      <c r="J965" s="14"/>
      <c r="K965" s="12"/>
    </row>
    <row r="966" ht="19.5" customHeight="1">
      <c r="A966" s="12"/>
      <c r="C966" s="12"/>
      <c r="D966" s="13"/>
      <c r="F966" s="14"/>
      <c r="G966" s="14"/>
      <c r="H966" s="14"/>
      <c r="I966" s="14"/>
      <c r="J966" s="14"/>
      <c r="K966" s="12"/>
    </row>
    <row r="967" ht="19.5" customHeight="1">
      <c r="A967" s="12"/>
      <c r="C967" s="12"/>
      <c r="D967" s="13"/>
      <c r="F967" s="14"/>
      <c r="G967" s="14"/>
      <c r="H967" s="14"/>
      <c r="I967" s="14"/>
      <c r="J967" s="14"/>
      <c r="K967" s="12"/>
    </row>
    <row r="968" ht="19.5" customHeight="1">
      <c r="A968" s="12"/>
      <c r="C968" s="12"/>
      <c r="D968" s="13"/>
      <c r="F968" s="14"/>
      <c r="G968" s="14"/>
      <c r="H968" s="14"/>
      <c r="I968" s="14"/>
      <c r="J968" s="14"/>
      <c r="K968" s="12"/>
    </row>
    <row r="969" ht="19.5" customHeight="1">
      <c r="A969" s="12"/>
      <c r="C969" s="12"/>
      <c r="D969" s="13"/>
      <c r="F969" s="14"/>
      <c r="G969" s="14"/>
      <c r="H969" s="14"/>
      <c r="I969" s="14"/>
      <c r="J969" s="14"/>
      <c r="K969" s="12"/>
    </row>
    <row r="970" ht="19.5" customHeight="1">
      <c r="A970" s="12"/>
      <c r="C970" s="12"/>
      <c r="D970" s="13"/>
      <c r="F970" s="14"/>
      <c r="G970" s="14"/>
      <c r="H970" s="14"/>
      <c r="I970" s="14"/>
      <c r="J970" s="14"/>
      <c r="K970" s="12"/>
    </row>
    <row r="971" ht="19.5" customHeight="1">
      <c r="A971" s="12"/>
      <c r="C971" s="12"/>
      <c r="D971" s="13"/>
      <c r="F971" s="14"/>
      <c r="G971" s="14"/>
      <c r="H971" s="14"/>
      <c r="I971" s="14"/>
      <c r="J971" s="14"/>
      <c r="K971" s="12"/>
    </row>
    <row r="972" ht="19.5" customHeight="1">
      <c r="A972" s="12"/>
      <c r="C972" s="12"/>
      <c r="D972" s="13"/>
      <c r="F972" s="14"/>
      <c r="G972" s="14"/>
      <c r="H972" s="14"/>
      <c r="I972" s="14"/>
      <c r="J972" s="14"/>
      <c r="K972" s="12"/>
    </row>
    <row r="973" ht="19.5" customHeight="1">
      <c r="A973" s="12"/>
      <c r="C973" s="12"/>
      <c r="D973" s="13"/>
      <c r="F973" s="14"/>
      <c r="G973" s="14"/>
      <c r="H973" s="14"/>
      <c r="I973" s="14"/>
      <c r="J973" s="14"/>
      <c r="K973" s="12"/>
    </row>
    <row r="974" ht="19.5" customHeight="1">
      <c r="A974" s="12"/>
      <c r="C974" s="12"/>
      <c r="D974" s="13"/>
      <c r="F974" s="14"/>
      <c r="G974" s="14"/>
      <c r="H974" s="14"/>
      <c r="I974" s="14"/>
      <c r="J974" s="14"/>
      <c r="K974" s="12"/>
    </row>
    <row r="975" ht="19.5" customHeight="1">
      <c r="A975" s="12"/>
      <c r="C975" s="12"/>
      <c r="D975" s="13"/>
      <c r="F975" s="14"/>
      <c r="G975" s="14"/>
      <c r="H975" s="14"/>
      <c r="I975" s="14"/>
      <c r="J975" s="14"/>
      <c r="K975" s="12"/>
    </row>
    <row r="976" ht="19.5" customHeight="1">
      <c r="A976" s="12"/>
      <c r="C976" s="12"/>
      <c r="D976" s="13"/>
      <c r="F976" s="14"/>
      <c r="G976" s="14"/>
      <c r="H976" s="14"/>
      <c r="I976" s="14"/>
      <c r="J976" s="14"/>
      <c r="K976" s="12"/>
    </row>
    <row r="977" ht="19.5" customHeight="1">
      <c r="A977" s="12"/>
      <c r="C977" s="12"/>
      <c r="D977" s="13"/>
      <c r="F977" s="14"/>
      <c r="G977" s="14"/>
      <c r="H977" s="14"/>
      <c r="I977" s="14"/>
      <c r="J977" s="14"/>
      <c r="K977" s="12"/>
    </row>
    <row r="978" ht="19.5" customHeight="1">
      <c r="A978" s="12"/>
      <c r="C978" s="12"/>
      <c r="D978" s="13"/>
      <c r="F978" s="14"/>
      <c r="G978" s="14"/>
      <c r="H978" s="14"/>
      <c r="I978" s="14"/>
      <c r="J978" s="14"/>
      <c r="K978" s="12"/>
    </row>
    <row r="979" ht="19.5" customHeight="1">
      <c r="A979" s="12"/>
      <c r="C979" s="12"/>
      <c r="D979" s="13"/>
      <c r="F979" s="14"/>
      <c r="G979" s="14"/>
      <c r="H979" s="14"/>
      <c r="I979" s="14"/>
      <c r="J979" s="14"/>
      <c r="K979" s="12"/>
    </row>
    <row r="980" ht="19.5" customHeight="1">
      <c r="A980" s="12"/>
      <c r="C980" s="12"/>
      <c r="D980" s="13"/>
      <c r="F980" s="14"/>
      <c r="G980" s="14"/>
      <c r="H980" s="14"/>
      <c r="I980" s="14"/>
      <c r="J980" s="14"/>
      <c r="K980" s="12"/>
    </row>
    <row r="981" ht="19.5" customHeight="1">
      <c r="A981" s="12"/>
      <c r="C981" s="12"/>
      <c r="D981" s="13"/>
      <c r="F981" s="14"/>
      <c r="G981" s="14"/>
      <c r="H981" s="14"/>
      <c r="I981" s="14"/>
      <c r="J981" s="14"/>
      <c r="K981" s="12"/>
    </row>
    <row r="982" ht="19.5" customHeight="1">
      <c r="A982" s="12"/>
      <c r="C982" s="12"/>
      <c r="D982" s="13"/>
      <c r="F982" s="14"/>
      <c r="G982" s="14"/>
      <c r="H982" s="14"/>
      <c r="I982" s="14"/>
      <c r="J982" s="14"/>
      <c r="K982" s="12"/>
    </row>
    <row r="983" ht="19.5" customHeight="1">
      <c r="A983" s="12"/>
      <c r="C983" s="12"/>
      <c r="D983" s="13"/>
      <c r="F983" s="14"/>
      <c r="G983" s="14"/>
      <c r="H983" s="14"/>
      <c r="I983" s="14"/>
      <c r="J983" s="14"/>
      <c r="K983" s="12"/>
    </row>
    <row r="984" ht="19.5" customHeight="1">
      <c r="A984" s="12"/>
      <c r="C984" s="12"/>
      <c r="D984" s="13"/>
      <c r="F984" s="14"/>
      <c r="G984" s="14"/>
      <c r="H984" s="14"/>
      <c r="I984" s="14"/>
      <c r="J984" s="14"/>
      <c r="K984" s="12"/>
    </row>
    <row r="985" ht="19.5" customHeight="1">
      <c r="A985" s="12"/>
      <c r="C985" s="12"/>
      <c r="D985" s="13"/>
      <c r="F985" s="14"/>
      <c r="G985" s="14"/>
      <c r="H985" s="14"/>
      <c r="I985" s="14"/>
      <c r="J985" s="14"/>
      <c r="K985" s="12"/>
    </row>
    <row r="986" ht="19.5" customHeight="1">
      <c r="A986" s="12"/>
      <c r="C986" s="12"/>
      <c r="D986" s="13"/>
      <c r="F986" s="14"/>
      <c r="G986" s="14"/>
      <c r="H986" s="14"/>
      <c r="I986" s="14"/>
      <c r="J986" s="14"/>
      <c r="K986" s="12"/>
    </row>
    <row r="987" ht="19.5" customHeight="1">
      <c r="A987" s="12"/>
      <c r="C987" s="12"/>
      <c r="D987" s="13"/>
      <c r="F987" s="14"/>
      <c r="G987" s="14"/>
      <c r="H987" s="14"/>
      <c r="I987" s="14"/>
      <c r="J987" s="14"/>
      <c r="K987" s="12"/>
    </row>
    <row r="988" ht="19.5" customHeight="1">
      <c r="A988" s="12"/>
      <c r="C988" s="12"/>
      <c r="D988" s="13"/>
      <c r="F988" s="14"/>
      <c r="G988" s="14"/>
      <c r="H988" s="14"/>
      <c r="I988" s="14"/>
      <c r="J988" s="14"/>
      <c r="K988" s="12"/>
    </row>
    <row r="989" ht="19.5" customHeight="1">
      <c r="A989" s="12"/>
      <c r="C989" s="12"/>
      <c r="D989" s="13"/>
      <c r="F989" s="14"/>
      <c r="G989" s="14"/>
      <c r="H989" s="14"/>
      <c r="I989" s="14"/>
      <c r="J989" s="14"/>
      <c r="K989" s="12"/>
    </row>
    <row r="990" ht="19.5" customHeight="1">
      <c r="A990" s="12"/>
      <c r="C990" s="12"/>
      <c r="D990" s="13"/>
      <c r="F990" s="14"/>
      <c r="G990" s="14"/>
      <c r="H990" s="14"/>
      <c r="I990" s="14"/>
      <c r="J990" s="14"/>
      <c r="K990" s="12"/>
    </row>
    <row r="991" ht="19.5" customHeight="1">
      <c r="A991" s="12"/>
      <c r="C991" s="12"/>
      <c r="D991" s="13"/>
      <c r="F991" s="14"/>
      <c r="G991" s="14"/>
      <c r="H991" s="14"/>
      <c r="I991" s="14"/>
      <c r="J991" s="14"/>
      <c r="K991" s="12"/>
    </row>
    <row r="992" ht="19.5" customHeight="1">
      <c r="A992" s="12"/>
      <c r="C992" s="12"/>
      <c r="D992" s="13"/>
      <c r="F992" s="14"/>
      <c r="G992" s="14"/>
      <c r="H992" s="14"/>
      <c r="I992" s="14"/>
      <c r="J992" s="14"/>
      <c r="K992" s="12"/>
    </row>
    <row r="993" ht="19.5" customHeight="1">
      <c r="A993" s="12"/>
      <c r="C993" s="12"/>
      <c r="D993" s="13"/>
      <c r="F993" s="14"/>
      <c r="G993" s="14"/>
      <c r="H993" s="14"/>
      <c r="I993" s="14"/>
      <c r="J993" s="14"/>
      <c r="K993" s="12"/>
    </row>
    <row r="994" ht="19.5" customHeight="1">
      <c r="A994" s="12"/>
      <c r="C994" s="12"/>
      <c r="D994" s="13"/>
      <c r="F994" s="14"/>
      <c r="G994" s="14"/>
      <c r="H994" s="14"/>
      <c r="I994" s="14"/>
      <c r="J994" s="14"/>
      <c r="K994" s="12"/>
    </row>
    <row r="995" ht="19.5" customHeight="1">
      <c r="A995" s="12"/>
      <c r="C995" s="12"/>
      <c r="D995" s="13"/>
      <c r="F995" s="14"/>
      <c r="G995" s="14"/>
      <c r="H995" s="14"/>
      <c r="I995" s="14"/>
      <c r="J995" s="14"/>
      <c r="K995" s="12"/>
    </row>
    <row r="996" ht="19.5" customHeight="1">
      <c r="A996" s="12"/>
      <c r="C996" s="12"/>
      <c r="D996" s="13"/>
      <c r="F996" s="14"/>
      <c r="G996" s="14"/>
      <c r="H996" s="14"/>
      <c r="I996" s="14"/>
      <c r="J996" s="14"/>
      <c r="K996" s="12"/>
    </row>
    <row r="997" ht="19.5" customHeight="1">
      <c r="A997" s="12"/>
      <c r="C997" s="12"/>
      <c r="D997" s="13"/>
      <c r="F997" s="14"/>
      <c r="G997" s="14"/>
      <c r="H997" s="14"/>
      <c r="I997" s="14"/>
      <c r="J997" s="14"/>
      <c r="K997" s="12"/>
    </row>
    <row r="998" ht="19.5" customHeight="1">
      <c r="A998" s="12"/>
      <c r="C998" s="12"/>
      <c r="D998" s="13"/>
      <c r="F998" s="14"/>
      <c r="G998" s="14"/>
      <c r="H998" s="14"/>
      <c r="I998" s="14"/>
      <c r="J998" s="14"/>
      <c r="K998" s="12"/>
    </row>
    <row r="999" ht="19.5" customHeight="1">
      <c r="A999" s="12"/>
      <c r="C999" s="12"/>
      <c r="D999" s="13"/>
      <c r="F999" s="14"/>
      <c r="G999" s="14"/>
      <c r="H999" s="14"/>
      <c r="I999" s="14"/>
      <c r="J999" s="14"/>
      <c r="K999" s="12"/>
    </row>
    <row r="1000" ht="19.5" customHeight="1">
      <c r="A1000" s="12"/>
      <c r="C1000" s="12"/>
      <c r="D1000" s="13"/>
      <c r="F1000" s="14"/>
      <c r="G1000" s="14"/>
      <c r="H1000" s="14"/>
      <c r="I1000" s="14"/>
      <c r="J1000" s="14"/>
      <c r="K1000" s="12"/>
    </row>
  </sheetData>
  <mergeCells count="12">
    <mergeCell ref="E9:G9"/>
    <mergeCell ref="J9:J10"/>
    <mergeCell ref="J15:J16"/>
    <mergeCell ref="J36:J37"/>
    <mergeCell ref="A6:K6"/>
    <mergeCell ref="A7:K7"/>
    <mergeCell ref="A8:K8"/>
    <mergeCell ref="A9:A10"/>
    <mergeCell ref="B9:B10"/>
    <mergeCell ref="C9:C10"/>
    <mergeCell ref="D9:D10"/>
    <mergeCell ref="K9:K10"/>
  </mergeCells>
  <printOptions/>
  <pageMargins bottom="0.787401575" footer="0.0" header="0.0" left="0.511811024" right="0.511811024" top="0.7874015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37.63"/>
    <col customWidth="1" min="3" max="3" width="9.13"/>
    <col customWidth="1" min="4" max="4" width="16.25"/>
    <col customWidth="1" min="5" max="5" width="15.63"/>
    <col customWidth="1" min="6" max="6" width="22.25"/>
    <col customWidth="1" min="7" max="8" width="23.88"/>
    <col customWidth="1" min="9" max="9" width="18.75"/>
    <col customWidth="1" min="10" max="10" width="16.25"/>
    <col customWidth="1" min="11" max="11" width="28.38"/>
    <col customWidth="1" min="12" max="26" width="8.63"/>
  </cols>
  <sheetData>
    <row r="1" ht="19.5" customHeight="1">
      <c r="A1" s="4"/>
      <c r="B1" s="5"/>
      <c r="C1" s="6"/>
      <c r="D1" s="7"/>
      <c r="E1" s="5"/>
      <c r="F1" s="8"/>
      <c r="G1" s="8"/>
      <c r="H1" s="8"/>
      <c r="I1" s="8"/>
      <c r="J1" s="8"/>
      <c r="K1" s="9"/>
    </row>
    <row r="2" ht="19.5" customHeight="1">
      <c r="A2" s="10" t="s">
        <v>83</v>
      </c>
      <c r="B2" s="11" t="s">
        <v>84</v>
      </c>
      <c r="C2" s="12"/>
      <c r="D2" s="13"/>
      <c r="F2" s="14"/>
      <c r="G2" s="14"/>
      <c r="H2" s="14"/>
      <c r="I2" s="14"/>
      <c r="J2" s="17" t="s">
        <v>144</v>
      </c>
      <c r="K2" s="18"/>
    </row>
    <row r="3" ht="19.5" customHeight="1">
      <c r="A3" s="10" t="s">
        <v>86</v>
      </c>
      <c r="B3" s="11" t="s">
        <v>87</v>
      </c>
      <c r="C3" s="12"/>
      <c r="D3" s="13"/>
      <c r="F3" s="14"/>
      <c r="G3" s="14"/>
      <c r="H3" s="14"/>
      <c r="I3" s="14"/>
      <c r="J3" s="14"/>
      <c r="K3" s="18"/>
    </row>
    <row r="4" ht="19.5" customHeight="1">
      <c r="A4" s="19"/>
      <c r="C4" s="12"/>
      <c r="D4" s="13"/>
      <c r="F4" s="14"/>
      <c r="G4" s="14"/>
      <c r="H4" s="14"/>
      <c r="I4" s="14"/>
      <c r="J4" s="14"/>
      <c r="K4" s="18"/>
    </row>
    <row r="5" ht="19.5" customHeight="1">
      <c r="A5" s="19"/>
      <c r="C5" s="12"/>
      <c r="D5" s="13"/>
      <c r="F5" s="14"/>
      <c r="G5" s="14"/>
      <c r="H5" s="14"/>
      <c r="I5" s="14"/>
      <c r="J5" s="14"/>
      <c r="K5" s="18"/>
    </row>
    <row r="6" ht="159.0" customHeight="1">
      <c r="A6" s="20" t="s">
        <v>145</v>
      </c>
      <c r="K6" s="21"/>
    </row>
    <row r="7" ht="64.5" customHeight="1">
      <c r="A7" s="22" t="s">
        <v>168</v>
      </c>
      <c r="K7" s="21"/>
    </row>
    <row r="8" ht="19.5" customHeight="1">
      <c r="A8" s="23" t="s">
        <v>90</v>
      </c>
      <c r="B8" s="24"/>
      <c r="C8" s="24"/>
      <c r="D8" s="24"/>
      <c r="E8" s="24"/>
      <c r="F8" s="24"/>
      <c r="G8" s="24"/>
      <c r="H8" s="24"/>
      <c r="I8" s="24"/>
      <c r="J8" s="24"/>
      <c r="K8" s="25"/>
    </row>
    <row r="9" ht="19.5" customHeight="1">
      <c r="A9" s="26" t="s">
        <v>1</v>
      </c>
      <c r="B9" s="26" t="s">
        <v>91</v>
      </c>
      <c r="C9" s="26" t="s">
        <v>92</v>
      </c>
      <c r="D9" s="26" t="s">
        <v>93</v>
      </c>
      <c r="E9" s="27" t="s">
        <v>94</v>
      </c>
      <c r="F9" s="28"/>
      <c r="G9" s="29"/>
      <c r="H9" s="30"/>
      <c r="I9" s="30"/>
      <c r="J9" s="31" t="s">
        <v>95</v>
      </c>
      <c r="K9" s="26" t="s">
        <v>96</v>
      </c>
    </row>
    <row r="10" ht="19.5" customHeight="1">
      <c r="A10" s="32"/>
      <c r="B10" s="32"/>
      <c r="C10" s="32"/>
      <c r="D10" s="32"/>
      <c r="E10" s="33" t="s">
        <v>97</v>
      </c>
      <c r="F10" s="34" t="s">
        <v>121</v>
      </c>
      <c r="G10" s="34" t="s">
        <v>99</v>
      </c>
      <c r="H10" s="35" t="s">
        <v>100</v>
      </c>
      <c r="I10" s="35" t="s">
        <v>101</v>
      </c>
      <c r="J10" s="32"/>
      <c r="K10" s="32"/>
    </row>
    <row r="11" ht="19.5" customHeight="1">
      <c r="A11" s="36">
        <v>36893.0</v>
      </c>
      <c r="B11" s="37" t="s">
        <v>147</v>
      </c>
      <c r="C11" s="46" t="s">
        <v>148</v>
      </c>
      <c r="D11" s="39">
        <v>1.0</v>
      </c>
      <c r="E11" s="49">
        <v>0.4</v>
      </c>
      <c r="F11" s="73">
        <v>948.98</v>
      </c>
      <c r="G11" s="41">
        <v>0.3</v>
      </c>
      <c r="H11" s="40">
        <f>G11*F11*E11*D11</f>
        <v>113.8776</v>
      </c>
      <c r="I11" s="42"/>
      <c r="J11" s="43">
        <f>H11-I11</f>
        <v>113.8776</v>
      </c>
      <c r="K11" s="46"/>
    </row>
    <row r="12" ht="19.5" customHeight="1">
      <c r="A12" s="74" t="s">
        <v>1</v>
      </c>
      <c r="B12" s="74" t="s">
        <v>91</v>
      </c>
      <c r="C12" s="74" t="s">
        <v>92</v>
      </c>
      <c r="D12" s="74" t="s">
        <v>93</v>
      </c>
      <c r="E12" s="50" t="s">
        <v>97</v>
      </c>
      <c r="F12" s="53" t="s">
        <v>121</v>
      </c>
      <c r="G12" s="53" t="s">
        <v>99</v>
      </c>
      <c r="H12" s="75" t="s">
        <v>100</v>
      </c>
      <c r="I12" s="75" t="s">
        <v>101</v>
      </c>
      <c r="J12" s="76" t="s">
        <v>95</v>
      </c>
      <c r="K12" s="74" t="s">
        <v>96</v>
      </c>
    </row>
    <row r="13" ht="19.5" customHeight="1">
      <c r="A13" s="36">
        <v>37623.0</v>
      </c>
      <c r="B13" s="49" t="s">
        <v>149</v>
      </c>
      <c r="C13" s="38" t="s">
        <v>103</v>
      </c>
      <c r="D13" s="39">
        <v>1.0</v>
      </c>
      <c r="E13" s="37"/>
      <c r="F13" s="40">
        <f>F11</f>
        <v>948.98</v>
      </c>
      <c r="G13" s="41">
        <v>0.3</v>
      </c>
      <c r="H13" s="40">
        <f>G13*F13*D13</f>
        <v>284.694</v>
      </c>
      <c r="I13" s="42"/>
      <c r="J13" s="77"/>
      <c r="K13" s="46"/>
    </row>
    <row r="14" ht="19.5" customHeight="1">
      <c r="A14" s="46"/>
      <c r="B14" s="37"/>
      <c r="C14" s="46"/>
      <c r="D14" s="78"/>
      <c r="E14" s="37"/>
      <c r="F14" s="40"/>
      <c r="G14" s="40"/>
      <c r="H14" s="40"/>
      <c r="I14" s="42"/>
      <c r="J14" s="43">
        <f>SUM(H13:H14)</f>
        <v>284.694</v>
      </c>
      <c r="K14" s="79"/>
    </row>
    <row r="15" ht="19.5" customHeight="1">
      <c r="A15" s="74" t="s">
        <v>1</v>
      </c>
      <c r="B15" s="74" t="s">
        <v>91</v>
      </c>
      <c r="C15" s="74" t="s">
        <v>92</v>
      </c>
      <c r="D15" s="74" t="s">
        <v>93</v>
      </c>
      <c r="E15" s="50" t="s">
        <v>97</v>
      </c>
      <c r="F15" s="53" t="s">
        <v>121</v>
      </c>
      <c r="G15" s="53" t="s">
        <v>99</v>
      </c>
      <c r="H15" s="75" t="s">
        <v>100</v>
      </c>
      <c r="I15" s="75" t="s">
        <v>101</v>
      </c>
      <c r="J15" s="76" t="s">
        <v>95</v>
      </c>
      <c r="K15" s="74" t="s">
        <v>96</v>
      </c>
    </row>
    <row r="16" ht="19.5" customHeight="1">
      <c r="A16" s="36">
        <v>37258.0</v>
      </c>
      <c r="B16" s="49" t="s">
        <v>150</v>
      </c>
      <c r="C16" s="38" t="s">
        <v>108</v>
      </c>
      <c r="D16" s="39">
        <v>1.0</v>
      </c>
      <c r="E16" s="37"/>
      <c r="F16" s="40">
        <f>F11</f>
        <v>948.98</v>
      </c>
      <c r="G16" s="40"/>
      <c r="H16" s="40">
        <f>F16*D16</f>
        <v>948.98</v>
      </c>
      <c r="I16" s="42"/>
      <c r="J16" s="77"/>
      <c r="K16" s="46"/>
    </row>
    <row r="17" ht="19.5" customHeight="1">
      <c r="A17" s="46"/>
      <c r="B17" s="37"/>
      <c r="C17" s="46"/>
      <c r="D17" s="78"/>
      <c r="E17" s="37"/>
      <c r="F17" s="40"/>
      <c r="G17" s="40"/>
      <c r="H17" s="40"/>
      <c r="I17" s="42"/>
      <c r="J17" s="43">
        <f>SUM(H16:H17)</f>
        <v>948.98</v>
      </c>
      <c r="K17" s="79"/>
    </row>
    <row r="18" ht="19.5" customHeight="1">
      <c r="A18" s="74" t="s">
        <v>1</v>
      </c>
      <c r="B18" s="74" t="s">
        <v>91</v>
      </c>
      <c r="C18" s="74" t="s">
        <v>92</v>
      </c>
      <c r="D18" s="74" t="s">
        <v>93</v>
      </c>
      <c r="E18" s="50" t="s">
        <v>97</v>
      </c>
      <c r="F18" s="53" t="s">
        <v>121</v>
      </c>
      <c r="G18" s="53" t="s">
        <v>99</v>
      </c>
      <c r="H18" s="75" t="s">
        <v>100</v>
      </c>
      <c r="I18" s="75" t="s">
        <v>101</v>
      </c>
      <c r="J18" s="76" t="s">
        <v>95</v>
      </c>
      <c r="K18" s="74" t="s">
        <v>96</v>
      </c>
    </row>
    <row r="19" ht="19.5" customHeight="1">
      <c r="A19" s="36">
        <v>37988.0</v>
      </c>
      <c r="B19" s="49" t="s">
        <v>151</v>
      </c>
      <c r="C19" s="46" t="s">
        <v>148</v>
      </c>
      <c r="D19" s="78">
        <v>1.0</v>
      </c>
      <c r="E19" s="49">
        <v>0.4</v>
      </c>
      <c r="F19" s="78">
        <f>F11</f>
        <v>948.98</v>
      </c>
      <c r="G19" s="41">
        <v>0.3</v>
      </c>
      <c r="H19" s="40">
        <f>G19*F19*E19*D19</f>
        <v>113.8776</v>
      </c>
      <c r="I19" s="14"/>
      <c r="J19" s="40"/>
      <c r="K19" s="46"/>
    </row>
    <row r="20" ht="19.5" customHeight="1">
      <c r="A20" s="46"/>
      <c r="B20" s="37"/>
      <c r="C20" s="46"/>
      <c r="D20" s="78"/>
      <c r="E20" s="37"/>
      <c r="F20" s="78"/>
      <c r="G20" s="40"/>
      <c r="H20" s="40"/>
      <c r="I20" s="42"/>
      <c r="J20" s="43">
        <f>SUM(H19:H20)</f>
        <v>113.8776</v>
      </c>
      <c r="K20" s="46"/>
    </row>
    <row r="21" ht="19.5" customHeight="1">
      <c r="A21" s="74" t="s">
        <v>1</v>
      </c>
      <c r="B21" s="74" t="s">
        <v>91</v>
      </c>
      <c r="C21" s="74" t="s">
        <v>92</v>
      </c>
      <c r="D21" s="74" t="s">
        <v>93</v>
      </c>
      <c r="E21" s="50" t="s">
        <v>97</v>
      </c>
      <c r="F21" s="53" t="s">
        <v>121</v>
      </c>
      <c r="G21" s="53" t="s">
        <v>99</v>
      </c>
      <c r="H21" s="75" t="s">
        <v>100</v>
      </c>
      <c r="I21" s="75" t="s">
        <v>101</v>
      </c>
      <c r="J21" s="76" t="s">
        <v>95</v>
      </c>
      <c r="K21" s="74" t="s">
        <v>96</v>
      </c>
    </row>
    <row r="22" ht="19.5" customHeight="1">
      <c r="A22" s="36">
        <v>38354.0</v>
      </c>
      <c r="B22" s="49" t="s">
        <v>152</v>
      </c>
      <c r="C22" s="38" t="s">
        <v>108</v>
      </c>
      <c r="D22" s="39">
        <v>2.0</v>
      </c>
      <c r="E22" s="37"/>
      <c r="F22" s="78">
        <f>F11</f>
        <v>948.98</v>
      </c>
      <c r="G22" s="40"/>
      <c r="H22" s="40">
        <f>D22*F22</f>
        <v>1897.96</v>
      </c>
      <c r="I22" s="42"/>
      <c r="J22" s="43">
        <f>H22</f>
        <v>1897.96</v>
      </c>
      <c r="K22" s="46"/>
    </row>
    <row r="23" ht="19.5" customHeight="1">
      <c r="A23" s="74" t="s">
        <v>1</v>
      </c>
      <c r="B23" s="74" t="s">
        <v>91</v>
      </c>
      <c r="C23" s="74" t="s">
        <v>92</v>
      </c>
      <c r="D23" s="74" t="s">
        <v>93</v>
      </c>
      <c r="E23" s="50" t="s">
        <v>97</v>
      </c>
      <c r="F23" s="53" t="s">
        <v>121</v>
      </c>
      <c r="G23" s="53" t="s">
        <v>99</v>
      </c>
      <c r="H23" s="75" t="s">
        <v>100</v>
      </c>
      <c r="I23" s="75" t="s">
        <v>101</v>
      </c>
      <c r="J23" s="76" t="s">
        <v>95</v>
      </c>
      <c r="K23" s="74" t="s">
        <v>96</v>
      </c>
    </row>
    <row r="24" ht="19.5" customHeight="1">
      <c r="A24" s="36">
        <v>36924.0</v>
      </c>
      <c r="B24" s="49" t="s">
        <v>153</v>
      </c>
      <c r="C24" s="38" t="s">
        <v>103</v>
      </c>
      <c r="D24" s="80">
        <f>58*6</f>
        <v>348</v>
      </c>
      <c r="E24" s="49">
        <v>2.0</v>
      </c>
      <c r="F24" s="39">
        <v>0.4</v>
      </c>
      <c r="G24" s="40"/>
      <c r="H24" s="40">
        <f t="shared" ref="H24:H25" si="1">F24*E24*D24</f>
        <v>278.4</v>
      </c>
      <c r="I24" s="42"/>
      <c r="J24" s="43">
        <f>H24</f>
        <v>278.4</v>
      </c>
      <c r="K24" s="46"/>
    </row>
    <row r="25" ht="19.5" customHeight="1">
      <c r="A25" s="36">
        <v>37289.0</v>
      </c>
      <c r="B25" s="49" t="s">
        <v>154</v>
      </c>
      <c r="C25" s="38" t="s">
        <v>103</v>
      </c>
      <c r="D25" s="78">
        <v>1.0</v>
      </c>
      <c r="E25" s="49">
        <v>2.0</v>
      </c>
      <c r="F25" s="78">
        <f>F11</f>
        <v>948.98</v>
      </c>
      <c r="G25" s="40"/>
      <c r="H25" s="40">
        <f t="shared" si="1"/>
        <v>1897.96</v>
      </c>
      <c r="I25" s="42">
        <f>H24</f>
        <v>278.4</v>
      </c>
      <c r="J25" s="43">
        <f>H25-I25</f>
        <v>1619.56</v>
      </c>
      <c r="K25" s="46"/>
    </row>
    <row r="26" ht="19.5" customHeight="1">
      <c r="A26" s="74" t="s">
        <v>1</v>
      </c>
      <c r="B26" s="74" t="s">
        <v>91</v>
      </c>
      <c r="C26" s="74" t="s">
        <v>92</v>
      </c>
      <c r="D26" s="74" t="s">
        <v>93</v>
      </c>
      <c r="E26" s="51" t="s">
        <v>155</v>
      </c>
      <c r="F26" s="53" t="s">
        <v>121</v>
      </c>
      <c r="G26" s="52" t="s">
        <v>156</v>
      </c>
      <c r="H26" s="75" t="s">
        <v>100</v>
      </c>
      <c r="I26" s="75" t="s">
        <v>101</v>
      </c>
      <c r="J26" s="76" t="s">
        <v>95</v>
      </c>
      <c r="K26" s="74" t="s">
        <v>96</v>
      </c>
    </row>
    <row r="27" ht="19.5" customHeight="1">
      <c r="A27" s="36">
        <v>37654.0</v>
      </c>
      <c r="B27" s="49" t="s">
        <v>157</v>
      </c>
      <c r="C27" s="46" t="s">
        <v>158</v>
      </c>
      <c r="D27" s="39">
        <f>D24</f>
        <v>348</v>
      </c>
      <c r="E27" s="49">
        <v>1.0</v>
      </c>
      <c r="F27" s="40">
        <f>2.4*4</f>
        <v>9.6</v>
      </c>
      <c r="G27" s="81">
        <v>0.395</v>
      </c>
      <c r="H27" s="40">
        <f>F27*G27*D27*E27</f>
        <v>1319.616</v>
      </c>
      <c r="I27" s="82"/>
      <c r="J27" s="43">
        <f>H27-I27</f>
        <v>1319.616</v>
      </c>
      <c r="K27" s="83" t="s">
        <v>159</v>
      </c>
    </row>
    <row r="28" ht="19.5" customHeight="1">
      <c r="A28" s="74" t="s">
        <v>1</v>
      </c>
      <c r="B28" s="74" t="s">
        <v>91</v>
      </c>
      <c r="C28" s="74" t="s">
        <v>92</v>
      </c>
      <c r="D28" s="74" t="s">
        <v>93</v>
      </c>
      <c r="E28" s="50" t="s">
        <v>97</v>
      </c>
      <c r="F28" s="53" t="s">
        <v>121</v>
      </c>
      <c r="G28" s="53" t="s">
        <v>99</v>
      </c>
      <c r="H28" s="75" t="s">
        <v>100</v>
      </c>
      <c r="I28" s="75" t="s">
        <v>101</v>
      </c>
      <c r="J28" s="76" t="s">
        <v>95</v>
      </c>
      <c r="K28" s="74" t="s">
        <v>96</v>
      </c>
    </row>
    <row r="29" ht="19.5" customHeight="1">
      <c r="A29" s="36">
        <v>38019.0</v>
      </c>
      <c r="B29" s="49" t="s">
        <v>160</v>
      </c>
      <c r="C29" s="38" t="s">
        <v>148</v>
      </c>
      <c r="D29" s="39">
        <f>D24</f>
        <v>348</v>
      </c>
      <c r="E29" s="49">
        <v>2.4</v>
      </c>
      <c r="F29" s="41">
        <v>0.17</v>
      </c>
      <c r="G29" s="41">
        <v>0.12</v>
      </c>
      <c r="H29" s="40">
        <f>E29*F29*G29*D29</f>
        <v>17.03808</v>
      </c>
      <c r="I29" s="42"/>
      <c r="J29" s="43">
        <f>H29</f>
        <v>17.03808</v>
      </c>
      <c r="K29" s="84"/>
    </row>
    <row r="30" ht="19.5" customHeight="1">
      <c r="A30" s="74" t="s">
        <v>1</v>
      </c>
      <c r="B30" s="74" t="s">
        <v>91</v>
      </c>
      <c r="C30" s="74" t="s">
        <v>92</v>
      </c>
      <c r="D30" s="74" t="s">
        <v>93</v>
      </c>
      <c r="E30" s="50" t="s">
        <v>161</v>
      </c>
      <c r="F30" s="53" t="s">
        <v>121</v>
      </c>
      <c r="G30" s="53" t="s">
        <v>99</v>
      </c>
      <c r="H30" s="75" t="s">
        <v>100</v>
      </c>
      <c r="I30" s="75" t="s">
        <v>101</v>
      </c>
      <c r="J30" s="76" t="s">
        <v>95</v>
      </c>
      <c r="K30" s="74" t="s">
        <v>96</v>
      </c>
    </row>
    <row r="31" ht="19.5" customHeight="1">
      <c r="A31" s="36">
        <v>37743.0</v>
      </c>
      <c r="B31" s="37" t="s">
        <v>162</v>
      </c>
      <c r="C31" s="46" t="s">
        <v>103</v>
      </c>
      <c r="D31" s="78">
        <v>1.0</v>
      </c>
      <c r="E31" s="37">
        <v>1.0</v>
      </c>
      <c r="F31" s="78">
        <f>150.42+90.09</f>
        <v>240.51</v>
      </c>
      <c r="G31" s="41">
        <v>2.0</v>
      </c>
      <c r="H31" s="40">
        <f>G31*F31</f>
        <v>481.02</v>
      </c>
      <c r="I31" s="42"/>
      <c r="J31" s="40"/>
      <c r="K31" s="46"/>
    </row>
    <row r="32" ht="19.5" customHeight="1">
      <c r="A32" s="46"/>
      <c r="B32" s="37"/>
      <c r="C32" s="46"/>
      <c r="D32" s="78"/>
      <c r="E32" s="37"/>
      <c r="F32" s="78"/>
      <c r="G32" s="40"/>
      <c r="H32" s="40"/>
      <c r="I32" s="42"/>
      <c r="J32" s="43">
        <f>SUM(H31:H32)</f>
        <v>481.02</v>
      </c>
      <c r="K32" s="46"/>
    </row>
    <row r="33" ht="19.5" customHeight="1">
      <c r="A33" s="74" t="s">
        <v>1</v>
      </c>
      <c r="B33" s="74" t="s">
        <v>91</v>
      </c>
      <c r="C33" s="74" t="s">
        <v>92</v>
      </c>
      <c r="D33" s="74" t="s">
        <v>93</v>
      </c>
      <c r="E33" s="50" t="s">
        <v>161</v>
      </c>
      <c r="F33" s="53" t="s">
        <v>121</v>
      </c>
      <c r="G33" s="53" t="s">
        <v>99</v>
      </c>
      <c r="H33" s="75" t="s">
        <v>100</v>
      </c>
      <c r="I33" s="75" t="s">
        <v>101</v>
      </c>
      <c r="J33" s="76" t="s">
        <v>95</v>
      </c>
      <c r="K33" s="74" t="s">
        <v>96</v>
      </c>
    </row>
    <row r="34" ht="19.5" customHeight="1">
      <c r="A34" s="36">
        <v>37013.0</v>
      </c>
      <c r="B34" s="49" t="s">
        <v>163</v>
      </c>
      <c r="C34" s="38" t="s">
        <v>148</v>
      </c>
      <c r="D34" s="39">
        <f>J11*1.25</f>
        <v>142.347</v>
      </c>
      <c r="E34" s="37"/>
      <c r="F34" s="39"/>
      <c r="G34" s="40"/>
      <c r="H34" s="40">
        <f t="shared" ref="H34:H36" si="2">D34</f>
        <v>142.347</v>
      </c>
      <c r="I34" s="42"/>
      <c r="J34" s="43">
        <f t="shared" ref="J34:J36" si="3">H34</f>
        <v>142.347</v>
      </c>
      <c r="K34" s="38" t="s">
        <v>164</v>
      </c>
    </row>
    <row r="35" ht="19.5" customHeight="1">
      <c r="A35" s="36">
        <v>37378.0</v>
      </c>
      <c r="B35" s="49" t="s">
        <v>165</v>
      </c>
      <c r="C35" s="38" t="s">
        <v>166</v>
      </c>
      <c r="D35" s="39">
        <f>D34*10</f>
        <v>1423.47</v>
      </c>
      <c r="E35" s="37"/>
      <c r="F35" s="39"/>
      <c r="G35" s="40"/>
      <c r="H35" s="40">
        <f t="shared" si="2"/>
        <v>1423.47</v>
      </c>
      <c r="I35" s="42"/>
      <c r="J35" s="43">
        <f t="shared" si="3"/>
        <v>1423.47</v>
      </c>
      <c r="K35" s="38"/>
    </row>
    <row r="36" ht="19.5" customHeight="1">
      <c r="A36" s="36">
        <v>38109.0</v>
      </c>
      <c r="B36" s="49" t="s">
        <v>167</v>
      </c>
      <c r="C36" s="38" t="s">
        <v>148</v>
      </c>
      <c r="D36" s="39">
        <f>J17/4</f>
        <v>237.245</v>
      </c>
      <c r="E36" s="37"/>
      <c r="F36" s="39"/>
      <c r="G36" s="40"/>
      <c r="H36" s="40">
        <f t="shared" si="2"/>
        <v>237.245</v>
      </c>
      <c r="I36" s="42"/>
      <c r="J36" s="43">
        <f t="shared" si="3"/>
        <v>237.245</v>
      </c>
      <c r="K36" s="38"/>
    </row>
    <row r="37" ht="19.5" customHeight="1">
      <c r="A37" s="12"/>
      <c r="C37" s="12"/>
      <c r="D37" s="13"/>
      <c r="F37" s="14"/>
      <c r="G37" s="14"/>
      <c r="H37" s="14"/>
      <c r="I37" s="14"/>
      <c r="J37" s="14"/>
      <c r="K37" s="12"/>
    </row>
    <row r="38" ht="19.5" customHeight="1">
      <c r="A38" s="12"/>
      <c r="C38" s="12"/>
      <c r="D38" s="13"/>
      <c r="F38" s="14"/>
      <c r="G38" s="14"/>
      <c r="H38" s="14"/>
      <c r="I38" s="14"/>
      <c r="J38" s="14"/>
      <c r="K38" s="12"/>
    </row>
    <row r="39" ht="19.5" customHeight="1">
      <c r="A39" s="12"/>
      <c r="C39" s="12"/>
      <c r="D39" s="13"/>
      <c r="F39" s="14"/>
      <c r="G39" s="14"/>
      <c r="H39" s="14"/>
      <c r="I39" s="14"/>
      <c r="J39" s="14"/>
      <c r="K39" s="12"/>
    </row>
    <row r="40" ht="19.5" customHeight="1">
      <c r="A40" s="12"/>
      <c r="C40" s="12"/>
      <c r="D40" s="13"/>
      <c r="F40" s="14"/>
      <c r="G40" s="14"/>
      <c r="H40" s="14"/>
      <c r="I40" s="14"/>
      <c r="J40" s="14"/>
      <c r="K40" s="12"/>
    </row>
    <row r="41" ht="19.5" customHeight="1">
      <c r="A41" s="12"/>
      <c r="C41" s="12"/>
      <c r="D41" s="13"/>
      <c r="F41" s="14"/>
      <c r="G41" s="14"/>
      <c r="H41" s="14"/>
      <c r="I41" s="14"/>
      <c r="J41" s="14"/>
      <c r="K41" s="12"/>
    </row>
    <row r="42" ht="19.5" customHeight="1">
      <c r="A42" s="12"/>
      <c r="C42" s="12"/>
      <c r="D42" s="13"/>
      <c r="F42" s="14"/>
      <c r="G42" s="14"/>
      <c r="H42" s="14"/>
      <c r="I42" s="14"/>
      <c r="J42" s="14"/>
      <c r="K42" s="12"/>
    </row>
    <row r="43" ht="19.5" customHeight="1">
      <c r="A43" s="12"/>
      <c r="C43" s="12"/>
      <c r="D43" s="13"/>
      <c r="F43" s="14"/>
      <c r="G43" s="14"/>
      <c r="H43" s="14"/>
      <c r="I43" s="14"/>
      <c r="J43" s="14"/>
      <c r="K43" s="12"/>
    </row>
    <row r="44" ht="19.5" customHeight="1">
      <c r="A44" s="12"/>
      <c r="C44" s="12"/>
      <c r="D44" s="13"/>
      <c r="F44" s="14"/>
      <c r="G44" s="14"/>
      <c r="H44" s="14"/>
      <c r="I44" s="14"/>
      <c r="J44" s="14"/>
      <c r="K44" s="12"/>
    </row>
    <row r="45" ht="19.5" customHeight="1">
      <c r="A45" s="12"/>
      <c r="C45" s="12"/>
      <c r="D45" s="13"/>
      <c r="F45" s="14"/>
      <c r="G45" s="14"/>
      <c r="H45" s="14"/>
      <c r="I45" s="14"/>
      <c r="J45" s="14"/>
      <c r="K45" s="12"/>
    </row>
    <row r="46" ht="19.5" customHeight="1">
      <c r="A46" s="12"/>
      <c r="C46" s="12"/>
      <c r="D46" s="13"/>
      <c r="F46" s="14"/>
      <c r="G46" s="14"/>
      <c r="H46" s="14"/>
      <c r="I46" s="14"/>
      <c r="J46" s="14"/>
      <c r="K46" s="12"/>
    </row>
    <row r="47" ht="19.5" customHeight="1">
      <c r="A47" s="12"/>
      <c r="C47" s="12"/>
      <c r="D47" s="13"/>
      <c r="F47" s="14"/>
      <c r="G47" s="14"/>
      <c r="H47" s="14"/>
      <c r="I47" s="14"/>
      <c r="J47" s="14"/>
      <c r="K47" s="12"/>
    </row>
    <row r="48" ht="19.5" customHeight="1">
      <c r="A48" s="12"/>
      <c r="C48" s="12"/>
      <c r="D48" s="13"/>
      <c r="F48" s="14"/>
      <c r="G48" s="14"/>
      <c r="H48" s="14"/>
      <c r="I48" s="14"/>
      <c r="J48" s="14"/>
      <c r="K48" s="12"/>
    </row>
    <row r="49" ht="19.5" customHeight="1">
      <c r="A49" s="12"/>
      <c r="C49" s="12"/>
      <c r="D49" s="13"/>
      <c r="F49" s="14"/>
      <c r="G49" s="14"/>
      <c r="H49" s="14"/>
      <c r="I49" s="14"/>
      <c r="J49" s="14"/>
      <c r="K49" s="12"/>
    </row>
    <row r="50" ht="19.5" customHeight="1">
      <c r="A50" s="12"/>
      <c r="C50" s="12"/>
      <c r="D50" s="13"/>
      <c r="F50" s="14"/>
      <c r="G50" s="14"/>
      <c r="H50" s="14"/>
      <c r="I50" s="14"/>
      <c r="J50" s="14"/>
      <c r="K50" s="12"/>
    </row>
    <row r="51" ht="19.5" customHeight="1">
      <c r="A51" s="12"/>
      <c r="C51" s="12"/>
      <c r="D51" s="13"/>
      <c r="F51" s="14"/>
      <c r="G51" s="14"/>
      <c r="H51" s="14"/>
      <c r="I51" s="14"/>
      <c r="J51" s="14"/>
      <c r="K51" s="12"/>
    </row>
    <row r="52" ht="19.5" customHeight="1">
      <c r="A52" s="12"/>
      <c r="C52" s="12"/>
      <c r="D52" s="13"/>
      <c r="F52" s="14"/>
      <c r="G52" s="14"/>
      <c r="H52" s="14"/>
      <c r="I52" s="14"/>
      <c r="J52" s="14"/>
      <c r="K52" s="12"/>
    </row>
    <row r="53" ht="19.5" customHeight="1">
      <c r="A53" s="12"/>
      <c r="C53" s="12"/>
      <c r="D53" s="13"/>
      <c r="F53" s="14"/>
      <c r="G53" s="14"/>
      <c r="H53" s="14"/>
      <c r="I53" s="14"/>
      <c r="J53" s="14"/>
      <c r="K53" s="12"/>
    </row>
    <row r="54" ht="19.5" customHeight="1">
      <c r="A54" s="12"/>
      <c r="C54" s="12"/>
      <c r="D54" s="13"/>
      <c r="F54" s="14"/>
      <c r="G54" s="14"/>
      <c r="H54" s="14"/>
      <c r="I54" s="14"/>
      <c r="J54" s="14"/>
      <c r="K54" s="12"/>
    </row>
    <row r="55" ht="19.5" customHeight="1">
      <c r="A55" s="12"/>
      <c r="C55" s="12"/>
      <c r="D55" s="13"/>
      <c r="F55" s="14"/>
      <c r="G55" s="14"/>
      <c r="H55" s="14"/>
      <c r="I55" s="14"/>
      <c r="J55" s="14"/>
      <c r="K55" s="12"/>
    </row>
    <row r="56" ht="19.5" customHeight="1">
      <c r="A56" s="12"/>
      <c r="C56" s="12"/>
      <c r="D56" s="13"/>
      <c r="F56" s="14"/>
      <c r="G56" s="14"/>
      <c r="H56" s="14"/>
      <c r="I56" s="14"/>
      <c r="J56" s="14"/>
      <c r="K56" s="12"/>
    </row>
    <row r="57" ht="19.5" customHeight="1">
      <c r="A57" s="12"/>
      <c r="C57" s="12"/>
      <c r="D57" s="13"/>
      <c r="F57" s="14"/>
      <c r="G57" s="14"/>
      <c r="H57" s="14"/>
      <c r="I57" s="14"/>
      <c r="J57" s="14"/>
      <c r="K57" s="12"/>
    </row>
    <row r="58" ht="19.5" customHeight="1">
      <c r="A58" s="12"/>
      <c r="C58" s="12"/>
      <c r="D58" s="13"/>
      <c r="F58" s="14"/>
      <c r="G58" s="14"/>
      <c r="H58" s="14"/>
      <c r="I58" s="14"/>
      <c r="J58" s="14"/>
      <c r="K58" s="12"/>
    </row>
    <row r="59" ht="19.5" customHeight="1">
      <c r="A59" s="12"/>
      <c r="C59" s="12"/>
      <c r="D59" s="13"/>
      <c r="F59" s="14"/>
      <c r="G59" s="14"/>
      <c r="H59" s="14"/>
      <c r="I59" s="14"/>
      <c r="J59" s="14"/>
      <c r="K59" s="12"/>
    </row>
    <row r="60" ht="19.5" customHeight="1">
      <c r="A60" s="12"/>
      <c r="C60" s="12"/>
      <c r="D60" s="13"/>
      <c r="F60" s="14"/>
      <c r="G60" s="14"/>
      <c r="H60" s="14"/>
      <c r="I60" s="14"/>
      <c r="J60" s="14"/>
      <c r="K60" s="12"/>
    </row>
    <row r="61" ht="19.5" customHeight="1">
      <c r="A61" s="12"/>
      <c r="C61" s="12"/>
      <c r="D61" s="13"/>
      <c r="F61" s="14"/>
      <c r="G61" s="14"/>
      <c r="H61" s="14"/>
      <c r="I61" s="14"/>
      <c r="J61" s="14"/>
      <c r="K61" s="12"/>
    </row>
    <row r="62" ht="19.5" customHeight="1">
      <c r="A62" s="12"/>
      <c r="C62" s="12"/>
      <c r="D62" s="13"/>
      <c r="F62" s="14"/>
      <c r="G62" s="14"/>
      <c r="H62" s="14"/>
      <c r="I62" s="14"/>
      <c r="J62" s="14"/>
      <c r="K62" s="12"/>
    </row>
    <row r="63" ht="19.5" customHeight="1">
      <c r="A63" s="12"/>
      <c r="C63" s="12"/>
      <c r="D63" s="13"/>
      <c r="F63" s="14"/>
      <c r="G63" s="14"/>
      <c r="H63" s="14"/>
      <c r="I63" s="14"/>
      <c r="J63" s="14"/>
      <c r="K63" s="12"/>
    </row>
    <row r="64" ht="19.5" customHeight="1">
      <c r="A64" s="12"/>
      <c r="C64" s="12"/>
      <c r="D64" s="13"/>
      <c r="F64" s="14"/>
      <c r="G64" s="14"/>
      <c r="H64" s="14"/>
      <c r="I64" s="14"/>
      <c r="J64" s="14"/>
      <c r="K64" s="12"/>
    </row>
    <row r="65" ht="19.5" customHeight="1">
      <c r="A65" s="12"/>
      <c r="C65" s="12"/>
      <c r="D65" s="13"/>
      <c r="F65" s="14"/>
      <c r="G65" s="14"/>
      <c r="H65" s="14"/>
      <c r="I65" s="14"/>
      <c r="J65" s="14"/>
      <c r="K65" s="12"/>
    </row>
    <row r="66" ht="19.5" customHeight="1">
      <c r="A66" s="12"/>
      <c r="C66" s="12"/>
      <c r="D66" s="13"/>
      <c r="F66" s="14"/>
      <c r="G66" s="14"/>
      <c r="H66" s="14"/>
      <c r="I66" s="14"/>
      <c r="J66" s="14"/>
      <c r="K66" s="12"/>
    </row>
    <row r="67" ht="19.5" customHeight="1">
      <c r="A67" s="12"/>
      <c r="C67" s="12"/>
      <c r="D67" s="13"/>
      <c r="F67" s="14"/>
      <c r="G67" s="14"/>
      <c r="H67" s="14"/>
      <c r="I67" s="14"/>
      <c r="J67" s="14"/>
      <c r="K67" s="12"/>
    </row>
    <row r="68" ht="19.5" customHeight="1">
      <c r="A68" s="12"/>
      <c r="C68" s="12"/>
      <c r="D68" s="13"/>
      <c r="F68" s="14"/>
      <c r="G68" s="14"/>
      <c r="H68" s="14"/>
      <c r="I68" s="14"/>
      <c r="J68" s="14"/>
      <c r="K68" s="12"/>
    </row>
    <row r="69" ht="19.5" customHeight="1">
      <c r="A69" s="12"/>
      <c r="C69" s="12"/>
      <c r="D69" s="13"/>
      <c r="F69" s="14"/>
      <c r="G69" s="14"/>
      <c r="H69" s="14"/>
      <c r="I69" s="14"/>
      <c r="J69" s="14"/>
      <c r="K69" s="12"/>
    </row>
    <row r="70" ht="19.5" customHeight="1">
      <c r="A70" s="12"/>
      <c r="C70" s="12"/>
      <c r="D70" s="13"/>
      <c r="F70" s="14"/>
      <c r="G70" s="14"/>
      <c r="H70" s="14"/>
      <c r="I70" s="14"/>
      <c r="J70" s="14"/>
      <c r="K70" s="12"/>
    </row>
    <row r="71" ht="19.5" customHeight="1">
      <c r="A71" s="12"/>
      <c r="C71" s="12"/>
      <c r="D71" s="13"/>
      <c r="F71" s="14"/>
      <c r="G71" s="14"/>
      <c r="H71" s="14"/>
      <c r="I71" s="14"/>
      <c r="J71" s="14"/>
      <c r="K71" s="12"/>
    </row>
    <row r="72" ht="19.5" customHeight="1">
      <c r="A72" s="12"/>
      <c r="C72" s="12"/>
      <c r="D72" s="13"/>
      <c r="F72" s="14"/>
      <c r="G72" s="14"/>
      <c r="H72" s="14"/>
      <c r="I72" s="14"/>
      <c r="J72" s="14"/>
      <c r="K72" s="12"/>
    </row>
    <row r="73" ht="19.5" customHeight="1">
      <c r="A73" s="12"/>
      <c r="C73" s="12"/>
      <c r="D73" s="13"/>
      <c r="F73" s="14"/>
      <c r="G73" s="14"/>
      <c r="H73" s="14"/>
      <c r="I73" s="14"/>
      <c r="J73" s="14"/>
      <c r="K73" s="12"/>
    </row>
    <row r="74" ht="19.5" customHeight="1">
      <c r="A74" s="12"/>
      <c r="C74" s="12"/>
      <c r="D74" s="13"/>
      <c r="F74" s="14"/>
      <c r="G74" s="14"/>
      <c r="H74" s="14"/>
      <c r="I74" s="14"/>
      <c r="J74" s="14"/>
      <c r="K74" s="12"/>
    </row>
    <row r="75" ht="19.5" customHeight="1">
      <c r="A75" s="12"/>
      <c r="C75" s="12"/>
      <c r="D75" s="13"/>
      <c r="F75" s="14"/>
      <c r="G75" s="14"/>
      <c r="H75" s="14"/>
      <c r="I75" s="14"/>
      <c r="J75" s="14"/>
      <c r="K75" s="12"/>
    </row>
    <row r="76" ht="19.5" customHeight="1">
      <c r="A76" s="12"/>
      <c r="C76" s="12"/>
      <c r="D76" s="13"/>
      <c r="F76" s="14"/>
      <c r="G76" s="14"/>
      <c r="H76" s="14"/>
      <c r="I76" s="14"/>
      <c r="J76" s="14"/>
      <c r="K76" s="12"/>
    </row>
    <row r="77" ht="19.5" customHeight="1">
      <c r="A77" s="12"/>
      <c r="C77" s="12"/>
      <c r="D77" s="13"/>
      <c r="F77" s="14"/>
      <c r="G77" s="14"/>
      <c r="H77" s="14"/>
      <c r="I77" s="14"/>
      <c r="J77" s="14"/>
      <c r="K77" s="12"/>
    </row>
    <row r="78" ht="19.5" customHeight="1">
      <c r="A78" s="12"/>
      <c r="C78" s="12"/>
      <c r="D78" s="13"/>
      <c r="F78" s="14"/>
      <c r="G78" s="14"/>
      <c r="H78" s="14"/>
      <c r="I78" s="14"/>
      <c r="J78" s="14"/>
      <c r="K78" s="12"/>
    </row>
    <row r="79" ht="19.5" customHeight="1">
      <c r="A79" s="12"/>
      <c r="C79" s="12"/>
      <c r="D79" s="13"/>
      <c r="F79" s="14"/>
      <c r="G79" s="14"/>
      <c r="H79" s="14"/>
      <c r="I79" s="14"/>
      <c r="J79" s="14"/>
      <c r="K79" s="12"/>
    </row>
    <row r="80" ht="19.5" customHeight="1">
      <c r="A80" s="12"/>
      <c r="C80" s="12"/>
      <c r="D80" s="13"/>
      <c r="F80" s="14"/>
      <c r="G80" s="14"/>
      <c r="H80" s="14"/>
      <c r="I80" s="14"/>
      <c r="J80" s="14"/>
      <c r="K80" s="12"/>
    </row>
    <row r="81" ht="19.5" customHeight="1">
      <c r="A81" s="12"/>
      <c r="C81" s="12"/>
      <c r="D81" s="13"/>
      <c r="F81" s="14"/>
      <c r="G81" s="14"/>
      <c r="H81" s="14"/>
      <c r="I81" s="14"/>
      <c r="J81" s="14"/>
      <c r="K81" s="12"/>
    </row>
    <row r="82" ht="19.5" customHeight="1">
      <c r="A82" s="12"/>
      <c r="C82" s="12"/>
      <c r="D82" s="13"/>
      <c r="F82" s="14"/>
      <c r="G82" s="14"/>
      <c r="H82" s="14"/>
      <c r="I82" s="14"/>
      <c r="J82" s="14"/>
      <c r="K82" s="12"/>
    </row>
    <row r="83" ht="19.5" customHeight="1">
      <c r="A83" s="12"/>
      <c r="C83" s="12"/>
      <c r="D83" s="13"/>
      <c r="F83" s="14"/>
      <c r="G83" s="14"/>
      <c r="H83" s="14"/>
      <c r="I83" s="14"/>
      <c r="J83" s="14"/>
      <c r="K83" s="12"/>
    </row>
    <row r="84" ht="19.5" customHeight="1">
      <c r="A84" s="12"/>
      <c r="C84" s="12"/>
      <c r="D84" s="13"/>
      <c r="F84" s="14"/>
      <c r="G84" s="14"/>
      <c r="H84" s="14"/>
      <c r="I84" s="14"/>
      <c r="J84" s="14"/>
      <c r="K84" s="12"/>
    </row>
    <row r="85" ht="19.5" customHeight="1">
      <c r="A85" s="12"/>
      <c r="C85" s="12"/>
      <c r="D85" s="13"/>
      <c r="F85" s="14"/>
      <c r="G85" s="14"/>
      <c r="H85" s="14"/>
      <c r="I85" s="14"/>
      <c r="J85" s="14"/>
      <c r="K85" s="12"/>
    </row>
    <row r="86" ht="19.5" customHeight="1">
      <c r="A86" s="12"/>
      <c r="C86" s="12"/>
      <c r="D86" s="13"/>
      <c r="F86" s="14"/>
      <c r="G86" s="14"/>
      <c r="H86" s="14"/>
      <c r="I86" s="14"/>
      <c r="J86" s="14"/>
      <c r="K86" s="12"/>
    </row>
    <row r="87" ht="19.5" customHeight="1">
      <c r="A87" s="12"/>
      <c r="C87" s="12"/>
      <c r="D87" s="13"/>
      <c r="F87" s="14"/>
      <c r="G87" s="14"/>
      <c r="H87" s="14"/>
      <c r="I87" s="14"/>
      <c r="J87" s="14"/>
      <c r="K87" s="12"/>
    </row>
    <row r="88" ht="19.5" customHeight="1">
      <c r="A88" s="12"/>
      <c r="C88" s="12"/>
      <c r="D88" s="13"/>
      <c r="F88" s="14"/>
      <c r="G88" s="14"/>
      <c r="H88" s="14"/>
      <c r="I88" s="14"/>
      <c r="J88" s="14"/>
      <c r="K88" s="12"/>
    </row>
    <row r="89" ht="19.5" customHeight="1">
      <c r="A89" s="12"/>
      <c r="C89" s="12"/>
      <c r="D89" s="13"/>
      <c r="F89" s="14"/>
      <c r="G89" s="14"/>
      <c r="H89" s="14"/>
      <c r="I89" s="14"/>
      <c r="J89" s="14"/>
      <c r="K89" s="12"/>
    </row>
    <row r="90" ht="19.5" customHeight="1">
      <c r="A90" s="12"/>
      <c r="C90" s="12"/>
      <c r="D90" s="13"/>
      <c r="F90" s="14"/>
      <c r="G90" s="14"/>
      <c r="H90" s="14"/>
      <c r="I90" s="14"/>
      <c r="J90" s="14"/>
      <c r="K90" s="12"/>
    </row>
    <row r="91" ht="19.5" customHeight="1">
      <c r="A91" s="12"/>
      <c r="C91" s="12"/>
      <c r="D91" s="13"/>
      <c r="F91" s="14"/>
      <c r="G91" s="14"/>
      <c r="H91" s="14"/>
      <c r="I91" s="14"/>
      <c r="J91" s="14"/>
      <c r="K91" s="12"/>
    </row>
    <row r="92" ht="19.5" customHeight="1">
      <c r="A92" s="12"/>
      <c r="C92" s="12"/>
      <c r="D92" s="13"/>
      <c r="F92" s="14"/>
      <c r="G92" s="14"/>
      <c r="H92" s="14"/>
      <c r="I92" s="14"/>
      <c r="J92" s="14"/>
      <c r="K92" s="12"/>
    </row>
    <row r="93" ht="19.5" customHeight="1">
      <c r="A93" s="12"/>
      <c r="C93" s="12"/>
      <c r="D93" s="13"/>
      <c r="F93" s="14"/>
      <c r="G93" s="14"/>
      <c r="H93" s="14"/>
      <c r="I93" s="14"/>
      <c r="J93" s="14"/>
      <c r="K93" s="12"/>
    </row>
    <row r="94" ht="19.5" customHeight="1">
      <c r="A94" s="12"/>
      <c r="C94" s="12"/>
      <c r="D94" s="13"/>
      <c r="F94" s="14"/>
      <c r="G94" s="14"/>
      <c r="H94" s="14"/>
      <c r="I94" s="14"/>
      <c r="J94" s="14"/>
      <c r="K94" s="12"/>
    </row>
    <row r="95" ht="19.5" customHeight="1">
      <c r="A95" s="12"/>
      <c r="C95" s="12"/>
      <c r="D95" s="13"/>
      <c r="F95" s="14"/>
      <c r="G95" s="14"/>
      <c r="H95" s="14"/>
      <c r="I95" s="14"/>
      <c r="J95" s="14"/>
      <c r="K95" s="12"/>
    </row>
    <row r="96" ht="19.5" customHeight="1">
      <c r="A96" s="12"/>
      <c r="C96" s="12"/>
      <c r="D96" s="13"/>
      <c r="F96" s="14"/>
      <c r="G96" s="14"/>
      <c r="H96" s="14"/>
      <c r="I96" s="14"/>
      <c r="J96" s="14"/>
      <c r="K96" s="12"/>
    </row>
    <row r="97" ht="19.5" customHeight="1">
      <c r="A97" s="12"/>
      <c r="C97" s="12"/>
      <c r="D97" s="13"/>
      <c r="F97" s="14"/>
      <c r="G97" s="14"/>
      <c r="H97" s="14"/>
      <c r="I97" s="14"/>
      <c r="J97" s="14"/>
      <c r="K97" s="12"/>
    </row>
    <row r="98" ht="19.5" customHeight="1">
      <c r="A98" s="12"/>
      <c r="C98" s="12"/>
      <c r="D98" s="13"/>
      <c r="F98" s="14"/>
      <c r="G98" s="14"/>
      <c r="H98" s="14"/>
      <c r="I98" s="14"/>
      <c r="J98" s="14"/>
      <c r="K98" s="12"/>
    </row>
    <row r="99" ht="19.5" customHeight="1">
      <c r="A99" s="12"/>
      <c r="C99" s="12"/>
      <c r="D99" s="13"/>
      <c r="F99" s="14"/>
      <c r="G99" s="14"/>
      <c r="H99" s="14"/>
      <c r="I99" s="14"/>
      <c r="J99" s="14"/>
      <c r="K99" s="12"/>
    </row>
    <row r="100" ht="19.5" customHeight="1">
      <c r="A100" s="12"/>
      <c r="C100" s="12"/>
      <c r="D100" s="13"/>
      <c r="F100" s="14"/>
      <c r="G100" s="14"/>
      <c r="H100" s="14"/>
      <c r="I100" s="14"/>
      <c r="J100" s="14"/>
      <c r="K100" s="12"/>
    </row>
    <row r="101" ht="19.5" customHeight="1">
      <c r="A101" s="12"/>
      <c r="C101" s="12"/>
      <c r="D101" s="13"/>
      <c r="F101" s="14"/>
      <c r="G101" s="14"/>
      <c r="H101" s="14"/>
      <c r="I101" s="14"/>
      <c r="J101" s="14"/>
      <c r="K101" s="12"/>
    </row>
    <row r="102" ht="19.5" customHeight="1">
      <c r="A102" s="12"/>
      <c r="C102" s="12"/>
      <c r="D102" s="13"/>
      <c r="F102" s="14"/>
      <c r="G102" s="14"/>
      <c r="H102" s="14"/>
      <c r="I102" s="14"/>
      <c r="J102" s="14"/>
      <c r="K102" s="12"/>
    </row>
    <row r="103" ht="19.5" customHeight="1">
      <c r="A103" s="12"/>
      <c r="C103" s="12"/>
      <c r="D103" s="13"/>
      <c r="F103" s="14"/>
      <c r="G103" s="14"/>
      <c r="H103" s="14"/>
      <c r="I103" s="14"/>
      <c r="J103" s="14"/>
      <c r="K103" s="12"/>
    </row>
    <row r="104" ht="19.5" customHeight="1">
      <c r="A104" s="12"/>
      <c r="C104" s="12"/>
      <c r="D104" s="13"/>
      <c r="F104" s="14"/>
      <c r="G104" s="14"/>
      <c r="H104" s="14"/>
      <c r="I104" s="14"/>
      <c r="J104" s="14"/>
      <c r="K104" s="12"/>
    </row>
    <row r="105" ht="19.5" customHeight="1">
      <c r="A105" s="12"/>
      <c r="C105" s="12"/>
      <c r="D105" s="13"/>
      <c r="F105" s="14"/>
      <c r="G105" s="14"/>
      <c r="H105" s="14"/>
      <c r="I105" s="14"/>
      <c r="J105" s="14"/>
      <c r="K105" s="12"/>
    </row>
    <row r="106" ht="19.5" customHeight="1">
      <c r="A106" s="12"/>
      <c r="C106" s="12"/>
      <c r="D106" s="13"/>
      <c r="F106" s="14"/>
      <c r="G106" s="14"/>
      <c r="H106" s="14"/>
      <c r="I106" s="14"/>
      <c r="J106" s="14"/>
      <c r="K106" s="12"/>
    </row>
    <row r="107" ht="19.5" customHeight="1">
      <c r="A107" s="12"/>
      <c r="C107" s="12"/>
      <c r="D107" s="13"/>
      <c r="F107" s="14"/>
      <c r="G107" s="14"/>
      <c r="H107" s="14"/>
      <c r="I107" s="14"/>
      <c r="J107" s="14"/>
      <c r="K107" s="12"/>
    </row>
    <row r="108" ht="19.5" customHeight="1">
      <c r="A108" s="12"/>
      <c r="C108" s="12"/>
      <c r="D108" s="13"/>
      <c r="F108" s="14"/>
      <c r="G108" s="14"/>
      <c r="H108" s="14"/>
      <c r="I108" s="14"/>
      <c r="J108" s="14"/>
      <c r="K108" s="12"/>
    </row>
    <row r="109" ht="19.5" customHeight="1">
      <c r="A109" s="12"/>
      <c r="C109" s="12"/>
      <c r="D109" s="13"/>
      <c r="F109" s="14"/>
      <c r="G109" s="14"/>
      <c r="H109" s="14"/>
      <c r="I109" s="14"/>
      <c r="J109" s="14"/>
      <c r="K109" s="12"/>
    </row>
    <row r="110" ht="19.5" customHeight="1">
      <c r="A110" s="12"/>
      <c r="C110" s="12"/>
      <c r="D110" s="13"/>
      <c r="F110" s="14"/>
      <c r="G110" s="14"/>
      <c r="H110" s="14"/>
      <c r="I110" s="14"/>
      <c r="J110" s="14"/>
      <c r="K110" s="12"/>
    </row>
    <row r="111" ht="19.5" customHeight="1">
      <c r="A111" s="12"/>
      <c r="C111" s="12"/>
      <c r="D111" s="13"/>
      <c r="F111" s="14"/>
      <c r="G111" s="14"/>
      <c r="H111" s="14"/>
      <c r="I111" s="14"/>
      <c r="J111" s="14"/>
      <c r="K111" s="12"/>
    </row>
    <row r="112" ht="19.5" customHeight="1">
      <c r="A112" s="12"/>
      <c r="C112" s="12"/>
      <c r="D112" s="13"/>
      <c r="F112" s="14"/>
      <c r="G112" s="14"/>
      <c r="H112" s="14"/>
      <c r="I112" s="14"/>
      <c r="J112" s="14"/>
      <c r="K112" s="12"/>
    </row>
    <row r="113" ht="19.5" customHeight="1">
      <c r="A113" s="12"/>
      <c r="C113" s="12"/>
      <c r="D113" s="13"/>
      <c r="F113" s="14"/>
      <c r="G113" s="14"/>
      <c r="H113" s="14"/>
      <c r="I113" s="14"/>
      <c r="J113" s="14"/>
      <c r="K113" s="12"/>
    </row>
    <row r="114" ht="19.5" customHeight="1">
      <c r="A114" s="12"/>
      <c r="C114" s="12"/>
      <c r="D114" s="13"/>
      <c r="F114" s="14"/>
      <c r="G114" s="14"/>
      <c r="H114" s="14"/>
      <c r="I114" s="14"/>
      <c r="J114" s="14"/>
      <c r="K114" s="12"/>
    </row>
    <row r="115" ht="19.5" customHeight="1">
      <c r="A115" s="12"/>
      <c r="C115" s="12"/>
      <c r="D115" s="13"/>
      <c r="F115" s="14"/>
      <c r="G115" s="14"/>
      <c r="H115" s="14"/>
      <c r="I115" s="14"/>
      <c r="J115" s="14"/>
      <c r="K115" s="12"/>
    </row>
    <row r="116" ht="19.5" customHeight="1">
      <c r="A116" s="12"/>
      <c r="C116" s="12"/>
      <c r="D116" s="13"/>
      <c r="F116" s="14"/>
      <c r="G116" s="14"/>
      <c r="H116" s="14"/>
      <c r="I116" s="14"/>
      <c r="J116" s="14"/>
      <c r="K116" s="12"/>
    </row>
    <row r="117" ht="19.5" customHeight="1">
      <c r="A117" s="12"/>
      <c r="C117" s="12"/>
      <c r="D117" s="13"/>
      <c r="F117" s="14"/>
      <c r="G117" s="14"/>
      <c r="H117" s="14"/>
      <c r="I117" s="14"/>
      <c r="J117" s="14"/>
      <c r="K117" s="12"/>
    </row>
    <row r="118" ht="19.5" customHeight="1">
      <c r="A118" s="12"/>
      <c r="C118" s="12"/>
      <c r="D118" s="13"/>
      <c r="F118" s="14"/>
      <c r="G118" s="14"/>
      <c r="H118" s="14"/>
      <c r="I118" s="14"/>
      <c r="J118" s="14"/>
      <c r="K118" s="12"/>
    </row>
    <row r="119" ht="19.5" customHeight="1">
      <c r="A119" s="12"/>
      <c r="C119" s="12"/>
      <c r="D119" s="13"/>
      <c r="F119" s="14"/>
      <c r="G119" s="14"/>
      <c r="H119" s="14"/>
      <c r="I119" s="14"/>
      <c r="J119" s="14"/>
      <c r="K119" s="12"/>
    </row>
    <row r="120" ht="19.5" customHeight="1">
      <c r="A120" s="12"/>
      <c r="C120" s="12"/>
      <c r="D120" s="13"/>
      <c r="F120" s="14"/>
      <c r="G120" s="14"/>
      <c r="H120" s="14"/>
      <c r="I120" s="14"/>
      <c r="J120" s="14"/>
      <c r="K120" s="12"/>
    </row>
    <row r="121" ht="19.5" customHeight="1">
      <c r="A121" s="12"/>
      <c r="C121" s="12"/>
      <c r="D121" s="13"/>
      <c r="F121" s="14"/>
      <c r="G121" s="14"/>
      <c r="H121" s="14"/>
      <c r="I121" s="14"/>
      <c r="J121" s="14"/>
      <c r="K121" s="12"/>
    </row>
    <row r="122" ht="19.5" customHeight="1">
      <c r="A122" s="12"/>
      <c r="C122" s="12"/>
      <c r="D122" s="13"/>
      <c r="F122" s="14"/>
      <c r="G122" s="14"/>
      <c r="H122" s="14"/>
      <c r="I122" s="14"/>
      <c r="J122" s="14"/>
      <c r="K122" s="12"/>
    </row>
    <row r="123" ht="19.5" customHeight="1">
      <c r="A123" s="12"/>
      <c r="C123" s="12"/>
      <c r="D123" s="13"/>
      <c r="F123" s="14"/>
      <c r="G123" s="14"/>
      <c r="H123" s="14"/>
      <c r="I123" s="14"/>
      <c r="J123" s="14"/>
      <c r="K123" s="12"/>
    </row>
    <row r="124" ht="19.5" customHeight="1">
      <c r="A124" s="12"/>
      <c r="C124" s="12"/>
      <c r="D124" s="13"/>
      <c r="F124" s="14"/>
      <c r="G124" s="14"/>
      <c r="H124" s="14"/>
      <c r="I124" s="14"/>
      <c r="J124" s="14"/>
      <c r="K124" s="12"/>
    </row>
    <row r="125" ht="19.5" customHeight="1">
      <c r="A125" s="12"/>
      <c r="C125" s="12"/>
      <c r="D125" s="13"/>
      <c r="F125" s="14"/>
      <c r="G125" s="14"/>
      <c r="H125" s="14"/>
      <c r="I125" s="14"/>
      <c r="J125" s="14"/>
      <c r="K125" s="12"/>
    </row>
    <row r="126" ht="19.5" customHeight="1">
      <c r="A126" s="12"/>
      <c r="C126" s="12"/>
      <c r="D126" s="13"/>
      <c r="F126" s="14"/>
      <c r="G126" s="14"/>
      <c r="H126" s="14"/>
      <c r="I126" s="14"/>
      <c r="J126" s="14"/>
      <c r="K126" s="12"/>
    </row>
    <row r="127" ht="19.5" customHeight="1">
      <c r="A127" s="12"/>
      <c r="C127" s="12"/>
      <c r="D127" s="13"/>
      <c r="F127" s="14"/>
      <c r="G127" s="14"/>
      <c r="H127" s="14"/>
      <c r="I127" s="14"/>
      <c r="J127" s="14"/>
      <c r="K127" s="12"/>
    </row>
    <row r="128" ht="19.5" customHeight="1">
      <c r="A128" s="12"/>
      <c r="C128" s="12"/>
      <c r="D128" s="13"/>
      <c r="F128" s="14"/>
      <c r="G128" s="14"/>
      <c r="H128" s="14"/>
      <c r="I128" s="14"/>
      <c r="J128" s="14"/>
      <c r="K128" s="12"/>
    </row>
    <row r="129" ht="19.5" customHeight="1">
      <c r="A129" s="12"/>
      <c r="C129" s="12"/>
      <c r="D129" s="13"/>
      <c r="F129" s="14"/>
      <c r="G129" s="14"/>
      <c r="H129" s="14"/>
      <c r="I129" s="14"/>
      <c r="J129" s="14"/>
      <c r="K129" s="12"/>
    </row>
    <row r="130" ht="19.5" customHeight="1">
      <c r="A130" s="12"/>
      <c r="C130" s="12"/>
      <c r="D130" s="13"/>
      <c r="F130" s="14"/>
      <c r="G130" s="14"/>
      <c r="H130" s="14"/>
      <c r="I130" s="14"/>
      <c r="J130" s="14"/>
      <c r="K130" s="12"/>
    </row>
    <row r="131" ht="19.5" customHeight="1">
      <c r="A131" s="12"/>
      <c r="C131" s="12"/>
      <c r="D131" s="13"/>
      <c r="F131" s="14"/>
      <c r="G131" s="14"/>
      <c r="H131" s="14"/>
      <c r="I131" s="14"/>
      <c r="J131" s="14"/>
      <c r="K131" s="12"/>
    </row>
    <row r="132" ht="19.5" customHeight="1">
      <c r="A132" s="12"/>
      <c r="C132" s="12"/>
      <c r="D132" s="13"/>
      <c r="F132" s="14"/>
      <c r="G132" s="14"/>
      <c r="H132" s="14"/>
      <c r="I132" s="14"/>
      <c r="J132" s="14"/>
      <c r="K132" s="12"/>
    </row>
    <row r="133" ht="19.5" customHeight="1">
      <c r="A133" s="12"/>
      <c r="C133" s="12"/>
      <c r="D133" s="13"/>
      <c r="F133" s="14"/>
      <c r="G133" s="14"/>
      <c r="H133" s="14"/>
      <c r="I133" s="14"/>
      <c r="J133" s="14"/>
      <c r="K133" s="12"/>
    </row>
    <row r="134" ht="19.5" customHeight="1">
      <c r="A134" s="12"/>
      <c r="C134" s="12"/>
      <c r="D134" s="13"/>
      <c r="F134" s="14"/>
      <c r="G134" s="14"/>
      <c r="H134" s="14"/>
      <c r="I134" s="14"/>
      <c r="J134" s="14"/>
      <c r="K134" s="12"/>
    </row>
    <row r="135" ht="19.5" customHeight="1">
      <c r="A135" s="12"/>
      <c r="C135" s="12"/>
      <c r="D135" s="13"/>
      <c r="F135" s="14"/>
      <c r="G135" s="14"/>
      <c r="H135" s="14"/>
      <c r="I135" s="14"/>
      <c r="J135" s="14"/>
      <c r="K135" s="12"/>
    </row>
    <row r="136" ht="19.5" customHeight="1">
      <c r="A136" s="12"/>
      <c r="C136" s="12"/>
      <c r="D136" s="13"/>
      <c r="F136" s="14"/>
      <c r="G136" s="14"/>
      <c r="H136" s="14"/>
      <c r="I136" s="14"/>
      <c r="J136" s="14"/>
      <c r="K136" s="12"/>
    </row>
    <row r="137" ht="19.5" customHeight="1">
      <c r="A137" s="12"/>
      <c r="C137" s="12"/>
      <c r="D137" s="13"/>
      <c r="F137" s="14"/>
      <c r="G137" s="14"/>
      <c r="H137" s="14"/>
      <c r="I137" s="14"/>
      <c r="J137" s="14"/>
      <c r="K137" s="12"/>
    </row>
    <row r="138" ht="19.5" customHeight="1">
      <c r="A138" s="12"/>
      <c r="C138" s="12"/>
      <c r="D138" s="13"/>
      <c r="F138" s="14"/>
      <c r="G138" s="14"/>
      <c r="H138" s="14"/>
      <c r="I138" s="14"/>
      <c r="J138" s="14"/>
      <c r="K138" s="12"/>
    </row>
    <row r="139" ht="19.5" customHeight="1">
      <c r="A139" s="12"/>
      <c r="C139" s="12"/>
      <c r="D139" s="13"/>
      <c r="F139" s="14"/>
      <c r="G139" s="14"/>
      <c r="H139" s="14"/>
      <c r="I139" s="14"/>
      <c r="J139" s="14"/>
      <c r="K139" s="12"/>
    </row>
    <row r="140" ht="19.5" customHeight="1">
      <c r="A140" s="12"/>
      <c r="C140" s="12"/>
      <c r="D140" s="13"/>
      <c r="F140" s="14"/>
      <c r="G140" s="14"/>
      <c r="H140" s="14"/>
      <c r="I140" s="14"/>
      <c r="J140" s="14"/>
      <c r="K140" s="12"/>
    </row>
    <row r="141" ht="19.5" customHeight="1">
      <c r="A141" s="12"/>
      <c r="C141" s="12"/>
      <c r="D141" s="13"/>
      <c r="F141" s="14"/>
      <c r="G141" s="14"/>
      <c r="H141" s="14"/>
      <c r="I141" s="14"/>
      <c r="J141" s="14"/>
      <c r="K141" s="12"/>
    </row>
    <row r="142" ht="19.5" customHeight="1">
      <c r="A142" s="12"/>
      <c r="C142" s="12"/>
      <c r="D142" s="13"/>
      <c r="F142" s="14"/>
      <c r="G142" s="14"/>
      <c r="H142" s="14"/>
      <c r="I142" s="14"/>
      <c r="J142" s="14"/>
      <c r="K142" s="12"/>
    </row>
    <row r="143" ht="19.5" customHeight="1">
      <c r="A143" s="12"/>
      <c r="C143" s="12"/>
      <c r="D143" s="13"/>
      <c r="F143" s="14"/>
      <c r="G143" s="14"/>
      <c r="H143" s="14"/>
      <c r="I143" s="14"/>
      <c r="J143" s="14"/>
      <c r="K143" s="12"/>
    </row>
    <row r="144" ht="19.5" customHeight="1">
      <c r="A144" s="12"/>
      <c r="C144" s="12"/>
      <c r="D144" s="13"/>
      <c r="F144" s="14"/>
      <c r="G144" s="14"/>
      <c r="H144" s="14"/>
      <c r="I144" s="14"/>
      <c r="J144" s="14"/>
      <c r="K144" s="12"/>
    </row>
    <row r="145" ht="19.5" customHeight="1">
      <c r="A145" s="12"/>
      <c r="C145" s="12"/>
      <c r="D145" s="13"/>
      <c r="F145" s="14"/>
      <c r="G145" s="14"/>
      <c r="H145" s="14"/>
      <c r="I145" s="14"/>
      <c r="J145" s="14"/>
      <c r="K145" s="12"/>
    </row>
    <row r="146" ht="19.5" customHeight="1">
      <c r="A146" s="12"/>
      <c r="C146" s="12"/>
      <c r="D146" s="13"/>
      <c r="F146" s="14"/>
      <c r="G146" s="14"/>
      <c r="H146" s="14"/>
      <c r="I146" s="14"/>
      <c r="J146" s="14"/>
      <c r="K146" s="12"/>
    </row>
    <row r="147" ht="19.5" customHeight="1">
      <c r="A147" s="12"/>
      <c r="C147" s="12"/>
      <c r="D147" s="13"/>
      <c r="F147" s="14"/>
      <c r="G147" s="14"/>
      <c r="H147" s="14"/>
      <c r="I147" s="14"/>
      <c r="J147" s="14"/>
      <c r="K147" s="12"/>
    </row>
    <row r="148" ht="19.5" customHeight="1">
      <c r="A148" s="12"/>
      <c r="C148" s="12"/>
      <c r="D148" s="13"/>
      <c r="F148" s="14"/>
      <c r="G148" s="14"/>
      <c r="H148" s="14"/>
      <c r="I148" s="14"/>
      <c r="J148" s="14"/>
      <c r="K148" s="12"/>
    </row>
    <row r="149" ht="19.5" customHeight="1">
      <c r="A149" s="12"/>
      <c r="C149" s="12"/>
      <c r="D149" s="13"/>
      <c r="F149" s="14"/>
      <c r="G149" s="14"/>
      <c r="H149" s="14"/>
      <c r="I149" s="14"/>
      <c r="J149" s="14"/>
      <c r="K149" s="12"/>
    </row>
    <row r="150" ht="19.5" customHeight="1">
      <c r="A150" s="12"/>
      <c r="C150" s="12"/>
      <c r="D150" s="13"/>
      <c r="F150" s="14"/>
      <c r="G150" s="14"/>
      <c r="H150" s="14"/>
      <c r="I150" s="14"/>
      <c r="J150" s="14"/>
      <c r="K150" s="12"/>
    </row>
    <row r="151" ht="19.5" customHeight="1">
      <c r="A151" s="12"/>
      <c r="C151" s="12"/>
      <c r="D151" s="13"/>
      <c r="F151" s="14"/>
      <c r="G151" s="14"/>
      <c r="H151" s="14"/>
      <c r="I151" s="14"/>
      <c r="J151" s="14"/>
      <c r="K151" s="12"/>
    </row>
    <row r="152" ht="19.5" customHeight="1">
      <c r="A152" s="12"/>
      <c r="C152" s="12"/>
      <c r="D152" s="13"/>
      <c r="F152" s="14"/>
      <c r="G152" s="14"/>
      <c r="H152" s="14"/>
      <c r="I152" s="14"/>
      <c r="J152" s="14"/>
      <c r="K152" s="12"/>
    </row>
    <row r="153" ht="19.5" customHeight="1">
      <c r="A153" s="12"/>
      <c r="C153" s="12"/>
      <c r="D153" s="13"/>
      <c r="F153" s="14"/>
      <c r="G153" s="14"/>
      <c r="H153" s="14"/>
      <c r="I153" s="14"/>
      <c r="J153" s="14"/>
      <c r="K153" s="12"/>
    </row>
    <row r="154" ht="19.5" customHeight="1">
      <c r="A154" s="12"/>
      <c r="C154" s="12"/>
      <c r="D154" s="13"/>
      <c r="F154" s="14"/>
      <c r="G154" s="14"/>
      <c r="H154" s="14"/>
      <c r="I154" s="14"/>
      <c r="J154" s="14"/>
      <c r="K154" s="12"/>
    </row>
    <row r="155" ht="19.5" customHeight="1">
      <c r="A155" s="12"/>
      <c r="C155" s="12"/>
      <c r="D155" s="13"/>
      <c r="F155" s="14"/>
      <c r="G155" s="14"/>
      <c r="H155" s="14"/>
      <c r="I155" s="14"/>
      <c r="J155" s="14"/>
      <c r="K155" s="12"/>
    </row>
    <row r="156" ht="19.5" customHeight="1">
      <c r="A156" s="12"/>
      <c r="C156" s="12"/>
      <c r="D156" s="13"/>
      <c r="F156" s="14"/>
      <c r="G156" s="14"/>
      <c r="H156" s="14"/>
      <c r="I156" s="14"/>
      <c r="J156" s="14"/>
      <c r="K156" s="12"/>
    </row>
    <row r="157" ht="19.5" customHeight="1">
      <c r="A157" s="12"/>
      <c r="C157" s="12"/>
      <c r="D157" s="13"/>
      <c r="F157" s="14"/>
      <c r="G157" s="14"/>
      <c r="H157" s="14"/>
      <c r="I157" s="14"/>
      <c r="J157" s="14"/>
      <c r="K157" s="12"/>
    </row>
    <row r="158" ht="19.5" customHeight="1">
      <c r="A158" s="12"/>
      <c r="C158" s="12"/>
      <c r="D158" s="13"/>
      <c r="F158" s="14"/>
      <c r="G158" s="14"/>
      <c r="H158" s="14"/>
      <c r="I158" s="14"/>
      <c r="J158" s="14"/>
      <c r="K158" s="12"/>
    </row>
    <row r="159" ht="19.5" customHeight="1">
      <c r="A159" s="12"/>
      <c r="C159" s="12"/>
      <c r="D159" s="13"/>
      <c r="F159" s="14"/>
      <c r="G159" s="14"/>
      <c r="H159" s="14"/>
      <c r="I159" s="14"/>
      <c r="J159" s="14"/>
      <c r="K159" s="12"/>
    </row>
    <row r="160" ht="19.5" customHeight="1">
      <c r="A160" s="12"/>
      <c r="C160" s="12"/>
      <c r="D160" s="13"/>
      <c r="F160" s="14"/>
      <c r="G160" s="14"/>
      <c r="H160" s="14"/>
      <c r="I160" s="14"/>
      <c r="J160" s="14"/>
      <c r="K160" s="12"/>
    </row>
    <row r="161" ht="19.5" customHeight="1">
      <c r="A161" s="12"/>
      <c r="C161" s="12"/>
      <c r="D161" s="13"/>
      <c r="F161" s="14"/>
      <c r="G161" s="14"/>
      <c r="H161" s="14"/>
      <c r="I161" s="14"/>
      <c r="J161" s="14"/>
      <c r="K161" s="12"/>
    </row>
    <row r="162" ht="19.5" customHeight="1">
      <c r="A162" s="12"/>
      <c r="C162" s="12"/>
      <c r="D162" s="13"/>
      <c r="F162" s="14"/>
      <c r="G162" s="14"/>
      <c r="H162" s="14"/>
      <c r="I162" s="14"/>
      <c r="J162" s="14"/>
      <c r="K162" s="12"/>
    </row>
    <row r="163" ht="19.5" customHeight="1">
      <c r="A163" s="12"/>
      <c r="C163" s="12"/>
      <c r="D163" s="13"/>
      <c r="F163" s="14"/>
      <c r="G163" s="14"/>
      <c r="H163" s="14"/>
      <c r="I163" s="14"/>
      <c r="J163" s="14"/>
      <c r="K163" s="12"/>
    </row>
    <row r="164" ht="19.5" customHeight="1">
      <c r="A164" s="12"/>
      <c r="C164" s="12"/>
      <c r="D164" s="13"/>
      <c r="F164" s="14"/>
      <c r="G164" s="14"/>
      <c r="H164" s="14"/>
      <c r="I164" s="14"/>
      <c r="J164" s="14"/>
      <c r="K164" s="12"/>
    </row>
    <row r="165" ht="19.5" customHeight="1">
      <c r="A165" s="12"/>
      <c r="C165" s="12"/>
      <c r="D165" s="13"/>
      <c r="F165" s="14"/>
      <c r="G165" s="14"/>
      <c r="H165" s="14"/>
      <c r="I165" s="14"/>
      <c r="J165" s="14"/>
      <c r="K165" s="12"/>
    </row>
    <row r="166" ht="19.5" customHeight="1">
      <c r="A166" s="12"/>
      <c r="C166" s="12"/>
      <c r="D166" s="13"/>
      <c r="F166" s="14"/>
      <c r="G166" s="14"/>
      <c r="H166" s="14"/>
      <c r="I166" s="14"/>
      <c r="J166" s="14"/>
      <c r="K166" s="12"/>
    </row>
    <row r="167" ht="19.5" customHeight="1">
      <c r="A167" s="12"/>
      <c r="C167" s="12"/>
      <c r="D167" s="13"/>
      <c r="F167" s="14"/>
      <c r="G167" s="14"/>
      <c r="H167" s="14"/>
      <c r="I167" s="14"/>
      <c r="J167" s="14"/>
      <c r="K167" s="12"/>
    </row>
    <row r="168" ht="19.5" customHeight="1">
      <c r="A168" s="12"/>
      <c r="C168" s="12"/>
      <c r="D168" s="13"/>
      <c r="F168" s="14"/>
      <c r="G168" s="14"/>
      <c r="H168" s="14"/>
      <c r="I168" s="14"/>
      <c r="J168" s="14"/>
      <c r="K168" s="12"/>
    </row>
    <row r="169" ht="19.5" customHeight="1">
      <c r="A169" s="12"/>
      <c r="C169" s="12"/>
      <c r="D169" s="13"/>
      <c r="F169" s="14"/>
      <c r="G169" s="14"/>
      <c r="H169" s="14"/>
      <c r="I169" s="14"/>
      <c r="J169" s="14"/>
      <c r="K169" s="12"/>
    </row>
    <row r="170" ht="19.5" customHeight="1">
      <c r="A170" s="12"/>
      <c r="C170" s="12"/>
      <c r="D170" s="13"/>
      <c r="F170" s="14"/>
      <c r="G170" s="14"/>
      <c r="H170" s="14"/>
      <c r="I170" s="14"/>
      <c r="J170" s="14"/>
      <c r="K170" s="12"/>
    </row>
    <row r="171" ht="19.5" customHeight="1">
      <c r="A171" s="12"/>
      <c r="C171" s="12"/>
      <c r="D171" s="13"/>
      <c r="F171" s="14"/>
      <c r="G171" s="14"/>
      <c r="H171" s="14"/>
      <c r="I171" s="14"/>
      <c r="J171" s="14"/>
      <c r="K171" s="12"/>
    </row>
    <row r="172" ht="19.5" customHeight="1">
      <c r="A172" s="12"/>
      <c r="C172" s="12"/>
      <c r="D172" s="13"/>
      <c r="F172" s="14"/>
      <c r="G172" s="14"/>
      <c r="H172" s="14"/>
      <c r="I172" s="14"/>
      <c r="J172" s="14"/>
      <c r="K172" s="12"/>
    </row>
    <row r="173" ht="19.5" customHeight="1">
      <c r="A173" s="12"/>
      <c r="C173" s="12"/>
      <c r="D173" s="13"/>
      <c r="F173" s="14"/>
      <c r="G173" s="14"/>
      <c r="H173" s="14"/>
      <c r="I173" s="14"/>
      <c r="J173" s="14"/>
      <c r="K173" s="12"/>
    </row>
    <row r="174" ht="19.5" customHeight="1">
      <c r="A174" s="12"/>
      <c r="C174" s="12"/>
      <c r="D174" s="13"/>
      <c r="F174" s="14"/>
      <c r="G174" s="14"/>
      <c r="H174" s="14"/>
      <c r="I174" s="14"/>
      <c r="J174" s="14"/>
      <c r="K174" s="12"/>
    </row>
    <row r="175" ht="19.5" customHeight="1">
      <c r="A175" s="12"/>
      <c r="C175" s="12"/>
      <c r="D175" s="13"/>
      <c r="F175" s="14"/>
      <c r="G175" s="14"/>
      <c r="H175" s="14"/>
      <c r="I175" s="14"/>
      <c r="J175" s="14"/>
      <c r="K175" s="12"/>
    </row>
    <row r="176" ht="19.5" customHeight="1">
      <c r="A176" s="12"/>
      <c r="C176" s="12"/>
      <c r="D176" s="13"/>
      <c r="F176" s="14"/>
      <c r="G176" s="14"/>
      <c r="H176" s="14"/>
      <c r="I176" s="14"/>
      <c r="J176" s="14"/>
      <c r="K176" s="12"/>
    </row>
    <row r="177" ht="19.5" customHeight="1">
      <c r="A177" s="12"/>
      <c r="C177" s="12"/>
      <c r="D177" s="13"/>
      <c r="F177" s="14"/>
      <c r="G177" s="14"/>
      <c r="H177" s="14"/>
      <c r="I177" s="14"/>
      <c r="J177" s="14"/>
      <c r="K177" s="12"/>
    </row>
    <row r="178" ht="19.5" customHeight="1">
      <c r="A178" s="12"/>
      <c r="C178" s="12"/>
      <c r="D178" s="13"/>
      <c r="F178" s="14"/>
      <c r="G178" s="14"/>
      <c r="H178" s="14"/>
      <c r="I178" s="14"/>
      <c r="J178" s="14"/>
      <c r="K178" s="12"/>
    </row>
    <row r="179" ht="19.5" customHeight="1">
      <c r="A179" s="12"/>
      <c r="C179" s="12"/>
      <c r="D179" s="13"/>
      <c r="F179" s="14"/>
      <c r="G179" s="14"/>
      <c r="H179" s="14"/>
      <c r="I179" s="14"/>
      <c r="J179" s="14"/>
      <c r="K179" s="12"/>
    </row>
    <row r="180" ht="19.5" customHeight="1">
      <c r="A180" s="12"/>
      <c r="C180" s="12"/>
      <c r="D180" s="13"/>
      <c r="F180" s="14"/>
      <c r="G180" s="14"/>
      <c r="H180" s="14"/>
      <c r="I180" s="14"/>
      <c r="J180" s="14"/>
      <c r="K180" s="12"/>
    </row>
    <row r="181" ht="19.5" customHeight="1">
      <c r="A181" s="12"/>
      <c r="C181" s="12"/>
      <c r="D181" s="13"/>
      <c r="F181" s="14"/>
      <c r="G181" s="14"/>
      <c r="H181" s="14"/>
      <c r="I181" s="14"/>
      <c r="J181" s="14"/>
      <c r="K181" s="12"/>
    </row>
    <row r="182" ht="19.5" customHeight="1">
      <c r="A182" s="12"/>
      <c r="C182" s="12"/>
      <c r="D182" s="13"/>
      <c r="F182" s="14"/>
      <c r="G182" s="14"/>
      <c r="H182" s="14"/>
      <c r="I182" s="14"/>
      <c r="J182" s="14"/>
      <c r="K182" s="12"/>
    </row>
    <row r="183" ht="19.5" customHeight="1">
      <c r="A183" s="12"/>
      <c r="C183" s="12"/>
      <c r="D183" s="13"/>
      <c r="F183" s="14"/>
      <c r="G183" s="14"/>
      <c r="H183" s="14"/>
      <c r="I183" s="14"/>
      <c r="J183" s="14"/>
      <c r="K183" s="12"/>
    </row>
    <row r="184" ht="19.5" customHeight="1">
      <c r="A184" s="12"/>
      <c r="C184" s="12"/>
      <c r="D184" s="13"/>
      <c r="F184" s="14"/>
      <c r="G184" s="14"/>
      <c r="H184" s="14"/>
      <c r="I184" s="14"/>
      <c r="J184" s="14"/>
      <c r="K184" s="12"/>
    </row>
    <row r="185" ht="19.5" customHeight="1">
      <c r="A185" s="12"/>
      <c r="C185" s="12"/>
      <c r="D185" s="13"/>
      <c r="F185" s="14"/>
      <c r="G185" s="14"/>
      <c r="H185" s="14"/>
      <c r="I185" s="14"/>
      <c r="J185" s="14"/>
      <c r="K185" s="12"/>
    </row>
    <row r="186" ht="19.5" customHeight="1">
      <c r="A186" s="12"/>
      <c r="C186" s="12"/>
      <c r="D186" s="13"/>
      <c r="F186" s="14"/>
      <c r="G186" s="14"/>
      <c r="H186" s="14"/>
      <c r="I186" s="14"/>
      <c r="J186" s="14"/>
      <c r="K186" s="12"/>
    </row>
    <row r="187" ht="19.5" customHeight="1">
      <c r="A187" s="12"/>
      <c r="C187" s="12"/>
      <c r="D187" s="13"/>
      <c r="F187" s="14"/>
      <c r="G187" s="14"/>
      <c r="H187" s="14"/>
      <c r="I187" s="14"/>
      <c r="J187" s="14"/>
      <c r="K187" s="12"/>
    </row>
    <row r="188" ht="19.5" customHeight="1">
      <c r="A188" s="12"/>
      <c r="C188" s="12"/>
      <c r="D188" s="13"/>
      <c r="F188" s="14"/>
      <c r="G188" s="14"/>
      <c r="H188" s="14"/>
      <c r="I188" s="14"/>
      <c r="J188" s="14"/>
      <c r="K188" s="12"/>
    </row>
    <row r="189" ht="19.5" customHeight="1">
      <c r="A189" s="12"/>
      <c r="C189" s="12"/>
      <c r="D189" s="13"/>
      <c r="F189" s="14"/>
      <c r="G189" s="14"/>
      <c r="H189" s="14"/>
      <c r="I189" s="14"/>
      <c r="J189" s="14"/>
      <c r="K189" s="12"/>
    </row>
    <row r="190" ht="19.5" customHeight="1">
      <c r="A190" s="12"/>
      <c r="C190" s="12"/>
      <c r="D190" s="13"/>
      <c r="F190" s="14"/>
      <c r="G190" s="14"/>
      <c r="H190" s="14"/>
      <c r="I190" s="14"/>
      <c r="J190" s="14"/>
      <c r="K190" s="12"/>
    </row>
    <row r="191" ht="19.5" customHeight="1">
      <c r="A191" s="12"/>
      <c r="C191" s="12"/>
      <c r="D191" s="13"/>
      <c r="F191" s="14"/>
      <c r="G191" s="14"/>
      <c r="H191" s="14"/>
      <c r="I191" s="14"/>
      <c r="J191" s="14"/>
      <c r="K191" s="12"/>
    </row>
    <row r="192" ht="19.5" customHeight="1">
      <c r="A192" s="12"/>
      <c r="C192" s="12"/>
      <c r="D192" s="13"/>
      <c r="F192" s="14"/>
      <c r="G192" s="14"/>
      <c r="H192" s="14"/>
      <c r="I192" s="14"/>
      <c r="J192" s="14"/>
      <c r="K192" s="12"/>
    </row>
    <row r="193" ht="19.5" customHeight="1">
      <c r="A193" s="12"/>
      <c r="C193" s="12"/>
      <c r="D193" s="13"/>
      <c r="F193" s="14"/>
      <c r="G193" s="14"/>
      <c r="H193" s="14"/>
      <c r="I193" s="14"/>
      <c r="J193" s="14"/>
      <c r="K193" s="12"/>
    </row>
    <row r="194" ht="19.5" customHeight="1">
      <c r="A194" s="12"/>
      <c r="C194" s="12"/>
      <c r="D194" s="13"/>
      <c r="F194" s="14"/>
      <c r="G194" s="14"/>
      <c r="H194" s="14"/>
      <c r="I194" s="14"/>
      <c r="J194" s="14"/>
      <c r="K194" s="12"/>
    </row>
    <row r="195" ht="19.5" customHeight="1">
      <c r="A195" s="12"/>
      <c r="C195" s="12"/>
      <c r="D195" s="13"/>
      <c r="F195" s="14"/>
      <c r="G195" s="14"/>
      <c r="H195" s="14"/>
      <c r="I195" s="14"/>
      <c r="J195" s="14"/>
      <c r="K195" s="12"/>
    </row>
    <row r="196" ht="19.5" customHeight="1">
      <c r="A196" s="12"/>
      <c r="C196" s="12"/>
      <c r="D196" s="13"/>
      <c r="F196" s="14"/>
      <c r="G196" s="14"/>
      <c r="H196" s="14"/>
      <c r="I196" s="14"/>
      <c r="J196" s="14"/>
      <c r="K196" s="12"/>
    </row>
    <row r="197" ht="19.5" customHeight="1">
      <c r="A197" s="12"/>
      <c r="C197" s="12"/>
      <c r="D197" s="13"/>
      <c r="F197" s="14"/>
      <c r="G197" s="14"/>
      <c r="H197" s="14"/>
      <c r="I197" s="14"/>
      <c r="J197" s="14"/>
      <c r="K197" s="12"/>
    </row>
    <row r="198" ht="19.5" customHeight="1">
      <c r="A198" s="12"/>
      <c r="C198" s="12"/>
      <c r="D198" s="13"/>
      <c r="F198" s="14"/>
      <c r="G198" s="14"/>
      <c r="H198" s="14"/>
      <c r="I198" s="14"/>
      <c r="J198" s="14"/>
      <c r="K198" s="12"/>
    </row>
    <row r="199" ht="19.5" customHeight="1">
      <c r="A199" s="12"/>
      <c r="C199" s="12"/>
      <c r="D199" s="13"/>
      <c r="F199" s="14"/>
      <c r="G199" s="14"/>
      <c r="H199" s="14"/>
      <c r="I199" s="14"/>
      <c r="J199" s="14"/>
      <c r="K199" s="12"/>
    </row>
    <row r="200" ht="19.5" customHeight="1">
      <c r="A200" s="12"/>
      <c r="C200" s="12"/>
      <c r="D200" s="13"/>
      <c r="F200" s="14"/>
      <c r="G200" s="14"/>
      <c r="H200" s="14"/>
      <c r="I200" s="14"/>
      <c r="J200" s="14"/>
      <c r="K200" s="12"/>
    </row>
    <row r="201" ht="19.5" customHeight="1">
      <c r="A201" s="12"/>
      <c r="C201" s="12"/>
      <c r="D201" s="13"/>
      <c r="F201" s="14"/>
      <c r="G201" s="14"/>
      <c r="H201" s="14"/>
      <c r="I201" s="14"/>
      <c r="J201" s="14"/>
      <c r="K201" s="12"/>
    </row>
    <row r="202" ht="19.5" customHeight="1">
      <c r="A202" s="12"/>
      <c r="C202" s="12"/>
      <c r="D202" s="13"/>
      <c r="F202" s="14"/>
      <c r="G202" s="14"/>
      <c r="H202" s="14"/>
      <c r="I202" s="14"/>
      <c r="J202" s="14"/>
      <c r="K202" s="12"/>
    </row>
    <row r="203" ht="19.5" customHeight="1">
      <c r="A203" s="12"/>
      <c r="C203" s="12"/>
      <c r="D203" s="13"/>
      <c r="F203" s="14"/>
      <c r="G203" s="14"/>
      <c r="H203" s="14"/>
      <c r="I203" s="14"/>
      <c r="J203" s="14"/>
      <c r="K203" s="12"/>
    </row>
    <row r="204" ht="19.5" customHeight="1">
      <c r="A204" s="12"/>
      <c r="C204" s="12"/>
      <c r="D204" s="13"/>
      <c r="F204" s="14"/>
      <c r="G204" s="14"/>
      <c r="H204" s="14"/>
      <c r="I204" s="14"/>
      <c r="J204" s="14"/>
      <c r="K204" s="12"/>
    </row>
    <row r="205" ht="19.5" customHeight="1">
      <c r="A205" s="12"/>
      <c r="C205" s="12"/>
      <c r="D205" s="13"/>
      <c r="F205" s="14"/>
      <c r="G205" s="14"/>
      <c r="H205" s="14"/>
      <c r="I205" s="14"/>
      <c r="J205" s="14"/>
      <c r="K205" s="12"/>
    </row>
    <row r="206" ht="19.5" customHeight="1">
      <c r="A206" s="12"/>
      <c r="C206" s="12"/>
      <c r="D206" s="13"/>
      <c r="F206" s="14"/>
      <c r="G206" s="14"/>
      <c r="H206" s="14"/>
      <c r="I206" s="14"/>
      <c r="J206" s="14"/>
      <c r="K206" s="12"/>
    </row>
    <row r="207" ht="19.5" customHeight="1">
      <c r="A207" s="12"/>
      <c r="C207" s="12"/>
      <c r="D207" s="13"/>
      <c r="F207" s="14"/>
      <c r="G207" s="14"/>
      <c r="H207" s="14"/>
      <c r="I207" s="14"/>
      <c r="J207" s="14"/>
      <c r="K207" s="12"/>
    </row>
    <row r="208" ht="19.5" customHeight="1">
      <c r="A208" s="12"/>
      <c r="C208" s="12"/>
      <c r="D208" s="13"/>
      <c r="F208" s="14"/>
      <c r="G208" s="14"/>
      <c r="H208" s="14"/>
      <c r="I208" s="14"/>
      <c r="J208" s="14"/>
      <c r="K208" s="12"/>
    </row>
    <row r="209" ht="19.5" customHeight="1">
      <c r="A209" s="12"/>
      <c r="C209" s="12"/>
      <c r="D209" s="13"/>
      <c r="F209" s="14"/>
      <c r="G209" s="14"/>
      <c r="H209" s="14"/>
      <c r="I209" s="14"/>
      <c r="J209" s="14"/>
      <c r="K209" s="12"/>
    </row>
    <row r="210" ht="19.5" customHeight="1">
      <c r="A210" s="12"/>
      <c r="C210" s="12"/>
      <c r="D210" s="13"/>
      <c r="F210" s="14"/>
      <c r="G210" s="14"/>
      <c r="H210" s="14"/>
      <c r="I210" s="14"/>
      <c r="J210" s="14"/>
      <c r="K210" s="12"/>
    </row>
    <row r="211" ht="19.5" customHeight="1">
      <c r="A211" s="12"/>
      <c r="C211" s="12"/>
      <c r="D211" s="13"/>
      <c r="F211" s="14"/>
      <c r="G211" s="14"/>
      <c r="H211" s="14"/>
      <c r="I211" s="14"/>
      <c r="J211" s="14"/>
      <c r="K211" s="12"/>
    </row>
    <row r="212" ht="19.5" customHeight="1">
      <c r="A212" s="12"/>
      <c r="C212" s="12"/>
      <c r="D212" s="13"/>
      <c r="F212" s="14"/>
      <c r="G212" s="14"/>
      <c r="H212" s="14"/>
      <c r="I212" s="14"/>
      <c r="J212" s="14"/>
      <c r="K212" s="12"/>
    </row>
    <row r="213" ht="19.5" customHeight="1">
      <c r="A213" s="12"/>
      <c r="C213" s="12"/>
      <c r="D213" s="13"/>
      <c r="F213" s="14"/>
      <c r="G213" s="14"/>
      <c r="H213" s="14"/>
      <c r="I213" s="14"/>
      <c r="J213" s="14"/>
      <c r="K213" s="12"/>
    </row>
    <row r="214" ht="19.5" customHeight="1">
      <c r="A214" s="12"/>
      <c r="C214" s="12"/>
      <c r="D214" s="13"/>
      <c r="F214" s="14"/>
      <c r="G214" s="14"/>
      <c r="H214" s="14"/>
      <c r="I214" s="14"/>
      <c r="J214" s="14"/>
      <c r="K214" s="12"/>
    </row>
    <row r="215" ht="19.5" customHeight="1">
      <c r="A215" s="12"/>
      <c r="C215" s="12"/>
      <c r="D215" s="13"/>
      <c r="F215" s="14"/>
      <c r="G215" s="14"/>
      <c r="H215" s="14"/>
      <c r="I215" s="14"/>
      <c r="J215" s="14"/>
      <c r="K215" s="12"/>
    </row>
    <row r="216" ht="19.5" customHeight="1">
      <c r="A216" s="12"/>
      <c r="C216" s="12"/>
      <c r="D216" s="13"/>
      <c r="F216" s="14"/>
      <c r="G216" s="14"/>
      <c r="H216" s="14"/>
      <c r="I216" s="14"/>
      <c r="J216" s="14"/>
      <c r="K216" s="12"/>
    </row>
    <row r="217" ht="19.5" customHeight="1">
      <c r="A217" s="12"/>
      <c r="C217" s="12"/>
      <c r="D217" s="13"/>
      <c r="F217" s="14"/>
      <c r="G217" s="14"/>
      <c r="H217" s="14"/>
      <c r="I217" s="14"/>
      <c r="J217" s="14"/>
      <c r="K217" s="12"/>
    </row>
    <row r="218" ht="19.5" customHeight="1">
      <c r="A218" s="12"/>
      <c r="C218" s="12"/>
      <c r="D218" s="13"/>
      <c r="F218" s="14"/>
      <c r="G218" s="14"/>
      <c r="H218" s="14"/>
      <c r="I218" s="14"/>
      <c r="J218" s="14"/>
      <c r="K218" s="12"/>
    </row>
    <row r="219" ht="19.5" customHeight="1">
      <c r="A219" s="12"/>
      <c r="C219" s="12"/>
      <c r="D219" s="13"/>
      <c r="F219" s="14"/>
      <c r="G219" s="14"/>
      <c r="H219" s="14"/>
      <c r="I219" s="14"/>
      <c r="J219" s="14"/>
      <c r="K219" s="12"/>
    </row>
    <row r="220" ht="19.5" customHeight="1">
      <c r="A220" s="12"/>
      <c r="C220" s="12"/>
      <c r="D220" s="13"/>
      <c r="F220" s="14"/>
      <c r="G220" s="14"/>
      <c r="H220" s="14"/>
      <c r="I220" s="14"/>
      <c r="J220" s="14"/>
      <c r="K220" s="12"/>
    </row>
    <row r="221" ht="19.5" customHeight="1">
      <c r="A221" s="12"/>
      <c r="C221" s="12"/>
      <c r="D221" s="13"/>
      <c r="F221" s="14"/>
      <c r="G221" s="14"/>
      <c r="H221" s="14"/>
      <c r="I221" s="14"/>
      <c r="J221" s="14"/>
      <c r="K221" s="12"/>
    </row>
    <row r="222" ht="19.5" customHeight="1">
      <c r="A222" s="12"/>
      <c r="C222" s="12"/>
      <c r="D222" s="13"/>
      <c r="F222" s="14"/>
      <c r="G222" s="14"/>
      <c r="H222" s="14"/>
      <c r="I222" s="14"/>
      <c r="J222" s="14"/>
      <c r="K222" s="12"/>
    </row>
    <row r="223" ht="19.5" customHeight="1">
      <c r="A223" s="12"/>
      <c r="C223" s="12"/>
      <c r="D223" s="13"/>
      <c r="F223" s="14"/>
      <c r="G223" s="14"/>
      <c r="H223" s="14"/>
      <c r="I223" s="14"/>
      <c r="J223" s="14"/>
      <c r="K223" s="12"/>
    </row>
    <row r="224" ht="19.5" customHeight="1">
      <c r="A224" s="12"/>
      <c r="C224" s="12"/>
      <c r="D224" s="13"/>
      <c r="F224" s="14"/>
      <c r="G224" s="14"/>
      <c r="H224" s="14"/>
      <c r="I224" s="14"/>
      <c r="J224" s="14"/>
      <c r="K224" s="12"/>
    </row>
    <row r="225" ht="19.5" customHeight="1">
      <c r="A225" s="12"/>
      <c r="C225" s="12"/>
      <c r="D225" s="13"/>
      <c r="F225" s="14"/>
      <c r="G225" s="14"/>
      <c r="H225" s="14"/>
      <c r="I225" s="14"/>
      <c r="J225" s="14"/>
      <c r="K225" s="12"/>
    </row>
    <row r="226" ht="19.5" customHeight="1">
      <c r="A226" s="12"/>
      <c r="C226" s="12"/>
      <c r="D226" s="13"/>
      <c r="F226" s="14"/>
      <c r="G226" s="14"/>
      <c r="H226" s="14"/>
      <c r="I226" s="14"/>
      <c r="J226" s="14"/>
      <c r="K226" s="12"/>
    </row>
    <row r="227" ht="19.5" customHeight="1">
      <c r="A227" s="12"/>
      <c r="C227" s="12"/>
      <c r="D227" s="13"/>
      <c r="F227" s="14"/>
      <c r="G227" s="14"/>
      <c r="H227" s="14"/>
      <c r="I227" s="14"/>
      <c r="J227" s="14"/>
      <c r="K227" s="12"/>
    </row>
    <row r="228" ht="19.5" customHeight="1">
      <c r="A228" s="12"/>
      <c r="C228" s="12"/>
      <c r="D228" s="13"/>
      <c r="F228" s="14"/>
      <c r="G228" s="14"/>
      <c r="H228" s="14"/>
      <c r="I228" s="14"/>
      <c r="J228" s="14"/>
      <c r="K228" s="12"/>
    </row>
    <row r="229" ht="19.5" customHeight="1">
      <c r="A229" s="12"/>
      <c r="C229" s="12"/>
      <c r="D229" s="13"/>
      <c r="F229" s="14"/>
      <c r="G229" s="14"/>
      <c r="H229" s="14"/>
      <c r="I229" s="14"/>
      <c r="J229" s="14"/>
      <c r="K229" s="12"/>
    </row>
    <row r="230" ht="19.5" customHeight="1">
      <c r="A230" s="12"/>
      <c r="C230" s="12"/>
      <c r="D230" s="13"/>
      <c r="F230" s="14"/>
      <c r="G230" s="14"/>
      <c r="H230" s="14"/>
      <c r="I230" s="14"/>
      <c r="J230" s="14"/>
      <c r="K230" s="12"/>
    </row>
    <row r="231" ht="19.5" customHeight="1">
      <c r="A231" s="12"/>
      <c r="C231" s="12"/>
      <c r="D231" s="13"/>
      <c r="F231" s="14"/>
      <c r="G231" s="14"/>
      <c r="H231" s="14"/>
      <c r="I231" s="14"/>
      <c r="J231" s="14"/>
      <c r="K231" s="12"/>
    </row>
    <row r="232" ht="19.5" customHeight="1">
      <c r="A232" s="12"/>
      <c r="C232" s="12"/>
      <c r="D232" s="13"/>
      <c r="F232" s="14"/>
      <c r="G232" s="14"/>
      <c r="H232" s="14"/>
      <c r="I232" s="14"/>
      <c r="J232" s="14"/>
      <c r="K232" s="12"/>
    </row>
    <row r="233" ht="19.5" customHeight="1">
      <c r="A233" s="12"/>
      <c r="C233" s="12"/>
      <c r="D233" s="13"/>
      <c r="F233" s="14"/>
      <c r="G233" s="14"/>
      <c r="H233" s="14"/>
      <c r="I233" s="14"/>
      <c r="J233" s="14"/>
      <c r="K233" s="12"/>
    </row>
    <row r="234" ht="19.5" customHeight="1">
      <c r="A234" s="12"/>
      <c r="C234" s="12"/>
      <c r="D234" s="13"/>
      <c r="F234" s="14"/>
      <c r="G234" s="14"/>
      <c r="H234" s="14"/>
      <c r="I234" s="14"/>
      <c r="J234" s="14"/>
      <c r="K234" s="12"/>
    </row>
    <row r="235" ht="19.5" customHeight="1">
      <c r="A235" s="12"/>
      <c r="C235" s="12"/>
      <c r="D235" s="13"/>
      <c r="F235" s="14"/>
      <c r="G235" s="14"/>
      <c r="H235" s="14"/>
      <c r="I235" s="14"/>
      <c r="J235" s="14"/>
      <c r="K235" s="12"/>
    </row>
    <row r="236" ht="19.5" customHeight="1">
      <c r="A236" s="12"/>
      <c r="C236" s="12"/>
      <c r="D236" s="13"/>
      <c r="F236" s="14"/>
      <c r="G236" s="14"/>
      <c r="H236" s="14"/>
      <c r="I236" s="14"/>
      <c r="J236" s="14"/>
      <c r="K236" s="12"/>
    </row>
    <row r="237" ht="19.5" customHeight="1">
      <c r="A237" s="12"/>
      <c r="C237" s="12"/>
      <c r="D237" s="13"/>
      <c r="F237" s="14"/>
      <c r="G237" s="14"/>
      <c r="H237" s="14"/>
      <c r="I237" s="14"/>
      <c r="J237" s="14"/>
      <c r="K237" s="12"/>
    </row>
    <row r="238" ht="19.5" customHeight="1">
      <c r="A238" s="12"/>
      <c r="C238" s="12"/>
      <c r="D238" s="13"/>
      <c r="F238" s="14"/>
      <c r="G238" s="14"/>
      <c r="H238" s="14"/>
      <c r="I238" s="14"/>
      <c r="J238" s="14"/>
      <c r="K238" s="12"/>
    </row>
    <row r="239" ht="19.5" customHeight="1">
      <c r="A239" s="12"/>
      <c r="C239" s="12"/>
      <c r="D239" s="13"/>
      <c r="F239" s="14"/>
      <c r="G239" s="14"/>
      <c r="H239" s="14"/>
      <c r="I239" s="14"/>
      <c r="J239" s="14"/>
      <c r="K239" s="12"/>
    </row>
    <row r="240" ht="19.5" customHeight="1">
      <c r="A240" s="12"/>
      <c r="C240" s="12"/>
      <c r="D240" s="13"/>
      <c r="F240" s="14"/>
      <c r="G240" s="14"/>
      <c r="H240" s="14"/>
      <c r="I240" s="14"/>
      <c r="J240" s="14"/>
      <c r="K240" s="12"/>
    </row>
    <row r="241" ht="19.5" customHeight="1">
      <c r="A241" s="12"/>
      <c r="C241" s="12"/>
      <c r="D241" s="13"/>
      <c r="F241" s="14"/>
      <c r="G241" s="14"/>
      <c r="H241" s="14"/>
      <c r="I241" s="14"/>
      <c r="J241" s="14"/>
      <c r="K241" s="12"/>
    </row>
    <row r="242" ht="19.5" customHeight="1">
      <c r="A242" s="12"/>
      <c r="C242" s="12"/>
      <c r="D242" s="13"/>
      <c r="F242" s="14"/>
      <c r="G242" s="14"/>
      <c r="H242" s="14"/>
      <c r="I242" s="14"/>
      <c r="J242" s="14"/>
      <c r="K242" s="12"/>
    </row>
    <row r="243" ht="19.5" customHeight="1">
      <c r="A243" s="12"/>
      <c r="C243" s="12"/>
      <c r="D243" s="13"/>
      <c r="F243" s="14"/>
      <c r="G243" s="14"/>
      <c r="H243" s="14"/>
      <c r="I243" s="14"/>
      <c r="J243" s="14"/>
      <c r="K243" s="12"/>
    </row>
    <row r="244" ht="19.5" customHeight="1">
      <c r="A244" s="12"/>
      <c r="C244" s="12"/>
      <c r="D244" s="13"/>
      <c r="F244" s="14"/>
      <c r="G244" s="14"/>
      <c r="H244" s="14"/>
      <c r="I244" s="14"/>
      <c r="J244" s="14"/>
      <c r="K244" s="12"/>
    </row>
    <row r="245" ht="19.5" customHeight="1">
      <c r="A245" s="12"/>
      <c r="C245" s="12"/>
      <c r="D245" s="13"/>
      <c r="F245" s="14"/>
      <c r="G245" s="14"/>
      <c r="H245" s="14"/>
      <c r="I245" s="14"/>
      <c r="J245" s="14"/>
      <c r="K245" s="12"/>
    </row>
    <row r="246" ht="19.5" customHeight="1">
      <c r="A246" s="12"/>
      <c r="C246" s="12"/>
      <c r="D246" s="13"/>
      <c r="F246" s="14"/>
      <c r="G246" s="14"/>
      <c r="H246" s="14"/>
      <c r="I246" s="14"/>
      <c r="J246" s="14"/>
      <c r="K246" s="12"/>
    </row>
    <row r="247" ht="19.5" customHeight="1">
      <c r="A247" s="12"/>
      <c r="C247" s="12"/>
      <c r="D247" s="13"/>
      <c r="F247" s="14"/>
      <c r="G247" s="14"/>
      <c r="H247" s="14"/>
      <c r="I247" s="14"/>
      <c r="J247" s="14"/>
      <c r="K247" s="12"/>
    </row>
    <row r="248" ht="19.5" customHeight="1">
      <c r="A248" s="12"/>
      <c r="C248" s="12"/>
      <c r="D248" s="13"/>
      <c r="F248" s="14"/>
      <c r="G248" s="14"/>
      <c r="H248" s="14"/>
      <c r="I248" s="14"/>
      <c r="J248" s="14"/>
      <c r="K248" s="12"/>
    </row>
    <row r="249" ht="19.5" customHeight="1">
      <c r="A249" s="12"/>
      <c r="C249" s="12"/>
      <c r="D249" s="13"/>
      <c r="F249" s="14"/>
      <c r="G249" s="14"/>
      <c r="H249" s="14"/>
      <c r="I249" s="14"/>
      <c r="J249" s="14"/>
      <c r="K249" s="12"/>
    </row>
    <row r="250" ht="19.5" customHeight="1">
      <c r="A250" s="12"/>
      <c r="C250" s="12"/>
      <c r="D250" s="13"/>
      <c r="F250" s="14"/>
      <c r="G250" s="14"/>
      <c r="H250" s="14"/>
      <c r="I250" s="14"/>
      <c r="J250" s="14"/>
      <c r="K250" s="12"/>
    </row>
    <row r="251" ht="19.5" customHeight="1">
      <c r="A251" s="12"/>
      <c r="C251" s="12"/>
      <c r="D251" s="13"/>
      <c r="F251" s="14"/>
      <c r="G251" s="14"/>
      <c r="H251" s="14"/>
      <c r="I251" s="14"/>
      <c r="J251" s="14"/>
      <c r="K251" s="12"/>
    </row>
    <row r="252" ht="19.5" customHeight="1">
      <c r="A252" s="12"/>
      <c r="C252" s="12"/>
      <c r="D252" s="13"/>
      <c r="F252" s="14"/>
      <c r="G252" s="14"/>
      <c r="H252" s="14"/>
      <c r="I252" s="14"/>
      <c r="J252" s="14"/>
      <c r="K252" s="12"/>
    </row>
    <row r="253" ht="19.5" customHeight="1">
      <c r="A253" s="12"/>
      <c r="C253" s="12"/>
      <c r="D253" s="13"/>
      <c r="F253" s="14"/>
      <c r="G253" s="14"/>
      <c r="H253" s="14"/>
      <c r="I253" s="14"/>
      <c r="J253" s="14"/>
      <c r="K253" s="12"/>
    </row>
    <row r="254" ht="19.5" customHeight="1">
      <c r="A254" s="12"/>
      <c r="C254" s="12"/>
      <c r="D254" s="13"/>
      <c r="F254" s="14"/>
      <c r="G254" s="14"/>
      <c r="H254" s="14"/>
      <c r="I254" s="14"/>
      <c r="J254" s="14"/>
      <c r="K254" s="12"/>
    </row>
    <row r="255" ht="19.5" customHeight="1">
      <c r="A255" s="12"/>
      <c r="C255" s="12"/>
      <c r="D255" s="13"/>
      <c r="F255" s="14"/>
      <c r="G255" s="14"/>
      <c r="H255" s="14"/>
      <c r="I255" s="14"/>
      <c r="J255" s="14"/>
      <c r="K255" s="12"/>
    </row>
    <row r="256" ht="19.5" customHeight="1">
      <c r="A256" s="12"/>
      <c r="C256" s="12"/>
      <c r="D256" s="13"/>
      <c r="F256" s="14"/>
      <c r="G256" s="14"/>
      <c r="H256" s="14"/>
      <c r="I256" s="14"/>
      <c r="J256" s="14"/>
      <c r="K256" s="12"/>
    </row>
    <row r="257" ht="19.5" customHeight="1">
      <c r="A257" s="12"/>
      <c r="C257" s="12"/>
      <c r="D257" s="13"/>
      <c r="F257" s="14"/>
      <c r="G257" s="14"/>
      <c r="H257" s="14"/>
      <c r="I257" s="14"/>
      <c r="J257" s="14"/>
      <c r="K257" s="12"/>
    </row>
    <row r="258" ht="19.5" customHeight="1">
      <c r="A258" s="12"/>
      <c r="C258" s="12"/>
      <c r="D258" s="13"/>
      <c r="F258" s="14"/>
      <c r="G258" s="14"/>
      <c r="H258" s="14"/>
      <c r="I258" s="14"/>
      <c r="J258" s="14"/>
      <c r="K258" s="12"/>
    </row>
    <row r="259" ht="19.5" customHeight="1">
      <c r="A259" s="12"/>
      <c r="C259" s="12"/>
      <c r="D259" s="13"/>
      <c r="F259" s="14"/>
      <c r="G259" s="14"/>
      <c r="H259" s="14"/>
      <c r="I259" s="14"/>
      <c r="J259" s="14"/>
      <c r="K259" s="12"/>
    </row>
    <row r="260" ht="19.5" customHeight="1">
      <c r="A260" s="12"/>
      <c r="C260" s="12"/>
      <c r="D260" s="13"/>
      <c r="F260" s="14"/>
      <c r="G260" s="14"/>
      <c r="H260" s="14"/>
      <c r="I260" s="14"/>
      <c r="J260" s="14"/>
      <c r="K260" s="12"/>
    </row>
    <row r="261" ht="19.5" customHeight="1">
      <c r="A261" s="12"/>
      <c r="C261" s="12"/>
      <c r="D261" s="13"/>
      <c r="F261" s="14"/>
      <c r="G261" s="14"/>
      <c r="H261" s="14"/>
      <c r="I261" s="14"/>
      <c r="J261" s="14"/>
      <c r="K261" s="12"/>
    </row>
    <row r="262" ht="19.5" customHeight="1">
      <c r="A262" s="12"/>
      <c r="C262" s="12"/>
      <c r="D262" s="13"/>
      <c r="F262" s="14"/>
      <c r="G262" s="14"/>
      <c r="H262" s="14"/>
      <c r="I262" s="14"/>
      <c r="J262" s="14"/>
      <c r="K262" s="12"/>
    </row>
    <row r="263" ht="19.5" customHeight="1">
      <c r="A263" s="12"/>
      <c r="C263" s="12"/>
      <c r="D263" s="13"/>
      <c r="F263" s="14"/>
      <c r="G263" s="14"/>
      <c r="H263" s="14"/>
      <c r="I263" s="14"/>
      <c r="J263" s="14"/>
      <c r="K263" s="12"/>
    </row>
    <row r="264" ht="19.5" customHeight="1">
      <c r="A264" s="12"/>
      <c r="C264" s="12"/>
      <c r="D264" s="13"/>
      <c r="F264" s="14"/>
      <c r="G264" s="14"/>
      <c r="H264" s="14"/>
      <c r="I264" s="14"/>
      <c r="J264" s="14"/>
      <c r="K264" s="12"/>
    </row>
    <row r="265" ht="19.5" customHeight="1">
      <c r="A265" s="12"/>
      <c r="C265" s="12"/>
      <c r="D265" s="13"/>
      <c r="F265" s="14"/>
      <c r="G265" s="14"/>
      <c r="H265" s="14"/>
      <c r="I265" s="14"/>
      <c r="J265" s="14"/>
      <c r="K265" s="12"/>
    </row>
    <row r="266" ht="19.5" customHeight="1">
      <c r="A266" s="12"/>
      <c r="C266" s="12"/>
      <c r="D266" s="13"/>
      <c r="F266" s="14"/>
      <c r="G266" s="14"/>
      <c r="H266" s="14"/>
      <c r="I266" s="14"/>
      <c r="J266" s="14"/>
      <c r="K266" s="12"/>
    </row>
    <row r="267" ht="19.5" customHeight="1">
      <c r="A267" s="12"/>
      <c r="C267" s="12"/>
      <c r="D267" s="13"/>
      <c r="F267" s="14"/>
      <c r="G267" s="14"/>
      <c r="H267" s="14"/>
      <c r="I267" s="14"/>
      <c r="J267" s="14"/>
      <c r="K267" s="12"/>
    </row>
    <row r="268" ht="19.5" customHeight="1">
      <c r="A268" s="12"/>
      <c r="C268" s="12"/>
      <c r="D268" s="13"/>
      <c r="F268" s="14"/>
      <c r="G268" s="14"/>
      <c r="H268" s="14"/>
      <c r="I268" s="14"/>
      <c r="J268" s="14"/>
      <c r="K268" s="12"/>
    </row>
    <row r="269" ht="19.5" customHeight="1">
      <c r="A269" s="12"/>
      <c r="C269" s="12"/>
      <c r="D269" s="13"/>
      <c r="F269" s="14"/>
      <c r="G269" s="14"/>
      <c r="H269" s="14"/>
      <c r="I269" s="14"/>
      <c r="J269" s="14"/>
      <c r="K269" s="12"/>
    </row>
    <row r="270" ht="19.5" customHeight="1">
      <c r="A270" s="12"/>
      <c r="C270" s="12"/>
      <c r="D270" s="13"/>
      <c r="F270" s="14"/>
      <c r="G270" s="14"/>
      <c r="H270" s="14"/>
      <c r="I270" s="14"/>
      <c r="J270" s="14"/>
      <c r="K270" s="12"/>
    </row>
    <row r="271" ht="19.5" customHeight="1">
      <c r="A271" s="12"/>
      <c r="C271" s="12"/>
      <c r="D271" s="13"/>
      <c r="F271" s="14"/>
      <c r="G271" s="14"/>
      <c r="H271" s="14"/>
      <c r="I271" s="14"/>
      <c r="J271" s="14"/>
      <c r="K271" s="12"/>
    </row>
    <row r="272" ht="19.5" customHeight="1">
      <c r="A272" s="12"/>
      <c r="C272" s="12"/>
      <c r="D272" s="13"/>
      <c r="F272" s="14"/>
      <c r="G272" s="14"/>
      <c r="H272" s="14"/>
      <c r="I272" s="14"/>
      <c r="J272" s="14"/>
      <c r="K272" s="12"/>
    </row>
    <row r="273" ht="19.5" customHeight="1">
      <c r="A273" s="12"/>
      <c r="C273" s="12"/>
      <c r="D273" s="13"/>
      <c r="F273" s="14"/>
      <c r="G273" s="14"/>
      <c r="H273" s="14"/>
      <c r="I273" s="14"/>
      <c r="J273" s="14"/>
      <c r="K273" s="12"/>
    </row>
    <row r="274" ht="19.5" customHeight="1">
      <c r="A274" s="12"/>
      <c r="C274" s="12"/>
      <c r="D274" s="13"/>
      <c r="F274" s="14"/>
      <c r="G274" s="14"/>
      <c r="H274" s="14"/>
      <c r="I274" s="14"/>
      <c r="J274" s="14"/>
      <c r="K274" s="12"/>
    </row>
    <row r="275" ht="19.5" customHeight="1">
      <c r="A275" s="12"/>
      <c r="C275" s="12"/>
      <c r="D275" s="13"/>
      <c r="F275" s="14"/>
      <c r="G275" s="14"/>
      <c r="H275" s="14"/>
      <c r="I275" s="14"/>
      <c r="J275" s="14"/>
      <c r="K275" s="12"/>
    </row>
    <row r="276" ht="19.5" customHeight="1">
      <c r="A276" s="12"/>
      <c r="C276" s="12"/>
      <c r="D276" s="13"/>
      <c r="F276" s="14"/>
      <c r="G276" s="14"/>
      <c r="H276" s="14"/>
      <c r="I276" s="14"/>
      <c r="J276" s="14"/>
      <c r="K276" s="12"/>
    </row>
    <row r="277" ht="19.5" customHeight="1">
      <c r="A277" s="12"/>
      <c r="C277" s="12"/>
      <c r="D277" s="13"/>
      <c r="F277" s="14"/>
      <c r="G277" s="14"/>
      <c r="H277" s="14"/>
      <c r="I277" s="14"/>
      <c r="J277" s="14"/>
      <c r="K277" s="12"/>
    </row>
    <row r="278" ht="19.5" customHeight="1">
      <c r="A278" s="12"/>
      <c r="C278" s="12"/>
      <c r="D278" s="13"/>
      <c r="F278" s="14"/>
      <c r="G278" s="14"/>
      <c r="H278" s="14"/>
      <c r="I278" s="14"/>
      <c r="J278" s="14"/>
      <c r="K278" s="12"/>
    </row>
    <row r="279" ht="19.5" customHeight="1">
      <c r="A279" s="12"/>
      <c r="C279" s="12"/>
      <c r="D279" s="13"/>
      <c r="F279" s="14"/>
      <c r="G279" s="14"/>
      <c r="H279" s="14"/>
      <c r="I279" s="14"/>
      <c r="J279" s="14"/>
      <c r="K279" s="12"/>
    </row>
    <row r="280" ht="19.5" customHeight="1">
      <c r="A280" s="12"/>
      <c r="C280" s="12"/>
      <c r="D280" s="13"/>
      <c r="F280" s="14"/>
      <c r="G280" s="14"/>
      <c r="H280" s="14"/>
      <c r="I280" s="14"/>
      <c r="J280" s="14"/>
      <c r="K280" s="12"/>
    </row>
    <row r="281" ht="19.5" customHeight="1">
      <c r="A281" s="12"/>
      <c r="C281" s="12"/>
      <c r="D281" s="13"/>
      <c r="F281" s="14"/>
      <c r="G281" s="14"/>
      <c r="H281" s="14"/>
      <c r="I281" s="14"/>
      <c r="J281" s="14"/>
      <c r="K281" s="12"/>
    </row>
    <row r="282" ht="19.5" customHeight="1">
      <c r="A282" s="12"/>
      <c r="C282" s="12"/>
      <c r="D282" s="13"/>
      <c r="F282" s="14"/>
      <c r="G282" s="14"/>
      <c r="H282" s="14"/>
      <c r="I282" s="14"/>
      <c r="J282" s="14"/>
      <c r="K282" s="12"/>
    </row>
    <row r="283" ht="19.5" customHeight="1">
      <c r="A283" s="12"/>
      <c r="C283" s="12"/>
      <c r="D283" s="13"/>
      <c r="F283" s="14"/>
      <c r="G283" s="14"/>
      <c r="H283" s="14"/>
      <c r="I283" s="14"/>
      <c r="J283" s="14"/>
      <c r="K283" s="12"/>
    </row>
    <row r="284" ht="19.5" customHeight="1">
      <c r="A284" s="12"/>
      <c r="C284" s="12"/>
      <c r="D284" s="13"/>
      <c r="F284" s="14"/>
      <c r="G284" s="14"/>
      <c r="H284" s="14"/>
      <c r="I284" s="14"/>
      <c r="J284" s="14"/>
      <c r="K284" s="12"/>
    </row>
    <row r="285" ht="19.5" customHeight="1">
      <c r="A285" s="12"/>
      <c r="C285" s="12"/>
      <c r="D285" s="13"/>
      <c r="F285" s="14"/>
      <c r="G285" s="14"/>
      <c r="H285" s="14"/>
      <c r="I285" s="14"/>
      <c r="J285" s="14"/>
      <c r="K285" s="12"/>
    </row>
    <row r="286" ht="19.5" customHeight="1">
      <c r="A286" s="12"/>
      <c r="C286" s="12"/>
      <c r="D286" s="13"/>
      <c r="F286" s="14"/>
      <c r="G286" s="14"/>
      <c r="H286" s="14"/>
      <c r="I286" s="14"/>
      <c r="J286" s="14"/>
      <c r="K286" s="12"/>
    </row>
    <row r="287" ht="19.5" customHeight="1">
      <c r="A287" s="12"/>
      <c r="C287" s="12"/>
      <c r="D287" s="13"/>
      <c r="F287" s="14"/>
      <c r="G287" s="14"/>
      <c r="H287" s="14"/>
      <c r="I287" s="14"/>
      <c r="J287" s="14"/>
      <c r="K287" s="12"/>
    </row>
    <row r="288" ht="19.5" customHeight="1">
      <c r="A288" s="12"/>
      <c r="C288" s="12"/>
      <c r="D288" s="13"/>
      <c r="F288" s="14"/>
      <c r="G288" s="14"/>
      <c r="H288" s="14"/>
      <c r="I288" s="14"/>
      <c r="J288" s="14"/>
      <c r="K288" s="12"/>
    </row>
    <row r="289" ht="19.5" customHeight="1">
      <c r="A289" s="12"/>
      <c r="C289" s="12"/>
      <c r="D289" s="13"/>
      <c r="F289" s="14"/>
      <c r="G289" s="14"/>
      <c r="H289" s="14"/>
      <c r="I289" s="14"/>
      <c r="J289" s="14"/>
      <c r="K289" s="12"/>
    </row>
    <row r="290" ht="19.5" customHeight="1">
      <c r="A290" s="12"/>
      <c r="C290" s="12"/>
      <c r="D290" s="13"/>
      <c r="F290" s="14"/>
      <c r="G290" s="14"/>
      <c r="H290" s="14"/>
      <c r="I290" s="14"/>
      <c r="J290" s="14"/>
      <c r="K290" s="12"/>
    </row>
    <row r="291" ht="19.5" customHeight="1">
      <c r="A291" s="12"/>
      <c r="C291" s="12"/>
      <c r="D291" s="13"/>
      <c r="F291" s="14"/>
      <c r="G291" s="14"/>
      <c r="H291" s="14"/>
      <c r="I291" s="14"/>
      <c r="J291" s="14"/>
      <c r="K291" s="12"/>
    </row>
    <row r="292" ht="19.5" customHeight="1">
      <c r="A292" s="12"/>
      <c r="C292" s="12"/>
      <c r="D292" s="13"/>
      <c r="F292" s="14"/>
      <c r="G292" s="14"/>
      <c r="H292" s="14"/>
      <c r="I292" s="14"/>
      <c r="J292" s="14"/>
      <c r="K292" s="12"/>
    </row>
    <row r="293" ht="19.5" customHeight="1">
      <c r="A293" s="12"/>
      <c r="C293" s="12"/>
      <c r="D293" s="13"/>
      <c r="F293" s="14"/>
      <c r="G293" s="14"/>
      <c r="H293" s="14"/>
      <c r="I293" s="14"/>
      <c r="J293" s="14"/>
      <c r="K293" s="12"/>
    </row>
    <row r="294" ht="19.5" customHeight="1">
      <c r="A294" s="12"/>
      <c r="C294" s="12"/>
      <c r="D294" s="13"/>
      <c r="F294" s="14"/>
      <c r="G294" s="14"/>
      <c r="H294" s="14"/>
      <c r="I294" s="14"/>
      <c r="J294" s="14"/>
      <c r="K294" s="12"/>
    </row>
    <row r="295" ht="19.5" customHeight="1">
      <c r="A295" s="12"/>
      <c r="C295" s="12"/>
      <c r="D295" s="13"/>
      <c r="F295" s="14"/>
      <c r="G295" s="14"/>
      <c r="H295" s="14"/>
      <c r="I295" s="14"/>
      <c r="J295" s="14"/>
      <c r="K295" s="12"/>
    </row>
    <row r="296" ht="19.5" customHeight="1">
      <c r="A296" s="12"/>
      <c r="C296" s="12"/>
      <c r="D296" s="13"/>
      <c r="F296" s="14"/>
      <c r="G296" s="14"/>
      <c r="H296" s="14"/>
      <c r="I296" s="14"/>
      <c r="J296" s="14"/>
      <c r="K296" s="12"/>
    </row>
    <row r="297" ht="19.5" customHeight="1">
      <c r="A297" s="12"/>
      <c r="C297" s="12"/>
      <c r="D297" s="13"/>
      <c r="F297" s="14"/>
      <c r="G297" s="14"/>
      <c r="H297" s="14"/>
      <c r="I297" s="14"/>
      <c r="J297" s="14"/>
      <c r="K297" s="12"/>
    </row>
    <row r="298" ht="19.5" customHeight="1">
      <c r="A298" s="12"/>
      <c r="C298" s="12"/>
      <c r="D298" s="13"/>
      <c r="F298" s="14"/>
      <c r="G298" s="14"/>
      <c r="H298" s="14"/>
      <c r="I298" s="14"/>
      <c r="J298" s="14"/>
      <c r="K298" s="12"/>
    </row>
    <row r="299" ht="19.5" customHeight="1">
      <c r="A299" s="12"/>
      <c r="C299" s="12"/>
      <c r="D299" s="13"/>
      <c r="F299" s="14"/>
      <c r="G299" s="14"/>
      <c r="H299" s="14"/>
      <c r="I299" s="14"/>
      <c r="J299" s="14"/>
      <c r="K299" s="12"/>
    </row>
    <row r="300" ht="19.5" customHeight="1">
      <c r="A300" s="12"/>
      <c r="C300" s="12"/>
      <c r="D300" s="13"/>
      <c r="F300" s="14"/>
      <c r="G300" s="14"/>
      <c r="H300" s="14"/>
      <c r="I300" s="14"/>
      <c r="J300" s="14"/>
      <c r="K300" s="12"/>
    </row>
    <row r="301" ht="19.5" customHeight="1">
      <c r="A301" s="12"/>
      <c r="C301" s="12"/>
      <c r="D301" s="13"/>
      <c r="F301" s="14"/>
      <c r="G301" s="14"/>
      <c r="H301" s="14"/>
      <c r="I301" s="14"/>
      <c r="J301" s="14"/>
      <c r="K301" s="12"/>
    </row>
    <row r="302" ht="19.5" customHeight="1">
      <c r="A302" s="12"/>
      <c r="C302" s="12"/>
      <c r="D302" s="13"/>
      <c r="F302" s="14"/>
      <c r="G302" s="14"/>
      <c r="H302" s="14"/>
      <c r="I302" s="14"/>
      <c r="J302" s="14"/>
      <c r="K302" s="12"/>
    </row>
    <row r="303" ht="19.5" customHeight="1">
      <c r="A303" s="12"/>
      <c r="C303" s="12"/>
      <c r="D303" s="13"/>
      <c r="F303" s="14"/>
      <c r="G303" s="14"/>
      <c r="H303" s="14"/>
      <c r="I303" s="14"/>
      <c r="J303" s="14"/>
      <c r="K303" s="12"/>
    </row>
    <row r="304" ht="19.5" customHeight="1">
      <c r="A304" s="12"/>
      <c r="C304" s="12"/>
      <c r="D304" s="13"/>
      <c r="F304" s="14"/>
      <c r="G304" s="14"/>
      <c r="H304" s="14"/>
      <c r="I304" s="14"/>
      <c r="J304" s="14"/>
      <c r="K304" s="12"/>
    </row>
    <row r="305" ht="19.5" customHeight="1">
      <c r="A305" s="12"/>
      <c r="C305" s="12"/>
      <c r="D305" s="13"/>
      <c r="F305" s="14"/>
      <c r="G305" s="14"/>
      <c r="H305" s="14"/>
      <c r="I305" s="14"/>
      <c r="J305" s="14"/>
      <c r="K305" s="12"/>
    </row>
    <row r="306" ht="19.5" customHeight="1">
      <c r="A306" s="12"/>
      <c r="C306" s="12"/>
      <c r="D306" s="13"/>
      <c r="F306" s="14"/>
      <c r="G306" s="14"/>
      <c r="H306" s="14"/>
      <c r="I306" s="14"/>
      <c r="J306" s="14"/>
      <c r="K306" s="12"/>
    </row>
    <row r="307" ht="19.5" customHeight="1">
      <c r="A307" s="12"/>
      <c r="C307" s="12"/>
      <c r="D307" s="13"/>
      <c r="F307" s="14"/>
      <c r="G307" s="14"/>
      <c r="H307" s="14"/>
      <c r="I307" s="14"/>
      <c r="J307" s="14"/>
      <c r="K307" s="12"/>
    </row>
    <row r="308" ht="19.5" customHeight="1">
      <c r="A308" s="12"/>
      <c r="C308" s="12"/>
      <c r="D308" s="13"/>
      <c r="F308" s="14"/>
      <c r="G308" s="14"/>
      <c r="H308" s="14"/>
      <c r="I308" s="14"/>
      <c r="J308" s="14"/>
      <c r="K308" s="12"/>
    </row>
    <row r="309" ht="19.5" customHeight="1">
      <c r="A309" s="12"/>
      <c r="C309" s="12"/>
      <c r="D309" s="13"/>
      <c r="F309" s="14"/>
      <c r="G309" s="14"/>
      <c r="H309" s="14"/>
      <c r="I309" s="14"/>
      <c r="J309" s="14"/>
      <c r="K309" s="12"/>
    </row>
    <row r="310" ht="19.5" customHeight="1">
      <c r="A310" s="12"/>
      <c r="C310" s="12"/>
      <c r="D310" s="13"/>
      <c r="F310" s="14"/>
      <c r="G310" s="14"/>
      <c r="H310" s="14"/>
      <c r="I310" s="14"/>
      <c r="J310" s="14"/>
      <c r="K310" s="12"/>
    </row>
    <row r="311" ht="19.5" customHeight="1">
      <c r="A311" s="12"/>
      <c r="C311" s="12"/>
      <c r="D311" s="13"/>
      <c r="F311" s="14"/>
      <c r="G311" s="14"/>
      <c r="H311" s="14"/>
      <c r="I311" s="14"/>
      <c r="J311" s="14"/>
      <c r="K311" s="12"/>
    </row>
    <row r="312" ht="19.5" customHeight="1">
      <c r="A312" s="12"/>
      <c r="C312" s="12"/>
      <c r="D312" s="13"/>
      <c r="F312" s="14"/>
      <c r="G312" s="14"/>
      <c r="H312" s="14"/>
      <c r="I312" s="14"/>
      <c r="J312" s="14"/>
      <c r="K312" s="12"/>
    </row>
    <row r="313" ht="19.5" customHeight="1">
      <c r="A313" s="12"/>
      <c r="C313" s="12"/>
      <c r="D313" s="13"/>
      <c r="F313" s="14"/>
      <c r="G313" s="14"/>
      <c r="H313" s="14"/>
      <c r="I313" s="14"/>
      <c r="J313" s="14"/>
      <c r="K313" s="12"/>
    </row>
    <row r="314" ht="19.5" customHeight="1">
      <c r="A314" s="12"/>
      <c r="C314" s="12"/>
      <c r="D314" s="13"/>
      <c r="F314" s="14"/>
      <c r="G314" s="14"/>
      <c r="H314" s="14"/>
      <c r="I314" s="14"/>
      <c r="J314" s="14"/>
      <c r="K314" s="12"/>
    </row>
    <row r="315" ht="19.5" customHeight="1">
      <c r="A315" s="12"/>
      <c r="C315" s="12"/>
      <c r="D315" s="13"/>
      <c r="F315" s="14"/>
      <c r="G315" s="14"/>
      <c r="H315" s="14"/>
      <c r="I315" s="14"/>
      <c r="J315" s="14"/>
      <c r="K315" s="12"/>
    </row>
    <row r="316" ht="19.5" customHeight="1">
      <c r="A316" s="12"/>
      <c r="C316" s="12"/>
      <c r="D316" s="13"/>
      <c r="F316" s="14"/>
      <c r="G316" s="14"/>
      <c r="H316" s="14"/>
      <c r="I316" s="14"/>
      <c r="J316" s="14"/>
      <c r="K316" s="12"/>
    </row>
    <row r="317" ht="19.5" customHeight="1">
      <c r="A317" s="12"/>
      <c r="C317" s="12"/>
      <c r="D317" s="13"/>
      <c r="F317" s="14"/>
      <c r="G317" s="14"/>
      <c r="H317" s="14"/>
      <c r="I317" s="14"/>
      <c r="J317" s="14"/>
      <c r="K317" s="12"/>
    </row>
    <row r="318" ht="19.5" customHeight="1">
      <c r="A318" s="12"/>
      <c r="C318" s="12"/>
      <c r="D318" s="13"/>
      <c r="F318" s="14"/>
      <c r="G318" s="14"/>
      <c r="H318" s="14"/>
      <c r="I318" s="14"/>
      <c r="J318" s="14"/>
      <c r="K318" s="12"/>
    </row>
    <row r="319" ht="19.5" customHeight="1">
      <c r="A319" s="12"/>
      <c r="C319" s="12"/>
      <c r="D319" s="13"/>
      <c r="F319" s="14"/>
      <c r="G319" s="14"/>
      <c r="H319" s="14"/>
      <c r="I319" s="14"/>
      <c r="J319" s="14"/>
      <c r="K319" s="12"/>
    </row>
    <row r="320" ht="19.5" customHeight="1">
      <c r="A320" s="12"/>
      <c r="C320" s="12"/>
      <c r="D320" s="13"/>
      <c r="F320" s="14"/>
      <c r="G320" s="14"/>
      <c r="H320" s="14"/>
      <c r="I320" s="14"/>
      <c r="J320" s="14"/>
      <c r="K320" s="12"/>
    </row>
    <row r="321" ht="19.5" customHeight="1">
      <c r="A321" s="12"/>
      <c r="C321" s="12"/>
      <c r="D321" s="13"/>
      <c r="F321" s="14"/>
      <c r="G321" s="14"/>
      <c r="H321" s="14"/>
      <c r="I321" s="14"/>
      <c r="J321" s="14"/>
      <c r="K321" s="12"/>
    </row>
    <row r="322" ht="19.5" customHeight="1">
      <c r="A322" s="12"/>
      <c r="C322" s="12"/>
      <c r="D322" s="13"/>
      <c r="F322" s="14"/>
      <c r="G322" s="14"/>
      <c r="H322" s="14"/>
      <c r="I322" s="14"/>
      <c r="J322" s="14"/>
      <c r="K322" s="12"/>
    </row>
    <row r="323" ht="19.5" customHeight="1">
      <c r="A323" s="12"/>
      <c r="C323" s="12"/>
      <c r="D323" s="13"/>
      <c r="F323" s="14"/>
      <c r="G323" s="14"/>
      <c r="H323" s="14"/>
      <c r="I323" s="14"/>
      <c r="J323" s="14"/>
      <c r="K323" s="12"/>
    </row>
    <row r="324" ht="19.5" customHeight="1">
      <c r="A324" s="12"/>
      <c r="C324" s="12"/>
      <c r="D324" s="13"/>
      <c r="F324" s="14"/>
      <c r="G324" s="14"/>
      <c r="H324" s="14"/>
      <c r="I324" s="14"/>
      <c r="J324" s="14"/>
      <c r="K324" s="12"/>
    </row>
    <row r="325" ht="19.5" customHeight="1">
      <c r="A325" s="12"/>
      <c r="C325" s="12"/>
      <c r="D325" s="13"/>
      <c r="F325" s="14"/>
      <c r="G325" s="14"/>
      <c r="H325" s="14"/>
      <c r="I325" s="14"/>
      <c r="J325" s="14"/>
      <c r="K325" s="12"/>
    </row>
    <row r="326" ht="19.5" customHeight="1">
      <c r="A326" s="12"/>
      <c r="C326" s="12"/>
      <c r="D326" s="13"/>
      <c r="F326" s="14"/>
      <c r="G326" s="14"/>
      <c r="H326" s="14"/>
      <c r="I326" s="14"/>
      <c r="J326" s="14"/>
      <c r="K326" s="12"/>
    </row>
    <row r="327" ht="19.5" customHeight="1">
      <c r="A327" s="12"/>
      <c r="C327" s="12"/>
      <c r="D327" s="13"/>
      <c r="F327" s="14"/>
      <c r="G327" s="14"/>
      <c r="H327" s="14"/>
      <c r="I327" s="14"/>
      <c r="J327" s="14"/>
      <c r="K327" s="12"/>
    </row>
    <row r="328" ht="19.5" customHeight="1">
      <c r="A328" s="12"/>
      <c r="C328" s="12"/>
      <c r="D328" s="13"/>
      <c r="F328" s="14"/>
      <c r="G328" s="14"/>
      <c r="H328" s="14"/>
      <c r="I328" s="14"/>
      <c r="J328" s="14"/>
      <c r="K328" s="12"/>
    </row>
    <row r="329" ht="19.5" customHeight="1">
      <c r="A329" s="12"/>
      <c r="C329" s="12"/>
      <c r="D329" s="13"/>
      <c r="F329" s="14"/>
      <c r="G329" s="14"/>
      <c r="H329" s="14"/>
      <c r="I329" s="14"/>
      <c r="J329" s="14"/>
      <c r="K329" s="12"/>
    </row>
    <row r="330" ht="19.5" customHeight="1">
      <c r="A330" s="12"/>
      <c r="C330" s="12"/>
      <c r="D330" s="13"/>
      <c r="F330" s="14"/>
      <c r="G330" s="14"/>
      <c r="H330" s="14"/>
      <c r="I330" s="14"/>
      <c r="J330" s="14"/>
      <c r="K330" s="12"/>
    </row>
    <row r="331" ht="19.5" customHeight="1">
      <c r="A331" s="12"/>
      <c r="C331" s="12"/>
      <c r="D331" s="13"/>
      <c r="F331" s="14"/>
      <c r="G331" s="14"/>
      <c r="H331" s="14"/>
      <c r="I331" s="14"/>
      <c r="J331" s="14"/>
      <c r="K331" s="12"/>
    </row>
    <row r="332" ht="19.5" customHeight="1">
      <c r="A332" s="12"/>
      <c r="C332" s="12"/>
      <c r="D332" s="13"/>
      <c r="F332" s="14"/>
      <c r="G332" s="14"/>
      <c r="H332" s="14"/>
      <c r="I332" s="14"/>
      <c r="J332" s="14"/>
      <c r="K332" s="12"/>
    </row>
    <row r="333" ht="19.5" customHeight="1">
      <c r="A333" s="12"/>
      <c r="C333" s="12"/>
      <c r="D333" s="13"/>
      <c r="F333" s="14"/>
      <c r="G333" s="14"/>
      <c r="H333" s="14"/>
      <c r="I333" s="14"/>
      <c r="J333" s="14"/>
      <c r="K333" s="12"/>
    </row>
    <row r="334" ht="19.5" customHeight="1">
      <c r="A334" s="12"/>
      <c r="C334" s="12"/>
      <c r="D334" s="13"/>
      <c r="F334" s="14"/>
      <c r="G334" s="14"/>
      <c r="H334" s="14"/>
      <c r="I334" s="14"/>
      <c r="J334" s="14"/>
      <c r="K334" s="12"/>
    </row>
    <row r="335" ht="19.5" customHeight="1">
      <c r="A335" s="12"/>
      <c r="C335" s="12"/>
      <c r="D335" s="13"/>
      <c r="F335" s="14"/>
      <c r="G335" s="14"/>
      <c r="H335" s="14"/>
      <c r="I335" s="14"/>
      <c r="J335" s="14"/>
      <c r="K335" s="12"/>
    </row>
    <row r="336" ht="19.5" customHeight="1">
      <c r="A336" s="12"/>
      <c r="C336" s="12"/>
      <c r="D336" s="13"/>
      <c r="F336" s="14"/>
      <c r="G336" s="14"/>
      <c r="H336" s="14"/>
      <c r="I336" s="14"/>
      <c r="J336" s="14"/>
      <c r="K336" s="12"/>
    </row>
    <row r="337" ht="19.5" customHeight="1">
      <c r="A337" s="12"/>
      <c r="C337" s="12"/>
      <c r="D337" s="13"/>
      <c r="F337" s="14"/>
      <c r="G337" s="14"/>
      <c r="H337" s="14"/>
      <c r="I337" s="14"/>
      <c r="J337" s="14"/>
      <c r="K337" s="12"/>
    </row>
    <row r="338" ht="19.5" customHeight="1">
      <c r="A338" s="12"/>
      <c r="C338" s="12"/>
      <c r="D338" s="13"/>
      <c r="F338" s="14"/>
      <c r="G338" s="14"/>
      <c r="H338" s="14"/>
      <c r="I338" s="14"/>
      <c r="J338" s="14"/>
      <c r="K338" s="12"/>
    </row>
    <row r="339" ht="19.5" customHeight="1">
      <c r="A339" s="12"/>
      <c r="C339" s="12"/>
      <c r="D339" s="13"/>
      <c r="F339" s="14"/>
      <c r="G339" s="14"/>
      <c r="H339" s="14"/>
      <c r="I339" s="14"/>
      <c r="J339" s="14"/>
      <c r="K339" s="12"/>
    </row>
    <row r="340" ht="19.5" customHeight="1">
      <c r="A340" s="12"/>
      <c r="C340" s="12"/>
      <c r="D340" s="13"/>
      <c r="F340" s="14"/>
      <c r="G340" s="14"/>
      <c r="H340" s="14"/>
      <c r="I340" s="14"/>
      <c r="J340" s="14"/>
      <c r="K340" s="12"/>
    </row>
    <row r="341" ht="19.5" customHeight="1">
      <c r="A341" s="12"/>
      <c r="C341" s="12"/>
      <c r="D341" s="13"/>
      <c r="F341" s="14"/>
      <c r="G341" s="14"/>
      <c r="H341" s="14"/>
      <c r="I341" s="14"/>
      <c r="J341" s="14"/>
      <c r="K341" s="12"/>
    </row>
    <row r="342" ht="19.5" customHeight="1">
      <c r="A342" s="12"/>
      <c r="C342" s="12"/>
      <c r="D342" s="13"/>
      <c r="F342" s="14"/>
      <c r="G342" s="14"/>
      <c r="H342" s="14"/>
      <c r="I342" s="14"/>
      <c r="J342" s="14"/>
      <c r="K342" s="12"/>
    </row>
    <row r="343" ht="19.5" customHeight="1">
      <c r="A343" s="12"/>
      <c r="C343" s="12"/>
      <c r="D343" s="13"/>
      <c r="F343" s="14"/>
      <c r="G343" s="14"/>
      <c r="H343" s="14"/>
      <c r="I343" s="14"/>
      <c r="J343" s="14"/>
      <c r="K343" s="12"/>
    </row>
    <row r="344" ht="19.5" customHeight="1">
      <c r="A344" s="12"/>
      <c r="C344" s="12"/>
      <c r="D344" s="13"/>
      <c r="F344" s="14"/>
      <c r="G344" s="14"/>
      <c r="H344" s="14"/>
      <c r="I344" s="14"/>
      <c r="J344" s="14"/>
      <c r="K344" s="12"/>
    </row>
    <row r="345" ht="19.5" customHeight="1">
      <c r="A345" s="12"/>
      <c r="C345" s="12"/>
      <c r="D345" s="13"/>
      <c r="F345" s="14"/>
      <c r="G345" s="14"/>
      <c r="H345" s="14"/>
      <c r="I345" s="14"/>
      <c r="J345" s="14"/>
      <c r="K345" s="12"/>
    </row>
    <row r="346" ht="19.5" customHeight="1">
      <c r="A346" s="12"/>
      <c r="C346" s="12"/>
      <c r="D346" s="13"/>
      <c r="F346" s="14"/>
      <c r="G346" s="14"/>
      <c r="H346" s="14"/>
      <c r="I346" s="14"/>
      <c r="J346" s="14"/>
      <c r="K346" s="12"/>
    </row>
    <row r="347" ht="19.5" customHeight="1">
      <c r="A347" s="12"/>
      <c r="C347" s="12"/>
      <c r="D347" s="13"/>
      <c r="F347" s="14"/>
      <c r="G347" s="14"/>
      <c r="H347" s="14"/>
      <c r="I347" s="14"/>
      <c r="J347" s="14"/>
      <c r="K347" s="12"/>
    </row>
    <row r="348" ht="19.5" customHeight="1">
      <c r="A348" s="12"/>
      <c r="C348" s="12"/>
      <c r="D348" s="13"/>
      <c r="F348" s="14"/>
      <c r="G348" s="14"/>
      <c r="H348" s="14"/>
      <c r="I348" s="14"/>
      <c r="J348" s="14"/>
      <c r="K348" s="12"/>
    </row>
    <row r="349" ht="19.5" customHeight="1">
      <c r="A349" s="12"/>
      <c r="C349" s="12"/>
      <c r="D349" s="13"/>
      <c r="F349" s="14"/>
      <c r="G349" s="14"/>
      <c r="H349" s="14"/>
      <c r="I349" s="14"/>
      <c r="J349" s="14"/>
      <c r="K349" s="12"/>
    </row>
    <row r="350" ht="19.5" customHeight="1">
      <c r="A350" s="12"/>
      <c r="C350" s="12"/>
      <c r="D350" s="13"/>
      <c r="F350" s="14"/>
      <c r="G350" s="14"/>
      <c r="H350" s="14"/>
      <c r="I350" s="14"/>
      <c r="J350" s="14"/>
      <c r="K350" s="12"/>
    </row>
    <row r="351" ht="19.5" customHeight="1">
      <c r="A351" s="12"/>
      <c r="C351" s="12"/>
      <c r="D351" s="13"/>
      <c r="F351" s="14"/>
      <c r="G351" s="14"/>
      <c r="H351" s="14"/>
      <c r="I351" s="14"/>
      <c r="J351" s="14"/>
      <c r="K351" s="12"/>
    </row>
    <row r="352" ht="19.5" customHeight="1">
      <c r="A352" s="12"/>
      <c r="C352" s="12"/>
      <c r="D352" s="13"/>
      <c r="F352" s="14"/>
      <c r="G352" s="14"/>
      <c r="H352" s="14"/>
      <c r="I352" s="14"/>
      <c r="J352" s="14"/>
      <c r="K352" s="12"/>
    </row>
    <row r="353" ht="19.5" customHeight="1">
      <c r="A353" s="12"/>
      <c r="C353" s="12"/>
      <c r="D353" s="13"/>
      <c r="F353" s="14"/>
      <c r="G353" s="14"/>
      <c r="H353" s="14"/>
      <c r="I353" s="14"/>
      <c r="J353" s="14"/>
      <c r="K353" s="12"/>
    </row>
    <row r="354" ht="19.5" customHeight="1">
      <c r="A354" s="12"/>
      <c r="C354" s="12"/>
      <c r="D354" s="13"/>
      <c r="F354" s="14"/>
      <c r="G354" s="14"/>
      <c r="H354" s="14"/>
      <c r="I354" s="14"/>
      <c r="J354" s="14"/>
      <c r="K354" s="12"/>
    </row>
    <row r="355" ht="19.5" customHeight="1">
      <c r="A355" s="12"/>
      <c r="C355" s="12"/>
      <c r="D355" s="13"/>
      <c r="F355" s="14"/>
      <c r="G355" s="14"/>
      <c r="H355" s="14"/>
      <c r="I355" s="14"/>
      <c r="J355" s="14"/>
      <c r="K355" s="12"/>
    </row>
    <row r="356" ht="19.5" customHeight="1">
      <c r="A356" s="12"/>
      <c r="C356" s="12"/>
      <c r="D356" s="13"/>
      <c r="F356" s="14"/>
      <c r="G356" s="14"/>
      <c r="H356" s="14"/>
      <c r="I356" s="14"/>
      <c r="J356" s="14"/>
      <c r="K356" s="12"/>
    </row>
    <row r="357" ht="19.5" customHeight="1">
      <c r="A357" s="12"/>
      <c r="C357" s="12"/>
      <c r="D357" s="13"/>
      <c r="F357" s="14"/>
      <c r="G357" s="14"/>
      <c r="H357" s="14"/>
      <c r="I357" s="14"/>
      <c r="J357" s="14"/>
      <c r="K357" s="12"/>
    </row>
    <row r="358" ht="19.5" customHeight="1">
      <c r="A358" s="12"/>
      <c r="C358" s="12"/>
      <c r="D358" s="13"/>
      <c r="F358" s="14"/>
      <c r="G358" s="14"/>
      <c r="H358" s="14"/>
      <c r="I358" s="14"/>
      <c r="J358" s="14"/>
      <c r="K358" s="12"/>
    </row>
    <row r="359" ht="19.5" customHeight="1">
      <c r="A359" s="12"/>
      <c r="C359" s="12"/>
      <c r="D359" s="13"/>
      <c r="F359" s="14"/>
      <c r="G359" s="14"/>
      <c r="H359" s="14"/>
      <c r="I359" s="14"/>
      <c r="J359" s="14"/>
      <c r="K359" s="12"/>
    </row>
    <row r="360" ht="19.5" customHeight="1">
      <c r="A360" s="12"/>
      <c r="C360" s="12"/>
      <c r="D360" s="13"/>
      <c r="F360" s="14"/>
      <c r="G360" s="14"/>
      <c r="H360" s="14"/>
      <c r="I360" s="14"/>
      <c r="J360" s="14"/>
      <c r="K360" s="12"/>
    </row>
    <row r="361" ht="19.5" customHeight="1">
      <c r="A361" s="12"/>
      <c r="C361" s="12"/>
      <c r="D361" s="13"/>
      <c r="F361" s="14"/>
      <c r="G361" s="14"/>
      <c r="H361" s="14"/>
      <c r="I361" s="14"/>
      <c r="J361" s="14"/>
      <c r="K361" s="12"/>
    </row>
    <row r="362" ht="19.5" customHeight="1">
      <c r="A362" s="12"/>
      <c r="C362" s="12"/>
      <c r="D362" s="13"/>
      <c r="F362" s="14"/>
      <c r="G362" s="14"/>
      <c r="H362" s="14"/>
      <c r="I362" s="14"/>
      <c r="J362" s="14"/>
      <c r="K362" s="12"/>
    </row>
    <row r="363" ht="19.5" customHeight="1">
      <c r="A363" s="12"/>
      <c r="C363" s="12"/>
      <c r="D363" s="13"/>
      <c r="F363" s="14"/>
      <c r="G363" s="14"/>
      <c r="H363" s="14"/>
      <c r="I363" s="14"/>
      <c r="J363" s="14"/>
      <c r="K363" s="12"/>
    </row>
    <row r="364" ht="19.5" customHeight="1">
      <c r="A364" s="12"/>
      <c r="C364" s="12"/>
      <c r="D364" s="13"/>
      <c r="F364" s="14"/>
      <c r="G364" s="14"/>
      <c r="H364" s="14"/>
      <c r="I364" s="14"/>
      <c r="J364" s="14"/>
      <c r="K364" s="12"/>
    </row>
    <row r="365" ht="19.5" customHeight="1">
      <c r="A365" s="12"/>
      <c r="C365" s="12"/>
      <c r="D365" s="13"/>
      <c r="F365" s="14"/>
      <c r="G365" s="14"/>
      <c r="H365" s="14"/>
      <c r="I365" s="14"/>
      <c r="J365" s="14"/>
      <c r="K365" s="12"/>
    </row>
    <row r="366" ht="19.5" customHeight="1">
      <c r="A366" s="12"/>
      <c r="C366" s="12"/>
      <c r="D366" s="13"/>
      <c r="F366" s="14"/>
      <c r="G366" s="14"/>
      <c r="H366" s="14"/>
      <c r="I366" s="14"/>
      <c r="J366" s="14"/>
      <c r="K366" s="12"/>
    </row>
    <row r="367" ht="19.5" customHeight="1">
      <c r="A367" s="12"/>
      <c r="C367" s="12"/>
      <c r="D367" s="13"/>
      <c r="F367" s="14"/>
      <c r="G367" s="14"/>
      <c r="H367" s="14"/>
      <c r="I367" s="14"/>
      <c r="J367" s="14"/>
      <c r="K367" s="12"/>
    </row>
    <row r="368" ht="19.5" customHeight="1">
      <c r="A368" s="12"/>
      <c r="C368" s="12"/>
      <c r="D368" s="13"/>
      <c r="F368" s="14"/>
      <c r="G368" s="14"/>
      <c r="H368" s="14"/>
      <c r="I368" s="14"/>
      <c r="J368" s="14"/>
      <c r="K368" s="12"/>
    </row>
    <row r="369" ht="19.5" customHeight="1">
      <c r="A369" s="12"/>
      <c r="C369" s="12"/>
      <c r="D369" s="13"/>
      <c r="F369" s="14"/>
      <c r="G369" s="14"/>
      <c r="H369" s="14"/>
      <c r="I369" s="14"/>
      <c r="J369" s="14"/>
      <c r="K369" s="12"/>
    </row>
    <row r="370" ht="19.5" customHeight="1">
      <c r="A370" s="12"/>
      <c r="C370" s="12"/>
      <c r="D370" s="13"/>
      <c r="F370" s="14"/>
      <c r="G370" s="14"/>
      <c r="H370" s="14"/>
      <c r="I370" s="14"/>
      <c r="J370" s="14"/>
      <c r="K370" s="12"/>
    </row>
    <row r="371" ht="19.5" customHeight="1">
      <c r="A371" s="12"/>
      <c r="C371" s="12"/>
      <c r="D371" s="13"/>
      <c r="F371" s="14"/>
      <c r="G371" s="14"/>
      <c r="H371" s="14"/>
      <c r="I371" s="14"/>
      <c r="J371" s="14"/>
      <c r="K371" s="12"/>
    </row>
    <row r="372" ht="19.5" customHeight="1">
      <c r="A372" s="12"/>
      <c r="C372" s="12"/>
      <c r="D372" s="13"/>
      <c r="F372" s="14"/>
      <c r="G372" s="14"/>
      <c r="H372" s="14"/>
      <c r="I372" s="14"/>
      <c r="J372" s="14"/>
      <c r="K372" s="12"/>
    </row>
    <row r="373" ht="19.5" customHeight="1">
      <c r="A373" s="12"/>
      <c r="C373" s="12"/>
      <c r="D373" s="13"/>
      <c r="F373" s="14"/>
      <c r="G373" s="14"/>
      <c r="H373" s="14"/>
      <c r="I373" s="14"/>
      <c r="J373" s="14"/>
      <c r="K373" s="12"/>
    </row>
    <row r="374" ht="19.5" customHeight="1">
      <c r="A374" s="12"/>
      <c r="C374" s="12"/>
      <c r="D374" s="13"/>
      <c r="F374" s="14"/>
      <c r="G374" s="14"/>
      <c r="H374" s="14"/>
      <c r="I374" s="14"/>
      <c r="J374" s="14"/>
      <c r="K374" s="12"/>
    </row>
    <row r="375" ht="19.5" customHeight="1">
      <c r="A375" s="12"/>
      <c r="C375" s="12"/>
      <c r="D375" s="13"/>
      <c r="F375" s="14"/>
      <c r="G375" s="14"/>
      <c r="H375" s="14"/>
      <c r="I375" s="14"/>
      <c r="J375" s="14"/>
      <c r="K375" s="12"/>
    </row>
    <row r="376" ht="19.5" customHeight="1">
      <c r="A376" s="12"/>
      <c r="C376" s="12"/>
      <c r="D376" s="13"/>
      <c r="F376" s="14"/>
      <c r="G376" s="14"/>
      <c r="H376" s="14"/>
      <c r="I376" s="14"/>
      <c r="J376" s="14"/>
      <c r="K376" s="12"/>
    </row>
    <row r="377" ht="19.5" customHeight="1">
      <c r="A377" s="12"/>
      <c r="C377" s="12"/>
      <c r="D377" s="13"/>
      <c r="F377" s="14"/>
      <c r="G377" s="14"/>
      <c r="H377" s="14"/>
      <c r="I377" s="14"/>
      <c r="J377" s="14"/>
      <c r="K377" s="12"/>
    </row>
    <row r="378" ht="19.5" customHeight="1">
      <c r="A378" s="12"/>
      <c r="C378" s="12"/>
      <c r="D378" s="13"/>
      <c r="F378" s="14"/>
      <c r="G378" s="14"/>
      <c r="H378" s="14"/>
      <c r="I378" s="14"/>
      <c r="J378" s="14"/>
      <c r="K378" s="12"/>
    </row>
    <row r="379" ht="19.5" customHeight="1">
      <c r="A379" s="12"/>
      <c r="C379" s="12"/>
      <c r="D379" s="13"/>
      <c r="F379" s="14"/>
      <c r="G379" s="14"/>
      <c r="H379" s="14"/>
      <c r="I379" s="14"/>
      <c r="J379" s="14"/>
      <c r="K379" s="12"/>
    </row>
    <row r="380" ht="19.5" customHeight="1">
      <c r="A380" s="12"/>
      <c r="C380" s="12"/>
      <c r="D380" s="13"/>
      <c r="F380" s="14"/>
      <c r="G380" s="14"/>
      <c r="H380" s="14"/>
      <c r="I380" s="14"/>
      <c r="J380" s="14"/>
      <c r="K380" s="12"/>
    </row>
    <row r="381" ht="19.5" customHeight="1">
      <c r="A381" s="12"/>
      <c r="C381" s="12"/>
      <c r="D381" s="13"/>
      <c r="F381" s="14"/>
      <c r="G381" s="14"/>
      <c r="H381" s="14"/>
      <c r="I381" s="14"/>
      <c r="J381" s="14"/>
      <c r="K381" s="12"/>
    </row>
    <row r="382" ht="19.5" customHeight="1">
      <c r="A382" s="12"/>
      <c r="C382" s="12"/>
      <c r="D382" s="13"/>
      <c r="F382" s="14"/>
      <c r="G382" s="14"/>
      <c r="H382" s="14"/>
      <c r="I382" s="14"/>
      <c r="J382" s="14"/>
      <c r="K382" s="12"/>
    </row>
    <row r="383" ht="19.5" customHeight="1">
      <c r="A383" s="12"/>
      <c r="C383" s="12"/>
      <c r="D383" s="13"/>
      <c r="F383" s="14"/>
      <c r="G383" s="14"/>
      <c r="H383" s="14"/>
      <c r="I383" s="14"/>
      <c r="J383" s="14"/>
      <c r="K383" s="12"/>
    </row>
    <row r="384" ht="19.5" customHeight="1">
      <c r="A384" s="12"/>
      <c r="C384" s="12"/>
      <c r="D384" s="13"/>
      <c r="F384" s="14"/>
      <c r="G384" s="14"/>
      <c r="H384" s="14"/>
      <c r="I384" s="14"/>
      <c r="J384" s="14"/>
      <c r="K384" s="12"/>
    </row>
    <row r="385" ht="19.5" customHeight="1">
      <c r="A385" s="12"/>
      <c r="C385" s="12"/>
      <c r="D385" s="13"/>
      <c r="F385" s="14"/>
      <c r="G385" s="14"/>
      <c r="H385" s="14"/>
      <c r="I385" s="14"/>
      <c r="J385" s="14"/>
      <c r="K385" s="12"/>
    </row>
    <row r="386" ht="19.5" customHeight="1">
      <c r="A386" s="12"/>
      <c r="C386" s="12"/>
      <c r="D386" s="13"/>
      <c r="F386" s="14"/>
      <c r="G386" s="14"/>
      <c r="H386" s="14"/>
      <c r="I386" s="14"/>
      <c r="J386" s="14"/>
      <c r="K386" s="12"/>
    </row>
    <row r="387" ht="19.5" customHeight="1">
      <c r="A387" s="12"/>
      <c r="C387" s="12"/>
      <c r="D387" s="13"/>
      <c r="F387" s="14"/>
      <c r="G387" s="14"/>
      <c r="H387" s="14"/>
      <c r="I387" s="14"/>
      <c r="J387" s="14"/>
      <c r="K387" s="12"/>
    </row>
    <row r="388" ht="19.5" customHeight="1">
      <c r="A388" s="12"/>
      <c r="C388" s="12"/>
      <c r="D388" s="13"/>
      <c r="F388" s="14"/>
      <c r="G388" s="14"/>
      <c r="H388" s="14"/>
      <c r="I388" s="14"/>
      <c r="J388" s="14"/>
      <c r="K388" s="12"/>
    </row>
    <row r="389" ht="19.5" customHeight="1">
      <c r="A389" s="12"/>
      <c r="C389" s="12"/>
      <c r="D389" s="13"/>
      <c r="F389" s="14"/>
      <c r="G389" s="14"/>
      <c r="H389" s="14"/>
      <c r="I389" s="14"/>
      <c r="J389" s="14"/>
      <c r="K389" s="12"/>
    </row>
    <row r="390" ht="19.5" customHeight="1">
      <c r="A390" s="12"/>
      <c r="C390" s="12"/>
      <c r="D390" s="13"/>
      <c r="F390" s="14"/>
      <c r="G390" s="14"/>
      <c r="H390" s="14"/>
      <c r="I390" s="14"/>
      <c r="J390" s="14"/>
      <c r="K390" s="12"/>
    </row>
    <row r="391" ht="19.5" customHeight="1">
      <c r="A391" s="12"/>
      <c r="C391" s="12"/>
      <c r="D391" s="13"/>
      <c r="F391" s="14"/>
      <c r="G391" s="14"/>
      <c r="H391" s="14"/>
      <c r="I391" s="14"/>
      <c r="J391" s="14"/>
      <c r="K391" s="12"/>
    </row>
    <row r="392" ht="19.5" customHeight="1">
      <c r="A392" s="12"/>
      <c r="C392" s="12"/>
      <c r="D392" s="13"/>
      <c r="F392" s="14"/>
      <c r="G392" s="14"/>
      <c r="H392" s="14"/>
      <c r="I392" s="14"/>
      <c r="J392" s="14"/>
      <c r="K392" s="12"/>
    </row>
    <row r="393" ht="19.5" customHeight="1">
      <c r="A393" s="12"/>
      <c r="C393" s="12"/>
      <c r="D393" s="13"/>
      <c r="F393" s="14"/>
      <c r="G393" s="14"/>
      <c r="H393" s="14"/>
      <c r="I393" s="14"/>
      <c r="J393" s="14"/>
      <c r="K393" s="12"/>
    </row>
    <row r="394" ht="19.5" customHeight="1">
      <c r="A394" s="12"/>
      <c r="C394" s="12"/>
      <c r="D394" s="13"/>
      <c r="F394" s="14"/>
      <c r="G394" s="14"/>
      <c r="H394" s="14"/>
      <c r="I394" s="14"/>
      <c r="J394" s="14"/>
      <c r="K394" s="12"/>
    </row>
    <row r="395" ht="19.5" customHeight="1">
      <c r="A395" s="12"/>
      <c r="C395" s="12"/>
      <c r="D395" s="13"/>
      <c r="F395" s="14"/>
      <c r="G395" s="14"/>
      <c r="H395" s="14"/>
      <c r="I395" s="14"/>
      <c r="J395" s="14"/>
      <c r="K395" s="12"/>
    </row>
    <row r="396" ht="19.5" customHeight="1">
      <c r="A396" s="12"/>
      <c r="C396" s="12"/>
      <c r="D396" s="13"/>
      <c r="F396" s="14"/>
      <c r="G396" s="14"/>
      <c r="H396" s="14"/>
      <c r="I396" s="14"/>
      <c r="J396" s="14"/>
      <c r="K396" s="12"/>
    </row>
    <row r="397" ht="19.5" customHeight="1">
      <c r="A397" s="12"/>
      <c r="C397" s="12"/>
      <c r="D397" s="13"/>
      <c r="F397" s="14"/>
      <c r="G397" s="14"/>
      <c r="H397" s="14"/>
      <c r="I397" s="14"/>
      <c r="J397" s="14"/>
      <c r="K397" s="12"/>
    </row>
    <row r="398" ht="19.5" customHeight="1">
      <c r="A398" s="12"/>
      <c r="C398" s="12"/>
      <c r="D398" s="13"/>
      <c r="F398" s="14"/>
      <c r="G398" s="14"/>
      <c r="H398" s="14"/>
      <c r="I398" s="14"/>
      <c r="J398" s="14"/>
      <c r="K398" s="12"/>
    </row>
    <row r="399" ht="19.5" customHeight="1">
      <c r="A399" s="12"/>
      <c r="C399" s="12"/>
      <c r="D399" s="13"/>
      <c r="F399" s="14"/>
      <c r="G399" s="14"/>
      <c r="H399" s="14"/>
      <c r="I399" s="14"/>
      <c r="J399" s="14"/>
      <c r="K399" s="12"/>
    </row>
    <row r="400" ht="19.5" customHeight="1">
      <c r="A400" s="12"/>
      <c r="C400" s="12"/>
      <c r="D400" s="13"/>
      <c r="F400" s="14"/>
      <c r="G400" s="14"/>
      <c r="H400" s="14"/>
      <c r="I400" s="14"/>
      <c r="J400" s="14"/>
      <c r="K400" s="12"/>
    </row>
    <row r="401" ht="19.5" customHeight="1">
      <c r="A401" s="12"/>
      <c r="C401" s="12"/>
      <c r="D401" s="13"/>
      <c r="F401" s="14"/>
      <c r="G401" s="14"/>
      <c r="H401" s="14"/>
      <c r="I401" s="14"/>
      <c r="J401" s="14"/>
      <c r="K401" s="12"/>
    </row>
    <row r="402" ht="19.5" customHeight="1">
      <c r="A402" s="12"/>
      <c r="C402" s="12"/>
      <c r="D402" s="13"/>
      <c r="F402" s="14"/>
      <c r="G402" s="14"/>
      <c r="H402" s="14"/>
      <c r="I402" s="14"/>
      <c r="J402" s="14"/>
      <c r="K402" s="12"/>
    </row>
    <row r="403" ht="19.5" customHeight="1">
      <c r="A403" s="12"/>
      <c r="C403" s="12"/>
      <c r="D403" s="13"/>
      <c r="F403" s="14"/>
      <c r="G403" s="14"/>
      <c r="H403" s="14"/>
      <c r="I403" s="14"/>
      <c r="J403" s="14"/>
      <c r="K403" s="12"/>
    </row>
    <row r="404" ht="19.5" customHeight="1">
      <c r="A404" s="12"/>
      <c r="C404" s="12"/>
      <c r="D404" s="13"/>
      <c r="F404" s="14"/>
      <c r="G404" s="14"/>
      <c r="H404" s="14"/>
      <c r="I404" s="14"/>
      <c r="J404" s="14"/>
      <c r="K404" s="12"/>
    </row>
    <row r="405" ht="19.5" customHeight="1">
      <c r="A405" s="12"/>
      <c r="C405" s="12"/>
      <c r="D405" s="13"/>
      <c r="F405" s="14"/>
      <c r="G405" s="14"/>
      <c r="H405" s="14"/>
      <c r="I405" s="14"/>
      <c r="J405" s="14"/>
      <c r="K405" s="12"/>
    </row>
    <row r="406" ht="19.5" customHeight="1">
      <c r="A406" s="12"/>
      <c r="C406" s="12"/>
      <c r="D406" s="13"/>
      <c r="F406" s="14"/>
      <c r="G406" s="14"/>
      <c r="H406" s="14"/>
      <c r="I406" s="14"/>
      <c r="J406" s="14"/>
      <c r="K406" s="12"/>
    </row>
    <row r="407" ht="19.5" customHeight="1">
      <c r="A407" s="12"/>
      <c r="C407" s="12"/>
      <c r="D407" s="13"/>
      <c r="F407" s="14"/>
      <c r="G407" s="14"/>
      <c r="H407" s="14"/>
      <c r="I407" s="14"/>
      <c r="J407" s="14"/>
      <c r="K407" s="12"/>
    </row>
    <row r="408" ht="19.5" customHeight="1">
      <c r="A408" s="12"/>
      <c r="C408" s="12"/>
      <c r="D408" s="13"/>
      <c r="F408" s="14"/>
      <c r="G408" s="14"/>
      <c r="H408" s="14"/>
      <c r="I408" s="14"/>
      <c r="J408" s="14"/>
      <c r="K408" s="12"/>
    </row>
    <row r="409" ht="19.5" customHeight="1">
      <c r="A409" s="12"/>
      <c r="C409" s="12"/>
      <c r="D409" s="13"/>
      <c r="F409" s="14"/>
      <c r="G409" s="14"/>
      <c r="H409" s="14"/>
      <c r="I409" s="14"/>
      <c r="J409" s="14"/>
      <c r="K409" s="12"/>
    </row>
    <row r="410" ht="19.5" customHeight="1">
      <c r="A410" s="12"/>
      <c r="C410" s="12"/>
      <c r="D410" s="13"/>
      <c r="F410" s="14"/>
      <c r="G410" s="14"/>
      <c r="H410" s="14"/>
      <c r="I410" s="14"/>
      <c r="J410" s="14"/>
      <c r="K410" s="12"/>
    </row>
    <row r="411" ht="19.5" customHeight="1">
      <c r="A411" s="12"/>
      <c r="C411" s="12"/>
      <c r="D411" s="13"/>
      <c r="F411" s="14"/>
      <c r="G411" s="14"/>
      <c r="H411" s="14"/>
      <c r="I411" s="14"/>
      <c r="J411" s="14"/>
      <c r="K411" s="12"/>
    </row>
    <row r="412" ht="19.5" customHeight="1">
      <c r="A412" s="12"/>
      <c r="C412" s="12"/>
      <c r="D412" s="13"/>
      <c r="F412" s="14"/>
      <c r="G412" s="14"/>
      <c r="H412" s="14"/>
      <c r="I412" s="14"/>
      <c r="J412" s="14"/>
      <c r="K412" s="12"/>
    </row>
    <row r="413" ht="19.5" customHeight="1">
      <c r="A413" s="12"/>
      <c r="C413" s="12"/>
      <c r="D413" s="13"/>
      <c r="F413" s="14"/>
      <c r="G413" s="14"/>
      <c r="H413" s="14"/>
      <c r="I413" s="14"/>
      <c r="J413" s="14"/>
      <c r="K413" s="12"/>
    </row>
    <row r="414" ht="19.5" customHeight="1">
      <c r="A414" s="12"/>
      <c r="C414" s="12"/>
      <c r="D414" s="13"/>
      <c r="F414" s="14"/>
      <c r="G414" s="14"/>
      <c r="H414" s="14"/>
      <c r="I414" s="14"/>
      <c r="J414" s="14"/>
      <c r="K414" s="12"/>
    </row>
    <row r="415" ht="19.5" customHeight="1">
      <c r="A415" s="12"/>
      <c r="C415" s="12"/>
      <c r="D415" s="13"/>
      <c r="F415" s="14"/>
      <c r="G415" s="14"/>
      <c r="H415" s="14"/>
      <c r="I415" s="14"/>
      <c r="J415" s="14"/>
      <c r="K415" s="12"/>
    </row>
    <row r="416" ht="19.5" customHeight="1">
      <c r="A416" s="12"/>
      <c r="C416" s="12"/>
      <c r="D416" s="13"/>
      <c r="F416" s="14"/>
      <c r="G416" s="14"/>
      <c r="H416" s="14"/>
      <c r="I416" s="14"/>
      <c r="J416" s="14"/>
      <c r="K416" s="12"/>
    </row>
    <row r="417" ht="19.5" customHeight="1">
      <c r="A417" s="12"/>
      <c r="C417" s="12"/>
      <c r="D417" s="13"/>
      <c r="F417" s="14"/>
      <c r="G417" s="14"/>
      <c r="H417" s="14"/>
      <c r="I417" s="14"/>
      <c r="J417" s="14"/>
      <c r="K417" s="12"/>
    </row>
    <row r="418" ht="19.5" customHeight="1">
      <c r="A418" s="12"/>
      <c r="C418" s="12"/>
      <c r="D418" s="13"/>
      <c r="F418" s="14"/>
      <c r="G418" s="14"/>
      <c r="H418" s="14"/>
      <c r="I418" s="14"/>
      <c r="J418" s="14"/>
      <c r="K418" s="12"/>
    </row>
    <row r="419" ht="19.5" customHeight="1">
      <c r="A419" s="12"/>
      <c r="C419" s="12"/>
      <c r="D419" s="13"/>
      <c r="F419" s="14"/>
      <c r="G419" s="14"/>
      <c r="H419" s="14"/>
      <c r="I419" s="14"/>
      <c r="J419" s="14"/>
      <c r="K419" s="12"/>
    </row>
    <row r="420" ht="19.5" customHeight="1">
      <c r="A420" s="12"/>
      <c r="C420" s="12"/>
      <c r="D420" s="13"/>
      <c r="F420" s="14"/>
      <c r="G420" s="14"/>
      <c r="H420" s="14"/>
      <c r="I420" s="14"/>
      <c r="J420" s="14"/>
      <c r="K420" s="12"/>
    </row>
    <row r="421" ht="19.5" customHeight="1">
      <c r="A421" s="12"/>
      <c r="C421" s="12"/>
      <c r="D421" s="13"/>
      <c r="F421" s="14"/>
      <c r="G421" s="14"/>
      <c r="H421" s="14"/>
      <c r="I421" s="14"/>
      <c r="J421" s="14"/>
      <c r="K421" s="12"/>
    </row>
    <row r="422" ht="19.5" customHeight="1">
      <c r="A422" s="12"/>
      <c r="C422" s="12"/>
      <c r="D422" s="13"/>
      <c r="F422" s="14"/>
      <c r="G422" s="14"/>
      <c r="H422" s="14"/>
      <c r="I422" s="14"/>
      <c r="J422" s="14"/>
      <c r="K422" s="12"/>
    </row>
    <row r="423" ht="19.5" customHeight="1">
      <c r="A423" s="12"/>
      <c r="C423" s="12"/>
      <c r="D423" s="13"/>
      <c r="F423" s="14"/>
      <c r="G423" s="14"/>
      <c r="H423" s="14"/>
      <c r="I423" s="14"/>
      <c r="J423" s="14"/>
      <c r="K423" s="12"/>
    </row>
    <row r="424" ht="19.5" customHeight="1">
      <c r="A424" s="12"/>
      <c r="C424" s="12"/>
      <c r="D424" s="13"/>
      <c r="F424" s="14"/>
      <c r="G424" s="14"/>
      <c r="H424" s="14"/>
      <c r="I424" s="14"/>
      <c r="J424" s="14"/>
      <c r="K424" s="12"/>
    </row>
    <row r="425" ht="19.5" customHeight="1">
      <c r="A425" s="12"/>
      <c r="C425" s="12"/>
      <c r="D425" s="13"/>
      <c r="F425" s="14"/>
      <c r="G425" s="14"/>
      <c r="H425" s="14"/>
      <c r="I425" s="14"/>
      <c r="J425" s="14"/>
      <c r="K425" s="12"/>
    </row>
    <row r="426" ht="19.5" customHeight="1">
      <c r="A426" s="12"/>
      <c r="C426" s="12"/>
      <c r="D426" s="13"/>
      <c r="F426" s="14"/>
      <c r="G426" s="14"/>
      <c r="H426" s="14"/>
      <c r="I426" s="14"/>
      <c r="J426" s="14"/>
      <c r="K426" s="12"/>
    </row>
    <row r="427" ht="19.5" customHeight="1">
      <c r="A427" s="12"/>
      <c r="C427" s="12"/>
      <c r="D427" s="13"/>
      <c r="F427" s="14"/>
      <c r="G427" s="14"/>
      <c r="H427" s="14"/>
      <c r="I427" s="14"/>
      <c r="J427" s="14"/>
      <c r="K427" s="12"/>
    </row>
    <row r="428" ht="19.5" customHeight="1">
      <c r="A428" s="12"/>
      <c r="C428" s="12"/>
      <c r="D428" s="13"/>
      <c r="F428" s="14"/>
      <c r="G428" s="14"/>
      <c r="H428" s="14"/>
      <c r="I428" s="14"/>
      <c r="J428" s="14"/>
      <c r="K428" s="12"/>
    </row>
    <row r="429" ht="19.5" customHeight="1">
      <c r="A429" s="12"/>
      <c r="C429" s="12"/>
      <c r="D429" s="13"/>
      <c r="F429" s="14"/>
      <c r="G429" s="14"/>
      <c r="H429" s="14"/>
      <c r="I429" s="14"/>
      <c r="J429" s="14"/>
      <c r="K429" s="12"/>
    </row>
    <row r="430" ht="19.5" customHeight="1">
      <c r="A430" s="12"/>
      <c r="C430" s="12"/>
      <c r="D430" s="13"/>
      <c r="F430" s="14"/>
      <c r="G430" s="14"/>
      <c r="H430" s="14"/>
      <c r="I430" s="14"/>
      <c r="J430" s="14"/>
      <c r="K430" s="12"/>
    </row>
    <row r="431" ht="19.5" customHeight="1">
      <c r="A431" s="12"/>
      <c r="C431" s="12"/>
      <c r="D431" s="13"/>
      <c r="F431" s="14"/>
      <c r="G431" s="14"/>
      <c r="H431" s="14"/>
      <c r="I431" s="14"/>
      <c r="J431" s="14"/>
      <c r="K431" s="12"/>
    </row>
    <row r="432" ht="19.5" customHeight="1">
      <c r="A432" s="12"/>
      <c r="C432" s="12"/>
      <c r="D432" s="13"/>
      <c r="F432" s="14"/>
      <c r="G432" s="14"/>
      <c r="H432" s="14"/>
      <c r="I432" s="14"/>
      <c r="J432" s="14"/>
      <c r="K432" s="12"/>
    </row>
    <row r="433" ht="19.5" customHeight="1">
      <c r="A433" s="12"/>
      <c r="C433" s="12"/>
      <c r="D433" s="13"/>
      <c r="F433" s="14"/>
      <c r="G433" s="14"/>
      <c r="H433" s="14"/>
      <c r="I433" s="14"/>
      <c r="J433" s="14"/>
      <c r="K433" s="12"/>
    </row>
    <row r="434" ht="19.5" customHeight="1">
      <c r="A434" s="12"/>
      <c r="C434" s="12"/>
      <c r="D434" s="13"/>
      <c r="F434" s="14"/>
      <c r="G434" s="14"/>
      <c r="H434" s="14"/>
      <c r="I434" s="14"/>
      <c r="J434" s="14"/>
      <c r="K434" s="12"/>
    </row>
    <row r="435" ht="19.5" customHeight="1">
      <c r="A435" s="12"/>
      <c r="C435" s="12"/>
      <c r="D435" s="13"/>
      <c r="F435" s="14"/>
      <c r="G435" s="14"/>
      <c r="H435" s="14"/>
      <c r="I435" s="14"/>
      <c r="J435" s="14"/>
      <c r="K435" s="12"/>
    </row>
    <row r="436" ht="19.5" customHeight="1">
      <c r="A436" s="12"/>
      <c r="C436" s="12"/>
      <c r="D436" s="13"/>
      <c r="F436" s="14"/>
      <c r="G436" s="14"/>
      <c r="H436" s="14"/>
      <c r="I436" s="14"/>
      <c r="J436" s="14"/>
      <c r="K436" s="12"/>
    </row>
    <row r="437" ht="19.5" customHeight="1">
      <c r="A437" s="12"/>
      <c r="C437" s="12"/>
      <c r="D437" s="13"/>
      <c r="F437" s="14"/>
      <c r="G437" s="14"/>
      <c r="H437" s="14"/>
      <c r="I437" s="14"/>
      <c r="J437" s="14"/>
      <c r="K437" s="12"/>
    </row>
    <row r="438" ht="19.5" customHeight="1">
      <c r="A438" s="12"/>
      <c r="C438" s="12"/>
      <c r="D438" s="13"/>
      <c r="F438" s="14"/>
      <c r="G438" s="14"/>
      <c r="H438" s="14"/>
      <c r="I438" s="14"/>
      <c r="J438" s="14"/>
      <c r="K438" s="12"/>
    </row>
    <row r="439" ht="19.5" customHeight="1">
      <c r="A439" s="12"/>
      <c r="C439" s="12"/>
      <c r="D439" s="13"/>
      <c r="F439" s="14"/>
      <c r="G439" s="14"/>
      <c r="H439" s="14"/>
      <c r="I439" s="14"/>
      <c r="J439" s="14"/>
      <c r="K439" s="12"/>
    </row>
    <row r="440" ht="19.5" customHeight="1">
      <c r="A440" s="12"/>
      <c r="C440" s="12"/>
      <c r="D440" s="13"/>
      <c r="F440" s="14"/>
      <c r="G440" s="14"/>
      <c r="H440" s="14"/>
      <c r="I440" s="14"/>
      <c r="J440" s="14"/>
      <c r="K440" s="12"/>
    </row>
    <row r="441" ht="19.5" customHeight="1">
      <c r="A441" s="12"/>
      <c r="C441" s="12"/>
      <c r="D441" s="13"/>
      <c r="F441" s="14"/>
      <c r="G441" s="14"/>
      <c r="H441" s="14"/>
      <c r="I441" s="14"/>
      <c r="J441" s="14"/>
      <c r="K441" s="12"/>
    </row>
    <row r="442" ht="19.5" customHeight="1">
      <c r="A442" s="12"/>
      <c r="C442" s="12"/>
      <c r="D442" s="13"/>
      <c r="F442" s="14"/>
      <c r="G442" s="14"/>
      <c r="H442" s="14"/>
      <c r="I442" s="14"/>
      <c r="J442" s="14"/>
      <c r="K442" s="12"/>
    </row>
    <row r="443" ht="19.5" customHeight="1">
      <c r="A443" s="12"/>
      <c r="C443" s="12"/>
      <c r="D443" s="13"/>
      <c r="F443" s="14"/>
      <c r="G443" s="14"/>
      <c r="H443" s="14"/>
      <c r="I443" s="14"/>
      <c r="J443" s="14"/>
      <c r="K443" s="12"/>
    </row>
    <row r="444" ht="19.5" customHeight="1">
      <c r="A444" s="12"/>
      <c r="C444" s="12"/>
      <c r="D444" s="13"/>
      <c r="F444" s="14"/>
      <c r="G444" s="14"/>
      <c r="H444" s="14"/>
      <c r="I444" s="14"/>
      <c r="J444" s="14"/>
      <c r="K444" s="12"/>
    </row>
    <row r="445" ht="19.5" customHeight="1">
      <c r="A445" s="12"/>
      <c r="C445" s="12"/>
      <c r="D445" s="13"/>
      <c r="F445" s="14"/>
      <c r="G445" s="14"/>
      <c r="H445" s="14"/>
      <c r="I445" s="14"/>
      <c r="J445" s="14"/>
      <c r="K445" s="12"/>
    </row>
    <row r="446" ht="19.5" customHeight="1">
      <c r="A446" s="12"/>
      <c r="C446" s="12"/>
      <c r="D446" s="13"/>
      <c r="F446" s="14"/>
      <c r="G446" s="14"/>
      <c r="H446" s="14"/>
      <c r="I446" s="14"/>
      <c r="J446" s="14"/>
      <c r="K446" s="12"/>
    </row>
    <row r="447" ht="19.5" customHeight="1">
      <c r="A447" s="12"/>
      <c r="C447" s="12"/>
      <c r="D447" s="13"/>
      <c r="F447" s="14"/>
      <c r="G447" s="14"/>
      <c r="H447" s="14"/>
      <c r="I447" s="14"/>
      <c r="J447" s="14"/>
      <c r="K447" s="12"/>
    </row>
    <row r="448" ht="19.5" customHeight="1">
      <c r="A448" s="12"/>
      <c r="C448" s="12"/>
      <c r="D448" s="13"/>
      <c r="F448" s="14"/>
      <c r="G448" s="14"/>
      <c r="H448" s="14"/>
      <c r="I448" s="14"/>
      <c r="J448" s="14"/>
      <c r="K448" s="12"/>
    </row>
    <row r="449" ht="19.5" customHeight="1">
      <c r="A449" s="12"/>
      <c r="C449" s="12"/>
      <c r="D449" s="13"/>
      <c r="F449" s="14"/>
      <c r="G449" s="14"/>
      <c r="H449" s="14"/>
      <c r="I449" s="14"/>
      <c r="J449" s="14"/>
      <c r="K449" s="12"/>
    </row>
    <row r="450" ht="19.5" customHeight="1">
      <c r="A450" s="12"/>
      <c r="C450" s="12"/>
      <c r="D450" s="13"/>
      <c r="F450" s="14"/>
      <c r="G450" s="14"/>
      <c r="H450" s="14"/>
      <c r="I450" s="14"/>
      <c r="J450" s="14"/>
      <c r="K450" s="12"/>
    </row>
    <row r="451" ht="19.5" customHeight="1">
      <c r="A451" s="12"/>
      <c r="C451" s="12"/>
      <c r="D451" s="13"/>
      <c r="F451" s="14"/>
      <c r="G451" s="14"/>
      <c r="H451" s="14"/>
      <c r="I451" s="14"/>
      <c r="J451" s="14"/>
      <c r="K451" s="12"/>
    </row>
    <row r="452" ht="19.5" customHeight="1">
      <c r="A452" s="12"/>
      <c r="C452" s="12"/>
      <c r="D452" s="13"/>
      <c r="F452" s="14"/>
      <c r="G452" s="14"/>
      <c r="H452" s="14"/>
      <c r="I452" s="14"/>
      <c r="J452" s="14"/>
      <c r="K452" s="12"/>
    </row>
    <row r="453" ht="19.5" customHeight="1">
      <c r="A453" s="12"/>
      <c r="C453" s="12"/>
      <c r="D453" s="13"/>
      <c r="F453" s="14"/>
      <c r="G453" s="14"/>
      <c r="H453" s="14"/>
      <c r="I453" s="14"/>
      <c r="J453" s="14"/>
      <c r="K453" s="12"/>
    </row>
    <row r="454" ht="19.5" customHeight="1">
      <c r="A454" s="12"/>
      <c r="C454" s="12"/>
      <c r="D454" s="13"/>
      <c r="F454" s="14"/>
      <c r="G454" s="14"/>
      <c r="H454" s="14"/>
      <c r="I454" s="14"/>
      <c r="J454" s="14"/>
      <c r="K454" s="12"/>
    </row>
    <row r="455" ht="19.5" customHeight="1">
      <c r="A455" s="12"/>
      <c r="C455" s="12"/>
      <c r="D455" s="13"/>
      <c r="F455" s="14"/>
      <c r="G455" s="14"/>
      <c r="H455" s="14"/>
      <c r="I455" s="14"/>
      <c r="J455" s="14"/>
      <c r="K455" s="12"/>
    </row>
    <row r="456" ht="19.5" customHeight="1">
      <c r="A456" s="12"/>
      <c r="C456" s="12"/>
      <c r="D456" s="13"/>
      <c r="F456" s="14"/>
      <c r="G456" s="14"/>
      <c r="H456" s="14"/>
      <c r="I456" s="14"/>
      <c r="J456" s="14"/>
      <c r="K456" s="12"/>
    </row>
    <row r="457" ht="19.5" customHeight="1">
      <c r="A457" s="12"/>
      <c r="C457" s="12"/>
      <c r="D457" s="13"/>
      <c r="F457" s="14"/>
      <c r="G457" s="14"/>
      <c r="H457" s="14"/>
      <c r="I457" s="14"/>
      <c r="J457" s="14"/>
      <c r="K457" s="12"/>
    </row>
    <row r="458" ht="19.5" customHeight="1">
      <c r="A458" s="12"/>
      <c r="C458" s="12"/>
      <c r="D458" s="13"/>
      <c r="F458" s="14"/>
      <c r="G458" s="14"/>
      <c r="H458" s="14"/>
      <c r="I458" s="14"/>
      <c r="J458" s="14"/>
      <c r="K458" s="12"/>
    </row>
    <row r="459" ht="19.5" customHeight="1">
      <c r="A459" s="12"/>
      <c r="C459" s="12"/>
      <c r="D459" s="13"/>
      <c r="F459" s="14"/>
      <c r="G459" s="14"/>
      <c r="H459" s="14"/>
      <c r="I459" s="14"/>
      <c r="J459" s="14"/>
      <c r="K459" s="12"/>
    </row>
    <row r="460" ht="19.5" customHeight="1">
      <c r="A460" s="12"/>
      <c r="C460" s="12"/>
      <c r="D460" s="13"/>
      <c r="F460" s="14"/>
      <c r="G460" s="14"/>
      <c r="H460" s="14"/>
      <c r="I460" s="14"/>
      <c r="J460" s="14"/>
      <c r="K460" s="12"/>
    </row>
    <row r="461" ht="19.5" customHeight="1">
      <c r="A461" s="12"/>
      <c r="C461" s="12"/>
      <c r="D461" s="13"/>
      <c r="F461" s="14"/>
      <c r="G461" s="14"/>
      <c r="H461" s="14"/>
      <c r="I461" s="14"/>
      <c r="J461" s="14"/>
      <c r="K461" s="12"/>
    </row>
    <row r="462" ht="19.5" customHeight="1">
      <c r="A462" s="12"/>
      <c r="C462" s="12"/>
      <c r="D462" s="13"/>
      <c r="F462" s="14"/>
      <c r="G462" s="14"/>
      <c r="H462" s="14"/>
      <c r="I462" s="14"/>
      <c r="J462" s="14"/>
      <c r="K462" s="12"/>
    </row>
    <row r="463" ht="19.5" customHeight="1">
      <c r="A463" s="12"/>
      <c r="C463" s="12"/>
      <c r="D463" s="13"/>
      <c r="F463" s="14"/>
      <c r="G463" s="14"/>
      <c r="H463" s="14"/>
      <c r="I463" s="14"/>
      <c r="J463" s="14"/>
      <c r="K463" s="12"/>
    </row>
    <row r="464" ht="19.5" customHeight="1">
      <c r="A464" s="12"/>
      <c r="C464" s="12"/>
      <c r="D464" s="13"/>
      <c r="F464" s="14"/>
      <c r="G464" s="14"/>
      <c r="H464" s="14"/>
      <c r="I464" s="14"/>
      <c r="J464" s="14"/>
      <c r="K464" s="12"/>
    </row>
    <row r="465" ht="19.5" customHeight="1">
      <c r="A465" s="12"/>
      <c r="C465" s="12"/>
      <c r="D465" s="13"/>
      <c r="F465" s="14"/>
      <c r="G465" s="14"/>
      <c r="H465" s="14"/>
      <c r="I465" s="14"/>
      <c r="J465" s="14"/>
      <c r="K465" s="12"/>
    </row>
    <row r="466" ht="19.5" customHeight="1">
      <c r="A466" s="12"/>
      <c r="C466" s="12"/>
      <c r="D466" s="13"/>
      <c r="F466" s="14"/>
      <c r="G466" s="14"/>
      <c r="H466" s="14"/>
      <c r="I466" s="14"/>
      <c r="J466" s="14"/>
      <c r="K466" s="12"/>
    </row>
    <row r="467" ht="19.5" customHeight="1">
      <c r="A467" s="12"/>
      <c r="C467" s="12"/>
      <c r="D467" s="13"/>
      <c r="F467" s="14"/>
      <c r="G467" s="14"/>
      <c r="H467" s="14"/>
      <c r="I467" s="14"/>
      <c r="J467" s="14"/>
      <c r="K467" s="12"/>
    </row>
    <row r="468" ht="19.5" customHeight="1">
      <c r="A468" s="12"/>
      <c r="C468" s="12"/>
      <c r="D468" s="13"/>
      <c r="F468" s="14"/>
      <c r="G468" s="14"/>
      <c r="H468" s="14"/>
      <c r="I468" s="14"/>
      <c r="J468" s="14"/>
      <c r="K468" s="12"/>
    </row>
    <row r="469" ht="19.5" customHeight="1">
      <c r="A469" s="12"/>
      <c r="C469" s="12"/>
      <c r="D469" s="13"/>
      <c r="F469" s="14"/>
      <c r="G469" s="14"/>
      <c r="H469" s="14"/>
      <c r="I469" s="14"/>
      <c r="J469" s="14"/>
      <c r="K469" s="12"/>
    </row>
    <row r="470" ht="19.5" customHeight="1">
      <c r="A470" s="12"/>
      <c r="C470" s="12"/>
      <c r="D470" s="13"/>
      <c r="F470" s="14"/>
      <c r="G470" s="14"/>
      <c r="H470" s="14"/>
      <c r="I470" s="14"/>
      <c r="J470" s="14"/>
      <c r="K470" s="12"/>
    </row>
    <row r="471" ht="19.5" customHeight="1">
      <c r="A471" s="12"/>
      <c r="C471" s="12"/>
      <c r="D471" s="13"/>
      <c r="F471" s="14"/>
      <c r="G471" s="14"/>
      <c r="H471" s="14"/>
      <c r="I471" s="14"/>
      <c r="J471" s="14"/>
      <c r="K471" s="12"/>
    </row>
    <row r="472" ht="19.5" customHeight="1">
      <c r="A472" s="12"/>
      <c r="C472" s="12"/>
      <c r="D472" s="13"/>
      <c r="F472" s="14"/>
      <c r="G472" s="14"/>
      <c r="H472" s="14"/>
      <c r="I472" s="14"/>
      <c r="J472" s="14"/>
      <c r="K472" s="12"/>
    </row>
    <row r="473" ht="19.5" customHeight="1">
      <c r="A473" s="12"/>
      <c r="C473" s="12"/>
      <c r="D473" s="13"/>
      <c r="F473" s="14"/>
      <c r="G473" s="14"/>
      <c r="H473" s="14"/>
      <c r="I473" s="14"/>
      <c r="J473" s="14"/>
      <c r="K473" s="12"/>
    </row>
    <row r="474" ht="19.5" customHeight="1">
      <c r="A474" s="12"/>
      <c r="C474" s="12"/>
      <c r="D474" s="13"/>
      <c r="F474" s="14"/>
      <c r="G474" s="14"/>
      <c r="H474" s="14"/>
      <c r="I474" s="14"/>
      <c r="J474" s="14"/>
      <c r="K474" s="12"/>
    </row>
    <row r="475" ht="19.5" customHeight="1">
      <c r="A475" s="12"/>
      <c r="C475" s="12"/>
      <c r="D475" s="13"/>
      <c r="F475" s="14"/>
      <c r="G475" s="14"/>
      <c r="H475" s="14"/>
      <c r="I475" s="14"/>
      <c r="J475" s="14"/>
      <c r="K475" s="12"/>
    </row>
    <row r="476" ht="19.5" customHeight="1">
      <c r="A476" s="12"/>
      <c r="C476" s="12"/>
      <c r="D476" s="13"/>
      <c r="F476" s="14"/>
      <c r="G476" s="14"/>
      <c r="H476" s="14"/>
      <c r="I476" s="14"/>
      <c r="J476" s="14"/>
      <c r="K476" s="12"/>
    </row>
    <row r="477" ht="19.5" customHeight="1">
      <c r="A477" s="12"/>
      <c r="C477" s="12"/>
      <c r="D477" s="13"/>
      <c r="F477" s="14"/>
      <c r="G477" s="14"/>
      <c r="H477" s="14"/>
      <c r="I477" s="14"/>
      <c r="J477" s="14"/>
      <c r="K477" s="12"/>
    </row>
    <row r="478" ht="19.5" customHeight="1">
      <c r="A478" s="12"/>
      <c r="C478" s="12"/>
      <c r="D478" s="13"/>
      <c r="F478" s="14"/>
      <c r="G478" s="14"/>
      <c r="H478" s="14"/>
      <c r="I478" s="14"/>
      <c r="J478" s="14"/>
      <c r="K478" s="12"/>
    </row>
    <row r="479" ht="19.5" customHeight="1">
      <c r="A479" s="12"/>
      <c r="C479" s="12"/>
      <c r="D479" s="13"/>
      <c r="F479" s="14"/>
      <c r="G479" s="14"/>
      <c r="H479" s="14"/>
      <c r="I479" s="14"/>
      <c r="J479" s="14"/>
      <c r="K479" s="12"/>
    </row>
    <row r="480" ht="19.5" customHeight="1">
      <c r="A480" s="12"/>
      <c r="C480" s="12"/>
      <c r="D480" s="13"/>
      <c r="F480" s="14"/>
      <c r="G480" s="14"/>
      <c r="H480" s="14"/>
      <c r="I480" s="14"/>
      <c r="J480" s="14"/>
      <c r="K480" s="12"/>
    </row>
    <row r="481" ht="19.5" customHeight="1">
      <c r="A481" s="12"/>
      <c r="C481" s="12"/>
      <c r="D481" s="13"/>
      <c r="F481" s="14"/>
      <c r="G481" s="14"/>
      <c r="H481" s="14"/>
      <c r="I481" s="14"/>
      <c r="J481" s="14"/>
      <c r="K481" s="12"/>
    </row>
    <row r="482" ht="19.5" customHeight="1">
      <c r="A482" s="12"/>
      <c r="C482" s="12"/>
      <c r="D482" s="13"/>
      <c r="F482" s="14"/>
      <c r="G482" s="14"/>
      <c r="H482" s="14"/>
      <c r="I482" s="14"/>
      <c r="J482" s="14"/>
      <c r="K482" s="12"/>
    </row>
    <row r="483" ht="19.5" customHeight="1">
      <c r="A483" s="12"/>
      <c r="C483" s="12"/>
      <c r="D483" s="13"/>
      <c r="F483" s="14"/>
      <c r="G483" s="14"/>
      <c r="H483" s="14"/>
      <c r="I483" s="14"/>
      <c r="J483" s="14"/>
      <c r="K483" s="12"/>
    </row>
    <row r="484" ht="19.5" customHeight="1">
      <c r="A484" s="12"/>
      <c r="C484" s="12"/>
      <c r="D484" s="13"/>
      <c r="F484" s="14"/>
      <c r="G484" s="14"/>
      <c r="H484" s="14"/>
      <c r="I484" s="14"/>
      <c r="J484" s="14"/>
      <c r="K484" s="12"/>
    </row>
    <row r="485" ht="19.5" customHeight="1">
      <c r="A485" s="12"/>
      <c r="C485" s="12"/>
      <c r="D485" s="13"/>
      <c r="F485" s="14"/>
      <c r="G485" s="14"/>
      <c r="H485" s="14"/>
      <c r="I485" s="14"/>
      <c r="J485" s="14"/>
      <c r="K485" s="12"/>
    </row>
    <row r="486" ht="19.5" customHeight="1">
      <c r="A486" s="12"/>
      <c r="C486" s="12"/>
      <c r="D486" s="13"/>
      <c r="F486" s="14"/>
      <c r="G486" s="14"/>
      <c r="H486" s="14"/>
      <c r="I486" s="14"/>
      <c r="J486" s="14"/>
      <c r="K486" s="12"/>
    </row>
    <row r="487" ht="19.5" customHeight="1">
      <c r="A487" s="12"/>
      <c r="C487" s="12"/>
      <c r="D487" s="13"/>
      <c r="F487" s="14"/>
      <c r="G487" s="14"/>
      <c r="H487" s="14"/>
      <c r="I487" s="14"/>
      <c r="J487" s="14"/>
      <c r="K487" s="12"/>
    </row>
    <row r="488" ht="19.5" customHeight="1">
      <c r="A488" s="12"/>
      <c r="C488" s="12"/>
      <c r="D488" s="13"/>
      <c r="F488" s="14"/>
      <c r="G488" s="14"/>
      <c r="H488" s="14"/>
      <c r="I488" s="14"/>
      <c r="J488" s="14"/>
      <c r="K488" s="12"/>
    </row>
    <row r="489" ht="19.5" customHeight="1">
      <c r="A489" s="12"/>
      <c r="C489" s="12"/>
      <c r="D489" s="13"/>
      <c r="F489" s="14"/>
      <c r="G489" s="14"/>
      <c r="H489" s="14"/>
      <c r="I489" s="14"/>
      <c r="J489" s="14"/>
      <c r="K489" s="12"/>
    </row>
    <row r="490" ht="19.5" customHeight="1">
      <c r="A490" s="12"/>
      <c r="C490" s="12"/>
      <c r="D490" s="13"/>
      <c r="F490" s="14"/>
      <c r="G490" s="14"/>
      <c r="H490" s="14"/>
      <c r="I490" s="14"/>
      <c r="J490" s="14"/>
      <c r="K490" s="12"/>
    </row>
    <row r="491" ht="19.5" customHeight="1">
      <c r="A491" s="12"/>
      <c r="C491" s="12"/>
      <c r="D491" s="13"/>
      <c r="F491" s="14"/>
      <c r="G491" s="14"/>
      <c r="H491" s="14"/>
      <c r="I491" s="14"/>
      <c r="J491" s="14"/>
      <c r="K491" s="12"/>
    </row>
    <row r="492" ht="19.5" customHeight="1">
      <c r="A492" s="12"/>
      <c r="C492" s="12"/>
      <c r="D492" s="13"/>
      <c r="F492" s="14"/>
      <c r="G492" s="14"/>
      <c r="H492" s="14"/>
      <c r="I492" s="14"/>
      <c r="J492" s="14"/>
      <c r="K492" s="12"/>
    </row>
    <row r="493" ht="19.5" customHeight="1">
      <c r="A493" s="12"/>
      <c r="C493" s="12"/>
      <c r="D493" s="13"/>
      <c r="F493" s="14"/>
      <c r="G493" s="14"/>
      <c r="H493" s="14"/>
      <c r="I493" s="14"/>
      <c r="J493" s="14"/>
      <c r="K493" s="12"/>
    </row>
    <row r="494" ht="19.5" customHeight="1">
      <c r="A494" s="12"/>
      <c r="C494" s="12"/>
      <c r="D494" s="13"/>
      <c r="F494" s="14"/>
      <c r="G494" s="14"/>
      <c r="H494" s="14"/>
      <c r="I494" s="14"/>
      <c r="J494" s="14"/>
      <c r="K494" s="12"/>
    </row>
    <row r="495" ht="19.5" customHeight="1">
      <c r="A495" s="12"/>
      <c r="C495" s="12"/>
      <c r="D495" s="13"/>
      <c r="F495" s="14"/>
      <c r="G495" s="14"/>
      <c r="H495" s="14"/>
      <c r="I495" s="14"/>
      <c r="J495" s="14"/>
      <c r="K495" s="12"/>
    </row>
    <row r="496" ht="19.5" customHeight="1">
      <c r="A496" s="12"/>
      <c r="C496" s="12"/>
      <c r="D496" s="13"/>
      <c r="F496" s="14"/>
      <c r="G496" s="14"/>
      <c r="H496" s="14"/>
      <c r="I496" s="14"/>
      <c r="J496" s="14"/>
      <c r="K496" s="12"/>
    </row>
    <row r="497" ht="19.5" customHeight="1">
      <c r="A497" s="12"/>
      <c r="C497" s="12"/>
      <c r="D497" s="13"/>
      <c r="F497" s="14"/>
      <c r="G497" s="14"/>
      <c r="H497" s="14"/>
      <c r="I497" s="14"/>
      <c r="J497" s="14"/>
      <c r="K497" s="12"/>
    </row>
    <row r="498" ht="19.5" customHeight="1">
      <c r="A498" s="12"/>
      <c r="C498" s="12"/>
      <c r="D498" s="13"/>
      <c r="F498" s="14"/>
      <c r="G498" s="14"/>
      <c r="H498" s="14"/>
      <c r="I498" s="14"/>
      <c r="J498" s="14"/>
      <c r="K498" s="12"/>
    </row>
    <row r="499" ht="19.5" customHeight="1">
      <c r="A499" s="12"/>
      <c r="C499" s="12"/>
      <c r="D499" s="13"/>
      <c r="F499" s="14"/>
      <c r="G499" s="14"/>
      <c r="H499" s="14"/>
      <c r="I499" s="14"/>
      <c r="J499" s="14"/>
      <c r="K499" s="12"/>
    </row>
    <row r="500" ht="19.5" customHeight="1">
      <c r="A500" s="12"/>
      <c r="C500" s="12"/>
      <c r="D500" s="13"/>
      <c r="F500" s="14"/>
      <c r="G500" s="14"/>
      <c r="H500" s="14"/>
      <c r="I500" s="14"/>
      <c r="J500" s="14"/>
      <c r="K500" s="12"/>
    </row>
    <row r="501" ht="19.5" customHeight="1">
      <c r="A501" s="12"/>
      <c r="C501" s="12"/>
      <c r="D501" s="13"/>
      <c r="F501" s="14"/>
      <c r="G501" s="14"/>
      <c r="H501" s="14"/>
      <c r="I501" s="14"/>
      <c r="J501" s="14"/>
      <c r="K501" s="12"/>
    </row>
    <row r="502" ht="19.5" customHeight="1">
      <c r="A502" s="12"/>
      <c r="C502" s="12"/>
      <c r="D502" s="13"/>
      <c r="F502" s="14"/>
      <c r="G502" s="14"/>
      <c r="H502" s="14"/>
      <c r="I502" s="14"/>
      <c r="J502" s="14"/>
      <c r="K502" s="12"/>
    </row>
    <row r="503" ht="19.5" customHeight="1">
      <c r="A503" s="12"/>
      <c r="C503" s="12"/>
      <c r="D503" s="13"/>
      <c r="F503" s="14"/>
      <c r="G503" s="14"/>
      <c r="H503" s="14"/>
      <c r="I503" s="14"/>
      <c r="J503" s="14"/>
      <c r="K503" s="12"/>
    </row>
    <row r="504" ht="19.5" customHeight="1">
      <c r="A504" s="12"/>
      <c r="C504" s="12"/>
      <c r="D504" s="13"/>
      <c r="F504" s="14"/>
      <c r="G504" s="14"/>
      <c r="H504" s="14"/>
      <c r="I504" s="14"/>
      <c r="J504" s="14"/>
      <c r="K504" s="12"/>
    </row>
    <row r="505" ht="19.5" customHeight="1">
      <c r="A505" s="12"/>
      <c r="C505" s="12"/>
      <c r="D505" s="13"/>
      <c r="F505" s="14"/>
      <c r="G505" s="14"/>
      <c r="H505" s="14"/>
      <c r="I505" s="14"/>
      <c r="J505" s="14"/>
      <c r="K505" s="12"/>
    </row>
    <row r="506" ht="19.5" customHeight="1">
      <c r="A506" s="12"/>
      <c r="C506" s="12"/>
      <c r="D506" s="13"/>
      <c r="F506" s="14"/>
      <c r="G506" s="14"/>
      <c r="H506" s="14"/>
      <c r="I506" s="14"/>
      <c r="J506" s="14"/>
      <c r="K506" s="12"/>
    </row>
    <row r="507" ht="19.5" customHeight="1">
      <c r="A507" s="12"/>
      <c r="C507" s="12"/>
      <c r="D507" s="13"/>
      <c r="F507" s="14"/>
      <c r="G507" s="14"/>
      <c r="H507" s="14"/>
      <c r="I507" s="14"/>
      <c r="J507" s="14"/>
      <c r="K507" s="12"/>
    </row>
    <row r="508" ht="19.5" customHeight="1">
      <c r="A508" s="12"/>
      <c r="C508" s="12"/>
      <c r="D508" s="13"/>
      <c r="F508" s="14"/>
      <c r="G508" s="14"/>
      <c r="H508" s="14"/>
      <c r="I508" s="14"/>
      <c r="J508" s="14"/>
      <c r="K508" s="12"/>
    </row>
    <row r="509" ht="19.5" customHeight="1">
      <c r="A509" s="12"/>
      <c r="C509" s="12"/>
      <c r="D509" s="13"/>
      <c r="F509" s="14"/>
      <c r="G509" s="14"/>
      <c r="H509" s="14"/>
      <c r="I509" s="14"/>
      <c r="J509" s="14"/>
      <c r="K509" s="12"/>
    </row>
    <row r="510" ht="19.5" customHeight="1">
      <c r="A510" s="12"/>
      <c r="C510" s="12"/>
      <c r="D510" s="13"/>
      <c r="F510" s="14"/>
      <c r="G510" s="14"/>
      <c r="H510" s="14"/>
      <c r="I510" s="14"/>
      <c r="J510" s="14"/>
      <c r="K510" s="12"/>
    </row>
    <row r="511" ht="19.5" customHeight="1">
      <c r="A511" s="12"/>
      <c r="C511" s="12"/>
      <c r="D511" s="13"/>
      <c r="F511" s="14"/>
      <c r="G511" s="14"/>
      <c r="H511" s="14"/>
      <c r="I511" s="14"/>
      <c r="J511" s="14"/>
      <c r="K511" s="12"/>
    </row>
    <row r="512" ht="19.5" customHeight="1">
      <c r="A512" s="12"/>
      <c r="C512" s="12"/>
      <c r="D512" s="13"/>
      <c r="F512" s="14"/>
      <c r="G512" s="14"/>
      <c r="H512" s="14"/>
      <c r="I512" s="14"/>
      <c r="J512" s="14"/>
      <c r="K512" s="12"/>
    </row>
    <row r="513" ht="19.5" customHeight="1">
      <c r="A513" s="12"/>
      <c r="C513" s="12"/>
      <c r="D513" s="13"/>
      <c r="F513" s="14"/>
      <c r="G513" s="14"/>
      <c r="H513" s="14"/>
      <c r="I513" s="14"/>
      <c r="J513" s="14"/>
      <c r="K513" s="12"/>
    </row>
    <row r="514" ht="19.5" customHeight="1">
      <c r="A514" s="12"/>
      <c r="C514" s="12"/>
      <c r="D514" s="13"/>
      <c r="F514" s="14"/>
      <c r="G514" s="14"/>
      <c r="H514" s="14"/>
      <c r="I514" s="14"/>
      <c r="J514" s="14"/>
      <c r="K514" s="12"/>
    </row>
    <row r="515" ht="19.5" customHeight="1">
      <c r="A515" s="12"/>
      <c r="C515" s="12"/>
      <c r="D515" s="13"/>
      <c r="F515" s="14"/>
      <c r="G515" s="14"/>
      <c r="H515" s="14"/>
      <c r="I515" s="14"/>
      <c r="J515" s="14"/>
      <c r="K515" s="12"/>
    </row>
    <row r="516" ht="19.5" customHeight="1">
      <c r="A516" s="12"/>
      <c r="C516" s="12"/>
      <c r="D516" s="13"/>
      <c r="F516" s="14"/>
      <c r="G516" s="14"/>
      <c r="H516" s="14"/>
      <c r="I516" s="14"/>
      <c r="J516" s="14"/>
      <c r="K516" s="12"/>
    </row>
    <row r="517" ht="19.5" customHeight="1">
      <c r="A517" s="12"/>
      <c r="C517" s="12"/>
      <c r="D517" s="13"/>
      <c r="F517" s="14"/>
      <c r="G517" s="14"/>
      <c r="H517" s="14"/>
      <c r="I517" s="14"/>
      <c r="J517" s="14"/>
      <c r="K517" s="12"/>
    </row>
    <row r="518" ht="19.5" customHeight="1">
      <c r="A518" s="12"/>
      <c r="C518" s="12"/>
      <c r="D518" s="13"/>
      <c r="F518" s="14"/>
      <c r="G518" s="14"/>
      <c r="H518" s="14"/>
      <c r="I518" s="14"/>
      <c r="J518" s="14"/>
      <c r="K518" s="12"/>
    </row>
    <row r="519" ht="19.5" customHeight="1">
      <c r="A519" s="12"/>
      <c r="C519" s="12"/>
      <c r="D519" s="13"/>
      <c r="F519" s="14"/>
      <c r="G519" s="14"/>
      <c r="H519" s="14"/>
      <c r="I519" s="14"/>
      <c r="J519" s="14"/>
      <c r="K519" s="12"/>
    </row>
    <row r="520" ht="19.5" customHeight="1">
      <c r="A520" s="12"/>
      <c r="C520" s="12"/>
      <c r="D520" s="13"/>
      <c r="F520" s="14"/>
      <c r="G520" s="14"/>
      <c r="H520" s="14"/>
      <c r="I520" s="14"/>
      <c r="J520" s="14"/>
      <c r="K520" s="12"/>
    </row>
    <row r="521" ht="19.5" customHeight="1">
      <c r="A521" s="12"/>
      <c r="C521" s="12"/>
      <c r="D521" s="13"/>
      <c r="F521" s="14"/>
      <c r="G521" s="14"/>
      <c r="H521" s="14"/>
      <c r="I521" s="14"/>
      <c r="J521" s="14"/>
      <c r="K521" s="12"/>
    </row>
    <row r="522" ht="19.5" customHeight="1">
      <c r="A522" s="12"/>
      <c r="C522" s="12"/>
      <c r="D522" s="13"/>
      <c r="F522" s="14"/>
      <c r="G522" s="14"/>
      <c r="H522" s="14"/>
      <c r="I522" s="14"/>
      <c r="J522" s="14"/>
      <c r="K522" s="12"/>
    </row>
    <row r="523" ht="19.5" customHeight="1">
      <c r="A523" s="12"/>
      <c r="C523" s="12"/>
      <c r="D523" s="13"/>
      <c r="F523" s="14"/>
      <c r="G523" s="14"/>
      <c r="H523" s="14"/>
      <c r="I523" s="14"/>
      <c r="J523" s="14"/>
      <c r="K523" s="12"/>
    </row>
    <row r="524" ht="19.5" customHeight="1">
      <c r="A524" s="12"/>
      <c r="C524" s="12"/>
      <c r="D524" s="13"/>
      <c r="F524" s="14"/>
      <c r="G524" s="14"/>
      <c r="H524" s="14"/>
      <c r="I524" s="14"/>
      <c r="J524" s="14"/>
      <c r="K524" s="12"/>
    </row>
    <row r="525" ht="19.5" customHeight="1">
      <c r="A525" s="12"/>
      <c r="C525" s="12"/>
      <c r="D525" s="13"/>
      <c r="F525" s="14"/>
      <c r="G525" s="14"/>
      <c r="H525" s="14"/>
      <c r="I525" s="14"/>
      <c r="J525" s="14"/>
      <c r="K525" s="12"/>
    </row>
    <row r="526" ht="19.5" customHeight="1">
      <c r="A526" s="12"/>
      <c r="C526" s="12"/>
      <c r="D526" s="13"/>
      <c r="F526" s="14"/>
      <c r="G526" s="14"/>
      <c r="H526" s="14"/>
      <c r="I526" s="14"/>
      <c r="J526" s="14"/>
      <c r="K526" s="12"/>
    </row>
    <row r="527" ht="19.5" customHeight="1">
      <c r="A527" s="12"/>
      <c r="C527" s="12"/>
      <c r="D527" s="13"/>
      <c r="F527" s="14"/>
      <c r="G527" s="14"/>
      <c r="H527" s="14"/>
      <c r="I527" s="14"/>
      <c r="J527" s="14"/>
      <c r="K527" s="12"/>
    </row>
    <row r="528" ht="19.5" customHeight="1">
      <c r="A528" s="12"/>
      <c r="C528" s="12"/>
      <c r="D528" s="13"/>
      <c r="F528" s="14"/>
      <c r="G528" s="14"/>
      <c r="H528" s="14"/>
      <c r="I528" s="14"/>
      <c r="J528" s="14"/>
      <c r="K528" s="12"/>
    </row>
    <row r="529" ht="19.5" customHeight="1">
      <c r="A529" s="12"/>
      <c r="C529" s="12"/>
      <c r="D529" s="13"/>
      <c r="F529" s="14"/>
      <c r="G529" s="14"/>
      <c r="H529" s="14"/>
      <c r="I529" s="14"/>
      <c r="J529" s="14"/>
      <c r="K529" s="12"/>
    </row>
    <row r="530" ht="19.5" customHeight="1">
      <c r="A530" s="12"/>
      <c r="C530" s="12"/>
      <c r="D530" s="13"/>
      <c r="F530" s="14"/>
      <c r="G530" s="14"/>
      <c r="H530" s="14"/>
      <c r="I530" s="14"/>
      <c r="J530" s="14"/>
      <c r="K530" s="12"/>
    </row>
    <row r="531" ht="19.5" customHeight="1">
      <c r="A531" s="12"/>
      <c r="C531" s="12"/>
      <c r="D531" s="13"/>
      <c r="F531" s="14"/>
      <c r="G531" s="14"/>
      <c r="H531" s="14"/>
      <c r="I531" s="14"/>
      <c r="J531" s="14"/>
      <c r="K531" s="12"/>
    </row>
    <row r="532" ht="19.5" customHeight="1">
      <c r="A532" s="12"/>
      <c r="C532" s="12"/>
      <c r="D532" s="13"/>
      <c r="F532" s="14"/>
      <c r="G532" s="14"/>
      <c r="H532" s="14"/>
      <c r="I532" s="14"/>
      <c r="J532" s="14"/>
      <c r="K532" s="12"/>
    </row>
    <row r="533" ht="19.5" customHeight="1">
      <c r="A533" s="12"/>
      <c r="C533" s="12"/>
      <c r="D533" s="13"/>
      <c r="F533" s="14"/>
      <c r="G533" s="14"/>
      <c r="H533" s="14"/>
      <c r="I533" s="14"/>
      <c r="J533" s="14"/>
      <c r="K533" s="12"/>
    </row>
    <row r="534" ht="19.5" customHeight="1">
      <c r="A534" s="12"/>
      <c r="C534" s="12"/>
      <c r="D534" s="13"/>
      <c r="F534" s="14"/>
      <c r="G534" s="14"/>
      <c r="H534" s="14"/>
      <c r="I534" s="14"/>
      <c r="J534" s="14"/>
      <c r="K534" s="12"/>
    </row>
    <row r="535" ht="19.5" customHeight="1">
      <c r="A535" s="12"/>
      <c r="C535" s="12"/>
      <c r="D535" s="13"/>
      <c r="F535" s="14"/>
      <c r="G535" s="14"/>
      <c r="H535" s="14"/>
      <c r="I535" s="14"/>
      <c r="J535" s="14"/>
      <c r="K535" s="12"/>
    </row>
    <row r="536" ht="19.5" customHeight="1">
      <c r="A536" s="12"/>
      <c r="C536" s="12"/>
      <c r="D536" s="13"/>
      <c r="F536" s="14"/>
      <c r="G536" s="14"/>
      <c r="H536" s="14"/>
      <c r="I536" s="14"/>
      <c r="J536" s="14"/>
      <c r="K536" s="12"/>
    </row>
    <row r="537" ht="19.5" customHeight="1">
      <c r="A537" s="12"/>
      <c r="C537" s="12"/>
      <c r="D537" s="13"/>
      <c r="F537" s="14"/>
      <c r="G537" s="14"/>
      <c r="H537" s="14"/>
      <c r="I537" s="14"/>
      <c r="J537" s="14"/>
      <c r="K537" s="12"/>
    </row>
    <row r="538" ht="19.5" customHeight="1">
      <c r="A538" s="12"/>
      <c r="C538" s="12"/>
      <c r="D538" s="13"/>
      <c r="F538" s="14"/>
      <c r="G538" s="14"/>
      <c r="H538" s="14"/>
      <c r="I538" s="14"/>
      <c r="J538" s="14"/>
      <c r="K538" s="12"/>
    </row>
    <row r="539" ht="19.5" customHeight="1">
      <c r="A539" s="12"/>
      <c r="C539" s="12"/>
      <c r="D539" s="13"/>
      <c r="F539" s="14"/>
      <c r="G539" s="14"/>
      <c r="H539" s="14"/>
      <c r="I539" s="14"/>
      <c r="J539" s="14"/>
      <c r="K539" s="12"/>
    </row>
    <row r="540" ht="19.5" customHeight="1">
      <c r="A540" s="12"/>
      <c r="C540" s="12"/>
      <c r="D540" s="13"/>
      <c r="F540" s="14"/>
      <c r="G540" s="14"/>
      <c r="H540" s="14"/>
      <c r="I540" s="14"/>
      <c r="J540" s="14"/>
      <c r="K540" s="12"/>
    </row>
    <row r="541" ht="19.5" customHeight="1">
      <c r="A541" s="12"/>
      <c r="C541" s="12"/>
      <c r="D541" s="13"/>
      <c r="F541" s="14"/>
      <c r="G541" s="14"/>
      <c r="H541" s="14"/>
      <c r="I541" s="14"/>
      <c r="J541" s="14"/>
      <c r="K541" s="12"/>
    </row>
    <row r="542" ht="19.5" customHeight="1">
      <c r="A542" s="12"/>
      <c r="C542" s="12"/>
      <c r="D542" s="13"/>
      <c r="F542" s="14"/>
      <c r="G542" s="14"/>
      <c r="H542" s="14"/>
      <c r="I542" s="14"/>
      <c r="J542" s="14"/>
      <c r="K542" s="12"/>
    </row>
    <row r="543" ht="19.5" customHeight="1">
      <c r="A543" s="12"/>
      <c r="C543" s="12"/>
      <c r="D543" s="13"/>
      <c r="F543" s="14"/>
      <c r="G543" s="14"/>
      <c r="H543" s="14"/>
      <c r="I543" s="14"/>
      <c r="J543" s="14"/>
      <c r="K543" s="12"/>
    </row>
    <row r="544" ht="19.5" customHeight="1">
      <c r="A544" s="12"/>
      <c r="C544" s="12"/>
      <c r="D544" s="13"/>
      <c r="F544" s="14"/>
      <c r="G544" s="14"/>
      <c r="H544" s="14"/>
      <c r="I544" s="14"/>
      <c r="J544" s="14"/>
      <c r="K544" s="12"/>
    </row>
    <row r="545" ht="19.5" customHeight="1">
      <c r="A545" s="12"/>
      <c r="C545" s="12"/>
      <c r="D545" s="13"/>
      <c r="F545" s="14"/>
      <c r="G545" s="14"/>
      <c r="H545" s="14"/>
      <c r="I545" s="14"/>
      <c r="J545" s="14"/>
      <c r="K545" s="12"/>
    </row>
    <row r="546" ht="19.5" customHeight="1">
      <c r="A546" s="12"/>
      <c r="C546" s="12"/>
      <c r="D546" s="13"/>
      <c r="F546" s="14"/>
      <c r="G546" s="14"/>
      <c r="H546" s="14"/>
      <c r="I546" s="14"/>
      <c r="J546" s="14"/>
      <c r="K546" s="12"/>
    </row>
    <row r="547" ht="19.5" customHeight="1">
      <c r="A547" s="12"/>
      <c r="C547" s="12"/>
      <c r="D547" s="13"/>
      <c r="F547" s="14"/>
      <c r="G547" s="14"/>
      <c r="H547" s="14"/>
      <c r="I547" s="14"/>
      <c r="J547" s="14"/>
      <c r="K547" s="12"/>
    </row>
    <row r="548" ht="19.5" customHeight="1">
      <c r="A548" s="12"/>
      <c r="C548" s="12"/>
      <c r="D548" s="13"/>
      <c r="F548" s="14"/>
      <c r="G548" s="14"/>
      <c r="H548" s="14"/>
      <c r="I548" s="14"/>
      <c r="J548" s="14"/>
      <c r="K548" s="12"/>
    </row>
    <row r="549" ht="19.5" customHeight="1">
      <c r="A549" s="12"/>
      <c r="C549" s="12"/>
      <c r="D549" s="13"/>
      <c r="F549" s="14"/>
      <c r="G549" s="14"/>
      <c r="H549" s="14"/>
      <c r="I549" s="14"/>
      <c r="J549" s="14"/>
      <c r="K549" s="12"/>
    </row>
    <row r="550" ht="19.5" customHeight="1">
      <c r="A550" s="12"/>
      <c r="C550" s="12"/>
      <c r="D550" s="13"/>
      <c r="F550" s="14"/>
      <c r="G550" s="14"/>
      <c r="H550" s="14"/>
      <c r="I550" s="14"/>
      <c r="J550" s="14"/>
      <c r="K550" s="12"/>
    </row>
    <row r="551" ht="19.5" customHeight="1">
      <c r="A551" s="12"/>
      <c r="C551" s="12"/>
      <c r="D551" s="13"/>
      <c r="F551" s="14"/>
      <c r="G551" s="14"/>
      <c r="H551" s="14"/>
      <c r="I551" s="14"/>
      <c r="J551" s="14"/>
      <c r="K551" s="12"/>
    </row>
    <row r="552" ht="19.5" customHeight="1">
      <c r="A552" s="12"/>
      <c r="C552" s="12"/>
      <c r="D552" s="13"/>
      <c r="F552" s="14"/>
      <c r="G552" s="14"/>
      <c r="H552" s="14"/>
      <c r="I552" s="14"/>
      <c r="J552" s="14"/>
      <c r="K552" s="12"/>
    </row>
    <row r="553" ht="19.5" customHeight="1">
      <c r="A553" s="12"/>
      <c r="C553" s="12"/>
      <c r="D553" s="13"/>
      <c r="F553" s="14"/>
      <c r="G553" s="14"/>
      <c r="H553" s="14"/>
      <c r="I553" s="14"/>
      <c r="J553" s="14"/>
      <c r="K553" s="12"/>
    </row>
    <row r="554" ht="19.5" customHeight="1">
      <c r="A554" s="12"/>
      <c r="C554" s="12"/>
      <c r="D554" s="13"/>
      <c r="F554" s="14"/>
      <c r="G554" s="14"/>
      <c r="H554" s="14"/>
      <c r="I554" s="14"/>
      <c r="J554" s="14"/>
      <c r="K554" s="12"/>
    </row>
    <row r="555" ht="19.5" customHeight="1">
      <c r="A555" s="12"/>
      <c r="C555" s="12"/>
      <c r="D555" s="13"/>
      <c r="F555" s="14"/>
      <c r="G555" s="14"/>
      <c r="H555" s="14"/>
      <c r="I555" s="14"/>
      <c r="J555" s="14"/>
      <c r="K555" s="12"/>
    </row>
    <row r="556" ht="19.5" customHeight="1">
      <c r="A556" s="12"/>
      <c r="C556" s="12"/>
      <c r="D556" s="13"/>
      <c r="F556" s="14"/>
      <c r="G556" s="14"/>
      <c r="H556" s="14"/>
      <c r="I556" s="14"/>
      <c r="J556" s="14"/>
      <c r="K556" s="12"/>
    </row>
    <row r="557" ht="19.5" customHeight="1">
      <c r="A557" s="12"/>
      <c r="C557" s="12"/>
      <c r="D557" s="13"/>
      <c r="F557" s="14"/>
      <c r="G557" s="14"/>
      <c r="H557" s="14"/>
      <c r="I557" s="14"/>
      <c r="J557" s="14"/>
      <c r="K557" s="12"/>
    </row>
    <row r="558" ht="19.5" customHeight="1">
      <c r="A558" s="12"/>
      <c r="C558" s="12"/>
      <c r="D558" s="13"/>
      <c r="F558" s="14"/>
      <c r="G558" s="14"/>
      <c r="H558" s="14"/>
      <c r="I558" s="14"/>
      <c r="J558" s="14"/>
      <c r="K558" s="12"/>
    </row>
    <row r="559" ht="19.5" customHeight="1">
      <c r="A559" s="12"/>
      <c r="C559" s="12"/>
      <c r="D559" s="13"/>
      <c r="F559" s="14"/>
      <c r="G559" s="14"/>
      <c r="H559" s="14"/>
      <c r="I559" s="14"/>
      <c r="J559" s="14"/>
      <c r="K559" s="12"/>
    </row>
    <row r="560" ht="19.5" customHeight="1">
      <c r="A560" s="12"/>
      <c r="C560" s="12"/>
      <c r="D560" s="13"/>
      <c r="F560" s="14"/>
      <c r="G560" s="14"/>
      <c r="H560" s="14"/>
      <c r="I560" s="14"/>
      <c r="J560" s="14"/>
      <c r="K560" s="12"/>
    </row>
    <row r="561" ht="19.5" customHeight="1">
      <c r="A561" s="12"/>
      <c r="C561" s="12"/>
      <c r="D561" s="13"/>
      <c r="F561" s="14"/>
      <c r="G561" s="14"/>
      <c r="H561" s="14"/>
      <c r="I561" s="14"/>
      <c r="J561" s="14"/>
      <c r="K561" s="12"/>
    </row>
    <row r="562" ht="19.5" customHeight="1">
      <c r="A562" s="12"/>
      <c r="C562" s="12"/>
      <c r="D562" s="13"/>
      <c r="F562" s="14"/>
      <c r="G562" s="14"/>
      <c r="H562" s="14"/>
      <c r="I562" s="14"/>
      <c r="J562" s="14"/>
      <c r="K562" s="12"/>
    </row>
    <row r="563" ht="19.5" customHeight="1">
      <c r="A563" s="12"/>
      <c r="C563" s="12"/>
      <c r="D563" s="13"/>
      <c r="F563" s="14"/>
      <c r="G563" s="14"/>
      <c r="H563" s="14"/>
      <c r="I563" s="14"/>
      <c r="J563" s="14"/>
      <c r="K563" s="12"/>
    </row>
    <row r="564" ht="19.5" customHeight="1">
      <c r="A564" s="12"/>
      <c r="C564" s="12"/>
      <c r="D564" s="13"/>
      <c r="F564" s="14"/>
      <c r="G564" s="14"/>
      <c r="H564" s="14"/>
      <c r="I564" s="14"/>
      <c r="J564" s="14"/>
      <c r="K564" s="12"/>
    </row>
    <row r="565" ht="19.5" customHeight="1">
      <c r="A565" s="12"/>
      <c r="C565" s="12"/>
      <c r="D565" s="13"/>
      <c r="F565" s="14"/>
      <c r="G565" s="14"/>
      <c r="H565" s="14"/>
      <c r="I565" s="14"/>
      <c r="J565" s="14"/>
      <c r="K565" s="12"/>
    </row>
    <row r="566" ht="19.5" customHeight="1">
      <c r="A566" s="12"/>
      <c r="C566" s="12"/>
      <c r="D566" s="13"/>
      <c r="F566" s="14"/>
      <c r="G566" s="14"/>
      <c r="H566" s="14"/>
      <c r="I566" s="14"/>
      <c r="J566" s="14"/>
      <c r="K566" s="12"/>
    </row>
    <row r="567" ht="19.5" customHeight="1">
      <c r="A567" s="12"/>
      <c r="C567" s="12"/>
      <c r="D567" s="13"/>
      <c r="F567" s="14"/>
      <c r="G567" s="14"/>
      <c r="H567" s="14"/>
      <c r="I567" s="14"/>
      <c r="J567" s="14"/>
      <c r="K567" s="12"/>
    </row>
    <row r="568" ht="19.5" customHeight="1">
      <c r="A568" s="12"/>
      <c r="C568" s="12"/>
      <c r="D568" s="13"/>
      <c r="F568" s="14"/>
      <c r="G568" s="14"/>
      <c r="H568" s="14"/>
      <c r="I568" s="14"/>
      <c r="J568" s="14"/>
      <c r="K568" s="12"/>
    </row>
    <row r="569" ht="19.5" customHeight="1">
      <c r="A569" s="12"/>
      <c r="C569" s="12"/>
      <c r="D569" s="13"/>
      <c r="F569" s="14"/>
      <c r="G569" s="14"/>
      <c r="H569" s="14"/>
      <c r="I569" s="14"/>
      <c r="J569" s="14"/>
      <c r="K569" s="12"/>
    </row>
    <row r="570" ht="19.5" customHeight="1">
      <c r="A570" s="12"/>
      <c r="C570" s="12"/>
      <c r="D570" s="13"/>
      <c r="F570" s="14"/>
      <c r="G570" s="14"/>
      <c r="H570" s="14"/>
      <c r="I570" s="14"/>
      <c r="J570" s="14"/>
      <c r="K570" s="12"/>
    </row>
    <row r="571" ht="19.5" customHeight="1">
      <c r="A571" s="12"/>
      <c r="C571" s="12"/>
      <c r="D571" s="13"/>
      <c r="F571" s="14"/>
      <c r="G571" s="14"/>
      <c r="H571" s="14"/>
      <c r="I571" s="14"/>
      <c r="J571" s="14"/>
      <c r="K571" s="12"/>
    </row>
    <row r="572" ht="19.5" customHeight="1">
      <c r="A572" s="12"/>
      <c r="C572" s="12"/>
      <c r="D572" s="13"/>
      <c r="F572" s="14"/>
      <c r="G572" s="14"/>
      <c r="H572" s="14"/>
      <c r="I572" s="14"/>
      <c r="J572" s="14"/>
      <c r="K572" s="12"/>
    </row>
    <row r="573" ht="19.5" customHeight="1">
      <c r="A573" s="12"/>
      <c r="C573" s="12"/>
      <c r="D573" s="13"/>
      <c r="F573" s="14"/>
      <c r="G573" s="14"/>
      <c r="H573" s="14"/>
      <c r="I573" s="14"/>
      <c r="J573" s="14"/>
      <c r="K573" s="12"/>
    </row>
    <row r="574" ht="19.5" customHeight="1">
      <c r="A574" s="12"/>
      <c r="C574" s="12"/>
      <c r="D574" s="13"/>
      <c r="F574" s="14"/>
      <c r="G574" s="14"/>
      <c r="H574" s="14"/>
      <c r="I574" s="14"/>
      <c r="J574" s="14"/>
      <c r="K574" s="12"/>
    </row>
    <row r="575" ht="19.5" customHeight="1">
      <c r="A575" s="12"/>
      <c r="C575" s="12"/>
      <c r="D575" s="13"/>
      <c r="F575" s="14"/>
      <c r="G575" s="14"/>
      <c r="H575" s="14"/>
      <c r="I575" s="14"/>
      <c r="J575" s="14"/>
      <c r="K575" s="12"/>
    </row>
    <row r="576" ht="19.5" customHeight="1">
      <c r="A576" s="12"/>
      <c r="C576" s="12"/>
      <c r="D576" s="13"/>
      <c r="F576" s="14"/>
      <c r="G576" s="14"/>
      <c r="H576" s="14"/>
      <c r="I576" s="14"/>
      <c r="J576" s="14"/>
      <c r="K576" s="12"/>
    </row>
    <row r="577" ht="19.5" customHeight="1">
      <c r="A577" s="12"/>
      <c r="C577" s="12"/>
      <c r="D577" s="13"/>
      <c r="F577" s="14"/>
      <c r="G577" s="14"/>
      <c r="H577" s="14"/>
      <c r="I577" s="14"/>
      <c r="J577" s="14"/>
      <c r="K577" s="12"/>
    </row>
    <row r="578" ht="19.5" customHeight="1">
      <c r="A578" s="12"/>
      <c r="C578" s="12"/>
      <c r="D578" s="13"/>
      <c r="F578" s="14"/>
      <c r="G578" s="14"/>
      <c r="H578" s="14"/>
      <c r="I578" s="14"/>
      <c r="J578" s="14"/>
      <c r="K578" s="12"/>
    </row>
    <row r="579" ht="19.5" customHeight="1">
      <c r="A579" s="12"/>
      <c r="C579" s="12"/>
      <c r="D579" s="13"/>
      <c r="F579" s="14"/>
      <c r="G579" s="14"/>
      <c r="H579" s="14"/>
      <c r="I579" s="14"/>
      <c r="J579" s="14"/>
      <c r="K579" s="12"/>
    </row>
    <row r="580" ht="19.5" customHeight="1">
      <c r="A580" s="12"/>
      <c r="C580" s="12"/>
      <c r="D580" s="13"/>
      <c r="F580" s="14"/>
      <c r="G580" s="14"/>
      <c r="H580" s="14"/>
      <c r="I580" s="14"/>
      <c r="J580" s="14"/>
      <c r="K580" s="12"/>
    </row>
    <row r="581" ht="19.5" customHeight="1">
      <c r="A581" s="12"/>
      <c r="C581" s="12"/>
      <c r="D581" s="13"/>
      <c r="F581" s="14"/>
      <c r="G581" s="14"/>
      <c r="H581" s="14"/>
      <c r="I581" s="14"/>
      <c r="J581" s="14"/>
      <c r="K581" s="12"/>
    </row>
    <row r="582" ht="19.5" customHeight="1">
      <c r="A582" s="12"/>
      <c r="C582" s="12"/>
      <c r="D582" s="13"/>
      <c r="F582" s="14"/>
      <c r="G582" s="14"/>
      <c r="H582" s="14"/>
      <c r="I582" s="14"/>
      <c r="J582" s="14"/>
      <c r="K582" s="12"/>
    </row>
    <row r="583" ht="19.5" customHeight="1">
      <c r="A583" s="12"/>
      <c r="C583" s="12"/>
      <c r="D583" s="13"/>
      <c r="F583" s="14"/>
      <c r="G583" s="14"/>
      <c r="H583" s="14"/>
      <c r="I583" s="14"/>
      <c r="J583" s="14"/>
      <c r="K583" s="12"/>
    </row>
    <row r="584" ht="19.5" customHeight="1">
      <c r="A584" s="12"/>
      <c r="C584" s="12"/>
      <c r="D584" s="13"/>
      <c r="F584" s="14"/>
      <c r="G584" s="14"/>
      <c r="H584" s="14"/>
      <c r="I584" s="14"/>
      <c r="J584" s="14"/>
      <c r="K584" s="12"/>
    </row>
    <row r="585" ht="19.5" customHeight="1">
      <c r="A585" s="12"/>
      <c r="C585" s="12"/>
      <c r="D585" s="13"/>
      <c r="F585" s="14"/>
      <c r="G585" s="14"/>
      <c r="H585" s="14"/>
      <c r="I585" s="14"/>
      <c r="J585" s="14"/>
      <c r="K585" s="12"/>
    </row>
    <row r="586" ht="19.5" customHeight="1">
      <c r="A586" s="12"/>
      <c r="C586" s="12"/>
      <c r="D586" s="13"/>
      <c r="F586" s="14"/>
      <c r="G586" s="14"/>
      <c r="H586" s="14"/>
      <c r="I586" s="14"/>
      <c r="J586" s="14"/>
      <c r="K586" s="12"/>
    </row>
    <row r="587" ht="19.5" customHeight="1">
      <c r="A587" s="12"/>
      <c r="C587" s="12"/>
      <c r="D587" s="13"/>
      <c r="F587" s="14"/>
      <c r="G587" s="14"/>
      <c r="H587" s="14"/>
      <c r="I587" s="14"/>
      <c r="J587" s="14"/>
      <c r="K587" s="12"/>
    </row>
    <row r="588" ht="19.5" customHeight="1">
      <c r="A588" s="12"/>
      <c r="C588" s="12"/>
      <c r="D588" s="13"/>
      <c r="F588" s="14"/>
      <c r="G588" s="14"/>
      <c r="H588" s="14"/>
      <c r="I588" s="14"/>
      <c r="J588" s="14"/>
      <c r="K588" s="12"/>
    </row>
    <row r="589" ht="19.5" customHeight="1">
      <c r="A589" s="12"/>
      <c r="C589" s="12"/>
      <c r="D589" s="13"/>
      <c r="F589" s="14"/>
      <c r="G589" s="14"/>
      <c r="H589" s="14"/>
      <c r="I589" s="14"/>
      <c r="J589" s="14"/>
      <c r="K589" s="12"/>
    </row>
    <row r="590" ht="19.5" customHeight="1">
      <c r="A590" s="12"/>
      <c r="C590" s="12"/>
      <c r="D590" s="13"/>
      <c r="F590" s="14"/>
      <c r="G590" s="14"/>
      <c r="H590" s="14"/>
      <c r="I590" s="14"/>
      <c r="J590" s="14"/>
      <c r="K590" s="12"/>
    </row>
    <row r="591" ht="19.5" customHeight="1">
      <c r="A591" s="12"/>
      <c r="C591" s="12"/>
      <c r="D591" s="13"/>
      <c r="F591" s="14"/>
      <c r="G591" s="14"/>
      <c r="H591" s="14"/>
      <c r="I591" s="14"/>
      <c r="J591" s="14"/>
      <c r="K591" s="12"/>
    </row>
    <row r="592" ht="19.5" customHeight="1">
      <c r="A592" s="12"/>
      <c r="C592" s="12"/>
      <c r="D592" s="13"/>
      <c r="F592" s="14"/>
      <c r="G592" s="14"/>
      <c r="H592" s="14"/>
      <c r="I592" s="14"/>
      <c r="J592" s="14"/>
      <c r="K592" s="12"/>
    </row>
    <row r="593" ht="19.5" customHeight="1">
      <c r="A593" s="12"/>
      <c r="C593" s="12"/>
      <c r="D593" s="13"/>
      <c r="F593" s="14"/>
      <c r="G593" s="14"/>
      <c r="H593" s="14"/>
      <c r="I593" s="14"/>
      <c r="J593" s="14"/>
      <c r="K593" s="12"/>
    </row>
    <row r="594" ht="19.5" customHeight="1">
      <c r="A594" s="12"/>
      <c r="C594" s="12"/>
      <c r="D594" s="13"/>
      <c r="F594" s="14"/>
      <c r="G594" s="14"/>
      <c r="H594" s="14"/>
      <c r="I594" s="14"/>
      <c r="J594" s="14"/>
      <c r="K594" s="12"/>
    </row>
    <row r="595" ht="19.5" customHeight="1">
      <c r="A595" s="12"/>
      <c r="C595" s="12"/>
      <c r="D595" s="13"/>
      <c r="F595" s="14"/>
      <c r="G595" s="14"/>
      <c r="H595" s="14"/>
      <c r="I595" s="14"/>
      <c r="J595" s="14"/>
      <c r="K595" s="12"/>
    </row>
    <row r="596" ht="19.5" customHeight="1">
      <c r="A596" s="12"/>
      <c r="C596" s="12"/>
      <c r="D596" s="13"/>
      <c r="F596" s="14"/>
      <c r="G596" s="14"/>
      <c r="H596" s="14"/>
      <c r="I596" s="14"/>
      <c r="J596" s="14"/>
      <c r="K596" s="12"/>
    </row>
    <row r="597" ht="19.5" customHeight="1">
      <c r="A597" s="12"/>
      <c r="C597" s="12"/>
      <c r="D597" s="13"/>
      <c r="F597" s="14"/>
      <c r="G597" s="14"/>
      <c r="H597" s="14"/>
      <c r="I597" s="14"/>
      <c r="J597" s="14"/>
      <c r="K597" s="12"/>
    </row>
    <row r="598" ht="19.5" customHeight="1">
      <c r="A598" s="12"/>
      <c r="C598" s="12"/>
      <c r="D598" s="13"/>
      <c r="F598" s="14"/>
      <c r="G598" s="14"/>
      <c r="H598" s="14"/>
      <c r="I598" s="14"/>
      <c r="J598" s="14"/>
      <c r="K598" s="12"/>
    </row>
    <row r="599" ht="19.5" customHeight="1">
      <c r="A599" s="12"/>
      <c r="C599" s="12"/>
      <c r="D599" s="13"/>
      <c r="F599" s="14"/>
      <c r="G599" s="14"/>
      <c r="H599" s="14"/>
      <c r="I599" s="14"/>
      <c r="J599" s="14"/>
      <c r="K599" s="12"/>
    </row>
    <row r="600" ht="19.5" customHeight="1">
      <c r="A600" s="12"/>
      <c r="C600" s="12"/>
      <c r="D600" s="13"/>
      <c r="F600" s="14"/>
      <c r="G600" s="14"/>
      <c r="H600" s="14"/>
      <c r="I600" s="14"/>
      <c r="J600" s="14"/>
      <c r="K600" s="12"/>
    </row>
    <row r="601" ht="19.5" customHeight="1">
      <c r="A601" s="12"/>
      <c r="C601" s="12"/>
      <c r="D601" s="13"/>
      <c r="F601" s="14"/>
      <c r="G601" s="14"/>
      <c r="H601" s="14"/>
      <c r="I601" s="14"/>
      <c r="J601" s="14"/>
      <c r="K601" s="12"/>
    </row>
    <row r="602" ht="19.5" customHeight="1">
      <c r="A602" s="12"/>
      <c r="C602" s="12"/>
      <c r="D602" s="13"/>
      <c r="F602" s="14"/>
      <c r="G602" s="14"/>
      <c r="H602" s="14"/>
      <c r="I602" s="14"/>
      <c r="J602" s="14"/>
      <c r="K602" s="12"/>
    </row>
    <row r="603" ht="19.5" customHeight="1">
      <c r="A603" s="12"/>
      <c r="C603" s="12"/>
      <c r="D603" s="13"/>
      <c r="F603" s="14"/>
      <c r="G603" s="14"/>
      <c r="H603" s="14"/>
      <c r="I603" s="14"/>
      <c r="J603" s="14"/>
      <c r="K603" s="12"/>
    </row>
    <row r="604" ht="19.5" customHeight="1">
      <c r="A604" s="12"/>
      <c r="C604" s="12"/>
      <c r="D604" s="13"/>
      <c r="F604" s="14"/>
      <c r="G604" s="14"/>
      <c r="H604" s="14"/>
      <c r="I604" s="14"/>
      <c r="J604" s="14"/>
      <c r="K604" s="12"/>
    </row>
    <row r="605" ht="19.5" customHeight="1">
      <c r="A605" s="12"/>
      <c r="C605" s="12"/>
      <c r="D605" s="13"/>
      <c r="F605" s="14"/>
      <c r="G605" s="14"/>
      <c r="H605" s="14"/>
      <c r="I605" s="14"/>
      <c r="J605" s="14"/>
      <c r="K605" s="12"/>
    </row>
    <row r="606" ht="19.5" customHeight="1">
      <c r="A606" s="12"/>
      <c r="C606" s="12"/>
      <c r="D606" s="13"/>
      <c r="F606" s="14"/>
      <c r="G606" s="14"/>
      <c r="H606" s="14"/>
      <c r="I606" s="14"/>
      <c r="J606" s="14"/>
      <c r="K606" s="12"/>
    </row>
    <row r="607" ht="19.5" customHeight="1">
      <c r="A607" s="12"/>
      <c r="C607" s="12"/>
      <c r="D607" s="13"/>
      <c r="F607" s="14"/>
      <c r="G607" s="14"/>
      <c r="H607" s="14"/>
      <c r="I607" s="14"/>
      <c r="J607" s="14"/>
      <c r="K607" s="12"/>
    </row>
    <row r="608" ht="19.5" customHeight="1">
      <c r="A608" s="12"/>
      <c r="C608" s="12"/>
      <c r="D608" s="13"/>
      <c r="F608" s="14"/>
      <c r="G608" s="14"/>
      <c r="H608" s="14"/>
      <c r="I608" s="14"/>
      <c r="J608" s="14"/>
      <c r="K608" s="12"/>
    </row>
    <row r="609" ht="19.5" customHeight="1">
      <c r="A609" s="12"/>
      <c r="C609" s="12"/>
      <c r="D609" s="13"/>
      <c r="F609" s="14"/>
      <c r="G609" s="14"/>
      <c r="H609" s="14"/>
      <c r="I609" s="14"/>
      <c r="J609" s="14"/>
      <c r="K609" s="12"/>
    </row>
    <row r="610" ht="19.5" customHeight="1">
      <c r="A610" s="12"/>
      <c r="C610" s="12"/>
      <c r="D610" s="13"/>
      <c r="F610" s="14"/>
      <c r="G610" s="14"/>
      <c r="H610" s="14"/>
      <c r="I610" s="14"/>
      <c r="J610" s="14"/>
      <c r="K610" s="12"/>
    </row>
    <row r="611" ht="19.5" customHeight="1">
      <c r="A611" s="12"/>
      <c r="C611" s="12"/>
      <c r="D611" s="13"/>
      <c r="F611" s="14"/>
      <c r="G611" s="14"/>
      <c r="H611" s="14"/>
      <c r="I611" s="14"/>
      <c r="J611" s="14"/>
      <c r="K611" s="12"/>
    </row>
    <row r="612" ht="19.5" customHeight="1">
      <c r="A612" s="12"/>
      <c r="C612" s="12"/>
      <c r="D612" s="13"/>
      <c r="F612" s="14"/>
      <c r="G612" s="14"/>
      <c r="H612" s="14"/>
      <c r="I612" s="14"/>
      <c r="J612" s="14"/>
      <c r="K612" s="12"/>
    </row>
    <row r="613" ht="19.5" customHeight="1">
      <c r="A613" s="12"/>
      <c r="C613" s="12"/>
      <c r="D613" s="13"/>
      <c r="F613" s="14"/>
      <c r="G613" s="14"/>
      <c r="H613" s="14"/>
      <c r="I613" s="14"/>
      <c r="J613" s="14"/>
      <c r="K613" s="12"/>
    </row>
    <row r="614" ht="19.5" customHeight="1">
      <c r="A614" s="12"/>
      <c r="C614" s="12"/>
      <c r="D614" s="13"/>
      <c r="F614" s="14"/>
      <c r="G614" s="14"/>
      <c r="H614" s="14"/>
      <c r="I614" s="14"/>
      <c r="J614" s="14"/>
      <c r="K614" s="12"/>
    </row>
    <row r="615" ht="19.5" customHeight="1">
      <c r="A615" s="12"/>
      <c r="C615" s="12"/>
      <c r="D615" s="13"/>
      <c r="F615" s="14"/>
      <c r="G615" s="14"/>
      <c r="H615" s="14"/>
      <c r="I615" s="14"/>
      <c r="J615" s="14"/>
      <c r="K615" s="12"/>
    </row>
    <row r="616" ht="19.5" customHeight="1">
      <c r="A616" s="12"/>
      <c r="C616" s="12"/>
      <c r="D616" s="13"/>
      <c r="F616" s="14"/>
      <c r="G616" s="14"/>
      <c r="H616" s="14"/>
      <c r="I616" s="14"/>
      <c r="J616" s="14"/>
      <c r="K616" s="12"/>
    </row>
    <row r="617" ht="19.5" customHeight="1">
      <c r="A617" s="12"/>
      <c r="C617" s="12"/>
      <c r="D617" s="13"/>
      <c r="F617" s="14"/>
      <c r="G617" s="14"/>
      <c r="H617" s="14"/>
      <c r="I617" s="14"/>
      <c r="J617" s="14"/>
      <c r="K617" s="12"/>
    </row>
    <row r="618" ht="19.5" customHeight="1">
      <c r="A618" s="12"/>
      <c r="C618" s="12"/>
      <c r="D618" s="13"/>
      <c r="F618" s="14"/>
      <c r="G618" s="14"/>
      <c r="H618" s="14"/>
      <c r="I618" s="14"/>
      <c r="J618" s="14"/>
      <c r="K618" s="12"/>
    </row>
    <row r="619" ht="19.5" customHeight="1">
      <c r="A619" s="12"/>
      <c r="C619" s="12"/>
      <c r="D619" s="13"/>
      <c r="F619" s="14"/>
      <c r="G619" s="14"/>
      <c r="H619" s="14"/>
      <c r="I619" s="14"/>
      <c r="J619" s="14"/>
      <c r="K619" s="12"/>
    </row>
    <row r="620" ht="19.5" customHeight="1">
      <c r="A620" s="12"/>
      <c r="C620" s="12"/>
      <c r="D620" s="13"/>
      <c r="F620" s="14"/>
      <c r="G620" s="14"/>
      <c r="H620" s="14"/>
      <c r="I620" s="14"/>
      <c r="J620" s="14"/>
      <c r="K620" s="12"/>
    </row>
    <row r="621" ht="19.5" customHeight="1">
      <c r="A621" s="12"/>
      <c r="C621" s="12"/>
      <c r="D621" s="13"/>
      <c r="F621" s="14"/>
      <c r="G621" s="14"/>
      <c r="H621" s="14"/>
      <c r="I621" s="14"/>
      <c r="J621" s="14"/>
      <c r="K621" s="12"/>
    </row>
    <row r="622" ht="19.5" customHeight="1">
      <c r="A622" s="12"/>
      <c r="C622" s="12"/>
      <c r="D622" s="13"/>
      <c r="F622" s="14"/>
      <c r="G622" s="14"/>
      <c r="H622" s="14"/>
      <c r="I622" s="14"/>
      <c r="J622" s="14"/>
      <c r="K622" s="12"/>
    </row>
    <row r="623" ht="19.5" customHeight="1">
      <c r="A623" s="12"/>
      <c r="C623" s="12"/>
      <c r="D623" s="13"/>
      <c r="F623" s="14"/>
      <c r="G623" s="14"/>
      <c r="H623" s="14"/>
      <c r="I623" s="14"/>
      <c r="J623" s="14"/>
      <c r="K623" s="12"/>
    </row>
    <row r="624" ht="19.5" customHeight="1">
      <c r="A624" s="12"/>
      <c r="C624" s="12"/>
      <c r="D624" s="13"/>
      <c r="F624" s="14"/>
      <c r="G624" s="14"/>
      <c r="H624" s="14"/>
      <c r="I624" s="14"/>
      <c r="J624" s="14"/>
      <c r="K624" s="12"/>
    </row>
    <row r="625" ht="19.5" customHeight="1">
      <c r="A625" s="12"/>
      <c r="C625" s="12"/>
      <c r="D625" s="13"/>
      <c r="F625" s="14"/>
      <c r="G625" s="14"/>
      <c r="H625" s="14"/>
      <c r="I625" s="14"/>
      <c r="J625" s="14"/>
      <c r="K625" s="12"/>
    </row>
    <row r="626" ht="19.5" customHeight="1">
      <c r="A626" s="12"/>
      <c r="C626" s="12"/>
      <c r="D626" s="13"/>
      <c r="F626" s="14"/>
      <c r="G626" s="14"/>
      <c r="H626" s="14"/>
      <c r="I626" s="14"/>
      <c r="J626" s="14"/>
      <c r="K626" s="12"/>
    </row>
    <row r="627" ht="19.5" customHeight="1">
      <c r="A627" s="12"/>
      <c r="C627" s="12"/>
      <c r="D627" s="13"/>
      <c r="F627" s="14"/>
      <c r="G627" s="14"/>
      <c r="H627" s="14"/>
      <c r="I627" s="14"/>
      <c r="J627" s="14"/>
      <c r="K627" s="12"/>
    </row>
    <row r="628" ht="19.5" customHeight="1">
      <c r="A628" s="12"/>
      <c r="C628" s="12"/>
      <c r="D628" s="13"/>
      <c r="F628" s="14"/>
      <c r="G628" s="14"/>
      <c r="H628" s="14"/>
      <c r="I628" s="14"/>
      <c r="J628" s="14"/>
      <c r="K628" s="12"/>
    </row>
    <row r="629" ht="19.5" customHeight="1">
      <c r="A629" s="12"/>
      <c r="C629" s="12"/>
      <c r="D629" s="13"/>
      <c r="F629" s="14"/>
      <c r="G629" s="14"/>
      <c r="H629" s="14"/>
      <c r="I629" s="14"/>
      <c r="J629" s="14"/>
      <c r="K629" s="12"/>
    </row>
    <row r="630" ht="19.5" customHeight="1">
      <c r="A630" s="12"/>
      <c r="C630" s="12"/>
      <c r="D630" s="13"/>
      <c r="F630" s="14"/>
      <c r="G630" s="14"/>
      <c r="H630" s="14"/>
      <c r="I630" s="14"/>
      <c r="J630" s="14"/>
      <c r="K630" s="12"/>
    </row>
    <row r="631" ht="19.5" customHeight="1">
      <c r="A631" s="12"/>
      <c r="C631" s="12"/>
      <c r="D631" s="13"/>
      <c r="F631" s="14"/>
      <c r="G631" s="14"/>
      <c r="H631" s="14"/>
      <c r="I631" s="14"/>
      <c r="J631" s="14"/>
      <c r="K631" s="12"/>
    </row>
    <row r="632" ht="19.5" customHeight="1">
      <c r="A632" s="12"/>
      <c r="C632" s="12"/>
      <c r="D632" s="13"/>
      <c r="F632" s="14"/>
      <c r="G632" s="14"/>
      <c r="H632" s="14"/>
      <c r="I632" s="14"/>
      <c r="J632" s="14"/>
      <c r="K632" s="12"/>
    </row>
    <row r="633" ht="19.5" customHeight="1">
      <c r="A633" s="12"/>
      <c r="C633" s="12"/>
      <c r="D633" s="13"/>
      <c r="F633" s="14"/>
      <c r="G633" s="14"/>
      <c r="H633" s="14"/>
      <c r="I633" s="14"/>
      <c r="J633" s="14"/>
      <c r="K633" s="12"/>
    </row>
    <row r="634" ht="19.5" customHeight="1">
      <c r="A634" s="12"/>
      <c r="C634" s="12"/>
      <c r="D634" s="13"/>
      <c r="F634" s="14"/>
      <c r="G634" s="14"/>
      <c r="H634" s="14"/>
      <c r="I634" s="14"/>
      <c r="J634" s="14"/>
      <c r="K634" s="12"/>
    </row>
    <row r="635" ht="19.5" customHeight="1">
      <c r="A635" s="12"/>
      <c r="C635" s="12"/>
      <c r="D635" s="13"/>
      <c r="F635" s="14"/>
      <c r="G635" s="14"/>
      <c r="H635" s="14"/>
      <c r="I635" s="14"/>
      <c r="J635" s="14"/>
      <c r="K635" s="12"/>
    </row>
    <row r="636" ht="19.5" customHeight="1">
      <c r="A636" s="12"/>
      <c r="C636" s="12"/>
      <c r="D636" s="13"/>
      <c r="F636" s="14"/>
      <c r="G636" s="14"/>
      <c r="H636" s="14"/>
      <c r="I636" s="14"/>
      <c r="J636" s="14"/>
      <c r="K636" s="12"/>
    </row>
    <row r="637" ht="19.5" customHeight="1">
      <c r="A637" s="12"/>
      <c r="C637" s="12"/>
      <c r="D637" s="13"/>
      <c r="F637" s="14"/>
      <c r="G637" s="14"/>
      <c r="H637" s="14"/>
      <c r="I637" s="14"/>
      <c r="J637" s="14"/>
      <c r="K637" s="12"/>
    </row>
    <row r="638" ht="19.5" customHeight="1">
      <c r="A638" s="12"/>
      <c r="C638" s="12"/>
      <c r="D638" s="13"/>
      <c r="F638" s="14"/>
      <c r="G638" s="14"/>
      <c r="H638" s="14"/>
      <c r="I638" s="14"/>
      <c r="J638" s="14"/>
      <c r="K638" s="12"/>
    </row>
    <row r="639" ht="19.5" customHeight="1">
      <c r="A639" s="12"/>
      <c r="C639" s="12"/>
      <c r="D639" s="13"/>
      <c r="F639" s="14"/>
      <c r="G639" s="14"/>
      <c r="H639" s="14"/>
      <c r="I639" s="14"/>
      <c r="J639" s="14"/>
      <c r="K639" s="12"/>
    </row>
    <row r="640" ht="19.5" customHeight="1">
      <c r="A640" s="12"/>
      <c r="C640" s="12"/>
      <c r="D640" s="13"/>
      <c r="F640" s="14"/>
      <c r="G640" s="14"/>
      <c r="H640" s="14"/>
      <c r="I640" s="14"/>
      <c r="J640" s="14"/>
      <c r="K640" s="12"/>
    </row>
    <row r="641" ht="19.5" customHeight="1">
      <c r="A641" s="12"/>
      <c r="C641" s="12"/>
      <c r="D641" s="13"/>
      <c r="F641" s="14"/>
      <c r="G641" s="14"/>
      <c r="H641" s="14"/>
      <c r="I641" s="14"/>
      <c r="J641" s="14"/>
      <c r="K641" s="12"/>
    </row>
    <row r="642" ht="19.5" customHeight="1">
      <c r="A642" s="12"/>
      <c r="C642" s="12"/>
      <c r="D642" s="13"/>
      <c r="F642" s="14"/>
      <c r="G642" s="14"/>
      <c r="H642" s="14"/>
      <c r="I642" s="14"/>
      <c r="J642" s="14"/>
      <c r="K642" s="12"/>
    </row>
    <row r="643" ht="19.5" customHeight="1">
      <c r="A643" s="12"/>
      <c r="C643" s="12"/>
      <c r="D643" s="13"/>
      <c r="F643" s="14"/>
      <c r="G643" s="14"/>
      <c r="H643" s="14"/>
      <c r="I643" s="14"/>
      <c r="J643" s="14"/>
      <c r="K643" s="12"/>
    </row>
    <row r="644" ht="19.5" customHeight="1">
      <c r="A644" s="12"/>
      <c r="C644" s="12"/>
      <c r="D644" s="13"/>
      <c r="F644" s="14"/>
      <c r="G644" s="14"/>
      <c r="H644" s="14"/>
      <c r="I644" s="14"/>
      <c r="J644" s="14"/>
      <c r="K644" s="12"/>
    </row>
    <row r="645" ht="19.5" customHeight="1">
      <c r="A645" s="12"/>
      <c r="C645" s="12"/>
      <c r="D645" s="13"/>
      <c r="F645" s="14"/>
      <c r="G645" s="14"/>
      <c r="H645" s="14"/>
      <c r="I645" s="14"/>
      <c r="J645" s="14"/>
      <c r="K645" s="12"/>
    </row>
    <row r="646" ht="19.5" customHeight="1">
      <c r="A646" s="12"/>
      <c r="C646" s="12"/>
      <c r="D646" s="13"/>
      <c r="F646" s="14"/>
      <c r="G646" s="14"/>
      <c r="H646" s="14"/>
      <c r="I646" s="14"/>
      <c r="J646" s="14"/>
      <c r="K646" s="12"/>
    </row>
    <row r="647" ht="19.5" customHeight="1">
      <c r="A647" s="12"/>
      <c r="C647" s="12"/>
      <c r="D647" s="13"/>
      <c r="F647" s="14"/>
      <c r="G647" s="14"/>
      <c r="H647" s="14"/>
      <c r="I647" s="14"/>
      <c r="J647" s="14"/>
      <c r="K647" s="12"/>
    </row>
    <row r="648" ht="19.5" customHeight="1">
      <c r="A648" s="12"/>
      <c r="C648" s="12"/>
      <c r="D648" s="13"/>
      <c r="F648" s="14"/>
      <c r="G648" s="14"/>
      <c r="H648" s="14"/>
      <c r="I648" s="14"/>
      <c r="J648" s="14"/>
      <c r="K648" s="12"/>
    </row>
    <row r="649" ht="19.5" customHeight="1">
      <c r="A649" s="12"/>
      <c r="C649" s="12"/>
      <c r="D649" s="13"/>
      <c r="F649" s="14"/>
      <c r="G649" s="14"/>
      <c r="H649" s="14"/>
      <c r="I649" s="14"/>
      <c r="J649" s="14"/>
      <c r="K649" s="12"/>
    </row>
    <row r="650" ht="19.5" customHeight="1">
      <c r="A650" s="12"/>
      <c r="C650" s="12"/>
      <c r="D650" s="13"/>
      <c r="F650" s="14"/>
      <c r="G650" s="14"/>
      <c r="H650" s="14"/>
      <c r="I650" s="14"/>
      <c r="J650" s="14"/>
      <c r="K650" s="12"/>
    </row>
    <row r="651" ht="19.5" customHeight="1">
      <c r="A651" s="12"/>
      <c r="C651" s="12"/>
      <c r="D651" s="13"/>
      <c r="F651" s="14"/>
      <c r="G651" s="14"/>
      <c r="H651" s="14"/>
      <c r="I651" s="14"/>
      <c r="J651" s="14"/>
      <c r="K651" s="12"/>
    </row>
    <row r="652" ht="19.5" customHeight="1">
      <c r="A652" s="12"/>
      <c r="C652" s="12"/>
      <c r="D652" s="13"/>
      <c r="F652" s="14"/>
      <c r="G652" s="14"/>
      <c r="H652" s="14"/>
      <c r="I652" s="14"/>
      <c r="J652" s="14"/>
      <c r="K652" s="12"/>
    </row>
    <row r="653" ht="19.5" customHeight="1">
      <c r="A653" s="12"/>
      <c r="C653" s="12"/>
      <c r="D653" s="13"/>
      <c r="F653" s="14"/>
      <c r="G653" s="14"/>
      <c r="H653" s="14"/>
      <c r="I653" s="14"/>
      <c r="J653" s="14"/>
      <c r="K653" s="12"/>
    </row>
    <row r="654" ht="19.5" customHeight="1">
      <c r="A654" s="12"/>
      <c r="C654" s="12"/>
      <c r="D654" s="13"/>
      <c r="F654" s="14"/>
      <c r="G654" s="14"/>
      <c r="H654" s="14"/>
      <c r="I654" s="14"/>
      <c r="J654" s="14"/>
      <c r="K654" s="12"/>
    </row>
    <row r="655" ht="19.5" customHeight="1">
      <c r="A655" s="12"/>
      <c r="C655" s="12"/>
      <c r="D655" s="13"/>
      <c r="F655" s="14"/>
      <c r="G655" s="14"/>
      <c r="H655" s="14"/>
      <c r="I655" s="14"/>
      <c r="J655" s="14"/>
      <c r="K655" s="12"/>
    </row>
    <row r="656" ht="19.5" customHeight="1">
      <c r="A656" s="12"/>
      <c r="C656" s="12"/>
      <c r="D656" s="13"/>
      <c r="F656" s="14"/>
      <c r="G656" s="14"/>
      <c r="H656" s="14"/>
      <c r="I656" s="14"/>
      <c r="J656" s="14"/>
      <c r="K656" s="12"/>
    </row>
    <row r="657" ht="19.5" customHeight="1">
      <c r="A657" s="12"/>
      <c r="C657" s="12"/>
      <c r="D657" s="13"/>
      <c r="F657" s="14"/>
      <c r="G657" s="14"/>
      <c r="H657" s="14"/>
      <c r="I657" s="14"/>
      <c r="J657" s="14"/>
      <c r="K657" s="12"/>
    </row>
    <row r="658" ht="19.5" customHeight="1">
      <c r="A658" s="12"/>
      <c r="C658" s="12"/>
      <c r="D658" s="13"/>
      <c r="F658" s="14"/>
      <c r="G658" s="14"/>
      <c r="H658" s="14"/>
      <c r="I658" s="14"/>
      <c r="J658" s="14"/>
      <c r="K658" s="12"/>
    </row>
    <row r="659" ht="19.5" customHeight="1">
      <c r="A659" s="12"/>
      <c r="C659" s="12"/>
      <c r="D659" s="13"/>
      <c r="F659" s="14"/>
      <c r="G659" s="14"/>
      <c r="H659" s="14"/>
      <c r="I659" s="14"/>
      <c r="J659" s="14"/>
      <c r="K659" s="12"/>
    </row>
    <row r="660" ht="19.5" customHeight="1">
      <c r="A660" s="12"/>
      <c r="C660" s="12"/>
      <c r="D660" s="13"/>
      <c r="F660" s="14"/>
      <c r="G660" s="14"/>
      <c r="H660" s="14"/>
      <c r="I660" s="14"/>
      <c r="J660" s="14"/>
      <c r="K660" s="12"/>
    </row>
    <row r="661" ht="19.5" customHeight="1">
      <c r="A661" s="12"/>
      <c r="C661" s="12"/>
      <c r="D661" s="13"/>
      <c r="F661" s="14"/>
      <c r="G661" s="14"/>
      <c r="H661" s="14"/>
      <c r="I661" s="14"/>
      <c r="J661" s="14"/>
      <c r="K661" s="12"/>
    </row>
    <row r="662" ht="19.5" customHeight="1">
      <c r="A662" s="12"/>
      <c r="C662" s="12"/>
      <c r="D662" s="13"/>
      <c r="F662" s="14"/>
      <c r="G662" s="14"/>
      <c r="H662" s="14"/>
      <c r="I662" s="14"/>
      <c r="J662" s="14"/>
      <c r="K662" s="12"/>
    </row>
    <row r="663" ht="19.5" customHeight="1">
      <c r="A663" s="12"/>
      <c r="C663" s="12"/>
      <c r="D663" s="13"/>
      <c r="F663" s="14"/>
      <c r="G663" s="14"/>
      <c r="H663" s="14"/>
      <c r="I663" s="14"/>
      <c r="J663" s="14"/>
      <c r="K663" s="12"/>
    </row>
    <row r="664" ht="19.5" customHeight="1">
      <c r="A664" s="12"/>
      <c r="C664" s="12"/>
      <c r="D664" s="13"/>
      <c r="F664" s="14"/>
      <c r="G664" s="14"/>
      <c r="H664" s="14"/>
      <c r="I664" s="14"/>
      <c r="J664" s="14"/>
      <c r="K664" s="12"/>
    </row>
    <row r="665" ht="19.5" customHeight="1">
      <c r="A665" s="12"/>
      <c r="C665" s="12"/>
      <c r="D665" s="13"/>
      <c r="F665" s="14"/>
      <c r="G665" s="14"/>
      <c r="H665" s="14"/>
      <c r="I665" s="14"/>
      <c r="J665" s="14"/>
      <c r="K665" s="12"/>
    </row>
    <row r="666" ht="19.5" customHeight="1">
      <c r="A666" s="12"/>
      <c r="C666" s="12"/>
      <c r="D666" s="13"/>
      <c r="F666" s="14"/>
      <c r="G666" s="14"/>
      <c r="H666" s="14"/>
      <c r="I666" s="14"/>
      <c r="J666" s="14"/>
      <c r="K666" s="12"/>
    </row>
    <row r="667" ht="19.5" customHeight="1">
      <c r="A667" s="12"/>
      <c r="C667" s="12"/>
      <c r="D667" s="13"/>
      <c r="F667" s="14"/>
      <c r="G667" s="14"/>
      <c r="H667" s="14"/>
      <c r="I667" s="14"/>
      <c r="J667" s="14"/>
      <c r="K667" s="12"/>
    </row>
    <row r="668" ht="19.5" customHeight="1">
      <c r="A668" s="12"/>
      <c r="C668" s="12"/>
      <c r="D668" s="13"/>
      <c r="F668" s="14"/>
      <c r="G668" s="14"/>
      <c r="H668" s="14"/>
      <c r="I668" s="14"/>
      <c r="J668" s="14"/>
      <c r="K668" s="12"/>
    </row>
    <row r="669" ht="19.5" customHeight="1">
      <c r="A669" s="12"/>
      <c r="C669" s="12"/>
      <c r="D669" s="13"/>
      <c r="F669" s="14"/>
      <c r="G669" s="14"/>
      <c r="H669" s="14"/>
      <c r="I669" s="14"/>
      <c r="J669" s="14"/>
      <c r="K669" s="12"/>
    </row>
    <row r="670" ht="19.5" customHeight="1">
      <c r="A670" s="12"/>
      <c r="C670" s="12"/>
      <c r="D670" s="13"/>
      <c r="F670" s="14"/>
      <c r="G670" s="14"/>
      <c r="H670" s="14"/>
      <c r="I670" s="14"/>
      <c r="J670" s="14"/>
      <c r="K670" s="12"/>
    </row>
    <row r="671" ht="19.5" customHeight="1">
      <c r="A671" s="12"/>
      <c r="C671" s="12"/>
      <c r="D671" s="13"/>
      <c r="F671" s="14"/>
      <c r="G671" s="14"/>
      <c r="H671" s="14"/>
      <c r="I671" s="14"/>
      <c r="J671" s="14"/>
      <c r="K671" s="12"/>
    </row>
    <row r="672" ht="19.5" customHeight="1">
      <c r="A672" s="12"/>
      <c r="C672" s="12"/>
      <c r="D672" s="13"/>
      <c r="F672" s="14"/>
      <c r="G672" s="14"/>
      <c r="H672" s="14"/>
      <c r="I672" s="14"/>
      <c r="J672" s="14"/>
      <c r="K672" s="12"/>
    </row>
    <row r="673" ht="19.5" customHeight="1">
      <c r="A673" s="12"/>
      <c r="C673" s="12"/>
      <c r="D673" s="13"/>
      <c r="F673" s="14"/>
      <c r="G673" s="14"/>
      <c r="H673" s="14"/>
      <c r="I673" s="14"/>
      <c r="J673" s="14"/>
      <c r="K673" s="12"/>
    </row>
    <row r="674" ht="19.5" customHeight="1">
      <c r="A674" s="12"/>
      <c r="C674" s="12"/>
      <c r="D674" s="13"/>
      <c r="F674" s="14"/>
      <c r="G674" s="14"/>
      <c r="H674" s="14"/>
      <c r="I674" s="14"/>
      <c r="J674" s="14"/>
      <c r="K674" s="12"/>
    </row>
    <row r="675" ht="19.5" customHeight="1">
      <c r="A675" s="12"/>
      <c r="C675" s="12"/>
      <c r="D675" s="13"/>
      <c r="F675" s="14"/>
      <c r="G675" s="14"/>
      <c r="H675" s="14"/>
      <c r="I675" s="14"/>
      <c r="J675" s="14"/>
      <c r="K675" s="12"/>
    </row>
    <row r="676" ht="19.5" customHeight="1">
      <c r="A676" s="12"/>
      <c r="C676" s="12"/>
      <c r="D676" s="13"/>
      <c r="F676" s="14"/>
      <c r="G676" s="14"/>
      <c r="H676" s="14"/>
      <c r="I676" s="14"/>
      <c r="J676" s="14"/>
      <c r="K676" s="12"/>
    </row>
    <row r="677" ht="19.5" customHeight="1">
      <c r="A677" s="12"/>
      <c r="C677" s="12"/>
      <c r="D677" s="13"/>
      <c r="F677" s="14"/>
      <c r="G677" s="14"/>
      <c r="H677" s="14"/>
      <c r="I677" s="14"/>
      <c r="J677" s="14"/>
      <c r="K677" s="12"/>
    </row>
    <row r="678" ht="19.5" customHeight="1">
      <c r="A678" s="12"/>
      <c r="C678" s="12"/>
      <c r="D678" s="13"/>
      <c r="F678" s="14"/>
      <c r="G678" s="14"/>
      <c r="H678" s="14"/>
      <c r="I678" s="14"/>
      <c r="J678" s="14"/>
      <c r="K678" s="12"/>
    </row>
    <row r="679" ht="19.5" customHeight="1">
      <c r="A679" s="12"/>
      <c r="C679" s="12"/>
      <c r="D679" s="13"/>
      <c r="F679" s="14"/>
      <c r="G679" s="14"/>
      <c r="H679" s="14"/>
      <c r="I679" s="14"/>
      <c r="J679" s="14"/>
      <c r="K679" s="12"/>
    </row>
    <row r="680" ht="19.5" customHeight="1">
      <c r="A680" s="12"/>
      <c r="C680" s="12"/>
      <c r="D680" s="13"/>
      <c r="F680" s="14"/>
      <c r="G680" s="14"/>
      <c r="H680" s="14"/>
      <c r="I680" s="14"/>
      <c r="J680" s="14"/>
      <c r="K680" s="12"/>
    </row>
    <row r="681" ht="19.5" customHeight="1">
      <c r="A681" s="12"/>
      <c r="C681" s="12"/>
      <c r="D681" s="13"/>
      <c r="F681" s="14"/>
      <c r="G681" s="14"/>
      <c r="H681" s="14"/>
      <c r="I681" s="14"/>
      <c r="J681" s="14"/>
      <c r="K681" s="12"/>
    </row>
    <row r="682" ht="19.5" customHeight="1">
      <c r="A682" s="12"/>
      <c r="C682" s="12"/>
      <c r="D682" s="13"/>
      <c r="F682" s="14"/>
      <c r="G682" s="14"/>
      <c r="H682" s="14"/>
      <c r="I682" s="14"/>
      <c r="J682" s="14"/>
      <c r="K682" s="12"/>
    </row>
    <row r="683" ht="19.5" customHeight="1">
      <c r="A683" s="12"/>
      <c r="C683" s="12"/>
      <c r="D683" s="13"/>
      <c r="F683" s="14"/>
      <c r="G683" s="14"/>
      <c r="H683" s="14"/>
      <c r="I683" s="14"/>
      <c r="J683" s="14"/>
      <c r="K683" s="12"/>
    </row>
    <row r="684" ht="19.5" customHeight="1">
      <c r="A684" s="12"/>
      <c r="C684" s="12"/>
      <c r="D684" s="13"/>
      <c r="F684" s="14"/>
      <c r="G684" s="14"/>
      <c r="H684" s="14"/>
      <c r="I684" s="14"/>
      <c r="J684" s="14"/>
      <c r="K684" s="12"/>
    </row>
    <row r="685" ht="19.5" customHeight="1">
      <c r="A685" s="12"/>
      <c r="C685" s="12"/>
      <c r="D685" s="13"/>
      <c r="F685" s="14"/>
      <c r="G685" s="14"/>
      <c r="H685" s="14"/>
      <c r="I685" s="14"/>
      <c r="J685" s="14"/>
      <c r="K685" s="12"/>
    </row>
    <row r="686" ht="19.5" customHeight="1">
      <c r="A686" s="12"/>
      <c r="C686" s="12"/>
      <c r="D686" s="13"/>
      <c r="F686" s="14"/>
      <c r="G686" s="14"/>
      <c r="H686" s="14"/>
      <c r="I686" s="14"/>
      <c r="J686" s="14"/>
      <c r="K686" s="12"/>
    </row>
    <row r="687" ht="19.5" customHeight="1">
      <c r="A687" s="12"/>
      <c r="C687" s="12"/>
      <c r="D687" s="13"/>
      <c r="F687" s="14"/>
      <c r="G687" s="14"/>
      <c r="H687" s="14"/>
      <c r="I687" s="14"/>
      <c r="J687" s="14"/>
      <c r="K687" s="12"/>
    </row>
    <row r="688" ht="19.5" customHeight="1">
      <c r="A688" s="12"/>
      <c r="C688" s="12"/>
      <c r="D688" s="13"/>
      <c r="F688" s="14"/>
      <c r="G688" s="14"/>
      <c r="H688" s="14"/>
      <c r="I688" s="14"/>
      <c r="J688" s="14"/>
      <c r="K688" s="12"/>
    </row>
    <row r="689" ht="19.5" customHeight="1">
      <c r="A689" s="12"/>
      <c r="C689" s="12"/>
      <c r="D689" s="13"/>
      <c r="F689" s="14"/>
      <c r="G689" s="14"/>
      <c r="H689" s="14"/>
      <c r="I689" s="14"/>
      <c r="J689" s="14"/>
      <c r="K689" s="12"/>
    </row>
    <row r="690" ht="19.5" customHeight="1">
      <c r="A690" s="12"/>
      <c r="C690" s="12"/>
      <c r="D690" s="13"/>
      <c r="F690" s="14"/>
      <c r="G690" s="14"/>
      <c r="H690" s="14"/>
      <c r="I690" s="14"/>
      <c r="J690" s="14"/>
      <c r="K690" s="12"/>
    </row>
    <row r="691" ht="19.5" customHeight="1">
      <c r="A691" s="12"/>
      <c r="C691" s="12"/>
      <c r="D691" s="13"/>
      <c r="F691" s="14"/>
      <c r="G691" s="14"/>
      <c r="H691" s="14"/>
      <c r="I691" s="14"/>
      <c r="J691" s="14"/>
      <c r="K691" s="12"/>
    </row>
    <row r="692" ht="19.5" customHeight="1">
      <c r="A692" s="12"/>
      <c r="C692" s="12"/>
      <c r="D692" s="13"/>
      <c r="F692" s="14"/>
      <c r="G692" s="14"/>
      <c r="H692" s="14"/>
      <c r="I692" s="14"/>
      <c r="J692" s="14"/>
      <c r="K692" s="12"/>
    </row>
    <row r="693" ht="19.5" customHeight="1">
      <c r="A693" s="12"/>
      <c r="C693" s="12"/>
      <c r="D693" s="13"/>
      <c r="F693" s="14"/>
      <c r="G693" s="14"/>
      <c r="H693" s="14"/>
      <c r="I693" s="14"/>
      <c r="J693" s="14"/>
      <c r="K693" s="12"/>
    </row>
    <row r="694" ht="19.5" customHeight="1">
      <c r="A694" s="12"/>
      <c r="C694" s="12"/>
      <c r="D694" s="13"/>
      <c r="F694" s="14"/>
      <c r="G694" s="14"/>
      <c r="H694" s="14"/>
      <c r="I694" s="14"/>
      <c r="J694" s="14"/>
      <c r="K694" s="12"/>
    </row>
    <row r="695" ht="19.5" customHeight="1">
      <c r="A695" s="12"/>
      <c r="C695" s="12"/>
      <c r="D695" s="13"/>
      <c r="F695" s="14"/>
      <c r="G695" s="14"/>
      <c r="H695" s="14"/>
      <c r="I695" s="14"/>
      <c r="J695" s="14"/>
      <c r="K695" s="12"/>
    </row>
    <row r="696" ht="19.5" customHeight="1">
      <c r="A696" s="12"/>
      <c r="C696" s="12"/>
      <c r="D696" s="13"/>
      <c r="F696" s="14"/>
      <c r="G696" s="14"/>
      <c r="H696" s="14"/>
      <c r="I696" s="14"/>
      <c r="J696" s="14"/>
      <c r="K696" s="12"/>
    </row>
    <row r="697" ht="19.5" customHeight="1">
      <c r="A697" s="12"/>
      <c r="C697" s="12"/>
      <c r="D697" s="13"/>
      <c r="F697" s="14"/>
      <c r="G697" s="14"/>
      <c r="H697" s="14"/>
      <c r="I697" s="14"/>
      <c r="J697" s="14"/>
      <c r="K697" s="12"/>
    </row>
    <row r="698" ht="19.5" customHeight="1">
      <c r="A698" s="12"/>
      <c r="C698" s="12"/>
      <c r="D698" s="13"/>
      <c r="F698" s="14"/>
      <c r="G698" s="14"/>
      <c r="H698" s="14"/>
      <c r="I698" s="14"/>
      <c r="J698" s="14"/>
      <c r="K698" s="12"/>
    </row>
    <row r="699" ht="19.5" customHeight="1">
      <c r="A699" s="12"/>
      <c r="C699" s="12"/>
      <c r="D699" s="13"/>
      <c r="F699" s="14"/>
      <c r="G699" s="14"/>
      <c r="H699" s="14"/>
      <c r="I699" s="14"/>
      <c r="J699" s="14"/>
      <c r="K699" s="12"/>
    </row>
    <row r="700" ht="19.5" customHeight="1">
      <c r="A700" s="12"/>
      <c r="C700" s="12"/>
      <c r="D700" s="13"/>
      <c r="F700" s="14"/>
      <c r="G700" s="14"/>
      <c r="H700" s="14"/>
      <c r="I700" s="14"/>
      <c r="J700" s="14"/>
      <c r="K700" s="12"/>
    </row>
    <row r="701" ht="19.5" customHeight="1">
      <c r="A701" s="12"/>
      <c r="C701" s="12"/>
      <c r="D701" s="13"/>
      <c r="F701" s="14"/>
      <c r="G701" s="14"/>
      <c r="H701" s="14"/>
      <c r="I701" s="14"/>
      <c r="J701" s="14"/>
      <c r="K701" s="12"/>
    </row>
    <row r="702" ht="19.5" customHeight="1">
      <c r="A702" s="12"/>
      <c r="C702" s="12"/>
      <c r="D702" s="13"/>
      <c r="F702" s="14"/>
      <c r="G702" s="14"/>
      <c r="H702" s="14"/>
      <c r="I702" s="14"/>
      <c r="J702" s="14"/>
      <c r="K702" s="12"/>
    </row>
    <row r="703" ht="19.5" customHeight="1">
      <c r="A703" s="12"/>
      <c r="C703" s="12"/>
      <c r="D703" s="13"/>
      <c r="F703" s="14"/>
      <c r="G703" s="14"/>
      <c r="H703" s="14"/>
      <c r="I703" s="14"/>
      <c r="J703" s="14"/>
      <c r="K703" s="12"/>
    </row>
    <row r="704" ht="19.5" customHeight="1">
      <c r="A704" s="12"/>
      <c r="C704" s="12"/>
      <c r="D704" s="13"/>
      <c r="F704" s="14"/>
      <c r="G704" s="14"/>
      <c r="H704" s="14"/>
      <c r="I704" s="14"/>
      <c r="J704" s="14"/>
      <c r="K704" s="12"/>
    </row>
    <row r="705" ht="19.5" customHeight="1">
      <c r="A705" s="12"/>
      <c r="C705" s="12"/>
      <c r="D705" s="13"/>
      <c r="F705" s="14"/>
      <c r="G705" s="14"/>
      <c r="H705" s="14"/>
      <c r="I705" s="14"/>
      <c r="J705" s="14"/>
      <c r="K705" s="12"/>
    </row>
    <row r="706" ht="19.5" customHeight="1">
      <c r="A706" s="12"/>
      <c r="C706" s="12"/>
      <c r="D706" s="13"/>
      <c r="F706" s="14"/>
      <c r="G706" s="14"/>
      <c r="H706" s="14"/>
      <c r="I706" s="14"/>
      <c r="J706" s="14"/>
      <c r="K706" s="12"/>
    </row>
    <row r="707" ht="19.5" customHeight="1">
      <c r="A707" s="12"/>
      <c r="C707" s="12"/>
      <c r="D707" s="13"/>
      <c r="F707" s="14"/>
      <c r="G707" s="14"/>
      <c r="H707" s="14"/>
      <c r="I707" s="14"/>
      <c r="J707" s="14"/>
      <c r="K707" s="12"/>
    </row>
    <row r="708" ht="19.5" customHeight="1">
      <c r="A708" s="12"/>
      <c r="C708" s="12"/>
      <c r="D708" s="13"/>
      <c r="F708" s="14"/>
      <c r="G708" s="14"/>
      <c r="H708" s="14"/>
      <c r="I708" s="14"/>
      <c r="J708" s="14"/>
      <c r="K708" s="12"/>
    </row>
    <row r="709" ht="19.5" customHeight="1">
      <c r="A709" s="12"/>
      <c r="C709" s="12"/>
      <c r="D709" s="13"/>
      <c r="F709" s="14"/>
      <c r="G709" s="14"/>
      <c r="H709" s="14"/>
      <c r="I709" s="14"/>
      <c r="J709" s="14"/>
      <c r="K709" s="12"/>
    </row>
    <row r="710" ht="19.5" customHeight="1">
      <c r="A710" s="12"/>
      <c r="C710" s="12"/>
      <c r="D710" s="13"/>
      <c r="F710" s="14"/>
      <c r="G710" s="14"/>
      <c r="H710" s="14"/>
      <c r="I710" s="14"/>
      <c r="J710" s="14"/>
      <c r="K710" s="12"/>
    </row>
    <row r="711" ht="19.5" customHeight="1">
      <c r="A711" s="12"/>
      <c r="C711" s="12"/>
      <c r="D711" s="13"/>
      <c r="F711" s="14"/>
      <c r="G711" s="14"/>
      <c r="H711" s="14"/>
      <c r="I711" s="14"/>
      <c r="J711" s="14"/>
      <c r="K711" s="12"/>
    </row>
    <row r="712" ht="19.5" customHeight="1">
      <c r="A712" s="12"/>
      <c r="C712" s="12"/>
      <c r="D712" s="13"/>
      <c r="F712" s="14"/>
      <c r="G712" s="14"/>
      <c r="H712" s="14"/>
      <c r="I712" s="14"/>
      <c r="J712" s="14"/>
      <c r="K712" s="12"/>
    </row>
    <row r="713" ht="19.5" customHeight="1">
      <c r="A713" s="12"/>
      <c r="C713" s="12"/>
      <c r="D713" s="13"/>
      <c r="F713" s="14"/>
      <c r="G713" s="14"/>
      <c r="H713" s="14"/>
      <c r="I713" s="14"/>
      <c r="J713" s="14"/>
      <c r="K713" s="12"/>
    </row>
    <row r="714" ht="19.5" customHeight="1">
      <c r="A714" s="12"/>
      <c r="C714" s="12"/>
      <c r="D714" s="13"/>
      <c r="F714" s="14"/>
      <c r="G714" s="14"/>
      <c r="H714" s="14"/>
      <c r="I714" s="14"/>
      <c r="J714" s="14"/>
      <c r="K714" s="12"/>
    </row>
    <row r="715" ht="19.5" customHeight="1">
      <c r="A715" s="12"/>
      <c r="C715" s="12"/>
      <c r="D715" s="13"/>
      <c r="F715" s="14"/>
      <c r="G715" s="14"/>
      <c r="H715" s="14"/>
      <c r="I715" s="14"/>
      <c r="J715" s="14"/>
      <c r="K715" s="12"/>
    </row>
    <row r="716" ht="19.5" customHeight="1">
      <c r="A716" s="12"/>
      <c r="C716" s="12"/>
      <c r="D716" s="13"/>
      <c r="F716" s="14"/>
      <c r="G716" s="14"/>
      <c r="H716" s="14"/>
      <c r="I716" s="14"/>
      <c r="J716" s="14"/>
      <c r="K716" s="12"/>
    </row>
    <row r="717" ht="19.5" customHeight="1">
      <c r="A717" s="12"/>
      <c r="C717" s="12"/>
      <c r="D717" s="13"/>
      <c r="F717" s="14"/>
      <c r="G717" s="14"/>
      <c r="H717" s="14"/>
      <c r="I717" s="14"/>
      <c r="J717" s="14"/>
      <c r="K717" s="12"/>
    </row>
    <row r="718" ht="19.5" customHeight="1">
      <c r="A718" s="12"/>
      <c r="C718" s="12"/>
      <c r="D718" s="13"/>
      <c r="F718" s="14"/>
      <c r="G718" s="14"/>
      <c r="H718" s="14"/>
      <c r="I718" s="14"/>
      <c r="J718" s="14"/>
      <c r="K718" s="12"/>
    </row>
    <row r="719" ht="19.5" customHeight="1">
      <c r="A719" s="12"/>
      <c r="C719" s="12"/>
      <c r="D719" s="13"/>
      <c r="F719" s="14"/>
      <c r="G719" s="14"/>
      <c r="H719" s="14"/>
      <c r="I719" s="14"/>
      <c r="J719" s="14"/>
      <c r="K719" s="12"/>
    </row>
    <row r="720" ht="19.5" customHeight="1">
      <c r="A720" s="12"/>
      <c r="C720" s="12"/>
      <c r="D720" s="13"/>
      <c r="F720" s="14"/>
      <c r="G720" s="14"/>
      <c r="H720" s="14"/>
      <c r="I720" s="14"/>
      <c r="J720" s="14"/>
      <c r="K720" s="12"/>
    </row>
    <row r="721" ht="19.5" customHeight="1">
      <c r="A721" s="12"/>
      <c r="C721" s="12"/>
      <c r="D721" s="13"/>
      <c r="F721" s="14"/>
      <c r="G721" s="14"/>
      <c r="H721" s="14"/>
      <c r="I721" s="14"/>
      <c r="J721" s="14"/>
      <c r="K721" s="12"/>
    </row>
    <row r="722" ht="19.5" customHeight="1">
      <c r="A722" s="12"/>
      <c r="C722" s="12"/>
      <c r="D722" s="13"/>
      <c r="F722" s="14"/>
      <c r="G722" s="14"/>
      <c r="H722" s="14"/>
      <c r="I722" s="14"/>
      <c r="J722" s="14"/>
      <c r="K722" s="12"/>
    </row>
    <row r="723" ht="19.5" customHeight="1">
      <c r="A723" s="12"/>
      <c r="C723" s="12"/>
      <c r="D723" s="13"/>
      <c r="F723" s="14"/>
      <c r="G723" s="14"/>
      <c r="H723" s="14"/>
      <c r="I723" s="14"/>
      <c r="J723" s="14"/>
      <c r="K723" s="12"/>
    </row>
    <row r="724" ht="19.5" customHeight="1">
      <c r="A724" s="12"/>
      <c r="C724" s="12"/>
      <c r="D724" s="13"/>
      <c r="F724" s="14"/>
      <c r="G724" s="14"/>
      <c r="H724" s="14"/>
      <c r="I724" s="14"/>
      <c r="J724" s="14"/>
      <c r="K724" s="12"/>
    </row>
    <row r="725" ht="19.5" customHeight="1">
      <c r="A725" s="12"/>
      <c r="C725" s="12"/>
      <c r="D725" s="13"/>
      <c r="F725" s="14"/>
      <c r="G725" s="14"/>
      <c r="H725" s="14"/>
      <c r="I725" s="14"/>
      <c r="J725" s="14"/>
      <c r="K725" s="12"/>
    </row>
    <row r="726" ht="19.5" customHeight="1">
      <c r="A726" s="12"/>
      <c r="C726" s="12"/>
      <c r="D726" s="13"/>
      <c r="F726" s="14"/>
      <c r="G726" s="14"/>
      <c r="H726" s="14"/>
      <c r="I726" s="14"/>
      <c r="J726" s="14"/>
      <c r="K726" s="12"/>
    </row>
    <row r="727" ht="19.5" customHeight="1">
      <c r="A727" s="12"/>
      <c r="C727" s="12"/>
      <c r="D727" s="13"/>
      <c r="F727" s="14"/>
      <c r="G727" s="14"/>
      <c r="H727" s="14"/>
      <c r="I727" s="14"/>
      <c r="J727" s="14"/>
      <c r="K727" s="12"/>
    </row>
    <row r="728" ht="19.5" customHeight="1">
      <c r="A728" s="12"/>
      <c r="C728" s="12"/>
      <c r="D728" s="13"/>
      <c r="F728" s="14"/>
      <c r="G728" s="14"/>
      <c r="H728" s="14"/>
      <c r="I728" s="14"/>
      <c r="J728" s="14"/>
      <c r="K728" s="12"/>
    </row>
    <row r="729" ht="19.5" customHeight="1">
      <c r="A729" s="12"/>
      <c r="C729" s="12"/>
      <c r="D729" s="13"/>
      <c r="F729" s="14"/>
      <c r="G729" s="14"/>
      <c r="H729" s="14"/>
      <c r="I729" s="14"/>
      <c r="J729" s="14"/>
      <c r="K729" s="12"/>
    </row>
    <row r="730" ht="19.5" customHeight="1">
      <c r="A730" s="12"/>
      <c r="C730" s="12"/>
      <c r="D730" s="13"/>
      <c r="F730" s="14"/>
      <c r="G730" s="14"/>
      <c r="H730" s="14"/>
      <c r="I730" s="14"/>
      <c r="J730" s="14"/>
      <c r="K730" s="12"/>
    </row>
    <row r="731" ht="19.5" customHeight="1">
      <c r="A731" s="12"/>
      <c r="C731" s="12"/>
      <c r="D731" s="13"/>
      <c r="F731" s="14"/>
      <c r="G731" s="14"/>
      <c r="H731" s="14"/>
      <c r="I731" s="14"/>
      <c r="J731" s="14"/>
      <c r="K731" s="12"/>
    </row>
    <row r="732" ht="19.5" customHeight="1">
      <c r="A732" s="12"/>
      <c r="C732" s="12"/>
      <c r="D732" s="13"/>
      <c r="F732" s="14"/>
      <c r="G732" s="14"/>
      <c r="H732" s="14"/>
      <c r="I732" s="14"/>
      <c r="J732" s="14"/>
      <c r="K732" s="12"/>
    </row>
    <row r="733" ht="19.5" customHeight="1">
      <c r="A733" s="12"/>
      <c r="C733" s="12"/>
      <c r="D733" s="13"/>
      <c r="F733" s="14"/>
      <c r="G733" s="14"/>
      <c r="H733" s="14"/>
      <c r="I733" s="14"/>
      <c r="J733" s="14"/>
      <c r="K733" s="12"/>
    </row>
    <row r="734" ht="19.5" customHeight="1">
      <c r="A734" s="12"/>
      <c r="C734" s="12"/>
      <c r="D734" s="13"/>
      <c r="F734" s="14"/>
      <c r="G734" s="14"/>
      <c r="H734" s="14"/>
      <c r="I734" s="14"/>
      <c r="J734" s="14"/>
      <c r="K734" s="12"/>
    </row>
    <row r="735" ht="19.5" customHeight="1">
      <c r="A735" s="12"/>
      <c r="C735" s="12"/>
      <c r="D735" s="13"/>
      <c r="F735" s="14"/>
      <c r="G735" s="14"/>
      <c r="H735" s="14"/>
      <c r="I735" s="14"/>
      <c r="J735" s="14"/>
      <c r="K735" s="12"/>
    </row>
    <row r="736" ht="19.5" customHeight="1">
      <c r="A736" s="12"/>
      <c r="C736" s="12"/>
      <c r="D736" s="13"/>
      <c r="F736" s="14"/>
      <c r="G736" s="14"/>
      <c r="H736" s="14"/>
      <c r="I736" s="14"/>
      <c r="J736" s="14"/>
      <c r="K736" s="12"/>
    </row>
    <row r="737" ht="19.5" customHeight="1">
      <c r="A737" s="12"/>
      <c r="C737" s="12"/>
      <c r="D737" s="13"/>
      <c r="F737" s="14"/>
      <c r="G737" s="14"/>
      <c r="H737" s="14"/>
      <c r="I737" s="14"/>
      <c r="J737" s="14"/>
      <c r="K737" s="12"/>
    </row>
    <row r="738" ht="19.5" customHeight="1">
      <c r="A738" s="12"/>
      <c r="C738" s="12"/>
      <c r="D738" s="13"/>
      <c r="F738" s="14"/>
      <c r="G738" s="14"/>
      <c r="H738" s="14"/>
      <c r="I738" s="14"/>
      <c r="J738" s="14"/>
      <c r="K738" s="12"/>
    </row>
    <row r="739" ht="19.5" customHeight="1">
      <c r="A739" s="12"/>
      <c r="C739" s="12"/>
      <c r="D739" s="13"/>
      <c r="F739" s="14"/>
      <c r="G739" s="14"/>
      <c r="H739" s="14"/>
      <c r="I739" s="14"/>
      <c r="J739" s="14"/>
      <c r="K739" s="12"/>
    </row>
    <row r="740" ht="19.5" customHeight="1">
      <c r="A740" s="12"/>
      <c r="C740" s="12"/>
      <c r="D740" s="13"/>
      <c r="F740" s="14"/>
      <c r="G740" s="14"/>
      <c r="H740" s="14"/>
      <c r="I740" s="14"/>
      <c r="J740" s="14"/>
      <c r="K740" s="12"/>
    </row>
    <row r="741" ht="19.5" customHeight="1">
      <c r="A741" s="12"/>
      <c r="C741" s="12"/>
      <c r="D741" s="13"/>
      <c r="F741" s="14"/>
      <c r="G741" s="14"/>
      <c r="H741" s="14"/>
      <c r="I741" s="14"/>
      <c r="J741" s="14"/>
      <c r="K741" s="12"/>
    </row>
    <row r="742" ht="19.5" customHeight="1">
      <c r="A742" s="12"/>
      <c r="C742" s="12"/>
      <c r="D742" s="13"/>
      <c r="F742" s="14"/>
      <c r="G742" s="14"/>
      <c r="H742" s="14"/>
      <c r="I742" s="14"/>
      <c r="J742" s="14"/>
      <c r="K742" s="12"/>
    </row>
    <row r="743" ht="19.5" customHeight="1">
      <c r="A743" s="12"/>
      <c r="C743" s="12"/>
      <c r="D743" s="13"/>
      <c r="F743" s="14"/>
      <c r="G743" s="14"/>
      <c r="H743" s="14"/>
      <c r="I743" s="14"/>
      <c r="J743" s="14"/>
      <c r="K743" s="12"/>
    </row>
    <row r="744" ht="19.5" customHeight="1">
      <c r="A744" s="12"/>
      <c r="C744" s="12"/>
      <c r="D744" s="13"/>
      <c r="F744" s="14"/>
      <c r="G744" s="14"/>
      <c r="H744" s="14"/>
      <c r="I744" s="14"/>
      <c r="J744" s="14"/>
      <c r="K744" s="12"/>
    </row>
    <row r="745" ht="19.5" customHeight="1">
      <c r="A745" s="12"/>
      <c r="C745" s="12"/>
      <c r="D745" s="13"/>
      <c r="F745" s="14"/>
      <c r="G745" s="14"/>
      <c r="H745" s="14"/>
      <c r="I745" s="14"/>
      <c r="J745" s="14"/>
      <c r="K745" s="12"/>
    </row>
    <row r="746" ht="19.5" customHeight="1">
      <c r="A746" s="12"/>
      <c r="C746" s="12"/>
      <c r="D746" s="13"/>
      <c r="F746" s="14"/>
      <c r="G746" s="14"/>
      <c r="H746" s="14"/>
      <c r="I746" s="14"/>
      <c r="J746" s="14"/>
      <c r="K746" s="12"/>
    </row>
    <row r="747" ht="19.5" customHeight="1">
      <c r="A747" s="12"/>
      <c r="C747" s="12"/>
      <c r="D747" s="13"/>
      <c r="F747" s="14"/>
      <c r="G747" s="14"/>
      <c r="H747" s="14"/>
      <c r="I747" s="14"/>
      <c r="J747" s="14"/>
      <c r="K747" s="12"/>
    </row>
    <row r="748" ht="19.5" customHeight="1">
      <c r="A748" s="12"/>
      <c r="C748" s="12"/>
      <c r="D748" s="13"/>
      <c r="F748" s="14"/>
      <c r="G748" s="14"/>
      <c r="H748" s="14"/>
      <c r="I748" s="14"/>
      <c r="J748" s="14"/>
      <c r="K748" s="12"/>
    </row>
    <row r="749" ht="19.5" customHeight="1">
      <c r="A749" s="12"/>
      <c r="C749" s="12"/>
      <c r="D749" s="13"/>
      <c r="F749" s="14"/>
      <c r="G749" s="14"/>
      <c r="H749" s="14"/>
      <c r="I749" s="14"/>
      <c r="J749" s="14"/>
      <c r="K749" s="12"/>
    </row>
    <row r="750" ht="19.5" customHeight="1">
      <c r="A750" s="12"/>
      <c r="C750" s="12"/>
      <c r="D750" s="13"/>
      <c r="F750" s="14"/>
      <c r="G750" s="14"/>
      <c r="H750" s="14"/>
      <c r="I750" s="14"/>
      <c r="J750" s="14"/>
      <c r="K750" s="12"/>
    </row>
    <row r="751" ht="19.5" customHeight="1">
      <c r="A751" s="12"/>
      <c r="C751" s="12"/>
      <c r="D751" s="13"/>
      <c r="F751" s="14"/>
      <c r="G751" s="14"/>
      <c r="H751" s="14"/>
      <c r="I751" s="14"/>
      <c r="J751" s="14"/>
      <c r="K751" s="12"/>
    </row>
    <row r="752" ht="19.5" customHeight="1">
      <c r="A752" s="12"/>
      <c r="C752" s="12"/>
      <c r="D752" s="13"/>
      <c r="F752" s="14"/>
      <c r="G752" s="14"/>
      <c r="H752" s="14"/>
      <c r="I752" s="14"/>
      <c r="J752" s="14"/>
      <c r="K752" s="12"/>
    </row>
    <row r="753" ht="19.5" customHeight="1">
      <c r="A753" s="12"/>
      <c r="C753" s="12"/>
      <c r="D753" s="13"/>
      <c r="F753" s="14"/>
      <c r="G753" s="14"/>
      <c r="H753" s="14"/>
      <c r="I753" s="14"/>
      <c r="J753" s="14"/>
      <c r="K753" s="12"/>
    </row>
    <row r="754" ht="19.5" customHeight="1">
      <c r="A754" s="12"/>
      <c r="C754" s="12"/>
      <c r="D754" s="13"/>
      <c r="F754" s="14"/>
      <c r="G754" s="14"/>
      <c r="H754" s="14"/>
      <c r="I754" s="14"/>
      <c r="J754" s="14"/>
      <c r="K754" s="12"/>
    </row>
    <row r="755" ht="19.5" customHeight="1">
      <c r="A755" s="12"/>
      <c r="C755" s="12"/>
      <c r="D755" s="13"/>
      <c r="F755" s="14"/>
      <c r="G755" s="14"/>
      <c r="H755" s="14"/>
      <c r="I755" s="14"/>
      <c r="J755" s="14"/>
      <c r="K755" s="12"/>
    </row>
    <row r="756" ht="19.5" customHeight="1">
      <c r="A756" s="12"/>
      <c r="C756" s="12"/>
      <c r="D756" s="13"/>
      <c r="F756" s="14"/>
      <c r="G756" s="14"/>
      <c r="H756" s="14"/>
      <c r="I756" s="14"/>
      <c r="J756" s="14"/>
      <c r="K756" s="12"/>
    </row>
    <row r="757" ht="19.5" customHeight="1">
      <c r="A757" s="12"/>
      <c r="C757" s="12"/>
      <c r="D757" s="13"/>
      <c r="F757" s="14"/>
      <c r="G757" s="14"/>
      <c r="H757" s="14"/>
      <c r="I757" s="14"/>
      <c r="J757" s="14"/>
      <c r="K757" s="12"/>
    </row>
    <row r="758" ht="19.5" customHeight="1">
      <c r="A758" s="12"/>
      <c r="C758" s="12"/>
      <c r="D758" s="13"/>
      <c r="F758" s="14"/>
      <c r="G758" s="14"/>
      <c r="H758" s="14"/>
      <c r="I758" s="14"/>
      <c r="J758" s="14"/>
      <c r="K758" s="12"/>
    </row>
    <row r="759" ht="19.5" customHeight="1">
      <c r="A759" s="12"/>
      <c r="C759" s="12"/>
      <c r="D759" s="13"/>
      <c r="F759" s="14"/>
      <c r="G759" s="14"/>
      <c r="H759" s="14"/>
      <c r="I759" s="14"/>
      <c r="J759" s="14"/>
      <c r="K759" s="12"/>
    </row>
    <row r="760" ht="19.5" customHeight="1">
      <c r="A760" s="12"/>
      <c r="C760" s="12"/>
      <c r="D760" s="13"/>
      <c r="F760" s="14"/>
      <c r="G760" s="14"/>
      <c r="H760" s="14"/>
      <c r="I760" s="14"/>
      <c r="J760" s="14"/>
      <c r="K760" s="12"/>
    </row>
    <row r="761" ht="19.5" customHeight="1">
      <c r="A761" s="12"/>
      <c r="C761" s="12"/>
      <c r="D761" s="13"/>
      <c r="F761" s="14"/>
      <c r="G761" s="14"/>
      <c r="H761" s="14"/>
      <c r="I761" s="14"/>
      <c r="J761" s="14"/>
      <c r="K761" s="12"/>
    </row>
    <row r="762" ht="19.5" customHeight="1">
      <c r="A762" s="12"/>
      <c r="C762" s="12"/>
      <c r="D762" s="13"/>
      <c r="F762" s="14"/>
      <c r="G762" s="14"/>
      <c r="H762" s="14"/>
      <c r="I762" s="14"/>
      <c r="J762" s="14"/>
      <c r="K762" s="12"/>
    </row>
    <row r="763" ht="19.5" customHeight="1">
      <c r="A763" s="12"/>
      <c r="C763" s="12"/>
      <c r="D763" s="13"/>
      <c r="F763" s="14"/>
      <c r="G763" s="14"/>
      <c r="H763" s="14"/>
      <c r="I763" s="14"/>
      <c r="J763" s="14"/>
      <c r="K763" s="12"/>
    </row>
    <row r="764" ht="19.5" customHeight="1">
      <c r="A764" s="12"/>
      <c r="C764" s="12"/>
      <c r="D764" s="13"/>
      <c r="F764" s="14"/>
      <c r="G764" s="14"/>
      <c r="H764" s="14"/>
      <c r="I764" s="14"/>
      <c r="J764" s="14"/>
      <c r="K764" s="12"/>
    </row>
    <row r="765" ht="19.5" customHeight="1">
      <c r="A765" s="12"/>
      <c r="C765" s="12"/>
      <c r="D765" s="13"/>
      <c r="F765" s="14"/>
      <c r="G765" s="14"/>
      <c r="H765" s="14"/>
      <c r="I765" s="14"/>
      <c r="J765" s="14"/>
      <c r="K765" s="12"/>
    </row>
    <row r="766" ht="19.5" customHeight="1">
      <c r="A766" s="12"/>
      <c r="C766" s="12"/>
      <c r="D766" s="13"/>
      <c r="F766" s="14"/>
      <c r="G766" s="14"/>
      <c r="H766" s="14"/>
      <c r="I766" s="14"/>
      <c r="J766" s="14"/>
      <c r="K766" s="12"/>
    </row>
    <row r="767" ht="19.5" customHeight="1">
      <c r="A767" s="12"/>
      <c r="C767" s="12"/>
      <c r="D767" s="13"/>
      <c r="F767" s="14"/>
      <c r="G767" s="14"/>
      <c r="H767" s="14"/>
      <c r="I767" s="14"/>
      <c r="J767" s="14"/>
      <c r="K767" s="12"/>
    </row>
    <row r="768" ht="19.5" customHeight="1">
      <c r="A768" s="12"/>
      <c r="C768" s="12"/>
      <c r="D768" s="13"/>
      <c r="F768" s="14"/>
      <c r="G768" s="14"/>
      <c r="H768" s="14"/>
      <c r="I768" s="14"/>
      <c r="J768" s="14"/>
      <c r="K768" s="12"/>
    </row>
    <row r="769" ht="19.5" customHeight="1">
      <c r="A769" s="12"/>
      <c r="C769" s="12"/>
      <c r="D769" s="13"/>
      <c r="F769" s="14"/>
      <c r="G769" s="14"/>
      <c r="H769" s="14"/>
      <c r="I769" s="14"/>
      <c r="J769" s="14"/>
      <c r="K769" s="12"/>
    </row>
    <row r="770" ht="19.5" customHeight="1">
      <c r="A770" s="12"/>
      <c r="C770" s="12"/>
      <c r="D770" s="13"/>
      <c r="F770" s="14"/>
      <c r="G770" s="14"/>
      <c r="H770" s="14"/>
      <c r="I770" s="14"/>
      <c r="J770" s="14"/>
      <c r="K770" s="12"/>
    </row>
    <row r="771" ht="19.5" customHeight="1">
      <c r="A771" s="12"/>
      <c r="C771" s="12"/>
      <c r="D771" s="13"/>
      <c r="F771" s="14"/>
      <c r="G771" s="14"/>
      <c r="H771" s="14"/>
      <c r="I771" s="14"/>
      <c r="J771" s="14"/>
      <c r="K771" s="12"/>
    </row>
    <row r="772" ht="19.5" customHeight="1">
      <c r="A772" s="12"/>
      <c r="C772" s="12"/>
      <c r="D772" s="13"/>
      <c r="F772" s="14"/>
      <c r="G772" s="14"/>
      <c r="H772" s="14"/>
      <c r="I772" s="14"/>
      <c r="J772" s="14"/>
      <c r="K772" s="12"/>
    </row>
    <row r="773" ht="19.5" customHeight="1">
      <c r="A773" s="12"/>
      <c r="C773" s="12"/>
      <c r="D773" s="13"/>
      <c r="F773" s="14"/>
      <c r="G773" s="14"/>
      <c r="H773" s="14"/>
      <c r="I773" s="14"/>
      <c r="J773" s="14"/>
      <c r="K773" s="12"/>
    </row>
    <row r="774" ht="19.5" customHeight="1">
      <c r="A774" s="12"/>
      <c r="C774" s="12"/>
      <c r="D774" s="13"/>
      <c r="F774" s="14"/>
      <c r="G774" s="14"/>
      <c r="H774" s="14"/>
      <c r="I774" s="14"/>
      <c r="J774" s="14"/>
      <c r="K774" s="12"/>
    </row>
    <row r="775" ht="19.5" customHeight="1">
      <c r="A775" s="12"/>
      <c r="C775" s="12"/>
      <c r="D775" s="13"/>
      <c r="F775" s="14"/>
      <c r="G775" s="14"/>
      <c r="H775" s="14"/>
      <c r="I775" s="14"/>
      <c r="J775" s="14"/>
      <c r="K775" s="12"/>
    </row>
    <row r="776" ht="19.5" customHeight="1">
      <c r="A776" s="12"/>
      <c r="C776" s="12"/>
      <c r="D776" s="13"/>
      <c r="F776" s="14"/>
      <c r="G776" s="14"/>
      <c r="H776" s="14"/>
      <c r="I776" s="14"/>
      <c r="J776" s="14"/>
      <c r="K776" s="12"/>
    </row>
    <row r="777" ht="19.5" customHeight="1">
      <c r="A777" s="12"/>
      <c r="C777" s="12"/>
      <c r="D777" s="13"/>
      <c r="F777" s="14"/>
      <c r="G777" s="14"/>
      <c r="H777" s="14"/>
      <c r="I777" s="14"/>
      <c r="J777" s="14"/>
      <c r="K777" s="12"/>
    </row>
    <row r="778" ht="19.5" customHeight="1">
      <c r="A778" s="12"/>
      <c r="C778" s="12"/>
      <c r="D778" s="13"/>
      <c r="F778" s="14"/>
      <c r="G778" s="14"/>
      <c r="H778" s="14"/>
      <c r="I778" s="14"/>
      <c r="J778" s="14"/>
      <c r="K778" s="12"/>
    </row>
    <row r="779" ht="19.5" customHeight="1">
      <c r="A779" s="12"/>
      <c r="C779" s="12"/>
      <c r="D779" s="13"/>
      <c r="F779" s="14"/>
      <c r="G779" s="14"/>
      <c r="H779" s="14"/>
      <c r="I779" s="14"/>
      <c r="J779" s="14"/>
      <c r="K779" s="12"/>
    </row>
    <row r="780" ht="19.5" customHeight="1">
      <c r="A780" s="12"/>
      <c r="C780" s="12"/>
      <c r="D780" s="13"/>
      <c r="F780" s="14"/>
      <c r="G780" s="14"/>
      <c r="H780" s="14"/>
      <c r="I780" s="14"/>
      <c r="J780" s="14"/>
      <c r="K780" s="12"/>
    </row>
    <row r="781" ht="19.5" customHeight="1">
      <c r="A781" s="12"/>
      <c r="C781" s="12"/>
      <c r="D781" s="13"/>
      <c r="F781" s="14"/>
      <c r="G781" s="14"/>
      <c r="H781" s="14"/>
      <c r="I781" s="14"/>
      <c r="J781" s="14"/>
      <c r="K781" s="12"/>
    </row>
    <row r="782" ht="19.5" customHeight="1">
      <c r="A782" s="12"/>
      <c r="C782" s="12"/>
      <c r="D782" s="13"/>
      <c r="F782" s="14"/>
      <c r="G782" s="14"/>
      <c r="H782" s="14"/>
      <c r="I782" s="14"/>
      <c r="J782" s="14"/>
      <c r="K782" s="12"/>
    </row>
    <row r="783" ht="19.5" customHeight="1">
      <c r="A783" s="12"/>
      <c r="C783" s="12"/>
      <c r="D783" s="13"/>
      <c r="F783" s="14"/>
      <c r="G783" s="14"/>
      <c r="H783" s="14"/>
      <c r="I783" s="14"/>
      <c r="J783" s="14"/>
      <c r="K783" s="12"/>
    </row>
    <row r="784" ht="19.5" customHeight="1">
      <c r="A784" s="12"/>
      <c r="C784" s="12"/>
      <c r="D784" s="13"/>
      <c r="F784" s="14"/>
      <c r="G784" s="14"/>
      <c r="H784" s="14"/>
      <c r="I784" s="14"/>
      <c r="J784" s="14"/>
      <c r="K784" s="12"/>
    </row>
    <row r="785" ht="19.5" customHeight="1">
      <c r="A785" s="12"/>
      <c r="C785" s="12"/>
      <c r="D785" s="13"/>
      <c r="F785" s="14"/>
      <c r="G785" s="14"/>
      <c r="H785" s="14"/>
      <c r="I785" s="14"/>
      <c r="J785" s="14"/>
      <c r="K785" s="12"/>
    </row>
    <row r="786" ht="19.5" customHeight="1">
      <c r="A786" s="12"/>
      <c r="C786" s="12"/>
      <c r="D786" s="13"/>
      <c r="F786" s="14"/>
      <c r="G786" s="14"/>
      <c r="H786" s="14"/>
      <c r="I786" s="14"/>
      <c r="J786" s="14"/>
      <c r="K786" s="12"/>
    </row>
    <row r="787" ht="19.5" customHeight="1">
      <c r="A787" s="12"/>
      <c r="C787" s="12"/>
      <c r="D787" s="13"/>
      <c r="F787" s="14"/>
      <c r="G787" s="14"/>
      <c r="H787" s="14"/>
      <c r="I787" s="14"/>
      <c r="J787" s="14"/>
      <c r="K787" s="12"/>
    </row>
    <row r="788" ht="19.5" customHeight="1">
      <c r="A788" s="12"/>
      <c r="C788" s="12"/>
      <c r="D788" s="13"/>
      <c r="F788" s="14"/>
      <c r="G788" s="14"/>
      <c r="H788" s="14"/>
      <c r="I788" s="14"/>
      <c r="J788" s="14"/>
      <c r="K788" s="12"/>
    </row>
    <row r="789" ht="19.5" customHeight="1">
      <c r="A789" s="12"/>
      <c r="C789" s="12"/>
      <c r="D789" s="13"/>
      <c r="F789" s="14"/>
      <c r="G789" s="14"/>
      <c r="H789" s="14"/>
      <c r="I789" s="14"/>
      <c r="J789" s="14"/>
      <c r="K789" s="12"/>
    </row>
    <row r="790" ht="19.5" customHeight="1">
      <c r="A790" s="12"/>
      <c r="C790" s="12"/>
      <c r="D790" s="13"/>
      <c r="F790" s="14"/>
      <c r="G790" s="14"/>
      <c r="H790" s="14"/>
      <c r="I790" s="14"/>
      <c r="J790" s="14"/>
      <c r="K790" s="12"/>
    </row>
    <row r="791" ht="19.5" customHeight="1">
      <c r="A791" s="12"/>
      <c r="C791" s="12"/>
      <c r="D791" s="13"/>
      <c r="F791" s="14"/>
      <c r="G791" s="14"/>
      <c r="H791" s="14"/>
      <c r="I791" s="14"/>
      <c r="J791" s="14"/>
      <c r="K791" s="12"/>
    </row>
    <row r="792" ht="19.5" customHeight="1">
      <c r="A792" s="12"/>
      <c r="C792" s="12"/>
      <c r="D792" s="13"/>
      <c r="F792" s="14"/>
      <c r="G792" s="14"/>
      <c r="H792" s="14"/>
      <c r="I792" s="14"/>
      <c r="J792" s="14"/>
      <c r="K792" s="12"/>
    </row>
    <row r="793" ht="19.5" customHeight="1">
      <c r="A793" s="12"/>
      <c r="C793" s="12"/>
      <c r="D793" s="13"/>
      <c r="F793" s="14"/>
      <c r="G793" s="14"/>
      <c r="H793" s="14"/>
      <c r="I793" s="14"/>
      <c r="J793" s="14"/>
      <c r="K793" s="12"/>
    </row>
    <row r="794" ht="19.5" customHeight="1">
      <c r="A794" s="12"/>
      <c r="C794" s="12"/>
      <c r="D794" s="13"/>
      <c r="F794" s="14"/>
      <c r="G794" s="14"/>
      <c r="H794" s="14"/>
      <c r="I794" s="14"/>
      <c r="J794" s="14"/>
      <c r="K794" s="12"/>
    </row>
    <row r="795" ht="19.5" customHeight="1">
      <c r="A795" s="12"/>
      <c r="C795" s="12"/>
      <c r="D795" s="13"/>
      <c r="F795" s="14"/>
      <c r="G795" s="14"/>
      <c r="H795" s="14"/>
      <c r="I795" s="14"/>
      <c r="J795" s="14"/>
      <c r="K795" s="12"/>
    </row>
    <row r="796" ht="19.5" customHeight="1">
      <c r="A796" s="12"/>
      <c r="C796" s="12"/>
      <c r="D796" s="13"/>
      <c r="F796" s="14"/>
      <c r="G796" s="14"/>
      <c r="H796" s="14"/>
      <c r="I796" s="14"/>
      <c r="J796" s="14"/>
      <c r="K796" s="12"/>
    </row>
    <row r="797" ht="19.5" customHeight="1">
      <c r="A797" s="12"/>
      <c r="C797" s="12"/>
      <c r="D797" s="13"/>
      <c r="F797" s="14"/>
      <c r="G797" s="14"/>
      <c r="H797" s="14"/>
      <c r="I797" s="14"/>
      <c r="J797" s="14"/>
      <c r="K797" s="12"/>
    </row>
    <row r="798" ht="19.5" customHeight="1">
      <c r="A798" s="12"/>
      <c r="C798" s="12"/>
      <c r="D798" s="13"/>
      <c r="F798" s="14"/>
      <c r="G798" s="14"/>
      <c r="H798" s="14"/>
      <c r="I798" s="14"/>
      <c r="J798" s="14"/>
      <c r="K798" s="12"/>
    </row>
    <row r="799" ht="19.5" customHeight="1">
      <c r="A799" s="12"/>
      <c r="C799" s="12"/>
      <c r="D799" s="13"/>
      <c r="F799" s="14"/>
      <c r="G799" s="14"/>
      <c r="H799" s="14"/>
      <c r="I799" s="14"/>
      <c r="J799" s="14"/>
      <c r="K799" s="12"/>
    </row>
    <row r="800" ht="19.5" customHeight="1">
      <c r="A800" s="12"/>
      <c r="C800" s="12"/>
      <c r="D800" s="13"/>
      <c r="F800" s="14"/>
      <c r="G800" s="14"/>
      <c r="H800" s="14"/>
      <c r="I800" s="14"/>
      <c r="J800" s="14"/>
      <c r="K800" s="12"/>
    </row>
    <row r="801" ht="19.5" customHeight="1">
      <c r="A801" s="12"/>
      <c r="C801" s="12"/>
      <c r="D801" s="13"/>
      <c r="F801" s="14"/>
      <c r="G801" s="14"/>
      <c r="H801" s="14"/>
      <c r="I801" s="14"/>
      <c r="J801" s="14"/>
      <c r="K801" s="12"/>
    </row>
    <row r="802" ht="19.5" customHeight="1">
      <c r="A802" s="12"/>
      <c r="C802" s="12"/>
      <c r="D802" s="13"/>
      <c r="F802" s="14"/>
      <c r="G802" s="14"/>
      <c r="H802" s="14"/>
      <c r="I802" s="14"/>
      <c r="J802" s="14"/>
      <c r="K802" s="12"/>
    </row>
    <row r="803" ht="19.5" customHeight="1">
      <c r="A803" s="12"/>
      <c r="C803" s="12"/>
      <c r="D803" s="13"/>
      <c r="F803" s="14"/>
      <c r="G803" s="14"/>
      <c r="H803" s="14"/>
      <c r="I803" s="14"/>
      <c r="J803" s="14"/>
      <c r="K803" s="12"/>
    </row>
    <row r="804" ht="19.5" customHeight="1">
      <c r="A804" s="12"/>
      <c r="C804" s="12"/>
      <c r="D804" s="13"/>
      <c r="F804" s="14"/>
      <c r="G804" s="14"/>
      <c r="H804" s="14"/>
      <c r="I804" s="14"/>
      <c r="J804" s="14"/>
      <c r="K804" s="12"/>
    </row>
    <row r="805" ht="19.5" customHeight="1">
      <c r="A805" s="12"/>
      <c r="C805" s="12"/>
      <c r="D805" s="13"/>
      <c r="F805" s="14"/>
      <c r="G805" s="14"/>
      <c r="H805" s="14"/>
      <c r="I805" s="14"/>
      <c r="J805" s="14"/>
      <c r="K805" s="12"/>
    </row>
    <row r="806" ht="19.5" customHeight="1">
      <c r="A806" s="12"/>
      <c r="C806" s="12"/>
      <c r="D806" s="13"/>
      <c r="F806" s="14"/>
      <c r="G806" s="14"/>
      <c r="H806" s="14"/>
      <c r="I806" s="14"/>
      <c r="J806" s="14"/>
      <c r="K806" s="12"/>
    </row>
    <row r="807" ht="19.5" customHeight="1">
      <c r="A807" s="12"/>
      <c r="C807" s="12"/>
      <c r="D807" s="13"/>
      <c r="F807" s="14"/>
      <c r="G807" s="14"/>
      <c r="H807" s="14"/>
      <c r="I807" s="14"/>
      <c r="J807" s="14"/>
      <c r="K807" s="12"/>
    </row>
    <row r="808" ht="19.5" customHeight="1">
      <c r="A808" s="12"/>
      <c r="C808" s="12"/>
      <c r="D808" s="13"/>
      <c r="F808" s="14"/>
      <c r="G808" s="14"/>
      <c r="H808" s="14"/>
      <c r="I808" s="14"/>
      <c r="J808" s="14"/>
      <c r="K808" s="12"/>
    </row>
    <row r="809" ht="19.5" customHeight="1">
      <c r="A809" s="12"/>
      <c r="C809" s="12"/>
      <c r="D809" s="13"/>
      <c r="F809" s="14"/>
      <c r="G809" s="14"/>
      <c r="H809" s="14"/>
      <c r="I809" s="14"/>
      <c r="J809" s="14"/>
      <c r="K809" s="12"/>
    </row>
    <row r="810" ht="19.5" customHeight="1">
      <c r="A810" s="12"/>
      <c r="C810" s="12"/>
      <c r="D810" s="13"/>
      <c r="F810" s="14"/>
      <c r="G810" s="14"/>
      <c r="H810" s="14"/>
      <c r="I810" s="14"/>
      <c r="J810" s="14"/>
      <c r="K810" s="12"/>
    </row>
    <row r="811" ht="19.5" customHeight="1">
      <c r="A811" s="12"/>
      <c r="C811" s="12"/>
      <c r="D811" s="13"/>
      <c r="F811" s="14"/>
      <c r="G811" s="14"/>
      <c r="H811" s="14"/>
      <c r="I811" s="14"/>
      <c r="J811" s="14"/>
      <c r="K811" s="12"/>
    </row>
    <row r="812" ht="19.5" customHeight="1">
      <c r="A812" s="12"/>
      <c r="C812" s="12"/>
      <c r="D812" s="13"/>
      <c r="F812" s="14"/>
      <c r="G812" s="14"/>
      <c r="H812" s="14"/>
      <c r="I812" s="14"/>
      <c r="J812" s="14"/>
      <c r="K812" s="12"/>
    </row>
    <row r="813" ht="19.5" customHeight="1">
      <c r="A813" s="12"/>
      <c r="C813" s="12"/>
      <c r="D813" s="13"/>
      <c r="F813" s="14"/>
      <c r="G813" s="14"/>
      <c r="H813" s="14"/>
      <c r="I813" s="14"/>
      <c r="J813" s="14"/>
      <c r="K813" s="12"/>
    </row>
    <row r="814" ht="19.5" customHeight="1">
      <c r="A814" s="12"/>
      <c r="C814" s="12"/>
      <c r="D814" s="13"/>
      <c r="F814" s="14"/>
      <c r="G814" s="14"/>
      <c r="H814" s="14"/>
      <c r="I814" s="14"/>
      <c r="J814" s="14"/>
      <c r="K814" s="12"/>
    </row>
    <row r="815" ht="19.5" customHeight="1">
      <c r="A815" s="12"/>
      <c r="C815" s="12"/>
      <c r="D815" s="13"/>
      <c r="F815" s="14"/>
      <c r="G815" s="14"/>
      <c r="H815" s="14"/>
      <c r="I815" s="14"/>
      <c r="J815" s="14"/>
      <c r="K815" s="12"/>
    </row>
    <row r="816" ht="19.5" customHeight="1">
      <c r="A816" s="12"/>
      <c r="C816" s="12"/>
      <c r="D816" s="13"/>
      <c r="F816" s="14"/>
      <c r="G816" s="14"/>
      <c r="H816" s="14"/>
      <c r="I816" s="14"/>
      <c r="J816" s="14"/>
      <c r="K816" s="12"/>
    </row>
    <row r="817" ht="19.5" customHeight="1">
      <c r="A817" s="12"/>
      <c r="C817" s="12"/>
      <c r="D817" s="13"/>
      <c r="F817" s="14"/>
      <c r="G817" s="14"/>
      <c r="H817" s="14"/>
      <c r="I817" s="14"/>
      <c r="J817" s="14"/>
      <c r="K817" s="12"/>
    </row>
    <row r="818" ht="19.5" customHeight="1">
      <c r="A818" s="12"/>
      <c r="C818" s="12"/>
      <c r="D818" s="13"/>
      <c r="F818" s="14"/>
      <c r="G818" s="14"/>
      <c r="H818" s="14"/>
      <c r="I818" s="14"/>
      <c r="J818" s="14"/>
      <c r="K818" s="12"/>
    </row>
    <row r="819" ht="19.5" customHeight="1">
      <c r="A819" s="12"/>
      <c r="C819" s="12"/>
      <c r="D819" s="13"/>
      <c r="F819" s="14"/>
      <c r="G819" s="14"/>
      <c r="H819" s="14"/>
      <c r="I819" s="14"/>
      <c r="J819" s="14"/>
      <c r="K819" s="12"/>
    </row>
    <row r="820" ht="19.5" customHeight="1">
      <c r="A820" s="12"/>
      <c r="C820" s="12"/>
      <c r="D820" s="13"/>
      <c r="F820" s="14"/>
      <c r="G820" s="14"/>
      <c r="H820" s="14"/>
      <c r="I820" s="14"/>
      <c r="J820" s="14"/>
      <c r="K820" s="12"/>
    </row>
    <row r="821" ht="19.5" customHeight="1">
      <c r="A821" s="12"/>
      <c r="C821" s="12"/>
      <c r="D821" s="13"/>
      <c r="F821" s="14"/>
      <c r="G821" s="14"/>
      <c r="H821" s="14"/>
      <c r="I821" s="14"/>
      <c r="J821" s="14"/>
      <c r="K821" s="12"/>
    </row>
    <row r="822" ht="19.5" customHeight="1">
      <c r="A822" s="12"/>
      <c r="C822" s="12"/>
      <c r="D822" s="13"/>
      <c r="F822" s="14"/>
      <c r="G822" s="14"/>
      <c r="H822" s="14"/>
      <c r="I822" s="14"/>
      <c r="J822" s="14"/>
      <c r="K822" s="12"/>
    </row>
    <row r="823" ht="19.5" customHeight="1">
      <c r="A823" s="12"/>
      <c r="C823" s="12"/>
      <c r="D823" s="13"/>
      <c r="F823" s="14"/>
      <c r="G823" s="14"/>
      <c r="H823" s="14"/>
      <c r="I823" s="14"/>
      <c r="J823" s="14"/>
      <c r="K823" s="12"/>
    </row>
    <row r="824" ht="19.5" customHeight="1">
      <c r="A824" s="12"/>
      <c r="C824" s="12"/>
      <c r="D824" s="13"/>
      <c r="F824" s="14"/>
      <c r="G824" s="14"/>
      <c r="H824" s="14"/>
      <c r="I824" s="14"/>
      <c r="J824" s="14"/>
      <c r="K824" s="12"/>
    </row>
    <row r="825" ht="19.5" customHeight="1">
      <c r="A825" s="12"/>
      <c r="C825" s="12"/>
      <c r="D825" s="13"/>
      <c r="F825" s="14"/>
      <c r="G825" s="14"/>
      <c r="H825" s="14"/>
      <c r="I825" s="14"/>
      <c r="J825" s="14"/>
      <c r="K825" s="12"/>
    </row>
    <row r="826" ht="19.5" customHeight="1">
      <c r="A826" s="12"/>
      <c r="C826" s="12"/>
      <c r="D826" s="13"/>
      <c r="F826" s="14"/>
      <c r="G826" s="14"/>
      <c r="H826" s="14"/>
      <c r="I826" s="14"/>
      <c r="J826" s="14"/>
      <c r="K826" s="12"/>
    </row>
    <row r="827" ht="19.5" customHeight="1">
      <c r="A827" s="12"/>
      <c r="C827" s="12"/>
      <c r="D827" s="13"/>
      <c r="F827" s="14"/>
      <c r="G827" s="14"/>
      <c r="H827" s="14"/>
      <c r="I827" s="14"/>
      <c r="J827" s="14"/>
      <c r="K827" s="12"/>
    </row>
    <row r="828" ht="19.5" customHeight="1">
      <c r="A828" s="12"/>
      <c r="C828" s="12"/>
      <c r="D828" s="13"/>
      <c r="F828" s="14"/>
      <c r="G828" s="14"/>
      <c r="H828" s="14"/>
      <c r="I828" s="14"/>
      <c r="J828" s="14"/>
      <c r="K828" s="12"/>
    </row>
    <row r="829" ht="19.5" customHeight="1">
      <c r="A829" s="12"/>
      <c r="C829" s="12"/>
      <c r="D829" s="13"/>
      <c r="F829" s="14"/>
      <c r="G829" s="14"/>
      <c r="H829" s="14"/>
      <c r="I829" s="14"/>
      <c r="J829" s="14"/>
      <c r="K829" s="12"/>
    </row>
    <row r="830" ht="19.5" customHeight="1">
      <c r="A830" s="12"/>
      <c r="C830" s="12"/>
      <c r="D830" s="13"/>
      <c r="F830" s="14"/>
      <c r="G830" s="14"/>
      <c r="H830" s="14"/>
      <c r="I830" s="14"/>
      <c r="J830" s="14"/>
      <c r="K830" s="12"/>
    </row>
    <row r="831" ht="19.5" customHeight="1">
      <c r="A831" s="12"/>
      <c r="C831" s="12"/>
      <c r="D831" s="13"/>
      <c r="F831" s="14"/>
      <c r="G831" s="14"/>
      <c r="H831" s="14"/>
      <c r="I831" s="14"/>
      <c r="J831" s="14"/>
      <c r="K831" s="12"/>
    </row>
    <row r="832" ht="19.5" customHeight="1">
      <c r="A832" s="12"/>
      <c r="C832" s="12"/>
      <c r="D832" s="13"/>
      <c r="F832" s="14"/>
      <c r="G832" s="14"/>
      <c r="H832" s="14"/>
      <c r="I832" s="14"/>
      <c r="J832" s="14"/>
      <c r="K832" s="12"/>
    </row>
    <row r="833" ht="19.5" customHeight="1">
      <c r="A833" s="12"/>
      <c r="C833" s="12"/>
      <c r="D833" s="13"/>
      <c r="F833" s="14"/>
      <c r="G833" s="14"/>
      <c r="H833" s="14"/>
      <c r="I833" s="14"/>
      <c r="J833" s="14"/>
      <c r="K833" s="12"/>
    </row>
    <row r="834" ht="19.5" customHeight="1">
      <c r="A834" s="12"/>
      <c r="C834" s="12"/>
      <c r="D834" s="13"/>
      <c r="F834" s="14"/>
      <c r="G834" s="14"/>
      <c r="H834" s="14"/>
      <c r="I834" s="14"/>
      <c r="J834" s="14"/>
      <c r="K834" s="12"/>
    </row>
    <row r="835" ht="19.5" customHeight="1">
      <c r="A835" s="12"/>
      <c r="C835" s="12"/>
      <c r="D835" s="13"/>
      <c r="F835" s="14"/>
      <c r="G835" s="14"/>
      <c r="H835" s="14"/>
      <c r="I835" s="14"/>
      <c r="J835" s="14"/>
      <c r="K835" s="12"/>
    </row>
    <row r="836" ht="19.5" customHeight="1">
      <c r="A836" s="12"/>
      <c r="C836" s="12"/>
      <c r="D836" s="13"/>
      <c r="F836" s="14"/>
      <c r="G836" s="14"/>
      <c r="H836" s="14"/>
      <c r="I836" s="14"/>
      <c r="J836" s="14"/>
      <c r="K836" s="12"/>
    </row>
    <row r="837" ht="19.5" customHeight="1">
      <c r="A837" s="12"/>
      <c r="C837" s="12"/>
      <c r="D837" s="13"/>
      <c r="F837" s="14"/>
      <c r="G837" s="14"/>
      <c r="H837" s="14"/>
      <c r="I837" s="14"/>
      <c r="J837" s="14"/>
      <c r="K837" s="12"/>
    </row>
    <row r="838" ht="19.5" customHeight="1">
      <c r="A838" s="12"/>
      <c r="C838" s="12"/>
      <c r="D838" s="13"/>
      <c r="F838" s="14"/>
      <c r="G838" s="14"/>
      <c r="H838" s="14"/>
      <c r="I838" s="14"/>
      <c r="J838" s="14"/>
      <c r="K838" s="12"/>
    </row>
    <row r="839" ht="19.5" customHeight="1">
      <c r="A839" s="12"/>
      <c r="C839" s="12"/>
      <c r="D839" s="13"/>
      <c r="F839" s="14"/>
      <c r="G839" s="14"/>
      <c r="H839" s="14"/>
      <c r="I839" s="14"/>
      <c r="J839" s="14"/>
      <c r="K839" s="12"/>
    </row>
    <row r="840" ht="19.5" customHeight="1">
      <c r="A840" s="12"/>
      <c r="C840" s="12"/>
      <c r="D840" s="13"/>
      <c r="F840" s="14"/>
      <c r="G840" s="14"/>
      <c r="H840" s="14"/>
      <c r="I840" s="14"/>
      <c r="J840" s="14"/>
      <c r="K840" s="12"/>
    </row>
    <row r="841" ht="19.5" customHeight="1">
      <c r="A841" s="12"/>
      <c r="C841" s="12"/>
      <c r="D841" s="13"/>
      <c r="F841" s="14"/>
      <c r="G841" s="14"/>
      <c r="H841" s="14"/>
      <c r="I841" s="14"/>
      <c r="J841" s="14"/>
      <c r="K841" s="12"/>
    </row>
    <row r="842" ht="19.5" customHeight="1">
      <c r="A842" s="12"/>
      <c r="C842" s="12"/>
      <c r="D842" s="13"/>
      <c r="F842" s="14"/>
      <c r="G842" s="14"/>
      <c r="H842" s="14"/>
      <c r="I842" s="14"/>
      <c r="J842" s="14"/>
      <c r="K842" s="12"/>
    </row>
    <row r="843" ht="19.5" customHeight="1">
      <c r="A843" s="12"/>
      <c r="C843" s="12"/>
      <c r="D843" s="13"/>
      <c r="F843" s="14"/>
      <c r="G843" s="14"/>
      <c r="H843" s="14"/>
      <c r="I843" s="14"/>
      <c r="J843" s="14"/>
      <c r="K843" s="12"/>
    </row>
    <row r="844" ht="19.5" customHeight="1">
      <c r="A844" s="12"/>
      <c r="C844" s="12"/>
      <c r="D844" s="13"/>
      <c r="F844" s="14"/>
      <c r="G844" s="14"/>
      <c r="H844" s="14"/>
      <c r="I844" s="14"/>
      <c r="J844" s="14"/>
      <c r="K844" s="12"/>
    </row>
    <row r="845" ht="19.5" customHeight="1">
      <c r="A845" s="12"/>
      <c r="C845" s="12"/>
      <c r="D845" s="13"/>
      <c r="F845" s="14"/>
      <c r="G845" s="14"/>
      <c r="H845" s="14"/>
      <c r="I845" s="14"/>
      <c r="J845" s="14"/>
      <c r="K845" s="12"/>
    </row>
    <row r="846" ht="19.5" customHeight="1">
      <c r="A846" s="12"/>
      <c r="C846" s="12"/>
      <c r="D846" s="13"/>
      <c r="F846" s="14"/>
      <c r="G846" s="14"/>
      <c r="H846" s="14"/>
      <c r="I846" s="14"/>
      <c r="J846" s="14"/>
      <c r="K846" s="12"/>
    </row>
    <row r="847" ht="19.5" customHeight="1">
      <c r="A847" s="12"/>
      <c r="C847" s="12"/>
      <c r="D847" s="13"/>
      <c r="F847" s="14"/>
      <c r="G847" s="14"/>
      <c r="H847" s="14"/>
      <c r="I847" s="14"/>
      <c r="J847" s="14"/>
      <c r="K847" s="12"/>
    </row>
    <row r="848" ht="19.5" customHeight="1">
      <c r="A848" s="12"/>
      <c r="C848" s="12"/>
      <c r="D848" s="13"/>
      <c r="F848" s="14"/>
      <c r="G848" s="14"/>
      <c r="H848" s="14"/>
      <c r="I848" s="14"/>
      <c r="J848" s="14"/>
      <c r="K848" s="12"/>
    </row>
    <row r="849" ht="19.5" customHeight="1">
      <c r="A849" s="12"/>
      <c r="C849" s="12"/>
      <c r="D849" s="13"/>
      <c r="F849" s="14"/>
      <c r="G849" s="14"/>
      <c r="H849" s="14"/>
      <c r="I849" s="14"/>
      <c r="J849" s="14"/>
      <c r="K849" s="12"/>
    </row>
    <row r="850" ht="19.5" customHeight="1">
      <c r="A850" s="12"/>
      <c r="C850" s="12"/>
      <c r="D850" s="13"/>
      <c r="F850" s="14"/>
      <c r="G850" s="14"/>
      <c r="H850" s="14"/>
      <c r="I850" s="14"/>
      <c r="J850" s="14"/>
      <c r="K850" s="12"/>
    </row>
    <row r="851" ht="19.5" customHeight="1">
      <c r="A851" s="12"/>
      <c r="C851" s="12"/>
      <c r="D851" s="13"/>
      <c r="F851" s="14"/>
      <c r="G851" s="14"/>
      <c r="H851" s="14"/>
      <c r="I851" s="14"/>
      <c r="J851" s="14"/>
      <c r="K851" s="12"/>
    </row>
    <row r="852" ht="19.5" customHeight="1">
      <c r="A852" s="12"/>
      <c r="C852" s="12"/>
      <c r="D852" s="13"/>
      <c r="F852" s="14"/>
      <c r="G852" s="14"/>
      <c r="H852" s="14"/>
      <c r="I852" s="14"/>
      <c r="J852" s="14"/>
      <c r="K852" s="12"/>
    </row>
    <row r="853" ht="19.5" customHeight="1">
      <c r="A853" s="12"/>
      <c r="C853" s="12"/>
      <c r="D853" s="13"/>
      <c r="F853" s="14"/>
      <c r="G853" s="14"/>
      <c r="H853" s="14"/>
      <c r="I853" s="14"/>
      <c r="J853" s="14"/>
      <c r="K853" s="12"/>
    </row>
    <row r="854" ht="19.5" customHeight="1">
      <c r="A854" s="12"/>
      <c r="C854" s="12"/>
      <c r="D854" s="13"/>
      <c r="F854" s="14"/>
      <c r="G854" s="14"/>
      <c r="H854" s="14"/>
      <c r="I854" s="14"/>
      <c r="J854" s="14"/>
      <c r="K854" s="12"/>
    </row>
    <row r="855" ht="19.5" customHeight="1">
      <c r="A855" s="12"/>
      <c r="C855" s="12"/>
      <c r="D855" s="13"/>
      <c r="F855" s="14"/>
      <c r="G855" s="14"/>
      <c r="H855" s="14"/>
      <c r="I855" s="14"/>
      <c r="J855" s="14"/>
      <c r="K855" s="12"/>
    </row>
    <row r="856" ht="19.5" customHeight="1">
      <c r="A856" s="12"/>
      <c r="C856" s="12"/>
      <c r="D856" s="13"/>
      <c r="F856" s="14"/>
      <c r="G856" s="14"/>
      <c r="H856" s="14"/>
      <c r="I856" s="14"/>
      <c r="J856" s="14"/>
      <c r="K856" s="12"/>
    </row>
    <row r="857" ht="19.5" customHeight="1">
      <c r="A857" s="12"/>
      <c r="C857" s="12"/>
      <c r="D857" s="13"/>
      <c r="F857" s="14"/>
      <c r="G857" s="14"/>
      <c r="H857" s="14"/>
      <c r="I857" s="14"/>
      <c r="J857" s="14"/>
      <c r="K857" s="12"/>
    </row>
    <row r="858" ht="19.5" customHeight="1">
      <c r="A858" s="12"/>
      <c r="C858" s="12"/>
      <c r="D858" s="13"/>
      <c r="F858" s="14"/>
      <c r="G858" s="14"/>
      <c r="H858" s="14"/>
      <c r="I858" s="14"/>
      <c r="J858" s="14"/>
      <c r="K858" s="12"/>
    </row>
    <row r="859" ht="19.5" customHeight="1">
      <c r="A859" s="12"/>
      <c r="C859" s="12"/>
      <c r="D859" s="13"/>
      <c r="F859" s="14"/>
      <c r="G859" s="14"/>
      <c r="H859" s="14"/>
      <c r="I859" s="14"/>
      <c r="J859" s="14"/>
      <c r="K859" s="12"/>
    </row>
    <row r="860" ht="19.5" customHeight="1">
      <c r="A860" s="12"/>
      <c r="C860" s="12"/>
      <c r="D860" s="13"/>
      <c r="F860" s="14"/>
      <c r="G860" s="14"/>
      <c r="H860" s="14"/>
      <c r="I860" s="14"/>
      <c r="J860" s="14"/>
      <c r="K860" s="12"/>
    </row>
    <row r="861" ht="19.5" customHeight="1">
      <c r="A861" s="12"/>
      <c r="C861" s="12"/>
      <c r="D861" s="13"/>
      <c r="F861" s="14"/>
      <c r="G861" s="14"/>
      <c r="H861" s="14"/>
      <c r="I861" s="14"/>
      <c r="J861" s="14"/>
      <c r="K861" s="12"/>
    </row>
    <row r="862" ht="19.5" customHeight="1">
      <c r="A862" s="12"/>
      <c r="C862" s="12"/>
      <c r="D862" s="13"/>
      <c r="F862" s="14"/>
      <c r="G862" s="14"/>
      <c r="H862" s="14"/>
      <c r="I862" s="14"/>
      <c r="J862" s="14"/>
      <c r="K862" s="12"/>
    </row>
    <row r="863" ht="19.5" customHeight="1">
      <c r="A863" s="12"/>
      <c r="C863" s="12"/>
      <c r="D863" s="13"/>
      <c r="F863" s="14"/>
      <c r="G863" s="14"/>
      <c r="H863" s="14"/>
      <c r="I863" s="14"/>
      <c r="J863" s="14"/>
      <c r="K863" s="12"/>
    </row>
    <row r="864" ht="19.5" customHeight="1">
      <c r="A864" s="12"/>
      <c r="C864" s="12"/>
      <c r="D864" s="13"/>
      <c r="F864" s="14"/>
      <c r="G864" s="14"/>
      <c r="H864" s="14"/>
      <c r="I864" s="14"/>
      <c r="J864" s="14"/>
      <c r="K864" s="12"/>
    </row>
    <row r="865" ht="19.5" customHeight="1">
      <c r="A865" s="12"/>
      <c r="C865" s="12"/>
      <c r="D865" s="13"/>
      <c r="F865" s="14"/>
      <c r="G865" s="14"/>
      <c r="H865" s="14"/>
      <c r="I865" s="14"/>
      <c r="J865" s="14"/>
      <c r="K865" s="12"/>
    </row>
    <row r="866" ht="19.5" customHeight="1">
      <c r="A866" s="12"/>
      <c r="C866" s="12"/>
      <c r="D866" s="13"/>
      <c r="F866" s="14"/>
      <c r="G866" s="14"/>
      <c r="H866" s="14"/>
      <c r="I866" s="14"/>
      <c r="J866" s="14"/>
      <c r="K866" s="12"/>
    </row>
    <row r="867" ht="19.5" customHeight="1">
      <c r="A867" s="12"/>
      <c r="C867" s="12"/>
      <c r="D867" s="13"/>
      <c r="F867" s="14"/>
      <c r="G867" s="14"/>
      <c r="H867" s="14"/>
      <c r="I867" s="14"/>
      <c r="J867" s="14"/>
      <c r="K867" s="12"/>
    </row>
    <row r="868" ht="19.5" customHeight="1">
      <c r="A868" s="12"/>
      <c r="C868" s="12"/>
      <c r="D868" s="13"/>
      <c r="F868" s="14"/>
      <c r="G868" s="14"/>
      <c r="H868" s="14"/>
      <c r="I868" s="14"/>
      <c r="J868" s="14"/>
      <c r="K868" s="12"/>
    </row>
    <row r="869" ht="19.5" customHeight="1">
      <c r="A869" s="12"/>
      <c r="C869" s="12"/>
      <c r="D869" s="13"/>
      <c r="F869" s="14"/>
      <c r="G869" s="14"/>
      <c r="H869" s="14"/>
      <c r="I869" s="14"/>
      <c r="J869" s="14"/>
      <c r="K869" s="12"/>
    </row>
    <row r="870" ht="19.5" customHeight="1">
      <c r="A870" s="12"/>
      <c r="C870" s="12"/>
      <c r="D870" s="13"/>
      <c r="F870" s="14"/>
      <c r="G870" s="14"/>
      <c r="H870" s="14"/>
      <c r="I870" s="14"/>
      <c r="J870" s="14"/>
      <c r="K870" s="12"/>
    </row>
    <row r="871" ht="19.5" customHeight="1">
      <c r="A871" s="12"/>
      <c r="C871" s="12"/>
      <c r="D871" s="13"/>
      <c r="F871" s="14"/>
      <c r="G871" s="14"/>
      <c r="H871" s="14"/>
      <c r="I871" s="14"/>
      <c r="J871" s="14"/>
      <c r="K871" s="12"/>
    </row>
    <row r="872" ht="19.5" customHeight="1">
      <c r="A872" s="12"/>
      <c r="C872" s="12"/>
      <c r="D872" s="13"/>
      <c r="F872" s="14"/>
      <c r="G872" s="14"/>
      <c r="H872" s="14"/>
      <c r="I872" s="14"/>
      <c r="J872" s="14"/>
      <c r="K872" s="12"/>
    </row>
    <row r="873" ht="19.5" customHeight="1">
      <c r="A873" s="12"/>
      <c r="C873" s="12"/>
      <c r="D873" s="13"/>
      <c r="F873" s="14"/>
      <c r="G873" s="14"/>
      <c r="H873" s="14"/>
      <c r="I873" s="14"/>
      <c r="J873" s="14"/>
      <c r="K873" s="12"/>
    </row>
    <row r="874" ht="19.5" customHeight="1">
      <c r="A874" s="12"/>
      <c r="C874" s="12"/>
      <c r="D874" s="13"/>
      <c r="F874" s="14"/>
      <c r="G874" s="14"/>
      <c r="H874" s="14"/>
      <c r="I874" s="14"/>
      <c r="J874" s="14"/>
      <c r="K874" s="12"/>
    </row>
    <row r="875" ht="19.5" customHeight="1">
      <c r="A875" s="12"/>
      <c r="C875" s="12"/>
      <c r="D875" s="13"/>
      <c r="F875" s="14"/>
      <c r="G875" s="14"/>
      <c r="H875" s="14"/>
      <c r="I875" s="14"/>
      <c r="J875" s="14"/>
      <c r="K875" s="12"/>
    </row>
    <row r="876" ht="19.5" customHeight="1">
      <c r="A876" s="12"/>
      <c r="C876" s="12"/>
      <c r="D876" s="13"/>
      <c r="F876" s="14"/>
      <c r="G876" s="14"/>
      <c r="H876" s="14"/>
      <c r="I876" s="14"/>
      <c r="J876" s="14"/>
      <c r="K876" s="12"/>
    </row>
    <row r="877" ht="19.5" customHeight="1">
      <c r="A877" s="12"/>
      <c r="C877" s="12"/>
      <c r="D877" s="13"/>
      <c r="F877" s="14"/>
      <c r="G877" s="14"/>
      <c r="H877" s="14"/>
      <c r="I877" s="14"/>
      <c r="J877" s="14"/>
      <c r="K877" s="12"/>
    </row>
    <row r="878" ht="19.5" customHeight="1">
      <c r="A878" s="12"/>
      <c r="C878" s="12"/>
      <c r="D878" s="13"/>
      <c r="F878" s="14"/>
      <c r="G878" s="14"/>
      <c r="H878" s="14"/>
      <c r="I878" s="14"/>
      <c r="J878" s="14"/>
      <c r="K878" s="12"/>
    </row>
    <row r="879" ht="19.5" customHeight="1">
      <c r="A879" s="12"/>
      <c r="C879" s="12"/>
      <c r="D879" s="13"/>
      <c r="F879" s="14"/>
      <c r="G879" s="14"/>
      <c r="H879" s="14"/>
      <c r="I879" s="14"/>
      <c r="J879" s="14"/>
      <c r="K879" s="12"/>
    </row>
    <row r="880" ht="19.5" customHeight="1">
      <c r="A880" s="12"/>
      <c r="C880" s="12"/>
      <c r="D880" s="13"/>
      <c r="F880" s="14"/>
      <c r="G880" s="14"/>
      <c r="H880" s="14"/>
      <c r="I880" s="14"/>
      <c r="J880" s="14"/>
      <c r="K880" s="12"/>
    </row>
    <row r="881" ht="19.5" customHeight="1">
      <c r="A881" s="12"/>
      <c r="C881" s="12"/>
      <c r="D881" s="13"/>
      <c r="F881" s="14"/>
      <c r="G881" s="14"/>
      <c r="H881" s="14"/>
      <c r="I881" s="14"/>
      <c r="J881" s="14"/>
      <c r="K881" s="12"/>
    </row>
    <row r="882" ht="19.5" customHeight="1">
      <c r="A882" s="12"/>
      <c r="C882" s="12"/>
      <c r="D882" s="13"/>
      <c r="F882" s="14"/>
      <c r="G882" s="14"/>
      <c r="H882" s="14"/>
      <c r="I882" s="14"/>
      <c r="J882" s="14"/>
      <c r="K882" s="12"/>
    </row>
    <row r="883" ht="19.5" customHeight="1">
      <c r="A883" s="12"/>
      <c r="C883" s="12"/>
      <c r="D883" s="13"/>
      <c r="F883" s="14"/>
      <c r="G883" s="14"/>
      <c r="H883" s="14"/>
      <c r="I883" s="14"/>
      <c r="J883" s="14"/>
      <c r="K883" s="12"/>
    </row>
    <row r="884" ht="19.5" customHeight="1">
      <c r="A884" s="12"/>
      <c r="C884" s="12"/>
      <c r="D884" s="13"/>
      <c r="F884" s="14"/>
      <c r="G884" s="14"/>
      <c r="H884" s="14"/>
      <c r="I884" s="14"/>
      <c r="J884" s="14"/>
      <c r="K884" s="12"/>
    </row>
    <row r="885" ht="19.5" customHeight="1">
      <c r="A885" s="12"/>
      <c r="C885" s="12"/>
      <c r="D885" s="13"/>
      <c r="F885" s="14"/>
      <c r="G885" s="14"/>
      <c r="H885" s="14"/>
      <c r="I885" s="14"/>
      <c r="J885" s="14"/>
      <c r="K885" s="12"/>
    </row>
    <row r="886" ht="19.5" customHeight="1">
      <c r="A886" s="12"/>
      <c r="C886" s="12"/>
      <c r="D886" s="13"/>
      <c r="F886" s="14"/>
      <c r="G886" s="14"/>
      <c r="H886" s="14"/>
      <c r="I886" s="14"/>
      <c r="J886" s="14"/>
      <c r="K886" s="12"/>
    </row>
    <row r="887" ht="19.5" customHeight="1">
      <c r="A887" s="12"/>
      <c r="C887" s="12"/>
      <c r="D887" s="13"/>
      <c r="F887" s="14"/>
      <c r="G887" s="14"/>
      <c r="H887" s="14"/>
      <c r="I887" s="14"/>
      <c r="J887" s="14"/>
      <c r="K887" s="12"/>
    </row>
    <row r="888" ht="19.5" customHeight="1">
      <c r="A888" s="12"/>
      <c r="C888" s="12"/>
      <c r="D888" s="13"/>
      <c r="F888" s="14"/>
      <c r="G888" s="14"/>
      <c r="H888" s="14"/>
      <c r="I888" s="14"/>
      <c r="J888" s="14"/>
      <c r="K888" s="12"/>
    </row>
    <row r="889" ht="19.5" customHeight="1">
      <c r="A889" s="12"/>
      <c r="C889" s="12"/>
      <c r="D889" s="13"/>
      <c r="F889" s="14"/>
      <c r="G889" s="14"/>
      <c r="H889" s="14"/>
      <c r="I889" s="14"/>
      <c r="J889" s="14"/>
      <c r="K889" s="12"/>
    </row>
    <row r="890" ht="19.5" customHeight="1">
      <c r="A890" s="12"/>
      <c r="C890" s="12"/>
      <c r="D890" s="13"/>
      <c r="F890" s="14"/>
      <c r="G890" s="14"/>
      <c r="H890" s="14"/>
      <c r="I890" s="14"/>
      <c r="J890" s="14"/>
      <c r="K890" s="12"/>
    </row>
    <row r="891" ht="19.5" customHeight="1">
      <c r="A891" s="12"/>
      <c r="C891" s="12"/>
      <c r="D891" s="13"/>
      <c r="F891" s="14"/>
      <c r="G891" s="14"/>
      <c r="H891" s="14"/>
      <c r="I891" s="14"/>
      <c r="J891" s="14"/>
      <c r="K891" s="12"/>
    </row>
    <row r="892" ht="19.5" customHeight="1">
      <c r="A892" s="12"/>
      <c r="C892" s="12"/>
      <c r="D892" s="13"/>
      <c r="F892" s="14"/>
      <c r="G892" s="14"/>
      <c r="H892" s="14"/>
      <c r="I892" s="14"/>
      <c r="J892" s="14"/>
      <c r="K892" s="12"/>
    </row>
    <row r="893" ht="19.5" customHeight="1">
      <c r="A893" s="12"/>
      <c r="C893" s="12"/>
      <c r="D893" s="13"/>
      <c r="F893" s="14"/>
      <c r="G893" s="14"/>
      <c r="H893" s="14"/>
      <c r="I893" s="14"/>
      <c r="J893" s="14"/>
      <c r="K893" s="12"/>
    </row>
    <row r="894" ht="19.5" customHeight="1">
      <c r="A894" s="12"/>
      <c r="C894" s="12"/>
      <c r="D894" s="13"/>
      <c r="F894" s="14"/>
      <c r="G894" s="14"/>
      <c r="H894" s="14"/>
      <c r="I894" s="14"/>
      <c r="J894" s="14"/>
      <c r="K894" s="12"/>
    </row>
    <row r="895" ht="19.5" customHeight="1">
      <c r="A895" s="12"/>
      <c r="C895" s="12"/>
      <c r="D895" s="13"/>
      <c r="F895" s="14"/>
      <c r="G895" s="14"/>
      <c r="H895" s="14"/>
      <c r="I895" s="14"/>
      <c r="J895" s="14"/>
      <c r="K895" s="12"/>
    </row>
    <row r="896" ht="19.5" customHeight="1">
      <c r="A896" s="12"/>
      <c r="C896" s="12"/>
      <c r="D896" s="13"/>
      <c r="F896" s="14"/>
      <c r="G896" s="14"/>
      <c r="H896" s="14"/>
      <c r="I896" s="14"/>
      <c r="J896" s="14"/>
      <c r="K896" s="12"/>
    </row>
    <row r="897" ht="19.5" customHeight="1">
      <c r="A897" s="12"/>
      <c r="C897" s="12"/>
      <c r="D897" s="13"/>
      <c r="F897" s="14"/>
      <c r="G897" s="14"/>
      <c r="H897" s="14"/>
      <c r="I897" s="14"/>
      <c r="J897" s="14"/>
      <c r="K897" s="12"/>
    </row>
    <row r="898" ht="19.5" customHeight="1">
      <c r="A898" s="12"/>
      <c r="C898" s="12"/>
      <c r="D898" s="13"/>
      <c r="F898" s="14"/>
      <c r="G898" s="14"/>
      <c r="H898" s="14"/>
      <c r="I898" s="14"/>
      <c r="J898" s="14"/>
      <c r="K898" s="12"/>
    </row>
    <row r="899" ht="19.5" customHeight="1">
      <c r="A899" s="12"/>
      <c r="C899" s="12"/>
      <c r="D899" s="13"/>
      <c r="F899" s="14"/>
      <c r="G899" s="14"/>
      <c r="H899" s="14"/>
      <c r="I899" s="14"/>
      <c r="J899" s="14"/>
      <c r="K899" s="12"/>
    </row>
    <row r="900" ht="19.5" customHeight="1">
      <c r="A900" s="12"/>
      <c r="C900" s="12"/>
      <c r="D900" s="13"/>
      <c r="F900" s="14"/>
      <c r="G900" s="14"/>
      <c r="H900" s="14"/>
      <c r="I900" s="14"/>
      <c r="J900" s="14"/>
      <c r="K900" s="12"/>
    </row>
    <row r="901" ht="19.5" customHeight="1">
      <c r="A901" s="12"/>
      <c r="C901" s="12"/>
      <c r="D901" s="13"/>
      <c r="F901" s="14"/>
      <c r="G901" s="14"/>
      <c r="H901" s="14"/>
      <c r="I901" s="14"/>
      <c r="J901" s="14"/>
      <c r="K901" s="12"/>
    </row>
    <row r="902" ht="19.5" customHeight="1">
      <c r="A902" s="12"/>
      <c r="C902" s="12"/>
      <c r="D902" s="13"/>
      <c r="F902" s="14"/>
      <c r="G902" s="14"/>
      <c r="H902" s="14"/>
      <c r="I902" s="14"/>
      <c r="J902" s="14"/>
      <c r="K902" s="12"/>
    </row>
    <row r="903" ht="19.5" customHeight="1">
      <c r="A903" s="12"/>
      <c r="C903" s="12"/>
      <c r="D903" s="13"/>
      <c r="F903" s="14"/>
      <c r="G903" s="14"/>
      <c r="H903" s="14"/>
      <c r="I903" s="14"/>
      <c r="J903" s="14"/>
      <c r="K903" s="12"/>
    </row>
    <row r="904" ht="19.5" customHeight="1">
      <c r="A904" s="12"/>
      <c r="C904" s="12"/>
      <c r="D904" s="13"/>
      <c r="F904" s="14"/>
      <c r="G904" s="14"/>
      <c r="H904" s="14"/>
      <c r="I904" s="14"/>
      <c r="J904" s="14"/>
      <c r="K904" s="12"/>
    </row>
    <row r="905" ht="19.5" customHeight="1">
      <c r="A905" s="12"/>
      <c r="C905" s="12"/>
      <c r="D905" s="13"/>
      <c r="F905" s="14"/>
      <c r="G905" s="14"/>
      <c r="H905" s="14"/>
      <c r="I905" s="14"/>
      <c r="J905" s="14"/>
      <c r="K905" s="12"/>
    </row>
    <row r="906" ht="19.5" customHeight="1">
      <c r="A906" s="12"/>
      <c r="C906" s="12"/>
      <c r="D906" s="13"/>
      <c r="F906" s="14"/>
      <c r="G906" s="14"/>
      <c r="H906" s="14"/>
      <c r="I906" s="14"/>
      <c r="J906" s="14"/>
      <c r="K906" s="12"/>
    </row>
    <row r="907" ht="19.5" customHeight="1">
      <c r="A907" s="12"/>
      <c r="C907" s="12"/>
      <c r="D907" s="13"/>
      <c r="F907" s="14"/>
      <c r="G907" s="14"/>
      <c r="H907" s="14"/>
      <c r="I907" s="14"/>
      <c r="J907" s="14"/>
      <c r="K907" s="12"/>
    </row>
    <row r="908" ht="19.5" customHeight="1">
      <c r="A908" s="12"/>
      <c r="C908" s="12"/>
      <c r="D908" s="13"/>
      <c r="F908" s="14"/>
      <c r="G908" s="14"/>
      <c r="H908" s="14"/>
      <c r="I908" s="14"/>
      <c r="J908" s="14"/>
      <c r="K908" s="12"/>
    </row>
    <row r="909" ht="19.5" customHeight="1">
      <c r="A909" s="12"/>
      <c r="C909" s="12"/>
      <c r="D909" s="13"/>
      <c r="F909" s="14"/>
      <c r="G909" s="14"/>
      <c r="H909" s="14"/>
      <c r="I909" s="14"/>
      <c r="J909" s="14"/>
      <c r="K909" s="12"/>
    </row>
    <row r="910" ht="19.5" customHeight="1">
      <c r="A910" s="12"/>
      <c r="C910" s="12"/>
      <c r="D910" s="13"/>
      <c r="F910" s="14"/>
      <c r="G910" s="14"/>
      <c r="H910" s="14"/>
      <c r="I910" s="14"/>
      <c r="J910" s="14"/>
      <c r="K910" s="12"/>
    </row>
    <row r="911" ht="19.5" customHeight="1">
      <c r="A911" s="12"/>
      <c r="C911" s="12"/>
      <c r="D911" s="13"/>
      <c r="F911" s="14"/>
      <c r="G911" s="14"/>
      <c r="H911" s="14"/>
      <c r="I911" s="14"/>
      <c r="J911" s="14"/>
      <c r="K911" s="12"/>
    </row>
    <row r="912" ht="19.5" customHeight="1">
      <c r="A912" s="12"/>
      <c r="C912" s="12"/>
      <c r="D912" s="13"/>
      <c r="F912" s="14"/>
      <c r="G912" s="14"/>
      <c r="H912" s="14"/>
      <c r="I912" s="14"/>
      <c r="J912" s="14"/>
      <c r="K912" s="12"/>
    </row>
    <row r="913" ht="19.5" customHeight="1">
      <c r="A913" s="12"/>
      <c r="C913" s="12"/>
      <c r="D913" s="13"/>
      <c r="F913" s="14"/>
      <c r="G913" s="14"/>
      <c r="H913" s="14"/>
      <c r="I913" s="14"/>
      <c r="J913" s="14"/>
      <c r="K913" s="12"/>
    </row>
    <row r="914" ht="19.5" customHeight="1">
      <c r="A914" s="12"/>
      <c r="C914" s="12"/>
      <c r="D914" s="13"/>
      <c r="F914" s="14"/>
      <c r="G914" s="14"/>
      <c r="H914" s="14"/>
      <c r="I914" s="14"/>
      <c r="J914" s="14"/>
      <c r="K914" s="12"/>
    </row>
    <row r="915" ht="19.5" customHeight="1">
      <c r="A915" s="12"/>
      <c r="C915" s="12"/>
      <c r="D915" s="13"/>
      <c r="F915" s="14"/>
      <c r="G915" s="14"/>
      <c r="H915" s="14"/>
      <c r="I915" s="14"/>
      <c r="J915" s="14"/>
      <c r="K915" s="12"/>
    </row>
    <row r="916" ht="19.5" customHeight="1">
      <c r="A916" s="12"/>
      <c r="C916" s="12"/>
      <c r="D916" s="13"/>
      <c r="F916" s="14"/>
      <c r="G916" s="14"/>
      <c r="H916" s="14"/>
      <c r="I916" s="14"/>
      <c r="J916" s="14"/>
      <c r="K916" s="12"/>
    </row>
    <row r="917" ht="19.5" customHeight="1">
      <c r="A917" s="12"/>
      <c r="C917" s="12"/>
      <c r="D917" s="13"/>
      <c r="F917" s="14"/>
      <c r="G917" s="14"/>
      <c r="H917" s="14"/>
      <c r="I917" s="14"/>
      <c r="J917" s="14"/>
      <c r="K917" s="12"/>
    </row>
    <row r="918" ht="19.5" customHeight="1">
      <c r="A918" s="12"/>
      <c r="C918" s="12"/>
      <c r="D918" s="13"/>
      <c r="F918" s="14"/>
      <c r="G918" s="14"/>
      <c r="H918" s="14"/>
      <c r="I918" s="14"/>
      <c r="J918" s="14"/>
      <c r="K918" s="12"/>
    </row>
    <row r="919" ht="19.5" customHeight="1">
      <c r="A919" s="12"/>
      <c r="C919" s="12"/>
      <c r="D919" s="13"/>
      <c r="F919" s="14"/>
      <c r="G919" s="14"/>
      <c r="H919" s="14"/>
      <c r="I919" s="14"/>
      <c r="J919" s="14"/>
      <c r="K919" s="12"/>
    </row>
    <row r="920" ht="19.5" customHeight="1">
      <c r="A920" s="12"/>
      <c r="C920" s="12"/>
      <c r="D920" s="13"/>
      <c r="F920" s="14"/>
      <c r="G920" s="14"/>
      <c r="H920" s="14"/>
      <c r="I920" s="14"/>
      <c r="J920" s="14"/>
      <c r="K920" s="12"/>
    </row>
    <row r="921" ht="19.5" customHeight="1">
      <c r="A921" s="12"/>
      <c r="C921" s="12"/>
      <c r="D921" s="13"/>
      <c r="F921" s="14"/>
      <c r="G921" s="14"/>
      <c r="H921" s="14"/>
      <c r="I921" s="14"/>
      <c r="J921" s="14"/>
      <c r="K921" s="12"/>
    </row>
    <row r="922" ht="19.5" customHeight="1">
      <c r="A922" s="12"/>
      <c r="C922" s="12"/>
      <c r="D922" s="13"/>
      <c r="F922" s="14"/>
      <c r="G922" s="14"/>
      <c r="H922" s="14"/>
      <c r="I922" s="14"/>
      <c r="J922" s="14"/>
      <c r="K922" s="12"/>
    </row>
    <row r="923" ht="19.5" customHeight="1">
      <c r="A923" s="12"/>
      <c r="C923" s="12"/>
      <c r="D923" s="13"/>
      <c r="F923" s="14"/>
      <c r="G923" s="14"/>
      <c r="H923" s="14"/>
      <c r="I923" s="14"/>
      <c r="J923" s="14"/>
      <c r="K923" s="12"/>
    </row>
    <row r="924" ht="19.5" customHeight="1">
      <c r="A924" s="12"/>
      <c r="C924" s="12"/>
      <c r="D924" s="13"/>
      <c r="F924" s="14"/>
      <c r="G924" s="14"/>
      <c r="H924" s="14"/>
      <c r="I924" s="14"/>
      <c r="J924" s="14"/>
      <c r="K924" s="12"/>
    </row>
    <row r="925" ht="19.5" customHeight="1">
      <c r="A925" s="12"/>
      <c r="C925" s="12"/>
      <c r="D925" s="13"/>
      <c r="F925" s="14"/>
      <c r="G925" s="14"/>
      <c r="H925" s="14"/>
      <c r="I925" s="14"/>
      <c r="J925" s="14"/>
      <c r="K925" s="12"/>
    </row>
    <row r="926" ht="19.5" customHeight="1">
      <c r="A926" s="12"/>
      <c r="C926" s="12"/>
      <c r="D926" s="13"/>
      <c r="F926" s="14"/>
      <c r="G926" s="14"/>
      <c r="H926" s="14"/>
      <c r="I926" s="14"/>
      <c r="J926" s="14"/>
      <c r="K926" s="12"/>
    </row>
    <row r="927" ht="19.5" customHeight="1">
      <c r="A927" s="12"/>
      <c r="C927" s="12"/>
      <c r="D927" s="13"/>
      <c r="F927" s="14"/>
      <c r="G927" s="14"/>
      <c r="H927" s="14"/>
      <c r="I927" s="14"/>
      <c r="J927" s="14"/>
      <c r="K927" s="12"/>
    </row>
    <row r="928" ht="19.5" customHeight="1">
      <c r="A928" s="12"/>
      <c r="C928" s="12"/>
      <c r="D928" s="13"/>
      <c r="F928" s="14"/>
      <c r="G928" s="14"/>
      <c r="H928" s="14"/>
      <c r="I928" s="14"/>
      <c r="J928" s="14"/>
      <c r="K928" s="12"/>
    </row>
    <row r="929" ht="19.5" customHeight="1">
      <c r="A929" s="12"/>
      <c r="C929" s="12"/>
      <c r="D929" s="13"/>
      <c r="F929" s="14"/>
      <c r="G929" s="14"/>
      <c r="H929" s="14"/>
      <c r="I929" s="14"/>
      <c r="J929" s="14"/>
      <c r="K929" s="12"/>
    </row>
    <row r="930" ht="19.5" customHeight="1">
      <c r="A930" s="12"/>
      <c r="C930" s="12"/>
      <c r="D930" s="13"/>
      <c r="F930" s="14"/>
      <c r="G930" s="14"/>
      <c r="H930" s="14"/>
      <c r="I930" s="14"/>
      <c r="J930" s="14"/>
      <c r="K930" s="12"/>
    </row>
    <row r="931" ht="19.5" customHeight="1">
      <c r="A931" s="12"/>
      <c r="C931" s="12"/>
      <c r="D931" s="13"/>
      <c r="F931" s="14"/>
      <c r="G931" s="14"/>
      <c r="H931" s="14"/>
      <c r="I931" s="14"/>
      <c r="J931" s="14"/>
      <c r="K931" s="12"/>
    </row>
    <row r="932" ht="19.5" customHeight="1">
      <c r="A932" s="12"/>
      <c r="C932" s="12"/>
      <c r="D932" s="13"/>
      <c r="F932" s="14"/>
      <c r="G932" s="14"/>
      <c r="H932" s="14"/>
      <c r="I932" s="14"/>
      <c r="J932" s="14"/>
      <c r="K932" s="12"/>
    </row>
    <row r="933" ht="19.5" customHeight="1">
      <c r="A933" s="12"/>
      <c r="C933" s="12"/>
      <c r="D933" s="13"/>
      <c r="F933" s="14"/>
      <c r="G933" s="14"/>
      <c r="H933" s="14"/>
      <c r="I933" s="14"/>
      <c r="J933" s="14"/>
      <c r="K933" s="12"/>
    </row>
    <row r="934" ht="19.5" customHeight="1">
      <c r="A934" s="12"/>
      <c r="C934" s="12"/>
      <c r="D934" s="13"/>
      <c r="F934" s="14"/>
      <c r="G934" s="14"/>
      <c r="H934" s="14"/>
      <c r="I934" s="14"/>
      <c r="J934" s="14"/>
      <c r="K934" s="12"/>
    </row>
    <row r="935" ht="19.5" customHeight="1">
      <c r="A935" s="12"/>
      <c r="C935" s="12"/>
      <c r="D935" s="13"/>
      <c r="F935" s="14"/>
      <c r="G935" s="14"/>
      <c r="H935" s="14"/>
      <c r="I935" s="14"/>
      <c r="J935" s="14"/>
      <c r="K935" s="12"/>
    </row>
    <row r="936" ht="19.5" customHeight="1">
      <c r="A936" s="12"/>
      <c r="C936" s="12"/>
      <c r="D936" s="13"/>
      <c r="F936" s="14"/>
      <c r="G936" s="14"/>
      <c r="H936" s="14"/>
      <c r="I936" s="14"/>
      <c r="J936" s="14"/>
      <c r="K936" s="12"/>
    </row>
    <row r="937" ht="19.5" customHeight="1">
      <c r="A937" s="12"/>
      <c r="C937" s="12"/>
      <c r="D937" s="13"/>
      <c r="F937" s="14"/>
      <c r="G937" s="14"/>
      <c r="H937" s="14"/>
      <c r="I937" s="14"/>
      <c r="J937" s="14"/>
      <c r="K937" s="12"/>
    </row>
    <row r="938" ht="19.5" customHeight="1">
      <c r="A938" s="12"/>
      <c r="C938" s="12"/>
      <c r="D938" s="13"/>
      <c r="F938" s="14"/>
      <c r="G938" s="14"/>
      <c r="H938" s="14"/>
      <c r="I938" s="14"/>
      <c r="J938" s="14"/>
      <c r="K938" s="12"/>
    </row>
    <row r="939" ht="19.5" customHeight="1">
      <c r="A939" s="12"/>
      <c r="C939" s="12"/>
      <c r="D939" s="13"/>
      <c r="F939" s="14"/>
      <c r="G939" s="14"/>
      <c r="H939" s="14"/>
      <c r="I939" s="14"/>
      <c r="J939" s="14"/>
      <c r="K939" s="12"/>
    </row>
    <row r="940" ht="19.5" customHeight="1">
      <c r="A940" s="12"/>
      <c r="C940" s="12"/>
      <c r="D940" s="13"/>
      <c r="F940" s="14"/>
      <c r="G940" s="14"/>
      <c r="H940" s="14"/>
      <c r="I940" s="14"/>
      <c r="J940" s="14"/>
      <c r="K940" s="12"/>
    </row>
    <row r="941" ht="19.5" customHeight="1">
      <c r="A941" s="12"/>
      <c r="C941" s="12"/>
      <c r="D941" s="13"/>
      <c r="F941" s="14"/>
      <c r="G941" s="14"/>
      <c r="H941" s="14"/>
      <c r="I941" s="14"/>
      <c r="J941" s="14"/>
      <c r="K941" s="12"/>
    </row>
    <row r="942" ht="19.5" customHeight="1">
      <c r="A942" s="12"/>
      <c r="C942" s="12"/>
      <c r="D942" s="13"/>
      <c r="F942" s="14"/>
      <c r="G942" s="14"/>
      <c r="H942" s="14"/>
      <c r="I942" s="14"/>
      <c r="J942" s="14"/>
      <c r="K942" s="12"/>
    </row>
    <row r="943" ht="19.5" customHeight="1">
      <c r="A943" s="12"/>
      <c r="C943" s="12"/>
      <c r="D943" s="13"/>
      <c r="F943" s="14"/>
      <c r="G943" s="14"/>
      <c r="H943" s="14"/>
      <c r="I943" s="14"/>
      <c r="J943" s="14"/>
      <c r="K943" s="12"/>
    </row>
    <row r="944" ht="19.5" customHeight="1">
      <c r="A944" s="12"/>
      <c r="C944" s="12"/>
      <c r="D944" s="13"/>
      <c r="F944" s="14"/>
      <c r="G944" s="14"/>
      <c r="H944" s="14"/>
      <c r="I944" s="14"/>
      <c r="J944" s="14"/>
      <c r="K944" s="12"/>
    </row>
    <row r="945" ht="19.5" customHeight="1">
      <c r="A945" s="12"/>
      <c r="C945" s="12"/>
      <c r="D945" s="13"/>
      <c r="F945" s="14"/>
      <c r="G945" s="14"/>
      <c r="H945" s="14"/>
      <c r="I945" s="14"/>
      <c r="J945" s="14"/>
      <c r="K945" s="12"/>
    </row>
    <row r="946" ht="19.5" customHeight="1">
      <c r="A946" s="12"/>
      <c r="C946" s="12"/>
      <c r="D946" s="13"/>
      <c r="F946" s="14"/>
      <c r="G946" s="14"/>
      <c r="H946" s="14"/>
      <c r="I946" s="14"/>
      <c r="J946" s="14"/>
      <c r="K946" s="12"/>
    </row>
    <row r="947" ht="19.5" customHeight="1">
      <c r="A947" s="12"/>
      <c r="C947" s="12"/>
      <c r="D947" s="13"/>
      <c r="F947" s="14"/>
      <c r="G947" s="14"/>
      <c r="H947" s="14"/>
      <c r="I947" s="14"/>
      <c r="J947" s="14"/>
      <c r="K947" s="12"/>
    </row>
    <row r="948" ht="19.5" customHeight="1">
      <c r="A948" s="12"/>
      <c r="C948" s="12"/>
      <c r="D948" s="13"/>
      <c r="F948" s="14"/>
      <c r="G948" s="14"/>
      <c r="H948" s="14"/>
      <c r="I948" s="14"/>
      <c r="J948" s="14"/>
      <c r="K948" s="12"/>
    </row>
    <row r="949" ht="19.5" customHeight="1">
      <c r="A949" s="12"/>
      <c r="C949" s="12"/>
      <c r="D949" s="13"/>
      <c r="F949" s="14"/>
      <c r="G949" s="14"/>
      <c r="H949" s="14"/>
      <c r="I949" s="14"/>
      <c r="J949" s="14"/>
      <c r="K949" s="12"/>
    </row>
    <row r="950" ht="19.5" customHeight="1">
      <c r="A950" s="12"/>
      <c r="C950" s="12"/>
      <c r="D950" s="13"/>
      <c r="F950" s="14"/>
      <c r="G950" s="14"/>
      <c r="H950" s="14"/>
      <c r="I950" s="14"/>
      <c r="J950" s="14"/>
      <c r="K950" s="12"/>
    </row>
    <row r="951" ht="19.5" customHeight="1">
      <c r="A951" s="12"/>
      <c r="C951" s="12"/>
      <c r="D951" s="13"/>
      <c r="F951" s="14"/>
      <c r="G951" s="14"/>
      <c r="H951" s="14"/>
      <c r="I951" s="14"/>
      <c r="J951" s="14"/>
      <c r="K951" s="12"/>
    </row>
    <row r="952" ht="19.5" customHeight="1">
      <c r="A952" s="12"/>
      <c r="C952" s="12"/>
      <c r="D952" s="13"/>
      <c r="F952" s="14"/>
      <c r="G952" s="14"/>
      <c r="H952" s="14"/>
      <c r="I952" s="14"/>
      <c r="J952" s="14"/>
      <c r="K952" s="12"/>
    </row>
    <row r="953" ht="19.5" customHeight="1">
      <c r="A953" s="12"/>
      <c r="C953" s="12"/>
      <c r="D953" s="13"/>
      <c r="F953" s="14"/>
      <c r="G953" s="14"/>
      <c r="H953" s="14"/>
      <c r="I953" s="14"/>
      <c r="J953" s="14"/>
      <c r="K953" s="12"/>
    </row>
    <row r="954" ht="19.5" customHeight="1">
      <c r="A954" s="12"/>
      <c r="C954" s="12"/>
      <c r="D954" s="13"/>
      <c r="F954" s="14"/>
      <c r="G954" s="14"/>
      <c r="H954" s="14"/>
      <c r="I954" s="14"/>
      <c r="J954" s="14"/>
      <c r="K954" s="12"/>
    </row>
    <row r="955" ht="19.5" customHeight="1">
      <c r="A955" s="12"/>
      <c r="C955" s="12"/>
      <c r="D955" s="13"/>
      <c r="F955" s="14"/>
      <c r="G955" s="14"/>
      <c r="H955" s="14"/>
      <c r="I955" s="14"/>
      <c r="J955" s="14"/>
      <c r="K955" s="12"/>
    </row>
    <row r="956" ht="19.5" customHeight="1">
      <c r="A956" s="12"/>
      <c r="C956" s="12"/>
      <c r="D956" s="13"/>
      <c r="F956" s="14"/>
      <c r="G956" s="14"/>
      <c r="H956" s="14"/>
      <c r="I956" s="14"/>
      <c r="J956" s="14"/>
      <c r="K956" s="12"/>
    </row>
    <row r="957" ht="19.5" customHeight="1">
      <c r="A957" s="12"/>
      <c r="C957" s="12"/>
      <c r="D957" s="13"/>
      <c r="F957" s="14"/>
      <c r="G957" s="14"/>
      <c r="H957" s="14"/>
      <c r="I957" s="14"/>
      <c r="J957" s="14"/>
      <c r="K957" s="12"/>
    </row>
    <row r="958" ht="19.5" customHeight="1">
      <c r="A958" s="12"/>
      <c r="C958" s="12"/>
      <c r="D958" s="13"/>
      <c r="F958" s="14"/>
      <c r="G958" s="14"/>
      <c r="H958" s="14"/>
      <c r="I958" s="14"/>
      <c r="J958" s="14"/>
      <c r="K958" s="12"/>
    </row>
    <row r="959" ht="19.5" customHeight="1">
      <c r="A959" s="12"/>
      <c r="C959" s="12"/>
      <c r="D959" s="13"/>
      <c r="F959" s="14"/>
      <c r="G959" s="14"/>
      <c r="H959" s="14"/>
      <c r="I959" s="14"/>
      <c r="J959" s="14"/>
      <c r="K959" s="12"/>
    </row>
    <row r="960" ht="19.5" customHeight="1">
      <c r="A960" s="12"/>
      <c r="C960" s="12"/>
      <c r="D960" s="13"/>
      <c r="F960" s="14"/>
      <c r="G960" s="14"/>
      <c r="H960" s="14"/>
      <c r="I960" s="14"/>
      <c r="J960" s="14"/>
      <c r="K960" s="12"/>
    </row>
    <row r="961" ht="19.5" customHeight="1">
      <c r="A961" s="12"/>
      <c r="C961" s="12"/>
      <c r="D961" s="13"/>
      <c r="F961" s="14"/>
      <c r="G961" s="14"/>
      <c r="H961" s="14"/>
      <c r="I961" s="14"/>
      <c r="J961" s="14"/>
      <c r="K961" s="12"/>
    </row>
    <row r="962" ht="19.5" customHeight="1">
      <c r="A962" s="12"/>
      <c r="C962" s="12"/>
      <c r="D962" s="13"/>
      <c r="F962" s="14"/>
      <c r="G962" s="14"/>
      <c r="H962" s="14"/>
      <c r="I962" s="14"/>
      <c r="J962" s="14"/>
      <c r="K962" s="12"/>
    </row>
    <row r="963" ht="19.5" customHeight="1">
      <c r="A963" s="12"/>
      <c r="C963" s="12"/>
      <c r="D963" s="13"/>
      <c r="F963" s="14"/>
      <c r="G963" s="14"/>
      <c r="H963" s="14"/>
      <c r="I963" s="14"/>
      <c r="J963" s="14"/>
      <c r="K963" s="12"/>
    </row>
    <row r="964" ht="19.5" customHeight="1">
      <c r="A964" s="12"/>
      <c r="C964" s="12"/>
      <c r="D964" s="13"/>
      <c r="F964" s="14"/>
      <c r="G964" s="14"/>
      <c r="H964" s="14"/>
      <c r="I964" s="14"/>
      <c r="J964" s="14"/>
      <c r="K964" s="12"/>
    </row>
    <row r="965" ht="19.5" customHeight="1">
      <c r="A965" s="12"/>
      <c r="C965" s="12"/>
      <c r="D965" s="13"/>
      <c r="F965" s="14"/>
      <c r="G965" s="14"/>
      <c r="H965" s="14"/>
      <c r="I965" s="14"/>
      <c r="J965" s="14"/>
      <c r="K965" s="12"/>
    </row>
    <row r="966" ht="19.5" customHeight="1">
      <c r="A966" s="12"/>
      <c r="C966" s="12"/>
      <c r="D966" s="13"/>
      <c r="F966" s="14"/>
      <c r="G966" s="14"/>
      <c r="H966" s="14"/>
      <c r="I966" s="14"/>
      <c r="J966" s="14"/>
      <c r="K966" s="12"/>
    </row>
    <row r="967" ht="19.5" customHeight="1">
      <c r="A967" s="12"/>
      <c r="C967" s="12"/>
      <c r="D967" s="13"/>
      <c r="F967" s="14"/>
      <c r="G967" s="14"/>
      <c r="H967" s="14"/>
      <c r="I967" s="14"/>
      <c r="J967" s="14"/>
      <c r="K967" s="12"/>
    </row>
    <row r="968" ht="19.5" customHeight="1">
      <c r="A968" s="12"/>
      <c r="C968" s="12"/>
      <c r="D968" s="13"/>
      <c r="F968" s="14"/>
      <c r="G968" s="14"/>
      <c r="H968" s="14"/>
      <c r="I968" s="14"/>
      <c r="J968" s="14"/>
      <c r="K968" s="12"/>
    </row>
    <row r="969" ht="19.5" customHeight="1">
      <c r="A969" s="12"/>
      <c r="C969" s="12"/>
      <c r="D969" s="13"/>
      <c r="F969" s="14"/>
      <c r="G969" s="14"/>
      <c r="H969" s="14"/>
      <c r="I969" s="14"/>
      <c r="J969" s="14"/>
      <c r="K969" s="12"/>
    </row>
    <row r="970" ht="19.5" customHeight="1">
      <c r="A970" s="12"/>
      <c r="C970" s="12"/>
      <c r="D970" s="13"/>
      <c r="F970" s="14"/>
      <c r="G970" s="14"/>
      <c r="H970" s="14"/>
      <c r="I970" s="14"/>
      <c r="J970" s="14"/>
      <c r="K970" s="12"/>
    </row>
    <row r="971" ht="19.5" customHeight="1">
      <c r="A971" s="12"/>
      <c r="C971" s="12"/>
      <c r="D971" s="13"/>
      <c r="F971" s="14"/>
      <c r="G971" s="14"/>
      <c r="H971" s="14"/>
      <c r="I971" s="14"/>
      <c r="J971" s="14"/>
      <c r="K971" s="12"/>
    </row>
    <row r="972" ht="19.5" customHeight="1">
      <c r="A972" s="12"/>
      <c r="C972" s="12"/>
      <c r="D972" s="13"/>
      <c r="F972" s="14"/>
      <c r="G972" s="14"/>
      <c r="H972" s="14"/>
      <c r="I972" s="14"/>
      <c r="J972" s="14"/>
      <c r="K972" s="12"/>
    </row>
    <row r="973" ht="19.5" customHeight="1">
      <c r="A973" s="12"/>
      <c r="C973" s="12"/>
      <c r="D973" s="13"/>
      <c r="F973" s="14"/>
      <c r="G973" s="14"/>
      <c r="H973" s="14"/>
      <c r="I973" s="14"/>
      <c r="J973" s="14"/>
      <c r="K973" s="12"/>
    </row>
    <row r="974" ht="19.5" customHeight="1">
      <c r="A974" s="12"/>
      <c r="C974" s="12"/>
      <c r="D974" s="13"/>
      <c r="F974" s="14"/>
      <c r="G974" s="14"/>
      <c r="H974" s="14"/>
      <c r="I974" s="14"/>
      <c r="J974" s="14"/>
      <c r="K974" s="12"/>
    </row>
    <row r="975" ht="19.5" customHeight="1">
      <c r="A975" s="12"/>
      <c r="C975" s="12"/>
      <c r="D975" s="13"/>
      <c r="F975" s="14"/>
      <c r="G975" s="14"/>
      <c r="H975" s="14"/>
      <c r="I975" s="14"/>
      <c r="J975" s="14"/>
      <c r="K975" s="12"/>
    </row>
    <row r="976" ht="19.5" customHeight="1">
      <c r="A976" s="12"/>
      <c r="C976" s="12"/>
      <c r="D976" s="13"/>
      <c r="F976" s="14"/>
      <c r="G976" s="14"/>
      <c r="H976" s="14"/>
      <c r="I976" s="14"/>
      <c r="J976" s="14"/>
      <c r="K976" s="12"/>
    </row>
    <row r="977" ht="19.5" customHeight="1">
      <c r="A977" s="12"/>
      <c r="C977" s="12"/>
      <c r="D977" s="13"/>
      <c r="F977" s="14"/>
      <c r="G977" s="14"/>
      <c r="H977" s="14"/>
      <c r="I977" s="14"/>
      <c r="J977" s="14"/>
      <c r="K977" s="12"/>
    </row>
    <row r="978" ht="19.5" customHeight="1">
      <c r="A978" s="12"/>
      <c r="C978" s="12"/>
      <c r="D978" s="13"/>
      <c r="F978" s="14"/>
      <c r="G978" s="14"/>
      <c r="H978" s="14"/>
      <c r="I978" s="14"/>
      <c r="J978" s="14"/>
      <c r="K978" s="12"/>
    </row>
  </sheetData>
  <mergeCells count="10">
    <mergeCell ref="E9:G9"/>
    <mergeCell ref="J9:J10"/>
    <mergeCell ref="A6:K6"/>
    <mergeCell ref="A7:K7"/>
    <mergeCell ref="A8:K8"/>
    <mergeCell ref="A9:A10"/>
    <mergeCell ref="B9:B10"/>
    <mergeCell ref="C9:C10"/>
    <mergeCell ref="D9:D10"/>
    <mergeCell ref="K9:K10"/>
  </mergeCells>
  <printOptions/>
  <pageMargins bottom="0.787401575" footer="0.0" header="0.0" left="0.511811024" right="0.511811024" top="0.787401575"/>
  <pageSetup paperSize="9" scale="60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37.63"/>
    <col customWidth="1" min="3" max="3" width="9.13"/>
    <col customWidth="1" min="4" max="4" width="16.25"/>
    <col customWidth="1" min="5" max="5" width="15.63"/>
    <col customWidth="1" min="6" max="6" width="22.25"/>
    <col customWidth="1" min="7" max="8" width="23.88"/>
    <col customWidth="1" min="9" max="9" width="18.75"/>
    <col customWidth="1" min="10" max="10" width="16.25"/>
    <col customWidth="1" min="11" max="11" width="28.38"/>
    <col customWidth="1" min="12" max="26" width="8.63"/>
  </cols>
  <sheetData>
    <row r="1" ht="19.5" customHeight="1">
      <c r="A1" s="4"/>
      <c r="B1" s="5"/>
      <c r="C1" s="6"/>
      <c r="D1" s="7"/>
      <c r="E1" s="5"/>
      <c r="F1" s="8"/>
      <c r="G1" s="8"/>
      <c r="H1" s="8"/>
      <c r="I1" s="8"/>
      <c r="J1" s="8"/>
      <c r="K1" s="9"/>
    </row>
    <row r="2" ht="19.5" customHeight="1">
      <c r="A2" s="10" t="s">
        <v>83</v>
      </c>
      <c r="B2" s="11" t="s">
        <v>84</v>
      </c>
      <c r="C2" s="12"/>
      <c r="D2" s="13"/>
      <c r="F2" s="14"/>
      <c r="G2" s="14"/>
      <c r="H2" s="14"/>
      <c r="I2" s="14"/>
      <c r="J2" s="17" t="s">
        <v>144</v>
      </c>
      <c r="K2" s="18"/>
    </row>
    <row r="3" ht="19.5" customHeight="1">
      <c r="A3" s="10" t="s">
        <v>86</v>
      </c>
      <c r="B3" s="11" t="s">
        <v>87</v>
      </c>
      <c r="C3" s="12"/>
      <c r="D3" s="13"/>
      <c r="F3" s="14"/>
      <c r="G3" s="14"/>
      <c r="H3" s="14"/>
      <c r="I3" s="14"/>
      <c r="J3" s="14"/>
      <c r="K3" s="18"/>
    </row>
    <row r="4" ht="19.5" customHeight="1">
      <c r="A4" s="19"/>
      <c r="C4" s="12"/>
      <c r="D4" s="13"/>
      <c r="F4" s="14"/>
      <c r="G4" s="14"/>
      <c r="H4" s="14"/>
      <c r="I4" s="14"/>
      <c r="J4" s="14"/>
      <c r="K4" s="18"/>
    </row>
    <row r="5" ht="19.5" customHeight="1">
      <c r="A5" s="19"/>
      <c r="C5" s="12"/>
      <c r="D5" s="13"/>
      <c r="F5" s="14"/>
      <c r="G5" s="14"/>
      <c r="H5" s="14"/>
      <c r="I5" s="14"/>
      <c r="J5" s="14"/>
      <c r="K5" s="18"/>
    </row>
    <row r="6" ht="159.0" customHeight="1">
      <c r="A6" s="20" t="s">
        <v>145</v>
      </c>
      <c r="K6" s="21"/>
    </row>
    <row r="7" ht="64.5" customHeight="1">
      <c r="A7" s="22" t="s">
        <v>169</v>
      </c>
      <c r="K7" s="21"/>
    </row>
    <row r="8" ht="19.5" customHeight="1">
      <c r="A8" s="23" t="s">
        <v>90</v>
      </c>
      <c r="B8" s="24"/>
      <c r="C8" s="24"/>
      <c r="D8" s="24"/>
      <c r="E8" s="24"/>
      <c r="F8" s="24"/>
      <c r="G8" s="24"/>
      <c r="H8" s="24"/>
      <c r="I8" s="24"/>
      <c r="J8" s="24"/>
      <c r="K8" s="25"/>
    </row>
    <row r="9" ht="19.5" customHeight="1">
      <c r="A9" s="26" t="s">
        <v>1</v>
      </c>
      <c r="B9" s="26" t="s">
        <v>91</v>
      </c>
      <c r="C9" s="26" t="s">
        <v>92</v>
      </c>
      <c r="D9" s="26" t="s">
        <v>93</v>
      </c>
      <c r="E9" s="27" t="s">
        <v>94</v>
      </c>
      <c r="F9" s="28"/>
      <c r="G9" s="29"/>
      <c r="H9" s="30"/>
      <c r="I9" s="30"/>
      <c r="J9" s="31" t="s">
        <v>95</v>
      </c>
      <c r="K9" s="26" t="s">
        <v>96</v>
      </c>
    </row>
    <row r="10" ht="19.5" customHeight="1">
      <c r="A10" s="32"/>
      <c r="B10" s="32"/>
      <c r="C10" s="32"/>
      <c r="D10" s="32"/>
      <c r="E10" s="33" t="s">
        <v>97</v>
      </c>
      <c r="F10" s="34" t="s">
        <v>121</v>
      </c>
      <c r="G10" s="34" t="s">
        <v>99</v>
      </c>
      <c r="H10" s="35" t="s">
        <v>100</v>
      </c>
      <c r="I10" s="35" t="s">
        <v>101</v>
      </c>
      <c r="J10" s="32"/>
      <c r="K10" s="32"/>
    </row>
    <row r="11" ht="19.5" customHeight="1">
      <c r="A11" s="36">
        <v>36893.0</v>
      </c>
      <c r="B11" s="37" t="s">
        <v>147</v>
      </c>
      <c r="C11" s="46" t="s">
        <v>148</v>
      </c>
      <c r="D11" s="39">
        <v>1.0</v>
      </c>
      <c r="E11" s="49">
        <v>0.4</v>
      </c>
      <c r="F11" s="85">
        <f>160.84+129.63+61.91+208.12+187.47</f>
        <v>747.97</v>
      </c>
      <c r="G11" s="41">
        <v>0.3</v>
      </c>
      <c r="H11" s="40">
        <f>G11*F11*E11*D11</f>
        <v>89.7564</v>
      </c>
      <c r="I11" s="42"/>
      <c r="J11" s="43">
        <f>H11-I11</f>
        <v>89.7564</v>
      </c>
      <c r="K11" s="46"/>
    </row>
    <row r="12" ht="19.5" customHeight="1">
      <c r="A12" s="74" t="s">
        <v>1</v>
      </c>
      <c r="B12" s="74" t="s">
        <v>91</v>
      </c>
      <c r="C12" s="74" t="s">
        <v>92</v>
      </c>
      <c r="D12" s="74" t="s">
        <v>93</v>
      </c>
      <c r="E12" s="50" t="s">
        <v>97</v>
      </c>
      <c r="F12" s="53" t="s">
        <v>121</v>
      </c>
      <c r="G12" s="53" t="s">
        <v>99</v>
      </c>
      <c r="H12" s="75" t="s">
        <v>100</v>
      </c>
      <c r="I12" s="75" t="s">
        <v>101</v>
      </c>
      <c r="J12" s="76" t="s">
        <v>95</v>
      </c>
      <c r="K12" s="74" t="s">
        <v>96</v>
      </c>
    </row>
    <row r="13" ht="19.5" customHeight="1">
      <c r="A13" s="36">
        <v>37623.0</v>
      </c>
      <c r="B13" s="49" t="s">
        <v>149</v>
      </c>
      <c r="C13" s="38" t="s">
        <v>103</v>
      </c>
      <c r="D13" s="39">
        <v>1.0</v>
      </c>
      <c r="E13" s="37"/>
      <c r="F13" s="40">
        <f>F11</f>
        <v>747.97</v>
      </c>
      <c r="G13" s="41">
        <v>0.3</v>
      </c>
      <c r="H13" s="40">
        <f>G13*F13*D13</f>
        <v>224.391</v>
      </c>
      <c r="I13" s="42"/>
      <c r="J13" s="77"/>
      <c r="K13" s="46"/>
    </row>
    <row r="14" ht="19.5" customHeight="1">
      <c r="A14" s="46"/>
      <c r="B14" s="37"/>
      <c r="C14" s="46"/>
      <c r="D14" s="78"/>
      <c r="E14" s="37"/>
      <c r="F14" s="40"/>
      <c r="G14" s="40"/>
      <c r="H14" s="40"/>
      <c r="I14" s="42"/>
      <c r="J14" s="43">
        <f>SUM(H13:H14)</f>
        <v>224.391</v>
      </c>
      <c r="K14" s="79"/>
    </row>
    <row r="15" ht="19.5" customHeight="1">
      <c r="A15" s="74" t="s">
        <v>1</v>
      </c>
      <c r="B15" s="74" t="s">
        <v>91</v>
      </c>
      <c r="C15" s="74" t="s">
        <v>92</v>
      </c>
      <c r="D15" s="74" t="s">
        <v>93</v>
      </c>
      <c r="E15" s="50" t="s">
        <v>97</v>
      </c>
      <c r="F15" s="53" t="s">
        <v>121</v>
      </c>
      <c r="G15" s="53" t="s">
        <v>99</v>
      </c>
      <c r="H15" s="75" t="s">
        <v>100</v>
      </c>
      <c r="I15" s="75" t="s">
        <v>101</v>
      </c>
      <c r="J15" s="76" t="s">
        <v>95</v>
      </c>
      <c r="K15" s="74" t="s">
        <v>96</v>
      </c>
    </row>
    <row r="16" ht="19.5" customHeight="1">
      <c r="A16" s="36">
        <v>37258.0</v>
      </c>
      <c r="B16" s="49" t="s">
        <v>150</v>
      </c>
      <c r="C16" s="38" t="s">
        <v>108</v>
      </c>
      <c r="D16" s="39">
        <v>1.0</v>
      </c>
      <c r="E16" s="37"/>
      <c r="F16" s="40">
        <f>F11</f>
        <v>747.97</v>
      </c>
      <c r="G16" s="40"/>
      <c r="H16" s="40">
        <f>F16*D16</f>
        <v>747.97</v>
      </c>
      <c r="I16" s="42"/>
      <c r="J16" s="77"/>
      <c r="K16" s="46"/>
    </row>
    <row r="17" ht="19.5" customHeight="1">
      <c r="A17" s="46"/>
      <c r="B17" s="37"/>
      <c r="C17" s="46"/>
      <c r="D17" s="78"/>
      <c r="E17" s="37"/>
      <c r="F17" s="40"/>
      <c r="G17" s="40"/>
      <c r="H17" s="40"/>
      <c r="I17" s="42"/>
      <c r="J17" s="43">
        <f>SUM(H16:H17)</f>
        <v>747.97</v>
      </c>
      <c r="K17" s="79"/>
    </row>
    <row r="18" ht="19.5" customHeight="1">
      <c r="A18" s="74" t="s">
        <v>1</v>
      </c>
      <c r="B18" s="74" t="s">
        <v>91</v>
      </c>
      <c r="C18" s="74" t="s">
        <v>92</v>
      </c>
      <c r="D18" s="74" t="s">
        <v>93</v>
      </c>
      <c r="E18" s="50" t="s">
        <v>97</v>
      </c>
      <c r="F18" s="53" t="s">
        <v>121</v>
      </c>
      <c r="G18" s="53" t="s">
        <v>99</v>
      </c>
      <c r="H18" s="75" t="s">
        <v>100</v>
      </c>
      <c r="I18" s="75" t="s">
        <v>101</v>
      </c>
      <c r="J18" s="76" t="s">
        <v>95</v>
      </c>
      <c r="K18" s="74" t="s">
        <v>96</v>
      </c>
    </row>
    <row r="19" ht="19.5" customHeight="1">
      <c r="A19" s="36">
        <v>37988.0</v>
      </c>
      <c r="B19" s="49" t="s">
        <v>151</v>
      </c>
      <c r="C19" s="46" t="s">
        <v>148</v>
      </c>
      <c r="D19" s="78">
        <v>1.0</v>
      </c>
      <c r="E19" s="49">
        <v>0.4</v>
      </c>
      <c r="F19" s="78">
        <f>F11</f>
        <v>747.97</v>
      </c>
      <c r="G19" s="41">
        <v>0.3</v>
      </c>
      <c r="H19" s="40">
        <f>G19*F19*E19*D19</f>
        <v>89.7564</v>
      </c>
      <c r="I19" s="14"/>
      <c r="J19" s="40"/>
      <c r="K19" s="46"/>
    </row>
    <row r="20" ht="19.5" customHeight="1">
      <c r="A20" s="46"/>
      <c r="B20" s="37"/>
      <c r="C20" s="46"/>
      <c r="D20" s="78"/>
      <c r="E20" s="37"/>
      <c r="F20" s="78"/>
      <c r="G20" s="40"/>
      <c r="H20" s="40"/>
      <c r="I20" s="42"/>
      <c r="J20" s="43">
        <f>SUM(H19:H20)</f>
        <v>89.7564</v>
      </c>
      <c r="K20" s="46"/>
    </row>
    <row r="21" ht="19.5" customHeight="1">
      <c r="A21" s="74" t="s">
        <v>1</v>
      </c>
      <c r="B21" s="74" t="s">
        <v>91</v>
      </c>
      <c r="C21" s="74" t="s">
        <v>92</v>
      </c>
      <c r="D21" s="74" t="s">
        <v>93</v>
      </c>
      <c r="E21" s="50" t="s">
        <v>97</v>
      </c>
      <c r="F21" s="53" t="s">
        <v>121</v>
      </c>
      <c r="G21" s="53" t="s">
        <v>99</v>
      </c>
      <c r="H21" s="75" t="s">
        <v>100</v>
      </c>
      <c r="I21" s="75" t="s">
        <v>101</v>
      </c>
      <c r="J21" s="76" t="s">
        <v>95</v>
      </c>
      <c r="K21" s="74" t="s">
        <v>96</v>
      </c>
    </row>
    <row r="22" ht="19.5" customHeight="1">
      <c r="A22" s="36">
        <v>38354.0</v>
      </c>
      <c r="B22" s="49" t="s">
        <v>152</v>
      </c>
      <c r="C22" s="38" t="s">
        <v>108</v>
      </c>
      <c r="D22" s="39">
        <v>2.0</v>
      </c>
      <c r="E22" s="37"/>
      <c r="F22" s="78">
        <f>F11</f>
        <v>747.97</v>
      </c>
      <c r="G22" s="40"/>
      <c r="H22" s="40">
        <f>D22*F22</f>
        <v>1495.94</v>
      </c>
      <c r="I22" s="42"/>
      <c r="J22" s="43">
        <f>H22</f>
        <v>1495.94</v>
      </c>
      <c r="K22" s="46"/>
    </row>
    <row r="23" ht="19.5" customHeight="1">
      <c r="A23" s="74" t="s">
        <v>1</v>
      </c>
      <c r="B23" s="74" t="s">
        <v>91</v>
      </c>
      <c r="C23" s="74" t="s">
        <v>92</v>
      </c>
      <c r="D23" s="74" t="s">
        <v>93</v>
      </c>
      <c r="E23" s="50" t="s">
        <v>97</v>
      </c>
      <c r="F23" s="53" t="s">
        <v>121</v>
      </c>
      <c r="G23" s="53" t="s">
        <v>99</v>
      </c>
      <c r="H23" s="75" t="s">
        <v>100</v>
      </c>
      <c r="I23" s="75" t="s">
        <v>101</v>
      </c>
      <c r="J23" s="76" t="s">
        <v>95</v>
      </c>
      <c r="K23" s="74" t="s">
        <v>96</v>
      </c>
    </row>
    <row r="24" ht="19.5" customHeight="1">
      <c r="A24" s="36">
        <v>36924.0</v>
      </c>
      <c r="B24" s="49" t="s">
        <v>153</v>
      </c>
      <c r="C24" s="38" t="s">
        <v>103</v>
      </c>
      <c r="D24" s="80">
        <f>46*6</f>
        <v>276</v>
      </c>
      <c r="E24" s="49">
        <v>2.0</v>
      </c>
      <c r="F24" s="39">
        <v>0.4</v>
      </c>
      <c r="G24" s="40"/>
      <c r="H24" s="40">
        <f t="shared" ref="H24:H25" si="1">F24*E24*D24</f>
        <v>220.8</v>
      </c>
      <c r="I24" s="42"/>
      <c r="J24" s="43">
        <f>H24</f>
        <v>220.8</v>
      </c>
      <c r="K24" s="46"/>
    </row>
    <row r="25" ht="19.5" customHeight="1">
      <c r="A25" s="36">
        <v>37289.0</v>
      </c>
      <c r="B25" s="49" t="s">
        <v>154</v>
      </c>
      <c r="C25" s="38" t="s">
        <v>103</v>
      </c>
      <c r="D25" s="78">
        <v>1.0</v>
      </c>
      <c r="E25" s="49">
        <v>2.0</v>
      </c>
      <c r="F25" s="78">
        <f>F11</f>
        <v>747.97</v>
      </c>
      <c r="G25" s="40"/>
      <c r="H25" s="40">
        <f t="shared" si="1"/>
        <v>1495.94</v>
      </c>
      <c r="I25" s="42">
        <f>H24</f>
        <v>220.8</v>
      </c>
      <c r="J25" s="43">
        <f>H25-I25</f>
        <v>1275.14</v>
      </c>
      <c r="K25" s="46"/>
    </row>
    <row r="26" ht="19.5" customHeight="1">
      <c r="A26" s="74" t="s">
        <v>1</v>
      </c>
      <c r="B26" s="74" t="s">
        <v>91</v>
      </c>
      <c r="C26" s="74" t="s">
        <v>92</v>
      </c>
      <c r="D26" s="74" t="s">
        <v>93</v>
      </c>
      <c r="E26" s="51" t="s">
        <v>155</v>
      </c>
      <c r="F26" s="53" t="s">
        <v>121</v>
      </c>
      <c r="G26" s="52" t="s">
        <v>156</v>
      </c>
      <c r="H26" s="75" t="s">
        <v>100</v>
      </c>
      <c r="I26" s="75" t="s">
        <v>101</v>
      </c>
      <c r="J26" s="76" t="s">
        <v>95</v>
      </c>
      <c r="K26" s="74" t="s">
        <v>96</v>
      </c>
    </row>
    <row r="27" ht="19.5" customHeight="1">
      <c r="A27" s="36">
        <v>37654.0</v>
      </c>
      <c r="B27" s="49" t="s">
        <v>157</v>
      </c>
      <c r="C27" s="46" t="s">
        <v>158</v>
      </c>
      <c r="D27" s="39">
        <f>D24</f>
        <v>276</v>
      </c>
      <c r="E27" s="49">
        <v>1.0</v>
      </c>
      <c r="F27" s="40">
        <f>2.4*4</f>
        <v>9.6</v>
      </c>
      <c r="G27" s="81">
        <v>0.395</v>
      </c>
      <c r="H27" s="40">
        <f>F27*G27*D27*E27</f>
        <v>1046.592</v>
      </c>
      <c r="I27" s="82"/>
      <c r="J27" s="43">
        <f>H27-I27</f>
        <v>1046.592</v>
      </c>
      <c r="K27" s="83" t="s">
        <v>159</v>
      </c>
    </row>
    <row r="28" ht="19.5" customHeight="1">
      <c r="A28" s="74" t="s">
        <v>1</v>
      </c>
      <c r="B28" s="74" t="s">
        <v>91</v>
      </c>
      <c r="C28" s="74" t="s">
        <v>92</v>
      </c>
      <c r="D28" s="74" t="s">
        <v>93</v>
      </c>
      <c r="E28" s="50" t="s">
        <v>97</v>
      </c>
      <c r="F28" s="53" t="s">
        <v>121</v>
      </c>
      <c r="G28" s="53" t="s">
        <v>99</v>
      </c>
      <c r="H28" s="75" t="s">
        <v>100</v>
      </c>
      <c r="I28" s="75" t="s">
        <v>101</v>
      </c>
      <c r="J28" s="76" t="s">
        <v>95</v>
      </c>
      <c r="K28" s="74" t="s">
        <v>96</v>
      </c>
    </row>
    <row r="29" ht="19.5" customHeight="1">
      <c r="A29" s="36">
        <v>38019.0</v>
      </c>
      <c r="B29" s="49" t="s">
        <v>160</v>
      </c>
      <c r="C29" s="38" t="s">
        <v>148</v>
      </c>
      <c r="D29" s="39">
        <f>D24</f>
        <v>276</v>
      </c>
      <c r="E29" s="49">
        <v>2.4</v>
      </c>
      <c r="F29" s="41">
        <v>0.17</v>
      </c>
      <c r="G29" s="41">
        <v>0.12</v>
      </c>
      <c r="H29" s="40">
        <f>E29*F29*G29*D29</f>
        <v>13.51296</v>
      </c>
      <c r="I29" s="42"/>
      <c r="J29" s="43">
        <f>H29</f>
        <v>13.51296</v>
      </c>
      <c r="K29" s="84"/>
    </row>
    <row r="30" ht="19.5" customHeight="1">
      <c r="A30" s="74" t="s">
        <v>1</v>
      </c>
      <c r="B30" s="74" t="s">
        <v>91</v>
      </c>
      <c r="C30" s="74" t="s">
        <v>92</v>
      </c>
      <c r="D30" s="74" t="s">
        <v>93</v>
      </c>
      <c r="E30" s="50" t="s">
        <v>161</v>
      </c>
      <c r="F30" s="53" t="s">
        <v>121</v>
      </c>
      <c r="G30" s="53" t="s">
        <v>99</v>
      </c>
      <c r="H30" s="75" t="s">
        <v>100</v>
      </c>
      <c r="I30" s="75" t="s">
        <v>101</v>
      </c>
      <c r="J30" s="76" t="s">
        <v>95</v>
      </c>
      <c r="K30" s="74" t="s">
        <v>96</v>
      </c>
    </row>
    <row r="31" ht="19.5" customHeight="1">
      <c r="A31" s="36">
        <v>37743.0</v>
      </c>
      <c r="B31" s="37" t="s">
        <v>162</v>
      </c>
      <c r="C31" s="46" t="s">
        <v>103</v>
      </c>
      <c r="D31" s="78">
        <v>1.0</v>
      </c>
      <c r="E31" s="37">
        <v>1.0</v>
      </c>
      <c r="F31" s="39">
        <v>193.12</v>
      </c>
      <c r="G31" s="41">
        <v>4.4</v>
      </c>
      <c r="H31" s="40">
        <f>G31*F31</f>
        <v>849.728</v>
      </c>
      <c r="I31" s="42"/>
      <c r="J31" s="40"/>
      <c r="K31" s="46"/>
    </row>
    <row r="32" ht="19.5" customHeight="1">
      <c r="A32" s="46"/>
      <c r="B32" s="37"/>
      <c r="C32" s="46"/>
      <c r="D32" s="78"/>
      <c r="E32" s="37"/>
      <c r="F32" s="78"/>
      <c r="G32" s="40"/>
      <c r="H32" s="40"/>
      <c r="I32" s="42"/>
      <c r="J32" s="43">
        <f>SUM(H31:H32)</f>
        <v>849.728</v>
      </c>
      <c r="K32" s="46"/>
    </row>
    <row r="33" ht="19.5" customHeight="1">
      <c r="A33" s="74" t="s">
        <v>1</v>
      </c>
      <c r="B33" s="74" t="s">
        <v>91</v>
      </c>
      <c r="C33" s="74" t="s">
        <v>92</v>
      </c>
      <c r="D33" s="74" t="s">
        <v>93</v>
      </c>
      <c r="E33" s="50" t="s">
        <v>161</v>
      </c>
      <c r="F33" s="53" t="s">
        <v>121</v>
      </c>
      <c r="G33" s="53" t="s">
        <v>99</v>
      </c>
      <c r="H33" s="75" t="s">
        <v>100</v>
      </c>
      <c r="I33" s="75" t="s">
        <v>101</v>
      </c>
      <c r="J33" s="76" t="s">
        <v>95</v>
      </c>
      <c r="K33" s="74" t="s">
        <v>96</v>
      </c>
    </row>
    <row r="34" ht="19.5" customHeight="1">
      <c r="A34" s="36">
        <v>37013.0</v>
      </c>
      <c r="B34" s="49" t="s">
        <v>163</v>
      </c>
      <c r="C34" s="38" t="s">
        <v>148</v>
      </c>
      <c r="D34" s="39">
        <f>J11*1.25</f>
        <v>112.1955</v>
      </c>
      <c r="E34" s="37"/>
      <c r="F34" s="39"/>
      <c r="G34" s="40"/>
      <c r="H34" s="40">
        <f t="shared" ref="H34:H36" si="2">D34</f>
        <v>112.1955</v>
      </c>
      <c r="I34" s="42"/>
      <c r="J34" s="43">
        <f t="shared" ref="J34:J36" si="3">H34</f>
        <v>112.1955</v>
      </c>
      <c r="K34" s="38" t="s">
        <v>164</v>
      </c>
    </row>
    <row r="35" ht="19.5" customHeight="1">
      <c r="A35" s="36">
        <v>37378.0</v>
      </c>
      <c r="B35" s="49" t="s">
        <v>165</v>
      </c>
      <c r="C35" s="38" t="s">
        <v>166</v>
      </c>
      <c r="D35" s="39">
        <f>D34*10</f>
        <v>1121.955</v>
      </c>
      <c r="E35" s="37"/>
      <c r="F35" s="39"/>
      <c r="G35" s="40"/>
      <c r="H35" s="40">
        <f t="shared" si="2"/>
        <v>1121.955</v>
      </c>
      <c r="I35" s="42"/>
      <c r="J35" s="43">
        <f t="shared" si="3"/>
        <v>1121.955</v>
      </c>
      <c r="K35" s="38"/>
    </row>
    <row r="36" ht="19.5" customHeight="1">
      <c r="A36" s="36">
        <v>38109.0</v>
      </c>
      <c r="B36" s="49" t="s">
        <v>167</v>
      </c>
      <c r="C36" s="38" t="s">
        <v>148</v>
      </c>
      <c r="D36" s="39">
        <f>J17/4</f>
        <v>186.9925</v>
      </c>
      <c r="E36" s="37"/>
      <c r="F36" s="39"/>
      <c r="G36" s="40"/>
      <c r="H36" s="40">
        <f t="shared" si="2"/>
        <v>186.9925</v>
      </c>
      <c r="I36" s="42"/>
      <c r="J36" s="43">
        <f t="shared" si="3"/>
        <v>186.9925</v>
      </c>
      <c r="K36" s="38"/>
    </row>
    <row r="37" ht="19.5" customHeight="1">
      <c r="A37" s="12"/>
      <c r="C37" s="12"/>
      <c r="D37" s="13"/>
      <c r="F37" s="14"/>
      <c r="G37" s="14"/>
      <c r="H37" s="14"/>
      <c r="I37" s="14"/>
      <c r="J37" s="14"/>
      <c r="K37" s="12"/>
    </row>
    <row r="38" ht="19.5" customHeight="1">
      <c r="A38" s="12"/>
      <c r="C38" s="12"/>
      <c r="D38" s="13"/>
      <c r="F38" s="14"/>
      <c r="G38" s="14"/>
      <c r="H38" s="14"/>
      <c r="I38" s="14"/>
      <c r="J38" s="14"/>
      <c r="K38" s="12"/>
    </row>
    <row r="39" ht="19.5" customHeight="1">
      <c r="A39" s="12"/>
      <c r="C39" s="12"/>
      <c r="D39" s="13"/>
      <c r="F39" s="14"/>
      <c r="G39" s="14"/>
      <c r="H39" s="14"/>
      <c r="I39" s="14"/>
      <c r="J39" s="14"/>
      <c r="K39" s="12"/>
    </row>
    <row r="40" ht="19.5" customHeight="1">
      <c r="A40" s="12"/>
      <c r="C40" s="12"/>
      <c r="D40" s="13"/>
      <c r="F40" s="14"/>
      <c r="G40" s="14"/>
      <c r="H40" s="14"/>
      <c r="I40" s="14"/>
      <c r="J40" s="14"/>
      <c r="K40" s="12"/>
    </row>
    <row r="41" ht="19.5" customHeight="1">
      <c r="A41" s="12"/>
      <c r="C41" s="12"/>
      <c r="D41" s="13"/>
      <c r="F41" s="14"/>
      <c r="G41" s="14"/>
      <c r="H41" s="14"/>
      <c r="I41" s="14"/>
      <c r="J41" s="14"/>
      <c r="K41" s="12"/>
    </row>
    <row r="42" ht="19.5" customHeight="1">
      <c r="A42" s="12"/>
      <c r="C42" s="12"/>
      <c r="D42" s="13"/>
      <c r="F42" s="14"/>
      <c r="G42" s="14"/>
      <c r="H42" s="14"/>
      <c r="I42" s="14"/>
      <c r="J42" s="14"/>
      <c r="K42" s="12"/>
    </row>
    <row r="43" ht="19.5" customHeight="1">
      <c r="A43" s="12"/>
      <c r="C43" s="12"/>
      <c r="D43" s="13"/>
      <c r="F43" s="14"/>
      <c r="G43" s="14"/>
      <c r="H43" s="14"/>
      <c r="I43" s="14"/>
      <c r="J43" s="14"/>
      <c r="K43" s="12"/>
    </row>
    <row r="44" ht="19.5" customHeight="1">
      <c r="A44" s="12"/>
      <c r="C44" s="12"/>
      <c r="D44" s="13"/>
      <c r="F44" s="14"/>
      <c r="G44" s="14"/>
      <c r="H44" s="14"/>
      <c r="I44" s="14"/>
      <c r="J44" s="14"/>
      <c r="K44" s="12"/>
    </row>
    <row r="45" ht="19.5" customHeight="1">
      <c r="A45" s="12"/>
      <c r="C45" s="12"/>
      <c r="D45" s="13"/>
      <c r="F45" s="14"/>
      <c r="G45" s="14"/>
      <c r="H45" s="14"/>
      <c r="I45" s="14"/>
      <c r="J45" s="14"/>
      <c r="K45" s="12"/>
    </row>
    <row r="46" ht="19.5" customHeight="1">
      <c r="A46" s="12"/>
      <c r="C46" s="12"/>
      <c r="D46" s="13"/>
      <c r="F46" s="14"/>
      <c r="G46" s="14"/>
      <c r="H46" s="14"/>
      <c r="I46" s="14"/>
      <c r="J46" s="14"/>
      <c r="K46" s="12"/>
    </row>
    <row r="47" ht="19.5" customHeight="1">
      <c r="A47" s="12"/>
      <c r="C47" s="12"/>
      <c r="D47" s="13"/>
      <c r="F47" s="14"/>
      <c r="G47" s="14"/>
      <c r="H47" s="14"/>
      <c r="I47" s="14"/>
      <c r="J47" s="14"/>
      <c r="K47" s="12"/>
    </row>
    <row r="48" ht="19.5" customHeight="1">
      <c r="A48" s="12"/>
      <c r="C48" s="12"/>
      <c r="D48" s="13"/>
      <c r="F48" s="14"/>
      <c r="G48" s="14"/>
      <c r="H48" s="14"/>
      <c r="I48" s="14"/>
      <c r="J48" s="14"/>
      <c r="K48" s="12"/>
    </row>
    <row r="49" ht="19.5" customHeight="1">
      <c r="A49" s="12"/>
      <c r="C49" s="12"/>
      <c r="D49" s="13"/>
      <c r="F49" s="14"/>
      <c r="G49" s="14"/>
      <c r="H49" s="14"/>
      <c r="I49" s="14"/>
      <c r="J49" s="14"/>
      <c r="K49" s="12"/>
    </row>
    <row r="50" ht="19.5" customHeight="1">
      <c r="A50" s="12"/>
      <c r="C50" s="12"/>
      <c r="D50" s="13"/>
      <c r="F50" s="14"/>
      <c r="G50" s="14"/>
      <c r="H50" s="14"/>
      <c r="I50" s="14"/>
      <c r="J50" s="14"/>
      <c r="K50" s="12"/>
    </row>
    <row r="51" ht="19.5" customHeight="1">
      <c r="A51" s="12"/>
      <c r="C51" s="12"/>
      <c r="D51" s="13"/>
      <c r="F51" s="14"/>
      <c r="G51" s="14"/>
      <c r="H51" s="14"/>
      <c r="I51" s="14"/>
      <c r="J51" s="14"/>
      <c r="K51" s="12"/>
    </row>
    <row r="52" ht="19.5" customHeight="1">
      <c r="A52" s="12"/>
      <c r="C52" s="12"/>
      <c r="D52" s="13"/>
      <c r="F52" s="14"/>
      <c r="G52" s="14"/>
      <c r="H52" s="14"/>
      <c r="I52" s="14"/>
      <c r="J52" s="14"/>
      <c r="K52" s="12"/>
    </row>
    <row r="53" ht="19.5" customHeight="1">
      <c r="A53" s="12"/>
      <c r="C53" s="12"/>
      <c r="D53" s="13"/>
      <c r="F53" s="14"/>
      <c r="G53" s="14"/>
      <c r="H53" s="14"/>
      <c r="I53" s="14"/>
      <c r="J53" s="14"/>
      <c r="K53" s="12"/>
    </row>
    <row r="54" ht="19.5" customHeight="1">
      <c r="A54" s="12"/>
      <c r="C54" s="12"/>
      <c r="D54" s="13"/>
      <c r="F54" s="14"/>
      <c r="G54" s="14"/>
      <c r="H54" s="14"/>
      <c r="I54" s="14"/>
      <c r="J54" s="14"/>
      <c r="K54" s="12"/>
    </row>
    <row r="55" ht="19.5" customHeight="1">
      <c r="A55" s="12"/>
      <c r="C55" s="12"/>
      <c r="D55" s="13"/>
      <c r="F55" s="14"/>
      <c r="G55" s="14"/>
      <c r="H55" s="14"/>
      <c r="I55" s="14"/>
      <c r="J55" s="14"/>
      <c r="K55" s="12"/>
    </row>
    <row r="56" ht="19.5" customHeight="1">
      <c r="A56" s="12"/>
      <c r="C56" s="12"/>
      <c r="D56" s="13"/>
      <c r="F56" s="14"/>
      <c r="G56" s="14"/>
      <c r="H56" s="14"/>
      <c r="I56" s="14"/>
      <c r="J56" s="14"/>
      <c r="K56" s="12"/>
    </row>
    <row r="57" ht="19.5" customHeight="1">
      <c r="A57" s="12"/>
      <c r="C57" s="12"/>
      <c r="D57" s="13"/>
      <c r="F57" s="14"/>
      <c r="G57" s="14"/>
      <c r="H57" s="14"/>
      <c r="I57" s="14"/>
      <c r="J57" s="14"/>
      <c r="K57" s="12"/>
    </row>
    <row r="58" ht="19.5" customHeight="1">
      <c r="A58" s="12"/>
      <c r="C58" s="12"/>
      <c r="D58" s="13"/>
      <c r="F58" s="14"/>
      <c r="G58" s="14"/>
      <c r="H58" s="14"/>
      <c r="I58" s="14"/>
      <c r="J58" s="14"/>
      <c r="K58" s="12"/>
    </row>
    <row r="59" ht="19.5" customHeight="1">
      <c r="A59" s="12"/>
      <c r="C59" s="12"/>
      <c r="D59" s="13"/>
      <c r="F59" s="14"/>
      <c r="G59" s="14"/>
      <c r="H59" s="14"/>
      <c r="I59" s="14"/>
      <c r="J59" s="14"/>
      <c r="K59" s="12"/>
    </row>
    <row r="60" ht="19.5" customHeight="1">
      <c r="A60" s="12"/>
      <c r="C60" s="12"/>
      <c r="D60" s="13"/>
      <c r="F60" s="14"/>
      <c r="G60" s="14"/>
      <c r="H60" s="14"/>
      <c r="I60" s="14"/>
      <c r="J60" s="14"/>
      <c r="K60" s="12"/>
    </row>
    <row r="61" ht="19.5" customHeight="1">
      <c r="A61" s="12"/>
      <c r="C61" s="12"/>
      <c r="D61" s="13"/>
      <c r="F61" s="14"/>
      <c r="G61" s="14"/>
      <c r="H61" s="14"/>
      <c r="I61" s="14"/>
      <c r="J61" s="14"/>
      <c r="K61" s="12"/>
    </row>
    <row r="62" ht="19.5" customHeight="1">
      <c r="A62" s="12"/>
      <c r="C62" s="12"/>
      <c r="D62" s="13"/>
      <c r="F62" s="14"/>
      <c r="G62" s="14"/>
      <c r="H62" s="14"/>
      <c r="I62" s="14"/>
      <c r="J62" s="14"/>
      <c r="K62" s="12"/>
    </row>
    <row r="63" ht="19.5" customHeight="1">
      <c r="A63" s="12"/>
      <c r="C63" s="12"/>
      <c r="D63" s="13"/>
      <c r="F63" s="14"/>
      <c r="G63" s="14"/>
      <c r="H63" s="14"/>
      <c r="I63" s="14"/>
      <c r="J63" s="14"/>
      <c r="K63" s="12"/>
    </row>
    <row r="64" ht="19.5" customHeight="1">
      <c r="A64" s="12"/>
      <c r="C64" s="12"/>
      <c r="D64" s="13"/>
      <c r="F64" s="14"/>
      <c r="G64" s="14"/>
      <c r="H64" s="14"/>
      <c r="I64" s="14"/>
      <c r="J64" s="14"/>
      <c r="K64" s="12"/>
    </row>
    <row r="65" ht="19.5" customHeight="1">
      <c r="A65" s="12"/>
      <c r="C65" s="12"/>
      <c r="D65" s="13"/>
      <c r="F65" s="14"/>
      <c r="G65" s="14"/>
      <c r="H65" s="14"/>
      <c r="I65" s="14"/>
      <c r="J65" s="14"/>
      <c r="K65" s="12"/>
    </row>
    <row r="66" ht="19.5" customHeight="1">
      <c r="A66" s="12"/>
      <c r="C66" s="12"/>
      <c r="D66" s="13"/>
      <c r="F66" s="14"/>
      <c r="G66" s="14"/>
      <c r="H66" s="14"/>
      <c r="I66" s="14"/>
      <c r="J66" s="14"/>
      <c r="K66" s="12"/>
    </row>
    <row r="67" ht="19.5" customHeight="1">
      <c r="A67" s="12"/>
      <c r="C67" s="12"/>
      <c r="D67" s="13"/>
      <c r="F67" s="14"/>
      <c r="G67" s="14"/>
      <c r="H67" s="14"/>
      <c r="I67" s="14"/>
      <c r="J67" s="14"/>
      <c r="K67" s="12"/>
    </row>
    <row r="68" ht="19.5" customHeight="1">
      <c r="A68" s="12"/>
      <c r="C68" s="12"/>
      <c r="D68" s="13"/>
      <c r="F68" s="14"/>
      <c r="G68" s="14"/>
      <c r="H68" s="14"/>
      <c r="I68" s="14"/>
      <c r="J68" s="14"/>
      <c r="K68" s="12"/>
    </row>
    <row r="69" ht="19.5" customHeight="1">
      <c r="A69" s="12"/>
      <c r="C69" s="12"/>
      <c r="D69" s="13"/>
      <c r="F69" s="14"/>
      <c r="G69" s="14"/>
      <c r="H69" s="14"/>
      <c r="I69" s="14"/>
      <c r="J69" s="14"/>
      <c r="K69" s="12"/>
    </row>
    <row r="70" ht="19.5" customHeight="1">
      <c r="A70" s="12"/>
      <c r="C70" s="12"/>
      <c r="D70" s="13"/>
      <c r="F70" s="14"/>
      <c r="G70" s="14"/>
      <c r="H70" s="14"/>
      <c r="I70" s="14"/>
      <c r="J70" s="14"/>
      <c r="K70" s="12"/>
    </row>
    <row r="71" ht="19.5" customHeight="1">
      <c r="A71" s="12"/>
      <c r="C71" s="12"/>
      <c r="D71" s="13"/>
      <c r="F71" s="14"/>
      <c r="G71" s="14"/>
      <c r="H71" s="14"/>
      <c r="I71" s="14"/>
      <c r="J71" s="14"/>
      <c r="K71" s="12"/>
    </row>
    <row r="72" ht="19.5" customHeight="1">
      <c r="A72" s="12"/>
      <c r="C72" s="12"/>
      <c r="D72" s="13"/>
      <c r="F72" s="14"/>
      <c r="G72" s="14"/>
      <c r="H72" s="14"/>
      <c r="I72" s="14"/>
      <c r="J72" s="14"/>
      <c r="K72" s="12"/>
    </row>
    <row r="73" ht="19.5" customHeight="1">
      <c r="A73" s="12"/>
      <c r="C73" s="12"/>
      <c r="D73" s="13"/>
      <c r="F73" s="14"/>
      <c r="G73" s="14"/>
      <c r="H73" s="14"/>
      <c r="I73" s="14"/>
      <c r="J73" s="14"/>
      <c r="K73" s="12"/>
    </row>
    <row r="74" ht="19.5" customHeight="1">
      <c r="A74" s="12"/>
      <c r="C74" s="12"/>
      <c r="D74" s="13"/>
      <c r="F74" s="14"/>
      <c r="G74" s="14"/>
      <c r="H74" s="14"/>
      <c r="I74" s="14"/>
      <c r="J74" s="14"/>
      <c r="K74" s="12"/>
    </row>
    <row r="75" ht="19.5" customHeight="1">
      <c r="A75" s="12"/>
      <c r="C75" s="12"/>
      <c r="D75" s="13"/>
      <c r="F75" s="14"/>
      <c r="G75" s="14"/>
      <c r="H75" s="14"/>
      <c r="I75" s="14"/>
      <c r="J75" s="14"/>
      <c r="K75" s="12"/>
    </row>
    <row r="76" ht="19.5" customHeight="1">
      <c r="A76" s="12"/>
      <c r="C76" s="12"/>
      <c r="D76" s="13"/>
      <c r="F76" s="14"/>
      <c r="G76" s="14"/>
      <c r="H76" s="14"/>
      <c r="I76" s="14"/>
      <c r="J76" s="14"/>
      <c r="K76" s="12"/>
    </row>
    <row r="77" ht="19.5" customHeight="1">
      <c r="A77" s="12"/>
      <c r="C77" s="12"/>
      <c r="D77" s="13"/>
      <c r="F77" s="14"/>
      <c r="G77" s="14"/>
      <c r="H77" s="14"/>
      <c r="I77" s="14"/>
      <c r="J77" s="14"/>
      <c r="K77" s="12"/>
    </row>
    <row r="78" ht="19.5" customHeight="1">
      <c r="A78" s="12"/>
      <c r="C78" s="12"/>
      <c r="D78" s="13"/>
      <c r="F78" s="14"/>
      <c r="G78" s="14"/>
      <c r="H78" s="14"/>
      <c r="I78" s="14"/>
      <c r="J78" s="14"/>
      <c r="K78" s="12"/>
    </row>
    <row r="79" ht="19.5" customHeight="1">
      <c r="A79" s="12"/>
      <c r="C79" s="12"/>
      <c r="D79" s="13"/>
      <c r="F79" s="14"/>
      <c r="G79" s="14"/>
      <c r="H79" s="14"/>
      <c r="I79" s="14"/>
      <c r="J79" s="14"/>
      <c r="K79" s="12"/>
    </row>
    <row r="80" ht="19.5" customHeight="1">
      <c r="A80" s="12"/>
      <c r="C80" s="12"/>
      <c r="D80" s="13"/>
      <c r="F80" s="14"/>
      <c r="G80" s="14"/>
      <c r="H80" s="14"/>
      <c r="I80" s="14"/>
      <c r="J80" s="14"/>
      <c r="K80" s="12"/>
    </row>
    <row r="81" ht="19.5" customHeight="1">
      <c r="A81" s="12"/>
      <c r="C81" s="12"/>
      <c r="D81" s="13"/>
      <c r="F81" s="14"/>
      <c r="G81" s="14"/>
      <c r="H81" s="14"/>
      <c r="I81" s="14"/>
      <c r="J81" s="14"/>
      <c r="K81" s="12"/>
    </row>
    <row r="82" ht="19.5" customHeight="1">
      <c r="A82" s="12"/>
      <c r="C82" s="12"/>
      <c r="D82" s="13"/>
      <c r="F82" s="14"/>
      <c r="G82" s="14"/>
      <c r="H82" s="14"/>
      <c r="I82" s="14"/>
      <c r="J82" s="14"/>
      <c r="K82" s="12"/>
    </row>
    <row r="83" ht="19.5" customHeight="1">
      <c r="A83" s="12"/>
      <c r="C83" s="12"/>
      <c r="D83" s="13"/>
      <c r="F83" s="14"/>
      <c r="G83" s="14"/>
      <c r="H83" s="14"/>
      <c r="I83" s="14"/>
      <c r="J83" s="14"/>
      <c r="K83" s="12"/>
    </row>
    <row r="84" ht="19.5" customHeight="1">
      <c r="A84" s="12"/>
      <c r="C84" s="12"/>
      <c r="D84" s="13"/>
      <c r="F84" s="14"/>
      <c r="G84" s="14"/>
      <c r="H84" s="14"/>
      <c r="I84" s="14"/>
      <c r="J84" s="14"/>
      <c r="K84" s="12"/>
    </row>
    <row r="85" ht="19.5" customHeight="1">
      <c r="A85" s="12"/>
      <c r="C85" s="12"/>
      <c r="D85" s="13"/>
      <c r="F85" s="14"/>
      <c r="G85" s="14"/>
      <c r="H85" s="14"/>
      <c r="I85" s="14"/>
      <c r="J85" s="14"/>
      <c r="K85" s="12"/>
    </row>
    <row r="86" ht="19.5" customHeight="1">
      <c r="A86" s="12"/>
      <c r="C86" s="12"/>
      <c r="D86" s="13"/>
      <c r="F86" s="14"/>
      <c r="G86" s="14"/>
      <c r="H86" s="14"/>
      <c r="I86" s="14"/>
      <c r="J86" s="14"/>
      <c r="K86" s="12"/>
    </row>
    <row r="87" ht="19.5" customHeight="1">
      <c r="A87" s="12"/>
      <c r="C87" s="12"/>
      <c r="D87" s="13"/>
      <c r="F87" s="14"/>
      <c r="G87" s="14"/>
      <c r="H87" s="14"/>
      <c r="I87" s="14"/>
      <c r="J87" s="14"/>
      <c r="K87" s="12"/>
    </row>
    <row r="88" ht="19.5" customHeight="1">
      <c r="A88" s="12"/>
      <c r="C88" s="12"/>
      <c r="D88" s="13"/>
      <c r="F88" s="14"/>
      <c r="G88" s="14"/>
      <c r="H88" s="14"/>
      <c r="I88" s="14"/>
      <c r="J88" s="14"/>
      <c r="K88" s="12"/>
    </row>
    <row r="89" ht="19.5" customHeight="1">
      <c r="A89" s="12"/>
      <c r="C89" s="12"/>
      <c r="D89" s="13"/>
      <c r="F89" s="14"/>
      <c r="G89" s="14"/>
      <c r="H89" s="14"/>
      <c r="I89" s="14"/>
      <c r="J89" s="14"/>
      <c r="K89" s="12"/>
    </row>
    <row r="90" ht="19.5" customHeight="1">
      <c r="A90" s="12"/>
      <c r="C90" s="12"/>
      <c r="D90" s="13"/>
      <c r="F90" s="14"/>
      <c r="G90" s="14"/>
      <c r="H90" s="14"/>
      <c r="I90" s="14"/>
      <c r="J90" s="14"/>
      <c r="K90" s="12"/>
    </row>
    <row r="91" ht="19.5" customHeight="1">
      <c r="A91" s="12"/>
      <c r="C91" s="12"/>
      <c r="D91" s="13"/>
      <c r="F91" s="14"/>
      <c r="G91" s="14"/>
      <c r="H91" s="14"/>
      <c r="I91" s="14"/>
      <c r="J91" s="14"/>
      <c r="K91" s="12"/>
    </row>
    <row r="92" ht="19.5" customHeight="1">
      <c r="A92" s="12"/>
      <c r="C92" s="12"/>
      <c r="D92" s="13"/>
      <c r="F92" s="14"/>
      <c r="G92" s="14"/>
      <c r="H92" s="14"/>
      <c r="I92" s="14"/>
      <c r="J92" s="14"/>
      <c r="K92" s="12"/>
    </row>
    <row r="93" ht="19.5" customHeight="1">
      <c r="A93" s="12"/>
      <c r="C93" s="12"/>
      <c r="D93" s="13"/>
      <c r="F93" s="14"/>
      <c r="G93" s="14"/>
      <c r="H93" s="14"/>
      <c r="I93" s="14"/>
      <c r="J93" s="14"/>
      <c r="K93" s="12"/>
    </row>
    <row r="94" ht="19.5" customHeight="1">
      <c r="A94" s="12"/>
      <c r="C94" s="12"/>
      <c r="D94" s="13"/>
      <c r="F94" s="14"/>
      <c r="G94" s="14"/>
      <c r="H94" s="14"/>
      <c r="I94" s="14"/>
      <c r="J94" s="14"/>
      <c r="K94" s="12"/>
    </row>
    <row r="95" ht="19.5" customHeight="1">
      <c r="A95" s="12"/>
      <c r="C95" s="12"/>
      <c r="D95" s="13"/>
      <c r="F95" s="14"/>
      <c r="G95" s="14"/>
      <c r="H95" s="14"/>
      <c r="I95" s="14"/>
      <c r="J95" s="14"/>
      <c r="K95" s="12"/>
    </row>
    <row r="96" ht="19.5" customHeight="1">
      <c r="A96" s="12"/>
      <c r="C96" s="12"/>
      <c r="D96" s="13"/>
      <c r="F96" s="14"/>
      <c r="G96" s="14"/>
      <c r="H96" s="14"/>
      <c r="I96" s="14"/>
      <c r="J96" s="14"/>
      <c r="K96" s="12"/>
    </row>
    <row r="97" ht="19.5" customHeight="1">
      <c r="A97" s="12"/>
      <c r="C97" s="12"/>
      <c r="D97" s="13"/>
      <c r="F97" s="14"/>
      <c r="G97" s="14"/>
      <c r="H97" s="14"/>
      <c r="I97" s="14"/>
      <c r="J97" s="14"/>
      <c r="K97" s="12"/>
    </row>
    <row r="98" ht="19.5" customHeight="1">
      <c r="A98" s="12"/>
      <c r="C98" s="12"/>
      <c r="D98" s="13"/>
      <c r="F98" s="14"/>
      <c r="G98" s="14"/>
      <c r="H98" s="14"/>
      <c r="I98" s="14"/>
      <c r="J98" s="14"/>
      <c r="K98" s="12"/>
    </row>
    <row r="99" ht="19.5" customHeight="1">
      <c r="A99" s="12"/>
      <c r="C99" s="12"/>
      <c r="D99" s="13"/>
      <c r="F99" s="14"/>
      <c r="G99" s="14"/>
      <c r="H99" s="14"/>
      <c r="I99" s="14"/>
      <c r="J99" s="14"/>
      <c r="K99" s="12"/>
    </row>
    <row r="100" ht="19.5" customHeight="1">
      <c r="A100" s="12"/>
      <c r="C100" s="12"/>
      <c r="D100" s="13"/>
      <c r="F100" s="14"/>
      <c r="G100" s="14"/>
      <c r="H100" s="14"/>
      <c r="I100" s="14"/>
      <c r="J100" s="14"/>
      <c r="K100" s="12"/>
    </row>
    <row r="101" ht="19.5" customHeight="1">
      <c r="A101" s="12"/>
      <c r="C101" s="12"/>
      <c r="D101" s="13"/>
      <c r="F101" s="14"/>
      <c r="G101" s="14"/>
      <c r="H101" s="14"/>
      <c r="I101" s="14"/>
      <c r="J101" s="14"/>
      <c r="K101" s="12"/>
    </row>
    <row r="102" ht="19.5" customHeight="1">
      <c r="A102" s="12"/>
      <c r="C102" s="12"/>
      <c r="D102" s="13"/>
      <c r="F102" s="14"/>
      <c r="G102" s="14"/>
      <c r="H102" s="14"/>
      <c r="I102" s="14"/>
      <c r="J102" s="14"/>
      <c r="K102" s="12"/>
    </row>
    <row r="103" ht="19.5" customHeight="1">
      <c r="A103" s="12"/>
      <c r="C103" s="12"/>
      <c r="D103" s="13"/>
      <c r="F103" s="14"/>
      <c r="G103" s="14"/>
      <c r="H103" s="14"/>
      <c r="I103" s="14"/>
      <c r="J103" s="14"/>
      <c r="K103" s="12"/>
    </row>
    <row r="104" ht="19.5" customHeight="1">
      <c r="A104" s="12"/>
      <c r="C104" s="12"/>
      <c r="D104" s="13"/>
      <c r="F104" s="14"/>
      <c r="G104" s="14"/>
      <c r="H104" s="14"/>
      <c r="I104" s="14"/>
      <c r="J104" s="14"/>
      <c r="K104" s="12"/>
    </row>
    <row r="105" ht="19.5" customHeight="1">
      <c r="A105" s="12"/>
      <c r="C105" s="12"/>
      <c r="D105" s="13"/>
      <c r="F105" s="14"/>
      <c r="G105" s="14"/>
      <c r="H105" s="14"/>
      <c r="I105" s="14"/>
      <c r="J105" s="14"/>
      <c r="K105" s="12"/>
    </row>
    <row r="106" ht="19.5" customHeight="1">
      <c r="A106" s="12"/>
      <c r="C106" s="12"/>
      <c r="D106" s="13"/>
      <c r="F106" s="14"/>
      <c r="G106" s="14"/>
      <c r="H106" s="14"/>
      <c r="I106" s="14"/>
      <c r="J106" s="14"/>
      <c r="K106" s="12"/>
    </row>
    <row r="107" ht="19.5" customHeight="1">
      <c r="A107" s="12"/>
      <c r="C107" s="12"/>
      <c r="D107" s="13"/>
      <c r="F107" s="14"/>
      <c r="G107" s="14"/>
      <c r="H107" s="14"/>
      <c r="I107" s="14"/>
      <c r="J107" s="14"/>
      <c r="K107" s="12"/>
    </row>
    <row r="108" ht="19.5" customHeight="1">
      <c r="A108" s="12"/>
      <c r="C108" s="12"/>
      <c r="D108" s="13"/>
      <c r="F108" s="14"/>
      <c r="G108" s="14"/>
      <c r="H108" s="14"/>
      <c r="I108" s="14"/>
      <c r="J108" s="14"/>
      <c r="K108" s="12"/>
    </row>
    <row r="109" ht="19.5" customHeight="1">
      <c r="A109" s="12"/>
      <c r="C109" s="12"/>
      <c r="D109" s="13"/>
      <c r="F109" s="14"/>
      <c r="G109" s="14"/>
      <c r="H109" s="14"/>
      <c r="I109" s="14"/>
      <c r="J109" s="14"/>
      <c r="K109" s="12"/>
    </row>
    <row r="110" ht="19.5" customHeight="1">
      <c r="A110" s="12"/>
      <c r="C110" s="12"/>
      <c r="D110" s="13"/>
      <c r="F110" s="14"/>
      <c r="G110" s="14"/>
      <c r="H110" s="14"/>
      <c r="I110" s="14"/>
      <c r="J110" s="14"/>
      <c r="K110" s="12"/>
    </row>
    <row r="111" ht="19.5" customHeight="1">
      <c r="A111" s="12"/>
      <c r="C111" s="12"/>
      <c r="D111" s="13"/>
      <c r="F111" s="14"/>
      <c r="G111" s="14"/>
      <c r="H111" s="14"/>
      <c r="I111" s="14"/>
      <c r="J111" s="14"/>
      <c r="K111" s="12"/>
    </row>
    <row r="112" ht="19.5" customHeight="1">
      <c r="A112" s="12"/>
      <c r="C112" s="12"/>
      <c r="D112" s="13"/>
      <c r="F112" s="14"/>
      <c r="G112" s="14"/>
      <c r="H112" s="14"/>
      <c r="I112" s="14"/>
      <c r="J112" s="14"/>
      <c r="K112" s="12"/>
    </row>
    <row r="113" ht="19.5" customHeight="1">
      <c r="A113" s="12"/>
      <c r="C113" s="12"/>
      <c r="D113" s="13"/>
      <c r="F113" s="14"/>
      <c r="G113" s="14"/>
      <c r="H113" s="14"/>
      <c r="I113" s="14"/>
      <c r="J113" s="14"/>
      <c r="K113" s="12"/>
    </row>
    <row r="114" ht="19.5" customHeight="1">
      <c r="A114" s="12"/>
      <c r="C114" s="12"/>
      <c r="D114" s="13"/>
      <c r="F114" s="14"/>
      <c r="G114" s="14"/>
      <c r="H114" s="14"/>
      <c r="I114" s="14"/>
      <c r="J114" s="14"/>
      <c r="K114" s="12"/>
    </row>
    <row r="115" ht="19.5" customHeight="1">
      <c r="A115" s="12"/>
      <c r="C115" s="12"/>
      <c r="D115" s="13"/>
      <c r="F115" s="14"/>
      <c r="G115" s="14"/>
      <c r="H115" s="14"/>
      <c r="I115" s="14"/>
      <c r="J115" s="14"/>
      <c r="K115" s="12"/>
    </row>
    <row r="116" ht="19.5" customHeight="1">
      <c r="A116" s="12"/>
      <c r="C116" s="12"/>
      <c r="D116" s="13"/>
      <c r="F116" s="14"/>
      <c r="G116" s="14"/>
      <c r="H116" s="14"/>
      <c r="I116" s="14"/>
      <c r="J116" s="14"/>
      <c r="K116" s="12"/>
    </row>
    <row r="117" ht="19.5" customHeight="1">
      <c r="A117" s="12"/>
      <c r="C117" s="12"/>
      <c r="D117" s="13"/>
      <c r="F117" s="14"/>
      <c r="G117" s="14"/>
      <c r="H117" s="14"/>
      <c r="I117" s="14"/>
      <c r="J117" s="14"/>
      <c r="K117" s="12"/>
    </row>
    <row r="118" ht="19.5" customHeight="1">
      <c r="A118" s="12"/>
      <c r="C118" s="12"/>
      <c r="D118" s="13"/>
      <c r="F118" s="14"/>
      <c r="G118" s="14"/>
      <c r="H118" s="14"/>
      <c r="I118" s="14"/>
      <c r="J118" s="14"/>
      <c r="K118" s="12"/>
    </row>
    <row r="119" ht="19.5" customHeight="1">
      <c r="A119" s="12"/>
      <c r="C119" s="12"/>
      <c r="D119" s="13"/>
      <c r="F119" s="14"/>
      <c r="G119" s="14"/>
      <c r="H119" s="14"/>
      <c r="I119" s="14"/>
      <c r="J119" s="14"/>
      <c r="K119" s="12"/>
    </row>
    <row r="120" ht="19.5" customHeight="1">
      <c r="A120" s="12"/>
      <c r="C120" s="12"/>
      <c r="D120" s="13"/>
      <c r="F120" s="14"/>
      <c r="G120" s="14"/>
      <c r="H120" s="14"/>
      <c r="I120" s="14"/>
      <c r="J120" s="14"/>
      <c r="K120" s="12"/>
    </row>
    <row r="121" ht="19.5" customHeight="1">
      <c r="A121" s="12"/>
      <c r="C121" s="12"/>
      <c r="D121" s="13"/>
      <c r="F121" s="14"/>
      <c r="G121" s="14"/>
      <c r="H121" s="14"/>
      <c r="I121" s="14"/>
      <c r="J121" s="14"/>
      <c r="K121" s="12"/>
    </row>
    <row r="122" ht="19.5" customHeight="1">
      <c r="A122" s="12"/>
      <c r="C122" s="12"/>
      <c r="D122" s="13"/>
      <c r="F122" s="14"/>
      <c r="G122" s="14"/>
      <c r="H122" s="14"/>
      <c r="I122" s="14"/>
      <c r="J122" s="14"/>
      <c r="K122" s="12"/>
    </row>
    <row r="123" ht="19.5" customHeight="1">
      <c r="A123" s="12"/>
      <c r="C123" s="12"/>
      <c r="D123" s="13"/>
      <c r="F123" s="14"/>
      <c r="G123" s="14"/>
      <c r="H123" s="14"/>
      <c r="I123" s="14"/>
      <c r="J123" s="14"/>
      <c r="K123" s="12"/>
    </row>
    <row r="124" ht="19.5" customHeight="1">
      <c r="A124" s="12"/>
      <c r="C124" s="12"/>
      <c r="D124" s="13"/>
      <c r="F124" s="14"/>
      <c r="G124" s="14"/>
      <c r="H124" s="14"/>
      <c r="I124" s="14"/>
      <c r="J124" s="14"/>
      <c r="K124" s="12"/>
    </row>
    <row r="125" ht="19.5" customHeight="1">
      <c r="A125" s="12"/>
      <c r="C125" s="12"/>
      <c r="D125" s="13"/>
      <c r="F125" s="14"/>
      <c r="G125" s="14"/>
      <c r="H125" s="14"/>
      <c r="I125" s="14"/>
      <c r="J125" s="14"/>
      <c r="K125" s="12"/>
    </row>
    <row r="126" ht="19.5" customHeight="1">
      <c r="A126" s="12"/>
      <c r="C126" s="12"/>
      <c r="D126" s="13"/>
      <c r="F126" s="14"/>
      <c r="G126" s="14"/>
      <c r="H126" s="14"/>
      <c r="I126" s="14"/>
      <c r="J126" s="14"/>
      <c r="K126" s="12"/>
    </row>
    <row r="127" ht="19.5" customHeight="1">
      <c r="A127" s="12"/>
      <c r="C127" s="12"/>
      <c r="D127" s="13"/>
      <c r="F127" s="14"/>
      <c r="G127" s="14"/>
      <c r="H127" s="14"/>
      <c r="I127" s="14"/>
      <c r="J127" s="14"/>
      <c r="K127" s="12"/>
    </row>
    <row r="128" ht="19.5" customHeight="1">
      <c r="A128" s="12"/>
      <c r="C128" s="12"/>
      <c r="D128" s="13"/>
      <c r="F128" s="14"/>
      <c r="G128" s="14"/>
      <c r="H128" s="14"/>
      <c r="I128" s="14"/>
      <c r="J128" s="14"/>
      <c r="K128" s="12"/>
    </row>
    <row r="129" ht="19.5" customHeight="1">
      <c r="A129" s="12"/>
      <c r="C129" s="12"/>
      <c r="D129" s="13"/>
      <c r="F129" s="14"/>
      <c r="G129" s="14"/>
      <c r="H129" s="14"/>
      <c r="I129" s="14"/>
      <c r="J129" s="14"/>
      <c r="K129" s="12"/>
    </row>
    <row r="130" ht="19.5" customHeight="1">
      <c r="A130" s="12"/>
      <c r="C130" s="12"/>
      <c r="D130" s="13"/>
      <c r="F130" s="14"/>
      <c r="G130" s="14"/>
      <c r="H130" s="14"/>
      <c r="I130" s="14"/>
      <c r="J130" s="14"/>
      <c r="K130" s="12"/>
    </row>
    <row r="131" ht="19.5" customHeight="1">
      <c r="A131" s="12"/>
      <c r="C131" s="12"/>
      <c r="D131" s="13"/>
      <c r="F131" s="14"/>
      <c r="G131" s="14"/>
      <c r="H131" s="14"/>
      <c r="I131" s="14"/>
      <c r="J131" s="14"/>
      <c r="K131" s="12"/>
    </row>
    <row r="132" ht="19.5" customHeight="1">
      <c r="A132" s="12"/>
      <c r="C132" s="12"/>
      <c r="D132" s="13"/>
      <c r="F132" s="14"/>
      <c r="G132" s="14"/>
      <c r="H132" s="14"/>
      <c r="I132" s="14"/>
      <c r="J132" s="14"/>
      <c r="K132" s="12"/>
    </row>
    <row r="133" ht="19.5" customHeight="1">
      <c r="A133" s="12"/>
      <c r="C133" s="12"/>
      <c r="D133" s="13"/>
      <c r="F133" s="14"/>
      <c r="G133" s="14"/>
      <c r="H133" s="14"/>
      <c r="I133" s="14"/>
      <c r="J133" s="14"/>
      <c r="K133" s="12"/>
    </row>
    <row r="134" ht="19.5" customHeight="1">
      <c r="A134" s="12"/>
      <c r="C134" s="12"/>
      <c r="D134" s="13"/>
      <c r="F134" s="14"/>
      <c r="G134" s="14"/>
      <c r="H134" s="14"/>
      <c r="I134" s="14"/>
      <c r="J134" s="14"/>
      <c r="K134" s="12"/>
    </row>
    <row r="135" ht="19.5" customHeight="1">
      <c r="A135" s="12"/>
      <c r="C135" s="12"/>
      <c r="D135" s="13"/>
      <c r="F135" s="14"/>
      <c r="G135" s="14"/>
      <c r="H135" s="14"/>
      <c r="I135" s="14"/>
      <c r="J135" s="14"/>
      <c r="K135" s="12"/>
    </row>
    <row r="136" ht="19.5" customHeight="1">
      <c r="A136" s="12"/>
      <c r="C136" s="12"/>
      <c r="D136" s="13"/>
      <c r="F136" s="14"/>
      <c r="G136" s="14"/>
      <c r="H136" s="14"/>
      <c r="I136" s="14"/>
      <c r="J136" s="14"/>
      <c r="K136" s="12"/>
    </row>
    <row r="137" ht="19.5" customHeight="1">
      <c r="A137" s="12"/>
      <c r="C137" s="12"/>
      <c r="D137" s="13"/>
      <c r="F137" s="14"/>
      <c r="G137" s="14"/>
      <c r="H137" s="14"/>
      <c r="I137" s="14"/>
      <c r="J137" s="14"/>
      <c r="K137" s="12"/>
    </row>
    <row r="138" ht="19.5" customHeight="1">
      <c r="A138" s="12"/>
      <c r="C138" s="12"/>
      <c r="D138" s="13"/>
      <c r="F138" s="14"/>
      <c r="G138" s="14"/>
      <c r="H138" s="14"/>
      <c r="I138" s="14"/>
      <c r="J138" s="14"/>
      <c r="K138" s="12"/>
    </row>
    <row r="139" ht="19.5" customHeight="1">
      <c r="A139" s="12"/>
      <c r="C139" s="12"/>
      <c r="D139" s="13"/>
      <c r="F139" s="14"/>
      <c r="G139" s="14"/>
      <c r="H139" s="14"/>
      <c r="I139" s="14"/>
      <c r="J139" s="14"/>
      <c r="K139" s="12"/>
    </row>
    <row r="140" ht="19.5" customHeight="1">
      <c r="A140" s="12"/>
      <c r="C140" s="12"/>
      <c r="D140" s="13"/>
      <c r="F140" s="14"/>
      <c r="G140" s="14"/>
      <c r="H140" s="14"/>
      <c r="I140" s="14"/>
      <c r="J140" s="14"/>
      <c r="K140" s="12"/>
    </row>
    <row r="141" ht="19.5" customHeight="1">
      <c r="A141" s="12"/>
      <c r="C141" s="12"/>
      <c r="D141" s="13"/>
      <c r="F141" s="14"/>
      <c r="G141" s="14"/>
      <c r="H141" s="14"/>
      <c r="I141" s="14"/>
      <c r="J141" s="14"/>
      <c r="K141" s="12"/>
    </row>
    <row r="142" ht="19.5" customHeight="1">
      <c r="A142" s="12"/>
      <c r="C142" s="12"/>
      <c r="D142" s="13"/>
      <c r="F142" s="14"/>
      <c r="G142" s="14"/>
      <c r="H142" s="14"/>
      <c r="I142" s="14"/>
      <c r="J142" s="14"/>
      <c r="K142" s="12"/>
    </row>
    <row r="143" ht="19.5" customHeight="1">
      <c r="A143" s="12"/>
      <c r="C143" s="12"/>
      <c r="D143" s="13"/>
      <c r="F143" s="14"/>
      <c r="G143" s="14"/>
      <c r="H143" s="14"/>
      <c r="I143" s="14"/>
      <c r="J143" s="14"/>
      <c r="K143" s="12"/>
    </row>
    <row r="144" ht="19.5" customHeight="1">
      <c r="A144" s="12"/>
      <c r="C144" s="12"/>
      <c r="D144" s="13"/>
      <c r="F144" s="14"/>
      <c r="G144" s="14"/>
      <c r="H144" s="14"/>
      <c r="I144" s="14"/>
      <c r="J144" s="14"/>
      <c r="K144" s="12"/>
    </row>
    <row r="145" ht="19.5" customHeight="1">
      <c r="A145" s="12"/>
      <c r="C145" s="12"/>
      <c r="D145" s="13"/>
      <c r="F145" s="14"/>
      <c r="G145" s="14"/>
      <c r="H145" s="14"/>
      <c r="I145" s="14"/>
      <c r="J145" s="14"/>
      <c r="K145" s="12"/>
    </row>
    <row r="146" ht="19.5" customHeight="1">
      <c r="A146" s="12"/>
      <c r="C146" s="12"/>
      <c r="D146" s="13"/>
      <c r="F146" s="14"/>
      <c r="G146" s="14"/>
      <c r="H146" s="14"/>
      <c r="I146" s="14"/>
      <c r="J146" s="14"/>
      <c r="K146" s="12"/>
    </row>
    <row r="147" ht="19.5" customHeight="1">
      <c r="A147" s="12"/>
      <c r="C147" s="12"/>
      <c r="D147" s="13"/>
      <c r="F147" s="14"/>
      <c r="G147" s="14"/>
      <c r="H147" s="14"/>
      <c r="I147" s="14"/>
      <c r="J147" s="14"/>
      <c r="K147" s="12"/>
    </row>
    <row r="148" ht="19.5" customHeight="1">
      <c r="A148" s="12"/>
      <c r="C148" s="12"/>
      <c r="D148" s="13"/>
      <c r="F148" s="14"/>
      <c r="G148" s="14"/>
      <c r="H148" s="14"/>
      <c r="I148" s="14"/>
      <c r="J148" s="14"/>
      <c r="K148" s="12"/>
    </row>
    <row r="149" ht="19.5" customHeight="1">
      <c r="A149" s="12"/>
      <c r="C149" s="12"/>
      <c r="D149" s="13"/>
      <c r="F149" s="14"/>
      <c r="G149" s="14"/>
      <c r="H149" s="14"/>
      <c r="I149" s="14"/>
      <c r="J149" s="14"/>
      <c r="K149" s="12"/>
    </row>
    <row r="150" ht="19.5" customHeight="1">
      <c r="A150" s="12"/>
      <c r="C150" s="12"/>
      <c r="D150" s="13"/>
      <c r="F150" s="14"/>
      <c r="G150" s="14"/>
      <c r="H150" s="14"/>
      <c r="I150" s="14"/>
      <c r="J150" s="14"/>
      <c r="K150" s="12"/>
    </row>
    <row r="151" ht="19.5" customHeight="1">
      <c r="A151" s="12"/>
      <c r="C151" s="12"/>
      <c r="D151" s="13"/>
      <c r="F151" s="14"/>
      <c r="G151" s="14"/>
      <c r="H151" s="14"/>
      <c r="I151" s="14"/>
      <c r="J151" s="14"/>
      <c r="K151" s="12"/>
    </row>
    <row r="152" ht="19.5" customHeight="1">
      <c r="A152" s="12"/>
      <c r="C152" s="12"/>
      <c r="D152" s="13"/>
      <c r="F152" s="14"/>
      <c r="G152" s="14"/>
      <c r="H152" s="14"/>
      <c r="I152" s="14"/>
      <c r="J152" s="14"/>
      <c r="K152" s="12"/>
    </row>
    <row r="153" ht="19.5" customHeight="1">
      <c r="A153" s="12"/>
      <c r="C153" s="12"/>
      <c r="D153" s="13"/>
      <c r="F153" s="14"/>
      <c r="G153" s="14"/>
      <c r="H153" s="14"/>
      <c r="I153" s="14"/>
      <c r="J153" s="14"/>
      <c r="K153" s="12"/>
    </row>
    <row r="154" ht="19.5" customHeight="1">
      <c r="A154" s="12"/>
      <c r="C154" s="12"/>
      <c r="D154" s="13"/>
      <c r="F154" s="14"/>
      <c r="G154" s="14"/>
      <c r="H154" s="14"/>
      <c r="I154" s="14"/>
      <c r="J154" s="14"/>
      <c r="K154" s="12"/>
    </row>
    <row r="155" ht="19.5" customHeight="1">
      <c r="A155" s="12"/>
      <c r="C155" s="12"/>
      <c r="D155" s="13"/>
      <c r="F155" s="14"/>
      <c r="G155" s="14"/>
      <c r="H155" s="14"/>
      <c r="I155" s="14"/>
      <c r="J155" s="14"/>
      <c r="K155" s="12"/>
    </row>
    <row r="156" ht="19.5" customHeight="1">
      <c r="A156" s="12"/>
      <c r="C156" s="12"/>
      <c r="D156" s="13"/>
      <c r="F156" s="14"/>
      <c r="G156" s="14"/>
      <c r="H156" s="14"/>
      <c r="I156" s="14"/>
      <c r="J156" s="14"/>
      <c r="K156" s="12"/>
    </row>
    <row r="157" ht="19.5" customHeight="1">
      <c r="A157" s="12"/>
      <c r="C157" s="12"/>
      <c r="D157" s="13"/>
      <c r="F157" s="14"/>
      <c r="G157" s="14"/>
      <c r="H157" s="14"/>
      <c r="I157" s="14"/>
      <c r="J157" s="14"/>
      <c r="K157" s="12"/>
    </row>
    <row r="158" ht="19.5" customHeight="1">
      <c r="A158" s="12"/>
      <c r="C158" s="12"/>
      <c r="D158" s="13"/>
      <c r="F158" s="14"/>
      <c r="G158" s="14"/>
      <c r="H158" s="14"/>
      <c r="I158" s="14"/>
      <c r="J158" s="14"/>
      <c r="K158" s="12"/>
    </row>
    <row r="159" ht="19.5" customHeight="1">
      <c r="A159" s="12"/>
      <c r="C159" s="12"/>
      <c r="D159" s="13"/>
      <c r="F159" s="14"/>
      <c r="G159" s="14"/>
      <c r="H159" s="14"/>
      <c r="I159" s="14"/>
      <c r="J159" s="14"/>
      <c r="K159" s="12"/>
    </row>
    <row r="160" ht="19.5" customHeight="1">
      <c r="A160" s="12"/>
      <c r="C160" s="12"/>
      <c r="D160" s="13"/>
      <c r="F160" s="14"/>
      <c r="G160" s="14"/>
      <c r="H160" s="14"/>
      <c r="I160" s="14"/>
      <c r="J160" s="14"/>
      <c r="K160" s="12"/>
    </row>
    <row r="161" ht="19.5" customHeight="1">
      <c r="A161" s="12"/>
      <c r="C161" s="12"/>
      <c r="D161" s="13"/>
      <c r="F161" s="14"/>
      <c r="G161" s="14"/>
      <c r="H161" s="14"/>
      <c r="I161" s="14"/>
      <c r="J161" s="14"/>
      <c r="K161" s="12"/>
    </row>
    <row r="162" ht="19.5" customHeight="1">
      <c r="A162" s="12"/>
      <c r="C162" s="12"/>
      <c r="D162" s="13"/>
      <c r="F162" s="14"/>
      <c r="G162" s="14"/>
      <c r="H162" s="14"/>
      <c r="I162" s="14"/>
      <c r="J162" s="14"/>
      <c r="K162" s="12"/>
    </row>
    <row r="163" ht="19.5" customHeight="1">
      <c r="A163" s="12"/>
      <c r="C163" s="12"/>
      <c r="D163" s="13"/>
      <c r="F163" s="14"/>
      <c r="G163" s="14"/>
      <c r="H163" s="14"/>
      <c r="I163" s="14"/>
      <c r="J163" s="14"/>
      <c r="K163" s="12"/>
    </row>
    <row r="164" ht="19.5" customHeight="1">
      <c r="A164" s="12"/>
      <c r="C164" s="12"/>
      <c r="D164" s="13"/>
      <c r="F164" s="14"/>
      <c r="G164" s="14"/>
      <c r="H164" s="14"/>
      <c r="I164" s="14"/>
      <c r="J164" s="14"/>
      <c r="K164" s="12"/>
    </row>
    <row r="165" ht="19.5" customHeight="1">
      <c r="A165" s="12"/>
      <c r="C165" s="12"/>
      <c r="D165" s="13"/>
      <c r="F165" s="14"/>
      <c r="G165" s="14"/>
      <c r="H165" s="14"/>
      <c r="I165" s="14"/>
      <c r="J165" s="14"/>
      <c r="K165" s="12"/>
    </row>
    <row r="166" ht="19.5" customHeight="1">
      <c r="A166" s="12"/>
      <c r="C166" s="12"/>
      <c r="D166" s="13"/>
      <c r="F166" s="14"/>
      <c r="G166" s="14"/>
      <c r="H166" s="14"/>
      <c r="I166" s="14"/>
      <c r="J166" s="14"/>
      <c r="K166" s="12"/>
    </row>
    <row r="167" ht="19.5" customHeight="1">
      <c r="A167" s="12"/>
      <c r="C167" s="12"/>
      <c r="D167" s="13"/>
      <c r="F167" s="14"/>
      <c r="G167" s="14"/>
      <c r="H167" s="14"/>
      <c r="I167" s="14"/>
      <c r="J167" s="14"/>
      <c r="K167" s="12"/>
    </row>
    <row r="168" ht="19.5" customHeight="1">
      <c r="A168" s="12"/>
      <c r="C168" s="12"/>
      <c r="D168" s="13"/>
      <c r="F168" s="14"/>
      <c r="G168" s="14"/>
      <c r="H168" s="14"/>
      <c r="I168" s="14"/>
      <c r="J168" s="14"/>
      <c r="K168" s="12"/>
    </row>
    <row r="169" ht="19.5" customHeight="1">
      <c r="A169" s="12"/>
      <c r="C169" s="12"/>
      <c r="D169" s="13"/>
      <c r="F169" s="14"/>
      <c r="G169" s="14"/>
      <c r="H169" s="14"/>
      <c r="I169" s="14"/>
      <c r="J169" s="14"/>
      <c r="K169" s="12"/>
    </row>
    <row r="170" ht="19.5" customHeight="1">
      <c r="A170" s="12"/>
      <c r="C170" s="12"/>
      <c r="D170" s="13"/>
      <c r="F170" s="14"/>
      <c r="G170" s="14"/>
      <c r="H170" s="14"/>
      <c r="I170" s="14"/>
      <c r="J170" s="14"/>
      <c r="K170" s="12"/>
    </row>
    <row r="171" ht="19.5" customHeight="1">
      <c r="A171" s="12"/>
      <c r="C171" s="12"/>
      <c r="D171" s="13"/>
      <c r="F171" s="14"/>
      <c r="G171" s="14"/>
      <c r="H171" s="14"/>
      <c r="I171" s="14"/>
      <c r="J171" s="14"/>
      <c r="K171" s="12"/>
    </row>
    <row r="172" ht="19.5" customHeight="1">
      <c r="A172" s="12"/>
      <c r="C172" s="12"/>
      <c r="D172" s="13"/>
      <c r="F172" s="14"/>
      <c r="G172" s="14"/>
      <c r="H172" s="14"/>
      <c r="I172" s="14"/>
      <c r="J172" s="14"/>
      <c r="K172" s="12"/>
    </row>
    <row r="173" ht="19.5" customHeight="1">
      <c r="A173" s="12"/>
      <c r="C173" s="12"/>
      <c r="D173" s="13"/>
      <c r="F173" s="14"/>
      <c r="G173" s="14"/>
      <c r="H173" s="14"/>
      <c r="I173" s="14"/>
      <c r="J173" s="14"/>
      <c r="K173" s="12"/>
    </row>
    <row r="174" ht="19.5" customHeight="1">
      <c r="A174" s="12"/>
      <c r="C174" s="12"/>
      <c r="D174" s="13"/>
      <c r="F174" s="14"/>
      <c r="G174" s="14"/>
      <c r="H174" s="14"/>
      <c r="I174" s="14"/>
      <c r="J174" s="14"/>
      <c r="K174" s="12"/>
    </row>
    <row r="175" ht="19.5" customHeight="1">
      <c r="A175" s="12"/>
      <c r="C175" s="12"/>
      <c r="D175" s="13"/>
      <c r="F175" s="14"/>
      <c r="G175" s="14"/>
      <c r="H175" s="14"/>
      <c r="I175" s="14"/>
      <c r="J175" s="14"/>
      <c r="K175" s="12"/>
    </row>
    <row r="176" ht="19.5" customHeight="1">
      <c r="A176" s="12"/>
      <c r="C176" s="12"/>
      <c r="D176" s="13"/>
      <c r="F176" s="14"/>
      <c r="G176" s="14"/>
      <c r="H176" s="14"/>
      <c r="I176" s="14"/>
      <c r="J176" s="14"/>
      <c r="K176" s="12"/>
    </row>
    <row r="177" ht="19.5" customHeight="1">
      <c r="A177" s="12"/>
      <c r="C177" s="12"/>
      <c r="D177" s="13"/>
      <c r="F177" s="14"/>
      <c r="G177" s="14"/>
      <c r="H177" s="14"/>
      <c r="I177" s="14"/>
      <c r="J177" s="14"/>
      <c r="K177" s="12"/>
    </row>
    <row r="178" ht="19.5" customHeight="1">
      <c r="A178" s="12"/>
      <c r="C178" s="12"/>
      <c r="D178" s="13"/>
      <c r="F178" s="14"/>
      <c r="G178" s="14"/>
      <c r="H178" s="14"/>
      <c r="I178" s="14"/>
      <c r="J178" s="14"/>
      <c r="K178" s="12"/>
    </row>
    <row r="179" ht="19.5" customHeight="1">
      <c r="A179" s="12"/>
      <c r="C179" s="12"/>
      <c r="D179" s="13"/>
      <c r="F179" s="14"/>
      <c r="G179" s="14"/>
      <c r="H179" s="14"/>
      <c r="I179" s="14"/>
      <c r="J179" s="14"/>
      <c r="K179" s="12"/>
    </row>
    <row r="180" ht="19.5" customHeight="1">
      <c r="A180" s="12"/>
      <c r="C180" s="12"/>
      <c r="D180" s="13"/>
      <c r="F180" s="14"/>
      <c r="G180" s="14"/>
      <c r="H180" s="14"/>
      <c r="I180" s="14"/>
      <c r="J180" s="14"/>
      <c r="K180" s="12"/>
    </row>
    <row r="181" ht="19.5" customHeight="1">
      <c r="A181" s="12"/>
      <c r="C181" s="12"/>
      <c r="D181" s="13"/>
      <c r="F181" s="14"/>
      <c r="G181" s="14"/>
      <c r="H181" s="14"/>
      <c r="I181" s="14"/>
      <c r="J181" s="14"/>
      <c r="K181" s="12"/>
    </row>
    <row r="182" ht="19.5" customHeight="1">
      <c r="A182" s="12"/>
      <c r="C182" s="12"/>
      <c r="D182" s="13"/>
      <c r="F182" s="14"/>
      <c r="G182" s="14"/>
      <c r="H182" s="14"/>
      <c r="I182" s="14"/>
      <c r="J182" s="14"/>
      <c r="K182" s="12"/>
    </row>
    <row r="183" ht="19.5" customHeight="1">
      <c r="A183" s="12"/>
      <c r="C183" s="12"/>
      <c r="D183" s="13"/>
      <c r="F183" s="14"/>
      <c r="G183" s="14"/>
      <c r="H183" s="14"/>
      <c r="I183" s="14"/>
      <c r="J183" s="14"/>
      <c r="K183" s="12"/>
    </row>
    <row r="184" ht="19.5" customHeight="1">
      <c r="A184" s="12"/>
      <c r="C184" s="12"/>
      <c r="D184" s="13"/>
      <c r="F184" s="14"/>
      <c r="G184" s="14"/>
      <c r="H184" s="14"/>
      <c r="I184" s="14"/>
      <c r="J184" s="14"/>
      <c r="K184" s="12"/>
    </row>
    <row r="185" ht="19.5" customHeight="1">
      <c r="A185" s="12"/>
      <c r="C185" s="12"/>
      <c r="D185" s="13"/>
      <c r="F185" s="14"/>
      <c r="G185" s="14"/>
      <c r="H185" s="14"/>
      <c r="I185" s="14"/>
      <c r="J185" s="14"/>
      <c r="K185" s="12"/>
    </row>
    <row r="186" ht="19.5" customHeight="1">
      <c r="A186" s="12"/>
      <c r="C186" s="12"/>
      <c r="D186" s="13"/>
      <c r="F186" s="14"/>
      <c r="G186" s="14"/>
      <c r="H186" s="14"/>
      <c r="I186" s="14"/>
      <c r="J186" s="14"/>
      <c r="K186" s="12"/>
    </row>
    <row r="187" ht="19.5" customHeight="1">
      <c r="A187" s="12"/>
      <c r="C187" s="12"/>
      <c r="D187" s="13"/>
      <c r="F187" s="14"/>
      <c r="G187" s="14"/>
      <c r="H187" s="14"/>
      <c r="I187" s="14"/>
      <c r="J187" s="14"/>
      <c r="K187" s="12"/>
    </row>
    <row r="188" ht="19.5" customHeight="1">
      <c r="A188" s="12"/>
      <c r="C188" s="12"/>
      <c r="D188" s="13"/>
      <c r="F188" s="14"/>
      <c r="G188" s="14"/>
      <c r="H188" s="14"/>
      <c r="I188" s="14"/>
      <c r="J188" s="14"/>
      <c r="K188" s="12"/>
    </row>
    <row r="189" ht="19.5" customHeight="1">
      <c r="A189" s="12"/>
      <c r="C189" s="12"/>
      <c r="D189" s="13"/>
      <c r="F189" s="14"/>
      <c r="G189" s="14"/>
      <c r="H189" s="14"/>
      <c r="I189" s="14"/>
      <c r="J189" s="14"/>
      <c r="K189" s="12"/>
    </row>
    <row r="190" ht="19.5" customHeight="1">
      <c r="A190" s="12"/>
      <c r="C190" s="12"/>
      <c r="D190" s="13"/>
      <c r="F190" s="14"/>
      <c r="G190" s="14"/>
      <c r="H190" s="14"/>
      <c r="I190" s="14"/>
      <c r="J190" s="14"/>
      <c r="K190" s="12"/>
    </row>
    <row r="191" ht="19.5" customHeight="1">
      <c r="A191" s="12"/>
      <c r="C191" s="12"/>
      <c r="D191" s="13"/>
      <c r="F191" s="14"/>
      <c r="G191" s="14"/>
      <c r="H191" s="14"/>
      <c r="I191" s="14"/>
      <c r="J191" s="14"/>
      <c r="K191" s="12"/>
    </row>
    <row r="192" ht="19.5" customHeight="1">
      <c r="A192" s="12"/>
      <c r="C192" s="12"/>
      <c r="D192" s="13"/>
      <c r="F192" s="14"/>
      <c r="G192" s="14"/>
      <c r="H192" s="14"/>
      <c r="I192" s="14"/>
      <c r="J192" s="14"/>
      <c r="K192" s="12"/>
    </row>
    <row r="193" ht="19.5" customHeight="1">
      <c r="A193" s="12"/>
      <c r="C193" s="12"/>
      <c r="D193" s="13"/>
      <c r="F193" s="14"/>
      <c r="G193" s="14"/>
      <c r="H193" s="14"/>
      <c r="I193" s="14"/>
      <c r="J193" s="14"/>
      <c r="K193" s="12"/>
    </row>
    <row r="194" ht="19.5" customHeight="1">
      <c r="A194" s="12"/>
      <c r="C194" s="12"/>
      <c r="D194" s="13"/>
      <c r="F194" s="14"/>
      <c r="G194" s="14"/>
      <c r="H194" s="14"/>
      <c r="I194" s="14"/>
      <c r="J194" s="14"/>
      <c r="K194" s="12"/>
    </row>
    <row r="195" ht="19.5" customHeight="1">
      <c r="A195" s="12"/>
      <c r="C195" s="12"/>
      <c r="D195" s="13"/>
      <c r="F195" s="14"/>
      <c r="G195" s="14"/>
      <c r="H195" s="14"/>
      <c r="I195" s="14"/>
      <c r="J195" s="14"/>
      <c r="K195" s="12"/>
    </row>
    <row r="196" ht="19.5" customHeight="1">
      <c r="A196" s="12"/>
      <c r="C196" s="12"/>
      <c r="D196" s="13"/>
      <c r="F196" s="14"/>
      <c r="G196" s="14"/>
      <c r="H196" s="14"/>
      <c r="I196" s="14"/>
      <c r="J196" s="14"/>
      <c r="K196" s="12"/>
    </row>
    <row r="197" ht="19.5" customHeight="1">
      <c r="A197" s="12"/>
      <c r="C197" s="12"/>
      <c r="D197" s="13"/>
      <c r="F197" s="14"/>
      <c r="G197" s="14"/>
      <c r="H197" s="14"/>
      <c r="I197" s="14"/>
      <c r="J197" s="14"/>
      <c r="K197" s="12"/>
    </row>
    <row r="198" ht="19.5" customHeight="1">
      <c r="A198" s="12"/>
      <c r="C198" s="12"/>
      <c r="D198" s="13"/>
      <c r="F198" s="14"/>
      <c r="G198" s="14"/>
      <c r="H198" s="14"/>
      <c r="I198" s="14"/>
      <c r="J198" s="14"/>
      <c r="K198" s="12"/>
    </row>
    <row r="199" ht="19.5" customHeight="1">
      <c r="A199" s="12"/>
      <c r="C199" s="12"/>
      <c r="D199" s="13"/>
      <c r="F199" s="14"/>
      <c r="G199" s="14"/>
      <c r="H199" s="14"/>
      <c r="I199" s="14"/>
      <c r="J199" s="14"/>
      <c r="K199" s="12"/>
    </row>
    <row r="200" ht="19.5" customHeight="1">
      <c r="A200" s="12"/>
      <c r="C200" s="12"/>
      <c r="D200" s="13"/>
      <c r="F200" s="14"/>
      <c r="G200" s="14"/>
      <c r="H200" s="14"/>
      <c r="I200" s="14"/>
      <c r="J200" s="14"/>
      <c r="K200" s="12"/>
    </row>
    <row r="201" ht="19.5" customHeight="1">
      <c r="A201" s="12"/>
      <c r="C201" s="12"/>
      <c r="D201" s="13"/>
      <c r="F201" s="14"/>
      <c r="G201" s="14"/>
      <c r="H201" s="14"/>
      <c r="I201" s="14"/>
      <c r="J201" s="14"/>
      <c r="K201" s="12"/>
    </row>
    <row r="202" ht="19.5" customHeight="1">
      <c r="A202" s="12"/>
      <c r="C202" s="12"/>
      <c r="D202" s="13"/>
      <c r="F202" s="14"/>
      <c r="G202" s="14"/>
      <c r="H202" s="14"/>
      <c r="I202" s="14"/>
      <c r="J202" s="14"/>
      <c r="K202" s="12"/>
    </row>
    <row r="203" ht="19.5" customHeight="1">
      <c r="A203" s="12"/>
      <c r="C203" s="12"/>
      <c r="D203" s="13"/>
      <c r="F203" s="14"/>
      <c r="G203" s="14"/>
      <c r="H203" s="14"/>
      <c r="I203" s="14"/>
      <c r="J203" s="14"/>
      <c r="K203" s="12"/>
    </row>
    <row r="204" ht="19.5" customHeight="1">
      <c r="A204" s="12"/>
      <c r="C204" s="12"/>
      <c r="D204" s="13"/>
      <c r="F204" s="14"/>
      <c r="G204" s="14"/>
      <c r="H204" s="14"/>
      <c r="I204" s="14"/>
      <c r="J204" s="14"/>
      <c r="K204" s="12"/>
    </row>
    <row r="205" ht="19.5" customHeight="1">
      <c r="A205" s="12"/>
      <c r="C205" s="12"/>
      <c r="D205" s="13"/>
      <c r="F205" s="14"/>
      <c r="G205" s="14"/>
      <c r="H205" s="14"/>
      <c r="I205" s="14"/>
      <c r="J205" s="14"/>
      <c r="K205" s="12"/>
    </row>
    <row r="206" ht="19.5" customHeight="1">
      <c r="A206" s="12"/>
      <c r="C206" s="12"/>
      <c r="D206" s="13"/>
      <c r="F206" s="14"/>
      <c r="G206" s="14"/>
      <c r="H206" s="14"/>
      <c r="I206" s="14"/>
      <c r="J206" s="14"/>
      <c r="K206" s="12"/>
    </row>
    <row r="207" ht="19.5" customHeight="1">
      <c r="A207" s="12"/>
      <c r="C207" s="12"/>
      <c r="D207" s="13"/>
      <c r="F207" s="14"/>
      <c r="G207" s="14"/>
      <c r="H207" s="14"/>
      <c r="I207" s="14"/>
      <c r="J207" s="14"/>
      <c r="K207" s="12"/>
    </row>
    <row r="208" ht="19.5" customHeight="1">
      <c r="A208" s="12"/>
      <c r="C208" s="12"/>
      <c r="D208" s="13"/>
      <c r="F208" s="14"/>
      <c r="G208" s="14"/>
      <c r="H208" s="14"/>
      <c r="I208" s="14"/>
      <c r="J208" s="14"/>
      <c r="K208" s="12"/>
    </row>
    <row r="209" ht="19.5" customHeight="1">
      <c r="A209" s="12"/>
      <c r="C209" s="12"/>
      <c r="D209" s="13"/>
      <c r="F209" s="14"/>
      <c r="G209" s="14"/>
      <c r="H209" s="14"/>
      <c r="I209" s="14"/>
      <c r="J209" s="14"/>
      <c r="K209" s="12"/>
    </row>
    <row r="210" ht="19.5" customHeight="1">
      <c r="A210" s="12"/>
      <c r="C210" s="12"/>
      <c r="D210" s="13"/>
      <c r="F210" s="14"/>
      <c r="G210" s="14"/>
      <c r="H210" s="14"/>
      <c r="I210" s="14"/>
      <c r="J210" s="14"/>
      <c r="K210" s="12"/>
    </row>
    <row r="211" ht="19.5" customHeight="1">
      <c r="A211" s="12"/>
      <c r="C211" s="12"/>
      <c r="D211" s="13"/>
      <c r="F211" s="14"/>
      <c r="G211" s="14"/>
      <c r="H211" s="14"/>
      <c r="I211" s="14"/>
      <c r="J211" s="14"/>
      <c r="K211" s="12"/>
    </row>
    <row r="212" ht="19.5" customHeight="1">
      <c r="A212" s="12"/>
      <c r="C212" s="12"/>
      <c r="D212" s="13"/>
      <c r="F212" s="14"/>
      <c r="G212" s="14"/>
      <c r="H212" s="14"/>
      <c r="I212" s="14"/>
      <c r="J212" s="14"/>
      <c r="K212" s="12"/>
    </row>
    <row r="213" ht="19.5" customHeight="1">
      <c r="A213" s="12"/>
      <c r="C213" s="12"/>
      <c r="D213" s="13"/>
      <c r="F213" s="14"/>
      <c r="G213" s="14"/>
      <c r="H213" s="14"/>
      <c r="I213" s="14"/>
      <c r="J213" s="14"/>
      <c r="K213" s="12"/>
    </row>
    <row r="214" ht="19.5" customHeight="1">
      <c r="A214" s="12"/>
      <c r="C214" s="12"/>
      <c r="D214" s="13"/>
      <c r="F214" s="14"/>
      <c r="G214" s="14"/>
      <c r="H214" s="14"/>
      <c r="I214" s="14"/>
      <c r="J214" s="14"/>
      <c r="K214" s="12"/>
    </row>
    <row r="215" ht="19.5" customHeight="1">
      <c r="A215" s="12"/>
      <c r="C215" s="12"/>
      <c r="D215" s="13"/>
      <c r="F215" s="14"/>
      <c r="G215" s="14"/>
      <c r="H215" s="14"/>
      <c r="I215" s="14"/>
      <c r="J215" s="14"/>
      <c r="K215" s="12"/>
    </row>
    <row r="216" ht="19.5" customHeight="1">
      <c r="A216" s="12"/>
      <c r="C216" s="12"/>
      <c r="D216" s="13"/>
      <c r="F216" s="14"/>
      <c r="G216" s="14"/>
      <c r="H216" s="14"/>
      <c r="I216" s="14"/>
      <c r="J216" s="14"/>
      <c r="K216" s="12"/>
    </row>
    <row r="217" ht="19.5" customHeight="1">
      <c r="A217" s="12"/>
      <c r="C217" s="12"/>
      <c r="D217" s="13"/>
      <c r="F217" s="14"/>
      <c r="G217" s="14"/>
      <c r="H217" s="14"/>
      <c r="I217" s="14"/>
      <c r="J217" s="14"/>
      <c r="K217" s="12"/>
    </row>
    <row r="218" ht="19.5" customHeight="1">
      <c r="A218" s="12"/>
      <c r="C218" s="12"/>
      <c r="D218" s="13"/>
      <c r="F218" s="14"/>
      <c r="G218" s="14"/>
      <c r="H218" s="14"/>
      <c r="I218" s="14"/>
      <c r="J218" s="14"/>
      <c r="K218" s="12"/>
    </row>
    <row r="219" ht="19.5" customHeight="1">
      <c r="A219" s="12"/>
      <c r="C219" s="12"/>
      <c r="D219" s="13"/>
      <c r="F219" s="14"/>
      <c r="G219" s="14"/>
      <c r="H219" s="14"/>
      <c r="I219" s="14"/>
      <c r="J219" s="14"/>
      <c r="K219" s="12"/>
    </row>
    <row r="220" ht="19.5" customHeight="1">
      <c r="A220" s="12"/>
      <c r="C220" s="12"/>
      <c r="D220" s="13"/>
      <c r="F220" s="14"/>
      <c r="G220" s="14"/>
      <c r="H220" s="14"/>
      <c r="I220" s="14"/>
      <c r="J220" s="14"/>
      <c r="K220" s="12"/>
    </row>
    <row r="221" ht="19.5" customHeight="1">
      <c r="A221" s="12"/>
      <c r="C221" s="12"/>
      <c r="D221" s="13"/>
      <c r="F221" s="14"/>
      <c r="G221" s="14"/>
      <c r="H221" s="14"/>
      <c r="I221" s="14"/>
      <c r="J221" s="14"/>
      <c r="K221" s="12"/>
    </row>
    <row r="222" ht="19.5" customHeight="1">
      <c r="A222" s="12"/>
      <c r="C222" s="12"/>
      <c r="D222" s="13"/>
      <c r="F222" s="14"/>
      <c r="G222" s="14"/>
      <c r="H222" s="14"/>
      <c r="I222" s="14"/>
      <c r="J222" s="14"/>
      <c r="K222" s="12"/>
    </row>
    <row r="223" ht="19.5" customHeight="1">
      <c r="A223" s="12"/>
      <c r="C223" s="12"/>
      <c r="D223" s="13"/>
      <c r="F223" s="14"/>
      <c r="G223" s="14"/>
      <c r="H223" s="14"/>
      <c r="I223" s="14"/>
      <c r="J223" s="14"/>
      <c r="K223" s="12"/>
    </row>
    <row r="224" ht="19.5" customHeight="1">
      <c r="A224" s="12"/>
      <c r="C224" s="12"/>
      <c r="D224" s="13"/>
      <c r="F224" s="14"/>
      <c r="G224" s="14"/>
      <c r="H224" s="14"/>
      <c r="I224" s="14"/>
      <c r="J224" s="14"/>
      <c r="K224" s="12"/>
    </row>
    <row r="225" ht="19.5" customHeight="1">
      <c r="A225" s="12"/>
      <c r="C225" s="12"/>
      <c r="D225" s="13"/>
      <c r="F225" s="14"/>
      <c r="G225" s="14"/>
      <c r="H225" s="14"/>
      <c r="I225" s="14"/>
      <c r="J225" s="14"/>
      <c r="K225" s="12"/>
    </row>
    <row r="226" ht="19.5" customHeight="1">
      <c r="A226" s="12"/>
      <c r="C226" s="12"/>
      <c r="D226" s="13"/>
      <c r="F226" s="14"/>
      <c r="G226" s="14"/>
      <c r="H226" s="14"/>
      <c r="I226" s="14"/>
      <c r="J226" s="14"/>
      <c r="K226" s="12"/>
    </row>
    <row r="227" ht="19.5" customHeight="1">
      <c r="A227" s="12"/>
      <c r="C227" s="12"/>
      <c r="D227" s="13"/>
      <c r="F227" s="14"/>
      <c r="G227" s="14"/>
      <c r="H227" s="14"/>
      <c r="I227" s="14"/>
      <c r="J227" s="14"/>
      <c r="K227" s="12"/>
    </row>
    <row r="228" ht="19.5" customHeight="1">
      <c r="A228" s="12"/>
      <c r="C228" s="12"/>
      <c r="D228" s="13"/>
      <c r="F228" s="14"/>
      <c r="G228" s="14"/>
      <c r="H228" s="14"/>
      <c r="I228" s="14"/>
      <c r="J228" s="14"/>
      <c r="K228" s="12"/>
    </row>
    <row r="229" ht="19.5" customHeight="1">
      <c r="A229" s="12"/>
      <c r="C229" s="12"/>
      <c r="D229" s="13"/>
      <c r="F229" s="14"/>
      <c r="G229" s="14"/>
      <c r="H229" s="14"/>
      <c r="I229" s="14"/>
      <c r="J229" s="14"/>
      <c r="K229" s="12"/>
    </row>
    <row r="230" ht="19.5" customHeight="1">
      <c r="A230" s="12"/>
      <c r="C230" s="12"/>
      <c r="D230" s="13"/>
      <c r="F230" s="14"/>
      <c r="G230" s="14"/>
      <c r="H230" s="14"/>
      <c r="I230" s="14"/>
      <c r="J230" s="14"/>
      <c r="K230" s="12"/>
    </row>
    <row r="231" ht="19.5" customHeight="1">
      <c r="A231" s="12"/>
      <c r="C231" s="12"/>
      <c r="D231" s="13"/>
      <c r="F231" s="14"/>
      <c r="G231" s="14"/>
      <c r="H231" s="14"/>
      <c r="I231" s="14"/>
      <c r="J231" s="14"/>
      <c r="K231" s="12"/>
    </row>
    <row r="232" ht="19.5" customHeight="1">
      <c r="A232" s="12"/>
      <c r="C232" s="12"/>
      <c r="D232" s="13"/>
      <c r="F232" s="14"/>
      <c r="G232" s="14"/>
      <c r="H232" s="14"/>
      <c r="I232" s="14"/>
      <c r="J232" s="14"/>
      <c r="K232" s="12"/>
    </row>
    <row r="233" ht="19.5" customHeight="1">
      <c r="A233" s="12"/>
      <c r="C233" s="12"/>
      <c r="D233" s="13"/>
      <c r="F233" s="14"/>
      <c r="G233" s="14"/>
      <c r="H233" s="14"/>
      <c r="I233" s="14"/>
      <c r="J233" s="14"/>
      <c r="K233" s="12"/>
    </row>
    <row r="234" ht="19.5" customHeight="1">
      <c r="A234" s="12"/>
      <c r="C234" s="12"/>
      <c r="D234" s="13"/>
      <c r="F234" s="14"/>
      <c r="G234" s="14"/>
      <c r="H234" s="14"/>
      <c r="I234" s="14"/>
      <c r="J234" s="14"/>
      <c r="K234" s="12"/>
    </row>
    <row r="235" ht="19.5" customHeight="1">
      <c r="A235" s="12"/>
      <c r="C235" s="12"/>
      <c r="D235" s="13"/>
      <c r="F235" s="14"/>
      <c r="G235" s="14"/>
      <c r="H235" s="14"/>
      <c r="I235" s="14"/>
      <c r="J235" s="14"/>
      <c r="K235" s="12"/>
    </row>
    <row r="236" ht="19.5" customHeight="1">
      <c r="A236" s="12"/>
      <c r="C236" s="12"/>
      <c r="D236" s="13"/>
      <c r="F236" s="14"/>
      <c r="G236" s="14"/>
      <c r="H236" s="14"/>
      <c r="I236" s="14"/>
      <c r="J236" s="14"/>
      <c r="K236" s="12"/>
    </row>
    <row r="237" ht="19.5" customHeight="1">
      <c r="A237" s="12"/>
      <c r="C237" s="12"/>
      <c r="D237" s="13"/>
      <c r="F237" s="14"/>
      <c r="G237" s="14"/>
      <c r="H237" s="14"/>
      <c r="I237" s="14"/>
      <c r="J237" s="14"/>
      <c r="K237" s="12"/>
    </row>
    <row r="238" ht="19.5" customHeight="1">
      <c r="A238" s="12"/>
      <c r="C238" s="12"/>
      <c r="D238" s="13"/>
      <c r="F238" s="14"/>
      <c r="G238" s="14"/>
      <c r="H238" s="14"/>
      <c r="I238" s="14"/>
      <c r="J238" s="14"/>
      <c r="K238" s="12"/>
    </row>
    <row r="239" ht="19.5" customHeight="1">
      <c r="A239" s="12"/>
      <c r="C239" s="12"/>
      <c r="D239" s="13"/>
      <c r="F239" s="14"/>
      <c r="G239" s="14"/>
      <c r="H239" s="14"/>
      <c r="I239" s="14"/>
      <c r="J239" s="14"/>
      <c r="K239" s="12"/>
    </row>
    <row r="240" ht="19.5" customHeight="1">
      <c r="A240" s="12"/>
      <c r="C240" s="12"/>
      <c r="D240" s="13"/>
      <c r="F240" s="14"/>
      <c r="G240" s="14"/>
      <c r="H240" s="14"/>
      <c r="I240" s="14"/>
      <c r="J240" s="14"/>
      <c r="K240" s="12"/>
    </row>
    <row r="241" ht="19.5" customHeight="1">
      <c r="A241" s="12"/>
      <c r="C241" s="12"/>
      <c r="D241" s="13"/>
      <c r="F241" s="14"/>
      <c r="G241" s="14"/>
      <c r="H241" s="14"/>
      <c r="I241" s="14"/>
      <c r="J241" s="14"/>
      <c r="K241" s="12"/>
    </row>
    <row r="242" ht="19.5" customHeight="1">
      <c r="A242" s="12"/>
      <c r="C242" s="12"/>
      <c r="D242" s="13"/>
      <c r="F242" s="14"/>
      <c r="G242" s="14"/>
      <c r="H242" s="14"/>
      <c r="I242" s="14"/>
      <c r="J242" s="14"/>
      <c r="K242" s="12"/>
    </row>
    <row r="243" ht="19.5" customHeight="1">
      <c r="A243" s="12"/>
      <c r="C243" s="12"/>
      <c r="D243" s="13"/>
      <c r="F243" s="14"/>
      <c r="G243" s="14"/>
      <c r="H243" s="14"/>
      <c r="I243" s="14"/>
      <c r="J243" s="14"/>
      <c r="K243" s="12"/>
    </row>
    <row r="244" ht="19.5" customHeight="1">
      <c r="A244" s="12"/>
      <c r="C244" s="12"/>
      <c r="D244" s="13"/>
      <c r="F244" s="14"/>
      <c r="G244" s="14"/>
      <c r="H244" s="14"/>
      <c r="I244" s="14"/>
      <c r="J244" s="14"/>
      <c r="K244" s="12"/>
    </row>
    <row r="245" ht="19.5" customHeight="1">
      <c r="A245" s="12"/>
      <c r="C245" s="12"/>
      <c r="D245" s="13"/>
      <c r="F245" s="14"/>
      <c r="G245" s="14"/>
      <c r="H245" s="14"/>
      <c r="I245" s="14"/>
      <c r="J245" s="14"/>
      <c r="K245" s="12"/>
    </row>
    <row r="246" ht="19.5" customHeight="1">
      <c r="A246" s="12"/>
      <c r="C246" s="12"/>
      <c r="D246" s="13"/>
      <c r="F246" s="14"/>
      <c r="G246" s="14"/>
      <c r="H246" s="14"/>
      <c r="I246" s="14"/>
      <c r="J246" s="14"/>
      <c r="K246" s="12"/>
    </row>
    <row r="247" ht="19.5" customHeight="1">
      <c r="A247" s="12"/>
      <c r="C247" s="12"/>
      <c r="D247" s="13"/>
      <c r="F247" s="14"/>
      <c r="G247" s="14"/>
      <c r="H247" s="14"/>
      <c r="I247" s="14"/>
      <c r="J247" s="14"/>
      <c r="K247" s="12"/>
    </row>
    <row r="248" ht="19.5" customHeight="1">
      <c r="A248" s="12"/>
      <c r="C248" s="12"/>
      <c r="D248" s="13"/>
      <c r="F248" s="14"/>
      <c r="G248" s="14"/>
      <c r="H248" s="14"/>
      <c r="I248" s="14"/>
      <c r="J248" s="14"/>
      <c r="K248" s="12"/>
    </row>
    <row r="249" ht="19.5" customHeight="1">
      <c r="A249" s="12"/>
      <c r="C249" s="12"/>
      <c r="D249" s="13"/>
      <c r="F249" s="14"/>
      <c r="G249" s="14"/>
      <c r="H249" s="14"/>
      <c r="I249" s="14"/>
      <c r="J249" s="14"/>
      <c r="K249" s="12"/>
    </row>
    <row r="250" ht="19.5" customHeight="1">
      <c r="A250" s="12"/>
      <c r="C250" s="12"/>
      <c r="D250" s="13"/>
      <c r="F250" s="14"/>
      <c r="G250" s="14"/>
      <c r="H250" s="14"/>
      <c r="I250" s="14"/>
      <c r="J250" s="14"/>
      <c r="K250" s="12"/>
    </row>
    <row r="251" ht="19.5" customHeight="1">
      <c r="A251" s="12"/>
      <c r="C251" s="12"/>
      <c r="D251" s="13"/>
      <c r="F251" s="14"/>
      <c r="G251" s="14"/>
      <c r="H251" s="14"/>
      <c r="I251" s="14"/>
      <c r="J251" s="14"/>
      <c r="K251" s="12"/>
    </row>
    <row r="252" ht="19.5" customHeight="1">
      <c r="A252" s="12"/>
      <c r="C252" s="12"/>
      <c r="D252" s="13"/>
      <c r="F252" s="14"/>
      <c r="G252" s="14"/>
      <c r="H252" s="14"/>
      <c r="I252" s="14"/>
      <c r="J252" s="14"/>
      <c r="K252" s="12"/>
    </row>
    <row r="253" ht="19.5" customHeight="1">
      <c r="A253" s="12"/>
      <c r="C253" s="12"/>
      <c r="D253" s="13"/>
      <c r="F253" s="14"/>
      <c r="G253" s="14"/>
      <c r="H253" s="14"/>
      <c r="I253" s="14"/>
      <c r="J253" s="14"/>
      <c r="K253" s="12"/>
    </row>
    <row r="254" ht="19.5" customHeight="1">
      <c r="A254" s="12"/>
      <c r="C254" s="12"/>
      <c r="D254" s="13"/>
      <c r="F254" s="14"/>
      <c r="G254" s="14"/>
      <c r="H254" s="14"/>
      <c r="I254" s="14"/>
      <c r="J254" s="14"/>
      <c r="K254" s="12"/>
    </row>
    <row r="255" ht="19.5" customHeight="1">
      <c r="A255" s="12"/>
      <c r="C255" s="12"/>
      <c r="D255" s="13"/>
      <c r="F255" s="14"/>
      <c r="G255" s="14"/>
      <c r="H255" s="14"/>
      <c r="I255" s="14"/>
      <c r="J255" s="14"/>
      <c r="K255" s="12"/>
    </row>
    <row r="256" ht="19.5" customHeight="1">
      <c r="A256" s="12"/>
      <c r="C256" s="12"/>
      <c r="D256" s="13"/>
      <c r="F256" s="14"/>
      <c r="G256" s="14"/>
      <c r="H256" s="14"/>
      <c r="I256" s="14"/>
      <c r="J256" s="14"/>
      <c r="K256" s="12"/>
    </row>
    <row r="257" ht="19.5" customHeight="1">
      <c r="A257" s="12"/>
      <c r="C257" s="12"/>
      <c r="D257" s="13"/>
      <c r="F257" s="14"/>
      <c r="G257" s="14"/>
      <c r="H257" s="14"/>
      <c r="I257" s="14"/>
      <c r="J257" s="14"/>
      <c r="K257" s="12"/>
    </row>
    <row r="258" ht="19.5" customHeight="1">
      <c r="A258" s="12"/>
      <c r="C258" s="12"/>
      <c r="D258" s="13"/>
      <c r="F258" s="14"/>
      <c r="G258" s="14"/>
      <c r="H258" s="14"/>
      <c r="I258" s="14"/>
      <c r="J258" s="14"/>
      <c r="K258" s="12"/>
    </row>
    <row r="259" ht="19.5" customHeight="1">
      <c r="A259" s="12"/>
      <c r="C259" s="12"/>
      <c r="D259" s="13"/>
      <c r="F259" s="14"/>
      <c r="G259" s="14"/>
      <c r="H259" s="14"/>
      <c r="I259" s="14"/>
      <c r="J259" s="14"/>
      <c r="K259" s="12"/>
    </row>
    <row r="260" ht="19.5" customHeight="1">
      <c r="A260" s="12"/>
      <c r="C260" s="12"/>
      <c r="D260" s="13"/>
      <c r="F260" s="14"/>
      <c r="G260" s="14"/>
      <c r="H260" s="14"/>
      <c r="I260" s="14"/>
      <c r="J260" s="14"/>
      <c r="K260" s="12"/>
    </row>
    <row r="261" ht="19.5" customHeight="1">
      <c r="A261" s="12"/>
      <c r="C261" s="12"/>
      <c r="D261" s="13"/>
      <c r="F261" s="14"/>
      <c r="G261" s="14"/>
      <c r="H261" s="14"/>
      <c r="I261" s="14"/>
      <c r="J261" s="14"/>
      <c r="K261" s="12"/>
    </row>
    <row r="262" ht="19.5" customHeight="1">
      <c r="A262" s="12"/>
      <c r="C262" s="12"/>
      <c r="D262" s="13"/>
      <c r="F262" s="14"/>
      <c r="G262" s="14"/>
      <c r="H262" s="14"/>
      <c r="I262" s="14"/>
      <c r="J262" s="14"/>
      <c r="K262" s="12"/>
    </row>
    <row r="263" ht="19.5" customHeight="1">
      <c r="A263" s="12"/>
      <c r="C263" s="12"/>
      <c r="D263" s="13"/>
      <c r="F263" s="14"/>
      <c r="G263" s="14"/>
      <c r="H263" s="14"/>
      <c r="I263" s="14"/>
      <c r="J263" s="14"/>
      <c r="K263" s="12"/>
    </row>
    <row r="264" ht="19.5" customHeight="1">
      <c r="A264" s="12"/>
      <c r="C264" s="12"/>
      <c r="D264" s="13"/>
      <c r="F264" s="14"/>
      <c r="G264" s="14"/>
      <c r="H264" s="14"/>
      <c r="I264" s="14"/>
      <c r="J264" s="14"/>
      <c r="K264" s="12"/>
    </row>
    <row r="265" ht="19.5" customHeight="1">
      <c r="A265" s="12"/>
      <c r="C265" s="12"/>
      <c r="D265" s="13"/>
      <c r="F265" s="14"/>
      <c r="G265" s="14"/>
      <c r="H265" s="14"/>
      <c r="I265" s="14"/>
      <c r="J265" s="14"/>
      <c r="K265" s="12"/>
    </row>
    <row r="266" ht="19.5" customHeight="1">
      <c r="A266" s="12"/>
      <c r="C266" s="12"/>
      <c r="D266" s="13"/>
      <c r="F266" s="14"/>
      <c r="G266" s="14"/>
      <c r="H266" s="14"/>
      <c r="I266" s="14"/>
      <c r="J266" s="14"/>
      <c r="K266" s="12"/>
    </row>
    <row r="267" ht="19.5" customHeight="1">
      <c r="A267" s="12"/>
      <c r="C267" s="12"/>
      <c r="D267" s="13"/>
      <c r="F267" s="14"/>
      <c r="G267" s="14"/>
      <c r="H267" s="14"/>
      <c r="I267" s="14"/>
      <c r="J267" s="14"/>
      <c r="K267" s="12"/>
    </row>
    <row r="268" ht="19.5" customHeight="1">
      <c r="A268" s="12"/>
      <c r="C268" s="12"/>
      <c r="D268" s="13"/>
      <c r="F268" s="14"/>
      <c r="G268" s="14"/>
      <c r="H268" s="14"/>
      <c r="I268" s="14"/>
      <c r="J268" s="14"/>
      <c r="K268" s="12"/>
    </row>
    <row r="269" ht="19.5" customHeight="1">
      <c r="A269" s="12"/>
      <c r="C269" s="12"/>
      <c r="D269" s="13"/>
      <c r="F269" s="14"/>
      <c r="G269" s="14"/>
      <c r="H269" s="14"/>
      <c r="I269" s="14"/>
      <c r="J269" s="14"/>
      <c r="K269" s="12"/>
    </row>
    <row r="270" ht="19.5" customHeight="1">
      <c r="A270" s="12"/>
      <c r="C270" s="12"/>
      <c r="D270" s="13"/>
      <c r="F270" s="14"/>
      <c r="G270" s="14"/>
      <c r="H270" s="14"/>
      <c r="I270" s="14"/>
      <c r="J270" s="14"/>
      <c r="K270" s="12"/>
    </row>
    <row r="271" ht="19.5" customHeight="1">
      <c r="A271" s="12"/>
      <c r="C271" s="12"/>
      <c r="D271" s="13"/>
      <c r="F271" s="14"/>
      <c r="G271" s="14"/>
      <c r="H271" s="14"/>
      <c r="I271" s="14"/>
      <c r="J271" s="14"/>
      <c r="K271" s="12"/>
    </row>
    <row r="272" ht="19.5" customHeight="1">
      <c r="A272" s="12"/>
      <c r="C272" s="12"/>
      <c r="D272" s="13"/>
      <c r="F272" s="14"/>
      <c r="G272" s="14"/>
      <c r="H272" s="14"/>
      <c r="I272" s="14"/>
      <c r="J272" s="14"/>
      <c r="K272" s="12"/>
    </row>
    <row r="273" ht="19.5" customHeight="1">
      <c r="A273" s="12"/>
      <c r="C273" s="12"/>
      <c r="D273" s="13"/>
      <c r="F273" s="14"/>
      <c r="G273" s="14"/>
      <c r="H273" s="14"/>
      <c r="I273" s="14"/>
      <c r="J273" s="14"/>
      <c r="K273" s="12"/>
    </row>
    <row r="274" ht="19.5" customHeight="1">
      <c r="A274" s="12"/>
      <c r="C274" s="12"/>
      <c r="D274" s="13"/>
      <c r="F274" s="14"/>
      <c r="G274" s="14"/>
      <c r="H274" s="14"/>
      <c r="I274" s="14"/>
      <c r="J274" s="14"/>
      <c r="K274" s="12"/>
    </row>
    <row r="275" ht="19.5" customHeight="1">
      <c r="A275" s="12"/>
      <c r="C275" s="12"/>
      <c r="D275" s="13"/>
      <c r="F275" s="14"/>
      <c r="G275" s="14"/>
      <c r="H275" s="14"/>
      <c r="I275" s="14"/>
      <c r="J275" s="14"/>
      <c r="K275" s="12"/>
    </row>
    <row r="276" ht="19.5" customHeight="1">
      <c r="A276" s="12"/>
      <c r="C276" s="12"/>
      <c r="D276" s="13"/>
      <c r="F276" s="14"/>
      <c r="G276" s="14"/>
      <c r="H276" s="14"/>
      <c r="I276" s="14"/>
      <c r="J276" s="14"/>
      <c r="K276" s="12"/>
    </row>
    <row r="277" ht="19.5" customHeight="1">
      <c r="A277" s="12"/>
      <c r="C277" s="12"/>
      <c r="D277" s="13"/>
      <c r="F277" s="14"/>
      <c r="G277" s="14"/>
      <c r="H277" s="14"/>
      <c r="I277" s="14"/>
      <c r="J277" s="14"/>
      <c r="K277" s="12"/>
    </row>
    <row r="278" ht="19.5" customHeight="1">
      <c r="A278" s="12"/>
      <c r="C278" s="12"/>
      <c r="D278" s="13"/>
      <c r="F278" s="14"/>
      <c r="G278" s="14"/>
      <c r="H278" s="14"/>
      <c r="I278" s="14"/>
      <c r="J278" s="14"/>
      <c r="K278" s="12"/>
    </row>
    <row r="279" ht="19.5" customHeight="1">
      <c r="A279" s="12"/>
      <c r="C279" s="12"/>
      <c r="D279" s="13"/>
      <c r="F279" s="14"/>
      <c r="G279" s="14"/>
      <c r="H279" s="14"/>
      <c r="I279" s="14"/>
      <c r="J279" s="14"/>
      <c r="K279" s="12"/>
    </row>
    <row r="280" ht="19.5" customHeight="1">
      <c r="A280" s="12"/>
      <c r="C280" s="12"/>
      <c r="D280" s="13"/>
      <c r="F280" s="14"/>
      <c r="G280" s="14"/>
      <c r="H280" s="14"/>
      <c r="I280" s="14"/>
      <c r="J280" s="14"/>
      <c r="K280" s="12"/>
    </row>
    <row r="281" ht="19.5" customHeight="1">
      <c r="A281" s="12"/>
      <c r="C281" s="12"/>
      <c r="D281" s="13"/>
      <c r="F281" s="14"/>
      <c r="G281" s="14"/>
      <c r="H281" s="14"/>
      <c r="I281" s="14"/>
      <c r="J281" s="14"/>
      <c r="K281" s="12"/>
    </row>
    <row r="282" ht="19.5" customHeight="1">
      <c r="A282" s="12"/>
      <c r="C282" s="12"/>
      <c r="D282" s="13"/>
      <c r="F282" s="14"/>
      <c r="G282" s="14"/>
      <c r="H282" s="14"/>
      <c r="I282" s="14"/>
      <c r="J282" s="14"/>
      <c r="K282" s="12"/>
    </row>
    <row r="283" ht="19.5" customHeight="1">
      <c r="A283" s="12"/>
      <c r="C283" s="12"/>
      <c r="D283" s="13"/>
      <c r="F283" s="14"/>
      <c r="G283" s="14"/>
      <c r="H283" s="14"/>
      <c r="I283" s="14"/>
      <c r="J283" s="14"/>
      <c r="K283" s="12"/>
    </row>
    <row r="284" ht="19.5" customHeight="1">
      <c r="A284" s="12"/>
      <c r="C284" s="12"/>
      <c r="D284" s="13"/>
      <c r="F284" s="14"/>
      <c r="G284" s="14"/>
      <c r="H284" s="14"/>
      <c r="I284" s="14"/>
      <c r="J284" s="14"/>
      <c r="K284" s="12"/>
    </row>
    <row r="285" ht="19.5" customHeight="1">
      <c r="A285" s="12"/>
      <c r="C285" s="12"/>
      <c r="D285" s="13"/>
      <c r="F285" s="14"/>
      <c r="G285" s="14"/>
      <c r="H285" s="14"/>
      <c r="I285" s="14"/>
      <c r="J285" s="14"/>
      <c r="K285" s="12"/>
    </row>
    <row r="286" ht="19.5" customHeight="1">
      <c r="A286" s="12"/>
      <c r="C286" s="12"/>
      <c r="D286" s="13"/>
      <c r="F286" s="14"/>
      <c r="G286" s="14"/>
      <c r="H286" s="14"/>
      <c r="I286" s="14"/>
      <c r="J286" s="14"/>
      <c r="K286" s="12"/>
    </row>
    <row r="287" ht="19.5" customHeight="1">
      <c r="A287" s="12"/>
      <c r="C287" s="12"/>
      <c r="D287" s="13"/>
      <c r="F287" s="14"/>
      <c r="G287" s="14"/>
      <c r="H287" s="14"/>
      <c r="I287" s="14"/>
      <c r="J287" s="14"/>
      <c r="K287" s="12"/>
    </row>
    <row r="288" ht="19.5" customHeight="1">
      <c r="A288" s="12"/>
      <c r="C288" s="12"/>
      <c r="D288" s="13"/>
      <c r="F288" s="14"/>
      <c r="G288" s="14"/>
      <c r="H288" s="14"/>
      <c r="I288" s="14"/>
      <c r="J288" s="14"/>
      <c r="K288" s="12"/>
    </row>
    <row r="289" ht="19.5" customHeight="1">
      <c r="A289" s="12"/>
      <c r="C289" s="12"/>
      <c r="D289" s="13"/>
      <c r="F289" s="14"/>
      <c r="G289" s="14"/>
      <c r="H289" s="14"/>
      <c r="I289" s="14"/>
      <c r="J289" s="14"/>
      <c r="K289" s="12"/>
    </row>
    <row r="290" ht="19.5" customHeight="1">
      <c r="A290" s="12"/>
      <c r="C290" s="12"/>
      <c r="D290" s="13"/>
      <c r="F290" s="14"/>
      <c r="G290" s="14"/>
      <c r="H290" s="14"/>
      <c r="I290" s="14"/>
      <c r="J290" s="14"/>
      <c r="K290" s="12"/>
    </row>
    <row r="291" ht="19.5" customHeight="1">
      <c r="A291" s="12"/>
      <c r="C291" s="12"/>
      <c r="D291" s="13"/>
      <c r="F291" s="14"/>
      <c r="G291" s="14"/>
      <c r="H291" s="14"/>
      <c r="I291" s="14"/>
      <c r="J291" s="14"/>
      <c r="K291" s="12"/>
    </row>
    <row r="292" ht="19.5" customHeight="1">
      <c r="A292" s="12"/>
      <c r="C292" s="12"/>
      <c r="D292" s="13"/>
      <c r="F292" s="14"/>
      <c r="G292" s="14"/>
      <c r="H292" s="14"/>
      <c r="I292" s="14"/>
      <c r="J292" s="14"/>
      <c r="K292" s="12"/>
    </row>
    <row r="293" ht="19.5" customHeight="1">
      <c r="A293" s="12"/>
      <c r="C293" s="12"/>
      <c r="D293" s="13"/>
      <c r="F293" s="14"/>
      <c r="G293" s="14"/>
      <c r="H293" s="14"/>
      <c r="I293" s="14"/>
      <c r="J293" s="14"/>
      <c r="K293" s="12"/>
    </row>
    <row r="294" ht="19.5" customHeight="1">
      <c r="A294" s="12"/>
      <c r="C294" s="12"/>
      <c r="D294" s="13"/>
      <c r="F294" s="14"/>
      <c r="G294" s="14"/>
      <c r="H294" s="14"/>
      <c r="I294" s="14"/>
      <c r="J294" s="14"/>
      <c r="K294" s="12"/>
    </row>
    <row r="295" ht="19.5" customHeight="1">
      <c r="A295" s="12"/>
      <c r="C295" s="12"/>
      <c r="D295" s="13"/>
      <c r="F295" s="14"/>
      <c r="G295" s="14"/>
      <c r="H295" s="14"/>
      <c r="I295" s="14"/>
      <c r="J295" s="14"/>
      <c r="K295" s="12"/>
    </row>
    <row r="296" ht="19.5" customHeight="1">
      <c r="A296" s="12"/>
      <c r="C296" s="12"/>
      <c r="D296" s="13"/>
      <c r="F296" s="14"/>
      <c r="G296" s="14"/>
      <c r="H296" s="14"/>
      <c r="I296" s="14"/>
      <c r="J296" s="14"/>
      <c r="K296" s="12"/>
    </row>
    <row r="297" ht="19.5" customHeight="1">
      <c r="A297" s="12"/>
      <c r="C297" s="12"/>
      <c r="D297" s="13"/>
      <c r="F297" s="14"/>
      <c r="G297" s="14"/>
      <c r="H297" s="14"/>
      <c r="I297" s="14"/>
      <c r="J297" s="14"/>
      <c r="K297" s="12"/>
    </row>
    <row r="298" ht="19.5" customHeight="1">
      <c r="A298" s="12"/>
      <c r="C298" s="12"/>
      <c r="D298" s="13"/>
      <c r="F298" s="14"/>
      <c r="G298" s="14"/>
      <c r="H298" s="14"/>
      <c r="I298" s="14"/>
      <c r="J298" s="14"/>
      <c r="K298" s="12"/>
    </row>
    <row r="299" ht="19.5" customHeight="1">
      <c r="A299" s="12"/>
      <c r="C299" s="12"/>
      <c r="D299" s="13"/>
      <c r="F299" s="14"/>
      <c r="G299" s="14"/>
      <c r="H299" s="14"/>
      <c r="I299" s="14"/>
      <c r="J299" s="14"/>
      <c r="K299" s="12"/>
    </row>
    <row r="300" ht="19.5" customHeight="1">
      <c r="A300" s="12"/>
      <c r="C300" s="12"/>
      <c r="D300" s="13"/>
      <c r="F300" s="14"/>
      <c r="G300" s="14"/>
      <c r="H300" s="14"/>
      <c r="I300" s="14"/>
      <c r="J300" s="14"/>
      <c r="K300" s="12"/>
    </row>
    <row r="301" ht="19.5" customHeight="1">
      <c r="A301" s="12"/>
      <c r="C301" s="12"/>
      <c r="D301" s="13"/>
      <c r="F301" s="14"/>
      <c r="G301" s="14"/>
      <c r="H301" s="14"/>
      <c r="I301" s="14"/>
      <c r="J301" s="14"/>
      <c r="K301" s="12"/>
    </row>
    <row r="302" ht="19.5" customHeight="1">
      <c r="A302" s="12"/>
      <c r="C302" s="12"/>
      <c r="D302" s="13"/>
      <c r="F302" s="14"/>
      <c r="G302" s="14"/>
      <c r="H302" s="14"/>
      <c r="I302" s="14"/>
      <c r="J302" s="14"/>
      <c r="K302" s="12"/>
    </row>
    <row r="303" ht="19.5" customHeight="1">
      <c r="A303" s="12"/>
      <c r="C303" s="12"/>
      <c r="D303" s="13"/>
      <c r="F303" s="14"/>
      <c r="G303" s="14"/>
      <c r="H303" s="14"/>
      <c r="I303" s="14"/>
      <c r="J303" s="14"/>
      <c r="K303" s="12"/>
    </row>
    <row r="304" ht="19.5" customHeight="1">
      <c r="A304" s="12"/>
      <c r="C304" s="12"/>
      <c r="D304" s="13"/>
      <c r="F304" s="14"/>
      <c r="G304" s="14"/>
      <c r="H304" s="14"/>
      <c r="I304" s="14"/>
      <c r="J304" s="14"/>
      <c r="K304" s="12"/>
    </row>
    <row r="305" ht="19.5" customHeight="1">
      <c r="A305" s="12"/>
      <c r="C305" s="12"/>
      <c r="D305" s="13"/>
      <c r="F305" s="14"/>
      <c r="G305" s="14"/>
      <c r="H305" s="14"/>
      <c r="I305" s="14"/>
      <c r="J305" s="14"/>
      <c r="K305" s="12"/>
    </row>
    <row r="306" ht="19.5" customHeight="1">
      <c r="A306" s="12"/>
      <c r="C306" s="12"/>
      <c r="D306" s="13"/>
      <c r="F306" s="14"/>
      <c r="G306" s="14"/>
      <c r="H306" s="14"/>
      <c r="I306" s="14"/>
      <c r="J306" s="14"/>
      <c r="K306" s="12"/>
    </row>
    <row r="307" ht="19.5" customHeight="1">
      <c r="A307" s="12"/>
      <c r="C307" s="12"/>
      <c r="D307" s="13"/>
      <c r="F307" s="14"/>
      <c r="G307" s="14"/>
      <c r="H307" s="14"/>
      <c r="I307" s="14"/>
      <c r="J307" s="14"/>
      <c r="K307" s="12"/>
    </row>
    <row r="308" ht="19.5" customHeight="1">
      <c r="A308" s="12"/>
      <c r="C308" s="12"/>
      <c r="D308" s="13"/>
      <c r="F308" s="14"/>
      <c r="G308" s="14"/>
      <c r="H308" s="14"/>
      <c r="I308" s="14"/>
      <c r="J308" s="14"/>
      <c r="K308" s="12"/>
    </row>
    <row r="309" ht="19.5" customHeight="1">
      <c r="A309" s="12"/>
      <c r="C309" s="12"/>
      <c r="D309" s="13"/>
      <c r="F309" s="14"/>
      <c r="G309" s="14"/>
      <c r="H309" s="14"/>
      <c r="I309" s="14"/>
      <c r="J309" s="14"/>
      <c r="K309" s="12"/>
    </row>
    <row r="310" ht="19.5" customHeight="1">
      <c r="A310" s="12"/>
      <c r="C310" s="12"/>
      <c r="D310" s="13"/>
      <c r="F310" s="14"/>
      <c r="G310" s="14"/>
      <c r="H310" s="14"/>
      <c r="I310" s="14"/>
      <c r="J310" s="14"/>
      <c r="K310" s="12"/>
    </row>
    <row r="311" ht="19.5" customHeight="1">
      <c r="A311" s="12"/>
      <c r="C311" s="12"/>
      <c r="D311" s="13"/>
      <c r="F311" s="14"/>
      <c r="G311" s="14"/>
      <c r="H311" s="14"/>
      <c r="I311" s="14"/>
      <c r="J311" s="14"/>
      <c r="K311" s="12"/>
    </row>
    <row r="312" ht="19.5" customHeight="1">
      <c r="A312" s="12"/>
      <c r="C312" s="12"/>
      <c r="D312" s="13"/>
      <c r="F312" s="14"/>
      <c r="G312" s="14"/>
      <c r="H312" s="14"/>
      <c r="I312" s="14"/>
      <c r="J312" s="14"/>
      <c r="K312" s="12"/>
    </row>
    <row r="313" ht="19.5" customHeight="1">
      <c r="A313" s="12"/>
      <c r="C313" s="12"/>
      <c r="D313" s="13"/>
      <c r="F313" s="14"/>
      <c r="G313" s="14"/>
      <c r="H313" s="14"/>
      <c r="I313" s="14"/>
      <c r="J313" s="14"/>
      <c r="K313" s="12"/>
    </row>
    <row r="314" ht="19.5" customHeight="1">
      <c r="A314" s="12"/>
      <c r="C314" s="12"/>
      <c r="D314" s="13"/>
      <c r="F314" s="14"/>
      <c r="G314" s="14"/>
      <c r="H314" s="14"/>
      <c r="I314" s="14"/>
      <c r="J314" s="14"/>
      <c r="K314" s="12"/>
    </row>
    <row r="315" ht="19.5" customHeight="1">
      <c r="A315" s="12"/>
      <c r="C315" s="12"/>
      <c r="D315" s="13"/>
      <c r="F315" s="14"/>
      <c r="G315" s="14"/>
      <c r="H315" s="14"/>
      <c r="I315" s="14"/>
      <c r="J315" s="14"/>
      <c r="K315" s="12"/>
    </row>
    <row r="316" ht="19.5" customHeight="1">
      <c r="A316" s="12"/>
      <c r="C316" s="12"/>
      <c r="D316" s="13"/>
      <c r="F316" s="14"/>
      <c r="G316" s="14"/>
      <c r="H316" s="14"/>
      <c r="I316" s="14"/>
      <c r="J316" s="14"/>
      <c r="K316" s="12"/>
    </row>
    <row r="317" ht="19.5" customHeight="1">
      <c r="A317" s="12"/>
      <c r="C317" s="12"/>
      <c r="D317" s="13"/>
      <c r="F317" s="14"/>
      <c r="G317" s="14"/>
      <c r="H317" s="14"/>
      <c r="I317" s="14"/>
      <c r="J317" s="14"/>
      <c r="K317" s="12"/>
    </row>
    <row r="318" ht="19.5" customHeight="1">
      <c r="A318" s="12"/>
      <c r="C318" s="12"/>
      <c r="D318" s="13"/>
      <c r="F318" s="14"/>
      <c r="G318" s="14"/>
      <c r="H318" s="14"/>
      <c r="I318" s="14"/>
      <c r="J318" s="14"/>
      <c r="K318" s="12"/>
    </row>
    <row r="319" ht="19.5" customHeight="1">
      <c r="A319" s="12"/>
      <c r="C319" s="12"/>
      <c r="D319" s="13"/>
      <c r="F319" s="14"/>
      <c r="G319" s="14"/>
      <c r="H319" s="14"/>
      <c r="I319" s="14"/>
      <c r="J319" s="14"/>
      <c r="K319" s="12"/>
    </row>
    <row r="320" ht="19.5" customHeight="1">
      <c r="A320" s="12"/>
      <c r="C320" s="12"/>
      <c r="D320" s="13"/>
      <c r="F320" s="14"/>
      <c r="G320" s="14"/>
      <c r="H320" s="14"/>
      <c r="I320" s="14"/>
      <c r="J320" s="14"/>
      <c r="K320" s="12"/>
    </row>
    <row r="321" ht="19.5" customHeight="1">
      <c r="A321" s="12"/>
      <c r="C321" s="12"/>
      <c r="D321" s="13"/>
      <c r="F321" s="14"/>
      <c r="G321" s="14"/>
      <c r="H321" s="14"/>
      <c r="I321" s="14"/>
      <c r="J321" s="14"/>
      <c r="K321" s="12"/>
    </row>
    <row r="322" ht="19.5" customHeight="1">
      <c r="A322" s="12"/>
      <c r="C322" s="12"/>
      <c r="D322" s="13"/>
      <c r="F322" s="14"/>
      <c r="G322" s="14"/>
      <c r="H322" s="14"/>
      <c r="I322" s="14"/>
      <c r="J322" s="14"/>
      <c r="K322" s="12"/>
    </row>
    <row r="323" ht="19.5" customHeight="1">
      <c r="A323" s="12"/>
      <c r="C323" s="12"/>
      <c r="D323" s="13"/>
      <c r="F323" s="14"/>
      <c r="G323" s="14"/>
      <c r="H323" s="14"/>
      <c r="I323" s="14"/>
      <c r="J323" s="14"/>
      <c r="K323" s="12"/>
    </row>
    <row r="324" ht="19.5" customHeight="1">
      <c r="A324" s="12"/>
      <c r="C324" s="12"/>
      <c r="D324" s="13"/>
      <c r="F324" s="14"/>
      <c r="G324" s="14"/>
      <c r="H324" s="14"/>
      <c r="I324" s="14"/>
      <c r="J324" s="14"/>
      <c r="K324" s="12"/>
    </row>
    <row r="325" ht="19.5" customHeight="1">
      <c r="A325" s="12"/>
      <c r="C325" s="12"/>
      <c r="D325" s="13"/>
      <c r="F325" s="14"/>
      <c r="G325" s="14"/>
      <c r="H325" s="14"/>
      <c r="I325" s="14"/>
      <c r="J325" s="14"/>
      <c r="K325" s="12"/>
    </row>
    <row r="326" ht="19.5" customHeight="1">
      <c r="A326" s="12"/>
      <c r="C326" s="12"/>
      <c r="D326" s="13"/>
      <c r="F326" s="14"/>
      <c r="G326" s="14"/>
      <c r="H326" s="14"/>
      <c r="I326" s="14"/>
      <c r="J326" s="14"/>
      <c r="K326" s="12"/>
    </row>
    <row r="327" ht="19.5" customHeight="1">
      <c r="A327" s="12"/>
      <c r="C327" s="12"/>
      <c r="D327" s="13"/>
      <c r="F327" s="14"/>
      <c r="G327" s="14"/>
      <c r="H327" s="14"/>
      <c r="I327" s="14"/>
      <c r="J327" s="14"/>
      <c r="K327" s="12"/>
    </row>
    <row r="328" ht="19.5" customHeight="1">
      <c r="A328" s="12"/>
      <c r="C328" s="12"/>
      <c r="D328" s="13"/>
      <c r="F328" s="14"/>
      <c r="G328" s="14"/>
      <c r="H328" s="14"/>
      <c r="I328" s="14"/>
      <c r="J328" s="14"/>
      <c r="K328" s="12"/>
    </row>
    <row r="329" ht="19.5" customHeight="1">
      <c r="A329" s="12"/>
      <c r="C329" s="12"/>
      <c r="D329" s="13"/>
      <c r="F329" s="14"/>
      <c r="G329" s="14"/>
      <c r="H329" s="14"/>
      <c r="I329" s="14"/>
      <c r="J329" s="14"/>
      <c r="K329" s="12"/>
    </row>
    <row r="330" ht="19.5" customHeight="1">
      <c r="A330" s="12"/>
      <c r="C330" s="12"/>
      <c r="D330" s="13"/>
      <c r="F330" s="14"/>
      <c r="G330" s="14"/>
      <c r="H330" s="14"/>
      <c r="I330" s="14"/>
      <c r="J330" s="14"/>
      <c r="K330" s="12"/>
    </row>
    <row r="331" ht="19.5" customHeight="1">
      <c r="A331" s="12"/>
      <c r="C331" s="12"/>
      <c r="D331" s="13"/>
      <c r="F331" s="14"/>
      <c r="G331" s="14"/>
      <c r="H331" s="14"/>
      <c r="I331" s="14"/>
      <c r="J331" s="14"/>
      <c r="K331" s="12"/>
    </row>
    <row r="332" ht="19.5" customHeight="1">
      <c r="A332" s="12"/>
      <c r="C332" s="12"/>
      <c r="D332" s="13"/>
      <c r="F332" s="14"/>
      <c r="G332" s="14"/>
      <c r="H332" s="14"/>
      <c r="I332" s="14"/>
      <c r="J332" s="14"/>
      <c r="K332" s="12"/>
    </row>
    <row r="333" ht="19.5" customHeight="1">
      <c r="A333" s="12"/>
      <c r="C333" s="12"/>
      <c r="D333" s="13"/>
      <c r="F333" s="14"/>
      <c r="G333" s="14"/>
      <c r="H333" s="14"/>
      <c r="I333" s="14"/>
      <c r="J333" s="14"/>
      <c r="K333" s="12"/>
    </row>
    <row r="334" ht="19.5" customHeight="1">
      <c r="A334" s="12"/>
      <c r="C334" s="12"/>
      <c r="D334" s="13"/>
      <c r="F334" s="14"/>
      <c r="G334" s="14"/>
      <c r="H334" s="14"/>
      <c r="I334" s="14"/>
      <c r="J334" s="14"/>
      <c r="K334" s="12"/>
    </row>
    <row r="335" ht="19.5" customHeight="1">
      <c r="A335" s="12"/>
      <c r="C335" s="12"/>
      <c r="D335" s="13"/>
      <c r="F335" s="14"/>
      <c r="G335" s="14"/>
      <c r="H335" s="14"/>
      <c r="I335" s="14"/>
      <c r="J335" s="14"/>
      <c r="K335" s="12"/>
    </row>
    <row r="336" ht="19.5" customHeight="1">
      <c r="A336" s="12"/>
      <c r="C336" s="12"/>
      <c r="D336" s="13"/>
      <c r="F336" s="14"/>
      <c r="G336" s="14"/>
      <c r="H336" s="14"/>
      <c r="I336" s="14"/>
      <c r="J336" s="14"/>
      <c r="K336" s="12"/>
    </row>
    <row r="337" ht="19.5" customHeight="1">
      <c r="A337" s="12"/>
      <c r="C337" s="12"/>
      <c r="D337" s="13"/>
      <c r="F337" s="14"/>
      <c r="G337" s="14"/>
      <c r="H337" s="14"/>
      <c r="I337" s="14"/>
      <c r="J337" s="14"/>
      <c r="K337" s="12"/>
    </row>
    <row r="338" ht="19.5" customHeight="1">
      <c r="A338" s="12"/>
      <c r="C338" s="12"/>
      <c r="D338" s="13"/>
      <c r="F338" s="14"/>
      <c r="G338" s="14"/>
      <c r="H338" s="14"/>
      <c r="I338" s="14"/>
      <c r="J338" s="14"/>
      <c r="K338" s="12"/>
    </row>
    <row r="339" ht="19.5" customHeight="1">
      <c r="A339" s="12"/>
      <c r="C339" s="12"/>
      <c r="D339" s="13"/>
      <c r="F339" s="14"/>
      <c r="G339" s="14"/>
      <c r="H339" s="14"/>
      <c r="I339" s="14"/>
      <c r="J339" s="14"/>
      <c r="K339" s="12"/>
    </row>
    <row r="340" ht="19.5" customHeight="1">
      <c r="A340" s="12"/>
      <c r="C340" s="12"/>
      <c r="D340" s="13"/>
      <c r="F340" s="14"/>
      <c r="G340" s="14"/>
      <c r="H340" s="14"/>
      <c r="I340" s="14"/>
      <c r="J340" s="14"/>
      <c r="K340" s="12"/>
    </row>
    <row r="341" ht="19.5" customHeight="1">
      <c r="A341" s="12"/>
      <c r="C341" s="12"/>
      <c r="D341" s="13"/>
      <c r="F341" s="14"/>
      <c r="G341" s="14"/>
      <c r="H341" s="14"/>
      <c r="I341" s="14"/>
      <c r="J341" s="14"/>
      <c r="K341" s="12"/>
    </row>
    <row r="342" ht="19.5" customHeight="1">
      <c r="A342" s="12"/>
      <c r="C342" s="12"/>
      <c r="D342" s="13"/>
      <c r="F342" s="14"/>
      <c r="G342" s="14"/>
      <c r="H342" s="14"/>
      <c r="I342" s="14"/>
      <c r="J342" s="14"/>
      <c r="K342" s="12"/>
    </row>
    <row r="343" ht="19.5" customHeight="1">
      <c r="A343" s="12"/>
      <c r="C343" s="12"/>
      <c r="D343" s="13"/>
      <c r="F343" s="14"/>
      <c r="G343" s="14"/>
      <c r="H343" s="14"/>
      <c r="I343" s="14"/>
      <c r="J343" s="14"/>
      <c r="K343" s="12"/>
    </row>
    <row r="344" ht="19.5" customHeight="1">
      <c r="A344" s="12"/>
      <c r="C344" s="12"/>
      <c r="D344" s="13"/>
      <c r="F344" s="14"/>
      <c r="G344" s="14"/>
      <c r="H344" s="14"/>
      <c r="I344" s="14"/>
      <c r="J344" s="14"/>
      <c r="K344" s="12"/>
    </row>
    <row r="345" ht="19.5" customHeight="1">
      <c r="A345" s="12"/>
      <c r="C345" s="12"/>
      <c r="D345" s="13"/>
      <c r="F345" s="14"/>
      <c r="G345" s="14"/>
      <c r="H345" s="14"/>
      <c r="I345" s="14"/>
      <c r="J345" s="14"/>
      <c r="K345" s="12"/>
    </row>
    <row r="346" ht="19.5" customHeight="1">
      <c r="A346" s="12"/>
      <c r="C346" s="12"/>
      <c r="D346" s="13"/>
      <c r="F346" s="14"/>
      <c r="G346" s="14"/>
      <c r="H346" s="14"/>
      <c r="I346" s="14"/>
      <c r="J346" s="14"/>
      <c r="K346" s="12"/>
    </row>
    <row r="347" ht="19.5" customHeight="1">
      <c r="A347" s="12"/>
      <c r="C347" s="12"/>
      <c r="D347" s="13"/>
      <c r="F347" s="14"/>
      <c r="G347" s="14"/>
      <c r="H347" s="14"/>
      <c r="I347" s="14"/>
      <c r="J347" s="14"/>
      <c r="K347" s="12"/>
    </row>
    <row r="348" ht="19.5" customHeight="1">
      <c r="A348" s="12"/>
      <c r="C348" s="12"/>
      <c r="D348" s="13"/>
      <c r="F348" s="14"/>
      <c r="G348" s="14"/>
      <c r="H348" s="14"/>
      <c r="I348" s="14"/>
      <c r="J348" s="14"/>
      <c r="K348" s="12"/>
    </row>
    <row r="349" ht="19.5" customHeight="1">
      <c r="A349" s="12"/>
      <c r="C349" s="12"/>
      <c r="D349" s="13"/>
      <c r="F349" s="14"/>
      <c r="G349" s="14"/>
      <c r="H349" s="14"/>
      <c r="I349" s="14"/>
      <c r="J349" s="14"/>
      <c r="K349" s="12"/>
    </row>
    <row r="350" ht="19.5" customHeight="1">
      <c r="A350" s="12"/>
      <c r="C350" s="12"/>
      <c r="D350" s="13"/>
      <c r="F350" s="14"/>
      <c r="G350" s="14"/>
      <c r="H350" s="14"/>
      <c r="I350" s="14"/>
      <c r="J350" s="14"/>
      <c r="K350" s="12"/>
    </row>
    <row r="351" ht="19.5" customHeight="1">
      <c r="A351" s="12"/>
      <c r="C351" s="12"/>
      <c r="D351" s="13"/>
      <c r="F351" s="14"/>
      <c r="G351" s="14"/>
      <c r="H351" s="14"/>
      <c r="I351" s="14"/>
      <c r="J351" s="14"/>
      <c r="K351" s="12"/>
    </row>
    <row r="352" ht="19.5" customHeight="1">
      <c r="A352" s="12"/>
      <c r="C352" s="12"/>
      <c r="D352" s="13"/>
      <c r="F352" s="14"/>
      <c r="G352" s="14"/>
      <c r="H352" s="14"/>
      <c r="I352" s="14"/>
      <c r="J352" s="14"/>
      <c r="K352" s="12"/>
    </row>
    <row r="353" ht="19.5" customHeight="1">
      <c r="A353" s="12"/>
      <c r="C353" s="12"/>
      <c r="D353" s="13"/>
      <c r="F353" s="14"/>
      <c r="G353" s="14"/>
      <c r="H353" s="14"/>
      <c r="I353" s="14"/>
      <c r="J353" s="14"/>
      <c r="K353" s="12"/>
    </row>
    <row r="354" ht="19.5" customHeight="1">
      <c r="A354" s="12"/>
      <c r="C354" s="12"/>
      <c r="D354" s="13"/>
      <c r="F354" s="14"/>
      <c r="G354" s="14"/>
      <c r="H354" s="14"/>
      <c r="I354" s="14"/>
      <c r="J354" s="14"/>
      <c r="K354" s="12"/>
    </row>
    <row r="355" ht="19.5" customHeight="1">
      <c r="A355" s="12"/>
      <c r="C355" s="12"/>
      <c r="D355" s="13"/>
      <c r="F355" s="14"/>
      <c r="G355" s="14"/>
      <c r="H355" s="14"/>
      <c r="I355" s="14"/>
      <c r="J355" s="14"/>
      <c r="K355" s="12"/>
    </row>
    <row r="356" ht="19.5" customHeight="1">
      <c r="A356" s="12"/>
      <c r="C356" s="12"/>
      <c r="D356" s="13"/>
      <c r="F356" s="14"/>
      <c r="G356" s="14"/>
      <c r="H356" s="14"/>
      <c r="I356" s="14"/>
      <c r="J356" s="14"/>
      <c r="K356" s="12"/>
    </row>
    <row r="357" ht="19.5" customHeight="1">
      <c r="A357" s="12"/>
      <c r="C357" s="12"/>
      <c r="D357" s="13"/>
      <c r="F357" s="14"/>
      <c r="G357" s="14"/>
      <c r="H357" s="14"/>
      <c r="I357" s="14"/>
      <c r="J357" s="14"/>
      <c r="K357" s="12"/>
    </row>
    <row r="358" ht="19.5" customHeight="1">
      <c r="A358" s="12"/>
      <c r="C358" s="12"/>
      <c r="D358" s="13"/>
      <c r="F358" s="14"/>
      <c r="G358" s="14"/>
      <c r="H358" s="14"/>
      <c r="I358" s="14"/>
      <c r="J358" s="14"/>
      <c r="K358" s="12"/>
    </row>
    <row r="359" ht="19.5" customHeight="1">
      <c r="A359" s="12"/>
      <c r="C359" s="12"/>
      <c r="D359" s="13"/>
      <c r="F359" s="14"/>
      <c r="G359" s="14"/>
      <c r="H359" s="14"/>
      <c r="I359" s="14"/>
      <c r="J359" s="14"/>
      <c r="K359" s="12"/>
    </row>
    <row r="360" ht="19.5" customHeight="1">
      <c r="A360" s="12"/>
      <c r="C360" s="12"/>
      <c r="D360" s="13"/>
      <c r="F360" s="14"/>
      <c r="G360" s="14"/>
      <c r="H360" s="14"/>
      <c r="I360" s="14"/>
      <c r="J360" s="14"/>
      <c r="K360" s="12"/>
    </row>
    <row r="361" ht="19.5" customHeight="1">
      <c r="A361" s="12"/>
      <c r="C361" s="12"/>
      <c r="D361" s="13"/>
      <c r="F361" s="14"/>
      <c r="G361" s="14"/>
      <c r="H361" s="14"/>
      <c r="I361" s="14"/>
      <c r="J361" s="14"/>
      <c r="K361" s="12"/>
    </row>
    <row r="362" ht="19.5" customHeight="1">
      <c r="A362" s="12"/>
      <c r="C362" s="12"/>
      <c r="D362" s="13"/>
      <c r="F362" s="14"/>
      <c r="G362" s="14"/>
      <c r="H362" s="14"/>
      <c r="I362" s="14"/>
      <c r="J362" s="14"/>
      <c r="K362" s="12"/>
    </row>
    <row r="363" ht="19.5" customHeight="1">
      <c r="A363" s="12"/>
      <c r="C363" s="12"/>
      <c r="D363" s="13"/>
      <c r="F363" s="14"/>
      <c r="G363" s="14"/>
      <c r="H363" s="14"/>
      <c r="I363" s="14"/>
      <c r="J363" s="14"/>
      <c r="K363" s="12"/>
    </row>
    <row r="364" ht="19.5" customHeight="1">
      <c r="A364" s="12"/>
      <c r="C364" s="12"/>
      <c r="D364" s="13"/>
      <c r="F364" s="14"/>
      <c r="G364" s="14"/>
      <c r="H364" s="14"/>
      <c r="I364" s="14"/>
      <c r="J364" s="14"/>
      <c r="K364" s="12"/>
    </row>
    <row r="365" ht="19.5" customHeight="1">
      <c r="A365" s="12"/>
      <c r="C365" s="12"/>
      <c r="D365" s="13"/>
      <c r="F365" s="14"/>
      <c r="G365" s="14"/>
      <c r="H365" s="14"/>
      <c r="I365" s="14"/>
      <c r="J365" s="14"/>
      <c r="K365" s="12"/>
    </row>
    <row r="366" ht="19.5" customHeight="1">
      <c r="A366" s="12"/>
      <c r="C366" s="12"/>
      <c r="D366" s="13"/>
      <c r="F366" s="14"/>
      <c r="G366" s="14"/>
      <c r="H366" s="14"/>
      <c r="I366" s="14"/>
      <c r="J366" s="14"/>
      <c r="K366" s="12"/>
    </row>
    <row r="367" ht="19.5" customHeight="1">
      <c r="A367" s="12"/>
      <c r="C367" s="12"/>
      <c r="D367" s="13"/>
      <c r="F367" s="14"/>
      <c r="G367" s="14"/>
      <c r="H367" s="14"/>
      <c r="I367" s="14"/>
      <c r="J367" s="14"/>
      <c r="K367" s="12"/>
    </row>
    <row r="368" ht="19.5" customHeight="1">
      <c r="A368" s="12"/>
      <c r="C368" s="12"/>
      <c r="D368" s="13"/>
      <c r="F368" s="14"/>
      <c r="G368" s="14"/>
      <c r="H368" s="14"/>
      <c r="I368" s="14"/>
      <c r="J368" s="14"/>
      <c r="K368" s="12"/>
    </row>
    <row r="369" ht="19.5" customHeight="1">
      <c r="A369" s="12"/>
      <c r="C369" s="12"/>
      <c r="D369" s="13"/>
      <c r="F369" s="14"/>
      <c r="G369" s="14"/>
      <c r="H369" s="14"/>
      <c r="I369" s="14"/>
      <c r="J369" s="14"/>
      <c r="K369" s="12"/>
    </row>
    <row r="370" ht="19.5" customHeight="1">
      <c r="A370" s="12"/>
      <c r="C370" s="12"/>
      <c r="D370" s="13"/>
      <c r="F370" s="14"/>
      <c r="G370" s="14"/>
      <c r="H370" s="14"/>
      <c r="I370" s="14"/>
      <c r="J370" s="14"/>
      <c r="K370" s="12"/>
    </row>
    <row r="371" ht="19.5" customHeight="1">
      <c r="A371" s="12"/>
      <c r="C371" s="12"/>
      <c r="D371" s="13"/>
      <c r="F371" s="14"/>
      <c r="G371" s="14"/>
      <c r="H371" s="14"/>
      <c r="I371" s="14"/>
      <c r="J371" s="14"/>
      <c r="K371" s="12"/>
    </row>
    <row r="372" ht="19.5" customHeight="1">
      <c r="A372" s="12"/>
      <c r="C372" s="12"/>
      <c r="D372" s="13"/>
      <c r="F372" s="14"/>
      <c r="G372" s="14"/>
      <c r="H372" s="14"/>
      <c r="I372" s="14"/>
      <c r="J372" s="14"/>
      <c r="K372" s="12"/>
    </row>
    <row r="373" ht="19.5" customHeight="1">
      <c r="A373" s="12"/>
      <c r="C373" s="12"/>
      <c r="D373" s="13"/>
      <c r="F373" s="14"/>
      <c r="G373" s="14"/>
      <c r="H373" s="14"/>
      <c r="I373" s="14"/>
      <c r="J373" s="14"/>
      <c r="K373" s="12"/>
    </row>
    <row r="374" ht="19.5" customHeight="1">
      <c r="A374" s="12"/>
      <c r="C374" s="12"/>
      <c r="D374" s="13"/>
      <c r="F374" s="14"/>
      <c r="G374" s="14"/>
      <c r="H374" s="14"/>
      <c r="I374" s="14"/>
      <c r="J374" s="14"/>
      <c r="K374" s="12"/>
    </row>
    <row r="375" ht="19.5" customHeight="1">
      <c r="A375" s="12"/>
      <c r="C375" s="12"/>
      <c r="D375" s="13"/>
      <c r="F375" s="14"/>
      <c r="G375" s="14"/>
      <c r="H375" s="14"/>
      <c r="I375" s="14"/>
      <c r="J375" s="14"/>
      <c r="K375" s="12"/>
    </row>
    <row r="376" ht="19.5" customHeight="1">
      <c r="A376" s="12"/>
      <c r="C376" s="12"/>
      <c r="D376" s="13"/>
      <c r="F376" s="14"/>
      <c r="G376" s="14"/>
      <c r="H376" s="14"/>
      <c r="I376" s="14"/>
      <c r="J376" s="14"/>
      <c r="K376" s="12"/>
    </row>
    <row r="377" ht="19.5" customHeight="1">
      <c r="A377" s="12"/>
      <c r="C377" s="12"/>
      <c r="D377" s="13"/>
      <c r="F377" s="14"/>
      <c r="G377" s="14"/>
      <c r="H377" s="14"/>
      <c r="I377" s="14"/>
      <c r="J377" s="14"/>
      <c r="K377" s="12"/>
    </row>
    <row r="378" ht="19.5" customHeight="1">
      <c r="A378" s="12"/>
      <c r="C378" s="12"/>
      <c r="D378" s="13"/>
      <c r="F378" s="14"/>
      <c r="G378" s="14"/>
      <c r="H378" s="14"/>
      <c r="I378" s="14"/>
      <c r="J378" s="14"/>
      <c r="K378" s="12"/>
    </row>
    <row r="379" ht="19.5" customHeight="1">
      <c r="A379" s="12"/>
      <c r="C379" s="12"/>
      <c r="D379" s="13"/>
      <c r="F379" s="14"/>
      <c r="G379" s="14"/>
      <c r="H379" s="14"/>
      <c r="I379" s="14"/>
      <c r="J379" s="14"/>
      <c r="K379" s="12"/>
    </row>
    <row r="380" ht="19.5" customHeight="1">
      <c r="A380" s="12"/>
      <c r="C380" s="12"/>
      <c r="D380" s="13"/>
      <c r="F380" s="14"/>
      <c r="G380" s="14"/>
      <c r="H380" s="14"/>
      <c r="I380" s="14"/>
      <c r="J380" s="14"/>
      <c r="K380" s="12"/>
    </row>
    <row r="381" ht="19.5" customHeight="1">
      <c r="A381" s="12"/>
      <c r="C381" s="12"/>
      <c r="D381" s="13"/>
      <c r="F381" s="14"/>
      <c r="G381" s="14"/>
      <c r="H381" s="14"/>
      <c r="I381" s="14"/>
      <c r="J381" s="14"/>
      <c r="K381" s="12"/>
    </row>
    <row r="382" ht="19.5" customHeight="1">
      <c r="A382" s="12"/>
      <c r="C382" s="12"/>
      <c r="D382" s="13"/>
      <c r="F382" s="14"/>
      <c r="G382" s="14"/>
      <c r="H382" s="14"/>
      <c r="I382" s="14"/>
      <c r="J382" s="14"/>
      <c r="K382" s="12"/>
    </row>
    <row r="383" ht="19.5" customHeight="1">
      <c r="A383" s="12"/>
      <c r="C383" s="12"/>
      <c r="D383" s="13"/>
      <c r="F383" s="14"/>
      <c r="G383" s="14"/>
      <c r="H383" s="14"/>
      <c r="I383" s="14"/>
      <c r="J383" s="14"/>
      <c r="K383" s="12"/>
    </row>
    <row r="384" ht="19.5" customHeight="1">
      <c r="A384" s="12"/>
      <c r="C384" s="12"/>
      <c r="D384" s="13"/>
      <c r="F384" s="14"/>
      <c r="G384" s="14"/>
      <c r="H384" s="14"/>
      <c r="I384" s="14"/>
      <c r="J384" s="14"/>
      <c r="K384" s="12"/>
    </row>
    <row r="385" ht="19.5" customHeight="1">
      <c r="A385" s="12"/>
      <c r="C385" s="12"/>
      <c r="D385" s="13"/>
      <c r="F385" s="14"/>
      <c r="G385" s="14"/>
      <c r="H385" s="14"/>
      <c r="I385" s="14"/>
      <c r="J385" s="14"/>
      <c r="K385" s="12"/>
    </row>
    <row r="386" ht="19.5" customHeight="1">
      <c r="A386" s="12"/>
      <c r="C386" s="12"/>
      <c r="D386" s="13"/>
      <c r="F386" s="14"/>
      <c r="G386" s="14"/>
      <c r="H386" s="14"/>
      <c r="I386" s="14"/>
      <c r="J386" s="14"/>
      <c r="K386" s="12"/>
    </row>
    <row r="387" ht="19.5" customHeight="1">
      <c r="A387" s="12"/>
      <c r="C387" s="12"/>
      <c r="D387" s="13"/>
      <c r="F387" s="14"/>
      <c r="G387" s="14"/>
      <c r="H387" s="14"/>
      <c r="I387" s="14"/>
      <c r="J387" s="14"/>
      <c r="K387" s="12"/>
    </row>
    <row r="388" ht="19.5" customHeight="1">
      <c r="A388" s="12"/>
      <c r="C388" s="12"/>
      <c r="D388" s="13"/>
      <c r="F388" s="14"/>
      <c r="G388" s="14"/>
      <c r="H388" s="14"/>
      <c r="I388" s="14"/>
      <c r="J388" s="14"/>
      <c r="K388" s="12"/>
    </row>
    <row r="389" ht="19.5" customHeight="1">
      <c r="A389" s="12"/>
      <c r="C389" s="12"/>
      <c r="D389" s="13"/>
      <c r="F389" s="14"/>
      <c r="G389" s="14"/>
      <c r="H389" s="14"/>
      <c r="I389" s="14"/>
      <c r="J389" s="14"/>
      <c r="K389" s="12"/>
    </row>
    <row r="390" ht="19.5" customHeight="1">
      <c r="A390" s="12"/>
      <c r="C390" s="12"/>
      <c r="D390" s="13"/>
      <c r="F390" s="14"/>
      <c r="G390" s="14"/>
      <c r="H390" s="14"/>
      <c r="I390" s="14"/>
      <c r="J390" s="14"/>
      <c r="K390" s="12"/>
    </row>
    <row r="391" ht="19.5" customHeight="1">
      <c r="A391" s="12"/>
      <c r="C391" s="12"/>
      <c r="D391" s="13"/>
      <c r="F391" s="14"/>
      <c r="G391" s="14"/>
      <c r="H391" s="14"/>
      <c r="I391" s="14"/>
      <c r="J391" s="14"/>
      <c r="K391" s="12"/>
    </row>
    <row r="392" ht="19.5" customHeight="1">
      <c r="A392" s="12"/>
      <c r="C392" s="12"/>
      <c r="D392" s="13"/>
      <c r="F392" s="14"/>
      <c r="G392" s="14"/>
      <c r="H392" s="14"/>
      <c r="I392" s="14"/>
      <c r="J392" s="14"/>
      <c r="K392" s="12"/>
    </row>
    <row r="393" ht="19.5" customHeight="1">
      <c r="A393" s="12"/>
      <c r="C393" s="12"/>
      <c r="D393" s="13"/>
      <c r="F393" s="14"/>
      <c r="G393" s="14"/>
      <c r="H393" s="14"/>
      <c r="I393" s="14"/>
      <c r="J393" s="14"/>
      <c r="K393" s="12"/>
    </row>
    <row r="394" ht="19.5" customHeight="1">
      <c r="A394" s="12"/>
      <c r="C394" s="12"/>
      <c r="D394" s="13"/>
      <c r="F394" s="14"/>
      <c r="G394" s="14"/>
      <c r="H394" s="14"/>
      <c r="I394" s="14"/>
      <c r="J394" s="14"/>
      <c r="K394" s="12"/>
    </row>
    <row r="395" ht="19.5" customHeight="1">
      <c r="A395" s="12"/>
      <c r="C395" s="12"/>
      <c r="D395" s="13"/>
      <c r="F395" s="14"/>
      <c r="G395" s="14"/>
      <c r="H395" s="14"/>
      <c r="I395" s="14"/>
      <c r="J395" s="14"/>
      <c r="K395" s="12"/>
    </row>
    <row r="396" ht="19.5" customHeight="1">
      <c r="A396" s="12"/>
      <c r="C396" s="12"/>
      <c r="D396" s="13"/>
      <c r="F396" s="14"/>
      <c r="G396" s="14"/>
      <c r="H396" s="14"/>
      <c r="I396" s="14"/>
      <c r="J396" s="14"/>
      <c r="K396" s="12"/>
    </row>
    <row r="397" ht="19.5" customHeight="1">
      <c r="A397" s="12"/>
      <c r="C397" s="12"/>
      <c r="D397" s="13"/>
      <c r="F397" s="14"/>
      <c r="G397" s="14"/>
      <c r="H397" s="14"/>
      <c r="I397" s="14"/>
      <c r="J397" s="14"/>
      <c r="K397" s="12"/>
    </row>
    <row r="398" ht="19.5" customHeight="1">
      <c r="A398" s="12"/>
      <c r="C398" s="12"/>
      <c r="D398" s="13"/>
      <c r="F398" s="14"/>
      <c r="G398" s="14"/>
      <c r="H398" s="14"/>
      <c r="I398" s="14"/>
      <c r="J398" s="14"/>
      <c r="K398" s="12"/>
    </row>
    <row r="399" ht="19.5" customHeight="1">
      <c r="A399" s="12"/>
      <c r="C399" s="12"/>
      <c r="D399" s="13"/>
      <c r="F399" s="14"/>
      <c r="G399" s="14"/>
      <c r="H399" s="14"/>
      <c r="I399" s="14"/>
      <c r="J399" s="14"/>
      <c r="K399" s="12"/>
    </row>
    <row r="400" ht="19.5" customHeight="1">
      <c r="A400" s="12"/>
      <c r="C400" s="12"/>
      <c r="D400" s="13"/>
      <c r="F400" s="14"/>
      <c r="G400" s="14"/>
      <c r="H400" s="14"/>
      <c r="I400" s="14"/>
      <c r="J400" s="14"/>
      <c r="K400" s="12"/>
    </row>
    <row r="401" ht="19.5" customHeight="1">
      <c r="A401" s="12"/>
      <c r="C401" s="12"/>
      <c r="D401" s="13"/>
      <c r="F401" s="14"/>
      <c r="G401" s="14"/>
      <c r="H401" s="14"/>
      <c r="I401" s="14"/>
      <c r="J401" s="14"/>
      <c r="K401" s="12"/>
    </row>
    <row r="402" ht="19.5" customHeight="1">
      <c r="A402" s="12"/>
      <c r="C402" s="12"/>
      <c r="D402" s="13"/>
      <c r="F402" s="14"/>
      <c r="G402" s="14"/>
      <c r="H402" s="14"/>
      <c r="I402" s="14"/>
      <c r="J402" s="14"/>
      <c r="K402" s="12"/>
    </row>
    <row r="403" ht="19.5" customHeight="1">
      <c r="A403" s="12"/>
      <c r="C403" s="12"/>
      <c r="D403" s="13"/>
      <c r="F403" s="14"/>
      <c r="G403" s="14"/>
      <c r="H403" s="14"/>
      <c r="I403" s="14"/>
      <c r="J403" s="14"/>
      <c r="K403" s="12"/>
    </row>
    <row r="404" ht="19.5" customHeight="1">
      <c r="A404" s="12"/>
      <c r="C404" s="12"/>
      <c r="D404" s="13"/>
      <c r="F404" s="14"/>
      <c r="G404" s="14"/>
      <c r="H404" s="14"/>
      <c r="I404" s="14"/>
      <c r="J404" s="14"/>
      <c r="K404" s="12"/>
    </row>
    <row r="405" ht="19.5" customHeight="1">
      <c r="A405" s="12"/>
      <c r="C405" s="12"/>
      <c r="D405" s="13"/>
      <c r="F405" s="14"/>
      <c r="G405" s="14"/>
      <c r="H405" s="14"/>
      <c r="I405" s="14"/>
      <c r="J405" s="14"/>
      <c r="K405" s="12"/>
    </row>
    <row r="406" ht="19.5" customHeight="1">
      <c r="A406" s="12"/>
      <c r="C406" s="12"/>
      <c r="D406" s="13"/>
      <c r="F406" s="14"/>
      <c r="G406" s="14"/>
      <c r="H406" s="14"/>
      <c r="I406" s="14"/>
      <c r="J406" s="14"/>
      <c r="K406" s="12"/>
    </row>
    <row r="407" ht="19.5" customHeight="1">
      <c r="A407" s="12"/>
      <c r="C407" s="12"/>
      <c r="D407" s="13"/>
      <c r="F407" s="14"/>
      <c r="G407" s="14"/>
      <c r="H407" s="14"/>
      <c r="I407" s="14"/>
      <c r="J407" s="14"/>
      <c r="K407" s="12"/>
    </row>
    <row r="408" ht="19.5" customHeight="1">
      <c r="A408" s="12"/>
      <c r="C408" s="12"/>
      <c r="D408" s="13"/>
      <c r="F408" s="14"/>
      <c r="G408" s="14"/>
      <c r="H408" s="14"/>
      <c r="I408" s="14"/>
      <c r="J408" s="14"/>
      <c r="K408" s="12"/>
    </row>
    <row r="409" ht="19.5" customHeight="1">
      <c r="A409" s="12"/>
      <c r="C409" s="12"/>
      <c r="D409" s="13"/>
      <c r="F409" s="14"/>
      <c r="G409" s="14"/>
      <c r="H409" s="14"/>
      <c r="I409" s="14"/>
      <c r="J409" s="14"/>
      <c r="K409" s="12"/>
    </row>
    <row r="410" ht="19.5" customHeight="1">
      <c r="A410" s="12"/>
      <c r="C410" s="12"/>
      <c r="D410" s="13"/>
      <c r="F410" s="14"/>
      <c r="G410" s="14"/>
      <c r="H410" s="14"/>
      <c r="I410" s="14"/>
      <c r="J410" s="14"/>
      <c r="K410" s="12"/>
    </row>
    <row r="411" ht="19.5" customHeight="1">
      <c r="A411" s="12"/>
      <c r="C411" s="12"/>
      <c r="D411" s="13"/>
      <c r="F411" s="14"/>
      <c r="G411" s="14"/>
      <c r="H411" s="14"/>
      <c r="I411" s="14"/>
      <c r="J411" s="14"/>
      <c r="K411" s="12"/>
    </row>
    <row r="412" ht="19.5" customHeight="1">
      <c r="A412" s="12"/>
      <c r="C412" s="12"/>
      <c r="D412" s="13"/>
      <c r="F412" s="14"/>
      <c r="G412" s="14"/>
      <c r="H412" s="14"/>
      <c r="I412" s="14"/>
      <c r="J412" s="14"/>
      <c r="K412" s="12"/>
    </row>
    <row r="413" ht="19.5" customHeight="1">
      <c r="A413" s="12"/>
      <c r="C413" s="12"/>
      <c r="D413" s="13"/>
      <c r="F413" s="14"/>
      <c r="G413" s="14"/>
      <c r="H413" s="14"/>
      <c r="I413" s="14"/>
      <c r="J413" s="14"/>
      <c r="K413" s="12"/>
    </row>
    <row r="414" ht="19.5" customHeight="1">
      <c r="A414" s="12"/>
      <c r="C414" s="12"/>
      <c r="D414" s="13"/>
      <c r="F414" s="14"/>
      <c r="G414" s="14"/>
      <c r="H414" s="14"/>
      <c r="I414" s="14"/>
      <c r="J414" s="14"/>
      <c r="K414" s="12"/>
    </row>
    <row r="415" ht="19.5" customHeight="1">
      <c r="A415" s="12"/>
      <c r="C415" s="12"/>
      <c r="D415" s="13"/>
      <c r="F415" s="14"/>
      <c r="G415" s="14"/>
      <c r="H415" s="14"/>
      <c r="I415" s="14"/>
      <c r="J415" s="14"/>
      <c r="K415" s="12"/>
    </row>
    <row r="416" ht="19.5" customHeight="1">
      <c r="A416" s="12"/>
      <c r="C416" s="12"/>
      <c r="D416" s="13"/>
      <c r="F416" s="14"/>
      <c r="G416" s="14"/>
      <c r="H416" s="14"/>
      <c r="I416" s="14"/>
      <c r="J416" s="14"/>
      <c r="K416" s="12"/>
    </row>
    <row r="417" ht="19.5" customHeight="1">
      <c r="A417" s="12"/>
      <c r="C417" s="12"/>
      <c r="D417" s="13"/>
      <c r="F417" s="14"/>
      <c r="G417" s="14"/>
      <c r="H417" s="14"/>
      <c r="I417" s="14"/>
      <c r="J417" s="14"/>
      <c r="K417" s="12"/>
    </row>
    <row r="418" ht="19.5" customHeight="1">
      <c r="A418" s="12"/>
      <c r="C418" s="12"/>
      <c r="D418" s="13"/>
      <c r="F418" s="14"/>
      <c r="G418" s="14"/>
      <c r="H418" s="14"/>
      <c r="I418" s="14"/>
      <c r="J418" s="14"/>
      <c r="K418" s="12"/>
    </row>
    <row r="419" ht="19.5" customHeight="1">
      <c r="A419" s="12"/>
      <c r="C419" s="12"/>
      <c r="D419" s="13"/>
      <c r="F419" s="14"/>
      <c r="G419" s="14"/>
      <c r="H419" s="14"/>
      <c r="I419" s="14"/>
      <c r="J419" s="14"/>
      <c r="K419" s="12"/>
    </row>
    <row r="420" ht="19.5" customHeight="1">
      <c r="A420" s="12"/>
      <c r="C420" s="12"/>
      <c r="D420" s="13"/>
      <c r="F420" s="14"/>
      <c r="G420" s="14"/>
      <c r="H420" s="14"/>
      <c r="I420" s="14"/>
      <c r="J420" s="14"/>
      <c r="K420" s="12"/>
    </row>
    <row r="421" ht="19.5" customHeight="1">
      <c r="A421" s="12"/>
      <c r="C421" s="12"/>
      <c r="D421" s="13"/>
      <c r="F421" s="14"/>
      <c r="G421" s="14"/>
      <c r="H421" s="14"/>
      <c r="I421" s="14"/>
      <c r="J421" s="14"/>
      <c r="K421" s="12"/>
    </row>
    <row r="422" ht="19.5" customHeight="1">
      <c r="A422" s="12"/>
      <c r="C422" s="12"/>
      <c r="D422" s="13"/>
      <c r="F422" s="14"/>
      <c r="G422" s="14"/>
      <c r="H422" s="14"/>
      <c r="I422" s="14"/>
      <c r="J422" s="14"/>
      <c r="K422" s="12"/>
    </row>
    <row r="423" ht="19.5" customHeight="1">
      <c r="A423" s="12"/>
      <c r="C423" s="12"/>
      <c r="D423" s="13"/>
      <c r="F423" s="14"/>
      <c r="G423" s="14"/>
      <c r="H423" s="14"/>
      <c r="I423" s="14"/>
      <c r="J423" s="14"/>
      <c r="K423" s="12"/>
    </row>
    <row r="424" ht="19.5" customHeight="1">
      <c r="A424" s="12"/>
      <c r="C424" s="12"/>
      <c r="D424" s="13"/>
      <c r="F424" s="14"/>
      <c r="G424" s="14"/>
      <c r="H424" s="14"/>
      <c r="I424" s="14"/>
      <c r="J424" s="14"/>
      <c r="K424" s="12"/>
    </row>
    <row r="425" ht="19.5" customHeight="1">
      <c r="A425" s="12"/>
      <c r="C425" s="12"/>
      <c r="D425" s="13"/>
      <c r="F425" s="14"/>
      <c r="G425" s="14"/>
      <c r="H425" s="14"/>
      <c r="I425" s="14"/>
      <c r="J425" s="14"/>
      <c r="K425" s="12"/>
    </row>
    <row r="426" ht="19.5" customHeight="1">
      <c r="A426" s="12"/>
      <c r="C426" s="12"/>
      <c r="D426" s="13"/>
      <c r="F426" s="14"/>
      <c r="G426" s="14"/>
      <c r="H426" s="14"/>
      <c r="I426" s="14"/>
      <c r="J426" s="14"/>
      <c r="K426" s="12"/>
    </row>
    <row r="427" ht="19.5" customHeight="1">
      <c r="A427" s="12"/>
      <c r="C427" s="12"/>
      <c r="D427" s="13"/>
      <c r="F427" s="14"/>
      <c r="G427" s="14"/>
      <c r="H427" s="14"/>
      <c r="I427" s="14"/>
      <c r="J427" s="14"/>
      <c r="K427" s="12"/>
    </row>
    <row r="428" ht="19.5" customHeight="1">
      <c r="A428" s="12"/>
      <c r="C428" s="12"/>
      <c r="D428" s="13"/>
      <c r="F428" s="14"/>
      <c r="G428" s="14"/>
      <c r="H428" s="14"/>
      <c r="I428" s="14"/>
      <c r="J428" s="14"/>
      <c r="K428" s="12"/>
    </row>
    <row r="429" ht="19.5" customHeight="1">
      <c r="A429" s="12"/>
      <c r="C429" s="12"/>
      <c r="D429" s="13"/>
      <c r="F429" s="14"/>
      <c r="G429" s="14"/>
      <c r="H429" s="14"/>
      <c r="I429" s="14"/>
      <c r="J429" s="14"/>
      <c r="K429" s="12"/>
    </row>
    <row r="430" ht="19.5" customHeight="1">
      <c r="A430" s="12"/>
      <c r="C430" s="12"/>
      <c r="D430" s="13"/>
      <c r="F430" s="14"/>
      <c r="G430" s="14"/>
      <c r="H430" s="14"/>
      <c r="I430" s="14"/>
      <c r="J430" s="14"/>
      <c r="K430" s="12"/>
    </row>
    <row r="431" ht="19.5" customHeight="1">
      <c r="A431" s="12"/>
      <c r="C431" s="12"/>
      <c r="D431" s="13"/>
      <c r="F431" s="14"/>
      <c r="G431" s="14"/>
      <c r="H431" s="14"/>
      <c r="I431" s="14"/>
      <c r="J431" s="14"/>
      <c r="K431" s="12"/>
    </row>
    <row r="432" ht="19.5" customHeight="1">
      <c r="A432" s="12"/>
      <c r="C432" s="12"/>
      <c r="D432" s="13"/>
      <c r="F432" s="14"/>
      <c r="G432" s="14"/>
      <c r="H432" s="14"/>
      <c r="I432" s="14"/>
      <c r="J432" s="14"/>
      <c r="K432" s="12"/>
    </row>
    <row r="433" ht="19.5" customHeight="1">
      <c r="A433" s="12"/>
      <c r="C433" s="12"/>
      <c r="D433" s="13"/>
      <c r="F433" s="14"/>
      <c r="G433" s="14"/>
      <c r="H433" s="14"/>
      <c r="I433" s="14"/>
      <c r="J433" s="14"/>
      <c r="K433" s="12"/>
    </row>
    <row r="434" ht="19.5" customHeight="1">
      <c r="A434" s="12"/>
      <c r="C434" s="12"/>
      <c r="D434" s="13"/>
      <c r="F434" s="14"/>
      <c r="G434" s="14"/>
      <c r="H434" s="14"/>
      <c r="I434" s="14"/>
      <c r="J434" s="14"/>
      <c r="K434" s="12"/>
    </row>
    <row r="435" ht="19.5" customHeight="1">
      <c r="A435" s="12"/>
      <c r="C435" s="12"/>
      <c r="D435" s="13"/>
      <c r="F435" s="14"/>
      <c r="G435" s="14"/>
      <c r="H435" s="14"/>
      <c r="I435" s="14"/>
      <c r="J435" s="14"/>
      <c r="K435" s="12"/>
    </row>
    <row r="436" ht="19.5" customHeight="1">
      <c r="A436" s="12"/>
      <c r="C436" s="12"/>
      <c r="D436" s="13"/>
      <c r="F436" s="14"/>
      <c r="G436" s="14"/>
      <c r="H436" s="14"/>
      <c r="I436" s="14"/>
      <c r="J436" s="14"/>
      <c r="K436" s="12"/>
    </row>
    <row r="437" ht="19.5" customHeight="1">
      <c r="A437" s="12"/>
      <c r="C437" s="12"/>
      <c r="D437" s="13"/>
      <c r="F437" s="14"/>
      <c r="G437" s="14"/>
      <c r="H437" s="14"/>
      <c r="I437" s="14"/>
      <c r="J437" s="14"/>
      <c r="K437" s="12"/>
    </row>
    <row r="438" ht="19.5" customHeight="1">
      <c r="A438" s="12"/>
      <c r="C438" s="12"/>
      <c r="D438" s="13"/>
      <c r="F438" s="14"/>
      <c r="G438" s="14"/>
      <c r="H438" s="14"/>
      <c r="I438" s="14"/>
      <c r="J438" s="14"/>
      <c r="K438" s="12"/>
    </row>
    <row r="439" ht="19.5" customHeight="1">
      <c r="A439" s="12"/>
      <c r="C439" s="12"/>
      <c r="D439" s="13"/>
      <c r="F439" s="14"/>
      <c r="G439" s="14"/>
      <c r="H439" s="14"/>
      <c r="I439" s="14"/>
      <c r="J439" s="14"/>
      <c r="K439" s="12"/>
    </row>
    <row r="440" ht="19.5" customHeight="1">
      <c r="A440" s="12"/>
      <c r="C440" s="12"/>
      <c r="D440" s="13"/>
      <c r="F440" s="14"/>
      <c r="G440" s="14"/>
      <c r="H440" s="14"/>
      <c r="I440" s="14"/>
      <c r="J440" s="14"/>
      <c r="K440" s="12"/>
    </row>
    <row r="441" ht="19.5" customHeight="1">
      <c r="A441" s="12"/>
      <c r="C441" s="12"/>
      <c r="D441" s="13"/>
      <c r="F441" s="14"/>
      <c r="G441" s="14"/>
      <c r="H441" s="14"/>
      <c r="I441" s="14"/>
      <c r="J441" s="14"/>
      <c r="K441" s="12"/>
    </row>
    <row r="442" ht="19.5" customHeight="1">
      <c r="A442" s="12"/>
      <c r="C442" s="12"/>
      <c r="D442" s="13"/>
      <c r="F442" s="14"/>
      <c r="G442" s="14"/>
      <c r="H442" s="14"/>
      <c r="I442" s="14"/>
      <c r="J442" s="14"/>
      <c r="K442" s="12"/>
    </row>
    <row r="443" ht="19.5" customHeight="1">
      <c r="A443" s="12"/>
      <c r="C443" s="12"/>
      <c r="D443" s="13"/>
      <c r="F443" s="14"/>
      <c r="G443" s="14"/>
      <c r="H443" s="14"/>
      <c r="I443" s="14"/>
      <c r="J443" s="14"/>
      <c r="K443" s="12"/>
    </row>
    <row r="444" ht="19.5" customHeight="1">
      <c r="A444" s="12"/>
      <c r="C444" s="12"/>
      <c r="D444" s="13"/>
      <c r="F444" s="14"/>
      <c r="G444" s="14"/>
      <c r="H444" s="14"/>
      <c r="I444" s="14"/>
      <c r="J444" s="14"/>
      <c r="K444" s="12"/>
    </row>
    <row r="445" ht="19.5" customHeight="1">
      <c r="A445" s="12"/>
      <c r="C445" s="12"/>
      <c r="D445" s="13"/>
      <c r="F445" s="14"/>
      <c r="G445" s="14"/>
      <c r="H445" s="14"/>
      <c r="I445" s="14"/>
      <c r="J445" s="14"/>
      <c r="K445" s="12"/>
    </row>
    <row r="446" ht="19.5" customHeight="1">
      <c r="A446" s="12"/>
      <c r="C446" s="12"/>
      <c r="D446" s="13"/>
      <c r="F446" s="14"/>
      <c r="G446" s="14"/>
      <c r="H446" s="14"/>
      <c r="I446" s="14"/>
      <c r="J446" s="14"/>
      <c r="K446" s="12"/>
    </row>
    <row r="447" ht="19.5" customHeight="1">
      <c r="A447" s="12"/>
      <c r="C447" s="12"/>
      <c r="D447" s="13"/>
      <c r="F447" s="14"/>
      <c r="G447" s="14"/>
      <c r="H447" s="14"/>
      <c r="I447" s="14"/>
      <c r="J447" s="14"/>
      <c r="K447" s="12"/>
    </row>
    <row r="448" ht="19.5" customHeight="1">
      <c r="A448" s="12"/>
      <c r="C448" s="12"/>
      <c r="D448" s="13"/>
      <c r="F448" s="14"/>
      <c r="G448" s="14"/>
      <c r="H448" s="14"/>
      <c r="I448" s="14"/>
      <c r="J448" s="14"/>
      <c r="K448" s="12"/>
    </row>
    <row r="449" ht="19.5" customHeight="1">
      <c r="A449" s="12"/>
      <c r="C449" s="12"/>
      <c r="D449" s="13"/>
      <c r="F449" s="14"/>
      <c r="G449" s="14"/>
      <c r="H449" s="14"/>
      <c r="I449" s="14"/>
      <c r="J449" s="14"/>
      <c r="K449" s="12"/>
    </row>
    <row r="450" ht="19.5" customHeight="1">
      <c r="A450" s="12"/>
      <c r="C450" s="12"/>
      <c r="D450" s="13"/>
      <c r="F450" s="14"/>
      <c r="G450" s="14"/>
      <c r="H450" s="14"/>
      <c r="I450" s="14"/>
      <c r="J450" s="14"/>
      <c r="K450" s="12"/>
    </row>
    <row r="451" ht="19.5" customHeight="1">
      <c r="A451" s="12"/>
      <c r="C451" s="12"/>
      <c r="D451" s="13"/>
      <c r="F451" s="14"/>
      <c r="G451" s="14"/>
      <c r="H451" s="14"/>
      <c r="I451" s="14"/>
      <c r="J451" s="14"/>
      <c r="K451" s="12"/>
    </row>
    <row r="452" ht="19.5" customHeight="1">
      <c r="A452" s="12"/>
      <c r="C452" s="12"/>
      <c r="D452" s="13"/>
      <c r="F452" s="14"/>
      <c r="G452" s="14"/>
      <c r="H452" s="14"/>
      <c r="I452" s="14"/>
      <c r="J452" s="14"/>
      <c r="K452" s="12"/>
    </row>
    <row r="453" ht="19.5" customHeight="1">
      <c r="A453" s="12"/>
      <c r="C453" s="12"/>
      <c r="D453" s="13"/>
      <c r="F453" s="14"/>
      <c r="G453" s="14"/>
      <c r="H453" s="14"/>
      <c r="I453" s="14"/>
      <c r="J453" s="14"/>
      <c r="K453" s="12"/>
    </row>
    <row r="454" ht="19.5" customHeight="1">
      <c r="A454" s="12"/>
      <c r="C454" s="12"/>
      <c r="D454" s="13"/>
      <c r="F454" s="14"/>
      <c r="G454" s="14"/>
      <c r="H454" s="14"/>
      <c r="I454" s="14"/>
      <c r="J454" s="14"/>
      <c r="K454" s="12"/>
    </row>
    <row r="455" ht="19.5" customHeight="1">
      <c r="A455" s="12"/>
      <c r="C455" s="12"/>
      <c r="D455" s="13"/>
      <c r="F455" s="14"/>
      <c r="G455" s="14"/>
      <c r="H455" s="14"/>
      <c r="I455" s="14"/>
      <c r="J455" s="14"/>
      <c r="K455" s="12"/>
    </row>
    <row r="456" ht="19.5" customHeight="1">
      <c r="A456" s="12"/>
      <c r="C456" s="12"/>
      <c r="D456" s="13"/>
      <c r="F456" s="14"/>
      <c r="G456" s="14"/>
      <c r="H456" s="14"/>
      <c r="I456" s="14"/>
      <c r="J456" s="14"/>
      <c r="K456" s="12"/>
    </row>
    <row r="457" ht="19.5" customHeight="1">
      <c r="A457" s="12"/>
      <c r="C457" s="12"/>
      <c r="D457" s="13"/>
      <c r="F457" s="14"/>
      <c r="G457" s="14"/>
      <c r="H457" s="14"/>
      <c r="I457" s="14"/>
      <c r="J457" s="14"/>
      <c r="K457" s="12"/>
    </row>
    <row r="458" ht="19.5" customHeight="1">
      <c r="A458" s="12"/>
      <c r="C458" s="12"/>
      <c r="D458" s="13"/>
      <c r="F458" s="14"/>
      <c r="G458" s="14"/>
      <c r="H458" s="14"/>
      <c r="I458" s="14"/>
      <c r="J458" s="14"/>
      <c r="K458" s="12"/>
    </row>
    <row r="459" ht="19.5" customHeight="1">
      <c r="A459" s="12"/>
      <c r="C459" s="12"/>
      <c r="D459" s="13"/>
      <c r="F459" s="14"/>
      <c r="G459" s="14"/>
      <c r="H459" s="14"/>
      <c r="I459" s="14"/>
      <c r="J459" s="14"/>
      <c r="K459" s="12"/>
    </row>
    <row r="460" ht="19.5" customHeight="1">
      <c r="A460" s="12"/>
      <c r="C460" s="12"/>
      <c r="D460" s="13"/>
      <c r="F460" s="14"/>
      <c r="G460" s="14"/>
      <c r="H460" s="14"/>
      <c r="I460" s="14"/>
      <c r="J460" s="14"/>
      <c r="K460" s="12"/>
    </row>
    <row r="461" ht="19.5" customHeight="1">
      <c r="A461" s="12"/>
      <c r="C461" s="12"/>
      <c r="D461" s="13"/>
      <c r="F461" s="14"/>
      <c r="G461" s="14"/>
      <c r="H461" s="14"/>
      <c r="I461" s="14"/>
      <c r="J461" s="14"/>
      <c r="K461" s="12"/>
    </row>
    <row r="462" ht="19.5" customHeight="1">
      <c r="A462" s="12"/>
      <c r="C462" s="12"/>
      <c r="D462" s="13"/>
      <c r="F462" s="14"/>
      <c r="G462" s="14"/>
      <c r="H462" s="14"/>
      <c r="I462" s="14"/>
      <c r="J462" s="14"/>
      <c r="K462" s="12"/>
    </row>
    <row r="463" ht="19.5" customHeight="1">
      <c r="A463" s="12"/>
      <c r="C463" s="12"/>
      <c r="D463" s="13"/>
      <c r="F463" s="14"/>
      <c r="G463" s="14"/>
      <c r="H463" s="14"/>
      <c r="I463" s="14"/>
      <c r="J463" s="14"/>
      <c r="K463" s="12"/>
    </row>
    <row r="464" ht="19.5" customHeight="1">
      <c r="A464" s="12"/>
      <c r="C464" s="12"/>
      <c r="D464" s="13"/>
      <c r="F464" s="14"/>
      <c r="G464" s="14"/>
      <c r="H464" s="14"/>
      <c r="I464" s="14"/>
      <c r="J464" s="14"/>
      <c r="K464" s="12"/>
    </row>
    <row r="465" ht="19.5" customHeight="1">
      <c r="A465" s="12"/>
      <c r="C465" s="12"/>
      <c r="D465" s="13"/>
      <c r="F465" s="14"/>
      <c r="G465" s="14"/>
      <c r="H465" s="14"/>
      <c r="I465" s="14"/>
      <c r="J465" s="14"/>
      <c r="K465" s="12"/>
    </row>
    <row r="466" ht="19.5" customHeight="1">
      <c r="A466" s="12"/>
      <c r="C466" s="12"/>
      <c r="D466" s="13"/>
      <c r="F466" s="14"/>
      <c r="G466" s="14"/>
      <c r="H466" s="14"/>
      <c r="I466" s="14"/>
      <c r="J466" s="14"/>
      <c r="K466" s="12"/>
    </row>
    <row r="467" ht="19.5" customHeight="1">
      <c r="A467" s="12"/>
      <c r="C467" s="12"/>
      <c r="D467" s="13"/>
      <c r="F467" s="14"/>
      <c r="G467" s="14"/>
      <c r="H467" s="14"/>
      <c r="I467" s="14"/>
      <c r="J467" s="14"/>
      <c r="K467" s="12"/>
    </row>
    <row r="468" ht="19.5" customHeight="1">
      <c r="A468" s="12"/>
      <c r="C468" s="12"/>
      <c r="D468" s="13"/>
      <c r="F468" s="14"/>
      <c r="G468" s="14"/>
      <c r="H468" s="14"/>
      <c r="I468" s="14"/>
      <c r="J468" s="14"/>
      <c r="K468" s="12"/>
    </row>
    <row r="469" ht="19.5" customHeight="1">
      <c r="A469" s="12"/>
      <c r="C469" s="12"/>
      <c r="D469" s="13"/>
      <c r="F469" s="14"/>
      <c r="G469" s="14"/>
      <c r="H469" s="14"/>
      <c r="I469" s="14"/>
      <c r="J469" s="14"/>
      <c r="K469" s="12"/>
    </row>
    <row r="470" ht="19.5" customHeight="1">
      <c r="A470" s="12"/>
      <c r="C470" s="12"/>
      <c r="D470" s="13"/>
      <c r="F470" s="14"/>
      <c r="G470" s="14"/>
      <c r="H470" s="14"/>
      <c r="I470" s="14"/>
      <c r="J470" s="14"/>
      <c r="K470" s="12"/>
    </row>
    <row r="471" ht="19.5" customHeight="1">
      <c r="A471" s="12"/>
      <c r="C471" s="12"/>
      <c r="D471" s="13"/>
      <c r="F471" s="14"/>
      <c r="G471" s="14"/>
      <c r="H471" s="14"/>
      <c r="I471" s="14"/>
      <c r="J471" s="14"/>
      <c r="K471" s="12"/>
    </row>
    <row r="472" ht="19.5" customHeight="1">
      <c r="A472" s="12"/>
      <c r="C472" s="12"/>
      <c r="D472" s="13"/>
      <c r="F472" s="14"/>
      <c r="G472" s="14"/>
      <c r="H472" s="14"/>
      <c r="I472" s="14"/>
      <c r="J472" s="14"/>
      <c r="K472" s="12"/>
    </row>
    <row r="473" ht="19.5" customHeight="1">
      <c r="A473" s="12"/>
      <c r="C473" s="12"/>
      <c r="D473" s="13"/>
      <c r="F473" s="14"/>
      <c r="G473" s="14"/>
      <c r="H473" s="14"/>
      <c r="I473" s="14"/>
      <c r="J473" s="14"/>
      <c r="K473" s="12"/>
    </row>
    <row r="474" ht="19.5" customHeight="1">
      <c r="A474" s="12"/>
      <c r="C474" s="12"/>
      <c r="D474" s="13"/>
      <c r="F474" s="14"/>
      <c r="G474" s="14"/>
      <c r="H474" s="14"/>
      <c r="I474" s="14"/>
      <c r="J474" s="14"/>
      <c r="K474" s="12"/>
    </row>
    <row r="475" ht="19.5" customHeight="1">
      <c r="A475" s="12"/>
      <c r="C475" s="12"/>
      <c r="D475" s="13"/>
      <c r="F475" s="14"/>
      <c r="G475" s="14"/>
      <c r="H475" s="14"/>
      <c r="I475" s="14"/>
      <c r="J475" s="14"/>
      <c r="K475" s="12"/>
    </row>
    <row r="476" ht="19.5" customHeight="1">
      <c r="A476" s="12"/>
      <c r="C476" s="12"/>
      <c r="D476" s="13"/>
      <c r="F476" s="14"/>
      <c r="G476" s="14"/>
      <c r="H476" s="14"/>
      <c r="I476" s="14"/>
      <c r="J476" s="14"/>
      <c r="K476" s="12"/>
    </row>
    <row r="477" ht="19.5" customHeight="1">
      <c r="A477" s="12"/>
      <c r="C477" s="12"/>
      <c r="D477" s="13"/>
      <c r="F477" s="14"/>
      <c r="G477" s="14"/>
      <c r="H477" s="14"/>
      <c r="I477" s="14"/>
      <c r="J477" s="14"/>
      <c r="K477" s="12"/>
    </row>
    <row r="478" ht="19.5" customHeight="1">
      <c r="A478" s="12"/>
      <c r="C478" s="12"/>
      <c r="D478" s="13"/>
      <c r="F478" s="14"/>
      <c r="G478" s="14"/>
      <c r="H478" s="14"/>
      <c r="I478" s="14"/>
      <c r="J478" s="14"/>
      <c r="K478" s="12"/>
    </row>
    <row r="479" ht="19.5" customHeight="1">
      <c r="A479" s="12"/>
      <c r="C479" s="12"/>
      <c r="D479" s="13"/>
      <c r="F479" s="14"/>
      <c r="G479" s="14"/>
      <c r="H479" s="14"/>
      <c r="I479" s="14"/>
      <c r="J479" s="14"/>
      <c r="K479" s="12"/>
    </row>
    <row r="480" ht="19.5" customHeight="1">
      <c r="A480" s="12"/>
      <c r="C480" s="12"/>
      <c r="D480" s="13"/>
      <c r="F480" s="14"/>
      <c r="G480" s="14"/>
      <c r="H480" s="14"/>
      <c r="I480" s="14"/>
      <c r="J480" s="14"/>
      <c r="K480" s="12"/>
    </row>
    <row r="481" ht="19.5" customHeight="1">
      <c r="A481" s="12"/>
      <c r="C481" s="12"/>
      <c r="D481" s="13"/>
      <c r="F481" s="14"/>
      <c r="G481" s="14"/>
      <c r="H481" s="14"/>
      <c r="I481" s="14"/>
      <c r="J481" s="14"/>
      <c r="K481" s="12"/>
    </row>
    <row r="482" ht="19.5" customHeight="1">
      <c r="A482" s="12"/>
      <c r="C482" s="12"/>
      <c r="D482" s="13"/>
      <c r="F482" s="14"/>
      <c r="G482" s="14"/>
      <c r="H482" s="14"/>
      <c r="I482" s="14"/>
      <c r="J482" s="14"/>
      <c r="K482" s="12"/>
    </row>
    <row r="483" ht="19.5" customHeight="1">
      <c r="A483" s="12"/>
      <c r="C483" s="12"/>
      <c r="D483" s="13"/>
      <c r="F483" s="14"/>
      <c r="G483" s="14"/>
      <c r="H483" s="14"/>
      <c r="I483" s="14"/>
      <c r="J483" s="14"/>
      <c r="K483" s="12"/>
    </row>
    <row r="484" ht="19.5" customHeight="1">
      <c r="A484" s="12"/>
      <c r="C484" s="12"/>
      <c r="D484" s="13"/>
      <c r="F484" s="14"/>
      <c r="G484" s="14"/>
      <c r="H484" s="14"/>
      <c r="I484" s="14"/>
      <c r="J484" s="14"/>
      <c r="K484" s="12"/>
    </row>
    <row r="485" ht="19.5" customHeight="1">
      <c r="A485" s="12"/>
      <c r="C485" s="12"/>
      <c r="D485" s="13"/>
      <c r="F485" s="14"/>
      <c r="G485" s="14"/>
      <c r="H485" s="14"/>
      <c r="I485" s="14"/>
      <c r="J485" s="14"/>
      <c r="K485" s="12"/>
    </row>
    <row r="486" ht="19.5" customHeight="1">
      <c r="A486" s="12"/>
      <c r="C486" s="12"/>
      <c r="D486" s="13"/>
      <c r="F486" s="14"/>
      <c r="G486" s="14"/>
      <c r="H486" s="14"/>
      <c r="I486" s="14"/>
      <c r="J486" s="14"/>
      <c r="K486" s="12"/>
    </row>
    <row r="487" ht="19.5" customHeight="1">
      <c r="A487" s="12"/>
      <c r="C487" s="12"/>
      <c r="D487" s="13"/>
      <c r="F487" s="14"/>
      <c r="G487" s="14"/>
      <c r="H487" s="14"/>
      <c r="I487" s="14"/>
      <c r="J487" s="14"/>
      <c r="K487" s="12"/>
    </row>
    <row r="488" ht="19.5" customHeight="1">
      <c r="A488" s="12"/>
      <c r="C488" s="12"/>
      <c r="D488" s="13"/>
      <c r="F488" s="14"/>
      <c r="G488" s="14"/>
      <c r="H488" s="14"/>
      <c r="I488" s="14"/>
      <c r="J488" s="14"/>
      <c r="K488" s="12"/>
    </row>
    <row r="489" ht="19.5" customHeight="1">
      <c r="A489" s="12"/>
      <c r="C489" s="12"/>
      <c r="D489" s="13"/>
      <c r="F489" s="14"/>
      <c r="G489" s="14"/>
      <c r="H489" s="14"/>
      <c r="I489" s="14"/>
      <c r="J489" s="14"/>
      <c r="K489" s="12"/>
    </row>
    <row r="490" ht="19.5" customHeight="1">
      <c r="A490" s="12"/>
      <c r="C490" s="12"/>
      <c r="D490" s="13"/>
      <c r="F490" s="14"/>
      <c r="G490" s="14"/>
      <c r="H490" s="14"/>
      <c r="I490" s="14"/>
      <c r="J490" s="14"/>
      <c r="K490" s="12"/>
    </row>
    <row r="491" ht="19.5" customHeight="1">
      <c r="A491" s="12"/>
      <c r="C491" s="12"/>
      <c r="D491" s="13"/>
      <c r="F491" s="14"/>
      <c r="G491" s="14"/>
      <c r="H491" s="14"/>
      <c r="I491" s="14"/>
      <c r="J491" s="14"/>
      <c r="K491" s="12"/>
    </row>
    <row r="492" ht="19.5" customHeight="1">
      <c r="A492" s="12"/>
      <c r="C492" s="12"/>
      <c r="D492" s="13"/>
      <c r="F492" s="14"/>
      <c r="G492" s="14"/>
      <c r="H492" s="14"/>
      <c r="I492" s="14"/>
      <c r="J492" s="14"/>
      <c r="K492" s="12"/>
    </row>
    <row r="493" ht="19.5" customHeight="1">
      <c r="A493" s="12"/>
      <c r="C493" s="12"/>
      <c r="D493" s="13"/>
      <c r="F493" s="14"/>
      <c r="G493" s="14"/>
      <c r="H493" s="14"/>
      <c r="I493" s="14"/>
      <c r="J493" s="14"/>
      <c r="K493" s="12"/>
    </row>
    <row r="494" ht="19.5" customHeight="1">
      <c r="A494" s="12"/>
      <c r="C494" s="12"/>
      <c r="D494" s="13"/>
      <c r="F494" s="14"/>
      <c r="G494" s="14"/>
      <c r="H494" s="14"/>
      <c r="I494" s="14"/>
      <c r="J494" s="14"/>
      <c r="K494" s="12"/>
    </row>
    <row r="495" ht="19.5" customHeight="1">
      <c r="A495" s="12"/>
      <c r="C495" s="12"/>
      <c r="D495" s="13"/>
      <c r="F495" s="14"/>
      <c r="G495" s="14"/>
      <c r="H495" s="14"/>
      <c r="I495" s="14"/>
      <c r="J495" s="14"/>
      <c r="K495" s="12"/>
    </row>
    <row r="496" ht="19.5" customHeight="1">
      <c r="A496" s="12"/>
      <c r="C496" s="12"/>
      <c r="D496" s="13"/>
      <c r="F496" s="14"/>
      <c r="G496" s="14"/>
      <c r="H496" s="14"/>
      <c r="I496" s="14"/>
      <c r="J496" s="14"/>
      <c r="K496" s="12"/>
    </row>
    <row r="497" ht="19.5" customHeight="1">
      <c r="A497" s="12"/>
      <c r="C497" s="12"/>
      <c r="D497" s="13"/>
      <c r="F497" s="14"/>
      <c r="G497" s="14"/>
      <c r="H497" s="14"/>
      <c r="I497" s="14"/>
      <c r="J497" s="14"/>
      <c r="K497" s="12"/>
    </row>
    <row r="498" ht="19.5" customHeight="1">
      <c r="A498" s="12"/>
      <c r="C498" s="12"/>
      <c r="D498" s="13"/>
      <c r="F498" s="14"/>
      <c r="G498" s="14"/>
      <c r="H498" s="14"/>
      <c r="I498" s="14"/>
      <c r="J498" s="14"/>
      <c r="K498" s="12"/>
    </row>
    <row r="499" ht="19.5" customHeight="1">
      <c r="A499" s="12"/>
      <c r="C499" s="12"/>
      <c r="D499" s="13"/>
      <c r="F499" s="14"/>
      <c r="G499" s="14"/>
      <c r="H499" s="14"/>
      <c r="I499" s="14"/>
      <c r="J499" s="14"/>
      <c r="K499" s="12"/>
    </row>
    <row r="500" ht="19.5" customHeight="1">
      <c r="A500" s="12"/>
      <c r="C500" s="12"/>
      <c r="D500" s="13"/>
      <c r="F500" s="14"/>
      <c r="G500" s="14"/>
      <c r="H500" s="14"/>
      <c r="I500" s="14"/>
      <c r="J500" s="14"/>
      <c r="K500" s="12"/>
    </row>
    <row r="501" ht="19.5" customHeight="1">
      <c r="A501" s="12"/>
      <c r="C501" s="12"/>
      <c r="D501" s="13"/>
      <c r="F501" s="14"/>
      <c r="G501" s="14"/>
      <c r="H501" s="14"/>
      <c r="I501" s="14"/>
      <c r="J501" s="14"/>
      <c r="K501" s="12"/>
    </row>
    <row r="502" ht="19.5" customHeight="1">
      <c r="A502" s="12"/>
      <c r="C502" s="12"/>
      <c r="D502" s="13"/>
      <c r="F502" s="14"/>
      <c r="G502" s="14"/>
      <c r="H502" s="14"/>
      <c r="I502" s="14"/>
      <c r="J502" s="14"/>
      <c r="K502" s="12"/>
    </row>
    <row r="503" ht="19.5" customHeight="1">
      <c r="A503" s="12"/>
      <c r="C503" s="12"/>
      <c r="D503" s="13"/>
      <c r="F503" s="14"/>
      <c r="G503" s="14"/>
      <c r="H503" s="14"/>
      <c r="I503" s="14"/>
      <c r="J503" s="14"/>
      <c r="K503" s="12"/>
    </row>
    <row r="504" ht="19.5" customHeight="1">
      <c r="A504" s="12"/>
      <c r="C504" s="12"/>
      <c r="D504" s="13"/>
      <c r="F504" s="14"/>
      <c r="G504" s="14"/>
      <c r="H504" s="14"/>
      <c r="I504" s="14"/>
      <c r="J504" s="14"/>
      <c r="K504" s="12"/>
    </row>
    <row r="505" ht="19.5" customHeight="1">
      <c r="A505" s="12"/>
      <c r="C505" s="12"/>
      <c r="D505" s="13"/>
      <c r="F505" s="14"/>
      <c r="G505" s="14"/>
      <c r="H505" s="14"/>
      <c r="I505" s="14"/>
      <c r="J505" s="14"/>
      <c r="K505" s="12"/>
    </row>
    <row r="506" ht="19.5" customHeight="1">
      <c r="A506" s="12"/>
      <c r="C506" s="12"/>
      <c r="D506" s="13"/>
      <c r="F506" s="14"/>
      <c r="G506" s="14"/>
      <c r="H506" s="14"/>
      <c r="I506" s="14"/>
      <c r="J506" s="14"/>
      <c r="K506" s="12"/>
    </row>
    <row r="507" ht="19.5" customHeight="1">
      <c r="A507" s="12"/>
      <c r="C507" s="12"/>
      <c r="D507" s="13"/>
      <c r="F507" s="14"/>
      <c r="G507" s="14"/>
      <c r="H507" s="14"/>
      <c r="I507" s="14"/>
      <c r="J507" s="14"/>
      <c r="K507" s="12"/>
    </row>
    <row r="508" ht="19.5" customHeight="1">
      <c r="A508" s="12"/>
      <c r="C508" s="12"/>
      <c r="D508" s="13"/>
      <c r="F508" s="14"/>
      <c r="G508" s="14"/>
      <c r="H508" s="14"/>
      <c r="I508" s="14"/>
      <c r="J508" s="14"/>
      <c r="K508" s="12"/>
    </row>
    <row r="509" ht="19.5" customHeight="1">
      <c r="A509" s="12"/>
      <c r="C509" s="12"/>
      <c r="D509" s="13"/>
      <c r="F509" s="14"/>
      <c r="G509" s="14"/>
      <c r="H509" s="14"/>
      <c r="I509" s="14"/>
      <c r="J509" s="14"/>
      <c r="K509" s="12"/>
    </row>
    <row r="510" ht="19.5" customHeight="1">
      <c r="A510" s="12"/>
      <c r="C510" s="12"/>
      <c r="D510" s="13"/>
      <c r="F510" s="14"/>
      <c r="G510" s="14"/>
      <c r="H510" s="14"/>
      <c r="I510" s="14"/>
      <c r="J510" s="14"/>
      <c r="K510" s="12"/>
    </row>
    <row r="511" ht="19.5" customHeight="1">
      <c r="A511" s="12"/>
      <c r="C511" s="12"/>
      <c r="D511" s="13"/>
      <c r="F511" s="14"/>
      <c r="G511" s="14"/>
      <c r="H511" s="14"/>
      <c r="I511" s="14"/>
      <c r="J511" s="14"/>
      <c r="K511" s="12"/>
    </row>
    <row r="512" ht="19.5" customHeight="1">
      <c r="A512" s="12"/>
      <c r="C512" s="12"/>
      <c r="D512" s="13"/>
      <c r="F512" s="14"/>
      <c r="G512" s="14"/>
      <c r="H512" s="14"/>
      <c r="I512" s="14"/>
      <c r="J512" s="14"/>
      <c r="K512" s="12"/>
    </row>
    <row r="513" ht="19.5" customHeight="1">
      <c r="A513" s="12"/>
      <c r="C513" s="12"/>
      <c r="D513" s="13"/>
      <c r="F513" s="14"/>
      <c r="G513" s="14"/>
      <c r="H513" s="14"/>
      <c r="I513" s="14"/>
      <c r="J513" s="14"/>
      <c r="K513" s="12"/>
    </row>
    <row r="514" ht="19.5" customHeight="1">
      <c r="A514" s="12"/>
      <c r="C514" s="12"/>
      <c r="D514" s="13"/>
      <c r="F514" s="14"/>
      <c r="G514" s="14"/>
      <c r="H514" s="14"/>
      <c r="I514" s="14"/>
      <c r="J514" s="14"/>
      <c r="K514" s="12"/>
    </row>
    <row r="515" ht="19.5" customHeight="1">
      <c r="A515" s="12"/>
      <c r="C515" s="12"/>
      <c r="D515" s="13"/>
      <c r="F515" s="14"/>
      <c r="G515" s="14"/>
      <c r="H515" s="14"/>
      <c r="I515" s="14"/>
      <c r="J515" s="14"/>
      <c r="K515" s="12"/>
    </row>
    <row r="516" ht="19.5" customHeight="1">
      <c r="A516" s="12"/>
      <c r="C516" s="12"/>
      <c r="D516" s="13"/>
      <c r="F516" s="14"/>
      <c r="G516" s="14"/>
      <c r="H516" s="14"/>
      <c r="I516" s="14"/>
      <c r="J516" s="14"/>
      <c r="K516" s="12"/>
    </row>
    <row r="517" ht="19.5" customHeight="1">
      <c r="A517" s="12"/>
      <c r="C517" s="12"/>
      <c r="D517" s="13"/>
      <c r="F517" s="14"/>
      <c r="G517" s="14"/>
      <c r="H517" s="14"/>
      <c r="I517" s="14"/>
      <c r="J517" s="14"/>
      <c r="K517" s="12"/>
    </row>
    <row r="518" ht="19.5" customHeight="1">
      <c r="A518" s="12"/>
      <c r="C518" s="12"/>
      <c r="D518" s="13"/>
      <c r="F518" s="14"/>
      <c r="G518" s="14"/>
      <c r="H518" s="14"/>
      <c r="I518" s="14"/>
      <c r="J518" s="14"/>
      <c r="K518" s="12"/>
    </row>
    <row r="519" ht="19.5" customHeight="1">
      <c r="A519" s="12"/>
      <c r="C519" s="12"/>
      <c r="D519" s="13"/>
      <c r="F519" s="14"/>
      <c r="G519" s="14"/>
      <c r="H519" s="14"/>
      <c r="I519" s="14"/>
      <c r="J519" s="14"/>
      <c r="K519" s="12"/>
    </row>
    <row r="520" ht="19.5" customHeight="1">
      <c r="A520" s="12"/>
      <c r="C520" s="12"/>
      <c r="D520" s="13"/>
      <c r="F520" s="14"/>
      <c r="G520" s="14"/>
      <c r="H520" s="14"/>
      <c r="I520" s="14"/>
      <c r="J520" s="14"/>
      <c r="K520" s="12"/>
    </row>
    <row r="521" ht="19.5" customHeight="1">
      <c r="A521" s="12"/>
      <c r="C521" s="12"/>
      <c r="D521" s="13"/>
      <c r="F521" s="14"/>
      <c r="G521" s="14"/>
      <c r="H521" s="14"/>
      <c r="I521" s="14"/>
      <c r="J521" s="14"/>
      <c r="K521" s="12"/>
    </row>
    <row r="522" ht="19.5" customHeight="1">
      <c r="A522" s="12"/>
      <c r="C522" s="12"/>
      <c r="D522" s="13"/>
      <c r="F522" s="14"/>
      <c r="G522" s="14"/>
      <c r="H522" s="14"/>
      <c r="I522" s="14"/>
      <c r="J522" s="14"/>
      <c r="K522" s="12"/>
    </row>
    <row r="523" ht="19.5" customHeight="1">
      <c r="A523" s="12"/>
      <c r="C523" s="12"/>
      <c r="D523" s="13"/>
      <c r="F523" s="14"/>
      <c r="G523" s="14"/>
      <c r="H523" s="14"/>
      <c r="I523" s="14"/>
      <c r="J523" s="14"/>
      <c r="K523" s="12"/>
    </row>
    <row r="524" ht="19.5" customHeight="1">
      <c r="A524" s="12"/>
      <c r="C524" s="12"/>
      <c r="D524" s="13"/>
      <c r="F524" s="14"/>
      <c r="G524" s="14"/>
      <c r="H524" s="14"/>
      <c r="I524" s="14"/>
      <c r="J524" s="14"/>
      <c r="K524" s="12"/>
    </row>
    <row r="525" ht="19.5" customHeight="1">
      <c r="A525" s="12"/>
      <c r="C525" s="12"/>
      <c r="D525" s="13"/>
      <c r="F525" s="14"/>
      <c r="G525" s="14"/>
      <c r="H525" s="14"/>
      <c r="I525" s="14"/>
      <c r="J525" s="14"/>
      <c r="K525" s="12"/>
    </row>
    <row r="526" ht="19.5" customHeight="1">
      <c r="A526" s="12"/>
      <c r="C526" s="12"/>
      <c r="D526" s="13"/>
      <c r="F526" s="14"/>
      <c r="G526" s="14"/>
      <c r="H526" s="14"/>
      <c r="I526" s="14"/>
      <c r="J526" s="14"/>
      <c r="K526" s="12"/>
    </row>
    <row r="527" ht="19.5" customHeight="1">
      <c r="A527" s="12"/>
      <c r="C527" s="12"/>
      <c r="D527" s="13"/>
      <c r="F527" s="14"/>
      <c r="G527" s="14"/>
      <c r="H527" s="14"/>
      <c r="I527" s="14"/>
      <c r="J527" s="14"/>
      <c r="K527" s="12"/>
    </row>
    <row r="528" ht="19.5" customHeight="1">
      <c r="A528" s="12"/>
      <c r="C528" s="12"/>
      <c r="D528" s="13"/>
      <c r="F528" s="14"/>
      <c r="G528" s="14"/>
      <c r="H528" s="14"/>
      <c r="I528" s="14"/>
      <c r="J528" s="14"/>
      <c r="K528" s="12"/>
    </row>
    <row r="529" ht="19.5" customHeight="1">
      <c r="A529" s="12"/>
      <c r="C529" s="12"/>
      <c r="D529" s="13"/>
      <c r="F529" s="14"/>
      <c r="G529" s="14"/>
      <c r="H529" s="14"/>
      <c r="I529" s="14"/>
      <c r="J529" s="14"/>
      <c r="K529" s="12"/>
    </row>
    <row r="530" ht="19.5" customHeight="1">
      <c r="A530" s="12"/>
      <c r="C530" s="12"/>
      <c r="D530" s="13"/>
      <c r="F530" s="14"/>
      <c r="G530" s="14"/>
      <c r="H530" s="14"/>
      <c r="I530" s="14"/>
      <c r="J530" s="14"/>
      <c r="K530" s="12"/>
    </row>
    <row r="531" ht="19.5" customHeight="1">
      <c r="A531" s="12"/>
      <c r="C531" s="12"/>
      <c r="D531" s="13"/>
      <c r="F531" s="14"/>
      <c r="G531" s="14"/>
      <c r="H531" s="14"/>
      <c r="I531" s="14"/>
      <c r="J531" s="14"/>
      <c r="K531" s="12"/>
    </row>
    <row r="532" ht="19.5" customHeight="1">
      <c r="A532" s="12"/>
      <c r="C532" s="12"/>
      <c r="D532" s="13"/>
      <c r="F532" s="14"/>
      <c r="G532" s="14"/>
      <c r="H532" s="14"/>
      <c r="I532" s="14"/>
      <c r="J532" s="14"/>
      <c r="K532" s="12"/>
    </row>
    <row r="533" ht="19.5" customHeight="1">
      <c r="A533" s="12"/>
      <c r="C533" s="12"/>
      <c r="D533" s="13"/>
      <c r="F533" s="14"/>
      <c r="G533" s="14"/>
      <c r="H533" s="14"/>
      <c r="I533" s="14"/>
      <c r="J533" s="14"/>
      <c r="K533" s="12"/>
    </row>
    <row r="534" ht="19.5" customHeight="1">
      <c r="A534" s="12"/>
      <c r="C534" s="12"/>
      <c r="D534" s="13"/>
      <c r="F534" s="14"/>
      <c r="G534" s="14"/>
      <c r="H534" s="14"/>
      <c r="I534" s="14"/>
      <c r="J534" s="14"/>
      <c r="K534" s="12"/>
    </row>
    <row r="535" ht="19.5" customHeight="1">
      <c r="A535" s="12"/>
      <c r="C535" s="12"/>
      <c r="D535" s="13"/>
      <c r="F535" s="14"/>
      <c r="G535" s="14"/>
      <c r="H535" s="14"/>
      <c r="I535" s="14"/>
      <c r="J535" s="14"/>
      <c r="K535" s="12"/>
    </row>
    <row r="536" ht="19.5" customHeight="1">
      <c r="A536" s="12"/>
      <c r="C536" s="12"/>
      <c r="D536" s="13"/>
      <c r="F536" s="14"/>
      <c r="G536" s="14"/>
      <c r="H536" s="14"/>
      <c r="I536" s="14"/>
      <c r="J536" s="14"/>
      <c r="K536" s="12"/>
    </row>
    <row r="537" ht="19.5" customHeight="1">
      <c r="A537" s="12"/>
      <c r="C537" s="12"/>
      <c r="D537" s="13"/>
      <c r="F537" s="14"/>
      <c r="G537" s="14"/>
      <c r="H537" s="14"/>
      <c r="I537" s="14"/>
      <c r="J537" s="14"/>
      <c r="K537" s="12"/>
    </row>
    <row r="538" ht="19.5" customHeight="1">
      <c r="A538" s="12"/>
      <c r="C538" s="12"/>
      <c r="D538" s="13"/>
      <c r="F538" s="14"/>
      <c r="G538" s="14"/>
      <c r="H538" s="14"/>
      <c r="I538" s="14"/>
      <c r="J538" s="14"/>
      <c r="K538" s="12"/>
    </row>
    <row r="539" ht="19.5" customHeight="1">
      <c r="A539" s="12"/>
      <c r="C539" s="12"/>
      <c r="D539" s="13"/>
      <c r="F539" s="14"/>
      <c r="G539" s="14"/>
      <c r="H539" s="14"/>
      <c r="I539" s="14"/>
      <c r="J539" s="14"/>
      <c r="K539" s="12"/>
    </row>
    <row r="540" ht="19.5" customHeight="1">
      <c r="A540" s="12"/>
      <c r="C540" s="12"/>
      <c r="D540" s="13"/>
      <c r="F540" s="14"/>
      <c r="G540" s="14"/>
      <c r="H540" s="14"/>
      <c r="I540" s="14"/>
      <c r="J540" s="14"/>
      <c r="K540" s="12"/>
    </row>
    <row r="541" ht="19.5" customHeight="1">
      <c r="A541" s="12"/>
      <c r="C541" s="12"/>
      <c r="D541" s="13"/>
      <c r="F541" s="14"/>
      <c r="G541" s="14"/>
      <c r="H541" s="14"/>
      <c r="I541" s="14"/>
      <c r="J541" s="14"/>
      <c r="K541" s="12"/>
    </row>
    <row r="542" ht="19.5" customHeight="1">
      <c r="A542" s="12"/>
      <c r="C542" s="12"/>
      <c r="D542" s="13"/>
      <c r="F542" s="14"/>
      <c r="G542" s="14"/>
      <c r="H542" s="14"/>
      <c r="I542" s="14"/>
      <c r="J542" s="14"/>
      <c r="K542" s="12"/>
    </row>
    <row r="543" ht="19.5" customHeight="1">
      <c r="A543" s="12"/>
      <c r="C543" s="12"/>
      <c r="D543" s="13"/>
      <c r="F543" s="14"/>
      <c r="G543" s="14"/>
      <c r="H543" s="14"/>
      <c r="I543" s="14"/>
      <c r="J543" s="14"/>
      <c r="K543" s="12"/>
    </row>
    <row r="544" ht="19.5" customHeight="1">
      <c r="A544" s="12"/>
      <c r="C544" s="12"/>
      <c r="D544" s="13"/>
      <c r="F544" s="14"/>
      <c r="G544" s="14"/>
      <c r="H544" s="14"/>
      <c r="I544" s="14"/>
      <c r="J544" s="14"/>
      <c r="K544" s="12"/>
    </row>
    <row r="545" ht="19.5" customHeight="1">
      <c r="A545" s="12"/>
      <c r="C545" s="12"/>
      <c r="D545" s="13"/>
      <c r="F545" s="14"/>
      <c r="G545" s="14"/>
      <c r="H545" s="14"/>
      <c r="I545" s="14"/>
      <c r="J545" s="14"/>
      <c r="K545" s="12"/>
    </row>
    <row r="546" ht="19.5" customHeight="1">
      <c r="A546" s="12"/>
      <c r="C546" s="12"/>
      <c r="D546" s="13"/>
      <c r="F546" s="14"/>
      <c r="G546" s="14"/>
      <c r="H546" s="14"/>
      <c r="I546" s="14"/>
      <c r="J546" s="14"/>
      <c r="K546" s="12"/>
    </row>
    <row r="547" ht="19.5" customHeight="1">
      <c r="A547" s="12"/>
      <c r="C547" s="12"/>
      <c r="D547" s="13"/>
      <c r="F547" s="14"/>
      <c r="G547" s="14"/>
      <c r="H547" s="14"/>
      <c r="I547" s="14"/>
      <c r="J547" s="14"/>
      <c r="K547" s="12"/>
    </row>
    <row r="548" ht="19.5" customHeight="1">
      <c r="A548" s="12"/>
      <c r="C548" s="12"/>
      <c r="D548" s="13"/>
      <c r="F548" s="14"/>
      <c r="G548" s="14"/>
      <c r="H548" s="14"/>
      <c r="I548" s="14"/>
      <c r="J548" s="14"/>
      <c r="K548" s="12"/>
    </row>
    <row r="549" ht="19.5" customHeight="1">
      <c r="A549" s="12"/>
      <c r="C549" s="12"/>
      <c r="D549" s="13"/>
      <c r="F549" s="14"/>
      <c r="G549" s="14"/>
      <c r="H549" s="14"/>
      <c r="I549" s="14"/>
      <c r="J549" s="14"/>
      <c r="K549" s="12"/>
    </row>
    <row r="550" ht="19.5" customHeight="1">
      <c r="A550" s="12"/>
      <c r="C550" s="12"/>
      <c r="D550" s="13"/>
      <c r="F550" s="14"/>
      <c r="G550" s="14"/>
      <c r="H550" s="14"/>
      <c r="I550" s="14"/>
      <c r="J550" s="14"/>
      <c r="K550" s="12"/>
    </row>
    <row r="551" ht="19.5" customHeight="1">
      <c r="A551" s="12"/>
      <c r="C551" s="12"/>
      <c r="D551" s="13"/>
      <c r="F551" s="14"/>
      <c r="G551" s="14"/>
      <c r="H551" s="14"/>
      <c r="I551" s="14"/>
      <c r="J551" s="14"/>
      <c r="K551" s="12"/>
    </row>
    <row r="552" ht="19.5" customHeight="1">
      <c r="A552" s="12"/>
      <c r="C552" s="12"/>
      <c r="D552" s="13"/>
      <c r="F552" s="14"/>
      <c r="G552" s="14"/>
      <c r="H552" s="14"/>
      <c r="I552" s="14"/>
      <c r="J552" s="14"/>
      <c r="K552" s="12"/>
    </row>
    <row r="553" ht="19.5" customHeight="1">
      <c r="A553" s="12"/>
      <c r="C553" s="12"/>
      <c r="D553" s="13"/>
      <c r="F553" s="14"/>
      <c r="G553" s="14"/>
      <c r="H553" s="14"/>
      <c r="I553" s="14"/>
      <c r="J553" s="14"/>
      <c r="K553" s="12"/>
    </row>
    <row r="554" ht="19.5" customHeight="1">
      <c r="A554" s="12"/>
      <c r="C554" s="12"/>
      <c r="D554" s="13"/>
      <c r="F554" s="14"/>
      <c r="G554" s="14"/>
      <c r="H554" s="14"/>
      <c r="I554" s="14"/>
      <c r="J554" s="14"/>
      <c r="K554" s="12"/>
    </row>
    <row r="555" ht="19.5" customHeight="1">
      <c r="A555" s="12"/>
      <c r="C555" s="12"/>
      <c r="D555" s="13"/>
      <c r="F555" s="14"/>
      <c r="G555" s="14"/>
      <c r="H555" s="14"/>
      <c r="I555" s="14"/>
      <c r="J555" s="14"/>
      <c r="K555" s="12"/>
    </row>
    <row r="556" ht="19.5" customHeight="1">
      <c r="A556" s="12"/>
      <c r="C556" s="12"/>
      <c r="D556" s="13"/>
      <c r="F556" s="14"/>
      <c r="G556" s="14"/>
      <c r="H556" s="14"/>
      <c r="I556" s="14"/>
      <c r="J556" s="14"/>
      <c r="K556" s="12"/>
    </row>
    <row r="557" ht="19.5" customHeight="1">
      <c r="A557" s="12"/>
      <c r="C557" s="12"/>
      <c r="D557" s="13"/>
      <c r="F557" s="14"/>
      <c r="G557" s="14"/>
      <c r="H557" s="14"/>
      <c r="I557" s="14"/>
      <c r="J557" s="14"/>
      <c r="K557" s="12"/>
    </row>
    <row r="558" ht="19.5" customHeight="1">
      <c r="A558" s="12"/>
      <c r="C558" s="12"/>
      <c r="D558" s="13"/>
      <c r="F558" s="14"/>
      <c r="G558" s="14"/>
      <c r="H558" s="14"/>
      <c r="I558" s="14"/>
      <c r="J558" s="14"/>
      <c r="K558" s="12"/>
    </row>
    <row r="559" ht="19.5" customHeight="1">
      <c r="A559" s="12"/>
      <c r="C559" s="12"/>
      <c r="D559" s="13"/>
      <c r="F559" s="14"/>
      <c r="G559" s="14"/>
      <c r="H559" s="14"/>
      <c r="I559" s="14"/>
      <c r="J559" s="14"/>
      <c r="K559" s="12"/>
    </row>
    <row r="560" ht="19.5" customHeight="1">
      <c r="A560" s="12"/>
      <c r="C560" s="12"/>
      <c r="D560" s="13"/>
      <c r="F560" s="14"/>
      <c r="G560" s="14"/>
      <c r="H560" s="14"/>
      <c r="I560" s="14"/>
      <c r="J560" s="14"/>
      <c r="K560" s="12"/>
    </row>
    <row r="561" ht="19.5" customHeight="1">
      <c r="A561" s="12"/>
      <c r="C561" s="12"/>
      <c r="D561" s="13"/>
      <c r="F561" s="14"/>
      <c r="G561" s="14"/>
      <c r="H561" s="14"/>
      <c r="I561" s="14"/>
      <c r="J561" s="14"/>
      <c r="K561" s="12"/>
    </row>
    <row r="562" ht="19.5" customHeight="1">
      <c r="A562" s="12"/>
      <c r="C562" s="12"/>
      <c r="D562" s="13"/>
      <c r="F562" s="14"/>
      <c r="G562" s="14"/>
      <c r="H562" s="14"/>
      <c r="I562" s="14"/>
      <c r="J562" s="14"/>
      <c r="K562" s="12"/>
    </row>
    <row r="563" ht="19.5" customHeight="1">
      <c r="A563" s="12"/>
      <c r="C563" s="12"/>
      <c r="D563" s="13"/>
      <c r="F563" s="14"/>
      <c r="G563" s="14"/>
      <c r="H563" s="14"/>
      <c r="I563" s="14"/>
      <c r="J563" s="14"/>
      <c r="K563" s="12"/>
    </row>
    <row r="564" ht="19.5" customHeight="1">
      <c r="A564" s="12"/>
      <c r="C564" s="12"/>
      <c r="D564" s="13"/>
      <c r="F564" s="14"/>
      <c r="G564" s="14"/>
      <c r="H564" s="14"/>
      <c r="I564" s="14"/>
      <c r="J564" s="14"/>
      <c r="K564" s="12"/>
    </row>
    <row r="565" ht="19.5" customHeight="1">
      <c r="A565" s="12"/>
      <c r="C565" s="12"/>
      <c r="D565" s="13"/>
      <c r="F565" s="14"/>
      <c r="G565" s="14"/>
      <c r="H565" s="14"/>
      <c r="I565" s="14"/>
      <c r="J565" s="14"/>
      <c r="K565" s="12"/>
    </row>
    <row r="566" ht="19.5" customHeight="1">
      <c r="A566" s="12"/>
      <c r="C566" s="12"/>
      <c r="D566" s="13"/>
      <c r="F566" s="14"/>
      <c r="G566" s="14"/>
      <c r="H566" s="14"/>
      <c r="I566" s="14"/>
      <c r="J566" s="14"/>
      <c r="K566" s="12"/>
    </row>
    <row r="567" ht="19.5" customHeight="1">
      <c r="A567" s="12"/>
      <c r="C567" s="12"/>
      <c r="D567" s="13"/>
      <c r="F567" s="14"/>
      <c r="G567" s="14"/>
      <c r="H567" s="14"/>
      <c r="I567" s="14"/>
      <c r="J567" s="14"/>
      <c r="K567" s="12"/>
    </row>
    <row r="568" ht="19.5" customHeight="1">
      <c r="A568" s="12"/>
      <c r="C568" s="12"/>
      <c r="D568" s="13"/>
      <c r="F568" s="14"/>
      <c r="G568" s="14"/>
      <c r="H568" s="14"/>
      <c r="I568" s="14"/>
      <c r="J568" s="14"/>
      <c r="K568" s="12"/>
    </row>
    <row r="569" ht="19.5" customHeight="1">
      <c r="A569" s="12"/>
      <c r="C569" s="12"/>
      <c r="D569" s="13"/>
      <c r="F569" s="14"/>
      <c r="G569" s="14"/>
      <c r="H569" s="14"/>
      <c r="I569" s="14"/>
      <c r="J569" s="14"/>
      <c r="K569" s="12"/>
    </row>
    <row r="570" ht="19.5" customHeight="1">
      <c r="A570" s="12"/>
      <c r="C570" s="12"/>
      <c r="D570" s="13"/>
      <c r="F570" s="14"/>
      <c r="G570" s="14"/>
      <c r="H570" s="14"/>
      <c r="I570" s="14"/>
      <c r="J570" s="14"/>
      <c r="K570" s="12"/>
    </row>
    <row r="571" ht="19.5" customHeight="1">
      <c r="A571" s="12"/>
      <c r="C571" s="12"/>
      <c r="D571" s="13"/>
      <c r="F571" s="14"/>
      <c r="G571" s="14"/>
      <c r="H571" s="14"/>
      <c r="I571" s="14"/>
      <c r="J571" s="14"/>
      <c r="K571" s="12"/>
    </row>
    <row r="572" ht="19.5" customHeight="1">
      <c r="A572" s="12"/>
      <c r="C572" s="12"/>
      <c r="D572" s="13"/>
      <c r="F572" s="14"/>
      <c r="G572" s="14"/>
      <c r="H572" s="14"/>
      <c r="I572" s="14"/>
      <c r="J572" s="14"/>
      <c r="K572" s="12"/>
    </row>
    <row r="573" ht="19.5" customHeight="1">
      <c r="A573" s="12"/>
      <c r="C573" s="12"/>
      <c r="D573" s="13"/>
      <c r="F573" s="14"/>
      <c r="G573" s="14"/>
      <c r="H573" s="14"/>
      <c r="I573" s="14"/>
      <c r="J573" s="14"/>
      <c r="K573" s="12"/>
    </row>
    <row r="574" ht="19.5" customHeight="1">
      <c r="A574" s="12"/>
      <c r="C574" s="12"/>
      <c r="D574" s="13"/>
      <c r="F574" s="14"/>
      <c r="G574" s="14"/>
      <c r="H574" s="14"/>
      <c r="I574" s="14"/>
      <c r="J574" s="14"/>
      <c r="K574" s="12"/>
    </row>
    <row r="575" ht="19.5" customHeight="1">
      <c r="A575" s="12"/>
      <c r="C575" s="12"/>
      <c r="D575" s="13"/>
      <c r="F575" s="14"/>
      <c r="G575" s="14"/>
      <c r="H575" s="14"/>
      <c r="I575" s="14"/>
      <c r="J575" s="14"/>
      <c r="K575" s="12"/>
    </row>
    <row r="576" ht="19.5" customHeight="1">
      <c r="A576" s="12"/>
      <c r="C576" s="12"/>
      <c r="D576" s="13"/>
      <c r="F576" s="14"/>
      <c r="G576" s="14"/>
      <c r="H576" s="14"/>
      <c r="I576" s="14"/>
      <c r="J576" s="14"/>
      <c r="K576" s="12"/>
    </row>
    <row r="577" ht="19.5" customHeight="1">
      <c r="A577" s="12"/>
      <c r="C577" s="12"/>
      <c r="D577" s="13"/>
      <c r="F577" s="14"/>
      <c r="G577" s="14"/>
      <c r="H577" s="14"/>
      <c r="I577" s="14"/>
      <c r="J577" s="14"/>
      <c r="K577" s="12"/>
    </row>
    <row r="578" ht="19.5" customHeight="1">
      <c r="A578" s="12"/>
      <c r="C578" s="12"/>
      <c r="D578" s="13"/>
      <c r="F578" s="14"/>
      <c r="G578" s="14"/>
      <c r="H578" s="14"/>
      <c r="I578" s="14"/>
      <c r="J578" s="14"/>
      <c r="K578" s="12"/>
    </row>
    <row r="579" ht="19.5" customHeight="1">
      <c r="A579" s="12"/>
      <c r="C579" s="12"/>
      <c r="D579" s="13"/>
      <c r="F579" s="14"/>
      <c r="G579" s="14"/>
      <c r="H579" s="14"/>
      <c r="I579" s="14"/>
      <c r="J579" s="14"/>
      <c r="K579" s="12"/>
    </row>
    <row r="580" ht="19.5" customHeight="1">
      <c r="A580" s="12"/>
      <c r="C580" s="12"/>
      <c r="D580" s="13"/>
      <c r="F580" s="14"/>
      <c r="G580" s="14"/>
      <c r="H580" s="14"/>
      <c r="I580" s="14"/>
      <c r="J580" s="14"/>
      <c r="K580" s="12"/>
    </row>
    <row r="581" ht="19.5" customHeight="1">
      <c r="A581" s="12"/>
      <c r="C581" s="12"/>
      <c r="D581" s="13"/>
      <c r="F581" s="14"/>
      <c r="G581" s="14"/>
      <c r="H581" s="14"/>
      <c r="I581" s="14"/>
      <c r="J581" s="14"/>
      <c r="K581" s="12"/>
    </row>
    <row r="582" ht="19.5" customHeight="1">
      <c r="A582" s="12"/>
      <c r="C582" s="12"/>
      <c r="D582" s="13"/>
      <c r="F582" s="14"/>
      <c r="G582" s="14"/>
      <c r="H582" s="14"/>
      <c r="I582" s="14"/>
      <c r="J582" s="14"/>
      <c r="K582" s="12"/>
    </row>
    <row r="583" ht="19.5" customHeight="1">
      <c r="A583" s="12"/>
      <c r="C583" s="12"/>
      <c r="D583" s="13"/>
      <c r="F583" s="14"/>
      <c r="G583" s="14"/>
      <c r="H583" s="14"/>
      <c r="I583" s="14"/>
      <c r="J583" s="14"/>
      <c r="K583" s="12"/>
    </row>
    <row r="584" ht="19.5" customHeight="1">
      <c r="A584" s="12"/>
      <c r="C584" s="12"/>
      <c r="D584" s="13"/>
      <c r="F584" s="14"/>
      <c r="G584" s="14"/>
      <c r="H584" s="14"/>
      <c r="I584" s="14"/>
      <c r="J584" s="14"/>
      <c r="K584" s="12"/>
    </row>
    <row r="585" ht="19.5" customHeight="1">
      <c r="A585" s="12"/>
      <c r="C585" s="12"/>
      <c r="D585" s="13"/>
      <c r="F585" s="14"/>
      <c r="G585" s="14"/>
      <c r="H585" s="14"/>
      <c r="I585" s="14"/>
      <c r="J585" s="14"/>
      <c r="K585" s="12"/>
    </row>
    <row r="586" ht="19.5" customHeight="1">
      <c r="A586" s="12"/>
      <c r="C586" s="12"/>
      <c r="D586" s="13"/>
      <c r="F586" s="14"/>
      <c r="G586" s="14"/>
      <c r="H586" s="14"/>
      <c r="I586" s="14"/>
      <c r="J586" s="14"/>
      <c r="K586" s="12"/>
    </row>
    <row r="587" ht="19.5" customHeight="1">
      <c r="A587" s="12"/>
      <c r="C587" s="12"/>
      <c r="D587" s="13"/>
      <c r="F587" s="14"/>
      <c r="G587" s="14"/>
      <c r="H587" s="14"/>
      <c r="I587" s="14"/>
      <c r="J587" s="14"/>
      <c r="K587" s="12"/>
    </row>
    <row r="588" ht="19.5" customHeight="1">
      <c r="A588" s="12"/>
      <c r="C588" s="12"/>
      <c r="D588" s="13"/>
      <c r="F588" s="14"/>
      <c r="G588" s="14"/>
      <c r="H588" s="14"/>
      <c r="I588" s="14"/>
      <c r="J588" s="14"/>
      <c r="K588" s="12"/>
    </row>
    <row r="589" ht="19.5" customHeight="1">
      <c r="A589" s="12"/>
      <c r="C589" s="12"/>
      <c r="D589" s="13"/>
      <c r="F589" s="14"/>
      <c r="G589" s="14"/>
      <c r="H589" s="14"/>
      <c r="I589" s="14"/>
      <c r="J589" s="14"/>
      <c r="K589" s="12"/>
    </row>
    <row r="590" ht="19.5" customHeight="1">
      <c r="A590" s="12"/>
      <c r="C590" s="12"/>
      <c r="D590" s="13"/>
      <c r="F590" s="14"/>
      <c r="G590" s="14"/>
      <c r="H590" s="14"/>
      <c r="I590" s="14"/>
      <c r="J590" s="14"/>
      <c r="K590" s="12"/>
    </row>
    <row r="591" ht="19.5" customHeight="1">
      <c r="A591" s="12"/>
      <c r="C591" s="12"/>
      <c r="D591" s="13"/>
      <c r="F591" s="14"/>
      <c r="G591" s="14"/>
      <c r="H591" s="14"/>
      <c r="I591" s="14"/>
      <c r="J591" s="14"/>
      <c r="K591" s="12"/>
    </row>
    <row r="592" ht="19.5" customHeight="1">
      <c r="A592" s="12"/>
      <c r="C592" s="12"/>
      <c r="D592" s="13"/>
      <c r="F592" s="14"/>
      <c r="G592" s="14"/>
      <c r="H592" s="14"/>
      <c r="I592" s="14"/>
      <c r="J592" s="14"/>
      <c r="K592" s="12"/>
    </row>
    <row r="593" ht="19.5" customHeight="1">
      <c r="A593" s="12"/>
      <c r="C593" s="12"/>
      <c r="D593" s="13"/>
      <c r="F593" s="14"/>
      <c r="G593" s="14"/>
      <c r="H593" s="14"/>
      <c r="I593" s="14"/>
      <c r="J593" s="14"/>
      <c r="K593" s="12"/>
    </row>
    <row r="594" ht="19.5" customHeight="1">
      <c r="A594" s="12"/>
      <c r="C594" s="12"/>
      <c r="D594" s="13"/>
      <c r="F594" s="14"/>
      <c r="G594" s="14"/>
      <c r="H594" s="14"/>
      <c r="I594" s="14"/>
      <c r="J594" s="14"/>
      <c r="K594" s="12"/>
    </row>
    <row r="595" ht="19.5" customHeight="1">
      <c r="A595" s="12"/>
      <c r="C595" s="12"/>
      <c r="D595" s="13"/>
      <c r="F595" s="14"/>
      <c r="G595" s="14"/>
      <c r="H595" s="14"/>
      <c r="I595" s="14"/>
      <c r="J595" s="14"/>
      <c r="K595" s="12"/>
    </row>
    <row r="596" ht="19.5" customHeight="1">
      <c r="A596" s="12"/>
      <c r="C596" s="12"/>
      <c r="D596" s="13"/>
      <c r="F596" s="14"/>
      <c r="G596" s="14"/>
      <c r="H596" s="14"/>
      <c r="I596" s="14"/>
      <c r="J596" s="14"/>
      <c r="K596" s="12"/>
    </row>
    <row r="597" ht="19.5" customHeight="1">
      <c r="A597" s="12"/>
      <c r="C597" s="12"/>
      <c r="D597" s="13"/>
      <c r="F597" s="14"/>
      <c r="G597" s="14"/>
      <c r="H597" s="14"/>
      <c r="I597" s="14"/>
      <c r="J597" s="14"/>
      <c r="K597" s="12"/>
    </row>
    <row r="598" ht="19.5" customHeight="1">
      <c r="A598" s="12"/>
      <c r="C598" s="12"/>
      <c r="D598" s="13"/>
      <c r="F598" s="14"/>
      <c r="G598" s="14"/>
      <c r="H598" s="14"/>
      <c r="I598" s="14"/>
      <c r="J598" s="14"/>
      <c r="K598" s="12"/>
    </row>
    <row r="599" ht="19.5" customHeight="1">
      <c r="A599" s="12"/>
      <c r="C599" s="12"/>
      <c r="D599" s="13"/>
      <c r="F599" s="14"/>
      <c r="G599" s="14"/>
      <c r="H599" s="14"/>
      <c r="I599" s="14"/>
      <c r="J599" s="14"/>
      <c r="K599" s="12"/>
    </row>
    <row r="600" ht="19.5" customHeight="1">
      <c r="A600" s="12"/>
      <c r="C600" s="12"/>
      <c r="D600" s="13"/>
      <c r="F600" s="14"/>
      <c r="G600" s="14"/>
      <c r="H600" s="14"/>
      <c r="I600" s="14"/>
      <c r="J600" s="14"/>
      <c r="K600" s="12"/>
    </row>
    <row r="601" ht="19.5" customHeight="1">
      <c r="A601" s="12"/>
      <c r="C601" s="12"/>
      <c r="D601" s="13"/>
      <c r="F601" s="14"/>
      <c r="G601" s="14"/>
      <c r="H601" s="14"/>
      <c r="I601" s="14"/>
      <c r="J601" s="14"/>
      <c r="K601" s="12"/>
    </row>
    <row r="602" ht="19.5" customHeight="1">
      <c r="A602" s="12"/>
      <c r="C602" s="12"/>
      <c r="D602" s="13"/>
      <c r="F602" s="14"/>
      <c r="G602" s="14"/>
      <c r="H602" s="14"/>
      <c r="I602" s="14"/>
      <c r="J602" s="14"/>
      <c r="K602" s="12"/>
    </row>
    <row r="603" ht="19.5" customHeight="1">
      <c r="A603" s="12"/>
      <c r="C603" s="12"/>
      <c r="D603" s="13"/>
      <c r="F603" s="14"/>
      <c r="G603" s="14"/>
      <c r="H603" s="14"/>
      <c r="I603" s="14"/>
      <c r="J603" s="14"/>
      <c r="K603" s="12"/>
    </row>
    <row r="604" ht="19.5" customHeight="1">
      <c r="A604" s="12"/>
      <c r="C604" s="12"/>
      <c r="D604" s="13"/>
      <c r="F604" s="14"/>
      <c r="G604" s="14"/>
      <c r="H604" s="14"/>
      <c r="I604" s="14"/>
      <c r="J604" s="14"/>
      <c r="K604" s="12"/>
    </row>
    <row r="605" ht="19.5" customHeight="1">
      <c r="A605" s="12"/>
      <c r="C605" s="12"/>
      <c r="D605" s="13"/>
      <c r="F605" s="14"/>
      <c r="G605" s="14"/>
      <c r="H605" s="14"/>
      <c r="I605" s="14"/>
      <c r="J605" s="14"/>
      <c r="K605" s="12"/>
    </row>
    <row r="606" ht="19.5" customHeight="1">
      <c r="A606" s="12"/>
      <c r="C606" s="12"/>
      <c r="D606" s="13"/>
      <c r="F606" s="14"/>
      <c r="G606" s="14"/>
      <c r="H606" s="14"/>
      <c r="I606" s="14"/>
      <c r="J606" s="14"/>
      <c r="K606" s="12"/>
    </row>
    <row r="607" ht="19.5" customHeight="1">
      <c r="A607" s="12"/>
      <c r="C607" s="12"/>
      <c r="D607" s="13"/>
      <c r="F607" s="14"/>
      <c r="G607" s="14"/>
      <c r="H607" s="14"/>
      <c r="I607" s="14"/>
      <c r="J607" s="14"/>
      <c r="K607" s="12"/>
    </row>
    <row r="608" ht="19.5" customHeight="1">
      <c r="A608" s="12"/>
      <c r="C608" s="12"/>
      <c r="D608" s="13"/>
      <c r="F608" s="14"/>
      <c r="G608" s="14"/>
      <c r="H608" s="14"/>
      <c r="I608" s="14"/>
      <c r="J608" s="14"/>
      <c r="K608" s="12"/>
    </row>
    <row r="609" ht="19.5" customHeight="1">
      <c r="A609" s="12"/>
      <c r="C609" s="12"/>
      <c r="D609" s="13"/>
      <c r="F609" s="14"/>
      <c r="G609" s="14"/>
      <c r="H609" s="14"/>
      <c r="I609" s="14"/>
      <c r="J609" s="14"/>
      <c r="K609" s="12"/>
    </row>
    <row r="610" ht="19.5" customHeight="1">
      <c r="A610" s="12"/>
      <c r="C610" s="12"/>
      <c r="D610" s="13"/>
      <c r="F610" s="14"/>
      <c r="G610" s="14"/>
      <c r="H610" s="14"/>
      <c r="I610" s="14"/>
      <c r="J610" s="14"/>
      <c r="K610" s="12"/>
    </row>
    <row r="611" ht="19.5" customHeight="1">
      <c r="A611" s="12"/>
      <c r="C611" s="12"/>
      <c r="D611" s="13"/>
      <c r="F611" s="14"/>
      <c r="G611" s="14"/>
      <c r="H611" s="14"/>
      <c r="I611" s="14"/>
      <c r="J611" s="14"/>
      <c r="K611" s="12"/>
    </row>
    <row r="612" ht="19.5" customHeight="1">
      <c r="A612" s="12"/>
      <c r="C612" s="12"/>
      <c r="D612" s="13"/>
      <c r="F612" s="14"/>
      <c r="G612" s="14"/>
      <c r="H612" s="14"/>
      <c r="I612" s="14"/>
      <c r="J612" s="14"/>
      <c r="K612" s="12"/>
    </row>
    <row r="613" ht="19.5" customHeight="1">
      <c r="A613" s="12"/>
      <c r="C613" s="12"/>
      <c r="D613" s="13"/>
      <c r="F613" s="14"/>
      <c r="G613" s="14"/>
      <c r="H613" s="14"/>
      <c r="I613" s="14"/>
      <c r="J613" s="14"/>
      <c r="K613" s="12"/>
    </row>
    <row r="614" ht="19.5" customHeight="1">
      <c r="A614" s="12"/>
      <c r="C614" s="12"/>
      <c r="D614" s="13"/>
      <c r="F614" s="14"/>
      <c r="G614" s="14"/>
      <c r="H614" s="14"/>
      <c r="I614" s="14"/>
      <c r="J614" s="14"/>
      <c r="K614" s="12"/>
    </row>
    <row r="615" ht="19.5" customHeight="1">
      <c r="A615" s="12"/>
      <c r="C615" s="12"/>
      <c r="D615" s="13"/>
      <c r="F615" s="14"/>
      <c r="G615" s="14"/>
      <c r="H615" s="14"/>
      <c r="I615" s="14"/>
      <c r="J615" s="14"/>
      <c r="K615" s="12"/>
    </row>
    <row r="616" ht="19.5" customHeight="1">
      <c r="A616" s="12"/>
      <c r="C616" s="12"/>
      <c r="D616" s="13"/>
      <c r="F616" s="14"/>
      <c r="G616" s="14"/>
      <c r="H616" s="14"/>
      <c r="I616" s="14"/>
      <c r="J616" s="14"/>
      <c r="K616" s="12"/>
    </row>
    <row r="617" ht="19.5" customHeight="1">
      <c r="A617" s="12"/>
      <c r="C617" s="12"/>
      <c r="D617" s="13"/>
      <c r="F617" s="14"/>
      <c r="G617" s="14"/>
      <c r="H617" s="14"/>
      <c r="I617" s="14"/>
      <c r="J617" s="14"/>
      <c r="K617" s="12"/>
    </row>
    <row r="618" ht="19.5" customHeight="1">
      <c r="A618" s="12"/>
      <c r="C618" s="12"/>
      <c r="D618" s="13"/>
      <c r="F618" s="14"/>
      <c r="G618" s="14"/>
      <c r="H618" s="14"/>
      <c r="I618" s="14"/>
      <c r="J618" s="14"/>
      <c r="K618" s="12"/>
    </row>
    <row r="619" ht="19.5" customHeight="1">
      <c r="A619" s="12"/>
      <c r="C619" s="12"/>
      <c r="D619" s="13"/>
      <c r="F619" s="14"/>
      <c r="G619" s="14"/>
      <c r="H619" s="14"/>
      <c r="I619" s="14"/>
      <c r="J619" s="14"/>
      <c r="K619" s="12"/>
    </row>
    <row r="620" ht="19.5" customHeight="1">
      <c r="A620" s="12"/>
      <c r="C620" s="12"/>
      <c r="D620" s="13"/>
      <c r="F620" s="14"/>
      <c r="G620" s="14"/>
      <c r="H620" s="14"/>
      <c r="I620" s="14"/>
      <c r="J620" s="14"/>
      <c r="K620" s="12"/>
    </row>
    <row r="621" ht="19.5" customHeight="1">
      <c r="A621" s="12"/>
      <c r="C621" s="12"/>
      <c r="D621" s="13"/>
      <c r="F621" s="14"/>
      <c r="G621" s="14"/>
      <c r="H621" s="14"/>
      <c r="I621" s="14"/>
      <c r="J621" s="14"/>
      <c r="K621" s="12"/>
    </row>
    <row r="622" ht="19.5" customHeight="1">
      <c r="A622" s="12"/>
      <c r="C622" s="12"/>
      <c r="D622" s="13"/>
      <c r="F622" s="14"/>
      <c r="G622" s="14"/>
      <c r="H622" s="14"/>
      <c r="I622" s="14"/>
      <c r="J622" s="14"/>
      <c r="K622" s="12"/>
    </row>
    <row r="623" ht="19.5" customHeight="1">
      <c r="A623" s="12"/>
      <c r="C623" s="12"/>
      <c r="D623" s="13"/>
      <c r="F623" s="14"/>
      <c r="G623" s="14"/>
      <c r="H623" s="14"/>
      <c r="I623" s="14"/>
      <c r="J623" s="14"/>
      <c r="K623" s="12"/>
    </row>
    <row r="624" ht="19.5" customHeight="1">
      <c r="A624" s="12"/>
      <c r="C624" s="12"/>
      <c r="D624" s="13"/>
      <c r="F624" s="14"/>
      <c r="G624" s="14"/>
      <c r="H624" s="14"/>
      <c r="I624" s="14"/>
      <c r="J624" s="14"/>
      <c r="K624" s="12"/>
    </row>
    <row r="625" ht="19.5" customHeight="1">
      <c r="A625" s="12"/>
      <c r="C625" s="12"/>
      <c r="D625" s="13"/>
      <c r="F625" s="14"/>
      <c r="G625" s="14"/>
      <c r="H625" s="14"/>
      <c r="I625" s="14"/>
      <c r="J625" s="14"/>
      <c r="K625" s="12"/>
    </row>
    <row r="626" ht="19.5" customHeight="1">
      <c r="A626" s="12"/>
      <c r="C626" s="12"/>
      <c r="D626" s="13"/>
      <c r="F626" s="14"/>
      <c r="G626" s="14"/>
      <c r="H626" s="14"/>
      <c r="I626" s="14"/>
      <c r="J626" s="14"/>
      <c r="K626" s="12"/>
    </row>
    <row r="627" ht="19.5" customHeight="1">
      <c r="A627" s="12"/>
      <c r="C627" s="12"/>
      <c r="D627" s="13"/>
      <c r="F627" s="14"/>
      <c r="G627" s="14"/>
      <c r="H627" s="14"/>
      <c r="I627" s="14"/>
      <c r="J627" s="14"/>
      <c r="K627" s="12"/>
    </row>
    <row r="628" ht="19.5" customHeight="1">
      <c r="A628" s="12"/>
      <c r="C628" s="12"/>
      <c r="D628" s="13"/>
      <c r="F628" s="14"/>
      <c r="G628" s="14"/>
      <c r="H628" s="14"/>
      <c r="I628" s="14"/>
      <c r="J628" s="14"/>
      <c r="K628" s="12"/>
    </row>
    <row r="629" ht="19.5" customHeight="1">
      <c r="A629" s="12"/>
      <c r="C629" s="12"/>
      <c r="D629" s="13"/>
      <c r="F629" s="14"/>
      <c r="G629" s="14"/>
      <c r="H629" s="14"/>
      <c r="I629" s="14"/>
      <c r="J629" s="14"/>
      <c r="K629" s="12"/>
    </row>
    <row r="630" ht="19.5" customHeight="1">
      <c r="A630" s="12"/>
      <c r="C630" s="12"/>
      <c r="D630" s="13"/>
      <c r="F630" s="14"/>
      <c r="G630" s="14"/>
      <c r="H630" s="14"/>
      <c r="I630" s="14"/>
      <c r="J630" s="14"/>
      <c r="K630" s="12"/>
    </row>
    <row r="631" ht="19.5" customHeight="1">
      <c r="A631" s="12"/>
      <c r="C631" s="12"/>
      <c r="D631" s="13"/>
      <c r="F631" s="14"/>
      <c r="G631" s="14"/>
      <c r="H631" s="14"/>
      <c r="I631" s="14"/>
      <c r="J631" s="14"/>
      <c r="K631" s="12"/>
    </row>
    <row r="632" ht="19.5" customHeight="1">
      <c r="A632" s="12"/>
      <c r="C632" s="12"/>
      <c r="D632" s="13"/>
      <c r="F632" s="14"/>
      <c r="G632" s="14"/>
      <c r="H632" s="14"/>
      <c r="I632" s="14"/>
      <c r="J632" s="14"/>
      <c r="K632" s="12"/>
    </row>
    <row r="633" ht="19.5" customHeight="1">
      <c r="A633" s="12"/>
      <c r="C633" s="12"/>
      <c r="D633" s="13"/>
      <c r="F633" s="14"/>
      <c r="G633" s="14"/>
      <c r="H633" s="14"/>
      <c r="I633" s="14"/>
      <c r="J633" s="14"/>
      <c r="K633" s="12"/>
    </row>
    <row r="634" ht="19.5" customHeight="1">
      <c r="A634" s="12"/>
      <c r="C634" s="12"/>
      <c r="D634" s="13"/>
      <c r="F634" s="14"/>
      <c r="G634" s="14"/>
      <c r="H634" s="14"/>
      <c r="I634" s="14"/>
      <c r="J634" s="14"/>
      <c r="K634" s="12"/>
    </row>
    <row r="635" ht="19.5" customHeight="1">
      <c r="A635" s="12"/>
      <c r="C635" s="12"/>
      <c r="D635" s="13"/>
      <c r="F635" s="14"/>
      <c r="G635" s="14"/>
      <c r="H635" s="14"/>
      <c r="I635" s="14"/>
      <c r="J635" s="14"/>
      <c r="K635" s="12"/>
    </row>
    <row r="636" ht="19.5" customHeight="1">
      <c r="A636" s="12"/>
      <c r="C636" s="12"/>
      <c r="D636" s="13"/>
      <c r="F636" s="14"/>
      <c r="G636" s="14"/>
      <c r="H636" s="14"/>
      <c r="I636" s="14"/>
      <c r="J636" s="14"/>
      <c r="K636" s="12"/>
    </row>
    <row r="637" ht="19.5" customHeight="1">
      <c r="A637" s="12"/>
      <c r="C637" s="12"/>
      <c r="D637" s="13"/>
      <c r="F637" s="14"/>
      <c r="G637" s="14"/>
      <c r="H637" s="14"/>
      <c r="I637" s="14"/>
      <c r="J637" s="14"/>
      <c r="K637" s="12"/>
    </row>
    <row r="638" ht="19.5" customHeight="1">
      <c r="A638" s="12"/>
      <c r="C638" s="12"/>
      <c r="D638" s="13"/>
      <c r="F638" s="14"/>
      <c r="G638" s="14"/>
      <c r="H638" s="14"/>
      <c r="I638" s="14"/>
      <c r="J638" s="14"/>
      <c r="K638" s="12"/>
    </row>
    <row r="639" ht="19.5" customHeight="1">
      <c r="A639" s="12"/>
      <c r="C639" s="12"/>
      <c r="D639" s="13"/>
      <c r="F639" s="14"/>
      <c r="G639" s="14"/>
      <c r="H639" s="14"/>
      <c r="I639" s="14"/>
      <c r="J639" s="14"/>
      <c r="K639" s="12"/>
    </row>
    <row r="640" ht="19.5" customHeight="1">
      <c r="A640" s="12"/>
      <c r="C640" s="12"/>
      <c r="D640" s="13"/>
      <c r="F640" s="14"/>
      <c r="G640" s="14"/>
      <c r="H640" s="14"/>
      <c r="I640" s="14"/>
      <c r="J640" s="14"/>
      <c r="K640" s="12"/>
    </row>
    <row r="641" ht="19.5" customHeight="1">
      <c r="A641" s="12"/>
      <c r="C641" s="12"/>
      <c r="D641" s="13"/>
      <c r="F641" s="14"/>
      <c r="G641" s="14"/>
      <c r="H641" s="14"/>
      <c r="I641" s="14"/>
      <c r="J641" s="14"/>
      <c r="K641" s="12"/>
    </row>
    <row r="642" ht="19.5" customHeight="1">
      <c r="A642" s="12"/>
      <c r="C642" s="12"/>
      <c r="D642" s="13"/>
      <c r="F642" s="14"/>
      <c r="G642" s="14"/>
      <c r="H642" s="14"/>
      <c r="I642" s="14"/>
      <c r="J642" s="14"/>
      <c r="K642" s="12"/>
    </row>
    <row r="643" ht="19.5" customHeight="1">
      <c r="A643" s="12"/>
      <c r="C643" s="12"/>
      <c r="D643" s="13"/>
      <c r="F643" s="14"/>
      <c r="G643" s="14"/>
      <c r="H643" s="14"/>
      <c r="I643" s="14"/>
      <c r="J643" s="14"/>
      <c r="K643" s="12"/>
    </row>
    <row r="644" ht="19.5" customHeight="1">
      <c r="A644" s="12"/>
      <c r="C644" s="12"/>
      <c r="D644" s="13"/>
      <c r="F644" s="14"/>
      <c r="G644" s="14"/>
      <c r="H644" s="14"/>
      <c r="I644" s="14"/>
      <c r="J644" s="14"/>
      <c r="K644" s="12"/>
    </row>
    <row r="645" ht="19.5" customHeight="1">
      <c r="A645" s="12"/>
      <c r="C645" s="12"/>
      <c r="D645" s="13"/>
      <c r="F645" s="14"/>
      <c r="G645" s="14"/>
      <c r="H645" s="14"/>
      <c r="I645" s="14"/>
      <c r="J645" s="14"/>
      <c r="K645" s="12"/>
    </row>
    <row r="646" ht="19.5" customHeight="1">
      <c r="A646" s="12"/>
      <c r="C646" s="12"/>
      <c r="D646" s="13"/>
      <c r="F646" s="14"/>
      <c r="G646" s="14"/>
      <c r="H646" s="14"/>
      <c r="I646" s="14"/>
      <c r="J646" s="14"/>
      <c r="K646" s="12"/>
    </row>
    <row r="647" ht="19.5" customHeight="1">
      <c r="A647" s="12"/>
      <c r="C647" s="12"/>
      <c r="D647" s="13"/>
      <c r="F647" s="14"/>
      <c r="G647" s="14"/>
      <c r="H647" s="14"/>
      <c r="I647" s="14"/>
      <c r="J647" s="14"/>
      <c r="K647" s="12"/>
    </row>
    <row r="648" ht="19.5" customHeight="1">
      <c r="A648" s="12"/>
      <c r="C648" s="12"/>
      <c r="D648" s="13"/>
      <c r="F648" s="14"/>
      <c r="G648" s="14"/>
      <c r="H648" s="14"/>
      <c r="I648" s="14"/>
      <c r="J648" s="14"/>
      <c r="K648" s="12"/>
    </row>
    <row r="649" ht="19.5" customHeight="1">
      <c r="A649" s="12"/>
      <c r="C649" s="12"/>
      <c r="D649" s="13"/>
      <c r="F649" s="14"/>
      <c r="G649" s="14"/>
      <c r="H649" s="14"/>
      <c r="I649" s="14"/>
      <c r="J649" s="14"/>
      <c r="K649" s="12"/>
    </row>
    <row r="650" ht="19.5" customHeight="1">
      <c r="A650" s="12"/>
      <c r="C650" s="12"/>
      <c r="D650" s="13"/>
      <c r="F650" s="14"/>
      <c r="G650" s="14"/>
      <c r="H650" s="14"/>
      <c r="I650" s="14"/>
      <c r="J650" s="14"/>
      <c r="K650" s="12"/>
    </row>
    <row r="651" ht="19.5" customHeight="1">
      <c r="A651" s="12"/>
      <c r="C651" s="12"/>
      <c r="D651" s="13"/>
      <c r="F651" s="14"/>
      <c r="G651" s="14"/>
      <c r="H651" s="14"/>
      <c r="I651" s="14"/>
      <c r="J651" s="14"/>
      <c r="K651" s="12"/>
    </row>
    <row r="652" ht="19.5" customHeight="1">
      <c r="A652" s="12"/>
      <c r="C652" s="12"/>
      <c r="D652" s="13"/>
      <c r="F652" s="14"/>
      <c r="G652" s="14"/>
      <c r="H652" s="14"/>
      <c r="I652" s="14"/>
      <c r="J652" s="14"/>
      <c r="K652" s="12"/>
    </row>
    <row r="653" ht="19.5" customHeight="1">
      <c r="A653" s="12"/>
      <c r="C653" s="12"/>
      <c r="D653" s="13"/>
      <c r="F653" s="14"/>
      <c r="G653" s="14"/>
      <c r="H653" s="14"/>
      <c r="I653" s="14"/>
      <c r="J653" s="14"/>
      <c r="K653" s="12"/>
    </row>
    <row r="654" ht="19.5" customHeight="1">
      <c r="A654" s="12"/>
      <c r="C654" s="12"/>
      <c r="D654" s="13"/>
      <c r="F654" s="14"/>
      <c r="G654" s="14"/>
      <c r="H654" s="14"/>
      <c r="I654" s="14"/>
      <c r="J654" s="14"/>
      <c r="K654" s="12"/>
    </row>
    <row r="655" ht="19.5" customHeight="1">
      <c r="A655" s="12"/>
      <c r="C655" s="12"/>
      <c r="D655" s="13"/>
      <c r="F655" s="14"/>
      <c r="G655" s="14"/>
      <c r="H655" s="14"/>
      <c r="I655" s="14"/>
      <c r="J655" s="14"/>
      <c r="K655" s="12"/>
    </row>
    <row r="656" ht="19.5" customHeight="1">
      <c r="A656" s="12"/>
      <c r="C656" s="12"/>
      <c r="D656" s="13"/>
      <c r="F656" s="14"/>
      <c r="G656" s="14"/>
      <c r="H656" s="14"/>
      <c r="I656" s="14"/>
      <c r="J656" s="14"/>
      <c r="K656" s="12"/>
    </row>
    <row r="657" ht="19.5" customHeight="1">
      <c r="A657" s="12"/>
      <c r="C657" s="12"/>
      <c r="D657" s="13"/>
      <c r="F657" s="14"/>
      <c r="G657" s="14"/>
      <c r="H657" s="14"/>
      <c r="I657" s="14"/>
      <c r="J657" s="14"/>
      <c r="K657" s="12"/>
    </row>
    <row r="658" ht="19.5" customHeight="1">
      <c r="A658" s="12"/>
      <c r="C658" s="12"/>
      <c r="D658" s="13"/>
      <c r="F658" s="14"/>
      <c r="G658" s="14"/>
      <c r="H658" s="14"/>
      <c r="I658" s="14"/>
      <c r="J658" s="14"/>
      <c r="K658" s="12"/>
    </row>
    <row r="659" ht="19.5" customHeight="1">
      <c r="A659" s="12"/>
      <c r="C659" s="12"/>
      <c r="D659" s="13"/>
      <c r="F659" s="14"/>
      <c r="G659" s="14"/>
      <c r="H659" s="14"/>
      <c r="I659" s="14"/>
      <c r="J659" s="14"/>
      <c r="K659" s="12"/>
    </row>
    <row r="660" ht="19.5" customHeight="1">
      <c r="A660" s="12"/>
      <c r="C660" s="12"/>
      <c r="D660" s="13"/>
      <c r="F660" s="14"/>
      <c r="G660" s="14"/>
      <c r="H660" s="14"/>
      <c r="I660" s="14"/>
      <c r="J660" s="14"/>
      <c r="K660" s="12"/>
    </row>
    <row r="661" ht="19.5" customHeight="1">
      <c r="A661" s="12"/>
      <c r="C661" s="12"/>
      <c r="D661" s="13"/>
      <c r="F661" s="14"/>
      <c r="G661" s="14"/>
      <c r="H661" s="14"/>
      <c r="I661" s="14"/>
      <c r="J661" s="14"/>
      <c r="K661" s="12"/>
    </row>
    <row r="662" ht="19.5" customHeight="1">
      <c r="A662" s="12"/>
      <c r="C662" s="12"/>
      <c r="D662" s="13"/>
      <c r="F662" s="14"/>
      <c r="G662" s="14"/>
      <c r="H662" s="14"/>
      <c r="I662" s="14"/>
      <c r="J662" s="14"/>
      <c r="K662" s="12"/>
    </row>
    <row r="663" ht="19.5" customHeight="1">
      <c r="A663" s="12"/>
      <c r="C663" s="12"/>
      <c r="D663" s="13"/>
      <c r="F663" s="14"/>
      <c r="G663" s="14"/>
      <c r="H663" s="14"/>
      <c r="I663" s="14"/>
      <c r="J663" s="14"/>
      <c r="K663" s="12"/>
    </row>
    <row r="664" ht="19.5" customHeight="1">
      <c r="A664" s="12"/>
      <c r="C664" s="12"/>
      <c r="D664" s="13"/>
      <c r="F664" s="14"/>
      <c r="G664" s="14"/>
      <c r="H664" s="14"/>
      <c r="I664" s="14"/>
      <c r="J664" s="14"/>
      <c r="K664" s="12"/>
    </row>
    <row r="665" ht="19.5" customHeight="1">
      <c r="A665" s="12"/>
      <c r="C665" s="12"/>
      <c r="D665" s="13"/>
      <c r="F665" s="14"/>
      <c r="G665" s="14"/>
      <c r="H665" s="14"/>
      <c r="I665" s="14"/>
      <c r="J665" s="14"/>
      <c r="K665" s="12"/>
    </row>
    <row r="666" ht="19.5" customHeight="1">
      <c r="A666" s="12"/>
      <c r="C666" s="12"/>
      <c r="D666" s="13"/>
      <c r="F666" s="14"/>
      <c r="G666" s="14"/>
      <c r="H666" s="14"/>
      <c r="I666" s="14"/>
      <c r="J666" s="14"/>
      <c r="K666" s="12"/>
    </row>
    <row r="667" ht="19.5" customHeight="1">
      <c r="A667" s="12"/>
      <c r="C667" s="12"/>
      <c r="D667" s="13"/>
      <c r="F667" s="14"/>
      <c r="G667" s="14"/>
      <c r="H667" s="14"/>
      <c r="I667" s="14"/>
      <c r="J667" s="14"/>
      <c r="K667" s="12"/>
    </row>
    <row r="668" ht="19.5" customHeight="1">
      <c r="A668" s="12"/>
      <c r="C668" s="12"/>
      <c r="D668" s="13"/>
      <c r="F668" s="14"/>
      <c r="G668" s="14"/>
      <c r="H668" s="14"/>
      <c r="I668" s="14"/>
      <c r="J668" s="14"/>
      <c r="K668" s="12"/>
    </row>
    <row r="669" ht="19.5" customHeight="1">
      <c r="A669" s="12"/>
      <c r="C669" s="12"/>
      <c r="D669" s="13"/>
      <c r="F669" s="14"/>
      <c r="G669" s="14"/>
      <c r="H669" s="14"/>
      <c r="I669" s="14"/>
      <c r="J669" s="14"/>
      <c r="K669" s="12"/>
    </row>
    <row r="670" ht="19.5" customHeight="1">
      <c r="A670" s="12"/>
      <c r="C670" s="12"/>
      <c r="D670" s="13"/>
      <c r="F670" s="14"/>
      <c r="G670" s="14"/>
      <c r="H670" s="14"/>
      <c r="I670" s="14"/>
      <c r="J670" s="14"/>
      <c r="K670" s="12"/>
    </row>
    <row r="671" ht="19.5" customHeight="1">
      <c r="A671" s="12"/>
      <c r="C671" s="12"/>
      <c r="D671" s="13"/>
      <c r="F671" s="14"/>
      <c r="G671" s="14"/>
      <c r="H671" s="14"/>
      <c r="I671" s="14"/>
      <c r="J671" s="14"/>
      <c r="K671" s="12"/>
    </row>
    <row r="672" ht="19.5" customHeight="1">
      <c r="A672" s="12"/>
      <c r="C672" s="12"/>
      <c r="D672" s="13"/>
      <c r="F672" s="14"/>
      <c r="G672" s="14"/>
      <c r="H672" s="14"/>
      <c r="I672" s="14"/>
      <c r="J672" s="14"/>
      <c r="K672" s="12"/>
    </row>
    <row r="673" ht="19.5" customHeight="1">
      <c r="A673" s="12"/>
      <c r="C673" s="12"/>
      <c r="D673" s="13"/>
      <c r="F673" s="14"/>
      <c r="G673" s="14"/>
      <c r="H673" s="14"/>
      <c r="I673" s="14"/>
      <c r="J673" s="14"/>
      <c r="K673" s="12"/>
    </row>
    <row r="674" ht="19.5" customHeight="1">
      <c r="A674" s="12"/>
      <c r="C674" s="12"/>
      <c r="D674" s="13"/>
      <c r="F674" s="14"/>
      <c r="G674" s="14"/>
      <c r="H674" s="14"/>
      <c r="I674" s="14"/>
      <c r="J674" s="14"/>
      <c r="K674" s="12"/>
    </row>
    <row r="675" ht="19.5" customHeight="1">
      <c r="A675" s="12"/>
      <c r="C675" s="12"/>
      <c r="D675" s="13"/>
      <c r="F675" s="14"/>
      <c r="G675" s="14"/>
      <c r="H675" s="14"/>
      <c r="I675" s="14"/>
      <c r="J675" s="14"/>
      <c r="K675" s="12"/>
    </row>
    <row r="676" ht="19.5" customHeight="1">
      <c r="A676" s="12"/>
      <c r="C676" s="12"/>
      <c r="D676" s="13"/>
      <c r="F676" s="14"/>
      <c r="G676" s="14"/>
      <c r="H676" s="14"/>
      <c r="I676" s="14"/>
      <c r="J676" s="14"/>
      <c r="K676" s="12"/>
    </row>
    <row r="677" ht="19.5" customHeight="1">
      <c r="A677" s="12"/>
      <c r="C677" s="12"/>
      <c r="D677" s="13"/>
      <c r="F677" s="14"/>
      <c r="G677" s="14"/>
      <c r="H677" s="14"/>
      <c r="I677" s="14"/>
      <c r="J677" s="14"/>
      <c r="K677" s="12"/>
    </row>
    <row r="678" ht="19.5" customHeight="1">
      <c r="A678" s="12"/>
      <c r="C678" s="12"/>
      <c r="D678" s="13"/>
      <c r="F678" s="14"/>
      <c r="G678" s="14"/>
      <c r="H678" s="14"/>
      <c r="I678" s="14"/>
      <c r="J678" s="14"/>
      <c r="K678" s="12"/>
    </row>
    <row r="679" ht="19.5" customHeight="1">
      <c r="A679" s="12"/>
      <c r="C679" s="12"/>
      <c r="D679" s="13"/>
      <c r="F679" s="14"/>
      <c r="G679" s="14"/>
      <c r="H679" s="14"/>
      <c r="I679" s="14"/>
      <c r="J679" s="14"/>
      <c r="K679" s="12"/>
    </row>
    <row r="680" ht="19.5" customHeight="1">
      <c r="A680" s="12"/>
      <c r="C680" s="12"/>
      <c r="D680" s="13"/>
      <c r="F680" s="14"/>
      <c r="G680" s="14"/>
      <c r="H680" s="14"/>
      <c r="I680" s="14"/>
      <c r="J680" s="14"/>
      <c r="K680" s="12"/>
    </row>
    <row r="681" ht="19.5" customHeight="1">
      <c r="A681" s="12"/>
      <c r="C681" s="12"/>
      <c r="D681" s="13"/>
      <c r="F681" s="14"/>
      <c r="G681" s="14"/>
      <c r="H681" s="14"/>
      <c r="I681" s="14"/>
      <c r="J681" s="14"/>
      <c r="K681" s="12"/>
    </row>
    <row r="682" ht="19.5" customHeight="1">
      <c r="A682" s="12"/>
      <c r="C682" s="12"/>
      <c r="D682" s="13"/>
      <c r="F682" s="14"/>
      <c r="G682" s="14"/>
      <c r="H682" s="14"/>
      <c r="I682" s="14"/>
      <c r="J682" s="14"/>
      <c r="K682" s="12"/>
    </row>
    <row r="683" ht="19.5" customHeight="1">
      <c r="A683" s="12"/>
      <c r="C683" s="12"/>
      <c r="D683" s="13"/>
      <c r="F683" s="14"/>
      <c r="G683" s="14"/>
      <c r="H683" s="14"/>
      <c r="I683" s="14"/>
      <c r="J683" s="14"/>
      <c r="K683" s="12"/>
    </row>
    <row r="684" ht="19.5" customHeight="1">
      <c r="A684" s="12"/>
      <c r="C684" s="12"/>
      <c r="D684" s="13"/>
      <c r="F684" s="14"/>
      <c r="G684" s="14"/>
      <c r="H684" s="14"/>
      <c r="I684" s="14"/>
      <c r="J684" s="14"/>
      <c r="K684" s="12"/>
    </row>
    <row r="685" ht="19.5" customHeight="1">
      <c r="A685" s="12"/>
      <c r="C685" s="12"/>
      <c r="D685" s="13"/>
      <c r="F685" s="14"/>
      <c r="G685" s="14"/>
      <c r="H685" s="14"/>
      <c r="I685" s="14"/>
      <c r="J685" s="14"/>
      <c r="K685" s="12"/>
    </row>
    <row r="686" ht="19.5" customHeight="1">
      <c r="A686" s="12"/>
      <c r="C686" s="12"/>
      <c r="D686" s="13"/>
      <c r="F686" s="14"/>
      <c r="G686" s="14"/>
      <c r="H686" s="14"/>
      <c r="I686" s="14"/>
      <c r="J686" s="14"/>
      <c r="K686" s="12"/>
    </row>
    <row r="687" ht="19.5" customHeight="1">
      <c r="A687" s="12"/>
      <c r="C687" s="12"/>
      <c r="D687" s="13"/>
      <c r="F687" s="14"/>
      <c r="G687" s="14"/>
      <c r="H687" s="14"/>
      <c r="I687" s="14"/>
      <c r="J687" s="14"/>
      <c r="K687" s="12"/>
    </row>
    <row r="688" ht="19.5" customHeight="1">
      <c r="A688" s="12"/>
      <c r="C688" s="12"/>
      <c r="D688" s="13"/>
      <c r="F688" s="14"/>
      <c r="G688" s="14"/>
      <c r="H688" s="14"/>
      <c r="I688" s="14"/>
      <c r="J688" s="14"/>
      <c r="K688" s="12"/>
    </row>
    <row r="689" ht="19.5" customHeight="1">
      <c r="A689" s="12"/>
      <c r="C689" s="12"/>
      <c r="D689" s="13"/>
      <c r="F689" s="14"/>
      <c r="G689" s="14"/>
      <c r="H689" s="14"/>
      <c r="I689" s="14"/>
      <c r="J689" s="14"/>
      <c r="K689" s="12"/>
    </row>
    <row r="690" ht="19.5" customHeight="1">
      <c r="A690" s="12"/>
      <c r="C690" s="12"/>
      <c r="D690" s="13"/>
      <c r="F690" s="14"/>
      <c r="G690" s="14"/>
      <c r="H690" s="14"/>
      <c r="I690" s="14"/>
      <c r="J690" s="14"/>
      <c r="K690" s="12"/>
    </row>
    <row r="691" ht="19.5" customHeight="1">
      <c r="A691" s="12"/>
      <c r="C691" s="12"/>
      <c r="D691" s="13"/>
      <c r="F691" s="14"/>
      <c r="G691" s="14"/>
      <c r="H691" s="14"/>
      <c r="I691" s="14"/>
      <c r="J691" s="14"/>
      <c r="K691" s="12"/>
    </row>
    <row r="692" ht="19.5" customHeight="1">
      <c r="A692" s="12"/>
      <c r="C692" s="12"/>
      <c r="D692" s="13"/>
      <c r="F692" s="14"/>
      <c r="G692" s="14"/>
      <c r="H692" s="14"/>
      <c r="I692" s="14"/>
      <c r="J692" s="14"/>
      <c r="K692" s="12"/>
    </row>
    <row r="693" ht="19.5" customHeight="1">
      <c r="A693" s="12"/>
      <c r="C693" s="12"/>
      <c r="D693" s="13"/>
      <c r="F693" s="14"/>
      <c r="G693" s="14"/>
      <c r="H693" s="14"/>
      <c r="I693" s="14"/>
      <c r="J693" s="14"/>
      <c r="K693" s="12"/>
    </row>
    <row r="694" ht="19.5" customHeight="1">
      <c r="A694" s="12"/>
      <c r="C694" s="12"/>
      <c r="D694" s="13"/>
      <c r="F694" s="14"/>
      <c r="G694" s="14"/>
      <c r="H694" s="14"/>
      <c r="I694" s="14"/>
      <c r="J694" s="14"/>
      <c r="K694" s="12"/>
    </row>
    <row r="695" ht="19.5" customHeight="1">
      <c r="A695" s="12"/>
      <c r="C695" s="12"/>
      <c r="D695" s="13"/>
      <c r="F695" s="14"/>
      <c r="G695" s="14"/>
      <c r="H695" s="14"/>
      <c r="I695" s="14"/>
      <c r="J695" s="14"/>
      <c r="K695" s="12"/>
    </row>
    <row r="696" ht="19.5" customHeight="1">
      <c r="A696" s="12"/>
      <c r="C696" s="12"/>
      <c r="D696" s="13"/>
      <c r="F696" s="14"/>
      <c r="G696" s="14"/>
      <c r="H696" s="14"/>
      <c r="I696" s="14"/>
      <c r="J696" s="14"/>
      <c r="K696" s="12"/>
    </row>
    <row r="697" ht="19.5" customHeight="1">
      <c r="A697" s="12"/>
      <c r="C697" s="12"/>
      <c r="D697" s="13"/>
      <c r="F697" s="14"/>
      <c r="G697" s="14"/>
      <c r="H697" s="14"/>
      <c r="I697" s="14"/>
      <c r="J697" s="14"/>
      <c r="K697" s="12"/>
    </row>
    <row r="698" ht="19.5" customHeight="1">
      <c r="A698" s="12"/>
      <c r="C698" s="12"/>
      <c r="D698" s="13"/>
      <c r="F698" s="14"/>
      <c r="G698" s="14"/>
      <c r="H698" s="14"/>
      <c r="I698" s="14"/>
      <c r="J698" s="14"/>
      <c r="K698" s="12"/>
    </row>
    <row r="699" ht="19.5" customHeight="1">
      <c r="A699" s="12"/>
      <c r="C699" s="12"/>
      <c r="D699" s="13"/>
      <c r="F699" s="14"/>
      <c r="G699" s="14"/>
      <c r="H699" s="14"/>
      <c r="I699" s="14"/>
      <c r="J699" s="14"/>
      <c r="K699" s="12"/>
    </row>
    <row r="700" ht="19.5" customHeight="1">
      <c r="A700" s="12"/>
      <c r="C700" s="12"/>
      <c r="D700" s="13"/>
      <c r="F700" s="14"/>
      <c r="G700" s="14"/>
      <c r="H700" s="14"/>
      <c r="I700" s="14"/>
      <c r="J700" s="14"/>
      <c r="K700" s="12"/>
    </row>
    <row r="701" ht="19.5" customHeight="1">
      <c r="A701" s="12"/>
      <c r="C701" s="12"/>
      <c r="D701" s="13"/>
      <c r="F701" s="14"/>
      <c r="G701" s="14"/>
      <c r="H701" s="14"/>
      <c r="I701" s="14"/>
      <c r="J701" s="14"/>
      <c r="K701" s="12"/>
    </row>
    <row r="702" ht="19.5" customHeight="1">
      <c r="A702" s="12"/>
      <c r="C702" s="12"/>
      <c r="D702" s="13"/>
      <c r="F702" s="14"/>
      <c r="G702" s="14"/>
      <c r="H702" s="14"/>
      <c r="I702" s="14"/>
      <c r="J702" s="14"/>
      <c r="K702" s="12"/>
    </row>
    <row r="703" ht="19.5" customHeight="1">
      <c r="A703" s="12"/>
      <c r="C703" s="12"/>
      <c r="D703" s="13"/>
      <c r="F703" s="14"/>
      <c r="G703" s="14"/>
      <c r="H703" s="14"/>
      <c r="I703" s="14"/>
      <c r="J703" s="14"/>
      <c r="K703" s="12"/>
    </row>
    <row r="704" ht="19.5" customHeight="1">
      <c r="A704" s="12"/>
      <c r="C704" s="12"/>
      <c r="D704" s="13"/>
      <c r="F704" s="14"/>
      <c r="G704" s="14"/>
      <c r="H704" s="14"/>
      <c r="I704" s="14"/>
      <c r="J704" s="14"/>
      <c r="K704" s="12"/>
    </row>
    <row r="705" ht="19.5" customHeight="1">
      <c r="A705" s="12"/>
      <c r="C705" s="12"/>
      <c r="D705" s="13"/>
      <c r="F705" s="14"/>
      <c r="G705" s="14"/>
      <c r="H705" s="14"/>
      <c r="I705" s="14"/>
      <c r="J705" s="14"/>
      <c r="K705" s="12"/>
    </row>
    <row r="706" ht="19.5" customHeight="1">
      <c r="A706" s="12"/>
      <c r="C706" s="12"/>
      <c r="D706" s="13"/>
      <c r="F706" s="14"/>
      <c r="G706" s="14"/>
      <c r="H706" s="14"/>
      <c r="I706" s="14"/>
      <c r="J706" s="14"/>
      <c r="K706" s="12"/>
    </row>
    <row r="707" ht="19.5" customHeight="1">
      <c r="A707" s="12"/>
      <c r="C707" s="12"/>
      <c r="D707" s="13"/>
      <c r="F707" s="14"/>
      <c r="G707" s="14"/>
      <c r="H707" s="14"/>
      <c r="I707" s="14"/>
      <c r="J707" s="14"/>
      <c r="K707" s="12"/>
    </row>
    <row r="708" ht="19.5" customHeight="1">
      <c r="A708" s="12"/>
      <c r="C708" s="12"/>
      <c r="D708" s="13"/>
      <c r="F708" s="14"/>
      <c r="G708" s="14"/>
      <c r="H708" s="14"/>
      <c r="I708" s="14"/>
      <c r="J708" s="14"/>
      <c r="K708" s="12"/>
    </row>
    <row r="709" ht="19.5" customHeight="1">
      <c r="A709" s="12"/>
      <c r="C709" s="12"/>
      <c r="D709" s="13"/>
      <c r="F709" s="14"/>
      <c r="G709" s="14"/>
      <c r="H709" s="14"/>
      <c r="I709" s="14"/>
      <c r="J709" s="14"/>
      <c r="K709" s="12"/>
    </row>
    <row r="710" ht="19.5" customHeight="1">
      <c r="A710" s="12"/>
      <c r="C710" s="12"/>
      <c r="D710" s="13"/>
      <c r="F710" s="14"/>
      <c r="G710" s="14"/>
      <c r="H710" s="14"/>
      <c r="I710" s="14"/>
      <c r="J710" s="14"/>
      <c r="K710" s="12"/>
    </row>
    <row r="711" ht="19.5" customHeight="1">
      <c r="A711" s="12"/>
      <c r="C711" s="12"/>
      <c r="D711" s="13"/>
      <c r="F711" s="14"/>
      <c r="G711" s="14"/>
      <c r="H711" s="14"/>
      <c r="I711" s="14"/>
      <c r="J711" s="14"/>
      <c r="K711" s="12"/>
    </row>
    <row r="712" ht="19.5" customHeight="1">
      <c r="A712" s="12"/>
      <c r="C712" s="12"/>
      <c r="D712" s="13"/>
      <c r="F712" s="14"/>
      <c r="G712" s="14"/>
      <c r="H712" s="14"/>
      <c r="I712" s="14"/>
      <c r="J712" s="14"/>
      <c r="K712" s="12"/>
    </row>
    <row r="713" ht="19.5" customHeight="1">
      <c r="A713" s="12"/>
      <c r="C713" s="12"/>
      <c r="D713" s="13"/>
      <c r="F713" s="14"/>
      <c r="G713" s="14"/>
      <c r="H713" s="14"/>
      <c r="I713" s="14"/>
      <c r="J713" s="14"/>
      <c r="K713" s="12"/>
    </row>
    <row r="714" ht="19.5" customHeight="1">
      <c r="A714" s="12"/>
      <c r="C714" s="12"/>
      <c r="D714" s="13"/>
      <c r="F714" s="14"/>
      <c r="G714" s="14"/>
      <c r="H714" s="14"/>
      <c r="I714" s="14"/>
      <c r="J714" s="14"/>
      <c r="K714" s="12"/>
    </row>
    <row r="715" ht="19.5" customHeight="1">
      <c r="A715" s="12"/>
      <c r="C715" s="12"/>
      <c r="D715" s="13"/>
      <c r="F715" s="14"/>
      <c r="G715" s="14"/>
      <c r="H715" s="14"/>
      <c r="I715" s="14"/>
      <c r="J715" s="14"/>
      <c r="K715" s="12"/>
    </row>
    <row r="716" ht="19.5" customHeight="1">
      <c r="A716" s="12"/>
      <c r="C716" s="12"/>
      <c r="D716" s="13"/>
      <c r="F716" s="14"/>
      <c r="G716" s="14"/>
      <c r="H716" s="14"/>
      <c r="I716" s="14"/>
      <c r="J716" s="14"/>
      <c r="K716" s="12"/>
    </row>
    <row r="717" ht="19.5" customHeight="1">
      <c r="A717" s="12"/>
      <c r="C717" s="12"/>
      <c r="D717" s="13"/>
      <c r="F717" s="14"/>
      <c r="G717" s="14"/>
      <c r="H717" s="14"/>
      <c r="I717" s="14"/>
      <c r="J717" s="14"/>
      <c r="K717" s="12"/>
    </row>
    <row r="718" ht="19.5" customHeight="1">
      <c r="A718" s="12"/>
      <c r="C718" s="12"/>
      <c r="D718" s="13"/>
      <c r="F718" s="14"/>
      <c r="G718" s="14"/>
      <c r="H718" s="14"/>
      <c r="I718" s="14"/>
      <c r="J718" s="14"/>
      <c r="K718" s="12"/>
    </row>
    <row r="719" ht="19.5" customHeight="1">
      <c r="A719" s="12"/>
      <c r="C719" s="12"/>
      <c r="D719" s="13"/>
      <c r="F719" s="14"/>
      <c r="G719" s="14"/>
      <c r="H719" s="14"/>
      <c r="I719" s="14"/>
      <c r="J719" s="14"/>
      <c r="K719" s="12"/>
    </row>
    <row r="720" ht="19.5" customHeight="1">
      <c r="A720" s="12"/>
      <c r="C720" s="12"/>
      <c r="D720" s="13"/>
      <c r="F720" s="14"/>
      <c r="G720" s="14"/>
      <c r="H720" s="14"/>
      <c r="I720" s="14"/>
      <c r="J720" s="14"/>
      <c r="K720" s="12"/>
    </row>
    <row r="721" ht="19.5" customHeight="1">
      <c r="A721" s="12"/>
      <c r="C721" s="12"/>
      <c r="D721" s="13"/>
      <c r="F721" s="14"/>
      <c r="G721" s="14"/>
      <c r="H721" s="14"/>
      <c r="I721" s="14"/>
      <c r="J721" s="14"/>
      <c r="K721" s="12"/>
    </row>
    <row r="722" ht="19.5" customHeight="1">
      <c r="A722" s="12"/>
      <c r="C722" s="12"/>
      <c r="D722" s="13"/>
      <c r="F722" s="14"/>
      <c r="G722" s="14"/>
      <c r="H722" s="14"/>
      <c r="I722" s="14"/>
      <c r="J722" s="14"/>
      <c r="K722" s="12"/>
    </row>
    <row r="723" ht="19.5" customHeight="1">
      <c r="A723" s="12"/>
      <c r="C723" s="12"/>
      <c r="D723" s="13"/>
      <c r="F723" s="14"/>
      <c r="G723" s="14"/>
      <c r="H723" s="14"/>
      <c r="I723" s="14"/>
      <c r="J723" s="14"/>
      <c r="K723" s="12"/>
    </row>
    <row r="724" ht="19.5" customHeight="1">
      <c r="A724" s="12"/>
      <c r="C724" s="12"/>
      <c r="D724" s="13"/>
      <c r="F724" s="14"/>
      <c r="G724" s="14"/>
      <c r="H724" s="14"/>
      <c r="I724" s="14"/>
      <c r="J724" s="14"/>
      <c r="K724" s="12"/>
    </row>
    <row r="725" ht="19.5" customHeight="1">
      <c r="A725" s="12"/>
      <c r="C725" s="12"/>
      <c r="D725" s="13"/>
      <c r="F725" s="14"/>
      <c r="G725" s="14"/>
      <c r="H725" s="14"/>
      <c r="I725" s="14"/>
      <c r="J725" s="14"/>
      <c r="K725" s="12"/>
    </row>
    <row r="726" ht="19.5" customHeight="1">
      <c r="A726" s="12"/>
      <c r="C726" s="12"/>
      <c r="D726" s="13"/>
      <c r="F726" s="14"/>
      <c r="G726" s="14"/>
      <c r="H726" s="14"/>
      <c r="I726" s="14"/>
      <c r="J726" s="14"/>
      <c r="K726" s="12"/>
    </row>
    <row r="727" ht="19.5" customHeight="1">
      <c r="A727" s="12"/>
      <c r="C727" s="12"/>
      <c r="D727" s="13"/>
      <c r="F727" s="14"/>
      <c r="G727" s="14"/>
      <c r="H727" s="14"/>
      <c r="I727" s="14"/>
      <c r="J727" s="14"/>
      <c r="K727" s="12"/>
    </row>
    <row r="728" ht="19.5" customHeight="1">
      <c r="A728" s="12"/>
      <c r="C728" s="12"/>
      <c r="D728" s="13"/>
      <c r="F728" s="14"/>
      <c r="G728" s="14"/>
      <c r="H728" s="14"/>
      <c r="I728" s="14"/>
      <c r="J728" s="14"/>
      <c r="K728" s="12"/>
    </row>
    <row r="729" ht="19.5" customHeight="1">
      <c r="A729" s="12"/>
      <c r="C729" s="12"/>
      <c r="D729" s="13"/>
      <c r="F729" s="14"/>
      <c r="G729" s="14"/>
      <c r="H729" s="14"/>
      <c r="I729" s="14"/>
      <c r="J729" s="14"/>
      <c r="K729" s="12"/>
    </row>
    <row r="730" ht="19.5" customHeight="1">
      <c r="A730" s="12"/>
      <c r="C730" s="12"/>
      <c r="D730" s="13"/>
      <c r="F730" s="14"/>
      <c r="G730" s="14"/>
      <c r="H730" s="14"/>
      <c r="I730" s="14"/>
      <c r="J730" s="14"/>
      <c r="K730" s="12"/>
    </row>
    <row r="731" ht="19.5" customHeight="1">
      <c r="A731" s="12"/>
      <c r="C731" s="12"/>
      <c r="D731" s="13"/>
      <c r="F731" s="14"/>
      <c r="G731" s="14"/>
      <c r="H731" s="14"/>
      <c r="I731" s="14"/>
      <c r="J731" s="14"/>
      <c r="K731" s="12"/>
    </row>
    <row r="732" ht="19.5" customHeight="1">
      <c r="A732" s="12"/>
      <c r="C732" s="12"/>
      <c r="D732" s="13"/>
      <c r="F732" s="14"/>
      <c r="G732" s="14"/>
      <c r="H732" s="14"/>
      <c r="I732" s="14"/>
      <c r="J732" s="14"/>
      <c r="K732" s="12"/>
    </row>
    <row r="733" ht="19.5" customHeight="1">
      <c r="A733" s="12"/>
      <c r="C733" s="12"/>
      <c r="D733" s="13"/>
      <c r="F733" s="14"/>
      <c r="G733" s="14"/>
      <c r="H733" s="14"/>
      <c r="I733" s="14"/>
      <c r="J733" s="14"/>
      <c r="K733" s="12"/>
    </row>
    <row r="734" ht="19.5" customHeight="1">
      <c r="A734" s="12"/>
      <c r="C734" s="12"/>
      <c r="D734" s="13"/>
      <c r="F734" s="14"/>
      <c r="G734" s="14"/>
      <c r="H734" s="14"/>
      <c r="I734" s="14"/>
      <c r="J734" s="14"/>
      <c r="K734" s="12"/>
    </row>
    <row r="735" ht="19.5" customHeight="1">
      <c r="A735" s="12"/>
      <c r="C735" s="12"/>
      <c r="D735" s="13"/>
      <c r="F735" s="14"/>
      <c r="G735" s="14"/>
      <c r="H735" s="14"/>
      <c r="I735" s="14"/>
      <c r="J735" s="14"/>
      <c r="K735" s="12"/>
    </row>
    <row r="736" ht="19.5" customHeight="1">
      <c r="A736" s="12"/>
      <c r="C736" s="12"/>
      <c r="D736" s="13"/>
      <c r="F736" s="14"/>
      <c r="G736" s="14"/>
      <c r="H736" s="14"/>
      <c r="I736" s="14"/>
      <c r="J736" s="14"/>
      <c r="K736" s="12"/>
    </row>
    <row r="737" ht="19.5" customHeight="1">
      <c r="A737" s="12"/>
      <c r="C737" s="12"/>
      <c r="D737" s="13"/>
      <c r="F737" s="14"/>
      <c r="G737" s="14"/>
      <c r="H737" s="14"/>
      <c r="I737" s="14"/>
      <c r="J737" s="14"/>
      <c r="K737" s="12"/>
    </row>
    <row r="738" ht="19.5" customHeight="1">
      <c r="A738" s="12"/>
      <c r="C738" s="12"/>
      <c r="D738" s="13"/>
      <c r="F738" s="14"/>
      <c r="G738" s="14"/>
      <c r="H738" s="14"/>
      <c r="I738" s="14"/>
      <c r="J738" s="14"/>
      <c r="K738" s="12"/>
    </row>
    <row r="739" ht="19.5" customHeight="1">
      <c r="A739" s="12"/>
      <c r="C739" s="12"/>
      <c r="D739" s="13"/>
      <c r="F739" s="14"/>
      <c r="G739" s="14"/>
      <c r="H739" s="14"/>
      <c r="I739" s="14"/>
      <c r="J739" s="14"/>
      <c r="K739" s="12"/>
    </row>
    <row r="740" ht="19.5" customHeight="1">
      <c r="A740" s="12"/>
      <c r="C740" s="12"/>
      <c r="D740" s="13"/>
      <c r="F740" s="14"/>
      <c r="G740" s="14"/>
      <c r="H740" s="14"/>
      <c r="I740" s="14"/>
      <c r="J740" s="14"/>
      <c r="K740" s="12"/>
    </row>
    <row r="741" ht="19.5" customHeight="1">
      <c r="A741" s="12"/>
      <c r="C741" s="12"/>
      <c r="D741" s="13"/>
      <c r="F741" s="14"/>
      <c r="G741" s="14"/>
      <c r="H741" s="14"/>
      <c r="I741" s="14"/>
      <c r="J741" s="14"/>
      <c r="K741" s="12"/>
    </row>
    <row r="742" ht="19.5" customHeight="1">
      <c r="A742" s="12"/>
      <c r="C742" s="12"/>
      <c r="D742" s="13"/>
      <c r="F742" s="14"/>
      <c r="G742" s="14"/>
      <c r="H742" s="14"/>
      <c r="I742" s="14"/>
      <c r="J742" s="14"/>
      <c r="K742" s="12"/>
    </row>
    <row r="743" ht="19.5" customHeight="1">
      <c r="A743" s="12"/>
      <c r="C743" s="12"/>
      <c r="D743" s="13"/>
      <c r="F743" s="14"/>
      <c r="G743" s="14"/>
      <c r="H743" s="14"/>
      <c r="I743" s="14"/>
      <c r="J743" s="14"/>
      <c r="K743" s="12"/>
    </row>
    <row r="744" ht="19.5" customHeight="1">
      <c r="A744" s="12"/>
      <c r="C744" s="12"/>
      <c r="D744" s="13"/>
      <c r="F744" s="14"/>
      <c r="G744" s="14"/>
      <c r="H744" s="14"/>
      <c r="I744" s="14"/>
      <c r="J744" s="14"/>
      <c r="K744" s="12"/>
    </row>
    <row r="745" ht="19.5" customHeight="1">
      <c r="A745" s="12"/>
      <c r="C745" s="12"/>
      <c r="D745" s="13"/>
      <c r="F745" s="14"/>
      <c r="G745" s="14"/>
      <c r="H745" s="14"/>
      <c r="I745" s="14"/>
      <c r="J745" s="14"/>
      <c r="K745" s="12"/>
    </row>
    <row r="746" ht="19.5" customHeight="1">
      <c r="A746" s="12"/>
      <c r="C746" s="12"/>
      <c r="D746" s="13"/>
      <c r="F746" s="14"/>
      <c r="G746" s="14"/>
      <c r="H746" s="14"/>
      <c r="I746" s="14"/>
      <c r="J746" s="14"/>
      <c r="K746" s="12"/>
    </row>
    <row r="747" ht="19.5" customHeight="1">
      <c r="A747" s="12"/>
      <c r="C747" s="12"/>
      <c r="D747" s="13"/>
      <c r="F747" s="14"/>
      <c r="G747" s="14"/>
      <c r="H747" s="14"/>
      <c r="I747" s="14"/>
      <c r="J747" s="14"/>
      <c r="K747" s="12"/>
    </row>
    <row r="748" ht="19.5" customHeight="1">
      <c r="A748" s="12"/>
      <c r="C748" s="12"/>
      <c r="D748" s="13"/>
      <c r="F748" s="14"/>
      <c r="G748" s="14"/>
      <c r="H748" s="14"/>
      <c r="I748" s="14"/>
      <c r="J748" s="14"/>
      <c r="K748" s="12"/>
    </row>
    <row r="749" ht="19.5" customHeight="1">
      <c r="A749" s="12"/>
      <c r="C749" s="12"/>
      <c r="D749" s="13"/>
      <c r="F749" s="14"/>
      <c r="G749" s="14"/>
      <c r="H749" s="14"/>
      <c r="I749" s="14"/>
      <c r="J749" s="14"/>
      <c r="K749" s="12"/>
    </row>
    <row r="750" ht="19.5" customHeight="1">
      <c r="A750" s="12"/>
      <c r="C750" s="12"/>
      <c r="D750" s="13"/>
      <c r="F750" s="14"/>
      <c r="G750" s="14"/>
      <c r="H750" s="14"/>
      <c r="I750" s="14"/>
      <c r="J750" s="14"/>
      <c r="K750" s="12"/>
    </row>
    <row r="751" ht="19.5" customHeight="1">
      <c r="A751" s="12"/>
      <c r="C751" s="12"/>
      <c r="D751" s="13"/>
      <c r="F751" s="14"/>
      <c r="G751" s="14"/>
      <c r="H751" s="14"/>
      <c r="I751" s="14"/>
      <c r="J751" s="14"/>
      <c r="K751" s="12"/>
    </row>
    <row r="752" ht="19.5" customHeight="1">
      <c r="A752" s="12"/>
      <c r="C752" s="12"/>
      <c r="D752" s="13"/>
      <c r="F752" s="14"/>
      <c r="G752" s="14"/>
      <c r="H752" s="14"/>
      <c r="I752" s="14"/>
      <c r="J752" s="14"/>
      <c r="K752" s="12"/>
    </row>
    <row r="753" ht="19.5" customHeight="1">
      <c r="A753" s="12"/>
      <c r="C753" s="12"/>
      <c r="D753" s="13"/>
      <c r="F753" s="14"/>
      <c r="G753" s="14"/>
      <c r="H753" s="14"/>
      <c r="I753" s="14"/>
      <c r="J753" s="14"/>
      <c r="K753" s="12"/>
    </row>
    <row r="754" ht="19.5" customHeight="1">
      <c r="A754" s="12"/>
      <c r="C754" s="12"/>
      <c r="D754" s="13"/>
      <c r="F754" s="14"/>
      <c r="G754" s="14"/>
      <c r="H754" s="14"/>
      <c r="I754" s="14"/>
      <c r="J754" s="14"/>
      <c r="K754" s="12"/>
    </row>
    <row r="755" ht="19.5" customHeight="1">
      <c r="A755" s="12"/>
      <c r="C755" s="12"/>
      <c r="D755" s="13"/>
      <c r="F755" s="14"/>
      <c r="G755" s="14"/>
      <c r="H755" s="14"/>
      <c r="I755" s="14"/>
      <c r="J755" s="14"/>
      <c r="K755" s="12"/>
    </row>
    <row r="756" ht="19.5" customHeight="1">
      <c r="A756" s="12"/>
      <c r="C756" s="12"/>
      <c r="D756" s="13"/>
      <c r="F756" s="14"/>
      <c r="G756" s="14"/>
      <c r="H756" s="14"/>
      <c r="I756" s="14"/>
      <c r="J756" s="14"/>
      <c r="K756" s="12"/>
    </row>
    <row r="757" ht="19.5" customHeight="1">
      <c r="A757" s="12"/>
      <c r="C757" s="12"/>
      <c r="D757" s="13"/>
      <c r="F757" s="14"/>
      <c r="G757" s="14"/>
      <c r="H757" s="14"/>
      <c r="I757" s="14"/>
      <c r="J757" s="14"/>
      <c r="K757" s="12"/>
    </row>
    <row r="758" ht="19.5" customHeight="1">
      <c r="A758" s="12"/>
      <c r="C758" s="12"/>
      <c r="D758" s="13"/>
      <c r="F758" s="14"/>
      <c r="G758" s="14"/>
      <c r="H758" s="14"/>
      <c r="I758" s="14"/>
      <c r="J758" s="14"/>
      <c r="K758" s="12"/>
    </row>
    <row r="759" ht="19.5" customHeight="1">
      <c r="A759" s="12"/>
      <c r="C759" s="12"/>
      <c r="D759" s="13"/>
      <c r="F759" s="14"/>
      <c r="G759" s="14"/>
      <c r="H759" s="14"/>
      <c r="I759" s="14"/>
      <c r="J759" s="14"/>
      <c r="K759" s="12"/>
    </row>
    <row r="760" ht="19.5" customHeight="1">
      <c r="A760" s="12"/>
      <c r="C760" s="12"/>
      <c r="D760" s="13"/>
      <c r="F760" s="14"/>
      <c r="G760" s="14"/>
      <c r="H760" s="14"/>
      <c r="I760" s="14"/>
      <c r="J760" s="14"/>
      <c r="K760" s="12"/>
    </row>
    <row r="761" ht="19.5" customHeight="1">
      <c r="A761" s="12"/>
      <c r="C761" s="12"/>
      <c r="D761" s="13"/>
      <c r="F761" s="14"/>
      <c r="G761" s="14"/>
      <c r="H761" s="14"/>
      <c r="I761" s="14"/>
      <c r="J761" s="14"/>
      <c r="K761" s="12"/>
    </row>
    <row r="762" ht="19.5" customHeight="1">
      <c r="A762" s="12"/>
      <c r="C762" s="12"/>
      <c r="D762" s="13"/>
      <c r="F762" s="14"/>
      <c r="G762" s="14"/>
      <c r="H762" s="14"/>
      <c r="I762" s="14"/>
      <c r="J762" s="14"/>
      <c r="K762" s="12"/>
    </row>
    <row r="763" ht="19.5" customHeight="1">
      <c r="A763" s="12"/>
      <c r="C763" s="12"/>
      <c r="D763" s="13"/>
      <c r="F763" s="14"/>
      <c r="G763" s="14"/>
      <c r="H763" s="14"/>
      <c r="I763" s="14"/>
      <c r="J763" s="14"/>
      <c r="K763" s="12"/>
    </row>
    <row r="764" ht="19.5" customHeight="1">
      <c r="A764" s="12"/>
      <c r="C764" s="12"/>
      <c r="D764" s="13"/>
      <c r="F764" s="14"/>
      <c r="G764" s="14"/>
      <c r="H764" s="14"/>
      <c r="I764" s="14"/>
      <c r="J764" s="14"/>
      <c r="K764" s="12"/>
    </row>
    <row r="765" ht="19.5" customHeight="1">
      <c r="A765" s="12"/>
      <c r="C765" s="12"/>
      <c r="D765" s="13"/>
      <c r="F765" s="14"/>
      <c r="G765" s="14"/>
      <c r="H765" s="14"/>
      <c r="I765" s="14"/>
      <c r="J765" s="14"/>
      <c r="K765" s="12"/>
    </row>
    <row r="766" ht="19.5" customHeight="1">
      <c r="A766" s="12"/>
      <c r="C766" s="12"/>
      <c r="D766" s="13"/>
      <c r="F766" s="14"/>
      <c r="G766" s="14"/>
      <c r="H766" s="14"/>
      <c r="I766" s="14"/>
      <c r="J766" s="14"/>
      <c r="K766" s="12"/>
    </row>
    <row r="767" ht="19.5" customHeight="1">
      <c r="A767" s="12"/>
      <c r="C767" s="12"/>
      <c r="D767" s="13"/>
      <c r="F767" s="14"/>
      <c r="G767" s="14"/>
      <c r="H767" s="14"/>
      <c r="I767" s="14"/>
      <c r="J767" s="14"/>
      <c r="K767" s="12"/>
    </row>
    <row r="768" ht="19.5" customHeight="1">
      <c r="A768" s="12"/>
      <c r="C768" s="12"/>
      <c r="D768" s="13"/>
      <c r="F768" s="14"/>
      <c r="G768" s="14"/>
      <c r="H768" s="14"/>
      <c r="I768" s="14"/>
      <c r="J768" s="14"/>
      <c r="K768" s="12"/>
    </row>
    <row r="769" ht="19.5" customHeight="1">
      <c r="A769" s="12"/>
      <c r="C769" s="12"/>
      <c r="D769" s="13"/>
      <c r="F769" s="14"/>
      <c r="G769" s="14"/>
      <c r="H769" s="14"/>
      <c r="I769" s="14"/>
      <c r="J769" s="14"/>
      <c r="K769" s="12"/>
    </row>
    <row r="770" ht="19.5" customHeight="1">
      <c r="A770" s="12"/>
      <c r="C770" s="12"/>
      <c r="D770" s="13"/>
      <c r="F770" s="14"/>
      <c r="G770" s="14"/>
      <c r="H770" s="14"/>
      <c r="I770" s="14"/>
      <c r="J770" s="14"/>
      <c r="K770" s="12"/>
    </row>
    <row r="771" ht="19.5" customHeight="1">
      <c r="A771" s="12"/>
      <c r="C771" s="12"/>
      <c r="D771" s="13"/>
      <c r="F771" s="14"/>
      <c r="G771" s="14"/>
      <c r="H771" s="14"/>
      <c r="I771" s="14"/>
      <c r="J771" s="14"/>
      <c r="K771" s="12"/>
    </row>
    <row r="772" ht="19.5" customHeight="1">
      <c r="A772" s="12"/>
      <c r="C772" s="12"/>
      <c r="D772" s="13"/>
      <c r="F772" s="14"/>
      <c r="G772" s="14"/>
      <c r="H772" s="14"/>
      <c r="I772" s="14"/>
      <c r="J772" s="14"/>
      <c r="K772" s="12"/>
    </row>
    <row r="773" ht="19.5" customHeight="1">
      <c r="A773" s="12"/>
      <c r="C773" s="12"/>
      <c r="D773" s="13"/>
      <c r="F773" s="14"/>
      <c r="G773" s="14"/>
      <c r="H773" s="14"/>
      <c r="I773" s="14"/>
      <c r="J773" s="14"/>
      <c r="K773" s="12"/>
    </row>
    <row r="774" ht="19.5" customHeight="1">
      <c r="A774" s="12"/>
      <c r="C774" s="12"/>
      <c r="D774" s="13"/>
      <c r="F774" s="14"/>
      <c r="G774" s="14"/>
      <c r="H774" s="14"/>
      <c r="I774" s="14"/>
      <c r="J774" s="14"/>
      <c r="K774" s="12"/>
    </row>
    <row r="775" ht="19.5" customHeight="1">
      <c r="A775" s="12"/>
      <c r="C775" s="12"/>
      <c r="D775" s="13"/>
      <c r="F775" s="14"/>
      <c r="G775" s="14"/>
      <c r="H775" s="14"/>
      <c r="I775" s="14"/>
      <c r="J775" s="14"/>
      <c r="K775" s="12"/>
    </row>
    <row r="776" ht="19.5" customHeight="1">
      <c r="A776" s="12"/>
      <c r="C776" s="12"/>
      <c r="D776" s="13"/>
      <c r="F776" s="14"/>
      <c r="G776" s="14"/>
      <c r="H776" s="14"/>
      <c r="I776" s="14"/>
      <c r="J776" s="14"/>
      <c r="K776" s="12"/>
    </row>
    <row r="777" ht="19.5" customHeight="1">
      <c r="A777" s="12"/>
      <c r="C777" s="12"/>
      <c r="D777" s="13"/>
      <c r="F777" s="14"/>
      <c r="G777" s="14"/>
      <c r="H777" s="14"/>
      <c r="I777" s="14"/>
      <c r="J777" s="14"/>
      <c r="K777" s="12"/>
    </row>
    <row r="778" ht="19.5" customHeight="1">
      <c r="A778" s="12"/>
      <c r="C778" s="12"/>
      <c r="D778" s="13"/>
      <c r="F778" s="14"/>
      <c r="G778" s="14"/>
      <c r="H778" s="14"/>
      <c r="I778" s="14"/>
      <c r="J778" s="14"/>
      <c r="K778" s="12"/>
    </row>
    <row r="779" ht="19.5" customHeight="1">
      <c r="A779" s="12"/>
      <c r="C779" s="12"/>
      <c r="D779" s="13"/>
      <c r="F779" s="14"/>
      <c r="G779" s="14"/>
      <c r="H779" s="14"/>
      <c r="I779" s="14"/>
      <c r="J779" s="14"/>
      <c r="K779" s="12"/>
    </row>
    <row r="780" ht="19.5" customHeight="1">
      <c r="A780" s="12"/>
      <c r="C780" s="12"/>
      <c r="D780" s="13"/>
      <c r="F780" s="14"/>
      <c r="G780" s="14"/>
      <c r="H780" s="14"/>
      <c r="I780" s="14"/>
      <c r="J780" s="14"/>
      <c r="K780" s="12"/>
    </row>
    <row r="781" ht="19.5" customHeight="1">
      <c r="A781" s="12"/>
      <c r="C781" s="12"/>
      <c r="D781" s="13"/>
      <c r="F781" s="14"/>
      <c r="G781" s="14"/>
      <c r="H781" s="14"/>
      <c r="I781" s="14"/>
      <c r="J781" s="14"/>
      <c r="K781" s="12"/>
    </row>
    <row r="782" ht="19.5" customHeight="1">
      <c r="A782" s="12"/>
      <c r="C782" s="12"/>
      <c r="D782" s="13"/>
      <c r="F782" s="14"/>
      <c r="G782" s="14"/>
      <c r="H782" s="14"/>
      <c r="I782" s="14"/>
      <c r="J782" s="14"/>
      <c r="K782" s="12"/>
    </row>
    <row r="783" ht="19.5" customHeight="1">
      <c r="A783" s="12"/>
      <c r="C783" s="12"/>
      <c r="D783" s="13"/>
      <c r="F783" s="14"/>
      <c r="G783" s="14"/>
      <c r="H783" s="14"/>
      <c r="I783" s="14"/>
      <c r="J783" s="14"/>
      <c r="K783" s="12"/>
    </row>
    <row r="784" ht="19.5" customHeight="1">
      <c r="A784" s="12"/>
      <c r="C784" s="12"/>
      <c r="D784" s="13"/>
      <c r="F784" s="14"/>
      <c r="G784" s="14"/>
      <c r="H784" s="14"/>
      <c r="I784" s="14"/>
      <c r="J784" s="14"/>
      <c r="K784" s="12"/>
    </row>
    <row r="785" ht="19.5" customHeight="1">
      <c r="A785" s="12"/>
      <c r="C785" s="12"/>
      <c r="D785" s="13"/>
      <c r="F785" s="14"/>
      <c r="G785" s="14"/>
      <c r="H785" s="14"/>
      <c r="I785" s="14"/>
      <c r="J785" s="14"/>
      <c r="K785" s="12"/>
    </row>
    <row r="786" ht="19.5" customHeight="1">
      <c r="A786" s="12"/>
      <c r="C786" s="12"/>
      <c r="D786" s="13"/>
      <c r="F786" s="14"/>
      <c r="G786" s="14"/>
      <c r="H786" s="14"/>
      <c r="I786" s="14"/>
      <c r="J786" s="14"/>
      <c r="K786" s="12"/>
    </row>
    <row r="787" ht="19.5" customHeight="1">
      <c r="A787" s="12"/>
      <c r="C787" s="12"/>
      <c r="D787" s="13"/>
      <c r="F787" s="14"/>
      <c r="G787" s="14"/>
      <c r="H787" s="14"/>
      <c r="I787" s="14"/>
      <c r="J787" s="14"/>
      <c r="K787" s="12"/>
    </row>
    <row r="788" ht="19.5" customHeight="1">
      <c r="A788" s="12"/>
      <c r="C788" s="12"/>
      <c r="D788" s="13"/>
      <c r="F788" s="14"/>
      <c r="G788" s="14"/>
      <c r="H788" s="14"/>
      <c r="I788" s="14"/>
      <c r="J788" s="14"/>
      <c r="K788" s="12"/>
    </row>
    <row r="789" ht="19.5" customHeight="1">
      <c r="A789" s="12"/>
      <c r="C789" s="12"/>
      <c r="D789" s="13"/>
      <c r="F789" s="14"/>
      <c r="G789" s="14"/>
      <c r="H789" s="14"/>
      <c r="I789" s="14"/>
      <c r="J789" s="14"/>
      <c r="K789" s="12"/>
    </row>
    <row r="790" ht="19.5" customHeight="1">
      <c r="A790" s="12"/>
      <c r="C790" s="12"/>
      <c r="D790" s="13"/>
      <c r="F790" s="14"/>
      <c r="G790" s="14"/>
      <c r="H790" s="14"/>
      <c r="I790" s="14"/>
      <c r="J790" s="14"/>
      <c r="K790" s="12"/>
    </row>
    <row r="791" ht="19.5" customHeight="1">
      <c r="A791" s="12"/>
      <c r="C791" s="12"/>
      <c r="D791" s="13"/>
      <c r="F791" s="14"/>
      <c r="G791" s="14"/>
      <c r="H791" s="14"/>
      <c r="I791" s="14"/>
      <c r="J791" s="14"/>
      <c r="K791" s="12"/>
    </row>
    <row r="792" ht="19.5" customHeight="1">
      <c r="A792" s="12"/>
      <c r="C792" s="12"/>
      <c r="D792" s="13"/>
      <c r="F792" s="14"/>
      <c r="G792" s="14"/>
      <c r="H792" s="14"/>
      <c r="I792" s="14"/>
      <c r="J792" s="14"/>
      <c r="K792" s="12"/>
    </row>
    <row r="793" ht="19.5" customHeight="1">
      <c r="A793" s="12"/>
      <c r="C793" s="12"/>
      <c r="D793" s="13"/>
      <c r="F793" s="14"/>
      <c r="G793" s="14"/>
      <c r="H793" s="14"/>
      <c r="I793" s="14"/>
      <c r="J793" s="14"/>
      <c r="K793" s="12"/>
    </row>
    <row r="794" ht="19.5" customHeight="1">
      <c r="A794" s="12"/>
      <c r="C794" s="12"/>
      <c r="D794" s="13"/>
      <c r="F794" s="14"/>
      <c r="G794" s="14"/>
      <c r="H794" s="14"/>
      <c r="I794" s="14"/>
      <c r="J794" s="14"/>
      <c r="K794" s="12"/>
    </row>
    <row r="795" ht="19.5" customHeight="1">
      <c r="A795" s="12"/>
      <c r="C795" s="12"/>
      <c r="D795" s="13"/>
      <c r="F795" s="14"/>
      <c r="G795" s="14"/>
      <c r="H795" s="14"/>
      <c r="I795" s="14"/>
      <c r="J795" s="14"/>
      <c r="K795" s="12"/>
    </row>
    <row r="796" ht="19.5" customHeight="1">
      <c r="A796" s="12"/>
      <c r="C796" s="12"/>
      <c r="D796" s="13"/>
      <c r="F796" s="14"/>
      <c r="G796" s="14"/>
      <c r="H796" s="14"/>
      <c r="I796" s="14"/>
      <c r="J796" s="14"/>
      <c r="K796" s="12"/>
    </row>
    <row r="797" ht="19.5" customHeight="1">
      <c r="A797" s="12"/>
      <c r="C797" s="12"/>
      <c r="D797" s="13"/>
      <c r="F797" s="14"/>
      <c r="G797" s="14"/>
      <c r="H797" s="14"/>
      <c r="I797" s="14"/>
      <c r="J797" s="14"/>
      <c r="K797" s="12"/>
    </row>
    <row r="798" ht="19.5" customHeight="1">
      <c r="A798" s="12"/>
      <c r="C798" s="12"/>
      <c r="D798" s="13"/>
      <c r="F798" s="14"/>
      <c r="G798" s="14"/>
      <c r="H798" s="14"/>
      <c r="I798" s="14"/>
      <c r="J798" s="14"/>
      <c r="K798" s="12"/>
    </row>
    <row r="799" ht="19.5" customHeight="1">
      <c r="A799" s="12"/>
      <c r="C799" s="12"/>
      <c r="D799" s="13"/>
      <c r="F799" s="14"/>
      <c r="G799" s="14"/>
      <c r="H799" s="14"/>
      <c r="I799" s="14"/>
      <c r="J799" s="14"/>
      <c r="K799" s="12"/>
    </row>
    <row r="800" ht="19.5" customHeight="1">
      <c r="A800" s="12"/>
      <c r="C800" s="12"/>
      <c r="D800" s="13"/>
      <c r="F800" s="14"/>
      <c r="G800" s="14"/>
      <c r="H800" s="14"/>
      <c r="I800" s="14"/>
      <c r="J800" s="14"/>
      <c r="K800" s="12"/>
    </row>
    <row r="801" ht="19.5" customHeight="1">
      <c r="A801" s="12"/>
      <c r="C801" s="12"/>
      <c r="D801" s="13"/>
      <c r="F801" s="14"/>
      <c r="G801" s="14"/>
      <c r="H801" s="14"/>
      <c r="I801" s="14"/>
      <c r="J801" s="14"/>
      <c r="K801" s="12"/>
    </row>
    <row r="802" ht="19.5" customHeight="1">
      <c r="A802" s="12"/>
      <c r="C802" s="12"/>
      <c r="D802" s="13"/>
      <c r="F802" s="14"/>
      <c r="G802" s="14"/>
      <c r="H802" s="14"/>
      <c r="I802" s="14"/>
      <c r="J802" s="14"/>
      <c r="K802" s="12"/>
    </row>
    <row r="803" ht="19.5" customHeight="1">
      <c r="A803" s="12"/>
      <c r="C803" s="12"/>
      <c r="D803" s="13"/>
      <c r="F803" s="14"/>
      <c r="G803" s="14"/>
      <c r="H803" s="14"/>
      <c r="I803" s="14"/>
      <c r="J803" s="14"/>
      <c r="K803" s="12"/>
    </row>
    <row r="804" ht="19.5" customHeight="1">
      <c r="A804" s="12"/>
      <c r="C804" s="12"/>
      <c r="D804" s="13"/>
      <c r="F804" s="14"/>
      <c r="G804" s="14"/>
      <c r="H804" s="14"/>
      <c r="I804" s="14"/>
      <c r="J804" s="14"/>
      <c r="K804" s="12"/>
    </row>
    <row r="805" ht="19.5" customHeight="1">
      <c r="A805" s="12"/>
      <c r="C805" s="12"/>
      <c r="D805" s="13"/>
      <c r="F805" s="14"/>
      <c r="G805" s="14"/>
      <c r="H805" s="14"/>
      <c r="I805" s="14"/>
      <c r="J805" s="14"/>
      <c r="K805" s="12"/>
    </row>
    <row r="806" ht="19.5" customHeight="1">
      <c r="A806" s="12"/>
      <c r="C806" s="12"/>
      <c r="D806" s="13"/>
      <c r="F806" s="14"/>
      <c r="G806" s="14"/>
      <c r="H806" s="14"/>
      <c r="I806" s="14"/>
      <c r="J806" s="14"/>
      <c r="K806" s="12"/>
    </row>
    <row r="807" ht="19.5" customHeight="1">
      <c r="A807" s="12"/>
      <c r="C807" s="12"/>
      <c r="D807" s="13"/>
      <c r="F807" s="14"/>
      <c r="G807" s="14"/>
      <c r="H807" s="14"/>
      <c r="I807" s="14"/>
      <c r="J807" s="14"/>
      <c r="K807" s="12"/>
    </row>
    <row r="808" ht="19.5" customHeight="1">
      <c r="A808" s="12"/>
      <c r="C808" s="12"/>
      <c r="D808" s="13"/>
      <c r="F808" s="14"/>
      <c r="G808" s="14"/>
      <c r="H808" s="14"/>
      <c r="I808" s="14"/>
      <c r="J808" s="14"/>
      <c r="K808" s="12"/>
    </row>
    <row r="809" ht="19.5" customHeight="1">
      <c r="A809" s="12"/>
      <c r="C809" s="12"/>
      <c r="D809" s="13"/>
      <c r="F809" s="14"/>
      <c r="G809" s="14"/>
      <c r="H809" s="14"/>
      <c r="I809" s="14"/>
      <c r="J809" s="14"/>
      <c r="K809" s="12"/>
    </row>
    <row r="810" ht="19.5" customHeight="1">
      <c r="A810" s="12"/>
      <c r="C810" s="12"/>
      <c r="D810" s="13"/>
      <c r="F810" s="14"/>
      <c r="G810" s="14"/>
      <c r="H810" s="14"/>
      <c r="I810" s="14"/>
      <c r="J810" s="14"/>
      <c r="K810" s="12"/>
    </row>
    <row r="811" ht="19.5" customHeight="1">
      <c r="A811" s="12"/>
      <c r="C811" s="12"/>
      <c r="D811" s="13"/>
      <c r="F811" s="14"/>
      <c r="G811" s="14"/>
      <c r="H811" s="14"/>
      <c r="I811" s="14"/>
      <c r="J811" s="14"/>
      <c r="K811" s="12"/>
    </row>
    <row r="812" ht="19.5" customHeight="1">
      <c r="A812" s="12"/>
      <c r="C812" s="12"/>
      <c r="D812" s="13"/>
      <c r="F812" s="14"/>
      <c r="G812" s="14"/>
      <c r="H812" s="14"/>
      <c r="I812" s="14"/>
      <c r="J812" s="14"/>
      <c r="K812" s="12"/>
    </row>
    <row r="813" ht="19.5" customHeight="1">
      <c r="A813" s="12"/>
      <c r="C813" s="12"/>
      <c r="D813" s="13"/>
      <c r="F813" s="14"/>
      <c r="G813" s="14"/>
      <c r="H813" s="14"/>
      <c r="I813" s="14"/>
      <c r="J813" s="14"/>
      <c r="K813" s="12"/>
    </row>
    <row r="814" ht="19.5" customHeight="1">
      <c r="A814" s="12"/>
      <c r="C814" s="12"/>
      <c r="D814" s="13"/>
      <c r="F814" s="14"/>
      <c r="G814" s="14"/>
      <c r="H814" s="14"/>
      <c r="I814" s="14"/>
      <c r="J814" s="14"/>
      <c r="K814" s="12"/>
    </row>
    <row r="815" ht="19.5" customHeight="1">
      <c r="A815" s="12"/>
      <c r="C815" s="12"/>
      <c r="D815" s="13"/>
      <c r="F815" s="14"/>
      <c r="G815" s="14"/>
      <c r="H815" s="14"/>
      <c r="I815" s="14"/>
      <c r="J815" s="14"/>
      <c r="K815" s="12"/>
    </row>
    <row r="816" ht="19.5" customHeight="1">
      <c r="A816" s="12"/>
      <c r="C816" s="12"/>
      <c r="D816" s="13"/>
      <c r="F816" s="14"/>
      <c r="G816" s="14"/>
      <c r="H816" s="14"/>
      <c r="I816" s="14"/>
      <c r="J816" s="14"/>
      <c r="K816" s="12"/>
    </row>
    <row r="817" ht="19.5" customHeight="1">
      <c r="A817" s="12"/>
      <c r="C817" s="12"/>
      <c r="D817" s="13"/>
      <c r="F817" s="14"/>
      <c r="G817" s="14"/>
      <c r="H817" s="14"/>
      <c r="I817" s="14"/>
      <c r="J817" s="14"/>
      <c r="K817" s="12"/>
    </row>
    <row r="818" ht="19.5" customHeight="1">
      <c r="A818" s="12"/>
      <c r="C818" s="12"/>
      <c r="D818" s="13"/>
      <c r="F818" s="14"/>
      <c r="G818" s="14"/>
      <c r="H818" s="14"/>
      <c r="I818" s="14"/>
      <c r="J818" s="14"/>
      <c r="K818" s="12"/>
    </row>
    <row r="819" ht="19.5" customHeight="1">
      <c r="A819" s="12"/>
      <c r="C819" s="12"/>
      <c r="D819" s="13"/>
      <c r="F819" s="14"/>
      <c r="G819" s="14"/>
      <c r="H819" s="14"/>
      <c r="I819" s="14"/>
      <c r="J819" s="14"/>
      <c r="K819" s="12"/>
    </row>
    <row r="820" ht="19.5" customHeight="1">
      <c r="A820" s="12"/>
      <c r="C820" s="12"/>
      <c r="D820" s="13"/>
      <c r="F820" s="14"/>
      <c r="G820" s="14"/>
      <c r="H820" s="14"/>
      <c r="I820" s="14"/>
      <c r="J820" s="14"/>
      <c r="K820" s="12"/>
    </row>
    <row r="821" ht="19.5" customHeight="1">
      <c r="A821" s="12"/>
      <c r="C821" s="12"/>
      <c r="D821" s="13"/>
      <c r="F821" s="14"/>
      <c r="G821" s="14"/>
      <c r="H821" s="14"/>
      <c r="I821" s="14"/>
      <c r="J821" s="14"/>
      <c r="K821" s="12"/>
    </row>
    <row r="822" ht="19.5" customHeight="1">
      <c r="A822" s="12"/>
      <c r="C822" s="12"/>
      <c r="D822" s="13"/>
      <c r="F822" s="14"/>
      <c r="G822" s="14"/>
      <c r="H822" s="14"/>
      <c r="I822" s="14"/>
      <c r="J822" s="14"/>
      <c r="K822" s="12"/>
    </row>
    <row r="823" ht="19.5" customHeight="1">
      <c r="A823" s="12"/>
      <c r="C823" s="12"/>
      <c r="D823" s="13"/>
      <c r="F823" s="14"/>
      <c r="G823" s="14"/>
      <c r="H823" s="14"/>
      <c r="I823" s="14"/>
      <c r="J823" s="14"/>
      <c r="K823" s="12"/>
    </row>
    <row r="824" ht="19.5" customHeight="1">
      <c r="A824" s="12"/>
      <c r="C824" s="12"/>
      <c r="D824" s="13"/>
      <c r="F824" s="14"/>
      <c r="G824" s="14"/>
      <c r="H824" s="14"/>
      <c r="I824" s="14"/>
      <c r="J824" s="14"/>
      <c r="K824" s="12"/>
    </row>
    <row r="825" ht="19.5" customHeight="1">
      <c r="A825" s="12"/>
      <c r="C825" s="12"/>
      <c r="D825" s="13"/>
      <c r="F825" s="14"/>
      <c r="G825" s="14"/>
      <c r="H825" s="14"/>
      <c r="I825" s="14"/>
      <c r="J825" s="14"/>
      <c r="K825" s="12"/>
    </row>
    <row r="826" ht="19.5" customHeight="1">
      <c r="A826" s="12"/>
      <c r="C826" s="12"/>
      <c r="D826" s="13"/>
      <c r="F826" s="14"/>
      <c r="G826" s="14"/>
      <c r="H826" s="14"/>
      <c r="I826" s="14"/>
      <c r="J826" s="14"/>
      <c r="K826" s="12"/>
    </row>
    <row r="827" ht="19.5" customHeight="1">
      <c r="A827" s="12"/>
      <c r="C827" s="12"/>
      <c r="D827" s="13"/>
      <c r="F827" s="14"/>
      <c r="G827" s="14"/>
      <c r="H827" s="14"/>
      <c r="I827" s="14"/>
      <c r="J827" s="14"/>
      <c r="K827" s="12"/>
    </row>
    <row r="828" ht="19.5" customHeight="1">
      <c r="A828" s="12"/>
      <c r="C828" s="12"/>
      <c r="D828" s="13"/>
      <c r="F828" s="14"/>
      <c r="G828" s="14"/>
      <c r="H828" s="14"/>
      <c r="I828" s="14"/>
      <c r="J828" s="14"/>
      <c r="K828" s="12"/>
    </row>
    <row r="829" ht="19.5" customHeight="1">
      <c r="A829" s="12"/>
      <c r="C829" s="12"/>
      <c r="D829" s="13"/>
      <c r="F829" s="14"/>
      <c r="G829" s="14"/>
      <c r="H829" s="14"/>
      <c r="I829" s="14"/>
      <c r="J829" s="14"/>
      <c r="K829" s="12"/>
    </row>
    <row r="830" ht="19.5" customHeight="1">
      <c r="A830" s="12"/>
      <c r="C830" s="12"/>
      <c r="D830" s="13"/>
      <c r="F830" s="14"/>
      <c r="G830" s="14"/>
      <c r="H830" s="14"/>
      <c r="I830" s="14"/>
      <c r="J830" s="14"/>
      <c r="K830" s="12"/>
    </row>
    <row r="831" ht="19.5" customHeight="1">
      <c r="A831" s="12"/>
      <c r="C831" s="12"/>
      <c r="D831" s="13"/>
      <c r="F831" s="14"/>
      <c r="G831" s="14"/>
      <c r="H831" s="14"/>
      <c r="I831" s="14"/>
      <c r="J831" s="14"/>
      <c r="K831" s="12"/>
    </row>
    <row r="832" ht="19.5" customHeight="1">
      <c r="A832" s="12"/>
      <c r="C832" s="12"/>
      <c r="D832" s="13"/>
      <c r="F832" s="14"/>
      <c r="G832" s="14"/>
      <c r="H832" s="14"/>
      <c r="I832" s="14"/>
      <c r="J832" s="14"/>
      <c r="K832" s="12"/>
    </row>
    <row r="833" ht="19.5" customHeight="1">
      <c r="A833" s="12"/>
      <c r="C833" s="12"/>
      <c r="D833" s="13"/>
      <c r="F833" s="14"/>
      <c r="G833" s="14"/>
      <c r="H833" s="14"/>
      <c r="I833" s="14"/>
      <c r="J833" s="14"/>
      <c r="K833" s="12"/>
    </row>
    <row r="834" ht="19.5" customHeight="1">
      <c r="A834" s="12"/>
      <c r="C834" s="12"/>
      <c r="D834" s="13"/>
      <c r="F834" s="14"/>
      <c r="G834" s="14"/>
      <c r="H834" s="14"/>
      <c r="I834" s="14"/>
      <c r="J834" s="14"/>
      <c r="K834" s="12"/>
    </row>
    <row r="835" ht="19.5" customHeight="1">
      <c r="A835" s="12"/>
      <c r="C835" s="12"/>
      <c r="D835" s="13"/>
      <c r="F835" s="14"/>
      <c r="G835" s="14"/>
      <c r="H835" s="14"/>
      <c r="I835" s="14"/>
      <c r="J835" s="14"/>
      <c r="K835" s="12"/>
    </row>
    <row r="836" ht="19.5" customHeight="1">
      <c r="A836" s="12"/>
      <c r="C836" s="12"/>
      <c r="D836" s="13"/>
      <c r="F836" s="14"/>
      <c r="G836" s="14"/>
      <c r="H836" s="14"/>
      <c r="I836" s="14"/>
      <c r="J836" s="14"/>
      <c r="K836" s="12"/>
    </row>
    <row r="837" ht="19.5" customHeight="1">
      <c r="A837" s="12"/>
      <c r="C837" s="12"/>
      <c r="D837" s="13"/>
      <c r="F837" s="14"/>
      <c r="G837" s="14"/>
      <c r="H837" s="14"/>
      <c r="I837" s="14"/>
      <c r="J837" s="14"/>
      <c r="K837" s="12"/>
    </row>
    <row r="838" ht="19.5" customHeight="1">
      <c r="A838" s="12"/>
      <c r="C838" s="12"/>
      <c r="D838" s="13"/>
      <c r="F838" s="14"/>
      <c r="G838" s="14"/>
      <c r="H838" s="14"/>
      <c r="I838" s="14"/>
      <c r="J838" s="14"/>
      <c r="K838" s="12"/>
    </row>
    <row r="839" ht="19.5" customHeight="1">
      <c r="A839" s="12"/>
      <c r="C839" s="12"/>
      <c r="D839" s="13"/>
      <c r="F839" s="14"/>
      <c r="G839" s="14"/>
      <c r="H839" s="14"/>
      <c r="I839" s="14"/>
      <c r="J839" s="14"/>
      <c r="K839" s="12"/>
    </row>
    <row r="840" ht="19.5" customHeight="1">
      <c r="A840" s="12"/>
      <c r="C840" s="12"/>
      <c r="D840" s="13"/>
      <c r="F840" s="14"/>
      <c r="G840" s="14"/>
      <c r="H840" s="14"/>
      <c r="I840" s="14"/>
      <c r="J840" s="14"/>
      <c r="K840" s="12"/>
    </row>
    <row r="841" ht="19.5" customHeight="1">
      <c r="A841" s="12"/>
      <c r="C841" s="12"/>
      <c r="D841" s="13"/>
      <c r="F841" s="14"/>
      <c r="G841" s="14"/>
      <c r="H841" s="14"/>
      <c r="I841" s="14"/>
      <c r="J841" s="14"/>
      <c r="K841" s="12"/>
    </row>
    <row r="842" ht="19.5" customHeight="1">
      <c r="A842" s="12"/>
      <c r="C842" s="12"/>
      <c r="D842" s="13"/>
      <c r="F842" s="14"/>
      <c r="G842" s="14"/>
      <c r="H842" s="14"/>
      <c r="I842" s="14"/>
      <c r="J842" s="14"/>
      <c r="K842" s="12"/>
    </row>
    <row r="843" ht="19.5" customHeight="1">
      <c r="A843" s="12"/>
      <c r="C843" s="12"/>
      <c r="D843" s="13"/>
      <c r="F843" s="14"/>
      <c r="G843" s="14"/>
      <c r="H843" s="14"/>
      <c r="I843" s="14"/>
      <c r="J843" s="14"/>
      <c r="K843" s="12"/>
    </row>
    <row r="844" ht="19.5" customHeight="1">
      <c r="A844" s="12"/>
      <c r="C844" s="12"/>
      <c r="D844" s="13"/>
      <c r="F844" s="14"/>
      <c r="G844" s="14"/>
      <c r="H844" s="14"/>
      <c r="I844" s="14"/>
      <c r="J844" s="14"/>
      <c r="K844" s="12"/>
    </row>
    <row r="845" ht="19.5" customHeight="1">
      <c r="A845" s="12"/>
      <c r="C845" s="12"/>
      <c r="D845" s="13"/>
      <c r="F845" s="14"/>
      <c r="G845" s="14"/>
      <c r="H845" s="14"/>
      <c r="I845" s="14"/>
      <c r="J845" s="14"/>
      <c r="K845" s="12"/>
    </row>
    <row r="846" ht="19.5" customHeight="1">
      <c r="A846" s="12"/>
      <c r="C846" s="12"/>
      <c r="D846" s="13"/>
      <c r="F846" s="14"/>
      <c r="G846" s="14"/>
      <c r="H846" s="14"/>
      <c r="I846" s="14"/>
      <c r="J846" s="14"/>
      <c r="K846" s="12"/>
    </row>
    <row r="847" ht="19.5" customHeight="1">
      <c r="A847" s="12"/>
      <c r="C847" s="12"/>
      <c r="D847" s="13"/>
      <c r="F847" s="14"/>
      <c r="G847" s="14"/>
      <c r="H847" s="14"/>
      <c r="I847" s="14"/>
      <c r="J847" s="14"/>
      <c r="K847" s="12"/>
    </row>
    <row r="848" ht="19.5" customHeight="1">
      <c r="A848" s="12"/>
      <c r="C848" s="12"/>
      <c r="D848" s="13"/>
      <c r="F848" s="14"/>
      <c r="G848" s="14"/>
      <c r="H848" s="14"/>
      <c r="I848" s="14"/>
      <c r="J848" s="14"/>
      <c r="K848" s="12"/>
    </row>
    <row r="849" ht="19.5" customHeight="1">
      <c r="A849" s="12"/>
      <c r="C849" s="12"/>
      <c r="D849" s="13"/>
      <c r="F849" s="14"/>
      <c r="G849" s="14"/>
      <c r="H849" s="14"/>
      <c r="I849" s="14"/>
      <c r="J849" s="14"/>
      <c r="K849" s="12"/>
    </row>
    <row r="850" ht="19.5" customHeight="1">
      <c r="A850" s="12"/>
      <c r="C850" s="12"/>
      <c r="D850" s="13"/>
      <c r="F850" s="14"/>
      <c r="G850" s="14"/>
      <c r="H850" s="14"/>
      <c r="I850" s="14"/>
      <c r="J850" s="14"/>
      <c r="K850" s="12"/>
    </row>
    <row r="851" ht="19.5" customHeight="1">
      <c r="A851" s="12"/>
      <c r="C851" s="12"/>
      <c r="D851" s="13"/>
      <c r="F851" s="14"/>
      <c r="G851" s="14"/>
      <c r="H851" s="14"/>
      <c r="I851" s="14"/>
      <c r="J851" s="14"/>
      <c r="K851" s="12"/>
    </row>
    <row r="852" ht="19.5" customHeight="1">
      <c r="A852" s="12"/>
      <c r="C852" s="12"/>
      <c r="D852" s="13"/>
      <c r="F852" s="14"/>
      <c r="G852" s="14"/>
      <c r="H852" s="14"/>
      <c r="I852" s="14"/>
      <c r="J852" s="14"/>
      <c r="K852" s="12"/>
    </row>
    <row r="853" ht="19.5" customHeight="1">
      <c r="A853" s="12"/>
      <c r="C853" s="12"/>
      <c r="D853" s="13"/>
      <c r="F853" s="14"/>
      <c r="G853" s="14"/>
      <c r="H853" s="14"/>
      <c r="I853" s="14"/>
      <c r="J853" s="14"/>
      <c r="K853" s="12"/>
    </row>
    <row r="854" ht="19.5" customHeight="1">
      <c r="A854" s="12"/>
      <c r="C854" s="12"/>
      <c r="D854" s="13"/>
      <c r="F854" s="14"/>
      <c r="G854" s="14"/>
      <c r="H854" s="14"/>
      <c r="I854" s="14"/>
      <c r="J854" s="14"/>
      <c r="K854" s="12"/>
    </row>
    <row r="855" ht="19.5" customHeight="1">
      <c r="A855" s="12"/>
      <c r="C855" s="12"/>
      <c r="D855" s="13"/>
      <c r="F855" s="14"/>
      <c r="G855" s="14"/>
      <c r="H855" s="14"/>
      <c r="I855" s="14"/>
      <c r="J855" s="14"/>
      <c r="K855" s="12"/>
    </row>
    <row r="856" ht="19.5" customHeight="1">
      <c r="A856" s="12"/>
      <c r="C856" s="12"/>
      <c r="D856" s="13"/>
      <c r="F856" s="14"/>
      <c r="G856" s="14"/>
      <c r="H856" s="14"/>
      <c r="I856" s="14"/>
      <c r="J856" s="14"/>
      <c r="K856" s="12"/>
    </row>
    <row r="857" ht="19.5" customHeight="1">
      <c r="A857" s="12"/>
      <c r="C857" s="12"/>
      <c r="D857" s="13"/>
      <c r="F857" s="14"/>
      <c r="G857" s="14"/>
      <c r="H857" s="14"/>
      <c r="I857" s="14"/>
      <c r="J857" s="14"/>
      <c r="K857" s="12"/>
    </row>
    <row r="858" ht="19.5" customHeight="1">
      <c r="A858" s="12"/>
      <c r="C858" s="12"/>
      <c r="D858" s="13"/>
      <c r="F858" s="14"/>
      <c r="G858" s="14"/>
      <c r="H858" s="14"/>
      <c r="I858" s="14"/>
      <c r="J858" s="14"/>
      <c r="K858" s="12"/>
    </row>
    <row r="859" ht="19.5" customHeight="1">
      <c r="A859" s="12"/>
      <c r="C859" s="12"/>
      <c r="D859" s="13"/>
      <c r="F859" s="14"/>
      <c r="G859" s="14"/>
      <c r="H859" s="14"/>
      <c r="I859" s="14"/>
      <c r="J859" s="14"/>
      <c r="K859" s="12"/>
    </row>
    <row r="860" ht="19.5" customHeight="1">
      <c r="A860" s="12"/>
      <c r="C860" s="12"/>
      <c r="D860" s="13"/>
      <c r="F860" s="14"/>
      <c r="G860" s="14"/>
      <c r="H860" s="14"/>
      <c r="I860" s="14"/>
      <c r="J860" s="14"/>
      <c r="K860" s="12"/>
    </row>
    <row r="861" ht="19.5" customHeight="1">
      <c r="A861" s="12"/>
      <c r="C861" s="12"/>
      <c r="D861" s="13"/>
      <c r="F861" s="14"/>
      <c r="G861" s="14"/>
      <c r="H861" s="14"/>
      <c r="I861" s="14"/>
      <c r="J861" s="14"/>
      <c r="K861" s="12"/>
    </row>
    <row r="862" ht="19.5" customHeight="1">
      <c r="A862" s="12"/>
      <c r="C862" s="12"/>
      <c r="D862" s="13"/>
      <c r="F862" s="14"/>
      <c r="G862" s="14"/>
      <c r="H862" s="14"/>
      <c r="I862" s="14"/>
      <c r="J862" s="14"/>
      <c r="K862" s="12"/>
    </row>
    <row r="863" ht="19.5" customHeight="1">
      <c r="A863" s="12"/>
      <c r="C863" s="12"/>
      <c r="D863" s="13"/>
      <c r="F863" s="14"/>
      <c r="G863" s="14"/>
      <c r="H863" s="14"/>
      <c r="I863" s="14"/>
      <c r="J863" s="14"/>
      <c r="K863" s="12"/>
    </row>
    <row r="864" ht="19.5" customHeight="1">
      <c r="A864" s="12"/>
      <c r="C864" s="12"/>
      <c r="D864" s="13"/>
      <c r="F864" s="14"/>
      <c r="G864" s="14"/>
      <c r="H864" s="14"/>
      <c r="I864" s="14"/>
      <c r="J864" s="14"/>
      <c r="K864" s="12"/>
    </row>
    <row r="865" ht="19.5" customHeight="1">
      <c r="A865" s="12"/>
      <c r="C865" s="12"/>
      <c r="D865" s="13"/>
      <c r="F865" s="14"/>
      <c r="G865" s="14"/>
      <c r="H865" s="14"/>
      <c r="I865" s="14"/>
      <c r="J865" s="14"/>
      <c r="K865" s="12"/>
    </row>
    <row r="866" ht="19.5" customHeight="1">
      <c r="A866" s="12"/>
      <c r="C866" s="12"/>
      <c r="D866" s="13"/>
      <c r="F866" s="14"/>
      <c r="G866" s="14"/>
      <c r="H866" s="14"/>
      <c r="I866" s="14"/>
      <c r="J866" s="14"/>
      <c r="K866" s="12"/>
    </row>
    <row r="867" ht="19.5" customHeight="1">
      <c r="A867" s="12"/>
      <c r="C867" s="12"/>
      <c r="D867" s="13"/>
      <c r="F867" s="14"/>
      <c r="G867" s="14"/>
      <c r="H867" s="14"/>
      <c r="I867" s="14"/>
      <c r="J867" s="14"/>
      <c r="K867" s="12"/>
    </row>
    <row r="868" ht="19.5" customHeight="1">
      <c r="A868" s="12"/>
      <c r="C868" s="12"/>
      <c r="D868" s="13"/>
      <c r="F868" s="14"/>
      <c r="G868" s="14"/>
      <c r="H868" s="14"/>
      <c r="I868" s="14"/>
      <c r="J868" s="14"/>
      <c r="K868" s="12"/>
    </row>
    <row r="869" ht="19.5" customHeight="1">
      <c r="A869" s="12"/>
      <c r="C869" s="12"/>
      <c r="D869" s="13"/>
      <c r="F869" s="14"/>
      <c r="G869" s="14"/>
      <c r="H869" s="14"/>
      <c r="I869" s="14"/>
      <c r="J869" s="14"/>
      <c r="K869" s="12"/>
    </row>
    <row r="870" ht="19.5" customHeight="1">
      <c r="A870" s="12"/>
      <c r="C870" s="12"/>
      <c r="D870" s="13"/>
      <c r="F870" s="14"/>
      <c r="G870" s="14"/>
      <c r="H870" s="14"/>
      <c r="I870" s="14"/>
      <c r="J870" s="14"/>
      <c r="K870" s="12"/>
    </row>
    <row r="871" ht="19.5" customHeight="1">
      <c r="A871" s="12"/>
      <c r="C871" s="12"/>
      <c r="D871" s="13"/>
      <c r="F871" s="14"/>
      <c r="G871" s="14"/>
      <c r="H871" s="14"/>
      <c r="I871" s="14"/>
      <c r="J871" s="14"/>
      <c r="K871" s="12"/>
    </row>
    <row r="872" ht="19.5" customHeight="1">
      <c r="A872" s="12"/>
      <c r="C872" s="12"/>
      <c r="D872" s="13"/>
      <c r="F872" s="14"/>
      <c r="G872" s="14"/>
      <c r="H872" s="14"/>
      <c r="I872" s="14"/>
      <c r="J872" s="14"/>
      <c r="K872" s="12"/>
    </row>
    <row r="873" ht="19.5" customHeight="1">
      <c r="A873" s="12"/>
      <c r="C873" s="12"/>
      <c r="D873" s="13"/>
      <c r="F873" s="14"/>
      <c r="G873" s="14"/>
      <c r="H873" s="14"/>
      <c r="I873" s="14"/>
      <c r="J873" s="14"/>
      <c r="K873" s="12"/>
    </row>
    <row r="874" ht="19.5" customHeight="1">
      <c r="A874" s="12"/>
      <c r="C874" s="12"/>
      <c r="D874" s="13"/>
      <c r="F874" s="14"/>
      <c r="G874" s="14"/>
      <c r="H874" s="14"/>
      <c r="I874" s="14"/>
      <c r="J874" s="14"/>
      <c r="K874" s="12"/>
    </row>
    <row r="875" ht="19.5" customHeight="1">
      <c r="A875" s="12"/>
      <c r="C875" s="12"/>
      <c r="D875" s="13"/>
      <c r="F875" s="14"/>
      <c r="G875" s="14"/>
      <c r="H875" s="14"/>
      <c r="I875" s="14"/>
      <c r="J875" s="14"/>
      <c r="K875" s="12"/>
    </row>
    <row r="876" ht="19.5" customHeight="1">
      <c r="A876" s="12"/>
      <c r="C876" s="12"/>
      <c r="D876" s="13"/>
      <c r="F876" s="14"/>
      <c r="G876" s="14"/>
      <c r="H876" s="14"/>
      <c r="I876" s="14"/>
      <c r="J876" s="14"/>
      <c r="K876" s="12"/>
    </row>
    <row r="877" ht="19.5" customHeight="1">
      <c r="A877" s="12"/>
      <c r="C877" s="12"/>
      <c r="D877" s="13"/>
      <c r="F877" s="14"/>
      <c r="G877" s="14"/>
      <c r="H877" s="14"/>
      <c r="I877" s="14"/>
      <c r="J877" s="14"/>
      <c r="K877" s="12"/>
    </row>
    <row r="878" ht="19.5" customHeight="1">
      <c r="A878" s="12"/>
      <c r="C878" s="12"/>
      <c r="D878" s="13"/>
      <c r="F878" s="14"/>
      <c r="G878" s="14"/>
      <c r="H878" s="14"/>
      <c r="I878" s="14"/>
      <c r="J878" s="14"/>
      <c r="K878" s="12"/>
    </row>
    <row r="879" ht="19.5" customHeight="1">
      <c r="A879" s="12"/>
      <c r="C879" s="12"/>
      <c r="D879" s="13"/>
      <c r="F879" s="14"/>
      <c r="G879" s="14"/>
      <c r="H879" s="14"/>
      <c r="I879" s="14"/>
      <c r="J879" s="14"/>
      <c r="K879" s="12"/>
    </row>
    <row r="880" ht="19.5" customHeight="1">
      <c r="A880" s="12"/>
      <c r="C880" s="12"/>
      <c r="D880" s="13"/>
      <c r="F880" s="14"/>
      <c r="G880" s="14"/>
      <c r="H880" s="14"/>
      <c r="I880" s="14"/>
      <c r="J880" s="14"/>
      <c r="K880" s="12"/>
    </row>
    <row r="881" ht="19.5" customHeight="1">
      <c r="A881" s="12"/>
      <c r="C881" s="12"/>
      <c r="D881" s="13"/>
      <c r="F881" s="14"/>
      <c r="G881" s="14"/>
      <c r="H881" s="14"/>
      <c r="I881" s="14"/>
      <c r="J881" s="14"/>
      <c r="K881" s="12"/>
    </row>
    <row r="882" ht="19.5" customHeight="1">
      <c r="A882" s="12"/>
      <c r="C882" s="12"/>
      <c r="D882" s="13"/>
      <c r="F882" s="14"/>
      <c r="G882" s="14"/>
      <c r="H882" s="14"/>
      <c r="I882" s="14"/>
      <c r="J882" s="14"/>
      <c r="K882" s="12"/>
    </row>
    <row r="883" ht="19.5" customHeight="1">
      <c r="A883" s="12"/>
      <c r="C883" s="12"/>
      <c r="D883" s="13"/>
      <c r="F883" s="14"/>
      <c r="G883" s="14"/>
      <c r="H883" s="14"/>
      <c r="I883" s="14"/>
      <c r="J883" s="14"/>
      <c r="K883" s="12"/>
    </row>
    <row r="884" ht="19.5" customHeight="1">
      <c r="A884" s="12"/>
      <c r="C884" s="12"/>
      <c r="D884" s="13"/>
      <c r="F884" s="14"/>
      <c r="G884" s="14"/>
      <c r="H884" s="14"/>
      <c r="I884" s="14"/>
      <c r="J884" s="14"/>
      <c r="K884" s="12"/>
    </row>
    <row r="885" ht="19.5" customHeight="1">
      <c r="A885" s="12"/>
      <c r="C885" s="12"/>
      <c r="D885" s="13"/>
      <c r="F885" s="14"/>
      <c r="G885" s="14"/>
      <c r="H885" s="14"/>
      <c r="I885" s="14"/>
      <c r="J885" s="14"/>
      <c r="K885" s="12"/>
    </row>
    <row r="886" ht="19.5" customHeight="1">
      <c r="A886" s="12"/>
      <c r="C886" s="12"/>
      <c r="D886" s="13"/>
      <c r="F886" s="14"/>
      <c r="G886" s="14"/>
      <c r="H886" s="14"/>
      <c r="I886" s="14"/>
      <c r="J886" s="14"/>
      <c r="K886" s="12"/>
    </row>
    <row r="887" ht="19.5" customHeight="1">
      <c r="A887" s="12"/>
      <c r="C887" s="12"/>
      <c r="D887" s="13"/>
      <c r="F887" s="14"/>
      <c r="G887" s="14"/>
      <c r="H887" s="14"/>
      <c r="I887" s="14"/>
      <c r="J887" s="14"/>
      <c r="K887" s="12"/>
    </row>
    <row r="888" ht="19.5" customHeight="1">
      <c r="A888" s="12"/>
      <c r="C888" s="12"/>
      <c r="D888" s="13"/>
      <c r="F888" s="14"/>
      <c r="G888" s="14"/>
      <c r="H888" s="14"/>
      <c r="I888" s="14"/>
      <c r="J888" s="14"/>
      <c r="K888" s="12"/>
    </row>
    <row r="889" ht="19.5" customHeight="1">
      <c r="A889" s="12"/>
      <c r="C889" s="12"/>
      <c r="D889" s="13"/>
      <c r="F889" s="14"/>
      <c r="G889" s="14"/>
      <c r="H889" s="14"/>
      <c r="I889" s="14"/>
      <c r="J889" s="14"/>
      <c r="K889" s="12"/>
    </row>
    <row r="890" ht="19.5" customHeight="1">
      <c r="A890" s="12"/>
      <c r="C890" s="12"/>
      <c r="D890" s="13"/>
      <c r="F890" s="14"/>
      <c r="G890" s="14"/>
      <c r="H890" s="14"/>
      <c r="I890" s="14"/>
      <c r="J890" s="14"/>
      <c r="K890" s="12"/>
    </row>
    <row r="891" ht="19.5" customHeight="1">
      <c r="A891" s="12"/>
      <c r="C891" s="12"/>
      <c r="D891" s="13"/>
      <c r="F891" s="14"/>
      <c r="G891" s="14"/>
      <c r="H891" s="14"/>
      <c r="I891" s="14"/>
      <c r="J891" s="14"/>
      <c r="K891" s="12"/>
    </row>
    <row r="892" ht="19.5" customHeight="1">
      <c r="A892" s="12"/>
      <c r="C892" s="12"/>
      <c r="D892" s="13"/>
      <c r="F892" s="14"/>
      <c r="G892" s="14"/>
      <c r="H892" s="14"/>
      <c r="I892" s="14"/>
      <c r="J892" s="14"/>
      <c r="K892" s="12"/>
    </row>
    <row r="893" ht="19.5" customHeight="1">
      <c r="A893" s="12"/>
      <c r="C893" s="12"/>
      <c r="D893" s="13"/>
      <c r="F893" s="14"/>
      <c r="G893" s="14"/>
      <c r="H893" s="14"/>
      <c r="I893" s="14"/>
      <c r="J893" s="14"/>
      <c r="K893" s="12"/>
    </row>
    <row r="894" ht="19.5" customHeight="1">
      <c r="A894" s="12"/>
      <c r="C894" s="12"/>
      <c r="D894" s="13"/>
      <c r="F894" s="14"/>
      <c r="G894" s="14"/>
      <c r="H894" s="14"/>
      <c r="I894" s="14"/>
      <c r="J894" s="14"/>
      <c r="K894" s="12"/>
    </row>
    <row r="895" ht="19.5" customHeight="1">
      <c r="A895" s="12"/>
      <c r="C895" s="12"/>
      <c r="D895" s="13"/>
      <c r="F895" s="14"/>
      <c r="G895" s="14"/>
      <c r="H895" s="14"/>
      <c r="I895" s="14"/>
      <c r="J895" s="14"/>
      <c r="K895" s="12"/>
    </row>
    <row r="896" ht="19.5" customHeight="1">
      <c r="A896" s="12"/>
      <c r="C896" s="12"/>
      <c r="D896" s="13"/>
      <c r="F896" s="14"/>
      <c r="G896" s="14"/>
      <c r="H896" s="14"/>
      <c r="I896" s="14"/>
      <c r="J896" s="14"/>
      <c r="K896" s="12"/>
    </row>
    <row r="897" ht="19.5" customHeight="1">
      <c r="A897" s="12"/>
      <c r="C897" s="12"/>
      <c r="D897" s="13"/>
      <c r="F897" s="14"/>
      <c r="G897" s="14"/>
      <c r="H897" s="14"/>
      <c r="I897" s="14"/>
      <c r="J897" s="14"/>
      <c r="K897" s="12"/>
    </row>
    <row r="898" ht="19.5" customHeight="1">
      <c r="A898" s="12"/>
      <c r="C898" s="12"/>
      <c r="D898" s="13"/>
      <c r="F898" s="14"/>
      <c r="G898" s="14"/>
      <c r="H898" s="14"/>
      <c r="I898" s="14"/>
      <c r="J898" s="14"/>
      <c r="K898" s="12"/>
    </row>
    <row r="899" ht="19.5" customHeight="1">
      <c r="A899" s="12"/>
      <c r="C899" s="12"/>
      <c r="D899" s="13"/>
      <c r="F899" s="14"/>
      <c r="G899" s="14"/>
      <c r="H899" s="14"/>
      <c r="I899" s="14"/>
      <c r="J899" s="14"/>
      <c r="K899" s="12"/>
    </row>
    <row r="900" ht="19.5" customHeight="1">
      <c r="A900" s="12"/>
      <c r="C900" s="12"/>
      <c r="D900" s="13"/>
      <c r="F900" s="14"/>
      <c r="G900" s="14"/>
      <c r="H900" s="14"/>
      <c r="I900" s="14"/>
      <c r="J900" s="14"/>
      <c r="K900" s="12"/>
    </row>
    <row r="901" ht="19.5" customHeight="1">
      <c r="A901" s="12"/>
      <c r="C901" s="12"/>
      <c r="D901" s="13"/>
      <c r="F901" s="14"/>
      <c r="G901" s="14"/>
      <c r="H901" s="14"/>
      <c r="I901" s="14"/>
      <c r="J901" s="14"/>
      <c r="K901" s="12"/>
    </row>
    <row r="902" ht="19.5" customHeight="1">
      <c r="A902" s="12"/>
      <c r="C902" s="12"/>
      <c r="D902" s="13"/>
      <c r="F902" s="14"/>
      <c r="G902" s="14"/>
      <c r="H902" s="14"/>
      <c r="I902" s="14"/>
      <c r="J902" s="14"/>
      <c r="K902" s="12"/>
    </row>
    <row r="903" ht="19.5" customHeight="1">
      <c r="A903" s="12"/>
      <c r="C903" s="12"/>
      <c r="D903" s="13"/>
      <c r="F903" s="14"/>
      <c r="G903" s="14"/>
      <c r="H903" s="14"/>
      <c r="I903" s="14"/>
      <c r="J903" s="14"/>
      <c r="K903" s="12"/>
    </row>
    <row r="904" ht="19.5" customHeight="1">
      <c r="A904" s="12"/>
      <c r="C904" s="12"/>
      <c r="D904" s="13"/>
      <c r="F904" s="14"/>
      <c r="G904" s="14"/>
      <c r="H904" s="14"/>
      <c r="I904" s="14"/>
      <c r="J904" s="14"/>
      <c r="K904" s="12"/>
    </row>
    <row r="905" ht="19.5" customHeight="1">
      <c r="A905" s="12"/>
      <c r="C905" s="12"/>
      <c r="D905" s="13"/>
      <c r="F905" s="14"/>
      <c r="G905" s="14"/>
      <c r="H905" s="14"/>
      <c r="I905" s="14"/>
      <c r="J905" s="14"/>
      <c r="K905" s="12"/>
    </row>
    <row r="906" ht="19.5" customHeight="1">
      <c r="A906" s="12"/>
      <c r="C906" s="12"/>
      <c r="D906" s="13"/>
      <c r="F906" s="14"/>
      <c r="G906" s="14"/>
      <c r="H906" s="14"/>
      <c r="I906" s="14"/>
      <c r="J906" s="14"/>
      <c r="K906" s="12"/>
    </row>
    <row r="907" ht="19.5" customHeight="1">
      <c r="A907" s="12"/>
      <c r="C907" s="12"/>
      <c r="D907" s="13"/>
      <c r="F907" s="14"/>
      <c r="G907" s="14"/>
      <c r="H907" s="14"/>
      <c r="I907" s="14"/>
      <c r="J907" s="14"/>
      <c r="K907" s="12"/>
    </row>
    <row r="908" ht="19.5" customHeight="1">
      <c r="A908" s="12"/>
      <c r="C908" s="12"/>
      <c r="D908" s="13"/>
      <c r="F908" s="14"/>
      <c r="G908" s="14"/>
      <c r="H908" s="14"/>
      <c r="I908" s="14"/>
      <c r="J908" s="14"/>
      <c r="K908" s="12"/>
    </row>
    <row r="909" ht="19.5" customHeight="1">
      <c r="A909" s="12"/>
      <c r="C909" s="12"/>
      <c r="D909" s="13"/>
      <c r="F909" s="14"/>
      <c r="G909" s="14"/>
      <c r="H909" s="14"/>
      <c r="I909" s="14"/>
      <c r="J909" s="14"/>
      <c r="K909" s="12"/>
    </row>
    <row r="910" ht="19.5" customHeight="1">
      <c r="A910" s="12"/>
      <c r="C910" s="12"/>
      <c r="D910" s="13"/>
      <c r="F910" s="14"/>
      <c r="G910" s="14"/>
      <c r="H910" s="14"/>
      <c r="I910" s="14"/>
      <c r="J910" s="14"/>
      <c r="K910" s="12"/>
    </row>
    <row r="911" ht="19.5" customHeight="1">
      <c r="A911" s="12"/>
      <c r="C911" s="12"/>
      <c r="D911" s="13"/>
      <c r="F911" s="14"/>
      <c r="G911" s="14"/>
      <c r="H911" s="14"/>
      <c r="I911" s="14"/>
      <c r="J911" s="14"/>
      <c r="K911" s="12"/>
    </row>
    <row r="912" ht="19.5" customHeight="1">
      <c r="A912" s="12"/>
      <c r="C912" s="12"/>
      <c r="D912" s="13"/>
      <c r="F912" s="14"/>
      <c r="G912" s="14"/>
      <c r="H912" s="14"/>
      <c r="I912" s="14"/>
      <c r="J912" s="14"/>
      <c r="K912" s="12"/>
    </row>
    <row r="913" ht="19.5" customHeight="1">
      <c r="A913" s="12"/>
      <c r="C913" s="12"/>
      <c r="D913" s="13"/>
      <c r="F913" s="14"/>
      <c r="G913" s="14"/>
      <c r="H913" s="14"/>
      <c r="I913" s="14"/>
      <c r="J913" s="14"/>
      <c r="K913" s="12"/>
    </row>
    <row r="914" ht="19.5" customHeight="1">
      <c r="A914" s="12"/>
      <c r="C914" s="12"/>
      <c r="D914" s="13"/>
      <c r="F914" s="14"/>
      <c r="G914" s="14"/>
      <c r="H914" s="14"/>
      <c r="I914" s="14"/>
      <c r="J914" s="14"/>
      <c r="K914" s="12"/>
    </row>
    <row r="915" ht="19.5" customHeight="1">
      <c r="A915" s="12"/>
      <c r="C915" s="12"/>
      <c r="D915" s="13"/>
      <c r="F915" s="14"/>
      <c r="G915" s="14"/>
      <c r="H915" s="14"/>
      <c r="I915" s="14"/>
      <c r="J915" s="14"/>
      <c r="K915" s="12"/>
    </row>
    <row r="916" ht="19.5" customHeight="1">
      <c r="A916" s="12"/>
      <c r="C916" s="12"/>
      <c r="D916" s="13"/>
      <c r="F916" s="14"/>
      <c r="G916" s="14"/>
      <c r="H916" s="14"/>
      <c r="I916" s="14"/>
      <c r="J916" s="14"/>
      <c r="K916" s="12"/>
    </row>
    <row r="917" ht="19.5" customHeight="1">
      <c r="A917" s="12"/>
      <c r="C917" s="12"/>
      <c r="D917" s="13"/>
      <c r="F917" s="14"/>
      <c r="G917" s="14"/>
      <c r="H917" s="14"/>
      <c r="I917" s="14"/>
      <c r="J917" s="14"/>
      <c r="K917" s="12"/>
    </row>
    <row r="918" ht="19.5" customHeight="1">
      <c r="A918" s="12"/>
      <c r="C918" s="12"/>
      <c r="D918" s="13"/>
      <c r="F918" s="14"/>
      <c r="G918" s="14"/>
      <c r="H918" s="14"/>
      <c r="I918" s="14"/>
      <c r="J918" s="14"/>
      <c r="K918" s="12"/>
    </row>
    <row r="919" ht="19.5" customHeight="1">
      <c r="A919" s="12"/>
      <c r="C919" s="12"/>
      <c r="D919" s="13"/>
      <c r="F919" s="14"/>
      <c r="G919" s="14"/>
      <c r="H919" s="14"/>
      <c r="I919" s="14"/>
      <c r="J919" s="14"/>
      <c r="K919" s="12"/>
    </row>
    <row r="920" ht="19.5" customHeight="1">
      <c r="A920" s="12"/>
      <c r="C920" s="12"/>
      <c r="D920" s="13"/>
      <c r="F920" s="14"/>
      <c r="G920" s="14"/>
      <c r="H920" s="14"/>
      <c r="I920" s="14"/>
      <c r="J920" s="14"/>
      <c r="K920" s="12"/>
    </row>
    <row r="921" ht="19.5" customHeight="1">
      <c r="A921" s="12"/>
      <c r="C921" s="12"/>
      <c r="D921" s="13"/>
      <c r="F921" s="14"/>
      <c r="G921" s="14"/>
      <c r="H921" s="14"/>
      <c r="I921" s="14"/>
      <c r="J921" s="14"/>
      <c r="K921" s="12"/>
    </row>
    <row r="922" ht="19.5" customHeight="1">
      <c r="A922" s="12"/>
      <c r="C922" s="12"/>
      <c r="D922" s="13"/>
      <c r="F922" s="14"/>
      <c r="G922" s="14"/>
      <c r="H922" s="14"/>
      <c r="I922" s="14"/>
      <c r="J922" s="14"/>
      <c r="K922" s="12"/>
    </row>
    <row r="923" ht="19.5" customHeight="1">
      <c r="A923" s="12"/>
      <c r="C923" s="12"/>
      <c r="D923" s="13"/>
      <c r="F923" s="14"/>
      <c r="G923" s="14"/>
      <c r="H923" s="14"/>
      <c r="I923" s="14"/>
      <c r="J923" s="14"/>
      <c r="K923" s="12"/>
    </row>
    <row r="924" ht="19.5" customHeight="1">
      <c r="A924" s="12"/>
      <c r="C924" s="12"/>
      <c r="D924" s="13"/>
      <c r="F924" s="14"/>
      <c r="G924" s="14"/>
      <c r="H924" s="14"/>
      <c r="I924" s="14"/>
      <c r="J924" s="14"/>
      <c r="K924" s="12"/>
    </row>
    <row r="925" ht="19.5" customHeight="1">
      <c r="A925" s="12"/>
      <c r="C925" s="12"/>
      <c r="D925" s="13"/>
      <c r="F925" s="14"/>
      <c r="G925" s="14"/>
      <c r="H925" s="14"/>
      <c r="I925" s="14"/>
      <c r="J925" s="14"/>
      <c r="K925" s="12"/>
    </row>
    <row r="926" ht="19.5" customHeight="1">
      <c r="A926" s="12"/>
      <c r="C926" s="12"/>
      <c r="D926" s="13"/>
      <c r="F926" s="14"/>
      <c r="G926" s="14"/>
      <c r="H926" s="14"/>
      <c r="I926" s="14"/>
      <c r="J926" s="14"/>
      <c r="K926" s="12"/>
    </row>
    <row r="927" ht="19.5" customHeight="1">
      <c r="A927" s="12"/>
      <c r="C927" s="12"/>
      <c r="D927" s="13"/>
      <c r="F927" s="14"/>
      <c r="G927" s="14"/>
      <c r="H927" s="14"/>
      <c r="I927" s="14"/>
      <c r="J927" s="14"/>
      <c r="K927" s="12"/>
    </row>
    <row r="928" ht="19.5" customHeight="1">
      <c r="A928" s="12"/>
      <c r="C928" s="12"/>
      <c r="D928" s="13"/>
      <c r="F928" s="14"/>
      <c r="G928" s="14"/>
      <c r="H928" s="14"/>
      <c r="I928" s="14"/>
      <c r="J928" s="14"/>
      <c r="K928" s="12"/>
    </row>
    <row r="929" ht="19.5" customHeight="1">
      <c r="A929" s="12"/>
      <c r="C929" s="12"/>
      <c r="D929" s="13"/>
      <c r="F929" s="14"/>
      <c r="G929" s="14"/>
      <c r="H929" s="14"/>
      <c r="I929" s="14"/>
      <c r="J929" s="14"/>
      <c r="K929" s="12"/>
    </row>
    <row r="930" ht="19.5" customHeight="1">
      <c r="A930" s="12"/>
      <c r="C930" s="12"/>
      <c r="D930" s="13"/>
      <c r="F930" s="14"/>
      <c r="G930" s="14"/>
      <c r="H930" s="14"/>
      <c r="I930" s="14"/>
      <c r="J930" s="14"/>
      <c r="K930" s="12"/>
    </row>
    <row r="931" ht="19.5" customHeight="1">
      <c r="A931" s="12"/>
      <c r="C931" s="12"/>
      <c r="D931" s="13"/>
      <c r="F931" s="14"/>
      <c r="G931" s="14"/>
      <c r="H931" s="14"/>
      <c r="I931" s="14"/>
      <c r="J931" s="14"/>
      <c r="K931" s="12"/>
    </row>
    <row r="932" ht="19.5" customHeight="1">
      <c r="A932" s="12"/>
      <c r="C932" s="12"/>
      <c r="D932" s="13"/>
      <c r="F932" s="14"/>
      <c r="G932" s="14"/>
      <c r="H932" s="14"/>
      <c r="I932" s="14"/>
      <c r="J932" s="14"/>
      <c r="K932" s="12"/>
    </row>
    <row r="933" ht="19.5" customHeight="1">
      <c r="A933" s="12"/>
      <c r="C933" s="12"/>
      <c r="D933" s="13"/>
      <c r="F933" s="14"/>
      <c r="G933" s="14"/>
      <c r="H933" s="14"/>
      <c r="I933" s="14"/>
      <c r="J933" s="14"/>
      <c r="K933" s="12"/>
    </row>
    <row r="934" ht="19.5" customHeight="1">
      <c r="A934" s="12"/>
      <c r="C934" s="12"/>
      <c r="D934" s="13"/>
      <c r="F934" s="14"/>
      <c r="G934" s="14"/>
      <c r="H934" s="14"/>
      <c r="I934" s="14"/>
      <c r="J934" s="14"/>
      <c r="K934" s="12"/>
    </row>
    <row r="935" ht="19.5" customHeight="1">
      <c r="A935" s="12"/>
      <c r="C935" s="12"/>
      <c r="D935" s="13"/>
      <c r="F935" s="14"/>
      <c r="G935" s="14"/>
      <c r="H935" s="14"/>
      <c r="I935" s="14"/>
      <c r="J935" s="14"/>
      <c r="K935" s="12"/>
    </row>
    <row r="936" ht="19.5" customHeight="1">
      <c r="A936" s="12"/>
      <c r="C936" s="12"/>
      <c r="D936" s="13"/>
      <c r="F936" s="14"/>
      <c r="G936" s="14"/>
      <c r="H936" s="14"/>
      <c r="I936" s="14"/>
      <c r="J936" s="14"/>
      <c r="K936" s="12"/>
    </row>
    <row r="937" ht="19.5" customHeight="1">
      <c r="A937" s="12"/>
      <c r="C937" s="12"/>
      <c r="D937" s="13"/>
      <c r="F937" s="14"/>
      <c r="G937" s="14"/>
      <c r="H937" s="14"/>
      <c r="I937" s="14"/>
      <c r="J937" s="14"/>
      <c r="K937" s="12"/>
    </row>
    <row r="938" ht="19.5" customHeight="1">
      <c r="A938" s="12"/>
      <c r="C938" s="12"/>
      <c r="D938" s="13"/>
      <c r="F938" s="14"/>
      <c r="G938" s="14"/>
      <c r="H938" s="14"/>
      <c r="I938" s="14"/>
      <c r="J938" s="14"/>
      <c r="K938" s="12"/>
    </row>
    <row r="939" ht="19.5" customHeight="1">
      <c r="A939" s="12"/>
      <c r="C939" s="12"/>
      <c r="D939" s="13"/>
      <c r="F939" s="14"/>
      <c r="G939" s="14"/>
      <c r="H939" s="14"/>
      <c r="I939" s="14"/>
      <c r="J939" s="14"/>
      <c r="K939" s="12"/>
    </row>
    <row r="940" ht="19.5" customHeight="1">
      <c r="A940" s="12"/>
      <c r="C940" s="12"/>
      <c r="D940" s="13"/>
      <c r="F940" s="14"/>
      <c r="G940" s="14"/>
      <c r="H940" s="14"/>
      <c r="I940" s="14"/>
      <c r="J940" s="14"/>
      <c r="K940" s="12"/>
    </row>
    <row r="941" ht="19.5" customHeight="1">
      <c r="A941" s="12"/>
      <c r="C941" s="12"/>
      <c r="D941" s="13"/>
      <c r="F941" s="14"/>
      <c r="G941" s="14"/>
      <c r="H941" s="14"/>
      <c r="I941" s="14"/>
      <c r="J941" s="14"/>
      <c r="K941" s="12"/>
    </row>
    <row r="942" ht="19.5" customHeight="1">
      <c r="A942" s="12"/>
      <c r="C942" s="12"/>
      <c r="D942" s="13"/>
      <c r="F942" s="14"/>
      <c r="G942" s="14"/>
      <c r="H942" s="14"/>
      <c r="I942" s="14"/>
      <c r="J942" s="14"/>
      <c r="K942" s="12"/>
    </row>
    <row r="943" ht="19.5" customHeight="1">
      <c r="A943" s="12"/>
      <c r="C943" s="12"/>
      <c r="D943" s="13"/>
      <c r="F943" s="14"/>
      <c r="G943" s="14"/>
      <c r="H943" s="14"/>
      <c r="I943" s="14"/>
      <c r="J943" s="14"/>
      <c r="K943" s="12"/>
    </row>
    <row r="944" ht="19.5" customHeight="1">
      <c r="A944" s="12"/>
      <c r="C944" s="12"/>
      <c r="D944" s="13"/>
      <c r="F944" s="14"/>
      <c r="G944" s="14"/>
      <c r="H944" s="14"/>
      <c r="I944" s="14"/>
      <c r="J944" s="14"/>
      <c r="K944" s="12"/>
    </row>
    <row r="945" ht="19.5" customHeight="1">
      <c r="A945" s="12"/>
      <c r="C945" s="12"/>
      <c r="D945" s="13"/>
      <c r="F945" s="14"/>
      <c r="G945" s="14"/>
      <c r="H945" s="14"/>
      <c r="I945" s="14"/>
      <c r="J945" s="14"/>
      <c r="K945" s="12"/>
    </row>
    <row r="946" ht="19.5" customHeight="1">
      <c r="A946" s="12"/>
      <c r="C946" s="12"/>
      <c r="D946" s="13"/>
      <c r="F946" s="14"/>
      <c r="G946" s="14"/>
      <c r="H946" s="14"/>
      <c r="I946" s="14"/>
      <c r="J946" s="14"/>
      <c r="K946" s="12"/>
    </row>
    <row r="947" ht="19.5" customHeight="1">
      <c r="A947" s="12"/>
      <c r="C947" s="12"/>
      <c r="D947" s="13"/>
      <c r="F947" s="14"/>
      <c r="G947" s="14"/>
      <c r="H947" s="14"/>
      <c r="I947" s="14"/>
      <c r="J947" s="14"/>
      <c r="K947" s="12"/>
    </row>
    <row r="948" ht="19.5" customHeight="1">
      <c r="A948" s="12"/>
      <c r="C948" s="12"/>
      <c r="D948" s="13"/>
      <c r="F948" s="14"/>
      <c r="G948" s="14"/>
      <c r="H948" s="14"/>
      <c r="I948" s="14"/>
      <c r="J948" s="14"/>
      <c r="K948" s="12"/>
    </row>
    <row r="949" ht="19.5" customHeight="1">
      <c r="A949" s="12"/>
      <c r="C949" s="12"/>
      <c r="D949" s="13"/>
      <c r="F949" s="14"/>
      <c r="G949" s="14"/>
      <c r="H949" s="14"/>
      <c r="I949" s="14"/>
      <c r="J949" s="14"/>
      <c r="K949" s="12"/>
    </row>
    <row r="950" ht="19.5" customHeight="1">
      <c r="A950" s="12"/>
      <c r="C950" s="12"/>
      <c r="D950" s="13"/>
      <c r="F950" s="14"/>
      <c r="G950" s="14"/>
      <c r="H950" s="14"/>
      <c r="I950" s="14"/>
      <c r="J950" s="14"/>
      <c r="K950" s="12"/>
    </row>
    <row r="951" ht="19.5" customHeight="1">
      <c r="A951" s="12"/>
      <c r="C951" s="12"/>
      <c r="D951" s="13"/>
      <c r="F951" s="14"/>
      <c r="G951" s="14"/>
      <c r="H951" s="14"/>
      <c r="I951" s="14"/>
      <c r="J951" s="14"/>
      <c r="K951" s="12"/>
    </row>
    <row r="952" ht="19.5" customHeight="1">
      <c r="A952" s="12"/>
      <c r="C952" s="12"/>
      <c r="D952" s="13"/>
      <c r="F952" s="14"/>
      <c r="G952" s="14"/>
      <c r="H952" s="14"/>
      <c r="I952" s="14"/>
      <c r="J952" s="14"/>
      <c r="K952" s="12"/>
    </row>
    <row r="953" ht="19.5" customHeight="1">
      <c r="A953" s="12"/>
      <c r="C953" s="12"/>
      <c r="D953" s="13"/>
      <c r="F953" s="14"/>
      <c r="G953" s="14"/>
      <c r="H953" s="14"/>
      <c r="I953" s="14"/>
      <c r="J953" s="14"/>
      <c r="K953" s="12"/>
    </row>
    <row r="954" ht="19.5" customHeight="1">
      <c r="A954" s="12"/>
      <c r="C954" s="12"/>
      <c r="D954" s="13"/>
      <c r="F954" s="14"/>
      <c r="G954" s="14"/>
      <c r="H954" s="14"/>
      <c r="I954" s="14"/>
      <c r="J954" s="14"/>
      <c r="K954" s="12"/>
    </row>
    <row r="955" ht="19.5" customHeight="1">
      <c r="A955" s="12"/>
      <c r="C955" s="12"/>
      <c r="D955" s="13"/>
      <c r="F955" s="14"/>
      <c r="G955" s="14"/>
      <c r="H955" s="14"/>
      <c r="I955" s="14"/>
      <c r="J955" s="14"/>
      <c r="K955" s="12"/>
    </row>
    <row r="956" ht="19.5" customHeight="1">
      <c r="A956" s="12"/>
      <c r="C956" s="12"/>
      <c r="D956" s="13"/>
      <c r="F956" s="14"/>
      <c r="G956" s="14"/>
      <c r="H956" s="14"/>
      <c r="I956" s="14"/>
      <c r="J956" s="14"/>
      <c r="K956" s="12"/>
    </row>
    <row r="957" ht="19.5" customHeight="1">
      <c r="A957" s="12"/>
      <c r="C957" s="12"/>
      <c r="D957" s="13"/>
      <c r="F957" s="14"/>
      <c r="G957" s="14"/>
      <c r="H957" s="14"/>
      <c r="I957" s="14"/>
      <c r="J957" s="14"/>
      <c r="K957" s="12"/>
    </row>
    <row r="958" ht="19.5" customHeight="1">
      <c r="A958" s="12"/>
      <c r="C958" s="12"/>
      <c r="D958" s="13"/>
      <c r="F958" s="14"/>
      <c r="G958" s="14"/>
      <c r="H958" s="14"/>
      <c r="I958" s="14"/>
      <c r="J958" s="14"/>
      <c r="K958" s="12"/>
    </row>
    <row r="959" ht="19.5" customHeight="1">
      <c r="A959" s="12"/>
      <c r="C959" s="12"/>
      <c r="D959" s="13"/>
      <c r="F959" s="14"/>
      <c r="G959" s="14"/>
      <c r="H959" s="14"/>
      <c r="I959" s="14"/>
      <c r="J959" s="14"/>
      <c r="K959" s="12"/>
    </row>
    <row r="960" ht="19.5" customHeight="1">
      <c r="A960" s="12"/>
      <c r="C960" s="12"/>
      <c r="D960" s="13"/>
      <c r="F960" s="14"/>
      <c r="G960" s="14"/>
      <c r="H960" s="14"/>
      <c r="I960" s="14"/>
      <c r="J960" s="14"/>
      <c r="K960" s="12"/>
    </row>
    <row r="961" ht="19.5" customHeight="1">
      <c r="A961" s="12"/>
      <c r="C961" s="12"/>
      <c r="D961" s="13"/>
      <c r="F961" s="14"/>
      <c r="G961" s="14"/>
      <c r="H961" s="14"/>
      <c r="I961" s="14"/>
      <c r="J961" s="14"/>
      <c r="K961" s="12"/>
    </row>
    <row r="962" ht="19.5" customHeight="1">
      <c r="A962" s="12"/>
      <c r="C962" s="12"/>
      <c r="D962" s="13"/>
      <c r="F962" s="14"/>
      <c r="G962" s="14"/>
      <c r="H962" s="14"/>
      <c r="I962" s="14"/>
      <c r="J962" s="14"/>
      <c r="K962" s="12"/>
    </row>
    <row r="963" ht="19.5" customHeight="1">
      <c r="A963" s="12"/>
      <c r="C963" s="12"/>
      <c r="D963" s="13"/>
      <c r="F963" s="14"/>
      <c r="G963" s="14"/>
      <c r="H963" s="14"/>
      <c r="I963" s="14"/>
      <c r="J963" s="14"/>
      <c r="K963" s="12"/>
    </row>
    <row r="964" ht="19.5" customHeight="1">
      <c r="A964" s="12"/>
      <c r="C964" s="12"/>
      <c r="D964" s="13"/>
      <c r="F964" s="14"/>
      <c r="G964" s="14"/>
      <c r="H964" s="14"/>
      <c r="I964" s="14"/>
      <c r="J964" s="14"/>
      <c r="K964" s="12"/>
    </row>
    <row r="965" ht="19.5" customHeight="1">
      <c r="A965" s="12"/>
      <c r="C965" s="12"/>
      <c r="D965" s="13"/>
      <c r="F965" s="14"/>
      <c r="G965" s="14"/>
      <c r="H965" s="14"/>
      <c r="I965" s="14"/>
      <c r="J965" s="14"/>
      <c r="K965" s="12"/>
    </row>
    <row r="966" ht="19.5" customHeight="1">
      <c r="A966" s="12"/>
      <c r="C966" s="12"/>
      <c r="D966" s="13"/>
      <c r="F966" s="14"/>
      <c r="G966" s="14"/>
      <c r="H966" s="14"/>
      <c r="I966" s="14"/>
      <c r="J966" s="14"/>
      <c r="K966" s="12"/>
    </row>
    <row r="967" ht="19.5" customHeight="1">
      <c r="A967" s="12"/>
      <c r="C967" s="12"/>
      <c r="D967" s="13"/>
      <c r="F967" s="14"/>
      <c r="G967" s="14"/>
      <c r="H967" s="14"/>
      <c r="I967" s="14"/>
      <c r="J967" s="14"/>
      <c r="K967" s="12"/>
    </row>
    <row r="968" ht="19.5" customHeight="1">
      <c r="A968" s="12"/>
      <c r="C968" s="12"/>
      <c r="D968" s="13"/>
      <c r="F968" s="14"/>
      <c r="G968" s="14"/>
      <c r="H968" s="14"/>
      <c r="I968" s="14"/>
      <c r="J968" s="14"/>
      <c r="K968" s="12"/>
    </row>
    <row r="969" ht="19.5" customHeight="1">
      <c r="A969" s="12"/>
      <c r="C969" s="12"/>
      <c r="D969" s="13"/>
      <c r="F969" s="14"/>
      <c r="G969" s="14"/>
      <c r="H969" s="14"/>
      <c r="I969" s="14"/>
      <c r="J969" s="14"/>
      <c r="K969" s="12"/>
    </row>
    <row r="970" ht="19.5" customHeight="1">
      <c r="A970" s="12"/>
      <c r="C970" s="12"/>
      <c r="D970" s="13"/>
      <c r="F970" s="14"/>
      <c r="G970" s="14"/>
      <c r="H970" s="14"/>
      <c r="I970" s="14"/>
      <c r="J970" s="14"/>
      <c r="K970" s="12"/>
    </row>
    <row r="971" ht="19.5" customHeight="1">
      <c r="A971" s="12"/>
      <c r="C971" s="12"/>
      <c r="D971" s="13"/>
      <c r="F971" s="14"/>
      <c r="G971" s="14"/>
      <c r="H971" s="14"/>
      <c r="I971" s="14"/>
      <c r="J971" s="14"/>
      <c r="K971" s="12"/>
    </row>
    <row r="972" ht="19.5" customHeight="1">
      <c r="A972" s="12"/>
      <c r="C972" s="12"/>
      <c r="D972" s="13"/>
      <c r="F972" s="14"/>
      <c r="G972" s="14"/>
      <c r="H972" s="14"/>
      <c r="I972" s="14"/>
      <c r="J972" s="14"/>
      <c r="K972" s="12"/>
    </row>
    <row r="973" ht="19.5" customHeight="1">
      <c r="A973" s="12"/>
      <c r="C973" s="12"/>
      <c r="D973" s="13"/>
      <c r="F973" s="14"/>
      <c r="G973" s="14"/>
      <c r="H973" s="14"/>
      <c r="I973" s="14"/>
      <c r="J973" s="14"/>
      <c r="K973" s="12"/>
    </row>
    <row r="974" ht="19.5" customHeight="1">
      <c r="A974" s="12"/>
      <c r="C974" s="12"/>
      <c r="D974" s="13"/>
      <c r="F974" s="14"/>
      <c r="G974" s="14"/>
      <c r="H974" s="14"/>
      <c r="I974" s="14"/>
      <c r="J974" s="14"/>
      <c r="K974" s="12"/>
    </row>
    <row r="975" ht="19.5" customHeight="1">
      <c r="A975" s="12"/>
      <c r="C975" s="12"/>
      <c r="D975" s="13"/>
      <c r="F975" s="14"/>
      <c r="G975" s="14"/>
      <c r="H975" s="14"/>
      <c r="I975" s="14"/>
      <c r="J975" s="14"/>
      <c r="K975" s="12"/>
    </row>
    <row r="976" ht="19.5" customHeight="1">
      <c r="A976" s="12"/>
      <c r="C976" s="12"/>
      <c r="D976" s="13"/>
      <c r="F976" s="14"/>
      <c r="G976" s="14"/>
      <c r="H976" s="14"/>
      <c r="I976" s="14"/>
      <c r="J976" s="14"/>
      <c r="K976" s="12"/>
    </row>
    <row r="977" ht="19.5" customHeight="1">
      <c r="A977" s="12"/>
      <c r="C977" s="12"/>
      <c r="D977" s="13"/>
      <c r="F977" s="14"/>
      <c r="G977" s="14"/>
      <c r="H977" s="14"/>
      <c r="I977" s="14"/>
      <c r="J977" s="14"/>
      <c r="K977" s="12"/>
    </row>
    <row r="978" ht="19.5" customHeight="1">
      <c r="A978" s="12"/>
      <c r="C978" s="12"/>
      <c r="D978" s="13"/>
      <c r="F978" s="14"/>
      <c r="G978" s="14"/>
      <c r="H978" s="14"/>
      <c r="I978" s="14"/>
      <c r="J978" s="14"/>
      <c r="K978" s="12"/>
    </row>
  </sheetData>
  <mergeCells count="10">
    <mergeCell ref="E9:G9"/>
    <mergeCell ref="J9:J10"/>
    <mergeCell ref="A6:K6"/>
    <mergeCell ref="A7:K7"/>
    <mergeCell ref="A8:K8"/>
    <mergeCell ref="A9:A10"/>
    <mergeCell ref="B9:B10"/>
    <mergeCell ref="C9:C10"/>
    <mergeCell ref="D9:D10"/>
    <mergeCell ref="K9:K10"/>
  </mergeCells>
  <printOptions/>
  <pageMargins bottom="0.787401575" footer="0.0" header="0.0" left="0.511811024" right="0.511811024" top="0.787401575"/>
  <pageSetup paperSize="9" scale="60"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41.25"/>
    <col customWidth="1" min="3" max="3" width="9.13"/>
    <col customWidth="1" min="4" max="4" width="16.25"/>
    <col customWidth="1" min="5" max="5" width="13.75"/>
    <col customWidth="1" min="6" max="6" width="17.75"/>
    <col customWidth="1" min="7" max="7" width="13.88"/>
    <col customWidth="1" min="8" max="8" width="15.88"/>
    <col customWidth="1" min="9" max="9" width="16.13"/>
    <col customWidth="1" min="10" max="10" width="18.25"/>
    <col customWidth="1" min="11" max="11" width="25.38"/>
    <col customWidth="1" min="12" max="26" width="8.63"/>
  </cols>
  <sheetData>
    <row r="1" ht="19.5" customHeight="1">
      <c r="A1" s="4"/>
      <c r="B1" s="5"/>
      <c r="C1" s="6"/>
      <c r="D1" s="86"/>
      <c r="E1" s="5"/>
      <c r="F1" s="8"/>
      <c r="G1" s="8"/>
      <c r="H1" s="8"/>
      <c r="I1" s="8"/>
      <c r="J1" s="8"/>
      <c r="K1" s="9"/>
    </row>
    <row r="2" ht="19.5" customHeight="1">
      <c r="A2" s="10" t="s">
        <v>83</v>
      </c>
      <c r="B2" s="11" t="s">
        <v>84</v>
      </c>
      <c r="C2" s="12"/>
      <c r="D2" s="87"/>
      <c r="F2" s="14"/>
      <c r="G2" s="14"/>
      <c r="H2" s="14"/>
      <c r="I2" s="14"/>
      <c r="J2" s="17" t="s">
        <v>144</v>
      </c>
      <c r="K2" s="18"/>
    </row>
    <row r="3" ht="19.5" customHeight="1">
      <c r="A3" s="10" t="s">
        <v>86</v>
      </c>
      <c r="B3" s="11" t="s">
        <v>87</v>
      </c>
      <c r="C3" s="12"/>
      <c r="D3" s="87"/>
      <c r="F3" s="14"/>
      <c r="G3" s="14"/>
      <c r="H3" s="14"/>
      <c r="I3" s="14"/>
      <c r="J3" s="14"/>
      <c r="K3" s="18"/>
    </row>
    <row r="4" ht="19.5" customHeight="1">
      <c r="A4" s="19"/>
      <c r="C4" s="12"/>
      <c r="D4" s="87"/>
      <c r="F4" s="14"/>
      <c r="G4" s="14"/>
      <c r="H4" s="14"/>
      <c r="I4" s="14"/>
      <c r="J4" s="14"/>
      <c r="K4" s="18"/>
    </row>
    <row r="5" ht="19.5" customHeight="1">
      <c r="A5" s="19"/>
      <c r="C5" s="12"/>
      <c r="D5" s="87"/>
      <c r="F5" s="14"/>
      <c r="G5" s="14"/>
      <c r="H5" s="14"/>
      <c r="I5" s="14"/>
      <c r="J5" s="14"/>
      <c r="K5" s="18"/>
    </row>
    <row r="6" ht="200.25" customHeight="1">
      <c r="A6" s="20" t="s">
        <v>170</v>
      </c>
      <c r="K6" s="21"/>
    </row>
    <row r="7" ht="64.5" customHeight="1">
      <c r="A7" s="22" t="s">
        <v>171</v>
      </c>
      <c r="K7" s="21"/>
    </row>
    <row r="8" ht="37.5" customHeight="1">
      <c r="A8" s="88" t="s">
        <v>90</v>
      </c>
      <c r="B8" s="24"/>
      <c r="C8" s="24"/>
      <c r="D8" s="24"/>
      <c r="E8" s="24"/>
      <c r="F8" s="24"/>
      <c r="G8" s="24"/>
      <c r="H8" s="24"/>
      <c r="I8" s="24"/>
      <c r="J8" s="24"/>
      <c r="K8" s="25"/>
    </row>
    <row r="9" ht="19.5" customHeight="1">
      <c r="A9" s="26" t="s">
        <v>1</v>
      </c>
      <c r="B9" s="26" t="s">
        <v>91</v>
      </c>
      <c r="C9" s="26" t="s">
        <v>92</v>
      </c>
      <c r="D9" s="31" t="s">
        <v>93</v>
      </c>
      <c r="E9" s="27" t="s">
        <v>94</v>
      </c>
      <c r="F9" s="28"/>
      <c r="G9" s="29"/>
      <c r="H9" s="30"/>
      <c r="I9" s="30"/>
      <c r="J9" s="31" t="s">
        <v>95</v>
      </c>
      <c r="K9" s="26" t="s">
        <v>96</v>
      </c>
    </row>
    <row r="10" ht="19.5" customHeight="1">
      <c r="A10" s="32"/>
      <c r="B10" s="32"/>
      <c r="C10" s="32"/>
      <c r="D10" s="32"/>
      <c r="E10" s="33" t="s">
        <v>97</v>
      </c>
      <c r="F10" s="34" t="s">
        <v>121</v>
      </c>
      <c r="G10" s="34" t="s">
        <v>99</v>
      </c>
      <c r="H10" s="35" t="s">
        <v>100</v>
      </c>
      <c r="I10" s="35" t="s">
        <v>101</v>
      </c>
      <c r="J10" s="32"/>
      <c r="K10" s="32"/>
    </row>
    <row r="11" ht="19.5" customHeight="1">
      <c r="A11" s="74" t="s">
        <v>1</v>
      </c>
      <c r="B11" s="74" t="s">
        <v>91</v>
      </c>
      <c r="C11" s="74" t="s">
        <v>92</v>
      </c>
      <c r="D11" s="76" t="s">
        <v>93</v>
      </c>
      <c r="E11" s="50" t="s">
        <v>97</v>
      </c>
      <c r="F11" s="53" t="s">
        <v>121</v>
      </c>
      <c r="G11" s="53" t="s">
        <v>99</v>
      </c>
      <c r="H11" s="75" t="s">
        <v>100</v>
      </c>
      <c r="I11" s="75" t="s">
        <v>101</v>
      </c>
      <c r="J11" s="76" t="s">
        <v>95</v>
      </c>
      <c r="K11" s="74" t="s">
        <v>96</v>
      </c>
    </row>
    <row r="12" ht="19.5" customHeight="1">
      <c r="A12" s="36">
        <v>38720.0</v>
      </c>
      <c r="B12" s="37" t="s">
        <v>150</v>
      </c>
      <c r="C12" s="38" t="s">
        <v>108</v>
      </c>
      <c r="D12" s="78">
        <v>2.0</v>
      </c>
      <c r="E12" s="37"/>
      <c r="F12" s="40">
        <v>86.64</v>
      </c>
      <c r="G12" s="40">
        <v>11.1</v>
      </c>
      <c r="H12" s="40">
        <f>(G12+F12)*D12</f>
        <v>195.48</v>
      </c>
      <c r="I12" s="42"/>
      <c r="J12" s="64">
        <f>H12</f>
        <v>195.48</v>
      </c>
      <c r="K12" s="46"/>
    </row>
    <row r="13" ht="19.5" customHeight="1">
      <c r="A13" s="74" t="s">
        <v>1</v>
      </c>
      <c r="B13" s="74" t="s">
        <v>91</v>
      </c>
      <c r="C13" s="74" t="s">
        <v>92</v>
      </c>
      <c r="D13" s="76" t="s">
        <v>93</v>
      </c>
      <c r="E13" s="50" t="s">
        <v>97</v>
      </c>
      <c r="F13" s="53" t="s">
        <v>121</v>
      </c>
      <c r="G13" s="53" t="s">
        <v>99</v>
      </c>
      <c r="H13" s="75" t="s">
        <v>100</v>
      </c>
      <c r="I13" s="75" t="s">
        <v>101</v>
      </c>
      <c r="J13" s="76" t="s">
        <v>95</v>
      </c>
      <c r="K13" s="74" t="s">
        <v>96</v>
      </c>
    </row>
    <row r="14" ht="19.5" customHeight="1">
      <c r="A14" s="74" t="s">
        <v>1</v>
      </c>
      <c r="B14" s="74" t="s">
        <v>91</v>
      </c>
      <c r="C14" s="74" t="s">
        <v>92</v>
      </c>
      <c r="D14" s="76" t="s">
        <v>93</v>
      </c>
      <c r="E14" s="50" t="s">
        <v>97</v>
      </c>
      <c r="F14" s="53" t="s">
        <v>121</v>
      </c>
      <c r="G14" s="53" t="s">
        <v>99</v>
      </c>
      <c r="H14" s="75" t="s">
        <v>100</v>
      </c>
      <c r="I14" s="75" t="s">
        <v>101</v>
      </c>
      <c r="J14" s="76" t="s">
        <v>95</v>
      </c>
      <c r="K14" s="74" t="s">
        <v>96</v>
      </c>
      <c r="L14" s="14" t="str">
        <f>#REF!+#REF!</f>
        <v>#REF!</v>
      </c>
    </row>
    <row r="15" ht="19.5" customHeight="1">
      <c r="A15" s="36">
        <v>37075.0</v>
      </c>
      <c r="B15" s="37" t="s">
        <v>172</v>
      </c>
      <c r="C15" s="46" t="s">
        <v>148</v>
      </c>
      <c r="D15" s="78">
        <v>1.0</v>
      </c>
      <c r="E15" s="37">
        <v>0.05</v>
      </c>
      <c r="F15" s="78">
        <v>84.64</v>
      </c>
      <c r="G15" s="40">
        <v>11.1</v>
      </c>
      <c r="H15" s="40">
        <f>G15*F15*E15*D15</f>
        <v>46.9752</v>
      </c>
      <c r="I15" s="42"/>
      <c r="J15" s="43">
        <f t="shared" ref="J15:J19" si="1">H15</f>
        <v>46.9752</v>
      </c>
      <c r="K15" s="46"/>
    </row>
    <row r="16" ht="19.5" customHeight="1">
      <c r="A16" s="36">
        <v>37805.0</v>
      </c>
      <c r="B16" s="49" t="s">
        <v>173</v>
      </c>
      <c r="C16" s="46" t="s">
        <v>103</v>
      </c>
      <c r="D16" s="78">
        <v>1.0</v>
      </c>
      <c r="E16" s="49">
        <v>0.02</v>
      </c>
      <c r="F16" s="78">
        <f>84.64-8.3</f>
        <v>76.34</v>
      </c>
      <c r="G16" s="40">
        <v>11.1</v>
      </c>
      <c r="H16" s="40">
        <f t="shared" ref="H16:H17" si="2">G16*F16</f>
        <v>847.374</v>
      </c>
      <c r="I16" s="42"/>
      <c r="J16" s="43">
        <f t="shared" si="1"/>
        <v>847.374</v>
      </c>
      <c r="K16" s="46"/>
    </row>
    <row r="17" ht="19.5" customHeight="1">
      <c r="A17" s="36">
        <v>37440.0</v>
      </c>
      <c r="B17" s="49" t="s">
        <v>174</v>
      </c>
      <c r="C17" s="46" t="s">
        <v>103</v>
      </c>
      <c r="D17" s="78">
        <v>1.0</v>
      </c>
      <c r="E17" s="49">
        <v>0.02</v>
      </c>
      <c r="F17" s="39">
        <v>8.3</v>
      </c>
      <c r="G17" s="40">
        <v>11.1</v>
      </c>
      <c r="H17" s="40">
        <f t="shared" si="2"/>
        <v>92.13</v>
      </c>
      <c r="I17" s="42"/>
      <c r="J17" s="43">
        <f t="shared" si="1"/>
        <v>92.13</v>
      </c>
      <c r="K17" s="46"/>
    </row>
    <row r="18" ht="19.5" customHeight="1">
      <c r="A18" s="36">
        <v>38901.0</v>
      </c>
      <c r="B18" s="49" t="s">
        <v>2</v>
      </c>
      <c r="C18" s="38" t="s">
        <v>108</v>
      </c>
      <c r="D18" s="39">
        <v>1.0</v>
      </c>
      <c r="E18" s="49">
        <v>0.02</v>
      </c>
      <c r="F18" s="78">
        <f>(0.7*3)+(0.9*2)</f>
        <v>3.9</v>
      </c>
      <c r="G18" s="40"/>
      <c r="H18" s="40">
        <f>F18</f>
        <v>3.9</v>
      </c>
      <c r="I18" s="42"/>
      <c r="J18" s="43">
        <f t="shared" si="1"/>
        <v>3.9</v>
      </c>
      <c r="K18" s="46"/>
    </row>
    <row r="19" ht="19.5" customHeight="1">
      <c r="A19" s="36">
        <v>38171.0</v>
      </c>
      <c r="B19" s="49" t="s">
        <v>175</v>
      </c>
      <c r="C19" s="46" t="s">
        <v>103</v>
      </c>
      <c r="D19" s="78">
        <v>1.0</v>
      </c>
      <c r="E19" s="49"/>
      <c r="F19" s="39">
        <v>84.34</v>
      </c>
      <c r="G19" s="41">
        <v>10.3</v>
      </c>
      <c r="H19" s="40">
        <f>G19*F19</f>
        <v>868.702</v>
      </c>
      <c r="I19" s="42"/>
      <c r="J19" s="43">
        <f t="shared" si="1"/>
        <v>868.702</v>
      </c>
      <c r="K19" s="46"/>
      <c r="L19" s="89"/>
      <c r="M19" s="89"/>
      <c r="N19" s="90"/>
    </row>
    <row r="20" ht="19.5" customHeight="1">
      <c r="A20" s="74" t="s">
        <v>1</v>
      </c>
      <c r="B20" s="74" t="s">
        <v>91</v>
      </c>
      <c r="C20" s="74" t="s">
        <v>92</v>
      </c>
      <c r="D20" s="76" t="s">
        <v>93</v>
      </c>
      <c r="E20" s="50" t="s">
        <v>97</v>
      </c>
      <c r="F20" s="53" t="s">
        <v>121</v>
      </c>
      <c r="G20" s="53" t="s">
        <v>99</v>
      </c>
      <c r="H20" s="75" t="s">
        <v>100</v>
      </c>
      <c r="I20" s="75" t="s">
        <v>101</v>
      </c>
      <c r="J20" s="76" t="s">
        <v>95</v>
      </c>
      <c r="K20" s="74" t="s">
        <v>96</v>
      </c>
    </row>
    <row r="21" ht="19.5" customHeight="1">
      <c r="A21" s="46">
        <v>1.0</v>
      </c>
      <c r="B21" s="37" t="s">
        <v>176</v>
      </c>
      <c r="C21" s="46" t="s">
        <v>103</v>
      </c>
      <c r="D21" s="78"/>
      <c r="E21" s="37"/>
      <c r="F21" s="40"/>
      <c r="G21" s="40"/>
      <c r="H21" s="40"/>
      <c r="I21" s="42"/>
      <c r="J21" s="43">
        <f>H21-I21</f>
        <v>0</v>
      </c>
      <c r="K21" s="47"/>
    </row>
    <row r="22" ht="19.5" customHeight="1">
      <c r="A22" s="74" t="s">
        <v>1</v>
      </c>
      <c r="B22" s="74" t="s">
        <v>91</v>
      </c>
      <c r="C22" s="74" t="s">
        <v>92</v>
      </c>
      <c r="D22" s="76" t="s">
        <v>93</v>
      </c>
      <c r="E22" s="50" t="s">
        <v>97</v>
      </c>
      <c r="F22" s="53" t="s">
        <v>121</v>
      </c>
      <c r="G22" s="53" t="s">
        <v>99</v>
      </c>
      <c r="H22" s="75" t="s">
        <v>100</v>
      </c>
      <c r="I22" s="75" t="s">
        <v>101</v>
      </c>
      <c r="J22" s="76" t="s">
        <v>95</v>
      </c>
      <c r="K22" s="74" t="s">
        <v>96</v>
      </c>
    </row>
    <row r="23" ht="19.5" customHeight="1">
      <c r="A23" s="36">
        <v>36953.0</v>
      </c>
      <c r="B23" s="37" t="s">
        <v>177</v>
      </c>
      <c r="C23" s="46" t="s">
        <v>103</v>
      </c>
      <c r="D23" s="39">
        <v>1.0</v>
      </c>
      <c r="E23" s="49">
        <v>3.6</v>
      </c>
      <c r="F23" s="78">
        <v>84.64</v>
      </c>
      <c r="G23" s="40">
        <v>0.09</v>
      </c>
      <c r="H23" s="40">
        <f t="shared" ref="H23:H35" si="3">F23*E23*D23</f>
        <v>304.704</v>
      </c>
      <c r="I23" s="42">
        <f>(9.64*16)+(1.86*2)</f>
        <v>157.96</v>
      </c>
      <c r="J23" s="40">
        <f t="shared" ref="J23:J35" si="4">H23-I23</f>
        <v>146.744</v>
      </c>
      <c r="K23" s="46"/>
    </row>
    <row r="24" ht="19.5" customHeight="1">
      <c r="A24" s="36">
        <v>36953.0</v>
      </c>
      <c r="B24" s="37" t="s">
        <v>177</v>
      </c>
      <c r="C24" s="46" t="s">
        <v>103</v>
      </c>
      <c r="D24" s="39">
        <v>1.0</v>
      </c>
      <c r="E24" s="49">
        <v>3.6</v>
      </c>
      <c r="F24" s="78">
        <v>84.64</v>
      </c>
      <c r="G24" s="40">
        <v>0.09</v>
      </c>
      <c r="H24" s="40">
        <f t="shared" si="3"/>
        <v>304.704</v>
      </c>
      <c r="I24" s="42">
        <f>(1.81*12)+(4.01*2.1)</f>
        <v>30.141</v>
      </c>
      <c r="J24" s="40">
        <f t="shared" si="4"/>
        <v>274.563</v>
      </c>
      <c r="K24" s="46"/>
    </row>
    <row r="25" ht="19.5" customHeight="1">
      <c r="A25" s="36">
        <v>36953.0</v>
      </c>
      <c r="B25" s="37" t="s">
        <v>177</v>
      </c>
      <c r="C25" s="46" t="s">
        <v>103</v>
      </c>
      <c r="D25" s="39">
        <v>1.0</v>
      </c>
      <c r="E25" s="49">
        <v>3.45</v>
      </c>
      <c r="F25" s="78">
        <v>84.64</v>
      </c>
      <c r="G25" s="40">
        <v>0.09</v>
      </c>
      <c r="H25" s="40">
        <f t="shared" si="3"/>
        <v>292.008</v>
      </c>
      <c r="I25" s="42">
        <f>(16.45*3.45)*2</f>
        <v>113.505</v>
      </c>
      <c r="J25" s="40">
        <f t="shared" si="4"/>
        <v>178.503</v>
      </c>
      <c r="K25" s="38" t="s">
        <v>178</v>
      </c>
    </row>
    <row r="26" ht="19.5" customHeight="1">
      <c r="A26" s="36">
        <v>36953.0</v>
      </c>
      <c r="B26" s="37" t="s">
        <v>177</v>
      </c>
      <c r="C26" s="46" t="s">
        <v>103</v>
      </c>
      <c r="D26" s="39">
        <v>1.0</v>
      </c>
      <c r="E26" s="49">
        <v>3.6</v>
      </c>
      <c r="F26" s="78">
        <v>84.64</v>
      </c>
      <c r="G26" s="40">
        <v>0.09</v>
      </c>
      <c r="H26" s="40">
        <f t="shared" si="3"/>
        <v>304.704</v>
      </c>
      <c r="I26" s="42">
        <f>((1.85*2.4)*4)+((13.45*2.4)*2)+(10.7*2.4)+((16.45*2.4)*2)</f>
        <v>186.96</v>
      </c>
      <c r="J26" s="40">
        <f t="shared" si="4"/>
        <v>117.744</v>
      </c>
      <c r="K26" s="91" t="s">
        <v>179</v>
      </c>
    </row>
    <row r="27" ht="19.5" customHeight="1">
      <c r="A27" s="36">
        <v>36953.0</v>
      </c>
      <c r="B27" s="37" t="s">
        <v>177</v>
      </c>
      <c r="C27" s="46" t="s">
        <v>103</v>
      </c>
      <c r="D27" s="78">
        <v>2.0</v>
      </c>
      <c r="E27" s="49">
        <v>3.45</v>
      </c>
      <c r="F27" s="78">
        <v>11.1</v>
      </c>
      <c r="G27" s="40">
        <v>0.09</v>
      </c>
      <c r="H27" s="40">
        <f t="shared" si="3"/>
        <v>76.59</v>
      </c>
      <c r="I27" s="42"/>
      <c r="J27" s="40">
        <f t="shared" si="4"/>
        <v>76.59</v>
      </c>
      <c r="K27" s="46"/>
    </row>
    <row r="28" ht="19.5" customHeight="1">
      <c r="A28" s="36">
        <v>36953.0</v>
      </c>
      <c r="B28" s="37" t="s">
        <v>177</v>
      </c>
      <c r="C28" s="46" t="s">
        <v>103</v>
      </c>
      <c r="D28" s="78">
        <v>2.0</v>
      </c>
      <c r="E28" s="49">
        <v>3.6</v>
      </c>
      <c r="F28" s="78">
        <v>11.1</v>
      </c>
      <c r="G28" s="40">
        <v>0.09</v>
      </c>
      <c r="H28" s="40">
        <f t="shared" si="3"/>
        <v>79.92</v>
      </c>
      <c r="I28" s="42">
        <f>(2*2.1)*2</f>
        <v>8.4</v>
      </c>
      <c r="J28" s="40">
        <f t="shared" si="4"/>
        <v>71.52</v>
      </c>
      <c r="K28" s="46"/>
    </row>
    <row r="29" ht="19.5" customHeight="1">
      <c r="A29" s="36">
        <v>36953.0</v>
      </c>
      <c r="B29" s="37" t="s">
        <v>177</v>
      </c>
      <c r="C29" s="46" t="s">
        <v>103</v>
      </c>
      <c r="D29" s="39">
        <v>16.0</v>
      </c>
      <c r="E29" s="49">
        <v>3.6</v>
      </c>
      <c r="F29" s="78">
        <v>11.1</v>
      </c>
      <c r="G29" s="40">
        <v>0.09</v>
      </c>
      <c r="H29" s="40">
        <f t="shared" si="3"/>
        <v>639.36</v>
      </c>
      <c r="I29" s="42">
        <f>(1.66*2.1)+(1.5*2.1)+((0.86*2.1)*2)+((2*2.1)*16)</f>
        <v>77.448</v>
      </c>
      <c r="J29" s="40">
        <f t="shared" si="4"/>
        <v>561.912</v>
      </c>
      <c r="K29" s="46"/>
    </row>
    <row r="30" ht="19.5" customHeight="1">
      <c r="A30" s="36">
        <v>36953.0</v>
      </c>
      <c r="B30" s="37" t="s">
        <v>177</v>
      </c>
      <c r="C30" s="46" t="s">
        <v>103</v>
      </c>
      <c r="D30" s="78">
        <v>1.0</v>
      </c>
      <c r="E30" s="49">
        <v>3.6</v>
      </c>
      <c r="F30" s="41">
        <v>1.7</v>
      </c>
      <c r="G30" s="40">
        <v>0.09</v>
      </c>
      <c r="H30" s="40">
        <f t="shared" si="3"/>
        <v>6.12</v>
      </c>
      <c r="I30" s="42">
        <f>0.7*2.1</f>
        <v>1.47</v>
      </c>
      <c r="J30" s="40">
        <f t="shared" si="4"/>
        <v>4.65</v>
      </c>
      <c r="K30" s="38" t="s">
        <v>180</v>
      </c>
    </row>
    <row r="31" ht="19.5" customHeight="1">
      <c r="A31" s="36">
        <v>36953.0</v>
      </c>
      <c r="B31" s="37" t="s">
        <v>177</v>
      </c>
      <c r="C31" s="46" t="s">
        <v>103</v>
      </c>
      <c r="D31" s="78">
        <v>1.0</v>
      </c>
      <c r="E31" s="49">
        <v>3.6</v>
      </c>
      <c r="F31" s="41">
        <v>1.2</v>
      </c>
      <c r="G31" s="40">
        <v>0.09</v>
      </c>
      <c r="H31" s="40">
        <f t="shared" si="3"/>
        <v>4.32</v>
      </c>
      <c r="I31" s="42"/>
      <c r="J31" s="40">
        <f t="shared" si="4"/>
        <v>4.32</v>
      </c>
      <c r="K31" s="38" t="s">
        <v>180</v>
      </c>
    </row>
    <row r="32" ht="19.5" customHeight="1">
      <c r="A32" s="36">
        <v>36953.0</v>
      </c>
      <c r="B32" s="37" t="s">
        <v>177</v>
      </c>
      <c r="C32" s="46" t="s">
        <v>103</v>
      </c>
      <c r="D32" s="78">
        <v>1.0</v>
      </c>
      <c r="E32" s="49">
        <v>3.6</v>
      </c>
      <c r="F32" s="78">
        <v>5.5</v>
      </c>
      <c r="G32" s="40">
        <v>0.09</v>
      </c>
      <c r="H32" s="40">
        <f t="shared" si="3"/>
        <v>19.8</v>
      </c>
      <c r="I32" s="42"/>
      <c r="J32" s="40">
        <f t="shared" si="4"/>
        <v>19.8</v>
      </c>
      <c r="K32" s="83" t="s">
        <v>181</v>
      </c>
    </row>
    <row r="33" ht="19.5" customHeight="1">
      <c r="A33" s="36">
        <v>36953.0</v>
      </c>
      <c r="B33" s="37" t="s">
        <v>177</v>
      </c>
      <c r="C33" s="79" t="s">
        <v>103</v>
      </c>
      <c r="D33" s="92">
        <v>1.0</v>
      </c>
      <c r="E33" s="49">
        <v>3.6</v>
      </c>
      <c r="F33" s="78">
        <v>7.0</v>
      </c>
      <c r="G33" s="40">
        <v>0.09</v>
      </c>
      <c r="H33" s="40">
        <f t="shared" si="3"/>
        <v>25.2</v>
      </c>
      <c r="I33" s="93">
        <f>(0.7*2.1)*2</f>
        <v>2.94</v>
      </c>
      <c r="J33" s="40">
        <f t="shared" si="4"/>
        <v>22.26</v>
      </c>
      <c r="K33" s="83" t="s">
        <v>181</v>
      </c>
    </row>
    <row r="34" ht="19.5" customHeight="1">
      <c r="A34" s="36">
        <v>36953.0</v>
      </c>
      <c r="B34" s="37" t="s">
        <v>177</v>
      </c>
      <c r="C34" s="79" t="s">
        <v>103</v>
      </c>
      <c r="D34" s="92">
        <v>2.0</v>
      </c>
      <c r="E34" s="49">
        <v>3.6</v>
      </c>
      <c r="F34" s="78">
        <f>2.5+1.85</f>
        <v>4.35</v>
      </c>
      <c r="G34" s="40">
        <v>0.09</v>
      </c>
      <c r="H34" s="40">
        <f t="shared" si="3"/>
        <v>31.32</v>
      </c>
      <c r="I34" s="93">
        <f>(0.9*2.1)*2+(1*0.5)*2</f>
        <v>4.78</v>
      </c>
      <c r="J34" s="40">
        <f t="shared" si="4"/>
        <v>26.54</v>
      </c>
      <c r="K34" s="83" t="s">
        <v>181</v>
      </c>
    </row>
    <row r="35" ht="19.5" customHeight="1">
      <c r="A35" s="36">
        <v>36953.0</v>
      </c>
      <c r="B35" s="37" t="s">
        <v>177</v>
      </c>
      <c r="C35" s="79" t="s">
        <v>103</v>
      </c>
      <c r="D35" s="94">
        <v>4.0</v>
      </c>
      <c r="E35" s="49">
        <v>1.8</v>
      </c>
      <c r="F35" s="39">
        <v>1.63</v>
      </c>
      <c r="G35" s="40">
        <v>0.09</v>
      </c>
      <c r="H35" s="40">
        <f t="shared" si="3"/>
        <v>11.736</v>
      </c>
      <c r="I35" s="93"/>
      <c r="J35" s="40">
        <f t="shared" si="4"/>
        <v>11.736</v>
      </c>
      <c r="K35" s="83" t="s">
        <v>181</v>
      </c>
    </row>
    <row r="36" ht="19.5" customHeight="1">
      <c r="A36" s="79"/>
      <c r="B36" s="95"/>
      <c r="C36" s="79"/>
      <c r="D36" s="92"/>
      <c r="E36" s="37"/>
      <c r="F36" s="78"/>
      <c r="G36" s="40"/>
      <c r="H36" s="59"/>
      <c r="I36" s="93"/>
      <c r="J36" s="96">
        <f>SUM(J23:J35)</f>
        <v>1516.882</v>
      </c>
      <c r="K36" s="79"/>
    </row>
    <row r="37" ht="19.5" customHeight="1">
      <c r="A37" s="74" t="s">
        <v>1</v>
      </c>
      <c r="B37" s="74" t="s">
        <v>91</v>
      </c>
      <c r="C37" s="74" t="s">
        <v>92</v>
      </c>
      <c r="D37" s="76" t="s">
        <v>93</v>
      </c>
      <c r="E37" s="50" t="s">
        <v>97</v>
      </c>
      <c r="F37" s="53" t="s">
        <v>121</v>
      </c>
      <c r="G37" s="53" t="s">
        <v>99</v>
      </c>
      <c r="H37" s="75" t="s">
        <v>100</v>
      </c>
      <c r="I37" s="75" t="s">
        <v>101</v>
      </c>
      <c r="J37" s="76" t="s">
        <v>95</v>
      </c>
      <c r="K37" s="74" t="s">
        <v>96</v>
      </c>
    </row>
    <row r="38" ht="19.5" customHeight="1">
      <c r="A38" s="46">
        <v>1.0</v>
      </c>
      <c r="B38" s="37" t="s">
        <v>182</v>
      </c>
      <c r="C38" s="46" t="s">
        <v>103</v>
      </c>
      <c r="D38" s="78">
        <f>J21</f>
        <v>0</v>
      </c>
      <c r="E38" s="37"/>
      <c r="F38" s="40"/>
      <c r="G38" s="40"/>
      <c r="H38" s="40">
        <f>D38</f>
        <v>0</v>
      </c>
      <c r="I38" s="42"/>
      <c r="J38" s="43">
        <f>H38-I38</f>
        <v>0</v>
      </c>
      <c r="K38" s="46" t="s">
        <v>183</v>
      </c>
    </row>
    <row r="39" ht="19.5" customHeight="1">
      <c r="A39" s="74" t="s">
        <v>1</v>
      </c>
      <c r="B39" s="74" t="s">
        <v>91</v>
      </c>
      <c r="C39" s="74" t="s">
        <v>92</v>
      </c>
      <c r="D39" s="76" t="s">
        <v>93</v>
      </c>
      <c r="E39" s="50" t="s">
        <v>97</v>
      </c>
      <c r="F39" s="53" t="s">
        <v>121</v>
      </c>
      <c r="G39" s="53" t="s">
        <v>99</v>
      </c>
      <c r="H39" s="75" t="s">
        <v>100</v>
      </c>
      <c r="I39" s="75" t="s">
        <v>101</v>
      </c>
      <c r="J39" s="76" t="s">
        <v>95</v>
      </c>
      <c r="K39" s="74" t="s">
        <v>96</v>
      </c>
    </row>
    <row r="40" ht="19.5" customHeight="1">
      <c r="A40" s="36">
        <v>37775.0</v>
      </c>
      <c r="B40" s="37" t="s">
        <v>184</v>
      </c>
      <c r="C40" s="46" t="s">
        <v>108</v>
      </c>
      <c r="D40" s="78">
        <v>2.0</v>
      </c>
      <c r="E40" s="37"/>
      <c r="F40" s="40">
        <f>84.64</f>
        <v>84.64</v>
      </c>
      <c r="G40" s="41">
        <v>11.1</v>
      </c>
      <c r="H40" s="40">
        <f>(F40+G40)*D40</f>
        <v>191.48</v>
      </c>
      <c r="I40" s="42"/>
      <c r="J40" s="77"/>
      <c r="K40" s="46"/>
    </row>
    <row r="41" ht="19.5" customHeight="1">
      <c r="A41" s="36">
        <v>37775.0</v>
      </c>
      <c r="B41" s="37" t="s">
        <v>185</v>
      </c>
      <c r="C41" s="46" t="s">
        <v>108</v>
      </c>
      <c r="D41" s="78">
        <v>2.0</v>
      </c>
      <c r="E41" s="37"/>
      <c r="F41" s="40">
        <v>11.1</v>
      </c>
      <c r="G41" s="40"/>
      <c r="H41" s="40">
        <f>F41*D41</f>
        <v>22.2</v>
      </c>
      <c r="I41" s="42"/>
      <c r="J41" s="43">
        <f>H41+H40</f>
        <v>213.68</v>
      </c>
      <c r="K41" s="46" t="s">
        <v>186</v>
      </c>
    </row>
    <row r="42" ht="19.5" customHeight="1">
      <c r="A42" s="74" t="s">
        <v>1</v>
      </c>
      <c r="B42" s="74" t="s">
        <v>91</v>
      </c>
      <c r="C42" s="74" t="s">
        <v>92</v>
      </c>
      <c r="D42" s="76" t="s">
        <v>93</v>
      </c>
      <c r="E42" s="50" t="s">
        <v>187</v>
      </c>
      <c r="F42" s="53" t="s">
        <v>99</v>
      </c>
      <c r="G42" s="53" t="s">
        <v>121</v>
      </c>
      <c r="H42" s="75" t="s">
        <v>100</v>
      </c>
      <c r="I42" s="75" t="s">
        <v>101</v>
      </c>
      <c r="J42" s="76" t="s">
        <v>95</v>
      </c>
      <c r="K42" s="74" t="s">
        <v>96</v>
      </c>
    </row>
    <row r="43" ht="19.5" customHeight="1">
      <c r="A43" s="97"/>
      <c r="B43" s="37" t="s">
        <v>188</v>
      </c>
      <c r="C43" s="46" t="s">
        <v>103</v>
      </c>
      <c r="D43" s="78"/>
      <c r="E43" s="37"/>
      <c r="F43" s="40"/>
      <c r="G43" s="40"/>
      <c r="H43" s="40"/>
      <c r="I43" s="42"/>
      <c r="J43" s="43">
        <f>H43-I43</f>
        <v>0</v>
      </c>
      <c r="K43" s="46"/>
    </row>
    <row r="44" ht="19.5" customHeight="1">
      <c r="A44" s="74" t="s">
        <v>1</v>
      </c>
      <c r="B44" s="74" t="s">
        <v>91</v>
      </c>
      <c r="C44" s="74" t="s">
        <v>92</v>
      </c>
      <c r="D44" s="76" t="s">
        <v>93</v>
      </c>
      <c r="E44" s="50" t="s">
        <v>187</v>
      </c>
      <c r="F44" s="53" t="s">
        <v>99</v>
      </c>
      <c r="G44" s="53" t="s">
        <v>121</v>
      </c>
      <c r="H44" s="75" t="s">
        <v>100</v>
      </c>
      <c r="I44" s="75" t="s">
        <v>101</v>
      </c>
      <c r="J44" s="76" t="s">
        <v>95</v>
      </c>
      <c r="K44" s="74" t="s">
        <v>96</v>
      </c>
    </row>
    <row r="45" ht="19.5" customHeight="1">
      <c r="A45" s="36">
        <v>37045.0</v>
      </c>
      <c r="B45" s="37" t="s">
        <v>189</v>
      </c>
      <c r="C45" s="46" t="s">
        <v>103</v>
      </c>
      <c r="D45" s="78">
        <v>1.0</v>
      </c>
      <c r="E45" s="37">
        <v>12.0</v>
      </c>
      <c r="F45" s="40">
        <v>11.1</v>
      </c>
      <c r="G45" s="40">
        <v>84.64</v>
      </c>
      <c r="H45" s="40">
        <f>G45*F45</f>
        <v>939.504</v>
      </c>
      <c r="I45" s="42"/>
      <c r="J45" s="43">
        <f>H45-I45</f>
        <v>939.504</v>
      </c>
      <c r="K45" s="46"/>
    </row>
    <row r="46" ht="19.5" customHeight="1">
      <c r="A46" s="74" t="s">
        <v>1</v>
      </c>
      <c r="B46" s="74" t="s">
        <v>91</v>
      </c>
      <c r="C46" s="74" t="s">
        <v>92</v>
      </c>
      <c r="D46" s="76" t="s">
        <v>93</v>
      </c>
      <c r="E46" s="50" t="s">
        <v>99</v>
      </c>
      <c r="F46" s="53" t="s">
        <v>121</v>
      </c>
      <c r="G46" s="53" t="s">
        <v>97</v>
      </c>
      <c r="H46" s="75" t="s">
        <v>100</v>
      </c>
      <c r="I46" s="75" t="s">
        <v>101</v>
      </c>
      <c r="J46" s="76" t="s">
        <v>95</v>
      </c>
      <c r="K46" s="74" t="s">
        <v>96</v>
      </c>
    </row>
    <row r="47" ht="19.5" customHeight="1">
      <c r="A47" s="36">
        <v>37410.0</v>
      </c>
      <c r="B47" s="49" t="s">
        <v>190</v>
      </c>
      <c r="C47" s="38" t="s">
        <v>108</v>
      </c>
      <c r="D47" s="39">
        <v>2.0</v>
      </c>
      <c r="E47" s="37"/>
      <c r="F47" s="41">
        <v>85.15</v>
      </c>
      <c r="G47" s="40"/>
      <c r="H47" s="40">
        <f>F47*D47</f>
        <v>170.3</v>
      </c>
      <c r="I47" s="42"/>
      <c r="J47" s="43">
        <f>H47-I47</f>
        <v>170.3</v>
      </c>
      <c r="K47" s="46"/>
      <c r="L47" s="98"/>
    </row>
    <row r="48" ht="19.5" customHeight="1">
      <c r="A48" s="74" t="s">
        <v>1</v>
      </c>
      <c r="B48" s="74" t="s">
        <v>91</v>
      </c>
      <c r="C48" s="99" t="s">
        <v>92</v>
      </c>
      <c r="D48" s="76" t="s">
        <v>93</v>
      </c>
      <c r="E48" s="50" t="s">
        <v>99</v>
      </c>
      <c r="F48" s="53" t="s">
        <v>121</v>
      </c>
      <c r="G48" s="53" t="s">
        <v>97</v>
      </c>
      <c r="H48" s="75" t="s">
        <v>100</v>
      </c>
      <c r="I48" s="75" t="s">
        <v>101</v>
      </c>
      <c r="J48" s="76" t="s">
        <v>95</v>
      </c>
      <c r="K48" s="74" t="s">
        <v>96</v>
      </c>
      <c r="L48" s="98"/>
      <c r="M48" s="98"/>
      <c r="N48" s="98"/>
    </row>
    <row r="49" ht="19.5" customHeight="1">
      <c r="A49" s="97"/>
      <c r="B49" s="49" t="s">
        <v>191</v>
      </c>
      <c r="C49" s="38" t="s">
        <v>108</v>
      </c>
      <c r="D49" s="78"/>
      <c r="E49" s="37"/>
      <c r="F49" s="40"/>
      <c r="G49" s="40"/>
      <c r="H49" s="40"/>
      <c r="I49" s="42"/>
      <c r="J49" s="43">
        <f>H49-I49</f>
        <v>0</v>
      </c>
      <c r="K49" s="46"/>
      <c r="L49" s="98"/>
      <c r="M49" s="98"/>
      <c r="N49" s="98"/>
    </row>
    <row r="50" ht="19.5" customHeight="1">
      <c r="A50" s="74" t="s">
        <v>1</v>
      </c>
      <c r="B50" s="74" t="s">
        <v>91</v>
      </c>
      <c r="C50" s="74" t="s">
        <v>92</v>
      </c>
      <c r="D50" s="76" t="s">
        <v>93</v>
      </c>
      <c r="E50" s="50" t="s">
        <v>99</v>
      </c>
      <c r="F50" s="53" t="s">
        <v>121</v>
      </c>
      <c r="G50" s="53" t="s">
        <v>97</v>
      </c>
      <c r="H50" s="75" t="s">
        <v>100</v>
      </c>
      <c r="I50" s="75" t="s">
        <v>101</v>
      </c>
      <c r="J50" s="76" t="s">
        <v>95</v>
      </c>
      <c r="K50" s="74" t="s">
        <v>96</v>
      </c>
      <c r="L50" s="98"/>
      <c r="M50" s="98"/>
      <c r="N50" s="98"/>
    </row>
    <row r="51" ht="19.5" customHeight="1">
      <c r="A51" s="36">
        <v>38141.0</v>
      </c>
      <c r="B51" s="49" t="s">
        <v>192</v>
      </c>
      <c r="C51" s="38" t="s">
        <v>108</v>
      </c>
      <c r="D51" s="39">
        <v>1.0</v>
      </c>
      <c r="E51" s="37"/>
      <c r="F51" s="41">
        <v>85.15</v>
      </c>
      <c r="G51" s="40"/>
      <c r="H51" s="40">
        <f>F51*D51</f>
        <v>85.15</v>
      </c>
      <c r="I51" s="42"/>
      <c r="J51" s="43">
        <f>H51-I51</f>
        <v>85.15</v>
      </c>
      <c r="K51" s="46"/>
      <c r="L51" s="98"/>
      <c r="M51" s="98"/>
      <c r="N51" s="98"/>
    </row>
    <row r="52" ht="19.5" customHeight="1">
      <c r="A52" s="74" t="s">
        <v>1</v>
      </c>
      <c r="B52" s="74" t="s">
        <v>91</v>
      </c>
      <c r="C52" s="74" t="s">
        <v>92</v>
      </c>
      <c r="D52" s="76" t="s">
        <v>93</v>
      </c>
      <c r="E52" s="50" t="s">
        <v>193</v>
      </c>
      <c r="F52" s="53" t="s">
        <v>121</v>
      </c>
      <c r="G52" s="53" t="s">
        <v>194</v>
      </c>
      <c r="H52" s="75" t="s">
        <v>100</v>
      </c>
      <c r="I52" s="75" t="s">
        <v>101</v>
      </c>
      <c r="J52" s="76" t="s">
        <v>95</v>
      </c>
      <c r="K52" s="74" t="s">
        <v>96</v>
      </c>
    </row>
    <row r="53" ht="19.5" customHeight="1">
      <c r="A53" s="100" t="s">
        <v>195</v>
      </c>
      <c r="B53" s="37" t="s">
        <v>196</v>
      </c>
      <c r="C53" s="46" t="s">
        <v>103</v>
      </c>
      <c r="D53" s="78">
        <v>1.0</v>
      </c>
      <c r="E53" s="37">
        <f>171.11</f>
        <v>171.11</v>
      </c>
      <c r="F53" s="40"/>
      <c r="G53" s="40"/>
      <c r="H53" s="40">
        <f>E53*D53</f>
        <v>171.11</v>
      </c>
      <c r="I53" s="42"/>
      <c r="J53" s="43">
        <f>H53-I53</f>
        <v>171.11</v>
      </c>
      <c r="K53" s="79"/>
    </row>
    <row r="54" ht="19.5" customHeight="1">
      <c r="A54" s="74" t="s">
        <v>1</v>
      </c>
      <c r="B54" s="74" t="s">
        <v>91</v>
      </c>
      <c r="C54" s="74" t="s">
        <v>92</v>
      </c>
      <c r="D54" s="76" t="s">
        <v>93</v>
      </c>
      <c r="E54" s="50" t="s">
        <v>161</v>
      </c>
      <c r="F54" s="53" t="s">
        <v>99</v>
      </c>
      <c r="G54" s="53" t="s">
        <v>121</v>
      </c>
      <c r="H54" s="75" t="s">
        <v>100</v>
      </c>
      <c r="I54" s="75" t="s">
        <v>101</v>
      </c>
      <c r="J54" s="76" t="s">
        <v>95</v>
      </c>
      <c r="K54" s="74" t="s">
        <v>96</v>
      </c>
    </row>
    <row r="55" ht="19.5" customHeight="1">
      <c r="A55" s="36">
        <v>37106.0</v>
      </c>
      <c r="B55" s="37" t="s">
        <v>197</v>
      </c>
      <c r="C55" s="46" t="s">
        <v>103</v>
      </c>
      <c r="D55" s="78" t="str">
        <f>D43</f>
        <v/>
      </c>
      <c r="E55" s="37">
        <v>1.0</v>
      </c>
      <c r="F55" s="40">
        <v>11.1</v>
      </c>
      <c r="G55" s="40">
        <v>84.64</v>
      </c>
      <c r="H55" s="40">
        <f>G55*F55</f>
        <v>939.504</v>
      </c>
      <c r="I55" s="42"/>
      <c r="J55" s="43">
        <f>H55-I55</f>
        <v>939.504</v>
      </c>
      <c r="K55" s="46"/>
    </row>
    <row r="56" ht="19.5" customHeight="1">
      <c r="A56" s="74" t="s">
        <v>1</v>
      </c>
      <c r="B56" s="74" t="s">
        <v>91</v>
      </c>
      <c r="C56" s="74" t="s">
        <v>92</v>
      </c>
      <c r="D56" s="76" t="s">
        <v>93</v>
      </c>
      <c r="E56" s="50" t="s">
        <v>97</v>
      </c>
      <c r="F56" s="53" t="s">
        <v>121</v>
      </c>
      <c r="G56" s="53" t="s">
        <v>198</v>
      </c>
      <c r="H56" s="75" t="s">
        <v>100</v>
      </c>
      <c r="I56" s="75" t="s">
        <v>101</v>
      </c>
      <c r="J56" s="76" t="s">
        <v>95</v>
      </c>
      <c r="K56" s="74" t="s">
        <v>96</v>
      </c>
    </row>
    <row r="57" ht="19.5" customHeight="1">
      <c r="A57" s="36">
        <v>37014.0</v>
      </c>
      <c r="B57" s="49" t="s">
        <v>199</v>
      </c>
      <c r="C57" s="46" t="s">
        <v>103</v>
      </c>
      <c r="D57" s="39">
        <v>1.0</v>
      </c>
      <c r="E57" s="49">
        <v>3.6</v>
      </c>
      <c r="F57" s="78">
        <v>84.64</v>
      </c>
      <c r="G57" s="40"/>
      <c r="H57" s="40">
        <f t="shared" ref="H57:H69" si="5">F57*E57*D57</f>
        <v>304.704</v>
      </c>
      <c r="I57" s="42">
        <f t="shared" ref="I57:I58" si="6">(9.64*16)+(1.86*2)</f>
        <v>157.96</v>
      </c>
      <c r="J57" s="40">
        <f t="shared" ref="J57:J70" si="7">H57-I57</f>
        <v>146.744</v>
      </c>
      <c r="K57" s="46"/>
      <c r="L57" s="2" t="s">
        <v>200</v>
      </c>
    </row>
    <row r="58" ht="19.5" customHeight="1">
      <c r="A58" s="36">
        <v>37379.0</v>
      </c>
      <c r="B58" s="49" t="s">
        <v>199</v>
      </c>
      <c r="C58" s="46" t="s">
        <v>103</v>
      </c>
      <c r="D58" s="39">
        <v>1.0</v>
      </c>
      <c r="E58" s="49">
        <v>3.6</v>
      </c>
      <c r="F58" s="78">
        <v>84.64</v>
      </c>
      <c r="G58" s="40"/>
      <c r="H58" s="40">
        <f t="shared" si="5"/>
        <v>304.704</v>
      </c>
      <c r="I58" s="42">
        <f t="shared" si="6"/>
        <v>157.96</v>
      </c>
      <c r="J58" s="40">
        <f t="shared" si="7"/>
        <v>146.744</v>
      </c>
      <c r="K58" s="46"/>
      <c r="L58" s="2"/>
    </row>
    <row r="59" ht="19.5" customHeight="1">
      <c r="A59" s="36">
        <v>37379.0</v>
      </c>
      <c r="B59" s="49" t="s">
        <v>199</v>
      </c>
      <c r="C59" s="46" t="s">
        <v>103</v>
      </c>
      <c r="D59" s="39">
        <v>2.0</v>
      </c>
      <c r="E59" s="49">
        <v>3.6</v>
      </c>
      <c r="F59" s="78">
        <v>84.64</v>
      </c>
      <c r="G59" s="40"/>
      <c r="H59" s="40">
        <f t="shared" si="5"/>
        <v>609.408</v>
      </c>
      <c r="I59" s="42">
        <f>((1.81*12)+(4.01*2.1))*2</f>
        <v>60.282</v>
      </c>
      <c r="J59" s="40">
        <f t="shared" si="7"/>
        <v>549.126</v>
      </c>
      <c r="K59" s="46"/>
      <c r="L59" s="2"/>
    </row>
    <row r="60" ht="19.5" customHeight="1">
      <c r="A60" s="36">
        <v>37014.0</v>
      </c>
      <c r="B60" s="49" t="s">
        <v>199</v>
      </c>
      <c r="C60" s="46" t="s">
        <v>103</v>
      </c>
      <c r="D60" s="39">
        <v>4.0</v>
      </c>
      <c r="E60" s="49">
        <v>3.45</v>
      </c>
      <c r="F60" s="78">
        <v>84.64</v>
      </c>
      <c r="G60" s="40"/>
      <c r="H60" s="40">
        <f t="shared" si="5"/>
        <v>1168.032</v>
      </c>
      <c r="I60" s="42">
        <f>((16.45*3.45)*2)*2</f>
        <v>227.01</v>
      </c>
      <c r="J60" s="40">
        <f t="shared" si="7"/>
        <v>941.022</v>
      </c>
      <c r="K60" s="38" t="s">
        <v>178</v>
      </c>
      <c r="L60" s="2" t="s">
        <v>200</v>
      </c>
    </row>
    <row r="61" ht="19.5" customHeight="1">
      <c r="A61" s="36">
        <v>37379.0</v>
      </c>
      <c r="B61" s="49" t="s">
        <v>199</v>
      </c>
      <c r="C61" s="46" t="s">
        <v>103</v>
      </c>
      <c r="D61" s="39">
        <v>1.0</v>
      </c>
      <c r="E61" s="49">
        <v>3.6</v>
      </c>
      <c r="F61" s="78">
        <v>84.64</v>
      </c>
      <c r="G61" s="40"/>
      <c r="H61" s="40">
        <f t="shared" si="5"/>
        <v>304.704</v>
      </c>
      <c r="I61" s="42">
        <f>((1.85*2.4)*4)+((13.45*2.4)*2)+(10.7*2.4)+((16.45*2.4)*2)</f>
        <v>186.96</v>
      </c>
      <c r="J61" s="40">
        <f t="shared" si="7"/>
        <v>117.744</v>
      </c>
      <c r="K61" s="91" t="s">
        <v>201</v>
      </c>
    </row>
    <row r="62" ht="19.5" customHeight="1">
      <c r="A62" s="36">
        <v>37014.0</v>
      </c>
      <c r="B62" s="49" t="s">
        <v>199</v>
      </c>
      <c r="C62" s="46" t="s">
        <v>103</v>
      </c>
      <c r="D62" s="39">
        <v>4.0</v>
      </c>
      <c r="E62" s="49">
        <v>3.45</v>
      </c>
      <c r="F62" s="78">
        <v>11.1</v>
      </c>
      <c r="G62" s="40"/>
      <c r="H62" s="40">
        <f t="shared" si="5"/>
        <v>153.18</v>
      </c>
      <c r="I62" s="42"/>
      <c r="J62" s="40">
        <f t="shared" si="7"/>
        <v>153.18</v>
      </c>
      <c r="K62" s="46"/>
      <c r="L62" s="2" t="s">
        <v>200</v>
      </c>
    </row>
    <row r="63" ht="19.5" customHeight="1">
      <c r="A63" s="36">
        <v>37379.0</v>
      </c>
      <c r="B63" s="49" t="s">
        <v>199</v>
      </c>
      <c r="C63" s="46" t="s">
        <v>103</v>
      </c>
      <c r="D63" s="78">
        <v>2.0</v>
      </c>
      <c r="E63" s="49">
        <v>3.6</v>
      </c>
      <c r="F63" s="78">
        <v>11.1</v>
      </c>
      <c r="G63" s="40"/>
      <c r="H63" s="40">
        <f t="shared" si="5"/>
        <v>79.92</v>
      </c>
      <c r="I63" s="42">
        <f>(2*2.1)*2</f>
        <v>8.4</v>
      </c>
      <c r="J63" s="40">
        <f t="shared" si="7"/>
        <v>71.52</v>
      </c>
      <c r="K63" s="46"/>
    </row>
    <row r="64" ht="19.5" customHeight="1">
      <c r="A64" s="36">
        <v>37379.0</v>
      </c>
      <c r="B64" s="49" t="s">
        <v>199</v>
      </c>
      <c r="C64" s="46" t="s">
        <v>103</v>
      </c>
      <c r="D64" s="39">
        <f>16*2</f>
        <v>32</v>
      </c>
      <c r="E64" s="49">
        <v>3.6</v>
      </c>
      <c r="F64" s="78">
        <v>11.1</v>
      </c>
      <c r="G64" s="40"/>
      <c r="H64" s="40">
        <f t="shared" si="5"/>
        <v>1278.72</v>
      </c>
      <c r="I64" s="42">
        <f>((1.66*2.1)+(1.5*2.1)+((0.86*2.1)*2)+((2*2.1)*16))*2</f>
        <v>154.896</v>
      </c>
      <c r="J64" s="40">
        <f t="shared" si="7"/>
        <v>1123.824</v>
      </c>
      <c r="K64" s="46"/>
    </row>
    <row r="65" ht="19.5" customHeight="1">
      <c r="A65" s="36">
        <v>37379.0</v>
      </c>
      <c r="B65" s="49" t="s">
        <v>199</v>
      </c>
      <c r="C65" s="46" t="s">
        <v>103</v>
      </c>
      <c r="D65" s="39">
        <v>2.0</v>
      </c>
      <c r="E65" s="49">
        <v>3.6</v>
      </c>
      <c r="F65" s="41">
        <v>1.7</v>
      </c>
      <c r="G65" s="40"/>
      <c r="H65" s="40">
        <f t="shared" si="5"/>
        <v>12.24</v>
      </c>
      <c r="I65" s="42">
        <f>(0.7*2.1)*2</f>
        <v>2.94</v>
      </c>
      <c r="J65" s="40">
        <f t="shared" si="7"/>
        <v>9.3</v>
      </c>
      <c r="K65" s="38" t="s">
        <v>180</v>
      </c>
    </row>
    <row r="66" ht="19.5" customHeight="1">
      <c r="A66" s="36">
        <v>37379.0</v>
      </c>
      <c r="B66" s="49" t="s">
        <v>199</v>
      </c>
      <c r="C66" s="46" t="s">
        <v>103</v>
      </c>
      <c r="D66" s="39">
        <v>2.0</v>
      </c>
      <c r="E66" s="49">
        <v>3.6</v>
      </c>
      <c r="F66" s="41">
        <v>1.2</v>
      </c>
      <c r="G66" s="40"/>
      <c r="H66" s="40">
        <f t="shared" si="5"/>
        <v>8.64</v>
      </c>
      <c r="I66" s="42"/>
      <c r="J66" s="40">
        <f t="shared" si="7"/>
        <v>8.64</v>
      </c>
      <c r="K66" s="38" t="s">
        <v>180</v>
      </c>
    </row>
    <row r="67" ht="19.5" customHeight="1">
      <c r="A67" s="36">
        <v>37379.0</v>
      </c>
      <c r="B67" s="49" t="s">
        <v>199</v>
      </c>
      <c r="C67" s="46" t="s">
        <v>103</v>
      </c>
      <c r="D67" s="39">
        <v>2.0</v>
      </c>
      <c r="E67" s="49">
        <v>3.6</v>
      </c>
      <c r="F67" s="78">
        <v>5.5</v>
      </c>
      <c r="G67" s="40"/>
      <c r="H67" s="40">
        <f t="shared" si="5"/>
        <v>39.6</v>
      </c>
      <c r="I67" s="42"/>
      <c r="J67" s="40">
        <f t="shared" si="7"/>
        <v>39.6</v>
      </c>
      <c r="K67" s="83" t="s">
        <v>181</v>
      </c>
    </row>
    <row r="68" ht="19.5" customHeight="1">
      <c r="A68" s="36">
        <v>37379.0</v>
      </c>
      <c r="B68" s="49" t="s">
        <v>199</v>
      </c>
      <c r="C68" s="46" t="s">
        <v>103</v>
      </c>
      <c r="D68" s="94">
        <v>2.0</v>
      </c>
      <c r="E68" s="49">
        <v>3.6</v>
      </c>
      <c r="F68" s="78">
        <v>7.0</v>
      </c>
      <c r="G68" s="40"/>
      <c r="H68" s="40">
        <f t="shared" si="5"/>
        <v>50.4</v>
      </c>
      <c r="I68" s="93">
        <f>((0.7*2.1)*2)*2</f>
        <v>5.88</v>
      </c>
      <c r="J68" s="40">
        <f t="shared" si="7"/>
        <v>44.52</v>
      </c>
      <c r="K68" s="83" t="s">
        <v>181</v>
      </c>
    </row>
    <row r="69" ht="19.5" customHeight="1">
      <c r="A69" s="36">
        <v>37379.0</v>
      </c>
      <c r="B69" s="49" t="s">
        <v>199</v>
      </c>
      <c r="C69" s="46" t="s">
        <v>103</v>
      </c>
      <c r="D69" s="94">
        <v>4.0</v>
      </c>
      <c r="E69" s="49">
        <v>3.6</v>
      </c>
      <c r="F69" s="78">
        <f>2.5+1.85</f>
        <v>4.35</v>
      </c>
      <c r="G69" s="40"/>
      <c r="H69" s="40">
        <f t="shared" si="5"/>
        <v>62.64</v>
      </c>
      <c r="I69" s="93">
        <f>((0.9*2.1)*2+(1*0.5)*2)*4</f>
        <v>19.12</v>
      </c>
      <c r="J69" s="40">
        <f t="shared" si="7"/>
        <v>43.52</v>
      </c>
      <c r="K69" s="83" t="s">
        <v>181</v>
      </c>
    </row>
    <row r="70" ht="19.5" customHeight="1">
      <c r="A70" s="36">
        <v>37379.0</v>
      </c>
      <c r="B70" s="49" t="s">
        <v>199</v>
      </c>
      <c r="C70" s="79" t="s">
        <v>103</v>
      </c>
      <c r="D70" s="94">
        <v>4.0</v>
      </c>
      <c r="E70" s="49">
        <v>1.8</v>
      </c>
      <c r="F70" s="39">
        <f>1.63+1.63+0.15</f>
        <v>3.41</v>
      </c>
      <c r="G70" s="40"/>
      <c r="H70" s="40">
        <f>F70*E70*D70+(1.63*0.15*4)</f>
        <v>25.53</v>
      </c>
      <c r="I70" s="93"/>
      <c r="J70" s="40">
        <f t="shared" si="7"/>
        <v>25.53</v>
      </c>
      <c r="K70" s="83" t="s">
        <v>181</v>
      </c>
    </row>
    <row r="71" ht="19.5" customHeight="1">
      <c r="A71" s="83"/>
      <c r="B71" s="95"/>
      <c r="C71" s="79"/>
      <c r="D71" s="94"/>
      <c r="E71" s="49"/>
      <c r="F71" s="78"/>
      <c r="G71" s="40"/>
      <c r="H71" s="59"/>
      <c r="I71" s="93"/>
      <c r="J71" s="96">
        <f>SUM(J57,J60,J62)</f>
        <v>1240.946</v>
      </c>
      <c r="K71" s="83" t="s">
        <v>202</v>
      </c>
    </row>
    <row r="72" ht="19.5" customHeight="1">
      <c r="A72" s="83"/>
      <c r="B72" s="95"/>
      <c r="C72" s="79"/>
      <c r="D72" s="94"/>
      <c r="E72" s="49"/>
      <c r="F72" s="78"/>
      <c r="G72" s="40"/>
      <c r="H72" s="59"/>
      <c r="I72" s="93"/>
      <c r="J72" s="96">
        <f>SUM(J58,J59,J61,J63:J70)</f>
        <v>2180.068</v>
      </c>
      <c r="K72" s="83" t="s">
        <v>203</v>
      </c>
    </row>
    <row r="73" ht="19.5" customHeight="1">
      <c r="A73" s="74" t="s">
        <v>1</v>
      </c>
      <c r="B73" s="74" t="s">
        <v>91</v>
      </c>
      <c r="C73" s="74" t="s">
        <v>92</v>
      </c>
      <c r="D73" s="76" t="s">
        <v>93</v>
      </c>
      <c r="E73" s="50" t="s">
        <v>97</v>
      </c>
      <c r="F73" s="53" t="s">
        <v>121</v>
      </c>
      <c r="G73" s="53" t="s">
        <v>198</v>
      </c>
      <c r="H73" s="75" t="s">
        <v>100</v>
      </c>
      <c r="I73" s="75" t="s">
        <v>101</v>
      </c>
      <c r="J73" s="76" t="s">
        <v>95</v>
      </c>
      <c r="K73" s="74" t="s">
        <v>96</v>
      </c>
    </row>
    <row r="74" ht="19.5" customHeight="1">
      <c r="A74" s="36">
        <v>38475.0</v>
      </c>
      <c r="B74" s="37" t="s">
        <v>204</v>
      </c>
      <c r="C74" s="46" t="s">
        <v>103</v>
      </c>
      <c r="D74" s="39">
        <v>1.0</v>
      </c>
      <c r="E74" s="49">
        <v>3.6</v>
      </c>
      <c r="F74" s="78">
        <v>84.64</v>
      </c>
      <c r="G74" s="40"/>
      <c r="H74" s="40">
        <f t="shared" ref="H74:H86" si="8">F74*E74*D74</f>
        <v>304.704</v>
      </c>
      <c r="I74" s="42">
        <f t="shared" ref="I74:I75" si="9">(9.64*16)+(1.86*2)</f>
        <v>157.96</v>
      </c>
      <c r="J74" s="40">
        <f t="shared" ref="J74:J87" si="10">H74-I74</f>
        <v>146.744</v>
      </c>
      <c r="K74" s="46"/>
      <c r="L74" s="2" t="s">
        <v>200</v>
      </c>
    </row>
    <row r="75" ht="19.5" customHeight="1">
      <c r="A75" s="36">
        <v>37744.0</v>
      </c>
      <c r="B75" s="37" t="s">
        <v>204</v>
      </c>
      <c r="C75" s="46" t="s">
        <v>103</v>
      </c>
      <c r="D75" s="39">
        <v>1.0</v>
      </c>
      <c r="E75" s="49">
        <v>3.6</v>
      </c>
      <c r="F75" s="78">
        <v>84.64</v>
      </c>
      <c r="G75" s="40"/>
      <c r="H75" s="40">
        <f t="shared" si="8"/>
        <v>304.704</v>
      </c>
      <c r="I75" s="42">
        <f t="shared" si="9"/>
        <v>157.96</v>
      </c>
      <c r="J75" s="40">
        <f t="shared" si="10"/>
        <v>146.744</v>
      </c>
      <c r="K75" s="46"/>
      <c r="L75" s="2"/>
    </row>
    <row r="76" ht="19.5" customHeight="1">
      <c r="A76" s="36">
        <v>37744.0</v>
      </c>
      <c r="B76" s="37" t="s">
        <v>204</v>
      </c>
      <c r="C76" s="46" t="s">
        <v>103</v>
      </c>
      <c r="D76" s="39">
        <v>2.0</v>
      </c>
      <c r="E76" s="49">
        <v>3.6</v>
      </c>
      <c r="F76" s="78">
        <v>84.64</v>
      </c>
      <c r="G76" s="40"/>
      <c r="H76" s="40">
        <f t="shared" si="8"/>
        <v>609.408</v>
      </c>
      <c r="I76" s="42">
        <f>((1.81*12)+(4.01*2.1))*2</f>
        <v>60.282</v>
      </c>
      <c r="J76" s="40">
        <f t="shared" si="10"/>
        <v>549.126</v>
      </c>
      <c r="K76" s="46"/>
      <c r="L76" s="2"/>
    </row>
    <row r="77" ht="19.5" customHeight="1">
      <c r="A77" s="36">
        <v>38475.0</v>
      </c>
      <c r="B77" s="37" t="s">
        <v>204</v>
      </c>
      <c r="C77" s="46" t="s">
        <v>103</v>
      </c>
      <c r="D77" s="39">
        <v>4.0</v>
      </c>
      <c r="E77" s="49">
        <v>3.45</v>
      </c>
      <c r="F77" s="78">
        <v>84.64</v>
      </c>
      <c r="G77" s="40"/>
      <c r="H77" s="40">
        <f t="shared" si="8"/>
        <v>1168.032</v>
      </c>
      <c r="I77" s="42">
        <f>((16.45*3.45)*2)*2</f>
        <v>227.01</v>
      </c>
      <c r="J77" s="40">
        <f t="shared" si="10"/>
        <v>941.022</v>
      </c>
      <c r="K77" s="38" t="s">
        <v>178</v>
      </c>
      <c r="L77" s="2" t="s">
        <v>200</v>
      </c>
    </row>
    <row r="78" ht="19.5" customHeight="1">
      <c r="A78" s="36">
        <v>37744.0</v>
      </c>
      <c r="B78" s="37" t="s">
        <v>204</v>
      </c>
      <c r="C78" s="46" t="s">
        <v>103</v>
      </c>
      <c r="D78" s="39">
        <v>1.0</v>
      </c>
      <c r="E78" s="49">
        <v>3.6</v>
      </c>
      <c r="F78" s="78">
        <v>84.64</v>
      </c>
      <c r="G78" s="40"/>
      <c r="H78" s="40">
        <f t="shared" si="8"/>
        <v>304.704</v>
      </c>
      <c r="I78" s="42">
        <f>((1.85*2.4)*4)+((13.45*2.4)*2)+(10.7*2.4)+((16.45*2.4)*2)</f>
        <v>186.96</v>
      </c>
      <c r="J78" s="40">
        <f t="shared" si="10"/>
        <v>117.744</v>
      </c>
      <c r="K78" s="91" t="s">
        <v>201</v>
      </c>
    </row>
    <row r="79" ht="19.5" customHeight="1">
      <c r="A79" s="36">
        <v>38475.0</v>
      </c>
      <c r="B79" s="37" t="s">
        <v>204</v>
      </c>
      <c r="C79" s="46" t="s">
        <v>103</v>
      </c>
      <c r="D79" s="39">
        <v>4.0</v>
      </c>
      <c r="E79" s="49">
        <v>3.45</v>
      </c>
      <c r="F79" s="78">
        <v>11.1</v>
      </c>
      <c r="G79" s="40"/>
      <c r="H79" s="40">
        <f t="shared" si="8"/>
        <v>153.18</v>
      </c>
      <c r="I79" s="42"/>
      <c r="J79" s="40">
        <f t="shared" si="10"/>
        <v>153.18</v>
      </c>
      <c r="K79" s="46"/>
      <c r="L79" s="2" t="s">
        <v>200</v>
      </c>
    </row>
    <row r="80" ht="19.5" customHeight="1">
      <c r="A80" s="36">
        <v>37744.0</v>
      </c>
      <c r="B80" s="37" t="s">
        <v>204</v>
      </c>
      <c r="C80" s="46" t="s">
        <v>103</v>
      </c>
      <c r="D80" s="78">
        <v>2.0</v>
      </c>
      <c r="E80" s="49">
        <v>3.6</v>
      </c>
      <c r="F80" s="78">
        <v>11.1</v>
      </c>
      <c r="G80" s="40"/>
      <c r="H80" s="40">
        <f t="shared" si="8"/>
        <v>79.92</v>
      </c>
      <c r="I80" s="42">
        <f>(2*2.1)*2</f>
        <v>8.4</v>
      </c>
      <c r="J80" s="40">
        <f t="shared" si="10"/>
        <v>71.52</v>
      </c>
      <c r="K80" s="46"/>
    </row>
    <row r="81" ht="19.5" customHeight="1">
      <c r="A81" s="36">
        <v>37744.0</v>
      </c>
      <c r="B81" s="37" t="s">
        <v>204</v>
      </c>
      <c r="C81" s="46" t="s">
        <v>103</v>
      </c>
      <c r="D81" s="39">
        <f>16*2</f>
        <v>32</v>
      </c>
      <c r="E81" s="49">
        <v>3.6</v>
      </c>
      <c r="F81" s="78">
        <v>11.1</v>
      </c>
      <c r="G81" s="40"/>
      <c r="H81" s="40">
        <f t="shared" si="8"/>
        <v>1278.72</v>
      </c>
      <c r="I81" s="42">
        <f>((1.66*2.1)+(1.5*2.1)+((0.86*2.1)*2)+((2*2.1)*16))*2</f>
        <v>154.896</v>
      </c>
      <c r="J81" s="40">
        <f t="shared" si="10"/>
        <v>1123.824</v>
      </c>
      <c r="K81" s="46"/>
    </row>
    <row r="82" ht="19.5" customHeight="1">
      <c r="A82" s="36">
        <v>37744.0</v>
      </c>
      <c r="B82" s="37" t="s">
        <v>204</v>
      </c>
      <c r="C82" s="46" t="s">
        <v>103</v>
      </c>
      <c r="D82" s="39">
        <v>2.0</v>
      </c>
      <c r="E82" s="49">
        <v>3.6</v>
      </c>
      <c r="F82" s="41">
        <v>1.7</v>
      </c>
      <c r="G82" s="40"/>
      <c r="H82" s="40">
        <f t="shared" si="8"/>
        <v>12.24</v>
      </c>
      <c r="I82" s="42">
        <f>(0.7*2.1)*2</f>
        <v>2.94</v>
      </c>
      <c r="J82" s="40">
        <f t="shared" si="10"/>
        <v>9.3</v>
      </c>
      <c r="K82" s="38" t="s">
        <v>180</v>
      </c>
    </row>
    <row r="83" ht="19.5" customHeight="1">
      <c r="A83" s="36">
        <v>37744.0</v>
      </c>
      <c r="B83" s="37" t="s">
        <v>204</v>
      </c>
      <c r="C83" s="46" t="s">
        <v>103</v>
      </c>
      <c r="D83" s="39">
        <v>2.0</v>
      </c>
      <c r="E83" s="49">
        <v>3.6</v>
      </c>
      <c r="F83" s="41">
        <v>1.2</v>
      </c>
      <c r="G83" s="40"/>
      <c r="H83" s="40">
        <f t="shared" si="8"/>
        <v>8.64</v>
      </c>
      <c r="I83" s="42"/>
      <c r="J83" s="40">
        <f t="shared" si="10"/>
        <v>8.64</v>
      </c>
      <c r="K83" s="38" t="s">
        <v>180</v>
      </c>
    </row>
    <row r="84" ht="19.5" customHeight="1">
      <c r="A84" s="36">
        <v>37744.0</v>
      </c>
      <c r="B84" s="37" t="s">
        <v>204</v>
      </c>
      <c r="C84" s="46" t="s">
        <v>103</v>
      </c>
      <c r="D84" s="39">
        <v>2.0</v>
      </c>
      <c r="E84" s="49">
        <v>3.6</v>
      </c>
      <c r="F84" s="78">
        <v>5.5</v>
      </c>
      <c r="G84" s="40"/>
      <c r="H84" s="40">
        <f t="shared" si="8"/>
        <v>39.6</v>
      </c>
      <c r="I84" s="42"/>
      <c r="J84" s="40">
        <f t="shared" si="10"/>
        <v>39.6</v>
      </c>
      <c r="K84" s="83" t="s">
        <v>181</v>
      </c>
    </row>
    <row r="85" ht="19.5" customHeight="1">
      <c r="A85" s="36">
        <v>37744.0</v>
      </c>
      <c r="B85" s="37" t="s">
        <v>204</v>
      </c>
      <c r="C85" s="46" t="s">
        <v>103</v>
      </c>
      <c r="D85" s="94">
        <v>2.0</v>
      </c>
      <c r="E85" s="49">
        <v>3.6</v>
      </c>
      <c r="F85" s="78">
        <v>7.0</v>
      </c>
      <c r="G85" s="40"/>
      <c r="H85" s="40">
        <f t="shared" si="8"/>
        <v>50.4</v>
      </c>
      <c r="I85" s="93">
        <f>((0.7*2.1)*2)*2</f>
        <v>5.88</v>
      </c>
      <c r="J85" s="40">
        <f t="shared" si="10"/>
        <v>44.52</v>
      </c>
      <c r="K85" s="83" t="s">
        <v>181</v>
      </c>
    </row>
    <row r="86" ht="19.5" customHeight="1">
      <c r="A86" s="36">
        <v>37744.0</v>
      </c>
      <c r="B86" s="37" t="s">
        <v>204</v>
      </c>
      <c r="C86" s="46" t="s">
        <v>103</v>
      </c>
      <c r="D86" s="94">
        <v>4.0</v>
      </c>
      <c r="E86" s="49">
        <v>3.6</v>
      </c>
      <c r="F86" s="78">
        <f>2.5+1.85</f>
        <v>4.35</v>
      </c>
      <c r="G86" s="40"/>
      <c r="H86" s="40">
        <f t="shared" si="8"/>
        <v>62.64</v>
      </c>
      <c r="I86" s="93">
        <f>((0.9*2.1)*2+(1*0.5)*2)*4</f>
        <v>19.12</v>
      </c>
      <c r="J86" s="40">
        <f t="shared" si="10"/>
        <v>43.52</v>
      </c>
      <c r="K86" s="83" t="s">
        <v>181</v>
      </c>
    </row>
    <row r="87" ht="19.5" customHeight="1">
      <c r="A87" s="36">
        <v>37744.0</v>
      </c>
      <c r="B87" s="37" t="s">
        <v>204</v>
      </c>
      <c r="C87" s="46" t="s">
        <v>103</v>
      </c>
      <c r="D87" s="94">
        <v>4.0</v>
      </c>
      <c r="E87" s="49">
        <v>1.8</v>
      </c>
      <c r="F87" s="39">
        <f>1.63+1.63+0.15</f>
        <v>3.41</v>
      </c>
      <c r="G87" s="40"/>
      <c r="H87" s="40">
        <f>F87*E87*D87+(1.63*0.15*4)</f>
        <v>25.53</v>
      </c>
      <c r="I87" s="93"/>
      <c r="J87" s="40">
        <f t="shared" si="10"/>
        <v>25.53</v>
      </c>
      <c r="K87" s="83" t="s">
        <v>181</v>
      </c>
    </row>
    <row r="88" ht="19.5" customHeight="1">
      <c r="A88" s="79"/>
      <c r="B88" s="95"/>
      <c r="C88" s="79"/>
      <c r="D88" s="94"/>
      <c r="E88" s="49"/>
      <c r="F88" s="78"/>
      <c r="G88" s="40"/>
      <c r="H88" s="59"/>
      <c r="I88" s="93"/>
      <c r="J88" s="96">
        <f>SUM(J74,J77,J79)</f>
        <v>1240.946</v>
      </c>
      <c r="K88" s="83" t="s">
        <v>202</v>
      </c>
    </row>
    <row r="89" ht="19.5" customHeight="1">
      <c r="A89" s="74" t="s">
        <v>1</v>
      </c>
      <c r="B89" s="74" t="s">
        <v>91</v>
      </c>
      <c r="C89" s="74" t="s">
        <v>92</v>
      </c>
      <c r="D89" s="76" t="s">
        <v>93</v>
      </c>
      <c r="E89" s="50" t="s">
        <v>161</v>
      </c>
      <c r="F89" s="53" t="s">
        <v>121</v>
      </c>
      <c r="G89" s="53" t="s">
        <v>99</v>
      </c>
      <c r="H89" s="75" t="s">
        <v>100</v>
      </c>
      <c r="I89" s="75" t="s">
        <v>101</v>
      </c>
      <c r="J89" s="76" t="s">
        <v>95</v>
      </c>
      <c r="K89" s="74" t="s">
        <v>96</v>
      </c>
    </row>
    <row r="90" ht="19.5" customHeight="1">
      <c r="A90" s="36">
        <v>37683.0</v>
      </c>
      <c r="B90" s="49" t="s">
        <v>205</v>
      </c>
      <c r="C90" s="38" t="s">
        <v>108</v>
      </c>
      <c r="D90" s="39">
        <v>1.0</v>
      </c>
      <c r="E90" s="49"/>
      <c r="F90" s="78">
        <v>84.64</v>
      </c>
      <c r="G90" s="41"/>
      <c r="H90" s="59">
        <f t="shared" ref="H90:H102" si="11">F90*D90</f>
        <v>84.64</v>
      </c>
      <c r="I90" s="82"/>
      <c r="J90" s="101"/>
      <c r="K90" s="79"/>
    </row>
    <row r="91" ht="19.5" customHeight="1">
      <c r="A91" s="36">
        <v>37683.0</v>
      </c>
      <c r="B91" s="49" t="s">
        <v>205</v>
      </c>
      <c r="C91" s="38" t="s">
        <v>108</v>
      </c>
      <c r="D91" s="39">
        <v>1.0</v>
      </c>
      <c r="E91" s="49"/>
      <c r="F91" s="78">
        <v>84.64</v>
      </c>
      <c r="G91" s="41"/>
      <c r="H91" s="59">
        <f t="shared" si="11"/>
        <v>84.64</v>
      </c>
      <c r="I91" s="82"/>
      <c r="J91" s="101"/>
      <c r="K91" s="79"/>
    </row>
    <row r="92" ht="19.5" customHeight="1">
      <c r="A92" s="36">
        <v>37683.0</v>
      </c>
      <c r="B92" s="49" t="s">
        <v>205</v>
      </c>
      <c r="C92" s="38" t="s">
        <v>108</v>
      </c>
      <c r="D92" s="39">
        <v>1.0</v>
      </c>
      <c r="E92" s="49"/>
      <c r="F92" s="78">
        <v>84.64</v>
      </c>
      <c r="G92" s="41"/>
      <c r="H92" s="59">
        <f t="shared" si="11"/>
        <v>84.64</v>
      </c>
      <c r="I92" s="82"/>
      <c r="J92" s="101"/>
      <c r="K92" s="79"/>
    </row>
    <row r="93" ht="19.5" customHeight="1">
      <c r="A93" s="36">
        <v>37683.0</v>
      </c>
      <c r="B93" s="49" t="s">
        <v>205</v>
      </c>
      <c r="C93" s="38" t="s">
        <v>108</v>
      </c>
      <c r="D93" s="39">
        <v>1.0</v>
      </c>
      <c r="E93" s="49"/>
      <c r="F93" s="78">
        <v>84.64</v>
      </c>
      <c r="G93" s="41"/>
      <c r="H93" s="59">
        <f t="shared" si="11"/>
        <v>84.64</v>
      </c>
      <c r="I93" s="82"/>
      <c r="J93" s="101"/>
      <c r="K93" s="79"/>
    </row>
    <row r="94" ht="19.5" customHeight="1">
      <c r="A94" s="36">
        <v>37683.0</v>
      </c>
      <c r="B94" s="49" t="s">
        <v>205</v>
      </c>
      <c r="C94" s="38" t="s">
        <v>108</v>
      </c>
      <c r="D94" s="78">
        <v>2.0</v>
      </c>
      <c r="E94" s="49"/>
      <c r="F94" s="78">
        <v>11.1</v>
      </c>
      <c r="G94" s="41"/>
      <c r="H94" s="59">
        <f t="shared" si="11"/>
        <v>22.2</v>
      </c>
      <c r="I94" s="82"/>
      <c r="J94" s="101"/>
      <c r="K94" s="79"/>
    </row>
    <row r="95" ht="19.5" customHeight="1">
      <c r="A95" s="36">
        <v>37683.0</v>
      </c>
      <c r="B95" s="49" t="s">
        <v>205</v>
      </c>
      <c r="C95" s="38" t="s">
        <v>108</v>
      </c>
      <c r="D95" s="78">
        <v>2.0</v>
      </c>
      <c r="E95" s="49"/>
      <c r="F95" s="78">
        <v>11.1</v>
      </c>
      <c r="G95" s="41"/>
      <c r="H95" s="59">
        <f t="shared" si="11"/>
        <v>22.2</v>
      </c>
      <c r="I95" s="82"/>
      <c r="J95" s="101"/>
      <c r="K95" s="79"/>
    </row>
    <row r="96" ht="19.5" customHeight="1">
      <c r="A96" s="36">
        <v>37683.0</v>
      </c>
      <c r="B96" s="49" t="s">
        <v>205</v>
      </c>
      <c r="C96" s="38" t="s">
        <v>108</v>
      </c>
      <c r="D96" s="39">
        <v>16.0</v>
      </c>
      <c r="E96" s="49"/>
      <c r="F96" s="78">
        <v>11.1</v>
      </c>
      <c r="G96" s="41"/>
      <c r="H96" s="59">
        <f t="shared" si="11"/>
        <v>177.6</v>
      </c>
      <c r="I96" s="82"/>
      <c r="J96" s="101"/>
      <c r="K96" s="79"/>
    </row>
    <row r="97" ht="19.5" customHeight="1">
      <c r="A97" s="36">
        <v>37683.0</v>
      </c>
      <c r="B97" s="49" t="s">
        <v>205</v>
      </c>
      <c r="C97" s="38" t="s">
        <v>108</v>
      </c>
      <c r="D97" s="78">
        <v>1.0</v>
      </c>
      <c r="E97" s="49"/>
      <c r="F97" s="41">
        <v>1.7</v>
      </c>
      <c r="G97" s="41"/>
      <c r="H97" s="59">
        <f t="shared" si="11"/>
        <v>1.7</v>
      </c>
      <c r="I97" s="82"/>
      <c r="J97" s="101"/>
      <c r="K97" s="79"/>
    </row>
    <row r="98" ht="19.5" customHeight="1">
      <c r="A98" s="36">
        <v>37683.0</v>
      </c>
      <c r="B98" s="49" t="s">
        <v>205</v>
      </c>
      <c r="C98" s="38" t="s">
        <v>108</v>
      </c>
      <c r="D98" s="78">
        <v>1.0</v>
      </c>
      <c r="E98" s="49"/>
      <c r="F98" s="41">
        <v>1.2</v>
      </c>
      <c r="G98" s="41"/>
      <c r="H98" s="59">
        <f t="shared" si="11"/>
        <v>1.2</v>
      </c>
      <c r="I98" s="82"/>
      <c r="J98" s="101"/>
      <c r="K98" s="79"/>
    </row>
    <row r="99" ht="19.5" customHeight="1">
      <c r="A99" s="36">
        <v>37683.0</v>
      </c>
      <c r="B99" s="49" t="s">
        <v>205</v>
      </c>
      <c r="C99" s="38" t="s">
        <v>108</v>
      </c>
      <c r="D99" s="78">
        <v>1.0</v>
      </c>
      <c r="E99" s="49"/>
      <c r="F99" s="78">
        <v>5.5</v>
      </c>
      <c r="G99" s="41"/>
      <c r="H99" s="59">
        <f t="shared" si="11"/>
        <v>5.5</v>
      </c>
      <c r="I99" s="42"/>
      <c r="J99" s="40"/>
      <c r="K99" s="46"/>
    </row>
    <row r="100" ht="19.5" customHeight="1">
      <c r="A100" s="36">
        <v>37683.0</v>
      </c>
      <c r="B100" s="49" t="s">
        <v>205</v>
      </c>
      <c r="C100" s="38" t="s">
        <v>108</v>
      </c>
      <c r="D100" s="92">
        <v>1.0</v>
      </c>
      <c r="E100" s="49"/>
      <c r="F100" s="78">
        <v>7.0</v>
      </c>
      <c r="G100" s="41"/>
      <c r="H100" s="59">
        <f t="shared" si="11"/>
        <v>7</v>
      </c>
      <c r="I100" s="42"/>
      <c r="K100" s="46"/>
    </row>
    <row r="101" ht="19.5" customHeight="1">
      <c r="A101" s="36">
        <v>37683.0</v>
      </c>
      <c r="B101" s="49" t="s">
        <v>205</v>
      </c>
      <c r="C101" s="38" t="s">
        <v>108</v>
      </c>
      <c r="D101" s="92">
        <v>2.0</v>
      </c>
      <c r="E101" s="102"/>
      <c r="F101" s="78">
        <f>2.5+1.85</f>
        <v>4.35</v>
      </c>
      <c r="G101" s="103"/>
      <c r="H101" s="59">
        <f t="shared" si="11"/>
        <v>8.7</v>
      </c>
      <c r="I101" s="104"/>
      <c r="J101" s="105"/>
      <c r="K101" s="106"/>
    </row>
    <row r="102" ht="19.5" customHeight="1">
      <c r="A102" s="36">
        <v>37683.0</v>
      </c>
      <c r="B102" s="49" t="s">
        <v>205</v>
      </c>
      <c r="C102" s="38" t="s">
        <v>108</v>
      </c>
      <c r="D102" s="94">
        <v>4.0</v>
      </c>
      <c r="E102" s="102"/>
      <c r="F102" s="39">
        <v>1.63</v>
      </c>
      <c r="G102" s="103"/>
      <c r="H102" s="59">
        <f t="shared" si="11"/>
        <v>6.52</v>
      </c>
      <c r="I102" s="104"/>
      <c r="J102" s="107"/>
      <c r="K102" s="106"/>
    </row>
    <row r="103" ht="19.5" customHeight="1">
      <c r="A103" s="106"/>
      <c r="B103" s="106"/>
      <c r="C103" s="106"/>
      <c r="D103" s="94"/>
      <c r="E103" s="102"/>
      <c r="F103" s="103"/>
      <c r="G103" s="103"/>
      <c r="H103" s="108"/>
      <c r="I103" s="104"/>
      <c r="J103" s="109">
        <f>SUM(H90:H102)</f>
        <v>591.18</v>
      </c>
      <c r="K103" s="106"/>
    </row>
    <row r="104" ht="19.5" customHeight="1">
      <c r="A104" s="74" t="s">
        <v>1</v>
      </c>
      <c r="B104" s="74" t="s">
        <v>91</v>
      </c>
      <c r="C104" s="74" t="s">
        <v>92</v>
      </c>
      <c r="D104" s="76" t="s">
        <v>93</v>
      </c>
      <c r="E104" s="50" t="s">
        <v>97</v>
      </c>
      <c r="F104" s="53" t="s">
        <v>121</v>
      </c>
      <c r="G104" s="53" t="s">
        <v>206</v>
      </c>
      <c r="H104" s="75" t="s">
        <v>100</v>
      </c>
      <c r="I104" s="75" t="s">
        <v>101</v>
      </c>
      <c r="J104" s="76" t="s">
        <v>95</v>
      </c>
      <c r="K104" s="74" t="s">
        <v>96</v>
      </c>
    </row>
    <row r="105" ht="19.5" customHeight="1">
      <c r="A105" s="36" t="s">
        <v>207</v>
      </c>
      <c r="B105" s="49" t="s">
        <v>208</v>
      </c>
      <c r="C105" s="46" t="s">
        <v>103</v>
      </c>
      <c r="D105" s="39">
        <v>1.0</v>
      </c>
      <c r="E105" s="110">
        <f t="shared" ref="E105:E110" si="12">3.6-1.6</f>
        <v>2</v>
      </c>
      <c r="F105" s="78">
        <v>84.64</v>
      </c>
      <c r="G105" s="40"/>
      <c r="H105" s="40">
        <f t="shared" ref="H105:H110" si="13">F105*E105*D105</f>
        <v>169.28</v>
      </c>
      <c r="I105" s="42">
        <f t="shared" ref="I105:I106" si="14">(9.64*16)+(1.86*2)</f>
        <v>157.96</v>
      </c>
      <c r="J105" s="40">
        <f t="shared" ref="J105:J110" si="15">H105-I105</f>
        <v>11.32</v>
      </c>
      <c r="K105" s="46"/>
      <c r="L105" s="2"/>
    </row>
    <row r="106" ht="19.5" customHeight="1">
      <c r="A106" s="36" t="s">
        <v>207</v>
      </c>
      <c r="B106" s="49" t="s">
        <v>208</v>
      </c>
      <c r="C106" s="46" t="s">
        <v>103</v>
      </c>
      <c r="D106" s="39">
        <v>2.0</v>
      </c>
      <c r="E106" s="110">
        <f t="shared" si="12"/>
        <v>2</v>
      </c>
      <c r="F106" s="78">
        <v>84.64</v>
      </c>
      <c r="G106" s="40"/>
      <c r="H106" s="40">
        <f t="shared" si="13"/>
        <v>338.56</v>
      </c>
      <c r="I106" s="42">
        <f t="shared" si="14"/>
        <v>157.96</v>
      </c>
      <c r="J106" s="40">
        <f t="shared" si="15"/>
        <v>180.6</v>
      </c>
      <c r="K106" s="46"/>
      <c r="L106" s="2"/>
    </row>
    <row r="107" ht="19.5" customHeight="1">
      <c r="A107" s="100" t="s">
        <v>209</v>
      </c>
      <c r="B107" s="49" t="s">
        <v>208</v>
      </c>
      <c r="C107" s="46" t="s">
        <v>103</v>
      </c>
      <c r="D107" s="39">
        <v>2.0</v>
      </c>
      <c r="E107" s="110">
        <f t="shared" si="12"/>
        <v>2</v>
      </c>
      <c r="F107" s="78">
        <v>84.64</v>
      </c>
      <c r="G107" s="40"/>
      <c r="H107" s="40">
        <f t="shared" si="13"/>
        <v>338.56</v>
      </c>
      <c r="I107" s="42">
        <f>(0.45*12)+(4.01*2.1)</f>
        <v>13.821</v>
      </c>
      <c r="J107" s="40">
        <f t="shared" si="15"/>
        <v>324.739</v>
      </c>
      <c r="K107" s="46"/>
      <c r="L107" s="2"/>
    </row>
    <row r="108" ht="19.5" customHeight="1">
      <c r="A108" s="100" t="s">
        <v>209</v>
      </c>
      <c r="B108" s="49" t="s">
        <v>208</v>
      </c>
      <c r="C108" s="46" t="s">
        <v>103</v>
      </c>
      <c r="D108" s="39">
        <v>1.0</v>
      </c>
      <c r="E108" s="110">
        <f t="shared" si="12"/>
        <v>2</v>
      </c>
      <c r="F108" s="78">
        <v>84.64</v>
      </c>
      <c r="G108" s="40"/>
      <c r="H108" s="40">
        <f t="shared" si="13"/>
        <v>169.28</v>
      </c>
      <c r="I108" s="42">
        <f>((1.85*2)*4)+((13.45*2)*2)+(10.7*2)+((16.45*2)*2)</f>
        <v>155.8</v>
      </c>
      <c r="J108" s="40">
        <f t="shared" si="15"/>
        <v>13.48</v>
      </c>
      <c r="K108" s="91" t="s">
        <v>201</v>
      </c>
    </row>
    <row r="109" ht="19.5" customHeight="1">
      <c r="A109" s="100" t="s">
        <v>209</v>
      </c>
      <c r="B109" s="49" t="s">
        <v>208</v>
      </c>
      <c r="C109" s="46" t="s">
        <v>103</v>
      </c>
      <c r="D109" s="39">
        <v>4.0</v>
      </c>
      <c r="E109" s="110">
        <f t="shared" si="12"/>
        <v>2</v>
      </c>
      <c r="F109" s="78">
        <v>11.1</v>
      </c>
      <c r="G109" s="40"/>
      <c r="H109" s="40">
        <f t="shared" si="13"/>
        <v>88.8</v>
      </c>
      <c r="I109" s="42">
        <f>(2*2.1)*2</f>
        <v>8.4</v>
      </c>
      <c r="J109" s="40">
        <f t="shared" si="15"/>
        <v>80.4</v>
      </c>
      <c r="K109" s="46"/>
    </row>
    <row r="110" ht="19.5" customHeight="1">
      <c r="A110" s="100" t="s">
        <v>209</v>
      </c>
      <c r="B110" s="49" t="s">
        <v>208</v>
      </c>
      <c r="C110" s="46" t="s">
        <v>103</v>
      </c>
      <c r="D110" s="39">
        <f>16*2</f>
        <v>32</v>
      </c>
      <c r="E110" s="110">
        <f t="shared" si="12"/>
        <v>2</v>
      </c>
      <c r="F110" s="78">
        <v>11.1</v>
      </c>
      <c r="G110" s="40"/>
      <c r="H110" s="40">
        <f t="shared" si="13"/>
        <v>710.4</v>
      </c>
      <c r="I110" s="42">
        <f>(1.66*0.5)+(1.5*2.1)+((0.86*0.5)*2)+((2*2.1)*16)</f>
        <v>72.04</v>
      </c>
      <c r="J110" s="40">
        <f t="shared" si="15"/>
        <v>638.36</v>
      </c>
      <c r="K110" s="46"/>
    </row>
    <row r="111" ht="19.5" customHeight="1">
      <c r="A111" s="79"/>
      <c r="B111" s="95"/>
      <c r="C111" s="79"/>
      <c r="D111" s="94"/>
      <c r="E111" s="49"/>
      <c r="F111" s="78"/>
      <c r="G111" s="40"/>
      <c r="H111" s="59"/>
      <c r="I111" s="93"/>
      <c r="J111" s="96">
        <f>SUM(J105:J110)</f>
        <v>1248.899</v>
      </c>
      <c r="K111" s="83"/>
    </row>
    <row r="112" ht="19.5" customHeight="1">
      <c r="A112" s="74" t="s">
        <v>1</v>
      </c>
      <c r="B112" s="111" t="s">
        <v>91</v>
      </c>
      <c r="C112" s="74" t="s">
        <v>92</v>
      </c>
      <c r="D112" s="76" t="s">
        <v>93</v>
      </c>
      <c r="E112" s="50" t="s">
        <v>97</v>
      </c>
      <c r="F112" s="53" t="s">
        <v>121</v>
      </c>
      <c r="G112" s="53" t="s">
        <v>206</v>
      </c>
      <c r="H112" s="75" t="s">
        <v>100</v>
      </c>
      <c r="I112" s="75" t="s">
        <v>101</v>
      </c>
      <c r="J112" s="76" t="s">
        <v>95</v>
      </c>
      <c r="K112" s="74" t="s">
        <v>96</v>
      </c>
    </row>
    <row r="113" ht="19.5" customHeight="1">
      <c r="A113" s="36">
        <v>38110.0</v>
      </c>
      <c r="B113" s="112" t="s">
        <v>175</v>
      </c>
      <c r="C113" s="46" t="s">
        <v>103</v>
      </c>
      <c r="D113" s="39">
        <v>1.0</v>
      </c>
      <c r="E113" s="49">
        <v>1.6</v>
      </c>
      <c r="F113" s="78">
        <v>84.64</v>
      </c>
      <c r="G113" s="40">
        <v>0.09</v>
      </c>
      <c r="H113" s="40">
        <f t="shared" ref="H113:H123" si="16">F113*E113*D113</f>
        <v>135.424</v>
      </c>
      <c r="I113" s="42"/>
      <c r="J113" s="40">
        <f t="shared" ref="J113:J124" si="17">H113-I113</f>
        <v>135.424</v>
      </c>
      <c r="K113" s="46"/>
      <c r="L113" s="2"/>
    </row>
    <row r="114" ht="19.5" customHeight="1">
      <c r="A114" s="36">
        <v>38110.0</v>
      </c>
      <c r="B114" s="112" t="s">
        <v>175</v>
      </c>
      <c r="C114" s="46" t="s">
        <v>103</v>
      </c>
      <c r="D114" s="39">
        <v>1.0</v>
      </c>
      <c r="E114" s="49">
        <v>1.6</v>
      </c>
      <c r="F114" s="78">
        <v>84.64</v>
      </c>
      <c r="G114" s="40">
        <v>0.09</v>
      </c>
      <c r="H114" s="40">
        <f t="shared" si="16"/>
        <v>135.424</v>
      </c>
      <c r="I114" s="42"/>
      <c r="J114" s="40">
        <f t="shared" si="17"/>
        <v>135.424</v>
      </c>
      <c r="K114" s="46"/>
      <c r="L114" s="2"/>
    </row>
    <row r="115" ht="19.5" customHeight="1">
      <c r="A115" s="36">
        <v>38110.0</v>
      </c>
      <c r="B115" s="112" t="s">
        <v>175</v>
      </c>
      <c r="C115" s="46" t="s">
        <v>103</v>
      </c>
      <c r="D115" s="39">
        <v>2.0</v>
      </c>
      <c r="E115" s="49">
        <v>1.6</v>
      </c>
      <c r="F115" s="78">
        <v>84.64</v>
      </c>
      <c r="G115" s="40">
        <v>0.09</v>
      </c>
      <c r="H115" s="40">
        <f t="shared" si="16"/>
        <v>270.848</v>
      </c>
      <c r="I115" s="42">
        <f>((1.44*12)+(4.01*1.6))*2</f>
        <v>47.392</v>
      </c>
      <c r="J115" s="40">
        <f t="shared" si="17"/>
        <v>223.456</v>
      </c>
      <c r="K115" s="46"/>
      <c r="L115" s="2"/>
    </row>
    <row r="116" ht="19.5" customHeight="1">
      <c r="A116" s="36">
        <v>38110.0</v>
      </c>
      <c r="B116" s="112" t="s">
        <v>175</v>
      </c>
      <c r="C116" s="46" t="s">
        <v>103</v>
      </c>
      <c r="D116" s="39">
        <v>1.0</v>
      </c>
      <c r="E116" s="49">
        <v>1.6</v>
      </c>
      <c r="F116" s="78">
        <v>84.64</v>
      </c>
      <c r="G116" s="40">
        <v>0.09</v>
      </c>
      <c r="H116" s="40">
        <f t="shared" si="16"/>
        <v>135.424</v>
      </c>
      <c r="I116" s="42">
        <f>((1.85*1.6)*4)+((13.45*1.6)*2)+(10.7*1.6)+((16.45*1.6)*2)</f>
        <v>124.64</v>
      </c>
      <c r="J116" s="40">
        <f t="shared" si="17"/>
        <v>10.784</v>
      </c>
      <c r="K116" s="91" t="s">
        <v>201</v>
      </c>
    </row>
    <row r="117" ht="19.5" customHeight="1">
      <c r="A117" s="36">
        <v>38110.0</v>
      </c>
      <c r="B117" s="112" t="s">
        <v>175</v>
      </c>
      <c r="C117" s="46" t="s">
        <v>103</v>
      </c>
      <c r="D117" s="78">
        <v>2.0</v>
      </c>
      <c r="E117" s="49">
        <v>1.6</v>
      </c>
      <c r="F117" s="78">
        <v>11.1</v>
      </c>
      <c r="G117" s="40">
        <v>0.09</v>
      </c>
      <c r="H117" s="40">
        <f t="shared" si="16"/>
        <v>35.52</v>
      </c>
      <c r="I117" s="42">
        <f>(2*1.6)*2</f>
        <v>6.4</v>
      </c>
      <c r="J117" s="40">
        <f t="shared" si="17"/>
        <v>29.12</v>
      </c>
      <c r="K117" s="46"/>
      <c r="L117" s="2"/>
    </row>
    <row r="118" ht="19.5" customHeight="1">
      <c r="A118" s="36">
        <v>38110.0</v>
      </c>
      <c r="B118" s="112" t="s">
        <v>175</v>
      </c>
      <c r="C118" s="46" t="s">
        <v>103</v>
      </c>
      <c r="D118" s="39">
        <f>16*2</f>
        <v>32</v>
      </c>
      <c r="E118" s="49">
        <v>1.6</v>
      </c>
      <c r="F118" s="78">
        <v>11.1</v>
      </c>
      <c r="G118" s="40">
        <v>0.09</v>
      </c>
      <c r="H118" s="40">
        <f t="shared" si="16"/>
        <v>568.32</v>
      </c>
      <c r="I118" s="42">
        <f>((1.66*1.6)+(1.5*1.6)+((0.86*1.6)*2)+((2*1.6)*16))*2</f>
        <v>118.016</v>
      </c>
      <c r="J118" s="40">
        <f t="shared" si="17"/>
        <v>450.304</v>
      </c>
      <c r="K118" s="46"/>
    </row>
    <row r="119" ht="19.5" customHeight="1">
      <c r="A119" s="36">
        <v>38110.0</v>
      </c>
      <c r="B119" s="112" t="s">
        <v>175</v>
      </c>
      <c r="C119" s="46" t="s">
        <v>103</v>
      </c>
      <c r="D119" s="39">
        <v>2.0</v>
      </c>
      <c r="E119" s="49">
        <v>3.6</v>
      </c>
      <c r="F119" s="41">
        <v>1.7</v>
      </c>
      <c r="G119" s="40">
        <v>0.09</v>
      </c>
      <c r="H119" s="40">
        <f t="shared" si="16"/>
        <v>12.24</v>
      </c>
      <c r="I119" s="42">
        <f>(0.7*2.1)*2</f>
        <v>2.94</v>
      </c>
      <c r="J119" s="40">
        <f t="shared" si="17"/>
        <v>9.3</v>
      </c>
      <c r="K119" s="38" t="s">
        <v>180</v>
      </c>
    </row>
    <row r="120" ht="19.5" customHeight="1">
      <c r="A120" s="36">
        <v>38110.0</v>
      </c>
      <c r="B120" s="112" t="s">
        <v>175</v>
      </c>
      <c r="C120" s="46" t="s">
        <v>103</v>
      </c>
      <c r="D120" s="39">
        <v>2.0</v>
      </c>
      <c r="E120" s="49">
        <v>3.6</v>
      </c>
      <c r="F120" s="41">
        <v>1.2</v>
      </c>
      <c r="G120" s="40">
        <v>0.09</v>
      </c>
      <c r="H120" s="40">
        <f t="shared" si="16"/>
        <v>8.64</v>
      </c>
      <c r="I120" s="42"/>
      <c r="J120" s="40">
        <f t="shared" si="17"/>
        <v>8.64</v>
      </c>
      <c r="K120" s="38" t="s">
        <v>180</v>
      </c>
    </row>
    <row r="121" ht="19.5" customHeight="1">
      <c r="A121" s="36">
        <v>38110.0</v>
      </c>
      <c r="B121" s="112" t="s">
        <v>175</v>
      </c>
      <c r="C121" s="46" t="s">
        <v>103</v>
      </c>
      <c r="D121" s="39">
        <v>2.0</v>
      </c>
      <c r="E121" s="49">
        <v>3.6</v>
      </c>
      <c r="F121" s="78">
        <v>5.5</v>
      </c>
      <c r="G121" s="40">
        <v>0.09</v>
      </c>
      <c r="H121" s="40">
        <f t="shared" si="16"/>
        <v>39.6</v>
      </c>
      <c r="I121" s="42"/>
      <c r="J121" s="40">
        <f t="shared" si="17"/>
        <v>39.6</v>
      </c>
      <c r="K121" s="83" t="s">
        <v>181</v>
      </c>
    </row>
    <row r="122" ht="19.5" customHeight="1">
      <c r="A122" s="36">
        <v>38110.0</v>
      </c>
      <c r="B122" s="112" t="s">
        <v>175</v>
      </c>
      <c r="C122" s="46" t="s">
        <v>103</v>
      </c>
      <c r="D122" s="94">
        <v>2.0</v>
      </c>
      <c r="E122" s="49">
        <v>3.6</v>
      </c>
      <c r="F122" s="78">
        <v>7.0</v>
      </c>
      <c r="G122" s="40">
        <v>0.09</v>
      </c>
      <c r="H122" s="40">
        <f t="shared" si="16"/>
        <v>50.4</v>
      </c>
      <c r="I122" s="93">
        <f>((0.7*2.1)*2)*2</f>
        <v>5.88</v>
      </c>
      <c r="J122" s="40">
        <f t="shared" si="17"/>
        <v>44.52</v>
      </c>
      <c r="K122" s="83" t="s">
        <v>181</v>
      </c>
    </row>
    <row r="123" ht="19.5" customHeight="1">
      <c r="A123" s="36">
        <v>38110.0</v>
      </c>
      <c r="B123" s="112" t="s">
        <v>175</v>
      </c>
      <c r="C123" s="46" t="s">
        <v>103</v>
      </c>
      <c r="D123" s="94">
        <v>4.0</v>
      </c>
      <c r="E123" s="49">
        <v>3.6</v>
      </c>
      <c r="F123" s="78">
        <f>2.5+1.85</f>
        <v>4.35</v>
      </c>
      <c r="G123" s="40">
        <v>0.09</v>
      </c>
      <c r="H123" s="40">
        <f t="shared" si="16"/>
        <v>62.64</v>
      </c>
      <c r="I123" s="93">
        <f>((0.9*2.1)*2+(1*0.5)*2)*4</f>
        <v>19.12</v>
      </c>
      <c r="J123" s="40">
        <f t="shared" si="17"/>
        <v>43.52</v>
      </c>
      <c r="K123" s="83" t="s">
        <v>181</v>
      </c>
    </row>
    <row r="124" ht="19.5" customHeight="1">
      <c r="A124" s="36">
        <v>38110.0</v>
      </c>
      <c r="B124" s="112" t="s">
        <v>175</v>
      </c>
      <c r="C124" s="46" t="s">
        <v>103</v>
      </c>
      <c r="D124" s="94">
        <v>4.0</v>
      </c>
      <c r="E124" s="49">
        <v>1.8</v>
      </c>
      <c r="F124" s="39">
        <f>1.63+1.63+0.15</f>
        <v>3.41</v>
      </c>
      <c r="G124" s="40"/>
      <c r="H124" s="40">
        <f>F124*E124*D124+(1.63*0.15*4)</f>
        <v>25.53</v>
      </c>
      <c r="I124" s="93"/>
      <c r="J124" s="40">
        <f t="shared" si="17"/>
        <v>25.53</v>
      </c>
      <c r="K124" s="83" t="s">
        <v>181</v>
      </c>
    </row>
    <row r="125" ht="19.5" customHeight="1">
      <c r="A125" s="46"/>
      <c r="B125" s="112"/>
      <c r="C125" s="79"/>
      <c r="D125" s="94"/>
      <c r="E125" s="49"/>
      <c r="F125" s="78"/>
      <c r="G125" s="40"/>
      <c r="H125" s="59"/>
      <c r="I125" s="93"/>
      <c r="J125" s="96">
        <f>SUM(J119:J124)</f>
        <v>171.11</v>
      </c>
      <c r="K125" s="83" t="s">
        <v>210</v>
      </c>
    </row>
    <row r="126" ht="19.5" customHeight="1">
      <c r="A126" s="46"/>
      <c r="B126" s="112"/>
      <c r="C126" s="79"/>
      <c r="D126" s="94"/>
      <c r="E126" s="49"/>
      <c r="F126" s="78"/>
      <c r="G126" s="40"/>
      <c r="H126" s="59"/>
      <c r="I126" s="93"/>
      <c r="J126" s="96">
        <f>SUM(J113:J118)</f>
        <v>984.512</v>
      </c>
      <c r="K126" s="83" t="s">
        <v>211</v>
      </c>
    </row>
    <row r="127" ht="19.5" customHeight="1">
      <c r="A127" s="46"/>
      <c r="B127" s="95"/>
      <c r="C127" s="79"/>
      <c r="D127" s="94"/>
      <c r="E127" s="49"/>
      <c r="F127" s="78"/>
      <c r="G127" s="40"/>
      <c r="H127" s="59"/>
      <c r="I127" s="93"/>
      <c r="J127" s="96">
        <f>SUM(J113:J124)</f>
        <v>1155.622</v>
      </c>
      <c r="K127" s="83" t="s">
        <v>212</v>
      </c>
    </row>
    <row r="128" ht="19.5" customHeight="1">
      <c r="A128" s="74" t="s">
        <v>1</v>
      </c>
      <c r="B128" s="74" t="s">
        <v>91</v>
      </c>
      <c r="C128" s="74" t="s">
        <v>92</v>
      </c>
      <c r="D128" s="76" t="s">
        <v>93</v>
      </c>
      <c r="E128" s="50" t="s">
        <v>97</v>
      </c>
      <c r="F128" s="53" t="s">
        <v>121</v>
      </c>
      <c r="G128" s="53" t="s">
        <v>99</v>
      </c>
      <c r="H128" s="75" t="s">
        <v>100</v>
      </c>
      <c r="I128" s="75" t="s">
        <v>101</v>
      </c>
      <c r="J128" s="76" t="s">
        <v>95</v>
      </c>
      <c r="K128" s="74" t="s">
        <v>96</v>
      </c>
    </row>
    <row r="129" ht="19.5" customHeight="1">
      <c r="A129" s="36">
        <v>37867.0</v>
      </c>
      <c r="B129" s="49" t="s">
        <v>213</v>
      </c>
      <c r="C129" s="46" t="s">
        <v>103</v>
      </c>
      <c r="D129" s="39">
        <v>18.0</v>
      </c>
      <c r="E129" s="37">
        <v>2.1</v>
      </c>
      <c r="F129" s="78"/>
      <c r="G129" s="40">
        <v>0.9</v>
      </c>
      <c r="H129" s="40">
        <f>G129*E129*D129</f>
        <v>34.02</v>
      </c>
      <c r="I129" s="42"/>
      <c r="J129" s="64">
        <f>H129+H131+H132</f>
        <v>48.888</v>
      </c>
      <c r="K129" s="38" t="s">
        <v>214</v>
      </c>
    </row>
    <row r="130" ht="19.5" customHeight="1">
      <c r="A130" s="36">
        <v>38233.0</v>
      </c>
      <c r="B130" s="49" t="s">
        <v>215</v>
      </c>
      <c r="C130" s="38" t="s">
        <v>106</v>
      </c>
      <c r="D130" s="39">
        <v>1.0</v>
      </c>
      <c r="E130" s="37">
        <v>2.1</v>
      </c>
      <c r="F130" s="78"/>
      <c r="G130" s="41">
        <v>1.8</v>
      </c>
      <c r="H130" s="40">
        <f>D130</f>
        <v>1</v>
      </c>
      <c r="I130" s="42"/>
      <c r="J130" s="64">
        <f>H130</f>
        <v>1</v>
      </c>
      <c r="K130" s="38" t="s">
        <v>216</v>
      </c>
    </row>
    <row r="131" ht="19.5" customHeight="1">
      <c r="A131" s="36">
        <v>37867.0</v>
      </c>
      <c r="B131" s="49" t="s">
        <v>217</v>
      </c>
      <c r="C131" s="46" t="s">
        <v>103</v>
      </c>
      <c r="D131" s="39">
        <v>8.0</v>
      </c>
      <c r="E131" s="49">
        <v>1.65</v>
      </c>
      <c r="F131" s="78"/>
      <c r="G131" s="41">
        <v>0.84</v>
      </c>
      <c r="H131" s="40">
        <f t="shared" ref="H131:H132" si="18">G131*E131*D131</f>
        <v>11.088</v>
      </c>
      <c r="I131" s="42"/>
      <c r="J131" s="107"/>
      <c r="K131" s="46"/>
    </row>
    <row r="132" ht="19.5" customHeight="1">
      <c r="A132" s="36">
        <v>37867.0</v>
      </c>
      <c r="B132" s="49" t="s">
        <v>218</v>
      </c>
      <c r="C132" s="46" t="s">
        <v>103</v>
      </c>
      <c r="D132" s="39">
        <v>2.0</v>
      </c>
      <c r="E132" s="37">
        <v>2.1</v>
      </c>
      <c r="F132" s="78"/>
      <c r="G132" s="41">
        <v>0.9</v>
      </c>
      <c r="H132" s="40">
        <f t="shared" si="18"/>
        <v>3.78</v>
      </c>
      <c r="I132" s="42"/>
      <c r="J132" s="107"/>
      <c r="K132" s="46"/>
    </row>
    <row r="133" ht="19.5" customHeight="1">
      <c r="A133" s="36">
        <v>37502.0</v>
      </c>
      <c r="B133" s="49" t="s">
        <v>219</v>
      </c>
      <c r="C133" s="46" t="s">
        <v>103</v>
      </c>
      <c r="D133" s="39">
        <v>15.0</v>
      </c>
      <c r="E133" s="49">
        <v>1.1</v>
      </c>
      <c r="F133" s="39">
        <v>3.5</v>
      </c>
      <c r="G133" s="40"/>
      <c r="H133" s="40">
        <f t="shared" ref="H133:H137" si="19">F133*E133*D133</f>
        <v>57.75</v>
      </c>
      <c r="I133" s="42"/>
      <c r="J133" s="64">
        <f t="shared" ref="J133:J137" si="20">H133</f>
        <v>57.75</v>
      </c>
      <c r="K133" s="46"/>
      <c r="L133" s="1"/>
      <c r="M133" s="1"/>
      <c r="N133" s="1"/>
    </row>
    <row r="134" ht="19.5" customHeight="1">
      <c r="A134" s="36">
        <v>37502.0</v>
      </c>
      <c r="B134" s="49" t="s">
        <v>220</v>
      </c>
      <c r="C134" s="46" t="s">
        <v>103</v>
      </c>
      <c r="D134" s="39">
        <v>2.0</v>
      </c>
      <c r="E134" s="37">
        <v>0.5</v>
      </c>
      <c r="F134" s="39">
        <v>3.4</v>
      </c>
      <c r="G134" s="40"/>
      <c r="H134" s="40">
        <f t="shared" si="19"/>
        <v>3.4</v>
      </c>
      <c r="I134" s="42"/>
      <c r="J134" s="64">
        <f t="shared" si="20"/>
        <v>3.4</v>
      </c>
      <c r="K134" s="46"/>
      <c r="L134" s="1"/>
      <c r="M134" s="113"/>
      <c r="N134" s="113"/>
    </row>
    <row r="135" ht="19.5" customHeight="1">
      <c r="A135" s="36">
        <v>37502.0</v>
      </c>
      <c r="B135" s="49" t="s">
        <v>221</v>
      </c>
      <c r="C135" s="46" t="s">
        <v>103</v>
      </c>
      <c r="D135" s="39">
        <v>1.0</v>
      </c>
      <c r="E135" s="49">
        <v>1.1</v>
      </c>
      <c r="F135" s="39">
        <v>2.0</v>
      </c>
      <c r="G135" s="40"/>
      <c r="H135" s="40">
        <f t="shared" si="19"/>
        <v>2.2</v>
      </c>
      <c r="I135" s="42"/>
      <c r="J135" s="64">
        <f t="shared" si="20"/>
        <v>2.2</v>
      </c>
      <c r="K135" s="46"/>
      <c r="L135" s="1"/>
      <c r="M135" s="113"/>
      <c r="N135" s="113"/>
    </row>
    <row r="136" ht="19.5" customHeight="1">
      <c r="A136" s="36">
        <v>37137.0</v>
      </c>
      <c r="B136" s="49" t="s">
        <v>222</v>
      </c>
      <c r="C136" s="46" t="s">
        <v>103</v>
      </c>
      <c r="D136" s="39">
        <v>2.0</v>
      </c>
      <c r="E136" s="49">
        <v>0.5</v>
      </c>
      <c r="F136" s="39">
        <v>1.0</v>
      </c>
      <c r="G136" s="40"/>
      <c r="H136" s="40">
        <f t="shared" si="19"/>
        <v>1</v>
      </c>
      <c r="I136" s="42"/>
      <c r="J136" s="64">
        <f t="shared" si="20"/>
        <v>1</v>
      </c>
      <c r="K136" s="46"/>
    </row>
    <row r="137" ht="19.5" customHeight="1">
      <c r="A137" s="36">
        <v>37137.0</v>
      </c>
      <c r="B137" s="49" t="s">
        <v>223</v>
      </c>
      <c r="C137" s="46" t="s">
        <v>103</v>
      </c>
      <c r="D137" s="39">
        <v>1.0</v>
      </c>
      <c r="E137" s="49">
        <v>0.5</v>
      </c>
      <c r="F137" s="39">
        <v>1.0</v>
      </c>
      <c r="G137" s="40"/>
      <c r="H137" s="40">
        <f t="shared" si="19"/>
        <v>0.5</v>
      </c>
      <c r="I137" s="42"/>
      <c r="J137" s="64">
        <f t="shared" si="20"/>
        <v>0.5</v>
      </c>
      <c r="K137" s="79"/>
    </row>
    <row r="138" ht="19.5" customHeight="1">
      <c r="A138" s="38"/>
      <c r="B138" s="37"/>
      <c r="C138" s="46"/>
      <c r="D138" s="78"/>
      <c r="E138" s="37"/>
      <c r="F138" s="78"/>
      <c r="G138" s="40"/>
      <c r="H138" s="40"/>
      <c r="I138" s="42"/>
      <c r="J138" s="107"/>
      <c r="K138" s="83"/>
    </row>
    <row r="139" ht="19.5" customHeight="1">
      <c r="A139" s="36">
        <v>38598.0</v>
      </c>
      <c r="B139" s="114" t="s">
        <v>224</v>
      </c>
      <c r="C139" s="83" t="s">
        <v>108</v>
      </c>
      <c r="D139" s="115">
        <v>1.0</v>
      </c>
      <c r="E139" s="37"/>
      <c r="F139" s="116">
        <f>(((1.1+3.5)*2)*15+((0.5+3.4)*2)*2+(1.1+2)*2+((0.5+1)*2)*3)</f>
        <v>168.8</v>
      </c>
      <c r="G139" s="40"/>
      <c r="H139" s="59"/>
      <c r="I139" s="82"/>
      <c r="J139" s="109">
        <f>F139*D139</f>
        <v>168.8</v>
      </c>
      <c r="K139" s="83"/>
    </row>
    <row r="140" ht="19.5" customHeight="1">
      <c r="A140" s="117">
        <v>38963.0</v>
      </c>
      <c r="B140" s="114" t="s">
        <v>225</v>
      </c>
      <c r="C140" s="83" t="s">
        <v>106</v>
      </c>
      <c r="D140" s="115">
        <v>20.0</v>
      </c>
      <c r="E140" s="37"/>
      <c r="F140" s="116"/>
      <c r="G140" s="40"/>
      <c r="H140" s="59">
        <f t="shared" ref="H140:H141" si="21">D140</f>
        <v>20</v>
      </c>
      <c r="I140" s="82"/>
      <c r="J140" s="109">
        <f t="shared" ref="J140:J141" si="22">H140</f>
        <v>20</v>
      </c>
      <c r="K140" s="83"/>
    </row>
    <row r="141" ht="19.5" customHeight="1">
      <c r="A141" s="117">
        <v>39328.0</v>
      </c>
      <c r="B141" s="114" t="s">
        <v>226</v>
      </c>
      <c r="C141" s="83" t="s">
        <v>106</v>
      </c>
      <c r="D141" s="115">
        <v>8.0</v>
      </c>
      <c r="E141" s="37"/>
      <c r="F141" s="116"/>
      <c r="G141" s="40"/>
      <c r="H141" s="59">
        <f t="shared" si="21"/>
        <v>8</v>
      </c>
      <c r="I141" s="82"/>
      <c r="J141" s="109">
        <f t="shared" si="22"/>
        <v>8</v>
      </c>
      <c r="K141" s="83"/>
    </row>
    <row r="142" ht="19.5" customHeight="1">
      <c r="A142" s="74" t="s">
        <v>1</v>
      </c>
      <c r="B142" s="74" t="s">
        <v>91</v>
      </c>
      <c r="C142" s="74" t="s">
        <v>92</v>
      </c>
      <c r="D142" s="76" t="s">
        <v>93</v>
      </c>
      <c r="E142" s="50" t="s">
        <v>161</v>
      </c>
      <c r="F142" s="53" t="s">
        <v>121</v>
      </c>
      <c r="G142" s="53" t="s">
        <v>99</v>
      </c>
      <c r="H142" s="75" t="s">
        <v>100</v>
      </c>
      <c r="I142" s="75" t="s">
        <v>101</v>
      </c>
      <c r="J142" s="76" t="s">
        <v>95</v>
      </c>
      <c r="K142" s="74" t="s">
        <v>96</v>
      </c>
    </row>
    <row r="143" ht="19.5" customHeight="1">
      <c r="A143" s="36">
        <v>38536.0</v>
      </c>
      <c r="B143" s="37" t="s">
        <v>162</v>
      </c>
      <c r="C143" s="46" t="s">
        <v>103</v>
      </c>
      <c r="D143" s="78">
        <v>84.64</v>
      </c>
      <c r="E143" s="49">
        <v>1.0</v>
      </c>
      <c r="F143" s="78"/>
      <c r="G143" s="41">
        <v>2.0</v>
      </c>
      <c r="H143" s="40">
        <f t="shared" ref="H143:H144" si="23">G143*E143*D143</f>
        <v>169.28</v>
      </c>
      <c r="I143" s="42"/>
      <c r="J143" s="40"/>
      <c r="K143" s="46"/>
    </row>
    <row r="144" ht="19.5" customHeight="1">
      <c r="A144" s="36">
        <v>38536.0</v>
      </c>
      <c r="B144" s="37" t="s">
        <v>162</v>
      </c>
      <c r="C144" s="46" t="s">
        <v>103</v>
      </c>
      <c r="D144" s="78">
        <v>13.1</v>
      </c>
      <c r="E144" s="49">
        <v>2.0</v>
      </c>
      <c r="F144" s="78"/>
      <c r="G144" s="41">
        <v>2.0</v>
      </c>
      <c r="H144" s="40">
        <f t="shared" si="23"/>
        <v>52.4</v>
      </c>
      <c r="I144" s="42"/>
      <c r="J144" s="64">
        <f>SUM(H143:H144)</f>
        <v>221.68</v>
      </c>
      <c r="K144" s="46"/>
    </row>
    <row r="145" ht="19.5" customHeight="1">
      <c r="A145" s="74" t="s">
        <v>1</v>
      </c>
      <c r="B145" s="74" t="s">
        <v>91</v>
      </c>
      <c r="C145" s="74" t="s">
        <v>92</v>
      </c>
      <c r="D145" s="76" t="s">
        <v>93</v>
      </c>
      <c r="E145" s="50" t="s">
        <v>97</v>
      </c>
      <c r="F145" s="53" t="s">
        <v>121</v>
      </c>
      <c r="G145" s="53" t="s">
        <v>99</v>
      </c>
      <c r="H145" s="75" t="s">
        <v>100</v>
      </c>
      <c r="I145" s="75" t="s">
        <v>101</v>
      </c>
      <c r="J145" s="76" t="s">
        <v>95</v>
      </c>
      <c r="K145" s="74" t="s">
        <v>96</v>
      </c>
    </row>
    <row r="146" ht="19.5" customHeight="1">
      <c r="A146" s="36">
        <v>38049.0</v>
      </c>
      <c r="B146" s="49" t="s">
        <v>227</v>
      </c>
      <c r="C146" s="38" t="s">
        <v>108</v>
      </c>
      <c r="D146" s="39">
        <v>18.0</v>
      </c>
      <c r="E146" s="37"/>
      <c r="F146" s="41">
        <f>0.9+0.8</f>
        <v>1.7</v>
      </c>
      <c r="G146" s="118"/>
      <c r="H146" s="40">
        <f t="shared" ref="H146:H154" si="24">F146*D146</f>
        <v>30.6</v>
      </c>
      <c r="I146" s="42"/>
      <c r="J146" s="107"/>
      <c r="K146" s="38" t="s">
        <v>214</v>
      </c>
    </row>
    <row r="147" ht="19.5" customHeight="1">
      <c r="A147" s="36">
        <v>38049.0</v>
      </c>
      <c r="B147" s="49" t="s">
        <v>228</v>
      </c>
      <c r="C147" s="38" t="s">
        <v>108</v>
      </c>
      <c r="D147" s="39">
        <v>1.0</v>
      </c>
      <c r="E147" s="37"/>
      <c r="F147" s="41">
        <f>1.8+0.8</f>
        <v>2.6</v>
      </c>
      <c r="G147" s="119"/>
      <c r="H147" s="40">
        <f t="shared" si="24"/>
        <v>2.6</v>
      </c>
      <c r="I147" s="42"/>
      <c r="J147" s="107"/>
      <c r="K147" s="38" t="s">
        <v>216</v>
      </c>
    </row>
    <row r="148" ht="19.5" customHeight="1">
      <c r="A148" s="36">
        <v>38049.0</v>
      </c>
      <c r="B148" s="49" t="s">
        <v>229</v>
      </c>
      <c r="C148" s="38" t="s">
        <v>108</v>
      </c>
      <c r="D148" s="39">
        <v>8.0</v>
      </c>
      <c r="E148" s="49"/>
      <c r="F148" s="41">
        <f>0.84+0.8</f>
        <v>1.64</v>
      </c>
      <c r="G148" s="119"/>
      <c r="H148" s="40">
        <f t="shared" si="24"/>
        <v>13.12</v>
      </c>
      <c r="I148" s="42"/>
      <c r="J148" s="107"/>
      <c r="K148" s="46"/>
    </row>
    <row r="149" ht="19.5" customHeight="1">
      <c r="A149" s="36">
        <v>38049.0</v>
      </c>
      <c r="B149" s="49" t="s">
        <v>230</v>
      </c>
      <c r="C149" s="38" t="s">
        <v>108</v>
      </c>
      <c r="D149" s="39">
        <v>2.0</v>
      </c>
      <c r="E149" s="37"/>
      <c r="F149" s="41">
        <f>0.9+0.8</f>
        <v>1.7</v>
      </c>
      <c r="G149" s="120"/>
      <c r="H149" s="40">
        <f t="shared" si="24"/>
        <v>3.4</v>
      </c>
      <c r="I149" s="42"/>
      <c r="J149" s="107"/>
      <c r="K149" s="46"/>
    </row>
    <row r="150" ht="19.5" customHeight="1">
      <c r="A150" s="36">
        <v>38049.0</v>
      </c>
      <c r="B150" s="49" t="s">
        <v>231</v>
      </c>
      <c r="C150" s="38" t="s">
        <v>108</v>
      </c>
      <c r="D150" s="39">
        <v>15.0</v>
      </c>
      <c r="E150" s="49"/>
      <c r="F150" s="39">
        <f>3.5+0.8</f>
        <v>4.3</v>
      </c>
      <c r="G150" s="40"/>
      <c r="H150" s="40">
        <f t="shared" si="24"/>
        <v>64.5</v>
      </c>
      <c r="I150" s="42"/>
      <c r="J150" s="107"/>
      <c r="K150" s="46"/>
    </row>
    <row r="151" ht="19.5" customHeight="1">
      <c r="A151" s="36">
        <v>38049.0</v>
      </c>
      <c r="B151" s="49" t="s">
        <v>232</v>
      </c>
      <c r="C151" s="38" t="s">
        <v>108</v>
      </c>
      <c r="D151" s="39">
        <v>2.0</v>
      </c>
      <c r="E151" s="37"/>
      <c r="F151" s="39">
        <f>3.4+0.8</f>
        <v>4.2</v>
      </c>
      <c r="G151" s="40"/>
      <c r="H151" s="40">
        <f t="shared" si="24"/>
        <v>8.4</v>
      </c>
      <c r="I151" s="42"/>
      <c r="J151" s="107"/>
      <c r="K151" s="46"/>
    </row>
    <row r="152" ht="19.5" customHeight="1">
      <c r="A152" s="36">
        <v>38049.0</v>
      </c>
      <c r="B152" s="49" t="s">
        <v>233</v>
      </c>
      <c r="C152" s="38" t="s">
        <v>108</v>
      </c>
      <c r="D152" s="39">
        <v>1.0</v>
      </c>
      <c r="E152" s="49"/>
      <c r="F152" s="39">
        <f>2+0.8</f>
        <v>2.8</v>
      </c>
      <c r="G152" s="40"/>
      <c r="H152" s="40">
        <f t="shared" si="24"/>
        <v>2.8</v>
      </c>
      <c r="I152" s="42"/>
      <c r="J152" s="107"/>
      <c r="K152" s="46"/>
    </row>
    <row r="153" ht="19.5" customHeight="1">
      <c r="A153" s="36">
        <v>38049.0</v>
      </c>
      <c r="B153" s="49" t="s">
        <v>234</v>
      </c>
      <c r="C153" s="38" t="s">
        <v>108</v>
      </c>
      <c r="D153" s="39">
        <v>2.0</v>
      </c>
      <c r="E153" s="49"/>
      <c r="F153" s="39">
        <f t="shared" ref="F153:F154" si="25">1+0.8</f>
        <v>1.8</v>
      </c>
      <c r="G153" s="40"/>
      <c r="H153" s="40">
        <f t="shared" si="24"/>
        <v>3.6</v>
      </c>
      <c r="I153" s="42"/>
      <c r="J153" s="107"/>
      <c r="K153" s="46"/>
    </row>
    <row r="154" ht="19.5" customHeight="1">
      <c r="A154" s="36">
        <v>38049.0</v>
      </c>
      <c r="B154" s="49" t="s">
        <v>235</v>
      </c>
      <c r="C154" s="38" t="s">
        <v>108</v>
      </c>
      <c r="D154" s="39">
        <v>1.0</v>
      </c>
      <c r="E154" s="49"/>
      <c r="F154" s="39">
        <f t="shared" si="25"/>
        <v>1.8</v>
      </c>
      <c r="G154" s="40"/>
      <c r="H154" s="40">
        <f t="shared" si="24"/>
        <v>1.8</v>
      </c>
      <c r="I154" s="42"/>
      <c r="J154" s="107"/>
      <c r="K154" s="79"/>
    </row>
    <row r="155" ht="19.5" customHeight="1">
      <c r="A155" s="36"/>
      <c r="B155" s="49"/>
      <c r="C155" s="38"/>
      <c r="D155" s="39"/>
      <c r="E155" s="49"/>
      <c r="F155" s="39"/>
      <c r="G155" s="40"/>
      <c r="H155" s="40"/>
      <c r="I155" s="82"/>
      <c r="J155" s="109">
        <f>SUM(H146:H154)</f>
        <v>130.82</v>
      </c>
      <c r="K155" s="83"/>
    </row>
    <row r="156" ht="19.5" customHeight="1">
      <c r="A156" s="36">
        <v>38414.0</v>
      </c>
      <c r="B156" s="49" t="s">
        <v>236</v>
      </c>
      <c r="C156" s="38" t="s">
        <v>108</v>
      </c>
      <c r="D156" s="39">
        <v>15.0</v>
      </c>
      <c r="E156" s="49"/>
      <c r="F156" s="39">
        <f>3.5+0.8</f>
        <v>4.3</v>
      </c>
      <c r="G156" s="40"/>
      <c r="H156" s="40">
        <f t="shared" ref="H156:H160" si="26">F156*D156</f>
        <v>64.5</v>
      </c>
      <c r="I156" s="82"/>
      <c r="J156" s="121"/>
      <c r="K156" s="83"/>
    </row>
    <row r="157" ht="19.5" customHeight="1">
      <c r="A157" s="36">
        <v>38414.0</v>
      </c>
      <c r="B157" s="49" t="s">
        <v>237</v>
      </c>
      <c r="C157" s="38" t="s">
        <v>108</v>
      </c>
      <c r="D157" s="39">
        <v>2.0</v>
      </c>
      <c r="E157" s="37"/>
      <c r="F157" s="39">
        <f>3.4+0.8</f>
        <v>4.2</v>
      </c>
      <c r="G157" s="40"/>
      <c r="H157" s="40">
        <f t="shared" si="26"/>
        <v>8.4</v>
      </c>
      <c r="I157" s="82"/>
      <c r="J157" s="121"/>
      <c r="K157" s="79"/>
    </row>
    <row r="158" ht="19.5" customHeight="1">
      <c r="A158" s="36">
        <v>38414.0</v>
      </c>
      <c r="B158" s="49" t="s">
        <v>238</v>
      </c>
      <c r="C158" s="38" t="s">
        <v>108</v>
      </c>
      <c r="D158" s="39">
        <v>1.0</v>
      </c>
      <c r="E158" s="49"/>
      <c r="F158" s="39">
        <f>2+0.8</f>
        <v>2.8</v>
      </c>
      <c r="G158" s="40"/>
      <c r="H158" s="40">
        <f t="shared" si="26"/>
        <v>2.8</v>
      </c>
      <c r="I158" s="82"/>
      <c r="J158" s="121"/>
      <c r="K158" s="79"/>
    </row>
    <row r="159" ht="19.5" customHeight="1">
      <c r="A159" s="36">
        <v>38414.0</v>
      </c>
      <c r="B159" s="49" t="s">
        <v>239</v>
      </c>
      <c r="C159" s="38" t="s">
        <v>108</v>
      </c>
      <c r="D159" s="39">
        <v>2.0</v>
      </c>
      <c r="E159" s="49"/>
      <c r="F159" s="39">
        <f t="shared" ref="F159:F160" si="27">1+0.8</f>
        <v>1.8</v>
      </c>
      <c r="G159" s="40"/>
      <c r="H159" s="40">
        <f t="shared" si="26"/>
        <v>3.6</v>
      </c>
      <c r="I159" s="82"/>
      <c r="J159" s="121"/>
      <c r="K159" s="79"/>
    </row>
    <row r="160" ht="19.5" customHeight="1">
      <c r="A160" s="36">
        <v>38414.0</v>
      </c>
      <c r="B160" s="49" t="s">
        <v>240</v>
      </c>
      <c r="C160" s="38" t="s">
        <v>108</v>
      </c>
      <c r="D160" s="39">
        <v>1.0</v>
      </c>
      <c r="E160" s="49"/>
      <c r="F160" s="39">
        <f t="shared" si="27"/>
        <v>1.8</v>
      </c>
      <c r="G160" s="40"/>
      <c r="H160" s="40">
        <f t="shared" si="26"/>
        <v>1.8</v>
      </c>
      <c r="I160" s="82"/>
      <c r="J160" s="121"/>
      <c r="K160" s="79"/>
    </row>
    <row r="161" ht="19.5" customHeight="1">
      <c r="A161" s="117"/>
      <c r="B161" s="95"/>
      <c r="C161" s="79"/>
      <c r="D161" s="122"/>
      <c r="E161" s="49"/>
      <c r="F161" s="78"/>
      <c r="G161" s="41"/>
      <c r="H161" s="59"/>
      <c r="I161" s="82"/>
      <c r="J161" s="109">
        <f>SUM(H156:H160)</f>
        <v>81.1</v>
      </c>
      <c r="K161" s="79"/>
    </row>
    <row r="162" ht="19.5" customHeight="1">
      <c r="A162" s="74" t="s">
        <v>1</v>
      </c>
      <c r="B162" s="74" t="s">
        <v>91</v>
      </c>
      <c r="C162" s="74" t="s">
        <v>92</v>
      </c>
      <c r="D162" s="76" t="s">
        <v>93</v>
      </c>
      <c r="E162" s="50" t="s">
        <v>161</v>
      </c>
      <c r="F162" s="53" t="s">
        <v>121</v>
      </c>
      <c r="G162" s="53" t="s">
        <v>99</v>
      </c>
      <c r="H162" s="75" t="s">
        <v>100</v>
      </c>
      <c r="I162" s="75" t="s">
        <v>101</v>
      </c>
      <c r="J162" s="76" t="s">
        <v>95</v>
      </c>
      <c r="K162" s="74" t="s">
        <v>96</v>
      </c>
    </row>
    <row r="163" ht="19.5" customHeight="1">
      <c r="A163" s="100" t="s">
        <v>241</v>
      </c>
      <c r="B163" s="37" t="s">
        <v>242</v>
      </c>
      <c r="C163" s="46" t="s">
        <v>103</v>
      </c>
      <c r="D163" s="78">
        <v>1.0</v>
      </c>
      <c r="E163" s="37">
        <v>1.0</v>
      </c>
      <c r="F163" s="39">
        <v>4.5</v>
      </c>
      <c r="G163" s="40">
        <v>0.6</v>
      </c>
      <c r="H163" s="40">
        <f t="shared" ref="H163:H164" si="28">G163*F163*E163*D163</f>
        <v>2.7</v>
      </c>
      <c r="I163" s="42"/>
      <c r="J163" s="40"/>
      <c r="K163" s="46"/>
    </row>
    <row r="164" ht="19.5" customHeight="1">
      <c r="A164" s="100" t="s">
        <v>241</v>
      </c>
      <c r="B164" s="37" t="s">
        <v>242</v>
      </c>
      <c r="C164" s="46" t="s">
        <v>103</v>
      </c>
      <c r="D164" s="78">
        <v>1.0</v>
      </c>
      <c r="E164" s="37">
        <v>1.0</v>
      </c>
      <c r="F164" s="39">
        <v>2.4</v>
      </c>
      <c r="G164" s="40">
        <v>0.6</v>
      </c>
      <c r="H164" s="40">
        <f t="shared" si="28"/>
        <v>1.44</v>
      </c>
      <c r="I164" s="42"/>
      <c r="J164" s="77"/>
      <c r="K164" s="46"/>
    </row>
    <row r="165" ht="19.5" customHeight="1">
      <c r="A165" s="46"/>
      <c r="B165" s="37"/>
      <c r="C165" s="46"/>
      <c r="D165" s="78"/>
      <c r="E165" s="37"/>
      <c r="F165" s="39"/>
      <c r="G165" s="40"/>
      <c r="H165" s="40"/>
      <c r="I165" s="93"/>
      <c r="J165" s="64">
        <f>SUM(H163:H165)</f>
        <v>4.14</v>
      </c>
      <c r="K165" s="79"/>
    </row>
    <row r="166" ht="19.5" customHeight="1">
      <c r="A166" s="74" t="s">
        <v>1</v>
      </c>
      <c r="B166" s="74" t="s">
        <v>91</v>
      </c>
      <c r="C166" s="74" t="s">
        <v>92</v>
      </c>
      <c r="D166" s="76" t="s">
        <v>93</v>
      </c>
      <c r="E166" s="50" t="s">
        <v>161</v>
      </c>
      <c r="F166" s="53" t="s">
        <v>121</v>
      </c>
      <c r="G166" s="53" t="s">
        <v>97</v>
      </c>
      <c r="H166" s="75" t="s">
        <v>100</v>
      </c>
      <c r="I166" s="75" t="s">
        <v>101</v>
      </c>
      <c r="J166" s="76" t="s">
        <v>95</v>
      </c>
      <c r="K166" s="74" t="s">
        <v>96</v>
      </c>
    </row>
    <row r="167" ht="19.5" customHeight="1">
      <c r="A167" s="100" t="s">
        <v>243</v>
      </c>
      <c r="B167" s="37" t="s">
        <v>244</v>
      </c>
      <c r="C167" s="46" t="s">
        <v>103</v>
      </c>
      <c r="D167" s="78">
        <v>8.0</v>
      </c>
      <c r="E167" s="37">
        <v>1.0</v>
      </c>
      <c r="F167" s="78">
        <v>1.5</v>
      </c>
      <c r="G167" s="40">
        <v>1.8</v>
      </c>
      <c r="H167" s="40">
        <f t="shared" ref="H167:H170" si="29">F167*E167*D167*G167</f>
        <v>21.6</v>
      </c>
      <c r="I167" s="42"/>
      <c r="J167" s="40"/>
      <c r="K167" s="46"/>
    </row>
    <row r="168" ht="19.5" customHeight="1">
      <c r="A168" s="100" t="s">
        <v>243</v>
      </c>
      <c r="B168" s="37" t="s">
        <v>244</v>
      </c>
      <c r="C168" s="46" t="s">
        <v>103</v>
      </c>
      <c r="D168" s="78">
        <v>8.0</v>
      </c>
      <c r="E168" s="37">
        <v>1.0</v>
      </c>
      <c r="F168" s="78">
        <v>0.5</v>
      </c>
      <c r="G168" s="40">
        <v>1.8</v>
      </c>
      <c r="H168" s="40">
        <f t="shared" si="29"/>
        <v>7.2</v>
      </c>
      <c r="I168" s="42"/>
      <c r="K168" s="46"/>
    </row>
    <row r="169" ht="19.5" customHeight="1">
      <c r="A169" s="100" t="s">
        <v>243</v>
      </c>
      <c r="B169" s="37" t="s">
        <v>244</v>
      </c>
      <c r="C169" s="46" t="s">
        <v>103</v>
      </c>
      <c r="D169" s="39">
        <v>2.0</v>
      </c>
      <c r="E169" s="37">
        <v>1.0</v>
      </c>
      <c r="F169" s="39">
        <v>0.4</v>
      </c>
      <c r="G169" s="40">
        <v>1.8</v>
      </c>
      <c r="H169" s="40">
        <f t="shared" si="29"/>
        <v>1.44</v>
      </c>
      <c r="I169" s="82"/>
      <c r="J169" s="121"/>
      <c r="K169" s="79"/>
    </row>
    <row r="170" ht="19.5" customHeight="1">
      <c r="A170" s="100" t="s">
        <v>243</v>
      </c>
      <c r="B170" s="37" t="s">
        <v>244</v>
      </c>
      <c r="C170" s="46" t="s">
        <v>103</v>
      </c>
      <c r="D170" s="39">
        <v>1.0</v>
      </c>
      <c r="E170" s="37">
        <v>1.0</v>
      </c>
      <c r="F170" s="39">
        <v>1.0</v>
      </c>
      <c r="G170" s="40">
        <v>1.8</v>
      </c>
      <c r="H170" s="40">
        <f t="shared" si="29"/>
        <v>1.8</v>
      </c>
      <c r="I170" s="82"/>
      <c r="J170" s="64">
        <f>SUM(H167:H170)</f>
        <v>32.04</v>
      </c>
      <c r="K170" s="79"/>
    </row>
    <row r="171" ht="19.5" customHeight="1">
      <c r="A171" s="74" t="s">
        <v>1</v>
      </c>
      <c r="B171" s="74" t="s">
        <v>91</v>
      </c>
      <c r="C171" s="74" t="s">
        <v>92</v>
      </c>
      <c r="D171" s="76" t="s">
        <v>93</v>
      </c>
      <c r="E171" s="50" t="s">
        <v>161</v>
      </c>
      <c r="F171" s="53"/>
      <c r="G171" s="53"/>
      <c r="H171" s="75" t="s">
        <v>100</v>
      </c>
      <c r="I171" s="75" t="s">
        <v>101</v>
      </c>
      <c r="J171" s="76" t="s">
        <v>95</v>
      </c>
      <c r="K171" s="74" t="s">
        <v>96</v>
      </c>
    </row>
    <row r="172" ht="19.5" customHeight="1">
      <c r="A172" s="46">
        <v>1.0</v>
      </c>
      <c r="B172" s="37" t="s">
        <v>245</v>
      </c>
      <c r="C172" s="46" t="s">
        <v>106</v>
      </c>
      <c r="D172" s="78">
        <v>4.0</v>
      </c>
      <c r="E172" s="37">
        <v>20.0</v>
      </c>
      <c r="F172" s="78"/>
      <c r="G172" s="40"/>
      <c r="H172" s="40">
        <f>E172*D172+6</f>
        <v>86</v>
      </c>
      <c r="I172" s="42"/>
      <c r="J172" s="64">
        <f t="shared" ref="J172:J190" si="30">H172</f>
        <v>86</v>
      </c>
      <c r="K172" s="46"/>
    </row>
    <row r="173" ht="19.5" customHeight="1">
      <c r="A173" s="46">
        <f t="shared" ref="A173:A190" si="31">A172+1</f>
        <v>2</v>
      </c>
      <c r="B173" s="37" t="s">
        <v>245</v>
      </c>
      <c r="C173" s="46" t="s">
        <v>106</v>
      </c>
      <c r="D173" s="78">
        <v>19.0</v>
      </c>
      <c r="E173" s="37">
        <v>1.0</v>
      </c>
      <c r="F173" s="78"/>
      <c r="G173" s="40"/>
      <c r="H173" s="40">
        <f t="shared" ref="H173:H190" si="32">E173*D173</f>
        <v>19</v>
      </c>
      <c r="I173" s="42"/>
      <c r="J173" s="64">
        <f t="shared" si="30"/>
        <v>19</v>
      </c>
      <c r="K173" s="46"/>
    </row>
    <row r="174" ht="19.5" customHeight="1">
      <c r="A174" s="46">
        <f t="shared" si="31"/>
        <v>3</v>
      </c>
      <c r="B174" s="37" t="s">
        <v>246</v>
      </c>
      <c r="C174" s="46" t="s">
        <v>106</v>
      </c>
      <c r="D174" s="78">
        <v>4.0</v>
      </c>
      <c r="E174" s="37">
        <v>20.0</v>
      </c>
      <c r="F174" s="78"/>
      <c r="G174" s="40"/>
      <c r="H174" s="40">
        <f t="shared" si="32"/>
        <v>80</v>
      </c>
      <c r="I174" s="42"/>
      <c r="J174" s="64">
        <f t="shared" si="30"/>
        <v>80</v>
      </c>
      <c r="K174" s="46"/>
    </row>
    <row r="175" ht="19.5" customHeight="1">
      <c r="A175" s="46">
        <f t="shared" si="31"/>
        <v>4</v>
      </c>
      <c r="B175" s="37" t="s">
        <v>246</v>
      </c>
      <c r="C175" s="46" t="s">
        <v>106</v>
      </c>
      <c r="D175" s="78">
        <v>8.0</v>
      </c>
      <c r="E175" s="37">
        <v>1.0</v>
      </c>
      <c r="F175" s="78"/>
      <c r="G175" s="40"/>
      <c r="H175" s="40">
        <f t="shared" si="32"/>
        <v>8</v>
      </c>
      <c r="I175" s="42"/>
      <c r="J175" s="64">
        <f t="shared" si="30"/>
        <v>8</v>
      </c>
      <c r="K175" s="46"/>
    </row>
    <row r="176" ht="19.5" customHeight="1">
      <c r="A176" s="46">
        <f t="shared" si="31"/>
        <v>5</v>
      </c>
      <c r="B176" s="37" t="s">
        <v>247</v>
      </c>
      <c r="C176" s="46" t="s">
        <v>106</v>
      </c>
      <c r="D176" s="78">
        <v>2.0</v>
      </c>
      <c r="E176" s="37">
        <v>1.0</v>
      </c>
      <c r="F176" s="78"/>
      <c r="G176" s="40"/>
      <c r="H176" s="40">
        <f t="shared" si="32"/>
        <v>2</v>
      </c>
      <c r="I176" s="42"/>
      <c r="J176" s="64">
        <f t="shared" si="30"/>
        <v>2</v>
      </c>
      <c r="K176" s="46"/>
    </row>
    <row r="177" ht="19.5" customHeight="1">
      <c r="A177" s="46">
        <f t="shared" si="31"/>
        <v>6</v>
      </c>
      <c r="B177" s="37" t="s">
        <v>248</v>
      </c>
      <c r="C177" s="46" t="s">
        <v>106</v>
      </c>
      <c r="D177" s="78">
        <v>4.0</v>
      </c>
      <c r="E177" s="37">
        <v>1.0</v>
      </c>
      <c r="F177" s="78"/>
      <c r="G177" s="40"/>
      <c r="H177" s="40">
        <f t="shared" si="32"/>
        <v>4</v>
      </c>
      <c r="I177" s="42"/>
      <c r="J177" s="64">
        <f t="shared" si="30"/>
        <v>4</v>
      </c>
      <c r="K177" s="46"/>
    </row>
    <row r="178" ht="19.5" customHeight="1">
      <c r="A178" s="46">
        <f t="shared" si="31"/>
        <v>7</v>
      </c>
      <c r="B178" s="37" t="s">
        <v>249</v>
      </c>
      <c r="C178" s="46" t="s">
        <v>106</v>
      </c>
      <c r="D178" s="78">
        <v>11.0</v>
      </c>
      <c r="E178" s="37">
        <v>1.0</v>
      </c>
      <c r="F178" s="78"/>
      <c r="G178" s="40"/>
      <c r="H178" s="40">
        <f t="shared" si="32"/>
        <v>11</v>
      </c>
      <c r="I178" s="42"/>
      <c r="J178" s="64">
        <f t="shared" si="30"/>
        <v>11</v>
      </c>
      <c r="K178" s="46"/>
    </row>
    <row r="179" ht="19.5" customHeight="1">
      <c r="A179" s="46">
        <f t="shared" si="31"/>
        <v>8</v>
      </c>
      <c r="B179" s="37" t="s">
        <v>250</v>
      </c>
      <c r="C179" s="46" t="s">
        <v>106</v>
      </c>
      <c r="D179" s="123">
        <f>H178+H177+H176+H175+H174</f>
        <v>105</v>
      </c>
      <c r="E179" s="37">
        <v>1.0</v>
      </c>
      <c r="F179" s="40"/>
      <c r="G179" s="40"/>
      <c r="H179" s="40">
        <f t="shared" si="32"/>
        <v>105</v>
      </c>
      <c r="I179" s="40"/>
      <c r="J179" s="64">
        <f t="shared" si="30"/>
        <v>105</v>
      </c>
      <c r="K179" s="46"/>
    </row>
    <row r="180" ht="19.5" customHeight="1">
      <c r="A180" s="46">
        <f t="shared" si="31"/>
        <v>9</v>
      </c>
      <c r="B180" s="37" t="s">
        <v>251</v>
      </c>
      <c r="C180" s="46" t="s">
        <v>106</v>
      </c>
      <c r="D180" s="123">
        <f>H173+H172</f>
        <v>105</v>
      </c>
      <c r="E180" s="37">
        <v>1.0</v>
      </c>
      <c r="F180" s="40"/>
      <c r="G180" s="40"/>
      <c r="H180" s="40">
        <f t="shared" si="32"/>
        <v>105</v>
      </c>
      <c r="I180" s="40"/>
      <c r="J180" s="64">
        <f t="shared" si="30"/>
        <v>105</v>
      </c>
      <c r="K180" s="46"/>
    </row>
    <row r="181" ht="19.5" customHeight="1">
      <c r="A181" s="46">
        <f t="shared" si="31"/>
        <v>10</v>
      </c>
      <c r="B181" s="37" t="s">
        <v>252</v>
      </c>
      <c r="C181" s="46" t="s">
        <v>108</v>
      </c>
      <c r="D181" s="123">
        <v>800.0</v>
      </c>
      <c r="E181" s="37">
        <v>1.0</v>
      </c>
      <c r="F181" s="40"/>
      <c r="G181" s="40"/>
      <c r="H181" s="40">
        <f t="shared" si="32"/>
        <v>800</v>
      </c>
      <c r="I181" s="40"/>
      <c r="J181" s="64">
        <f t="shared" si="30"/>
        <v>800</v>
      </c>
      <c r="K181" s="46"/>
    </row>
    <row r="182" ht="19.5" customHeight="1">
      <c r="A182" s="46">
        <f t="shared" si="31"/>
        <v>11</v>
      </c>
      <c r="B182" s="37" t="s">
        <v>253</v>
      </c>
      <c r="C182" s="46" t="s">
        <v>108</v>
      </c>
      <c r="D182" s="123">
        <v>300.0</v>
      </c>
      <c r="E182" s="37">
        <v>1.0</v>
      </c>
      <c r="F182" s="40"/>
      <c r="G182" s="40"/>
      <c r="H182" s="40">
        <f t="shared" si="32"/>
        <v>300</v>
      </c>
      <c r="I182" s="40"/>
      <c r="J182" s="64">
        <f t="shared" si="30"/>
        <v>300</v>
      </c>
      <c r="K182" s="46"/>
    </row>
    <row r="183" ht="19.5" customHeight="1">
      <c r="A183" s="46">
        <f t="shared" si="31"/>
        <v>12</v>
      </c>
      <c r="B183" s="37" t="s">
        <v>254</v>
      </c>
      <c r="C183" s="46" t="s">
        <v>108</v>
      </c>
      <c r="D183" s="123">
        <v>3000.0</v>
      </c>
      <c r="E183" s="37">
        <v>1.0</v>
      </c>
      <c r="F183" s="40"/>
      <c r="G183" s="40"/>
      <c r="H183" s="40">
        <f t="shared" si="32"/>
        <v>3000</v>
      </c>
      <c r="I183" s="40"/>
      <c r="J183" s="64">
        <f t="shared" si="30"/>
        <v>3000</v>
      </c>
      <c r="K183" s="46"/>
    </row>
    <row r="184" ht="19.5" customHeight="1">
      <c r="A184" s="46">
        <f t="shared" si="31"/>
        <v>13</v>
      </c>
      <c r="B184" s="37" t="s">
        <v>255</v>
      </c>
      <c r="C184" s="46" t="s">
        <v>108</v>
      </c>
      <c r="D184" s="123">
        <v>22.0</v>
      </c>
      <c r="E184" s="37">
        <v>19.0</v>
      </c>
      <c r="F184" s="40"/>
      <c r="G184" s="40"/>
      <c r="H184" s="40">
        <f t="shared" si="32"/>
        <v>418</v>
      </c>
      <c r="I184" s="40"/>
      <c r="J184" s="64">
        <f t="shared" si="30"/>
        <v>418</v>
      </c>
      <c r="K184" s="46"/>
    </row>
    <row r="185" ht="19.5" customHeight="1">
      <c r="A185" s="46">
        <f t="shared" si="31"/>
        <v>14</v>
      </c>
      <c r="B185" s="37" t="s">
        <v>256</v>
      </c>
      <c r="C185" s="46" t="s">
        <v>108</v>
      </c>
      <c r="D185" s="123">
        <v>100.0</v>
      </c>
      <c r="E185" s="37">
        <v>1.0</v>
      </c>
      <c r="F185" s="40"/>
      <c r="G185" s="40"/>
      <c r="H185" s="40">
        <f t="shared" si="32"/>
        <v>100</v>
      </c>
      <c r="I185" s="40"/>
      <c r="J185" s="64">
        <f t="shared" si="30"/>
        <v>100</v>
      </c>
      <c r="K185" s="46"/>
    </row>
    <row r="186" ht="19.5" customHeight="1">
      <c r="A186" s="46">
        <f t="shared" si="31"/>
        <v>15</v>
      </c>
      <c r="B186" s="37" t="s">
        <v>257</v>
      </c>
      <c r="C186" s="46" t="s">
        <v>106</v>
      </c>
      <c r="D186" s="123">
        <v>2.0</v>
      </c>
      <c r="E186" s="37">
        <v>1.0</v>
      </c>
      <c r="F186" s="40"/>
      <c r="G186" s="40"/>
      <c r="H186" s="40">
        <f t="shared" si="32"/>
        <v>2</v>
      </c>
      <c r="I186" s="40"/>
      <c r="J186" s="64">
        <f t="shared" si="30"/>
        <v>2</v>
      </c>
      <c r="K186" s="46"/>
    </row>
    <row r="187" ht="19.5" customHeight="1">
      <c r="A187" s="46">
        <f t="shared" si="31"/>
        <v>16</v>
      </c>
      <c r="B187" s="37" t="s">
        <v>258</v>
      </c>
      <c r="C187" s="46" t="s">
        <v>106</v>
      </c>
      <c r="D187" s="123">
        <v>13.0</v>
      </c>
      <c r="E187" s="37">
        <v>1.0</v>
      </c>
      <c r="F187" s="40"/>
      <c r="G187" s="40"/>
      <c r="H187" s="40">
        <f t="shared" si="32"/>
        <v>13</v>
      </c>
      <c r="I187" s="40"/>
      <c r="J187" s="64">
        <f t="shared" si="30"/>
        <v>13</v>
      </c>
      <c r="K187" s="46"/>
    </row>
    <row r="188" ht="19.5" customHeight="1">
      <c r="A188" s="46">
        <f t="shared" si="31"/>
        <v>17</v>
      </c>
      <c r="B188" s="37" t="s">
        <v>259</v>
      </c>
      <c r="C188" s="46" t="s">
        <v>108</v>
      </c>
      <c r="D188" s="123">
        <v>100.0</v>
      </c>
      <c r="E188" s="37">
        <v>1.0</v>
      </c>
      <c r="F188" s="40"/>
      <c r="G188" s="40"/>
      <c r="H188" s="40">
        <f t="shared" si="32"/>
        <v>100</v>
      </c>
      <c r="I188" s="40"/>
      <c r="J188" s="64">
        <f t="shared" si="30"/>
        <v>100</v>
      </c>
      <c r="K188" s="46"/>
    </row>
    <row r="189" ht="19.5" customHeight="1">
      <c r="A189" s="46">
        <f t="shared" si="31"/>
        <v>18</v>
      </c>
      <c r="B189" s="37" t="s">
        <v>260</v>
      </c>
      <c r="C189" s="46" t="s">
        <v>108</v>
      </c>
      <c r="D189" s="123">
        <v>84.64</v>
      </c>
      <c r="E189" s="37">
        <v>1.0</v>
      </c>
      <c r="F189" s="40"/>
      <c r="G189" s="40"/>
      <c r="H189" s="40">
        <f t="shared" si="32"/>
        <v>84.64</v>
      </c>
      <c r="I189" s="40"/>
      <c r="J189" s="64">
        <f t="shared" si="30"/>
        <v>84.64</v>
      </c>
      <c r="K189" s="46"/>
    </row>
    <row r="190" ht="19.5" customHeight="1">
      <c r="A190" s="46">
        <f t="shared" si="31"/>
        <v>19</v>
      </c>
      <c r="B190" s="37" t="s">
        <v>261</v>
      </c>
      <c r="C190" s="46" t="s">
        <v>106</v>
      </c>
      <c r="D190" s="123">
        <v>6.0</v>
      </c>
      <c r="E190" s="37">
        <v>1.0</v>
      </c>
      <c r="F190" s="40"/>
      <c r="G190" s="40"/>
      <c r="H190" s="40">
        <f t="shared" si="32"/>
        <v>6</v>
      </c>
      <c r="I190" s="40"/>
      <c r="J190" s="64">
        <f t="shared" si="30"/>
        <v>6</v>
      </c>
      <c r="K190" s="46"/>
    </row>
    <row r="191" ht="19.5" customHeight="1">
      <c r="A191" s="12"/>
      <c r="C191" s="12"/>
      <c r="D191" s="87"/>
      <c r="F191" s="14"/>
      <c r="G191" s="14"/>
      <c r="H191" s="14"/>
      <c r="I191" s="14"/>
      <c r="J191" s="14"/>
      <c r="K191" s="12"/>
    </row>
    <row r="192" ht="19.5" customHeight="1">
      <c r="A192" s="74" t="s">
        <v>1</v>
      </c>
      <c r="B192" s="74" t="s">
        <v>91</v>
      </c>
      <c r="C192" s="74" t="s">
        <v>92</v>
      </c>
      <c r="D192" s="76" t="s">
        <v>93</v>
      </c>
      <c r="E192" s="50" t="s">
        <v>161</v>
      </c>
      <c r="F192" s="53" t="s">
        <v>121</v>
      </c>
      <c r="G192" s="53" t="s">
        <v>99</v>
      </c>
      <c r="H192" s="53" t="s">
        <v>100</v>
      </c>
      <c r="I192" s="53" t="s">
        <v>101</v>
      </c>
      <c r="J192" s="76" t="s">
        <v>95</v>
      </c>
      <c r="K192" s="74" t="s">
        <v>96</v>
      </c>
    </row>
    <row r="193" ht="19.5" customHeight="1">
      <c r="A193" s="46">
        <v>1.0</v>
      </c>
      <c r="B193" s="37" t="s">
        <v>262</v>
      </c>
      <c r="C193" s="46" t="s">
        <v>108</v>
      </c>
      <c r="D193" s="78">
        <v>200.0</v>
      </c>
      <c r="E193" s="37">
        <v>1.0</v>
      </c>
      <c r="F193" s="78"/>
      <c r="G193" s="40"/>
      <c r="H193" s="40">
        <f t="shared" ref="H193:H216" si="33">E193*D193</f>
        <v>200</v>
      </c>
      <c r="I193" s="42"/>
      <c r="J193" s="64">
        <f t="shared" ref="J193:J216" si="34">H193</f>
        <v>200</v>
      </c>
      <c r="K193" s="46"/>
    </row>
    <row r="194" ht="19.5" customHeight="1">
      <c r="A194" s="46">
        <f t="shared" ref="A194:A216" si="35">A193+1</f>
        <v>2</v>
      </c>
      <c r="B194" s="37" t="s">
        <v>263</v>
      </c>
      <c r="C194" s="46" t="s">
        <v>108</v>
      </c>
      <c r="D194" s="123">
        <v>100.0</v>
      </c>
      <c r="E194" s="37">
        <v>1.0</v>
      </c>
      <c r="F194" s="40"/>
      <c r="G194" s="40"/>
      <c r="H194" s="40">
        <f t="shared" si="33"/>
        <v>100</v>
      </c>
      <c r="I194" s="40"/>
      <c r="J194" s="64">
        <f t="shared" si="34"/>
        <v>100</v>
      </c>
      <c r="K194" s="46"/>
    </row>
    <row r="195" ht="19.5" customHeight="1">
      <c r="A195" s="46">
        <f t="shared" si="35"/>
        <v>3</v>
      </c>
      <c r="B195" s="37" t="s">
        <v>264</v>
      </c>
      <c r="C195" s="46" t="s">
        <v>108</v>
      </c>
      <c r="D195" s="123">
        <v>100.0</v>
      </c>
      <c r="E195" s="37">
        <v>1.0</v>
      </c>
      <c r="F195" s="40"/>
      <c r="G195" s="40"/>
      <c r="H195" s="40">
        <f t="shared" si="33"/>
        <v>100</v>
      </c>
      <c r="I195" s="40"/>
      <c r="J195" s="64">
        <f t="shared" si="34"/>
        <v>100</v>
      </c>
      <c r="K195" s="46"/>
    </row>
    <row r="196" ht="19.5" customHeight="1">
      <c r="A196" s="46">
        <f t="shared" si="35"/>
        <v>4</v>
      </c>
      <c r="B196" s="37" t="s">
        <v>265</v>
      </c>
      <c r="C196" s="46" t="s">
        <v>106</v>
      </c>
      <c r="D196" s="123">
        <v>4.0</v>
      </c>
      <c r="E196" s="37">
        <v>1.0</v>
      </c>
      <c r="F196" s="40"/>
      <c r="G196" s="40"/>
      <c r="H196" s="40">
        <f t="shared" si="33"/>
        <v>4</v>
      </c>
      <c r="I196" s="40"/>
      <c r="J196" s="64">
        <f t="shared" si="34"/>
        <v>4</v>
      </c>
      <c r="K196" s="46"/>
    </row>
    <row r="197" ht="19.5" customHeight="1">
      <c r="A197" s="46">
        <f t="shared" si="35"/>
        <v>5</v>
      </c>
      <c r="B197" s="37" t="s">
        <v>266</v>
      </c>
      <c r="C197" s="46" t="s">
        <v>106</v>
      </c>
      <c r="D197" s="123">
        <v>8.0</v>
      </c>
      <c r="E197" s="37">
        <v>1.0</v>
      </c>
      <c r="F197" s="40"/>
      <c r="G197" s="40"/>
      <c r="H197" s="40">
        <f t="shared" si="33"/>
        <v>8</v>
      </c>
      <c r="I197" s="40"/>
      <c r="J197" s="64">
        <f t="shared" si="34"/>
        <v>8</v>
      </c>
      <c r="K197" s="46"/>
    </row>
    <row r="198" ht="19.5" customHeight="1">
      <c r="A198" s="46">
        <f t="shared" si="35"/>
        <v>6</v>
      </c>
      <c r="B198" s="37" t="s">
        <v>267</v>
      </c>
      <c r="C198" s="46" t="s">
        <v>106</v>
      </c>
      <c r="D198" s="123">
        <v>8.0</v>
      </c>
      <c r="E198" s="37">
        <v>1.0</v>
      </c>
      <c r="F198" s="40"/>
      <c r="G198" s="40"/>
      <c r="H198" s="40">
        <f t="shared" si="33"/>
        <v>8</v>
      </c>
      <c r="I198" s="40"/>
      <c r="J198" s="64">
        <f t="shared" si="34"/>
        <v>8</v>
      </c>
      <c r="K198" s="46"/>
    </row>
    <row r="199" ht="19.5" customHeight="1">
      <c r="A199" s="46">
        <f t="shared" si="35"/>
        <v>7</v>
      </c>
      <c r="B199" s="37" t="s">
        <v>268</v>
      </c>
      <c r="C199" s="46" t="s">
        <v>106</v>
      </c>
      <c r="D199" s="123">
        <v>8.0</v>
      </c>
      <c r="E199" s="37">
        <v>1.0</v>
      </c>
      <c r="F199" s="40"/>
      <c r="G199" s="40"/>
      <c r="H199" s="40">
        <f t="shared" si="33"/>
        <v>8</v>
      </c>
      <c r="I199" s="40"/>
      <c r="J199" s="64">
        <f t="shared" si="34"/>
        <v>8</v>
      </c>
      <c r="K199" s="46"/>
    </row>
    <row r="200" ht="19.5" customHeight="1">
      <c r="A200" s="46">
        <f t="shared" si="35"/>
        <v>8</v>
      </c>
      <c r="B200" s="37" t="s">
        <v>269</v>
      </c>
      <c r="C200" s="46" t="s">
        <v>106</v>
      </c>
      <c r="D200" s="123">
        <v>8.0</v>
      </c>
      <c r="E200" s="37">
        <v>1.0</v>
      </c>
      <c r="F200" s="40"/>
      <c r="G200" s="40"/>
      <c r="H200" s="40">
        <f t="shared" si="33"/>
        <v>8</v>
      </c>
      <c r="I200" s="40"/>
      <c r="J200" s="64">
        <f t="shared" si="34"/>
        <v>8</v>
      </c>
      <c r="K200" s="46"/>
    </row>
    <row r="201" ht="19.5" customHeight="1">
      <c r="A201" s="46">
        <f t="shared" si="35"/>
        <v>9</v>
      </c>
      <c r="B201" s="37" t="s">
        <v>270</v>
      </c>
      <c r="C201" s="46" t="s">
        <v>106</v>
      </c>
      <c r="D201" s="123">
        <v>8.0</v>
      </c>
      <c r="E201" s="37">
        <v>1.0</v>
      </c>
      <c r="F201" s="40"/>
      <c r="G201" s="40"/>
      <c r="H201" s="40">
        <f t="shared" si="33"/>
        <v>8</v>
      </c>
      <c r="I201" s="40"/>
      <c r="J201" s="64">
        <f t="shared" si="34"/>
        <v>8</v>
      </c>
      <c r="K201" s="46"/>
    </row>
    <row r="202" ht="19.5" customHeight="1">
      <c r="A202" s="46">
        <f t="shared" si="35"/>
        <v>10</v>
      </c>
      <c r="B202" s="37" t="s">
        <v>271</v>
      </c>
      <c r="C202" s="46" t="s">
        <v>106</v>
      </c>
      <c r="D202" s="123">
        <v>8.0</v>
      </c>
      <c r="E202" s="37">
        <v>1.0</v>
      </c>
      <c r="F202" s="40"/>
      <c r="G202" s="40"/>
      <c r="H202" s="40">
        <f t="shared" si="33"/>
        <v>8</v>
      </c>
      <c r="I202" s="40"/>
      <c r="J202" s="64">
        <f t="shared" si="34"/>
        <v>8</v>
      </c>
      <c r="K202" s="46"/>
    </row>
    <row r="203" ht="19.5" customHeight="1">
      <c r="A203" s="46">
        <f t="shared" si="35"/>
        <v>11</v>
      </c>
      <c r="B203" s="37" t="s">
        <v>272</v>
      </c>
      <c r="C203" s="46" t="s">
        <v>106</v>
      </c>
      <c r="D203" s="123">
        <v>8.0</v>
      </c>
      <c r="E203" s="37">
        <v>1.0</v>
      </c>
      <c r="F203" s="40"/>
      <c r="G203" s="40"/>
      <c r="H203" s="40">
        <f t="shared" si="33"/>
        <v>8</v>
      </c>
      <c r="I203" s="40"/>
      <c r="J203" s="64">
        <f t="shared" si="34"/>
        <v>8</v>
      </c>
      <c r="K203" s="46"/>
    </row>
    <row r="204" ht="19.5" customHeight="1">
      <c r="A204" s="46">
        <f t="shared" si="35"/>
        <v>12</v>
      </c>
      <c r="B204" s="37" t="s">
        <v>273</v>
      </c>
      <c r="C204" s="46" t="s">
        <v>106</v>
      </c>
      <c r="D204" s="123">
        <v>4.0</v>
      </c>
      <c r="E204" s="37">
        <v>1.0</v>
      </c>
      <c r="F204" s="40"/>
      <c r="G204" s="40"/>
      <c r="H204" s="40">
        <f t="shared" si="33"/>
        <v>4</v>
      </c>
      <c r="I204" s="40"/>
      <c r="J204" s="64">
        <f t="shared" si="34"/>
        <v>4</v>
      </c>
      <c r="K204" s="46"/>
    </row>
    <row r="205" ht="19.5" customHeight="1">
      <c r="A205" s="46">
        <f t="shared" si="35"/>
        <v>13</v>
      </c>
      <c r="B205" s="37" t="s">
        <v>274</v>
      </c>
      <c r="C205" s="46" t="s">
        <v>106</v>
      </c>
      <c r="D205" s="123">
        <v>4.0</v>
      </c>
      <c r="E205" s="37">
        <v>1.0</v>
      </c>
      <c r="F205" s="40"/>
      <c r="G205" s="40"/>
      <c r="H205" s="40">
        <f t="shared" si="33"/>
        <v>4</v>
      </c>
      <c r="I205" s="40"/>
      <c r="J205" s="64">
        <f t="shared" si="34"/>
        <v>4</v>
      </c>
      <c r="K205" s="46"/>
    </row>
    <row r="206" ht="19.5" customHeight="1">
      <c r="A206" s="46">
        <f t="shared" si="35"/>
        <v>14</v>
      </c>
      <c r="B206" s="37" t="s">
        <v>275</v>
      </c>
      <c r="C206" s="46" t="s">
        <v>106</v>
      </c>
      <c r="D206" s="123">
        <v>4.0</v>
      </c>
      <c r="E206" s="37">
        <v>1.0</v>
      </c>
      <c r="F206" s="40"/>
      <c r="G206" s="40"/>
      <c r="H206" s="40">
        <f t="shared" si="33"/>
        <v>4</v>
      </c>
      <c r="I206" s="40"/>
      <c r="J206" s="64">
        <f t="shared" si="34"/>
        <v>4</v>
      </c>
      <c r="K206" s="46"/>
    </row>
    <row r="207" ht="19.5" customHeight="1">
      <c r="A207" s="46">
        <f t="shared" si="35"/>
        <v>15</v>
      </c>
      <c r="B207" s="37" t="s">
        <v>276</v>
      </c>
      <c r="C207" s="46" t="s">
        <v>106</v>
      </c>
      <c r="D207" s="123">
        <v>4.0</v>
      </c>
      <c r="E207" s="37">
        <v>1.0</v>
      </c>
      <c r="F207" s="40"/>
      <c r="G207" s="40"/>
      <c r="H207" s="40">
        <f t="shared" si="33"/>
        <v>4</v>
      </c>
      <c r="I207" s="40"/>
      <c r="J207" s="64">
        <f t="shared" si="34"/>
        <v>4</v>
      </c>
      <c r="K207" s="46"/>
    </row>
    <row r="208" ht="19.5" customHeight="1">
      <c r="A208" s="46">
        <f t="shared" si="35"/>
        <v>16</v>
      </c>
      <c r="B208" s="37" t="s">
        <v>277</v>
      </c>
      <c r="C208" s="46" t="s">
        <v>106</v>
      </c>
      <c r="D208" s="123">
        <v>3.0</v>
      </c>
      <c r="E208" s="37">
        <v>1.0</v>
      </c>
      <c r="F208" s="40"/>
      <c r="G208" s="40"/>
      <c r="H208" s="40">
        <f t="shared" si="33"/>
        <v>3</v>
      </c>
      <c r="I208" s="40"/>
      <c r="J208" s="64">
        <f t="shared" si="34"/>
        <v>3</v>
      </c>
      <c r="K208" s="46"/>
    </row>
    <row r="209" ht="19.5" customHeight="1">
      <c r="A209" s="46">
        <f t="shared" si="35"/>
        <v>17</v>
      </c>
      <c r="B209" s="37" t="s">
        <v>278</v>
      </c>
      <c r="C209" s="46" t="s">
        <v>106</v>
      </c>
      <c r="D209" s="123">
        <v>3.0</v>
      </c>
      <c r="E209" s="37">
        <v>1.0</v>
      </c>
      <c r="F209" s="40"/>
      <c r="G209" s="40"/>
      <c r="H209" s="40">
        <f t="shared" si="33"/>
        <v>3</v>
      </c>
      <c r="I209" s="40"/>
      <c r="J209" s="64">
        <f t="shared" si="34"/>
        <v>3</v>
      </c>
      <c r="K209" s="46"/>
    </row>
    <row r="210" ht="19.5" customHeight="1">
      <c r="A210" s="46">
        <f t="shared" si="35"/>
        <v>18</v>
      </c>
      <c r="B210" s="37" t="s">
        <v>279</v>
      </c>
      <c r="C210" s="46" t="s">
        <v>106</v>
      </c>
      <c r="D210" s="123">
        <v>10.0</v>
      </c>
      <c r="E210" s="37">
        <v>1.0</v>
      </c>
      <c r="F210" s="40"/>
      <c r="G210" s="40"/>
      <c r="H210" s="40">
        <f t="shared" si="33"/>
        <v>10</v>
      </c>
      <c r="I210" s="40"/>
      <c r="J210" s="64">
        <f t="shared" si="34"/>
        <v>10</v>
      </c>
      <c r="K210" s="46"/>
    </row>
    <row r="211" ht="19.5" customHeight="1">
      <c r="A211" s="46">
        <f t="shared" si="35"/>
        <v>19</v>
      </c>
      <c r="B211" s="37" t="s">
        <v>280</v>
      </c>
      <c r="C211" s="46" t="s">
        <v>106</v>
      </c>
      <c r="D211" s="123">
        <v>14.0</v>
      </c>
      <c r="E211" s="37">
        <v>1.0</v>
      </c>
      <c r="F211" s="40"/>
      <c r="G211" s="40"/>
      <c r="H211" s="40">
        <f t="shared" si="33"/>
        <v>14</v>
      </c>
      <c r="I211" s="40"/>
      <c r="J211" s="64">
        <f t="shared" si="34"/>
        <v>14</v>
      </c>
      <c r="K211" s="46"/>
    </row>
    <row r="212" ht="19.5" customHeight="1">
      <c r="A212" s="124">
        <f t="shared" si="35"/>
        <v>20</v>
      </c>
      <c r="B212" s="37" t="s">
        <v>281</v>
      </c>
      <c r="C212" s="46" t="s">
        <v>106</v>
      </c>
      <c r="D212" s="123">
        <v>9.0</v>
      </c>
      <c r="E212" s="37">
        <v>1.0</v>
      </c>
      <c r="F212" s="40"/>
      <c r="G212" s="40"/>
      <c r="H212" s="40">
        <f t="shared" si="33"/>
        <v>9</v>
      </c>
      <c r="I212" s="40"/>
      <c r="J212" s="64">
        <f t="shared" si="34"/>
        <v>9</v>
      </c>
      <c r="K212" s="46"/>
    </row>
    <row r="213" ht="19.5" customHeight="1">
      <c r="A213" s="124">
        <f t="shared" si="35"/>
        <v>21</v>
      </c>
      <c r="B213" s="49" t="s">
        <v>282</v>
      </c>
      <c r="C213" s="46" t="s">
        <v>106</v>
      </c>
      <c r="D213" s="125">
        <v>3.0</v>
      </c>
      <c r="E213" s="37">
        <v>1.0</v>
      </c>
      <c r="F213" s="40"/>
      <c r="G213" s="40"/>
      <c r="H213" s="40">
        <f t="shared" si="33"/>
        <v>3</v>
      </c>
      <c r="I213" s="40"/>
      <c r="J213" s="64">
        <f t="shared" si="34"/>
        <v>3</v>
      </c>
      <c r="K213" s="38" t="s">
        <v>283</v>
      </c>
    </row>
    <row r="214" ht="19.5" customHeight="1">
      <c r="A214" s="124">
        <f t="shared" si="35"/>
        <v>22</v>
      </c>
      <c r="B214" s="37" t="s">
        <v>284</v>
      </c>
      <c r="C214" s="46" t="s">
        <v>106</v>
      </c>
      <c r="D214" s="125">
        <v>6.0</v>
      </c>
      <c r="E214" s="37">
        <v>1.0</v>
      </c>
      <c r="F214" s="40"/>
      <c r="G214" s="40"/>
      <c r="H214" s="40">
        <f t="shared" si="33"/>
        <v>6</v>
      </c>
      <c r="I214" s="40"/>
      <c r="J214" s="64">
        <f t="shared" si="34"/>
        <v>6</v>
      </c>
      <c r="K214" s="46"/>
    </row>
    <row r="215" ht="19.5" customHeight="1">
      <c r="A215" s="124">
        <f t="shared" si="35"/>
        <v>23</v>
      </c>
      <c r="B215" s="37" t="s">
        <v>285</v>
      </c>
      <c r="C215" s="46" t="s">
        <v>106</v>
      </c>
      <c r="D215" s="123">
        <v>3.0</v>
      </c>
      <c r="E215" s="37">
        <v>1.0</v>
      </c>
      <c r="F215" s="40"/>
      <c r="G215" s="40"/>
      <c r="H215" s="40">
        <f t="shared" si="33"/>
        <v>3</v>
      </c>
      <c r="I215" s="40"/>
      <c r="J215" s="64">
        <f t="shared" si="34"/>
        <v>3</v>
      </c>
      <c r="K215" s="79"/>
    </row>
    <row r="216" ht="19.5" customHeight="1">
      <c r="A216" s="126">
        <f t="shared" si="35"/>
        <v>24</v>
      </c>
      <c r="B216" s="37" t="s">
        <v>286</v>
      </c>
      <c r="C216" s="46" t="s">
        <v>106</v>
      </c>
      <c r="D216" s="123">
        <v>2.0</v>
      </c>
      <c r="E216" s="37">
        <v>1.0</v>
      </c>
      <c r="F216" s="40"/>
      <c r="G216" s="40"/>
      <c r="H216" s="40">
        <f t="shared" si="33"/>
        <v>2</v>
      </c>
      <c r="I216" s="40"/>
      <c r="J216" s="64">
        <f t="shared" si="34"/>
        <v>2</v>
      </c>
      <c r="K216" s="79"/>
    </row>
    <row r="217" ht="19.5" customHeight="1">
      <c r="A217" s="74" t="s">
        <v>1</v>
      </c>
      <c r="B217" s="74" t="s">
        <v>91</v>
      </c>
      <c r="C217" s="74" t="s">
        <v>92</v>
      </c>
      <c r="D217" s="76" t="s">
        <v>93</v>
      </c>
      <c r="E217" s="50" t="s">
        <v>161</v>
      </c>
      <c r="F217" s="53" t="s">
        <v>121</v>
      </c>
      <c r="G217" s="53" t="s">
        <v>99</v>
      </c>
      <c r="H217" s="53" t="s">
        <v>100</v>
      </c>
      <c r="I217" s="53" t="s">
        <v>101</v>
      </c>
      <c r="J217" s="76" t="s">
        <v>95</v>
      </c>
      <c r="K217" s="74" t="s">
        <v>96</v>
      </c>
    </row>
    <row r="218" ht="19.5" customHeight="1">
      <c r="A218" s="46">
        <v>1.0</v>
      </c>
      <c r="B218" s="37" t="s">
        <v>287</v>
      </c>
      <c r="C218" s="46" t="s">
        <v>108</v>
      </c>
      <c r="D218" s="78">
        <v>0.0</v>
      </c>
      <c r="E218" s="37">
        <v>1.0</v>
      </c>
      <c r="F218" s="78"/>
      <c r="G218" s="40"/>
      <c r="H218" s="40">
        <f t="shared" ref="H218:H258" si="36">E218*D218</f>
        <v>0</v>
      </c>
      <c r="I218" s="42"/>
      <c r="J218" s="64">
        <f t="shared" ref="J218:J258" si="37">H218</f>
        <v>0</v>
      </c>
      <c r="K218" s="46"/>
    </row>
    <row r="219" ht="19.5" customHeight="1">
      <c r="A219" s="46">
        <f t="shared" ref="A219:A258" si="38">A218+1</f>
        <v>2</v>
      </c>
      <c r="B219" s="37" t="s">
        <v>288</v>
      </c>
      <c r="C219" s="46" t="s">
        <v>108</v>
      </c>
      <c r="D219" s="78">
        <v>100.0</v>
      </c>
      <c r="E219" s="37">
        <v>1.0</v>
      </c>
      <c r="F219" s="78"/>
      <c r="G219" s="40"/>
      <c r="H219" s="40">
        <f t="shared" si="36"/>
        <v>100</v>
      </c>
      <c r="I219" s="42"/>
      <c r="J219" s="64">
        <f t="shared" si="37"/>
        <v>100</v>
      </c>
      <c r="K219" s="46"/>
    </row>
    <row r="220" ht="19.5" customHeight="1">
      <c r="A220" s="46">
        <f t="shared" si="38"/>
        <v>3</v>
      </c>
      <c r="B220" s="37" t="s">
        <v>289</v>
      </c>
      <c r="C220" s="46" t="s">
        <v>108</v>
      </c>
      <c r="D220" s="78">
        <v>50.0</v>
      </c>
      <c r="E220" s="37">
        <v>1.0</v>
      </c>
      <c r="F220" s="78"/>
      <c r="G220" s="40"/>
      <c r="H220" s="40">
        <f t="shared" si="36"/>
        <v>50</v>
      </c>
      <c r="I220" s="42"/>
      <c r="J220" s="64">
        <f t="shared" si="37"/>
        <v>50</v>
      </c>
      <c r="K220" s="46"/>
    </row>
    <row r="221" ht="19.5" customHeight="1">
      <c r="A221" s="46">
        <f t="shared" si="38"/>
        <v>4</v>
      </c>
      <c r="B221" s="37" t="s">
        <v>263</v>
      </c>
      <c r="C221" s="46" t="s">
        <v>108</v>
      </c>
      <c r="D221" s="78">
        <v>100.0</v>
      </c>
      <c r="E221" s="37">
        <v>1.0</v>
      </c>
      <c r="F221" s="78"/>
      <c r="G221" s="40"/>
      <c r="H221" s="40">
        <f t="shared" si="36"/>
        <v>100</v>
      </c>
      <c r="I221" s="42"/>
      <c r="J221" s="64">
        <f t="shared" si="37"/>
        <v>100</v>
      </c>
      <c r="K221" s="46"/>
    </row>
    <row r="222" ht="19.5" customHeight="1">
      <c r="A222" s="46">
        <f t="shared" si="38"/>
        <v>5</v>
      </c>
      <c r="B222" s="37" t="s">
        <v>264</v>
      </c>
      <c r="C222" s="46" t="s">
        <v>108</v>
      </c>
      <c r="D222" s="123">
        <v>100.0</v>
      </c>
      <c r="E222" s="37">
        <v>1.0</v>
      </c>
      <c r="F222" s="40"/>
      <c r="G222" s="40"/>
      <c r="H222" s="40">
        <f t="shared" si="36"/>
        <v>100</v>
      </c>
      <c r="I222" s="40"/>
      <c r="J222" s="64">
        <f t="shared" si="37"/>
        <v>100</v>
      </c>
      <c r="K222" s="46"/>
    </row>
    <row r="223" ht="19.5" customHeight="1">
      <c r="A223" s="46">
        <f t="shared" si="38"/>
        <v>6</v>
      </c>
      <c r="B223" s="37" t="s">
        <v>290</v>
      </c>
      <c r="C223" s="46" t="s">
        <v>108</v>
      </c>
      <c r="D223" s="123">
        <v>24.0</v>
      </c>
      <c r="E223" s="37">
        <v>1.0</v>
      </c>
      <c r="F223" s="40"/>
      <c r="G223" s="40"/>
      <c r="H223" s="40">
        <f t="shared" si="36"/>
        <v>24</v>
      </c>
      <c r="I223" s="40"/>
      <c r="J223" s="64">
        <f t="shared" si="37"/>
        <v>24</v>
      </c>
      <c r="K223" s="46"/>
    </row>
    <row r="224" ht="19.5" customHeight="1">
      <c r="A224" s="46">
        <f t="shared" si="38"/>
        <v>7</v>
      </c>
      <c r="B224" s="37" t="s">
        <v>291</v>
      </c>
      <c r="C224" s="46" t="s">
        <v>108</v>
      </c>
      <c r="D224" s="123">
        <v>60.0</v>
      </c>
      <c r="E224" s="37">
        <v>1.0</v>
      </c>
      <c r="F224" s="40"/>
      <c r="G224" s="40"/>
      <c r="H224" s="40">
        <f t="shared" si="36"/>
        <v>60</v>
      </c>
      <c r="I224" s="40"/>
      <c r="J224" s="64">
        <f t="shared" si="37"/>
        <v>60</v>
      </c>
      <c r="K224" s="46"/>
    </row>
    <row r="225" ht="19.5" customHeight="1">
      <c r="A225" s="46">
        <f t="shared" si="38"/>
        <v>8</v>
      </c>
      <c r="B225" s="37" t="s">
        <v>292</v>
      </c>
      <c r="C225" s="46" t="s">
        <v>106</v>
      </c>
      <c r="D225" s="123">
        <v>0.0</v>
      </c>
      <c r="E225" s="37">
        <v>1.0</v>
      </c>
      <c r="F225" s="40"/>
      <c r="G225" s="40"/>
      <c r="H225" s="40">
        <f t="shared" si="36"/>
        <v>0</v>
      </c>
      <c r="I225" s="40"/>
      <c r="J225" s="64">
        <f t="shared" si="37"/>
        <v>0</v>
      </c>
      <c r="K225" s="46"/>
    </row>
    <row r="226" ht="19.5" customHeight="1">
      <c r="A226" s="46">
        <f t="shared" si="38"/>
        <v>9</v>
      </c>
      <c r="B226" s="37" t="s">
        <v>293</v>
      </c>
      <c r="C226" s="46" t="s">
        <v>106</v>
      </c>
      <c r="D226" s="123">
        <v>2.0</v>
      </c>
      <c r="E226" s="37">
        <v>1.0</v>
      </c>
      <c r="F226" s="40"/>
      <c r="G226" s="40"/>
      <c r="H226" s="40">
        <f t="shared" si="36"/>
        <v>2</v>
      </c>
      <c r="I226" s="40"/>
      <c r="J226" s="64">
        <f t="shared" si="37"/>
        <v>2</v>
      </c>
      <c r="K226" s="46"/>
    </row>
    <row r="227" ht="19.5" customHeight="1">
      <c r="A227" s="46">
        <f t="shared" si="38"/>
        <v>10</v>
      </c>
      <c r="B227" s="37" t="s">
        <v>294</v>
      </c>
      <c r="C227" s="46" t="s">
        <v>106</v>
      </c>
      <c r="D227" s="123">
        <v>2.0</v>
      </c>
      <c r="E227" s="37">
        <v>1.0</v>
      </c>
      <c r="F227" s="40"/>
      <c r="G227" s="40"/>
      <c r="H227" s="40">
        <f t="shared" si="36"/>
        <v>2</v>
      </c>
      <c r="I227" s="40"/>
      <c r="J227" s="64">
        <f t="shared" si="37"/>
        <v>2</v>
      </c>
      <c r="K227" s="46"/>
    </row>
    <row r="228" ht="19.5" customHeight="1">
      <c r="A228" s="46">
        <f t="shared" si="38"/>
        <v>11</v>
      </c>
      <c r="B228" s="37" t="s">
        <v>295</v>
      </c>
      <c r="C228" s="46" t="s">
        <v>106</v>
      </c>
      <c r="D228" s="123">
        <v>2.0</v>
      </c>
      <c r="E228" s="37">
        <v>1.0</v>
      </c>
      <c r="F228" s="40"/>
      <c r="G228" s="40"/>
      <c r="H228" s="40">
        <f t="shared" si="36"/>
        <v>2</v>
      </c>
      <c r="I228" s="40"/>
      <c r="J228" s="64">
        <f t="shared" si="37"/>
        <v>2</v>
      </c>
      <c r="K228" s="46"/>
    </row>
    <row r="229" ht="19.5" customHeight="1">
      <c r="A229" s="46">
        <f t="shared" si="38"/>
        <v>12</v>
      </c>
      <c r="B229" s="37" t="s">
        <v>270</v>
      </c>
      <c r="C229" s="46" t="s">
        <v>106</v>
      </c>
      <c r="D229" s="123">
        <v>2.0</v>
      </c>
      <c r="E229" s="37">
        <v>1.0</v>
      </c>
      <c r="F229" s="40"/>
      <c r="G229" s="40"/>
      <c r="H229" s="40">
        <f t="shared" si="36"/>
        <v>2</v>
      </c>
      <c r="I229" s="40"/>
      <c r="J229" s="64">
        <f t="shared" si="37"/>
        <v>2</v>
      </c>
      <c r="K229" s="46"/>
    </row>
    <row r="230" ht="19.5" customHeight="1">
      <c r="A230" s="46">
        <f t="shared" si="38"/>
        <v>13</v>
      </c>
      <c r="B230" s="37" t="s">
        <v>296</v>
      </c>
      <c r="C230" s="46" t="s">
        <v>106</v>
      </c>
      <c r="D230" s="123">
        <v>2.0</v>
      </c>
      <c r="E230" s="37">
        <v>2.0</v>
      </c>
      <c r="F230" s="40"/>
      <c r="G230" s="40"/>
      <c r="H230" s="40">
        <f t="shared" si="36"/>
        <v>4</v>
      </c>
      <c r="I230" s="40"/>
      <c r="J230" s="64">
        <f t="shared" si="37"/>
        <v>4</v>
      </c>
      <c r="K230" s="46"/>
    </row>
    <row r="231" ht="19.5" customHeight="1">
      <c r="A231" s="46">
        <f t="shared" si="38"/>
        <v>14</v>
      </c>
      <c r="B231" s="37" t="s">
        <v>297</v>
      </c>
      <c r="C231" s="46" t="s">
        <v>106</v>
      </c>
      <c r="D231" s="123">
        <v>4.0</v>
      </c>
      <c r="E231" s="37">
        <v>2.0</v>
      </c>
      <c r="F231" s="40"/>
      <c r="G231" s="40"/>
      <c r="H231" s="40">
        <f t="shared" si="36"/>
        <v>8</v>
      </c>
      <c r="I231" s="40"/>
      <c r="J231" s="64">
        <f t="shared" si="37"/>
        <v>8</v>
      </c>
      <c r="K231" s="46"/>
    </row>
    <row r="232" ht="19.5" customHeight="1">
      <c r="A232" s="46">
        <f t="shared" si="38"/>
        <v>15</v>
      </c>
      <c r="B232" s="37" t="s">
        <v>298</v>
      </c>
      <c r="C232" s="46" t="s">
        <v>106</v>
      </c>
      <c r="D232" s="123">
        <v>2.0</v>
      </c>
      <c r="E232" s="37">
        <v>1.0</v>
      </c>
      <c r="F232" s="40"/>
      <c r="G232" s="40"/>
      <c r="H232" s="40">
        <f t="shared" si="36"/>
        <v>2</v>
      </c>
      <c r="I232" s="40"/>
      <c r="J232" s="64">
        <f t="shared" si="37"/>
        <v>2</v>
      </c>
      <c r="K232" s="46"/>
    </row>
    <row r="233" ht="19.5" customHeight="1">
      <c r="A233" s="46">
        <f t="shared" si="38"/>
        <v>16</v>
      </c>
      <c r="B233" s="37" t="s">
        <v>299</v>
      </c>
      <c r="C233" s="46" t="s">
        <v>106</v>
      </c>
      <c r="D233" s="123">
        <v>2.0</v>
      </c>
      <c r="E233" s="37">
        <v>1.0</v>
      </c>
      <c r="F233" s="40"/>
      <c r="G233" s="40"/>
      <c r="H233" s="40">
        <f t="shared" si="36"/>
        <v>2</v>
      </c>
      <c r="I233" s="40"/>
      <c r="J233" s="64">
        <f t="shared" si="37"/>
        <v>2</v>
      </c>
      <c r="K233" s="46"/>
    </row>
    <row r="234" ht="19.5" customHeight="1">
      <c r="A234" s="46">
        <f t="shared" si="38"/>
        <v>17</v>
      </c>
      <c r="B234" s="37" t="s">
        <v>300</v>
      </c>
      <c r="C234" s="46" t="s">
        <v>106</v>
      </c>
      <c r="D234" s="123">
        <v>2.0</v>
      </c>
      <c r="E234" s="37">
        <v>1.0</v>
      </c>
      <c r="F234" s="40"/>
      <c r="G234" s="40"/>
      <c r="H234" s="40">
        <f t="shared" si="36"/>
        <v>2</v>
      </c>
      <c r="I234" s="40"/>
      <c r="J234" s="64">
        <f t="shared" si="37"/>
        <v>2</v>
      </c>
      <c r="K234" s="46"/>
    </row>
    <row r="235" ht="19.5" customHeight="1">
      <c r="A235" s="46">
        <f t="shared" si="38"/>
        <v>18</v>
      </c>
      <c r="B235" s="37" t="s">
        <v>301</v>
      </c>
      <c r="C235" s="46" t="s">
        <v>106</v>
      </c>
      <c r="D235" s="123">
        <v>2.0</v>
      </c>
      <c r="E235" s="37">
        <v>1.0</v>
      </c>
      <c r="F235" s="40"/>
      <c r="G235" s="40"/>
      <c r="H235" s="40">
        <f t="shared" si="36"/>
        <v>2</v>
      </c>
      <c r="I235" s="40"/>
      <c r="J235" s="64">
        <f t="shared" si="37"/>
        <v>2</v>
      </c>
      <c r="K235" s="46"/>
    </row>
    <row r="236" ht="19.5" customHeight="1">
      <c r="A236" s="46">
        <f t="shared" si="38"/>
        <v>19</v>
      </c>
      <c r="B236" s="37" t="s">
        <v>302</v>
      </c>
      <c r="C236" s="46" t="s">
        <v>106</v>
      </c>
      <c r="D236" s="123">
        <v>2.0</v>
      </c>
      <c r="E236" s="37">
        <v>1.0</v>
      </c>
      <c r="F236" s="40"/>
      <c r="G236" s="40"/>
      <c r="H236" s="40">
        <f t="shared" si="36"/>
        <v>2</v>
      </c>
      <c r="I236" s="40"/>
      <c r="J236" s="64">
        <f t="shared" si="37"/>
        <v>2</v>
      </c>
      <c r="K236" s="46"/>
    </row>
    <row r="237" ht="19.5" customHeight="1">
      <c r="A237" s="46">
        <f t="shared" si="38"/>
        <v>20</v>
      </c>
      <c r="B237" s="37" t="s">
        <v>303</v>
      </c>
      <c r="C237" s="46" t="s">
        <v>106</v>
      </c>
      <c r="D237" s="123">
        <v>1.0</v>
      </c>
      <c r="E237" s="37">
        <v>1.0</v>
      </c>
      <c r="F237" s="40"/>
      <c r="G237" s="40"/>
      <c r="H237" s="40">
        <f t="shared" si="36"/>
        <v>1</v>
      </c>
      <c r="I237" s="40"/>
      <c r="J237" s="64">
        <f t="shared" si="37"/>
        <v>1</v>
      </c>
      <c r="K237" s="46"/>
    </row>
    <row r="238" ht="19.5" customHeight="1">
      <c r="A238" s="46">
        <f t="shared" si="38"/>
        <v>21</v>
      </c>
      <c r="B238" s="37" t="s">
        <v>304</v>
      </c>
      <c r="C238" s="46" t="s">
        <v>106</v>
      </c>
      <c r="D238" s="123">
        <v>4.0</v>
      </c>
      <c r="E238" s="37">
        <v>1.0</v>
      </c>
      <c r="F238" s="40"/>
      <c r="G238" s="40"/>
      <c r="H238" s="40">
        <f t="shared" si="36"/>
        <v>4</v>
      </c>
      <c r="I238" s="40"/>
      <c r="J238" s="64">
        <f t="shared" si="37"/>
        <v>4</v>
      </c>
      <c r="K238" s="46"/>
    </row>
    <row r="239" ht="19.5" customHeight="1">
      <c r="A239" s="46">
        <f t="shared" si="38"/>
        <v>22</v>
      </c>
      <c r="B239" s="37" t="s">
        <v>305</v>
      </c>
      <c r="C239" s="46" t="s">
        <v>106</v>
      </c>
      <c r="D239" s="123">
        <v>0.0</v>
      </c>
      <c r="E239" s="37">
        <v>1.0</v>
      </c>
      <c r="F239" s="40"/>
      <c r="G239" s="40"/>
      <c r="H239" s="40">
        <f t="shared" si="36"/>
        <v>0</v>
      </c>
      <c r="I239" s="40"/>
      <c r="J239" s="64">
        <f t="shared" si="37"/>
        <v>0</v>
      </c>
      <c r="K239" s="46"/>
    </row>
    <row r="240" ht="19.5" customHeight="1">
      <c r="A240" s="46">
        <f t="shared" si="38"/>
        <v>23</v>
      </c>
      <c r="B240" s="37" t="s">
        <v>306</v>
      </c>
      <c r="C240" s="46" t="s">
        <v>106</v>
      </c>
      <c r="D240" s="123">
        <v>2.0</v>
      </c>
      <c r="E240" s="37">
        <v>1.0</v>
      </c>
      <c r="F240" s="40"/>
      <c r="G240" s="40"/>
      <c r="H240" s="40">
        <f t="shared" si="36"/>
        <v>2</v>
      </c>
      <c r="I240" s="40"/>
      <c r="J240" s="64">
        <f t="shared" si="37"/>
        <v>2</v>
      </c>
      <c r="K240" s="46"/>
    </row>
    <row r="241" ht="19.5" customHeight="1">
      <c r="A241" s="46">
        <f t="shared" si="38"/>
        <v>24</v>
      </c>
      <c r="B241" s="37" t="s">
        <v>307</v>
      </c>
      <c r="C241" s="46" t="s">
        <v>106</v>
      </c>
      <c r="D241" s="123">
        <v>2.0</v>
      </c>
      <c r="E241" s="37">
        <v>1.0</v>
      </c>
      <c r="F241" s="40"/>
      <c r="G241" s="40"/>
      <c r="H241" s="40">
        <f t="shared" si="36"/>
        <v>2</v>
      </c>
      <c r="I241" s="40"/>
      <c r="J241" s="64">
        <f t="shared" si="37"/>
        <v>2</v>
      </c>
      <c r="K241" s="46"/>
    </row>
    <row r="242" ht="19.5" customHeight="1">
      <c r="A242" s="46">
        <f t="shared" si="38"/>
        <v>25</v>
      </c>
      <c r="B242" s="37" t="s">
        <v>308</v>
      </c>
      <c r="C242" s="46" t="s">
        <v>106</v>
      </c>
      <c r="D242" s="123">
        <v>2.0</v>
      </c>
      <c r="E242" s="37">
        <v>1.0</v>
      </c>
      <c r="F242" s="40"/>
      <c r="G242" s="40"/>
      <c r="H242" s="40">
        <f t="shared" si="36"/>
        <v>2</v>
      </c>
      <c r="I242" s="40"/>
      <c r="J242" s="64">
        <f t="shared" si="37"/>
        <v>2</v>
      </c>
      <c r="K242" s="46"/>
    </row>
    <row r="243" ht="19.5" customHeight="1">
      <c r="A243" s="46">
        <f t="shared" si="38"/>
        <v>26</v>
      </c>
      <c r="B243" s="37" t="s">
        <v>309</v>
      </c>
      <c r="C243" s="46" t="s">
        <v>106</v>
      </c>
      <c r="D243" s="123">
        <v>4.0</v>
      </c>
      <c r="E243" s="37">
        <v>1.0</v>
      </c>
      <c r="F243" s="40"/>
      <c r="G243" s="40"/>
      <c r="H243" s="40">
        <f t="shared" si="36"/>
        <v>4</v>
      </c>
      <c r="I243" s="40"/>
      <c r="J243" s="64">
        <f t="shared" si="37"/>
        <v>4</v>
      </c>
      <c r="K243" s="46"/>
    </row>
    <row r="244" ht="19.5" customHeight="1">
      <c r="A244" s="46">
        <f t="shared" si="38"/>
        <v>27</v>
      </c>
      <c r="B244" s="37" t="s">
        <v>310</v>
      </c>
      <c r="C244" s="46" t="s">
        <v>106</v>
      </c>
      <c r="D244" s="123">
        <v>2.0</v>
      </c>
      <c r="E244" s="37">
        <v>1.0</v>
      </c>
      <c r="F244" s="40"/>
      <c r="G244" s="40"/>
      <c r="H244" s="40">
        <f t="shared" si="36"/>
        <v>2</v>
      </c>
      <c r="I244" s="40"/>
      <c r="J244" s="64">
        <f t="shared" si="37"/>
        <v>2</v>
      </c>
      <c r="K244" s="46"/>
    </row>
    <row r="245" ht="19.5" customHeight="1">
      <c r="A245" s="46">
        <f t="shared" si="38"/>
        <v>28</v>
      </c>
      <c r="B245" s="37" t="s">
        <v>311</v>
      </c>
      <c r="C245" s="46" t="s">
        <v>106</v>
      </c>
      <c r="D245" s="123">
        <v>4.0</v>
      </c>
      <c r="E245" s="37">
        <v>1.0</v>
      </c>
      <c r="F245" s="40"/>
      <c r="G245" s="40"/>
      <c r="H245" s="40">
        <f t="shared" si="36"/>
        <v>4</v>
      </c>
      <c r="I245" s="40"/>
      <c r="J245" s="64">
        <f t="shared" si="37"/>
        <v>4</v>
      </c>
      <c r="K245" s="46"/>
    </row>
    <row r="246" ht="19.5" customHeight="1">
      <c r="A246" s="46">
        <f t="shared" si="38"/>
        <v>29</v>
      </c>
      <c r="B246" s="37" t="s">
        <v>312</v>
      </c>
      <c r="C246" s="46" t="s">
        <v>106</v>
      </c>
      <c r="D246" s="123">
        <v>11.0</v>
      </c>
      <c r="E246" s="37">
        <v>1.0</v>
      </c>
      <c r="F246" s="40"/>
      <c r="G246" s="40"/>
      <c r="H246" s="40">
        <f t="shared" si="36"/>
        <v>11</v>
      </c>
      <c r="I246" s="40"/>
      <c r="J246" s="64">
        <f t="shared" si="37"/>
        <v>11</v>
      </c>
      <c r="K246" s="46"/>
    </row>
    <row r="247" ht="19.5" customHeight="1">
      <c r="A247" s="46">
        <f t="shared" si="38"/>
        <v>30</v>
      </c>
      <c r="B247" s="37" t="s">
        <v>313</v>
      </c>
      <c r="C247" s="46" t="s">
        <v>106</v>
      </c>
      <c r="D247" s="123">
        <v>20.0</v>
      </c>
      <c r="E247" s="37">
        <v>1.0</v>
      </c>
      <c r="F247" s="40"/>
      <c r="G247" s="40"/>
      <c r="H247" s="40">
        <f t="shared" si="36"/>
        <v>20</v>
      </c>
      <c r="I247" s="40"/>
      <c r="J247" s="64">
        <f t="shared" si="37"/>
        <v>20</v>
      </c>
      <c r="K247" s="46"/>
    </row>
    <row r="248" ht="19.5" customHeight="1">
      <c r="A248" s="46">
        <f t="shared" si="38"/>
        <v>31</v>
      </c>
      <c r="B248" s="37" t="s">
        <v>314</v>
      </c>
      <c r="C248" s="46" t="s">
        <v>106</v>
      </c>
      <c r="D248" s="123">
        <v>2.0</v>
      </c>
      <c r="E248" s="37">
        <v>1.0</v>
      </c>
      <c r="F248" s="40"/>
      <c r="G248" s="40"/>
      <c r="H248" s="40">
        <f t="shared" si="36"/>
        <v>2</v>
      </c>
      <c r="I248" s="40"/>
      <c r="J248" s="64">
        <f t="shared" si="37"/>
        <v>2</v>
      </c>
      <c r="K248" s="46"/>
    </row>
    <row r="249" ht="19.5" customHeight="1">
      <c r="A249" s="46">
        <f t="shared" si="38"/>
        <v>32</v>
      </c>
      <c r="B249" s="37" t="s">
        <v>315</v>
      </c>
      <c r="C249" s="46" t="s">
        <v>106</v>
      </c>
      <c r="D249" s="123">
        <v>4.0</v>
      </c>
      <c r="E249" s="37">
        <v>1.0</v>
      </c>
      <c r="F249" s="40"/>
      <c r="G249" s="40"/>
      <c r="H249" s="40">
        <f t="shared" si="36"/>
        <v>4</v>
      </c>
      <c r="I249" s="40"/>
      <c r="J249" s="64">
        <f t="shared" si="37"/>
        <v>4</v>
      </c>
      <c r="K249" s="46"/>
    </row>
    <row r="250" ht="19.5" customHeight="1">
      <c r="A250" s="46">
        <f t="shared" si="38"/>
        <v>33</v>
      </c>
      <c r="B250" s="37" t="s">
        <v>316</v>
      </c>
      <c r="C250" s="46" t="s">
        <v>106</v>
      </c>
      <c r="D250" s="123"/>
      <c r="E250" s="37">
        <v>1.0</v>
      </c>
      <c r="F250" s="40"/>
      <c r="G250" s="40"/>
      <c r="H250" s="40">
        <f t="shared" si="36"/>
        <v>0</v>
      </c>
      <c r="I250" s="40"/>
      <c r="J250" s="64">
        <f t="shared" si="37"/>
        <v>0</v>
      </c>
      <c r="K250" s="46"/>
    </row>
    <row r="251" ht="19.5" customHeight="1">
      <c r="A251" s="46">
        <f t="shared" si="38"/>
        <v>34</v>
      </c>
      <c r="B251" s="37" t="s">
        <v>317</v>
      </c>
      <c r="C251" s="46" t="s">
        <v>106</v>
      </c>
      <c r="D251" s="123">
        <v>3.0</v>
      </c>
      <c r="E251" s="37">
        <v>1.0</v>
      </c>
      <c r="F251" s="40"/>
      <c r="G251" s="40"/>
      <c r="H251" s="40">
        <f t="shared" si="36"/>
        <v>3</v>
      </c>
      <c r="I251" s="40"/>
      <c r="J251" s="64">
        <f t="shared" si="37"/>
        <v>3</v>
      </c>
      <c r="K251" s="46"/>
    </row>
    <row r="252" ht="19.5" customHeight="1">
      <c r="A252" s="46">
        <f t="shared" si="38"/>
        <v>35</v>
      </c>
      <c r="B252" s="37" t="s">
        <v>318</v>
      </c>
      <c r="C252" s="46" t="s">
        <v>106</v>
      </c>
      <c r="D252" s="123">
        <v>1.0</v>
      </c>
      <c r="E252" s="37">
        <v>1.0</v>
      </c>
      <c r="F252" s="40"/>
      <c r="G252" s="40"/>
      <c r="H252" s="40">
        <f t="shared" si="36"/>
        <v>1</v>
      </c>
      <c r="I252" s="40"/>
      <c r="J252" s="64">
        <f t="shared" si="37"/>
        <v>1</v>
      </c>
      <c r="K252" s="46"/>
    </row>
    <row r="253" ht="19.5" customHeight="1">
      <c r="A253" s="46">
        <f t="shared" si="38"/>
        <v>36</v>
      </c>
      <c r="B253" s="37" t="s">
        <v>319</v>
      </c>
      <c r="C253" s="46" t="s">
        <v>106</v>
      </c>
      <c r="D253" s="123">
        <v>25.0</v>
      </c>
      <c r="E253" s="37">
        <v>1.0</v>
      </c>
      <c r="F253" s="40"/>
      <c r="G253" s="40"/>
      <c r="H253" s="40">
        <f t="shared" si="36"/>
        <v>25</v>
      </c>
      <c r="I253" s="40"/>
      <c r="J253" s="64">
        <f t="shared" si="37"/>
        <v>25</v>
      </c>
      <c r="K253" s="46"/>
    </row>
    <row r="254" ht="19.5" customHeight="1">
      <c r="A254" s="46">
        <f t="shared" si="38"/>
        <v>37</v>
      </c>
      <c r="B254" s="37" t="s">
        <v>320</v>
      </c>
      <c r="C254" s="46" t="s">
        <v>106</v>
      </c>
      <c r="D254" s="123">
        <v>9.0</v>
      </c>
      <c r="E254" s="37">
        <v>1.0</v>
      </c>
      <c r="F254" s="40"/>
      <c r="G254" s="40"/>
      <c r="H254" s="40">
        <f t="shared" si="36"/>
        <v>9</v>
      </c>
      <c r="I254" s="40"/>
      <c r="J254" s="64">
        <f t="shared" si="37"/>
        <v>9</v>
      </c>
      <c r="K254" s="46"/>
    </row>
    <row r="255" ht="19.5" customHeight="1">
      <c r="A255" s="124">
        <f t="shared" si="38"/>
        <v>38</v>
      </c>
      <c r="B255" s="37" t="s">
        <v>321</v>
      </c>
      <c r="C255" s="46" t="s">
        <v>106</v>
      </c>
      <c r="D255" s="125">
        <v>11.0</v>
      </c>
      <c r="E255" s="37">
        <v>1.0</v>
      </c>
      <c r="F255" s="40"/>
      <c r="G255" s="40"/>
      <c r="H255" s="40">
        <f t="shared" si="36"/>
        <v>11</v>
      </c>
      <c r="I255" s="40"/>
      <c r="J255" s="64">
        <f t="shared" si="37"/>
        <v>11</v>
      </c>
      <c r="K255" s="46"/>
    </row>
    <row r="256" ht="19.5" customHeight="1">
      <c r="A256" s="46">
        <f t="shared" si="38"/>
        <v>39</v>
      </c>
      <c r="B256" s="37" t="s">
        <v>322</v>
      </c>
      <c r="C256" s="46" t="s">
        <v>106</v>
      </c>
      <c r="D256" s="123"/>
      <c r="E256" s="37">
        <v>1.0</v>
      </c>
      <c r="F256" s="40"/>
      <c r="G256" s="40"/>
      <c r="H256" s="40">
        <f t="shared" si="36"/>
        <v>0</v>
      </c>
      <c r="I256" s="40"/>
      <c r="J256" s="64">
        <f t="shared" si="37"/>
        <v>0</v>
      </c>
      <c r="K256" s="46"/>
    </row>
    <row r="257" ht="19.5" customHeight="1">
      <c r="A257" s="46">
        <f t="shared" si="38"/>
        <v>40</v>
      </c>
      <c r="B257" s="37" t="s">
        <v>323</v>
      </c>
      <c r="C257" s="46" t="s">
        <v>108</v>
      </c>
      <c r="D257" s="123">
        <v>100.0</v>
      </c>
      <c r="E257" s="37">
        <v>1.0</v>
      </c>
      <c r="F257" s="40"/>
      <c r="G257" s="40"/>
      <c r="H257" s="40">
        <f t="shared" si="36"/>
        <v>100</v>
      </c>
      <c r="I257" s="40"/>
      <c r="J257" s="64">
        <f t="shared" si="37"/>
        <v>100</v>
      </c>
      <c r="K257" s="46"/>
    </row>
    <row r="258" ht="19.5" customHeight="1">
      <c r="A258" s="46">
        <f t="shared" si="38"/>
        <v>41</v>
      </c>
      <c r="B258" s="37" t="s">
        <v>324</v>
      </c>
      <c r="C258" s="46" t="s">
        <v>325</v>
      </c>
      <c r="D258" s="123">
        <v>10.0</v>
      </c>
      <c r="E258" s="37">
        <v>1.0</v>
      </c>
      <c r="F258" s="40"/>
      <c r="G258" s="40"/>
      <c r="H258" s="40">
        <f t="shared" si="36"/>
        <v>10</v>
      </c>
      <c r="I258" s="40"/>
      <c r="J258" s="64">
        <f t="shared" si="37"/>
        <v>10</v>
      </c>
      <c r="K258" s="46"/>
    </row>
    <row r="259" ht="19.5" customHeight="1">
      <c r="A259" s="12"/>
      <c r="C259" s="12"/>
      <c r="D259" s="87"/>
      <c r="F259" s="14"/>
      <c r="G259" s="14"/>
      <c r="H259" s="14"/>
      <c r="I259" s="14"/>
      <c r="J259" s="14"/>
      <c r="K259" s="12"/>
    </row>
    <row r="260" ht="19.5" customHeight="1">
      <c r="A260" s="74" t="s">
        <v>1</v>
      </c>
      <c r="B260" s="74" t="s">
        <v>91</v>
      </c>
      <c r="C260" s="74" t="s">
        <v>92</v>
      </c>
      <c r="D260" s="76" t="s">
        <v>93</v>
      </c>
      <c r="E260" s="50" t="s">
        <v>161</v>
      </c>
      <c r="F260" s="53" t="s">
        <v>121</v>
      </c>
      <c r="G260" s="53" t="s">
        <v>99</v>
      </c>
      <c r="H260" s="53" t="s">
        <v>100</v>
      </c>
      <c r="I260" s="53" t="s">
        <v>101</v>
      </c>
      <c r="J260" s="76" t="s">
        <v>95</v>
      </c>
      <c r="K260" s="74" t="s">
        <v>96</v>
      </c>
    </row>
    <row r="261" ht="19.5" customHeight="1">
      <c r="A261" s="124">
        <v>1.0</v>
      </c>
      <c r="B261" s="37" t="s">
        <v>326</v>
      </c>
      <c r="C261" s="38" t="s">
        <v>106</v>
      </c>
      <c r="D261" s="39">
        <v>11.0</v>
      </c>
      <c r="E261" s="37">
        <v>1.0</v>
      </c>
      <c r="F261" s="78"/>
      <c r="G261" s="40"/>
      <c r="H261" s="40">
        <f t="shared" ref="H261:H264" si="39">E261*D261</f>
        <v>11</v>
      </c>
      <c r="I261" s="42"/>
      <c r="J261" s="43">
        <f t="shared" ref="J261:J264" si="40">H261</f>
        <v>11</v>
      </c>
      <c r="K261" s="46"/>
    </row>
    <row r="262" ht="19.5" customHeight="1">
      <c r="A262" s="124">
        <v>2.0</v>
      </c>
      <c r="B262" s="37" t="s">
        <v>327</v>
      </c>
      <c r="C262" s="38" t="s">
        <v>106</v>
      </c>
      <c r="D262" s="125">
        <v>5.0</v>
      </c>
      <c r="E262" s="37">
        <v>1.0</v>
      </c>
      <c r="F262" s="40"/>
      <c r="G262" s="40"/>
      <c r="H262" s="40">
        <f t="shared" si="39"/>
        <v>5</v>
      </c>
      <c r="I262" s="40"/>
      <c r="J262" s="43">
        <f t="shared" si="40"/>
        <v>5</v>
      </c>
      <c r="K262" s="46"/>
    </row>
    <row r="263" ht="19.5" customHeight="1">
      <c r="A263" s="124">
        <v>3.0</v>
      </c>
      <c r="B263" s="49" t="s">
        <v>328</v>
      </c>
      <c r="C263" s="38" t="s">
        <v>106</v>
      </c>
      <c r="D263" s="125">
        <v>5.0</v>
      </c>
      <c r="E263" s="37">
        <v>1.0</v>
      </c>
      <c r="F263" s="40"/>
      <c r="G263" s="40"/>
      <c r="H263" s="40">
        <f t="shared" si="39"/>
        <v>5</v>
      </c>
      <c r="I263" s="40"/>
      <c r="J263" s="43">
        <f t="shared" si="40"/>
        <v>5</v>
      </c>
      <c r="K263" s="46"/>
    </row>
    <row r="264" ht="19.5" customHeight="1">
      <c r="A264" s="100" t="s">
        <v>329</v>
      </c>
      <c r="B264" s="37" t="s">
        <v>330</v>
      </c>
      <c r="C264" s="46" t="s">
        <v>103</v>
      </c>
      <c r="D264" s="123">
        <v>10.0</v>
      </c>
      <c r="E264" s="37">
        <v>1.0</v>
      </c>
      <c r="F264" s="40"/>
      <c r="G264" s="40"/>
      <c r="H264" s="40">
        <f t="shared" si="39"/>
        <v>10</v>
      </c>
      <c r="I264" s="40"/>
      <c r="J264" s="43">
        <f t="shared" si="40"/>
        <v>10</v>
      </c>
      <c r="K264" s="46"/>
    </row>
    <row r="265" ht="19.5" customHeight="1">
      <c r="A265" s="12"/>
      <c r="C265" s="12"/>
      <c r="D265" s="87"/>
      <c r="F265" s="14"/>
      <c r="G265" s="14"/>
      <c r="H265" s="14"/>
      <c r="I265" s="14"/>
      <c r="J265" s="14"/>
      <c r="K265" s="12"/>
    </row>
    <row r="266" ht="19.5" customHeight="1">
      <c r="A266" s="4"/>
      <c r="B266" s="5"/>
      <c r="C266" s="6"/>
      <c r="D266" s="86"/>
      <c r="E266" s="5"/>
      <c r="F266" s="8"/>
      <c r="G266" s="8"/>
      <c r="H266" s="8"/>
      <c r="I266" s="8"/>
      <c r="J266" s="8"/>
      <c r="K266" s="9"/>
    </row>
    <row r="267" ht="19.5" customHeight="1">
      <c r="A267" s="10" t="s">
        <v>83</v>
      </c>
      <c r="B267" s="11" t="s">
        <v>84</v>
      </c>
      <c r="C267" s="12"/>
      <c r="D267" s="87"/>
      <c r="F267" s="14"/>
      <c r="G267" s="14"/>
      <c r="H267" s="14"/>
      <c r="I267" s="14"/>
      <c r="J267" s="17"/>
      <c r="K267" s="18"/>
    </row>
    <row r="268" ht="19.5" customHeight="1">
      <c r="A268" s="10" t="s">
        <v>86</v>
      </c>
      <c r="B268" s="11" t="s">
        <v>87</v>
      </c>
      <c r="C268" s="12"/>
      <c r="D268" s="87"/>
      <c r="F268" s="14"/>
      <c r="G268" s="14"/>
      <c r="H268" s="14"/>
      <c r="I268" s="14"/>
      <c r="J268" s="14"/>
      <c r="K268" s="18"/>
    </row>
    <row r="269" ht="221.25" customHeight="1">
      <c r="A269" s="19"/>
      <c r="C269" s="12"/>
      <c r="D269" s="87"/>
      <c r="F269" s="14"/>
      <c r="G269" s="14"/>
      <c r="H269" s="14"/>
      <c r="I269" s="14"/>
      <c r="J269" s="14"/>
      <c r="K269" s="18"/>
    </row>
    <row r="270" ht="19.5" customHeight="1">
      <c r="A270" s="19"/>
      <c r="C270" s="12"/>
      <c r="D270" s="87"/>
      <c r="F270" s="14"/>
      <c r="G270" s="14"/>
      <c r="H270" s="14"/>
      <c r="I270" s="14"/>
      <c r="J270" s="14"/>
      <c r="K270" s="18"/>
    </row>
    <row r="271" ht="19.5" customHeight="1">
      <c r="A271" s="20" t="s">
        <v>170</v>
      </c>
      <c r="K271" s="21"/>
    </row>
    <row r="272" ht="19.5" customHeight="1">
      <c r="A272" s="22" t="s">
        <v>331</v>
      </c>
      <c r="K272" s="21"/>
    </row>
    <row r="273" ht="19.5" customHeight="1">
      <c r="A273" s="88" t="s">
        <v>90</v>
      </c>
      <c r="B273" s="24"/>
      <c r="C273" s="24"/>
      <c r="D273" s="24"/>
      <c r="E273" s="24"/>
      <c r="F273" s="24"/>
      <c r="G273" s="24"/>
      <c r="H273" s="24"/>
      <c r="I273" s="24"/>
      <c r="J273" s="24"/>
      <c r="K273" s="25"/>
    </row>
    <row r="274" ht="19.5" customHeight="1">
      <c r="A274" s="26" t="s">
        <v>1</v>
      </c>
      <c r="B274" s="26" t="s">
        <v>91</v>
      </c>
      <c r="C274" s="26" t="s">
        <v>92</v>
      </c>
      <c r="D274" s="31" t="s">
        <v>93</v>
      </c>
      <c r="E274" s="27" t="s">
        <v>94</v>
      </c>
      <c r="F274" s="28"/>
      <c r="G274" s="29"/>
      <c r="H274" s="30"/>
      <c r="I274" s="30"/>
      <c r="J274" s="31" t="s">
        <v>95</v>
      </c>
      <c r="K274" s="26" t="s">
        <v>96</v>
      </c>
    </row>
    <row r="275" ht="19.5" customHeight="1">
      <c r="A275" s="32"/>
      <c r="B275" s="32"/>
      <c r="C275" s="32"/>
      <c r="D275" s="32"/>
      <c r="E275" s="33" t="s">
        <v>97</v>
      </c>
      <c r="F275" s="34" t="s">
        <v>121</v>
      </c>
      <c r="G275" s="34" t="s">
        <v>99</v>
      </c>
      <c r="H275" s="35" t="s">
        <v>100</v>
      </c>
      <c r="I275" s="35" t="s">
        <v>101</v>
      </c>
      <c r="J275" s="32"/>
      <c r="K275" s="32"/>
    </row>
    <row r="276" ht="19.5" customHeight="1">
      <c r="A276" s="46">
        <v>1.0</v>
      </c>
      <c r="B276" s="37" t="s">
        <v>147</v>
      </c>
      <c r="C276" s="46" t="s">
        <v>148</v>
      </c>
      <c r="D276" s="78">
        <v>78.0</v>
      </c>
      <c r="E276" s="37">
        <v>1.2</v>
      </c>
      <c r="F276" s="40">
        <v>0.9</v>
      </c>
      <c r="G276" s="40">
        <v>0.9</v>
      </c>
      <c r="H276" s="40">
        <f>G276*F276*E276*D276</f>
        <v>75.816</v>
      </c>
      <c r="I276" s="42"/>
      <c r="J276" s="43">
        <f>H276-I276</f>
        <v>75.816</v>
      </c>
      <c r="K276" s="46"/>
    </row>
    <row r="277" ht="19.5" customHeight="1">
      <c r="A277" s="74" t="s">
        <v>1</v>
      </c>
      <c r="B277" s="74" t="s">
        <v>91</v>
      </c>
      <c r="C277" s="74" t="s">
        <v>92</v>
      </c>
      <c r="D277" s="76" t="s">
        <v>93</v>
      </c>
      <c r="E277" s="50" t="s">
        <v>97</v>
      </c>
      <c r="F277" s="53" t="s">
        <v>121</v>
      </c>
      <c r="G277" s="53" t="s">
        <v>99</v>
      </c>
      <c r="H277" s="75" t="s">
        <v>100</v>
      </c>
      <c r="I277" s="75" t="s">
        <v>101</v>
      </c>
      <c r="J277" s="76" t="s">
        <v>95</v>
      </c>
      <c r="K277" s="74" t="s">
        <v>96</v>
      </c>
    </row>
    <row r="278" ht="19.5" customHeight="1">
      <c r="A278" s="46">
        <v>1.0</v>
      </c>
      <c r="B278" s="37" t="s">
        <v>150</v>
      </c>
      <c r="C278" s="46" t="s">
        <v>148</v>
      </c>
      <c r="D278" s="78">
        <v>2.0</v>
      </c>
      <c r="E278" s="37"/>
      <c r="F278" s="40">
        <v>86.64</v>
      </c>
      <c r="G278" s="40">
        <v>11.1</v>
      </c>
      <c r="H278" s="40">
        <f>(G278+F278)*D278</f>
        <v>195.48</v>
      </c>
      <c r="I278" s="42"/>
      <c r="J278" s="64">
        <f>H278</f>
        <v>195.48</v>
      </c>
      <c r="K278" s="46"/>
    </row>
    <row r="279" ht="19.5" customHeight="1">
      <c r="A279" s="74" t="s">
        <v>1</v>
      </c>
      <c r="B279" s="74" t="s">
        <v>91</v>
      </c>
      <c r="C279" s="74" t="s">
        <v>92</v>
      </c>
      <c r="D279" s="76" t="s">
        <v>93</v>
      </c>
      <c r="E279" s="50" t="s">
        <v>97</v>
      </c>
      <c r="F279" s="53" t="s">
        <v>121</v>
      </c>
      <c r="G279" s="53" t="s">
        <v>99</v>
      </c>
      <c r="H279" s="75" t="s">
        <v>100</v>
      </c>
      <c r="I279" s="75" t="s">
        <v>101</v>
      </c>
      <c r="J279" s="76" t="s">
        <v>95</v>
      </c>
      <c r="K279" s="74" t="s">
        <v>96</v>
      </c>
    </row>
    <row r="280" ht="19.5" customHeight="1">
      <c r="A280" s="46">
        <v>1.0</v>
      </c>
      <c r="B280" s="37" t="s">
        <v>332</v>
      </c>
      <c r="C280" s="46" t="s">
        <v>148</v>
      </c>
      <c r="D280" s="78">
        <v>78.0</v>
      </c>
      <c r="E280" s="37"/>
      <c r="F280" s="40">
        <v>0.9</v>
      </c>
      <c r="G280" s="40">
        <v>0.9</v>
      </c>
      <c r="H280" s="40">
        <f>G280*F280*D280</f>
        <v>63.18</v>
      </c>
      <c r="I280" s="42"/>
      <c r="J280" s="64">
        <f>H280</f>
        <v>63.18</v>
      </c>
      <c r="K280" s="46"/>
    </row>
    <row r="281" ht="19.5" customHeight="1">
      <c r="A281" s="74" t="s">
        <v>1</v>
      </c>
      <c r="B281" s="74" t="s">
        <v>91</v>
      </c>
      <c r="C281" s="74" t="s">
        <v>92</v>
      </c>
      <c r="D281" s="76" t="s">
        <v>93</v>
      </c>
      <c r="E281" s="50" t="s">
        <v>97</v>
      </c>
      <c r="F281" s="53" t="s">
        <v>121</v>
      </c>
      <c r="G281" s="53" t="s">
        <v>99</v>
      </c>
      <c r="H281" s="75">
        <v>8.0</v>
      </c>
      <c r="I281" s="75" t="s">
        <v>101</v>
      </c>
      <c r="J281" s="76" t="s">
        <v>95</v>
      </c>
      <c r="K281" s="74" t="s">
        <v>96</v>
      </c>
    </row>
    <row r="282" ht="19.5" customHeight="1">
      <c r="A282" s="46">
        <v>1.0</v>
      </c>
      <c r="B282" s="37" t="s">
        <v>333</v>
      </c>
      <c r="C282" s="46" t="s">
        <v>148</v>
      </c>
      <c r="D282" s="78">
        <v>78.0</v>
      </c>
      <c r="E282" s="37">
        <v>0.05</v>
      </c>
      <c r="F282" s="40">
        <v>0.9</v>
      </c>
      <c r="G282" s="40">
        <v>0.9</v>
      </c>
      <c r="H282" s="40">
        <f>G282*F282*E282*D282</f>
        <v>3.159</v>
      </c>
      <c r="I282" s="42"/>
      <c r="J282" s="64">
        <f>H282</f>
        <v>3.159</v>
      </c>
      <c r="K282" s="46"/>
    </row>
    <row r="283" ht="19.5" customHeight="1">
      <c r="A283" s="74" t="s">
        <v>1</v>
      </c>
      <c r="B283" s="74" t="s">
        <v>91</v>
      </c>
      <c r="C283" s="74" t="s">
        <v>92</v>
      </c>
      <c r="D283" s="76" t="s">
        <v>93</v>
      </c>
      <c r="E283" s="50" t="s">
        <v>97</v>
      </c>
      <c r="F283" s="53" t="s">
        <v>121</v>
      </c>
      <c r="G283" s="53" t="s">
        <v>99</v>
      </c>
      <c r="H283" s="75" t="s">
        <v>100</v>
      </c>
      <c r="I283" s="75" t="s">
        <v>101</v>
      </c>
      <c r="J283" s="76" t="s">
        <v>95</v>
      </c>
      <c r="K283" s="74" t="s">
        <v>96</v>
      </c>
    </row>
    <row r="284" ht="19.5" customHeight="1">
      <c r="A284" s="46">
        <v>1.0</v>
      </c>
      <c r="B284" s="37" t="s">
        <v>334</v>
      </c>
      <c r="C284" s="46" t="s">
        <v>148</v>
      </c>
      <c r="D284" s="78">
        <v>78.0</v>
      </c>
      <c r="E284" s="37">
        <v>0.7</v>
      </c>
      <c r="F284" s="40">
        <v>0.25</v>
      </c>
      <c r="G284" s="40">
        <v>0.3</v>
      </c>
      <c r="H284" s="40">
        <f>G284*F284*E284*D284</f>
        <v>4.095</v>
      </c>
      <c r="I284" s="42"/>
      <c r="J284" s="43">
        <f>H284-I284</f>
        <v>4.095</v>
      </c>
      <c r="K284" s="46"/>
    </row>
    <row r="285" ht="19.5" customHeight="1">
      <c r="A285" s="74" t="s">
        <v>1</v>
      </c>
      <c r="B285" s="74" t="s">
        <v>91</v>
      </c>
      <c r="C285" s="74" t="s">
        <v>92</v>
      </c>
      <c r="D285" s="76" t="s">
        <v>93</v>
      </c>
      <c r="E285" s="50" t="s">
        <v>97</v>
      </c>
      <c r="F285" s="53" t="s">
        <v>121</v>
      </c>
      <c r="G285" s="53" t="s">
        <v>99</v>
      </c>
      <c r="H285" s="75" t="s">
        <v>100</v>
      </c>
      <c r="I285" s="75" t="s">
        <v>101</v>
      </c>
      <c r="J285" s="76" t="s">
        <v>95</v>
      </c>
      <c r="K285" s="74" t="s">
        <v>96</v>
      </c>
    </row>
    <row r="286" ht="19.5" customHeight="1">
      <c r="A286" s="46">
        <v>1.0</v>
      </c>
      <c r="B286" s="37" t="s">
        <v>335</v>
      </c>
      <c r="C286" s="46" t="s">
        <v>148</v>
      </c>
      <c r="D286" s="78">
        <v>40.0</v>
      </c>
      <c r="E286" s="37">
        <v>5.0</v>
      </c>
      <c r="F286" s="40">
        <v>0.25</v>
      </c>
      <c r="G286" s="40">
        <v>0.3</v>
      </c>
      <c r="H286" s="40">
        <f t="shared" ref="H286:H287" si="41">G286*F286*E286*D286</f>
        <v>15</v>
      </c>
      <c r="I286" s="42"/>
      <c r="J286" s="43"/>
      <c r="K286" s="46"/>
    </row>
    <row r="287" ht="19.5" customHeight="1">
      <c r="A287" s="46">
        <v>2.0</v>
      </c>
      <c r="B287" s="37" t="s">
        <v>335</v>
      </c>
      <c r="C287" s="46" t="s">
        <v>336</v>
      </c>
      <c r="D287" s="78">
        <v>38.0</v>
      </c>
      <c r="E287" s="37">
        <v>3.0</v>
      </c>
      <c r="F287" s="40">
        <v>0.25</v>
      </c>
      <c r="G287" s="40">
        <v>0.3</v>
      </c>
      <c r="H287" s="40">
        <f t="shared" si="41"/>
        <v>8.55</v>
      </c>
      <c r="I287" s="42"/>
      <c r="J287" s="96">
        <f>SUM(H286:H287)</f>
        <v>23.55</v>
      </c>
      <c r="K287" s="79"/>
    </row>
    <row r="288" ht="19.5" customHeight="1">
      <c r="A288" s="74" t="s">
        <v>1</v>
      </c>
      <c r="B288" s="74" t="s">
        <v>91</v>
      </c>
      <c r="C288" s="74" t="s">
        <v>92</v>
      </c>
      <c r="D288" s="76" t="s">
        <v>93</v>
      </c>
      <c r="E288" s="50" t="s">
        <v>97</v>
      </c>
      <c r="F288" s="53" t="s">
        <v>121</v>
      </c>
      <c r="G288" s="53" t="s">
        <v>99</v>
      </c>
      <c r="H288" s="75" t="s">
        <v>100</v>
      </c>
      <c r="I288" s="75" t="s">
        <v>101</v>
      </c>
      <c r="J288" s="76" t="s">
        <v>95</v>
      </c>
      <c r="K288" s="74" t="s">
        <v>96</v>
      </c>
    </row>
    <row r="289" ht="19.5" customHeight="1">
      <c r="A289" s="46">
        <v>1.0</v>
      </c>
      <c r="B289" s="37" t="s">
        <v>337</v>
      </c>
      <c r="C289" s="46" t="s">
        <v>148</v>
      </c>
      <c r="D289" s="78">
        <v>78.0</v>
      </c>
      <c r="E289" s="37">
        <v>0.25</v>
      </c>
      <c r="F289" s="40">
        <v>0.9</v>
      </c>
      <c r="G289" s="40">
        <v>0.9</v>
      </c>
      <c r="H289" s="40">
        <f>G289*F289*E289*D289</f>
        <v>15.795</v>
      </c>
      <c r="I289" s="42"/>
      <c r="J289" s="40"/>
      <c r="K289" s="46"/>
    </row>
    <row r="290" ht="19.5" customHeight="1">
      <c r="A290" s="46">
        <v>2.0</v>
      </c>
      <c r="B290" s="37" t="s">
        <v>337</v>
      </c>
      <c r="C290" s="46" t="s">
        <v>148</v>
      </c>
      <c r="D290" s="78"/>
      <c r="E290" s="37"/>
      <c r="F290" s="40"/>
      <c r="G290" s="40"/>
      <c r="H290" s="40"/>
      <c r="I290" s="42"/>
      <c r="J290" s="43">
        <f>SUM(H289:H290)</f>
        <v>15.795</v>
      </c>
      <c r="K290" s="79"/>
    </row>
    <row r="291" ht="19.5" customHeight="1">
      <c r="A291" s="74" t="s">
        <v>1</v>
      </c>
      <c r="B291" s="74" t="s">
        <v>91</v>
      </c>
      <c r="C291" s="74" t="s">
        <v>92</v>
      </c>
      <c r="D291" s="76" t="s">
        <v>93</v>
      </c>
      <c r="E291" s="50" t="s">
        <v>97</v>
      </c>
      <c r="F291" s="53" t="s">
        <v>121</v>
      </c>
      <c r="G291" s="53" t="s">
        <v>99</v>
      </c>
      <c r="H291" s="75" t="s">
        <v>100</v>
      </c>
      <c r="I291" s="75" t="s">
        <v>101</v>
      </c>
      <c r="J291" s="76" t="s">
        <v>95</v>
      </c>
      <c r="K291" s="74" t="s">
        <v>96</v>
      </c>
    </row>
    <row r="292" ht="19.5" customHeight="1">
      <c r="A292" s="46">
        <v>1.0</v>
      </c>
      <c r="B292" s="37" t="s">
        <v>338</v>
      </c>
      <c r="C292" s="46" t="s">
        <v>148</v>
      </c>
      <c r="D292" s="78">
        <v>4.0</v>
      </c>
      <c r="E292" s="37">
        <v>0.3</v>
      </c>
      <c r="F292" s="78">
        <v>84.64</v>
      </c>
      <c r="G292" s="40">
        <v>0.14</v>
      </c>
      <c r="H292" s="40">
        <f t="shared" ref="H292:H298" si="42">G292*F292*E292*D292</f>
        <v>14.21952</v>
      </c>
      <c r="I292" s="42"/>
      <c r="J292" s="40"/>
      <c r="K292" s="46"/>
    </row>
    <row r="293" ht="19.5" customHeight="1">
      <c r="A293" s="46">
        <v>2.0</v>
      </c>
      <c r="B293" s="37" t="s">
        <v>338</v>
      </c>
      <c r="C293" s="46" t="s">
        <v>148</v>
      </c>
      <c r="D293" s="78">
        <v>16.0</v>
      </c>
      <c r="E293" s="37">
        <v>0.3</v>
      </c>
      <c r="F293" s="78">
        <v>11.1</v>
      </c>
      <c r="G293" s="40">
        <v>0.14</v>
      </c>
      <c r="H293" s="40">
        <f t="shared" si="42"/>
        <v>7.4592</v>
      </c>
      <c r="I293" s="42"/>
      <c r="J293" s="107"/>
      <c r="K293" s="46"/>
    </row>
    <row r="294" ht="19.5" customHeight="1">
      <c r="A294" s="46">
        <v>3.0</v>
      </c>
      <c r="B294" s="37" t="s">
        <v>338</v>
      </c>
      <c r="C294" s="46" t="s">
        <v>148</v>
      </c>
      <c r="D294" s="78">
        <v>1.0</v>
      </c>
      <c r="E294" s="37">
        <v>0.3</v>
      </c>
      <c r="F294" s="78">
        <v>1.2</v>
      </c>
      <c r="G294" s="40">
        <v>0.14</v>
      </c>
      <c r="H294" s="40">
        <f t="shared" si="42"/>
        <v>0.0504</v>
      </c>
      <c r="I294" s="42"/>
      <c r="J294" s="107"/>
      <c r="K294" s="79"/>
    </row>
    <row r="295" ht="19.5" customHeight="1">
      <c r="A295" s="46">
        <v>4.0</v>
      </c>
      <c r="B295" s="37" t="s">
        <v>338</v>
      </c>
      <c r="C295" s="46" t="s">
        <v>148</v>
      </c>
      <c r="D295" s="78">
        <v>1.0</v>
      </c>
      <c r="E295" s="37">
        <v>0.3</v>
      </c>
      <c r="F295" s="78">
        <v>1.4</v>
      </c>
      <c r="G295" s="40">
        <v>0.14</v>
      </c>
      <c r="H295" s="40">
        <f t="shared" si="42"/>
        <v>0.0588</v>
      </c>
      <c r="I295" s="42"/>
      <c r="J295" s="107"/>
      <c r="K295" s="79"/>
    </row>
    <row r="296" ht="19.5" customHeight="1">
      <c r="A296" s="46">
        <v>5.0</v>
      </c>
      <c r="B296" s="37" t="s">
        <v>338</v>
      </c>
      <c r="C296" s="46" t="s">
        <v>148</v>
      </c>
      <c r="D296" s="78">
        <v>1.0</v>
      </c>
      <c r="E296" s="37">
        <v>0.3</v>
      </c>
      <c r="F296" s="78">
        <v>5.5</v>
      </c>
      <c r="G296" s="40">
        <v>0.14</v>
      </c>
      <c r="H296" s="40">
        <f t="shared" si="42"/>
        <v>0.231</v>
      </c>
      <c r="I296" s="42"/>
      <c r="J296" s="107"/>
      <c r="K296" s="79"/>
    </row>
    <row r="297" ht="19.5" customHeight="1">
      <c r="A297" s="46">
        <v>6.0</v>
      </c>
      <c r="B297" s="37" t="s">
        <v>338</v>
      </c>
      <c r="C297" s="46" t="s">
        <v>148</v>
      </c>
      <c r="D297" s="78">
        <v>1.0</v>
      </c>
      <c r="E297" s="37">
        <v>0.3</v>
      </c>
      <c r="F297" s="78">
        <v>7.0</v>
      </c>
      <c r="G297" s="40">
        <v>0.14</v>
      </c>
      <c r="H297" s="40">
        <f t="shared" si="42"/>
        <v>0.294</v>
      </c>
      <c r="I297" s="42"/>
      <c r="J297" s="107"/>
      <c r="K297" s="79"/>
    </row>
    <row r="298" ht="19.5" customHeight="1">
      <c r="A298" s="46">
        <v>7.0</v>
      </c>
      <c r="B298" s="37" t="s">
        <v>338</v>
      </c>
      <c r="C298" s="46" t="s">
        <v>148</v>
      </c>
      <c r="D298" s="78">
        <v>2.0</v>
      </c>
      <c r="E298" s="37">
        <v>0.3</v>
      </c>
      <c r="F298" s="78">
        <v>2.5</v>
      </c>
      <c r="G298" s="40">
        <v>0.14</v>
      </c>
      <c r="H298" s="40">
        <f t="shared" si="42"/>
        <v>0.21</v>
      </c>
      <c r="I298" s="42"/>
      <c r="J298" s="43">
        <f>SUM(H292:H298)</f>
        <v>22.52292</v>
      </c>
      <c r="K298" s="79"/>
    </row>
    <row r="299" ht="19.5" customHeight="1">
      <c r="A299" s="74" t="s">
        <v>1</v>
      </c>
      <c r="B299" s="74" t="s">
        <v>91</v>
      </c>
      <c r="C299" s="74" t="s">
        <v>92</v>
      </c>
      <c r="D299" s="76" t="s">
        <v>93</v>
      </c>
      <c r="E299" s="50" t="s">
        <v>97</v>
      </c>
      <c r="F299" s="53" t="s">
        <v>121</v>
      </c>
      <c r="G299" s="53" t="s">
        <v>99</v>
      </c>
      <c r="H299" s="75" t="s">
        <v>100</v>
      </c>
      <c r="I299" s="75" t="s">
        <v>101</v>
      </c>
      <c r="J299" s="76" t="s">
        <v>95</v>
      </c>
      <c r="K299" s="74" t="s">
        <v>96</v>
      </c>
    </row>
    <row r="300" ht="19.5" customHeight="1">
      <c r="A300" s="46">
        <v>1.0</v>
      </c>
      <c r="B300" s="37" t="s">
        <v>339</v>
      </c>
      <c r="C300" s="46" t="s">
        <v>148</v>
      </c>
      <c r="D300" s="78">
        <f>H276</f>
        <v>75.816</v>
      </c>
      <c r="E300" s="37"/>
      <c r="F300" s="78"/>
      <c r="G300" s="40"/>
      <c r="H300" s="40">
        <f>D300</f>
        <v>75.816</v>
      </c>
      <c r="I300" s="42"/>
      <c r="J300" s="43">
        <f>H300</f>
        <v>75.816</v>
      </c>
      <c r="K300" s="46"/>
    </row>
    <row r="301" ht="19.5" customHeight="1">
      <c r="A301" s="46">
        <v>2.0</v>
      </c>
      <c r="B301" s="37" t="s">
        <v>340</v>
      </c>
      <c r="C301" s="46" t="s">
        <v>148</v>
      </c>
      <c r="D301" s="78">
        <v>1.0</v>
      </c>
      <c r="E301" s="37">
        <v>0.3</v>
      </c>
      <c r="F301" s="78">
        <v>84.64</v>
      </c>
      <c r="G301" s="40">
        <v>11.15</v>
      </c>
      <c r="H301" s="40">
        <f>(G301*F301*E301)-H300</f>
        <v>207.3048</v>
      </c>
      <c r="I301" s="42"/>
      <c r="J301" s="43">
        <f>H301-J300</f>
        <v>131.4888</v>
      </c>
      <c r="K301" s="46" t="s">
        <v>341</v>
      </c>
    </row>
    <row r="302" ht="19.5" customHeight="1">
      <c r="A302" s="74" t="s">
        <v>1</v>
      </c>
      <c r="B302" s="74" t="s">
        <v>91</v>
      </c>
      <c r="C302" s="74" t="s">
        <v>92</v>
      </c>
      <c r="D302" s="76" t="s">
        <v>93</v>
      </c>
      <c r="E302" s="50" t="s">
        <v>97</v>
      </c>
      <c r="F302" s="53" t="s">
        <v>121</v>
      </c>
      <c r="G302" s="53" t="s">
        <v>99</v>
      </c>
      <c r="H302" s="75" t="s">
        <v>100</v>
      </c>
      <c r="I302" s="75" t="s">
        <v>101</v>
      </c>
      <c r="J302" s="76" t="s">
        <v>95</v>
      </c>
      <c r="K302" s="74" t="s">
        <v>96</v>
      </c>
    </row>
    <row r="303" ht="19.5" customHeight="1">
      <c r="A303" s="46">
        <v>1.0</v>
      </c>
      <c r="B303" s="37" t="s">
        <v>172</v>
      </c>
      <c r="C303" s="46" t="s">
        <v>148</v>
      </c>
      <c r="D303" s="78">
        <v>1.0</v>
      </c>
      <c r="E303" s="37">
        <v>0.05</v>
      </c>
      <c r="F303" s="78">
        <v>84.64</v>
      </c>
      <c r="G303" s="40">
        <v>11.1</v>
      </c>
      <c r="H303" s="40">
        <f>G303*F303*E303*D303</f>
        <v>46.9752</v>
      </c>
      <c r="I303" s="42"/>
      <c r="J303" s="43">
        <f t="shared" ref="J303:J305" si="43">H303</f>
        <v>46.9752</v>
      </c>
      <c r="K303" s="46"/>
    </row>
    <row r="304" ht="19.5" customHeight="1">
      <c r="A304" s="46">
        <v>2.0</v>
      </c>
      <c r="B304" s="37" t="s">
        <v>342</v>
      </c>
      <c r="C304" s="46" t="s">
        <v>103</v>
      </c>
      <c r="D304" s="78">
        <v>1.0</v>
      </c>
      <c r="E304" s="37">
        <v>0.05</v>
      </c>
      <c r="F304" s="78">
        <v>84.64</v>
      </c>
      <c r="G304" s="40">
        <v>11.1</v>
      </c>
      <c r="H304" s="40">
        <f>G304*F304</f>
        <v>939.504</v>
      </c>
      <c r="I304" s="42"/>
      <c r="J304" s="43">
        <f t="shared" si="43"/>
        <v>939.504</v>
      </c>
      <c r="K304" s="46"/>
    </row>
    <row r="305" ht="19.5" customHeight="1">
      <c r="A305" s="46">
        <v>3.0</v>
      </c>
      <c r="B305" s="37" t="s">
        <v>343</v>
      </c>
      <c r="C305" s="46" t="s">
        <v>103</v>
      </c>
      <c r="D305" s="78">
        <v>1.0</v>
      </c>
      <c r="E305" s="37">
        <v>1.0</v>
      </c>
      <c r="F305" s="78">
        <v>84.64</v>
      </c>
      <c r="G305" s="40">
        <v>11.1</v>
      </c>
      <c r="H305" s="40">
        <f>G305*F305*E305</f>
        <v>939.504</v>
      </c>
      <c r="I305" s="42"/>
      <c r="J305" s="43">
        <f t="shared" si="43"/>
        <v>939.504</v>
      </c>
      <c r="K305" s="46" t="s">
        <v>344</v>
      </c>
    </row>
    <row r="306" ht="19.5" customHeight="1">
      <c r="A306" s="74" t="s">
        <v>1</v>
      </c>
      <c r="B306" s="74" t="s">
        <v>91</v>
      </c>
      <c r="C306" s="74" t="s">
        <v>92</v>
      </c>
      <c r="D306" s="76" t="s">
        <v>93</v>
      </c>
      <c r="E306" s="50" t="s">
        <v>97</v>
      </c>
      <c r="F306" s="53" t="s">
        <v>121</v>
      </c>
      <c r="G306" s="53" t="s">
        <v>99</v>
      </c>
      <c r="H306" s="75" t="s">
        <v>100</v>
      </c>
      <c r="I306" s="75" t="s">
        <v>101</v>
      </c>
      <c r="J306" s="76" t="s">
        <v>95</v>
      </c>
      <c r="K306" s="74" t="s">
        <v>96</v>
      </c>
    </row>
    <row r="307" ht="19.5" customHeight="1">
      <c r="A307" s="46">
        <v>1.0</v>
      </c>
      <c r="B307" s="37" t="s">
        <v>345</v>
      </c>
      <c r="C307" s="46" t="s">
        <v>148</v>
      </c>
      <c r="D307" s="78">
        <v>4.0</v>
      </c>
      <c r="E307" s="37">
        <v>0.3</v>
      </c>
      <c r="F307" s="78">
        <v>84.64</v>
      </c>
      <c r="G307" s="40">
        <v>0.14</v>
      </c>
      <c r="H307" s="40">
        <f t="shared" ref="H307:H313" si="44">G307*F307*E307*D307</f>
        <v>14.21952</v>
      </c>
      <c r="I307" s="42"/>
      <c r="J307" s="40"/>
      <c r="K307" s="46"/>
    </row>
    <row r="308" ht="19.5" customHeight="1">
      <c r="A308" s="46">
        <v>2.0</v>
      </c>
      <c r="B308" s="37" t="s">
        <v>345</v>
      </c>
      <c r="C308" s="46" t="s">
        <v>148</v>
      </c>
      <c r="D308" s="78">
        <v>16.0</v>
      </c>
      <c r="E308" s="37">
        <v>0.3</v>
      </c>
      <c r="F308" s="78">
        <v>11.1</v>
      </c>
      <c r="G308" s="40">
        <v>0.14</v>
      </c>
      <c r="H308" s="40">
        <f t="shared" si="44"/>
        <v>7.4592</v>
      </c>
      <c r="I308" s="42"/>
      <c r="J308" s="107"/>
      <c r="K308" s="46"/>
    </row>
    <row r="309" ht="19.5" customHeight="1">
      <c r="A309" s="46">
        <v>2.0</v>
      </c>
      <c r="B309" s="37" t="s">
        <v>345</v>
      </c>
      <c r="C309" s="46" t="s">
        <v>148</v>
      </c>
      <c r="D309" s="78">
        <v>1.0</v>
      </c>
      <c r="E309" s="37">
        <v>0.3</v>
      </c>
      <c r="F309" s="78">
        <v>1.2</v>
      </c>
      <c r="G309" s="40">
        <v>0.14</v>
      </c>
      <c r="H309" s="40">
        <f t="shared" si="44"/>
        <v>0.0504</v>
      </c>
      <c r="I309" s="42"/>
      <c r="J309" s="107"/>
      <c r="K309" s="79"/>
    </row>
    <row r="310" ht="19.5" customHeight="1">
      <c r="A310" s="46">
        <v>4.0</v>
      </c>
      <c r="B310" s="37" t="s">
        <v>345</v>
      </c>
      <c r="C310" s="46" t="s">
        <v>148</v>
      </c>
      <c r="D310" s="78">
        <v>1.0</v>
      </c>
      <c r="E310" s="37">
        <v>0.3</v>
      </c>
      <c r="F310" s="78">
        <v>1.4</v>
      </c>
      <c r="G310" s="40">
        <v>0.14</v>
      </c>
      <c r="H310" s="40">
        <f t="shared" si="44"/>
        <v>0.0588</v>
      </c>
      <c r="I310" s="42"/>
      <c r="J310" s="107"/>
      <c r="K310" s="79"/>
    </row>
    <row r="311" ht="19.5" customHeight="1">
      <c r="A311" s="46">
        <v>5.0</v>
      </c>
      <c r="B311" s="37" t="s">
        <v>345</v>
      </c>
      <c r="C311" s="46" t="s">
        <v>148</v>
      </c>
      <c r="D311" s="78">
        <v>1.0</v>
      </c>
      <c r="E311" s="37">
        <v>0.3</v>
      </c>
      <c r="F311" s="78">
        <v>5.5</v>
      </c>
      <c r="G311" s="40">
        <v>0.14</v>
      </c>
      <c r="H311" s="40">
        <f t="shared" si="44"/>
        <v>0.231</v>
      </c>
      <c r="I311" s="42"/>
      <c r="J311" s="107"/>
      <c r="K311" s="79"/>
    </row>
    <row r="312" ht="19.5" customHeight="1">
      <c r="A312" s="46">
        <v>6.0</v>
      </c>
      <c r="B312" s="37" t="s">
        <v>345</v>
      </c>
      <c r="C312" s="46" t="s">
        <v>148</v>
      </c>
      <c r="D312" s="78">
        <v>1.0</v>
      </c>
      <c r="E312" s="37">
        <v>0.3</v>
      </c>
      <c r="F312" s="78">
        <v>7.0</v>
      </c>
      <c r="G312" s="40">
        <v>0.14</v>
      </c>
      <c r="H312" s="40">
        <f t="shared" si="44"/>
        <v>0.294</v>
      </c>
      <c r="I312" s="42"/>
      <c r="J312" s="107"/>
      <c r="K312" s="79"/>
    </row>
    <row r="313" ht="19.5" customHeight="1">
      <c r="A313" s="46">
        <v>7.0</v>
      </c>
      <c r="B313" s="37" t="s">
        <v>345</v>
      </c>
      <c r="C313" s="46" t="s">
        <v>148</v>
      </c>
      <c r="D313" s="78">
        <v>2.0</v>
      </c>
      <c r="E313" s="37">
        <v>0.3</v>
      </c>
      <c r="F313" s="78">
        <v>2.5</v>
      </c>
      <c r="G313" s="40">
        <v>0.14</v>
      </c>
      <c r="H313" s="40">
        <f t="shared" si="44"/>
        <v>0.21</v>
      </c>
      <c r="I313" s="42"/>
      <c r="J313" s="43">
        <f>SUM(H307:H313)</f>
        <v>22.52292</v>
      </c>
      <c r="K313" s="79"/>
    </row>
    <row r="314" ht="19.5" customHeight="1">
      <c r="A314" s="74" t="s">
        <v>1</v>
      </c>
      <c r="B314" s="74" t="s">
        <v>91</v>
      </c>
      <c r="C314" s="74" t="s">
        <v>92</v>
      </c>
      <c r="D314" s="76" t="s">
        <v>93</v>
      </c>
      <c r="E314" s="50" t="s">
        <v>97</v>
      </c>
      <c r="F314" s="53" t="s">
        <v>121</v>
      </c>
      <c r="G314" s="53" t="s">
        <v>99</v>
      </c>
      <c r="H314" s="75" t="s">
        <v>100</v>
      </c>
      <c r="I314" s="75" t="s">
        <v>101</v>
      </c>
      <c r="J314" s="76" t="s">
        <v>95</v>
      </c>
      <c r="K314" s="74" t="s">
        <v>96</v>
      </c>
    </row>
    <row r="315" ht="19.5" customHeight="1">
      <c r="A315" s="46">
        <v>1.0</v>
      </c>
      <c r="B315" s="37" t="s">
        <v>346</v>
      </c>
      <c r="C315" s="46" t="s">
        <v>148</v>
      </c>
      <c r="D315" s="78">
        <v>4.0</v>
      </c>
      <c r="E315" s="37">
        <v>0.25</v>
      </c>
      <c r="F315" s="40">
        <v>84.64</v>
      </c>
      <c r="G315" s="40">
        <v>0.14</v>
      </c>
      <c r="H315" s="40">
        <f t="shared" ref="H315:H321" si="45">G315*F315*E315*D315</f>
        <v>11.8496</v>
      </c>
      <c r="I315" s="42"/>
      <c r="J315" s="40"/>
      <c r="K315" s="46"/>
    </row>
    <row r="316" ht="19.5" customHeight="1">
      <c r="A316" s="46">
        <v>2.0</v>
      </c>
      <c r="B316" s="37" t="s">
        <v>346</v>
      </c>
      <c r="C316" s="46" t="s">
        <v>148</v>
      </c>
      <c r="D316" s="78">
        <v>16.0</v>
      </c>
      <c r="E316" s="37">
        <v>0.25</v>
      </c>
      <c r="F316" s="40">
        <v>11.1</v>
      </c>
      <c r="G316" s="40">
        <v>0.14</v>
      </c>
      <c r="H316" s="40">
        <f t="shared" si="45"/>
        <v>6.216</v>
      </c>
      <c r="I316" s="42"/>
      <c r="J316" s="107"/>
      <c r="K316" s="46"/>
    </row>
    <row r="317" ht="19.5" customHeight="1">
      <c r="A317" s="46">
        <v>3.0</v>
      </c>
      <c r="B317" s="37" t="s">
        <v>346</v>
      </c>
      <c r="C317" s="46" t="s">
        <v>148</v>
      </c>
      <c r="D317" s="78">
        <v>1.0</v>
      </c>
      <c r="E317" s="37">
        <v>0.25</v>
      </c>
      <c r="F317" s="40">
        <v>1.2</v>
      </c>
      <c r="G317" s="40">
        <v>0.14</v>
      </c>
      <c r="H317" s="40">
        <f t="shared" si="45"/>
        <v>0.042</v>
      </c>
      <c r="I317" s="42"/>
      <c r="J317" s="107"/>
      <c r="K317" s="79"/>
    </row>
    <row r="318" ht="19.5" customHeight="1">
      <c r="A318" s="46">
        <v>4.0</v>
      </c>
      <c r="B318" s="37" t="s">
        <v>346</v>
      </c>
      <c r="C318" s="46" t="s">
        <v>148</v>
      </c>
      <c r="D318" s="78">
        <v>1.0</v>
      </c>
      <c r="E318" s="37">
        <v>0.25</v>
      </c>
      <c r="F318" s="40">
        <v>1.4</v>
      </c>
      <c r="G318" s="40">
        <v>0.14</v>
      </c>
      <c r="H318" s="40">
        <f t="shared" si="45"/>
        <v>0.049</v>
      </c>
      <c r="I318" s="42"/>
      <c r="J318" s="107"/>
      <c r="K318" s="79"/>
    </row>
    <row r="319" ht="19.5" customHeight="1">
      <c r="A319" s="46">
        <v>5.0</v>
      </c>
      <c r="B319" s="37" t="s">
        <v>346</v>
      </c>
      <c r="C319" s="46" t="s">
        <v>148</v>
      </c>
      <c r="D319" s="78">
        <v>1.0</v>
      </c>
      <c r="E319" s="37">
        <v>0.25</v>
      </c>
      <c r="F319" s="40">
        <v>5.5</v>
      </c>
      <c r="G319" s="40">
        <v>0.14</v>
      </c>
      <c r="H319" s="40">
        <f t="shared" si="45"/>
        <v>0.1925</v>
      </c>
      <c r="I319" s="42"/>
      <c r="J319" s="107"/>
      <c r="K319" s="79"/>
    </row>
    <row r="320" ht="19.5" customHeight="1">
      <c r="A320" s="46">
        <v>6.0</v>
      </c>
      <c r="B320" s="37" t="s">
        <v>346</v>
      </c>
      <c r="C320" s="46" t="s">
        <v>148</v>
      </c>
      <c r="D320" s="78">
        <v>1.0</v>
      </c>
      <c r="E320" s="37">
        <v>0.25</v>
      </c>
      <c r="F320" s="40">
        <v>7.0</v>
      </c>
      <c r="G320" s="40">
        <v>0.14</v>
      </c>
      <c r="H320" s="40">
        <f t="shared" si="45"/>
        <v>0.245</v>
      </c>
      <c r="I320" s="42"/>
      <c r="J320" s="107"/>
      <c r="K320" s="79"/>
    </row>
    <row r="321" ht="19.5" customHeight="1">
      <c r="A321" s="46">
        <v>7.0</v>
      </c>
      <c r="B321" s="37" t="s">
        <v>346</v>
      </c>
      <c r="C321" s="46" t="s">
        <v>148</v>
      </c>
      <c r="D321" s="78">
        <v>2.0</v>
      </c>
      <c r="E321" s="37">
        <v>0.25</v>
      </c>
      <c r="F321" s="40">
        <v>2.5</v>
      </c>
      <c r="G321" s="40">
        <v>0.14</v>
      </c>
      <c r="H321" s="40">
        <f t="shared" si="45"/>
        <v>0.175</v>
      </c>
      <c r="I321" s="42"/>
      <c r="J321" s="107"/>
      <c r="K321" s="79"/>
    </row>
    <row r="322" ht="19.5" customHeight="1">
      <c r="A322" s="46"/>
      <c r="B322" s="37"/>
      <c r="C322" s="46"/>
      <c r="D322" s="78"/>
      <c r="E322" s="37"/>
      <c r="F322" s="40"/>
      <c r="G322" s="40"/>
      <c r="H322" s="40"/>
      <c r="I322" s="42"/>
      <c r="J322" s="96">
        <f>SUM(H315:H322)</f>
        <v>18.7691</v>
      </c>
      <c r="K322" s="79"/>
    </row>
    <row r="323" ht="19.5" customHeight="1">
      <c r="A323" s="74" t="s">
        <v>1</v>
      </c>
      <c r="B323" s="74" t="s">
        <v>91</v>
      </c>
      <c r="C323" s="74" t="s">
        <v>92</v>
      </c>
      <c r="D323" s="76" t="s">
        <v>93</v>
      </c>
      <c r="E323" s="50" t="s">
        <v>97</v>
      </c>
      <c r="F323" s="53" t="s">
        <v>121</v>
      </c>
      <c r="G323" s="53" t="s">
        <v>99</v>
      </c>
      <c r="H323" s="75" t="s">
        <v>100</v>
      </c>
      <c r="I323" s="75" t="s">
        <v>101</v>
      </c>
      <c r="J323" s="76" t="s">
        <v>95</v>
      </c>
      <c r="K323" s="74" t="s">
        <v>96</v>
      </c>
    </row>
    <row r="324" ht="19.5" customHeight="1">
      <c r="A324" s="46">
        <v>1.0</v>
      </c>
      <c r="B324" s="37" t="s">
        <v>176</v>
      </c>
      <c r="C324" s="46" t="s">
        <v>103</v>
      </c>
      <c r="D324" s="78"/>
      <c r="E324" s="37"/>
      <c r="F324" s="40"/>
      <c r="G324" s="40"/>
      <c r="H324" s="40"/>
      <c r="I324" s="42"/>
      <c r="J324" s="43">
        <f>H324-I324</f>
        <v>0</v>
      </c>
      <c r="K324" s="47"/>
    </row>
    <row r="325" ht="19.5" customHeight="1">
      <c r="A325" s="74" t="s">
        <v>1</v>
      </c>
      <c r="B325" s="74" t="s">
        <v>91</v>
      </c>
      <c r="C325" s="74" t="s">
        <v>92</v>
      </c>
      <c r="D325" s="76" t="s">
        <v>93</v>
      </c>
      <c r="E325" s="50" t="s">
        <v>148</v>
      </c>
      <c r="F325" s="53" t="s">
        <v>347</v>
      </c>
      <c r="G325" s="53" t="s">
        <v>348</v>
      </c>
      <c r="H325" s="75" t="s">
        <v>100</v>
      </c>
      <c r="I325" s="75" t="s">
        <v>101</v>
      </c>
      <c r="J325" s="76" t="s">
        <v>95</v>
      </c>
      <c r="K325" s="74" t="s">
        <v>96</v>
      </c>
    </row>
    <row r="326" ht="19.5" customHeight="1">
      <c r="A326" s="46">
        <v>1.0</v>
      </c>
      <c r="B326" s="37" t="s">
        <v>349</v>
      </c>
      <c r="C326" s="46" t="s">
        <v>103</v>
      </c>
      <c r="D326" s="123">
        <v>1.0</v>
      </c>
      <c r="E326" s="40">
        <f>J290</f>
        <v>15.795</v>
      </c>
      <c r="F326" s="40">
        <v>10.0</v>
      </c>
      <c r="G326" s="40">
        <f t="shared" ref="G326:G328" si="46">E326/4</f>
        <v>3.94875</v>
      </c>
      <c r="H326" s="40">
        <f t="shared" ref="H326:H328" si="47">G326*F326</f>
        <v>39.4875</v>
      </c>
      <c r="I326" s="42"/>
      <c r="J326" s="107"/>
      <c r="K326" s="127" t="s">
        <v>350</v>
      </c>
    </row>
    <row r="327" ht="19.5" customHeight="1">
      <c r="A327" s="46">
        <v>2.0</v>
      </c>
      <c r="B327" s="37" t="s">
        <v>351</v>
      </c>
      <c r="C327" s="46" t="s">
        <v>103</v>
      </c>
      <c r="D327" s="128">
        <v>1.0</v>
      </c>
      <c r="E327" s="40">
        <f>J284+J298</f>
        <v>26.61792</v>
      </c>
      <c r="F327" s="40">
        <v>12.0</v>
      </c>
      <c r="G327" s="40">
        <f t="shared" si="46"/>
        <v>6.65448</v>
      </c>
      <c r="H327" s="59">
        <f t="shared" si="47"/>
        <v>79.85376</v>
      </c>
      <c r="I327" s="93"/>
      <c r="J327" s="107"/>
      <c r="K327" s="129"/>
    </row>
    <row r="328" ht="19.5" customHeight="1">
      <c r="A328" s="46">
        <v>3.0</v>
      </c>
      <c r="B328" s="37" t="s">
        <v>352</v>
      </c>
      <c r="C328" s="46" t="s">
        <v>103</v>
      </c>
      <c r="D328" s="128">
        <v>1.0</v>
      </c>
      <c r="E328" s="40">
        <f>J322+J286</f>
        <v>18.7691</v>
      </c>
      <c r="F328" s="40">
        <v>12.0</v>
      </c>
      <c r="G328" s="40">
        <f t="shared" si="46"/>
        <v>4.692275</v>
      </c>
      <c r="H328" s="59">
        <f t="shared" si="47"/>
        <v>56.3073</v>
      </c>
      <c r="I328" s="93"/>
      <c r="J328" s="107">
        <f>SUM(H326:H328)</f>
        <v>175.64856</v>
      </c>
      <c r="K328" s="130"/>
    </row>
    <row r="329" ht="19.5" customHeight="1">
      <c r="A329" s="74" t="s">
        <v>1</v>
      </c>
      <c r="B329" s="74" t="s">
        <v>91</v>
      </c>
      <c r="C329" s="74" t="s">
        <v>92</v>
      </c>
      <c r="D329" s="76" t="s">
        <v>93</v>
      </c>
      <c r="E329" s="50" t="s">
        <v>97</v>
      </c>
      <c r="F329" s="53" t="s">
        <v>121</v>
      </c>
      <c r="G329" s="53" t="s">
        <v>99</v>
      </c>
      <c r="H329" s="75" t="s">
        <v>100</v>
      </c>
      <c r="I329" s="75" t="s">
        <v>101</v>
      </c>
      <c r="J329" s="76" t="s">
        <v>95</v>
      </c>
      <c r="K329" s="74" t="s">
        <v>96</v>
      </c>
    </row>
    <row r="330" ht="19.5" customHeight="1">
      <c r="A330" s="46">
        <v>1.0</v>
      </c>
      <c r="B330" s="37" t="s">
        <v>177</v>
      </c>
      <c r="C330" s="46" t="s">
        <v>103</v>
      </c>
      <c r="D330" s="78">
        <v>2.0</v>
      </c>
      <c r="E330" s="37">
        <v>5.0</v>
      </c>
      <c r="F330" s="78">
        <v>84.64</v>
      </c>
      <c r="G330" s="40">
        <v>0.09</v>
      </c>
      <c r="H330" s="40">
        <f t="shared" ref="H330:H338" si="48">F330*E330*D330</f>
        <v>846.4</v>
      </c>
      <c r="I330" s="42">
        <v>80.0</v>
      </c>
      <c r="J330" s="40">
        <f t="shared" ref="J330:J338" si="49">H330-I330</f>
        <v>766.4</v>
      </c>
      <c r="K330" s="46"/>
    </row>
    <row r="331" ht="19.5" customHeight="1">
      <c r="A331" s="46">
        <v>2.0</v>
      </c>
      <c r="B331" s="37" t="s">
        <v>177</v>
      </c>
      <c r="C331" s="46" t="s">
        <v>103</v>
      </c>
      <c r="D331" s="78">
        <v>2.0</v>
      </c>
      <c r="E331" s="37">
        <v>4.0</v>
      </c>
      <c r="F331" s="78">
        <v>84.64</v>
      </c>
      <c r="G331" s="40">
        <v>0.09</v>
      </c>
      <c r="H331" s="40">
        <f t="shared" si="48"/>
        <v>677.12</v>
      </c>
      <c r="I331" s="42"/>
      <c r="J331" s="40">
        <f t="shared" si="49"/>
        <v>677.12</v>
      </c>
      <c r="K331" s="46"/>
    </row>
    <row r="332" ht="19.5" customHeight="1">
      <c r="A332" s="46">
        <v>3.0</v>
      </c>
      <c r="B332" s="37" t="s">
        <v>177</v>
      </c>
      <c r="C332" s="46" t="s">
        <v>103</v>
      </c>
      <c r="D332" s="78">
        <v>2.0</v>
      </c>
      <c r="E332" s="37">
        <v>5.0</v>
      </c>
      <c r="F332" s="78">
        <v>11.1</v>
      </c>
      <c r="G332" s="40">
        <v>0.09</v>
      </c>
      <c r="H332" s="40">
        <f t="shared" si="48"/>
        <v>111</v>
      </c>
      <c r="I332" s="42"/>
      <c r="J332" s="40">
        <f t="shared" si="49"/>
        <v>111</v>
      </c>
      <c r="K332" s="46"/>
    </row>
    <row r="333" ht="19.5" customHeight="1">
      <c r="A333" s="46">
        <v>4.0</v>
      </c>
      <c r="B333" s="37" t="s">
        <v>177</v>
      </c>
      <c r="C333" s="46" t="s">
        <v>103</v>
      </c>
      <c r="D333" s="78">
        <v>14.0</v>
      </c>
      <c r="E333" s="37">
        <v>4.0</v>
      </c>
      <c r="F333" s="78">
        <v>11.1</v>
      </c>
      <c r="G333" s="40">
        <v>0.09</v>
      </c>
      <c r="H333" s="40">
        <f t="shared" si="48"/>
        <v>621.6</v>
      </c>
      <c r="I333" s="42">
        <v>56.0</v>
      </c>
      <c r="J333" s="40">
        <f t="shared" si="49"/>
        <v>565.6</v>
      </c>
      <c r="K333" s="46"/>
    </row>
    <row r="334" ht="19.5" customHeight="1">
      <c r="A334" s="46">
        <v>5.0</v>
      </c>
      <c r="B334" s="37" t="s">
        <v>177</v>
      </c>
      <c r="C334" s="46" t="s">
        <v>103</v>
      </c>
      <c r="D334" s="78">
        <v>1.0</v>
      </c>
      <c r="E334" s="37">
        <v>0.8</v>
      </c>
      <c r="F334" s="40">
        <v>1.2</v>
      </c>
      <c r="G334" s="40">
        <v>0.09</v>
      </c>
      <c r="H334" s="40">
        <f t="shared" si="48"/>
        <v>0.96</v>
      </c>
      <c r="I334" s="42"/>
      <c r="J334" s="40">
        <f t="shared" si="49"/>
        <v>0.96</v>
      </c>
      <c r="K334" s="46"/>
    </row>
    <row r="335" ht="19.5" customHeight="1">
      <c r="A335" s="46">
        <v>6.0</v>
      </c>
      <c r="B335" s="37" t="s">
        <v>177</v>
      </c>
      <c r="C335" s="46" t="s">
        <v>103</v>
      </c>
      <c r="D335" s="78">
        <v>1.0</v>
      </c>
      <c r="E335" s="37">
        <v>0.8</v>
      </c>
      <c r="F335" s="40">
        <v>1.4</v>
      </c>
      <c r="G335" s="40">
        <v>0.09</v>
      </c>
      <c r="H335" s="40">
        <f t="shared" si="48"/>
        <v>1.12</v>
      </c>
      <c r="I335" s="42"/>
      <c r="J335" s="40">
        <f t="shared" si="49"/>
        <v>1.12</v>
      </c>
      <c r="K335" s="46"/>
    </row>
    <row r="336" ht="19.5" customHeight="1">
      <c r="A336" s="46">
        <v>7.0</v>
      </c>
      <c r="B336" s="37" t="s">
        <v>177</v>
      </c>
      <c r="C336" s="46" t="s">
        <v>103</v>
      </c>
      <c r="D336" s="78">
        <v>1.0</v>
      </c>
      <c r="E336" s="37">
        <v>3.0</v>
      </c>
      <c r="F336" s="78">
        <v>5.5</v>
      </c>
      <c r="G336" s="40">
        <v>0.09</v>
      </c>
      <c r="H336" s="40">
        <f t="shared" si="48"/>
        <v>16.5</v>
      </c>
      <c r="I336" s="42"/>
      <c r="J336" s="40">
        <f t="shared" si="49"/>
        <v>16.5</v>
      </c>
      <c r="K336" s="46"/>
    </row>
    <row r="337" ht="19.5" customHeight="1">
      <c r="A337" s="46">
        <v>8.0</v>
      </c>
      <c r="B337" s="37" t="s">
        <v>177</v>
      </c>
      <c r="C337" s="79" t="s">
        <v>103</v>
      </c>
      <c r="D337" s="92">
        <v>1.0</v>
      </c>
      <c r="E337" s="37">
        <v>3.0</v>
      </c>
      <c r="F337" s="78">
        <v>7.0</v>
      </c>
      <c r="G337" s="40">
        <v>0.09</v>
      </c>
      <c r="H337" s="40">
        <f t="shared" si="48"/>
        <v>21</v>
      </c>
      <c r="I337" s="93"/>
      <c r="J337" s="40">
        <f t="shared" si="49"/>
        <v>21</v>
      </c>
      <c r="K337" s="79"/>
    </row>
    <row r="338" ht="19.5" customHeight="1">
      <c r="A338" s="46">
        <v>9.0</v>
      </c>
      <c r="B338" s="37" t="s">
        <v>177</v>
      </c>
      <c r="C338" s="79" t="s">
        <v>103</v>
      </c>
      <c r="D338" s="92">
        <v>2.0</v>
      </c>
      <c r="E338" s="37">
        <v>3.0</v>
      </c>
      <c r="F338" s="78">
        <v>2.5</v>
      </c>
      <c r="G338" s="40">
        <v>0.09</v>
      </c>
      <c r="H338" s="40">
        <f t="shared" si="48"/>
        <v>15</v>
      </c>
      <c r="I338" s="93"/>
      <c r="J338" s="40">
        <f t="shared" si="49"/>
        <v>15</v>
      </c>
      <c r="K338" s="79"/>
    </row>
    <row r="339" ht="19.5" customHeight="1">
      <c r="A339" s="79"/>
      <c r="B339" s="95"/>
      <c r="C339" s="79"/>
      <c r="D339" s="92"/>
      <c r="E339" s="37"/>
      <c r="F339" s="78"/>
      <c r="G339" s="40"/>
      <c r="H339" s="59"/>
      <c r="I339" s="93"/>
      <c r="J339" s="96">
        <f>SUM(J330:J338)</f>
        <v>2174.7</v>
      </c>
      <c r="K339" s="79"/>
    </row>
    <row r="340" ht="19.5" customHeight="1">
      <c r="A340" s="74" t="s">
        <v>1</v>
      </c>
      <c r="B340" s="74" t="s">
        <v>91</v>
      </c>
      <c r="C340" s="74" t="s">
        <v>92</v>
      </c>
      <c r="D340" s="76" t="s">
        <v>93</v>
      </c>
      <c r="E340" s="50" t="s">
        <v>97</v>
      </c>
      <c r="F340" s="53" t="s">
        <v>121</v>
      </c>
      <c r="G340" s="53" t="s">
        <v>99</v>
      </c>
      <c r="H340" s="75" t="s">
        <v>100</v>
      </c>
      <c r="I340" s="75" t="s">
        <v>101</v>
      </c>
      <c r="J340" s="76" t="s">
        <v>95</v>
      </c>
      <c r="K340" s="74" t="s">
        <v>96</v>
      </c>
    </row>
    <row r="341" ht="19.5" customHeight="1">
      <c r="A341" s="46">
        <v>1.0</v>
      </c>
      <c r="B341" s="37" t="s">
        <v>182</v>
      </c>
      <c r="C341" s="46" t="s">
        <v>103</v>
      </c>
      <c r="D341" s="78">
        <f>J324</f>
        <v>0</v>
      </c>
      <c r="E341" s="37"/>
      <c r="F341" s="40"/>
      <c r="G341" s="40"/>
      <c r="H341" s="40">
        <f>D341</f>
        <v>0</v>
      </c>
      <c r="I341" s="42"/>
      <c r="J341" s="43">
        <f>H341-I341</f>
        <v>0</v>
      </c>
      <c r="K341" s="46" t="s">
        <v>183</v>
      </c>
    </row>
    <row r="342" ht="19.5" customHeight="1">
      <c r="A342" s="74" t="s">
        <v>1</v>
      </c>
      <c r="B342" s="74" t="s">
        <v>91</v>
      </c>
      <c r="C342" s="74" t="s">
        <v>92</v>
      </c>
      <c r="D342" s="76" t="s">
        <v>93</v>
      </c>
      <c r="E342" s="50" t="s">
        <v>187</v>
      </c>
      <c r="F342" s="53"/>
      <c r="G342" s="53" t="s">
        <v>353</v>
      </c>
      <c r="H342" s="75" t="s">
        <v>100</v>
      </c>
      <c r="I342" s="75" t="s">
        <v>101</v>
      </c>
      <c r="J342" s="76" t="s">
        <v>95</v>
      </c>
      <c r="K342" s="74" t="s">
        <v>96</v>
      </c>
    </row>
    <row r="343" ht="19.5" customHeight="1">
      <c r="A343" s="46">
        <v>1.0</v>
      </c>
      <c r="B343" s="37" t="s">
        <v>354</v>
      </c>
      <c r="C343" s="46" t="s">
        <v>158</v>
      </c>
      <c r="D343" s="78">
        <f>J290</f>
        <v>15.795</v>
      </c>
      <c r="E343" s="37">
        <v>80.0</v>
      </c>
      <c r="F343" s="40"/>
      <c r="G343" s="40">
        <f t="shared" ref="G343:G345" si="50">E343*D343</f>
        <v>1263.6</v>
      </c>
      <c r="H343" s="40">
        <f t="shared" ref="H343:H345" si="51">E343*D343</f>
        <v>1263.6</v>
      </c>
      <c r="I343" s="42"/>
      <c r="J343" s="107"/>
      <c r="K343" s="46" t="s">
        <v>355</v>
      </c>
    </row>
    <row r="344" ht="19.5" customHeight="1">
      <c r="A344" s="46">
        <v>2.0</v>
      </c>
      <c r="B344" s="37" t="s">
        <v>356</v>
      </c>
      <c r="C344" s="46" t="s">
        <v>158</v>
      </c>
      <c r="D344" s="78">
        <f>J284+J298</f>
        <v>26.61792</v>
      </c>
      <c r="E344" s="37">
        <v>90.0</v>
      </c>
      <c r="F344" s="40"/>
      <c r="G344" s="40">
        <f t="shared" si="50"/>
        <v>2395.6128</v>
      </c>
      <c r="H344" s="40">
        <f t="shared" si="51"/>
        <v>2395.6128</v>
      </c>
      <c r="I344" s="42"/>
      <c r="J344" s="121"/>
      <c r="K344" s="79"/>
    </row>
    <row r="345" ht="19.5" customHeight="1">
      <c r="A345" s="46">
        <v>3.0</v>
      </c>
      <c r="B345" s="37" t="s">
        <v>357</v>
      </c>
      <c r="C345" s="46" t="s">
        <v>158</v>
      </c>
      <c r="D345" s="78">
        <f>J322+J290</f>
        <v>34.5641</v>
      </c>
      <c r="E345" s="37">
        <v>100.0</v>
      </c>
      <c r="F345" s="40"/>
      <c r="G345" s="40">
        <f t="shared" si="50"/>
        <v>3456.41</v>
      </c>
      <c r="H345" s="40">
        <f t="shared" si="51"/>
        <v>3456.41</v>
      </c>
      <c r="I345" s="42"/>
      <c r="J345" s="121"/>
      <c r="K345" s="79"/>
    </row>
    <row r="346" ht="19.5" customHeight="1">
      <c r="A346" s="46">
        <v>4.0</v>
      </c>
      <c r="B346" s="37" t="s">
        <v>358</v>
      </c>
      <c r="C346" s="46" t="s">
        <v>158</v>
      </c>
      <c r="D346" s="78"/>
      <c r="E346" s="37"/>
      <c r="F346" s="40"/>
      <c r="G346" s="40"/>
      <c r="H346" s="40"/>
      <c r="I346" s="42"/>
      <c r="J346" s="96">
        <f>SUM(H343:H346)</f>
        <v>7115.6228</v>
      </c>
      <c r="K346" s="79"/>
    </row>
    <row r="347" ht="19.5" customHeight="1">
      <c r="A347" s="74" t="s">
        <v>1</v>
      </c>
      <c r="B347" s="74" t="s">
        <v>91</v>
      </c>
      <c r="C347" s="74" t="s">
        <v>92</v>
      </c>
      <c r="D347" s="76" t="s">
        <v>93</v>
      </c>
      <c r="E347" s="50" t="s">
        <v>97</v>
      </c>
      <c r="F347" s="53" t="s">
        <v>121</v>
      </c>
      <c r="G347" s="53" t="s">
        <v>99</v>
      </c>
      <c r="H347" s="75" t="s">
        <v>100</v>
      </c>
      <c r="I347" s="75" t="s">
        <v>101</v>
      </c>
      <c r="J347" s="76" t="s">
        <v>95</v>
      </c>
      <c r="K347" s="74" t="s">
        <v>96</v>
      </c>
    </row>
    <row r="348" ht="19.5" customHeight="1">
      <c r="A348" s="46">
        <v>1.0</v>
      </c>
      <c r="B348" s="37" t="s">
        <v>184</v>
      </c>
      <c r="C348" s="46" t="s">
        <v>108</v>
      </c>
      <c r="D348" s="78">
        <v>2.0</v>
      </c>
      <c r="E348" s="37"/>
      <c r="F348" s="40">
        <v>84.64</v>
      </c>
      <c r="G348" s="40"/>
      <c r="H348" s="40">
        <f>(F348+F349)*D348</f>
        <v>191.48</v>
      </c>
      <c r="I348" s="42"/>
      <c r="J348" s="77"/>
      <c r="K348" s="46"/>
    </row>
    <row r="349" ht="19.5" customHeight="1">
      <c r="A349" s="46">
        <v>2.0</v>
      </c>
      <c r="B349" s="37" t="s">
        <v>185</v>
      </c>
      <c r="C349" s="46" t="s">
        <v>108</v>
      </c>
      <c r="D349" s="78">
        <v>2.0</v>
      </c>
      <c r="E349" s="37"/>
      <c r="F349" s="40">
        <v>11.1</v>
      </c>
      <c r="G349" s="40"/>
      <c r="H349" s="40">
        <f>F349*D349+F348</f>
        <v>106.84</v>
      </c>
      <c r="I349" s="42"/>
      <c r="J349" s="43">
        <f>H349+H348</f>
        <v>298.32</v>
      </c>
      <c r="K349" s="46" t="s">
        <v>186</v>
      </c>
    </row>
    <row r="350" ht="19.5" customHeight="1">
      <c r="A350" s="74" t="s">
        <v>1</v>
      </c>
      <c r="B350" s="74" t="s">
        <v>91</v>
      </c>
      <c r="C350" s="74" t="s">
        <v>92</v>
      </c>
      <c r="D350" s="76" t="s">
        <v>93</v>
      </c>
      <c r="E350" s="50" t="s">
        <v>187</v>
      </c>
      <c r="F350" s="53" t="s">
        <v>99</v>
      </c>
      <c r="G350" s="53" t="s">
        <v>121</v>
      </c>
      <c r="H350" s="75" t="s">
        <v>100</v>
      </c>
      <c r="I350" s="75" t="s">
        <v>101</v>
      </c>
      <c r="J350" s="76" t="s">
        <v>95</v>
      </c>
      <c r="K350" s="74" t="s">
        <v>96</v>
      </c>
    </row>
    <row r="351" ht="19.5" customHeight="1">
      <c r="A351" s="46">
        <v>1.0</v>
      </c>
      <c r="B351" s="37" t="s">
        <v>188</v>
      </c>
      <c r="C351" s="46" t="s">
        <v>103</v>
      </c>
      <c r="D351" s="78">
        <v>1.0</v>
      </c>
      <c r="E351" s="37">
        <v>12.0</v>
      </c>
      <c r="F351" s="40">
        <v>11.1</v>
      </c>
      <c r="G351" s="40">
        <v>84.64</v>
      </c>
      <c r="H351" s="40">
        <f>G351*F351</f>
        <v>939.504</v>
      </c>
      <c r="I351" s="42"/>
      <c r="J351" s="43">
        <f>H351-I351</f>
        <v>939.504</v>
      </c>
      <c r="K351" s="46" t="s">
        <v>359</v>
      </c>
    </row>
    <row r="352" ht="19.5" customHeight="1">
      <c r="A352" s="74" t="s">
        <v>1</v>
      </c>
      <c r="B352" s="74" t="s">
        <v>91</v>
      </c>
      <c r="C352" s="74" t="s">
        <v>92</v>
      </c>
      <c r="D352" s="76" t="s">
        <v>93</v>
      </c>
      <c r="E352" s="50" t="s">
        <v>187</v>
      </c>
      <c r="F352" s="53" t="s">
        <v>99</v>
      </c>
      <c r="G352" s="53" t="s">
        <v>121</v>
      </c>
      <c r="H352" s="75" t="s">
        <v>100</v>
      </c>
      <c r="I352" s="75" t="s">
        <v>101</v>
      </c>
      <c r="J352" s="76" t="s">
        <v>95</v>
      </c>
      <c r="K352" s="74" t="s">
        <v>96</v>
      </c>
    </row>
    <row r="353" ht="19.5" customHeight="1">
      <c r="A353" s="46">
        <v>1.0</v>
      </c>
      <c r="B353" s="37" t="s">
        <v>189</v>
      </c>
      <c r="C353" s="46" t="s">
        <v>103</v>
      </c>
      <c r="D353" s="78">
        <v>1.0</v>
      </c>
      <c r="E353" s="37">
        <v>12.0</v>
      </c>
      <c r="F353" s="40">
        <v>11.1</v>
      </c>
      <c r="G353" s="40">
        <v>84.64</v>
      </c>
      <c r="H353" s="40">
        <f>G353*F353</f>
        <v>939.504</v>
      </c>
      <c r="I353" s="42"/>
      <c r="J353" s="43">
        <f>H353-I353</f>
        <v>939.504</v>
      </c>
      <c r="K353" s="46"/>
    </row>
    <row r="354" ht="19.5" customHeight="1">
      <c r="A354" s="74" t="s">
        <v>1</v>
      </c>
      <c r="B354" s="74" t="s">
        <v>91</v>
      </c>
      <c r="C354" s="74" t="s">
        <v>92</v>
      </c>
      <c r="D354" s="76" t="s">
        <v>93</v>
      </c>
      <c r="E354" s="50" t="s">
        <v>99</v>
      </c>
      <c r="F354" s="53" t="s">
        <v>121</v>
      </c>
      <c r="G354" s="53" t="s">
        <v>97</v>
      </c>
      <c r="H354" s="75" t="s">
        <v>100</v>
      </c>
      <c r="I354" s="75" t="s">
        <v>101</v>
      </c>
      <c r="J354" s="76" t="s">
        <v>95</v>
      </c>
      <c r="K354" s="74" t="s">
        <v>96</v>
      </c>
    </row>
    <row r="355" ht="19.5" customHeight="1">
      <c r="A355" s="46">
        <v>1.0</v>
      </c>
      <c r="B355" s="37" t="s">
        <v>360</v>
      </c>
      <c r="C355" s="46" t="s">
        <v>103</v>
      </c>
      <c r="D355" s="78">
        <v>2.0</v>
      </c>
      <c r="E355" s="37">
        <v>0.5</v>
      </c>
      <c r="F355" s="40">
        <v>55.0</v>
      </c>
      <c r="G355" s="40">
        <v>0.3</v>
      </c>
      <c r="H355" s="40">
        <v>110.0</v>
      </c>
      <c r="I355" s="42"/>
      <c r="J355" s="43">
        <f>H355-I355</f>
        <v>110</v>
      </c>
      <c r="K355" s="46"/>
    </row>
    <row r="356" ht="19.5" customHeight="1">
      <c r="A356" s="74" t="s">
        <v>1</v>
      </c>
      <c r="B356" s="74" t="s">
        <v>91</v>
      </c>
      <c r="C356" s="74" t="s">
        <v>92</v>
      </c>
      <c r="D356" s="76" t="s">
        <v>93</v>
      </c>
      <c r="E356" s="50" t="s">
        <v>193</v>
      </c>
      <c r="F356" s="53" t="s">
        <v>121</v>
      </c>
      <c r="G356" s="53" t="s">
        <v>194</v>
      </c>
      <c r="H356" s="75" t="s">
        <v>100</v>
      </c>
      <c r="I356" s="75" t="s">
        <v>101</v>
      </c>
      <c r="J356" s="76" t="s">
        <v>95</v>
      </c>
      <c r="K356" s="74" t="s">
        <v>96</v>
      </c>
    </row>
    <row r="357" ht="19.5" customHeight="1">
      <c r="A357" s="46">
        <v>1.0</v>
      </c>
      <c r="B357" s="37" t="s">
        <v>361</v>
      </c>
      <c r="C357" s="46" t="s">
        <v>103</v>
      </c>
      <c r="D357" s="78">
        <v>2.0</v>
      </c>
      <c r="E357" s="37">
        <v>1.1</v>
      </c>
      <c r="F357" s="40">
        <v>84.64</v>
      </c>
      <c r="G357" s="40"/>
      <c r="H357" s="40">
        <f>F357*E357*D357</f>
        <v>186.208</v>
      </c>
      <c r="I357" s="42"/>
      <c r="J357" s="43">
        <f t="shared" ref="J357:J358" si="52">H357-I357</f>
        <v>186.208</v>
      </c>
      <c r="K357" s="46"/>
    </row>
    <row r="358" ht="19.5" customHeight="1">
      <c r="A358" s="46">
        <f t="shared" ref="A358:A365" si="53">A357+1</f>
        <v>2</v>
      </c>
      <c r="B358" s="37" t="s">
        <v>196</v>
      </c>
      <c r="C358" s="46" t="s">
        <v>103</v>
      </c>
      <c r="D358" s="78">
        <v>1.0</v>
      </c>
      <c r="E358" s="37">
        <v>60.0</v>
      </c>
      <c r="F358" s="40"/>
      <c r="G358" s="40"/>
      <c r="H358" s="40">
        <f>E358*D358</f>
        <v>60</v>
      </c>
      <c r="I358" s="42"/>
      <c r="J358" s="43">
        <f t="shared" si="52"/>
        <v>60</v>
      </c>
      <c r="K358" s="79"/>
    </row>
    <row r="359" ht="19.5" customHeight="1">
      <c r="A359" s="46">
        <f t="shared" si="53"/>
        <v>3</v>
      </c>
      <c r="B359" s="37" t="s">
        <v>362</v>
      </c>
      <c r="C359" s="46" t="s">
        <v>103</v>
      </c>
      <c r="D359" s="78">
        <v>4.0</v>
      </c>
      <c r="E359" s="37">
        <v>0.8</v>
      </c>
      <c r="F359" s="40">
        <v>84.64</v>
      </c>
      <c r="G359" s="40"/>
      <c r="H359" s="40">
        <f t="shared" ref="H359:H365" si="54">F359*E359*D359</f>
        <v>270.848</v>
      </c>
      <c r="I359" s="42"/>
      <c r="J359" s="107"/>
      <c r="K359" s="79"/>
    </row>
    <row r="360" ht="19.5" customHeight="1">
      <c r="A360" s="46">
        <f t="shared" si="53"/>
        <v>4</v>
      </c>
      <c r="B360" s="37" t="s">
        <v>362</v>
      </c>
      <c r="C360" s="46" t="s">
        <v>103</v>
      </c>
      <c r="D360" s="78">
        <v>16.0</v>
      </c>
      <c r="E360" s="37">
        <v>0.8</v>
      </c>
      <c r="F360" s="40">
        <v>11.1</v>
      </c>
      <c r="G360" s="40"/>
      <c r="H360" s="40">
        <f t="shared" si="54"/>
        <v>142.08</v>
      </c>
      <c r="I360" s="42"/>
      <c r="J360" s="121"/>
      <c r="K360" s="79"/>
    </row>
    <row r="361" ht="19.5" customHeight="1">
      <c r="A361" s="46">
        <f t="shared" si="53"/>
        <v>5</v>
      </c>
      <c r="B361" s="37" t="s">
        <v>362</v>
      </c>
      <c r="C361" s="46" t="s">
        <v>103</v>
      </c>
      <c r="D361" s="78">
        <v>1.0</v>
      </c>
      <c r="E361" s="37">
        <v>0.8</v>
      </c>
      <c r="F361" s="40">
        <v>1.2</v>
      </c>
      <c r="G361" s="40"/>
      <c r="H361" s="40">
        <f t="shared" si="54"/>
        <v>0.96</v>
      </c>
      <c r="I361" s="42"/>
      <c r="J361" s="121"/>
      <c r="K361" s="79"/>
    </row>
    <row r="362" ht="19.5" customHeight="1">
      <c r="A362" s="46">
        <f t="shared" si="53"/>
        <v>6</v>
      </c>
      <c r="B362" s="37" t="s">
        <v>362</v>
      </c>
      <c r="C362" s="46" t="s">
        <v>103</v>
      </c>
      <c r="D362" s="78">
        <v>1.0</v>
      </c>
      <c r="E362" s="37">
        <v>0.8</v>
      </c>
      <c r="F362" s="40">
        <v>1.4</v>
      </c>
      <c r="G362" s="40"/>
      <c r="H362" s="40">
        <f t="shared" si="54"/>
        <v>1.12</v>
      </c>
      <c r="I362" s="42"/>
      <c r="J362" s="121"/>
      <c r="K362" s="79"/>
    </row>
    <row r="363" ht="19.5" customHeight="1">
      <c r="A363" s="46">
        <f t="shared" si="53"/>
        <v>7</v>
      </c>
      <c r="B363" s="37" t="s">
        <v>362</v>
      </c>
      <c r="C363" s="46" t="s">
        <v>103</v>
      </c>
      <c r="D363" s="78">
        <v>1.0</v>
      </c>
      <c r="E363" s="37">
        <v>0.8</v>
      </c>
      <c r="F363" s="40">
        <v>5.5</v>
      </c>
      <c r="G363" s="40"/>
      <c r="H363" s="40">
        <f t="shared" si="54"/>
        <v>4.4</v>
      </c>
      <c r="I363" s="42"/>
      <c r="J363" s="121"/>
      <c r="K363" s="79"/>
    </row>
    <row r="364" ht="19.5" customHeight="1">
      <c r="A364" s="46">
        <f t="shared" si="53"/>
        <v>8</v>
      </c>
      <c r="B364" s="37" t="s">
        <v>362</v>
      </c>
      <c r="C364" s="46" t="s">
        <v>103</v>
      </c>
      <c r="D364" s="78">
        <v>1.0</v>
      </c>
      <c r="E364" s="37">
        <v>0.8</v>
      </c>
      <c r="F364" s="40">
        <v>7.0</v>
      </c>
      <c r="G364" s="40"/>
      <c r="H364" s="40">
        <f t="shared" si="54"/>
        <v>5.6</v>
      </c>
      <c r="I364" s="42"/>
      <c r="J364" s="121"/>
      <c r="K364" s="79"/>
    </row>
    <row r="365" ht="19.5" customHeight="1">
      <c r="A365" s="46">
        <f t="shared" si="53"/>
        <v>9</v>
      </c>
      <c r="B365" s="37" t="s">
        <v>362</v>
      </c>
      <c r="C365" s="46" t="s">
        <v>103</v>
      </c>
      <c r="D365" s="78">
        <v>2.0</v>
      </c>
      <c r="E365" s="37">
        <v>0.8</v>
      </c>
      <c r="F365" s="40">
        <v>2.5</v>
      </c>
      <c r="G365" s="40"/>
      <c r="H365" s="40">
        <f t="shared" si="54"/>
        <v>4</v>
      </c>
      <c r="I365" s="42"/>
      <c r="J365" s="96">
        <f>SUM(H359:H365)</f>
        <v>429.008</v>
      </c>
      <c r="K365" s="79"/>
    </row>
    <row r="366" ht="19.5" customHeight="1">
      <c r="A366" s="74" t="s">
        <v>1</v>
      </c>
      <c r="B366" s="74" t="s">
        <v>91</v>
      </c>
      <c r="C366" s="74" t="s">
        <v>92</v>
      </c>
      <c r="D366" s="76" t="s">
        <v>93</v>
      </c>
      <c r="E366" s="50" t="s">
        <v>161</v>
      </c>
      <c r="F366" s="53" t="s">
        <v>99</v>
      </c>
      <c r="G366" s="53" t="s">
        <v>121</v>
      </c>
      <c r="H366" s="75" t="s">
        <v>100</v>
      </c>
      <c r="I366" s="75" t="s">
        <v>101</v>
      </c>
      <c r="J366" s="76" t="s">
        <v>95</v>
      </c>
      <c r="K366" s="74" t="s">
        <v>96</v>
      </c>
    </row>
    <row r="367" ht="19.5" customHeight="1">
      <c r="A367" s="46">
        <v>1.0</v>
      </c>
      <c r="B367" s="37" t="s">
        <v>197</v>
      </c>
      <c r="C367" s="46" t="s">
        <v>103</v>
      </c>
      <c r="D367" s="78">
        <f>D351</f>
        <v>1</v>
      </c>
      <c r="E367" s="37">
        <v>1.0</v>
      </c>
      <c r="F367" s="40">
        <v>11.1</v>
      </c>
      <c r="G367" s="40">
        <v>84.64</v>
      </c>
      <c r="H367" s="40">
        <f>G367*F367</f>
        <v>939.504</v>
      </c>
      <c r="I367" s="42"/>
      <c r="J367" s="43">
        <f>H367-I367</f>
        <v>939.504</v>
      </c>
      <c r="K367" s="46"/>
    </row>
    <row r="368" ht="19.5" customHeight="1">
      <c r="A368" s="74" t="s">
        <v>1</v>
      </c>
      <c r="B368" s="74" t="s">
        <v>91</v>
      </c>
      <c r="C368" s="74" t="s">
        <v>92</v>
      </c>
      <c r="D368" s="76" t="s">
        <v>93</v>
      </c>
      <c r="E368" s="50" t="s">
        <v>97</v>
      </c>
      <c r="F368" s="53" t="s">
        <v>121</v>
      </c>
      <c r="G368" s="53" t="s">
        <v>198</v>
      </c>
      <c r="H368" s="75" t="s">
        <v>100</v>
      </c>
      <c r="I368" s="75" t="s">
        <v>101</v>
      </c>
      <c r="J368" s="76" t="s">
        <v>95</v>
      </c>
      <c r="K368" s="74" t="s">
        <v>96</v>
      </c>
    </row>
    <row r="369" ht="19.5" customHeight="1">
      <c r="A369" s="46">
        <v>1.0</v>
      </c>
      <c r="B369" s="37" t="s">
        <v>363</v>
      </c>
      <c r="C369" s="46" t="s">
        <v>103</v>
      </c>
      <c r="D369" s="78">
        <v>2.0</v>
      </c>
      <c r="E369" s="37">
        <v>5.0</v>
      </c>
      <c r="F369" s="78">
        <v>84.64</v>
      </c>
      <c r="G369" s="40">
        <v>2.0</v>
      </c>
      <c r="H369" s="40">
        <f t="shared" ref="H369:H377" si="55">G369*F369*E369*D369</f>
        <v>1692.8</v>
      </c>
      <c r="I369" s="42"/>
      <c r="J369" s="40">
        <f t="shared" ref="J369:J377" si="56">H369-I369</f>
        <v>1692.8</v>
      </c>
      <c r="K369" s="46"/>
    </row>
    <row r="370" ht="19.5" customHeight="1">
      <c r="A370" s="46">
        <f t="shared" ref="A370:A377" si="57">A369+1</f>
        <v>2</v>
      </c>
      <c r="B370" s="37" t="s">
        <v>363</v>
      </c>
      <c r="C370" s="46" t="s">
        <v>103</v>
      </c>
      <c r="D370" s="78">
        <v>2.0</v>
      </c>
      <c r="E370" s="37">
        <v>2.0</v>
      </c>
      <c r="F370" s="78">
        <v>84.64</v>
      </c>
      <c r="G370" s="40">
        <v>2.0</v>
      </c>
      <c r="H370" s="40">
        <f t="shared" si="55"/>
        <v>677.12</v>
      </c>
      <c r="I370" s="42"/>
      <c r="J370" s="40">
        <f t="shared" si="56"/>
        <v>677.12</v>
      </c>
      <c r="K370" s="46"/>
    </row>
    <row r="371" ht="19.5" customHeight="1">
      <c r="A371" s="46">
        <f t="shared" si="57"/>
        <v>3</v>
      </c>
      <c r="B371" s="37" t="s">
        <v>363</v>
      </c>
      <c r="C371" s="46" t="s">
        <v>103</v>
      </c>
      <c r="D371" s="78">
        <v>2.0</v>
      </c>
      <c r="E371" s="37">
        <v>5.0</v>
      </c>
      <c r="F371" s="78">
        <v>11.1</v>
      </c>
      <c r="G371" s="40">
        <v>2.0</v>
      </c>
      <c r="H371" s="40">
        <f t="shared" si="55"/>
        <v>222</v>
      </c>
      <c r="I371" s="42"/>
      <c r="J371" s="40">
        <f t="shared" si="56"/>
        <v>222</v>
      </c>
      <c r="K371" s="46"/>
    </row>
    <row r="372" ht="19.5" customHeight="1">
      <c r="A372" s="46">
        <f t="shared" si="57"/>
        <v>4</v>
      </c>
      <c r="B372" s="37" t="s">
        <v>363</v>
      </c>
      <c r="C372" s="46" t="s">
        <v>103</v>
      </c>
      <c r="D372" s="78">
        <v>14.0</v>
      </c>
      <c r="E372" s="37">
        <v>3.0</v>
      </c>
      <c r="F372" s="78">
        <v>11.1</v>
      </c>
      <c r="G372" s="40">
        <v>2.0</v>
      </c>
      <c r="H372" s="40">
        <f t="shared" si="55"/>
        <v>932.4</v>
      </c>
      <c r="I372" s="42"/>
      <c r="J372" s="40">
        <f t="shared" si="56"/>
        <v>932.4</v>
      </c>
      <c r="K372" s="79"/>
    </row>
    <row r="373" ht="19.5" customHeight="1">
      <c r="A373" s="46">
        <f t="shared" si="57"/>
        <v>5</v>
      </c>
      <c r="B373" s="37" t="s">
        <v>363</v>
      </c>
      <c r="C373" s="46" t="s">
        <v>103</v>
      </c>
      <c r="D373" s="78">
        <v>1.0</v>
      </c>
      <c r="E373" s="37">
        <v>3.0</v>
      </c>
      <c r="F373" s="78">
        <v>1.2</v>
      </c>
      <c r="G373" s="40">
        <v>2.0</v>
      </c>
      <c r="H373" s="40">
        <f t="shared" si="55"/>
        <v>7.2</v>
      </c>
      <c r="I373" s="42"/>
      <c r="J373" s="40">
        <f t="shared" si="56"/>
        <v>7.2</v>
      </c>
      <c r="K373" s="79"/>
    </row>
    <row r="374" ht="19.5" customHeight="1">
      <c r="A374" s="46">
        <f t="shared" si="57"/>
        <v>6</v>
      </c>
      <c r="B374" s="37" t="s">
        <v>363</v>
      </c>
      <c r="C374" s="46" t="s">
        <v>103</v>
      </c>
      <c r="D374" s="78">
        <v>1.0</v>
      </c>
      <c r="E374" s="37">
        <v>3.0</v>
      </c>
      <c r="F374" s="78">
        <v>1.4</v>
      </c>
      <c r="G374" s="40">
        <v>2.0</v>
      </c>
      <c r="H374" s="40">
        <f t="shared" si="55"/>
        <v>8.4</v>
      </c>
      <c r="I374" s="42"/>
      <c r="J374" s="40">
        <f t="shared" si="56"/>
        <v>8.4</v>
      </c>
      <c r="K374" s="79"/>
    </row>
    <row r="375" ht="19.5" customHeight="1">
      <c r="A375" s="46">
        <f t="shared" si="57"/>
        <v>7</v>
      </c>
      <c r="B375" s="37" t="s">
        <v>363</v>
      </c>
      <c r="C375" s="46" t="s">
        <v>103</v>
      </c>
      <c r="D375" s="78">
        <v>1.0</v>
      </c>
      <c r="E375" s="37">
        <v>3.0</v>
      </c>
      <c r="F375" s="78">
        <v>5.5</v>
      </c>
      <c r="G375" s="40">
        <v>2.0</v>
      </c>
      <c r="H375" s="40">
        <f t="shared" si="55"/>
        <v>33</v>
      </c>
      <c r="I375" s="42"/>
      <c r="J375" s="40">
        <f t="shared" si="56"/>
        <v>33</v>
      </c>
      <c r="K375" s="79"/>
    </row>
    <row r="376" ht="19.5" customHeight="1">
      <c r="A376" s="46">
        <f t="shared" si="57"/>
        <v>8</v>
      </c>
      <c r="B376" s="37" t="s">
        <v>363</v>
      </c>
      <c r="C376" s="46" t="s">
        <v>103</v>
      </c>
      <c r="D376" s="78">
        <v>1.0</v>
      </c>
      <c r="E376" s="37">
        <v>3.0</v>
      </c>
      <c r="F376" s="78">
        <v>7.0</v>
      </c>
      <c r="G376" s="40">
        <v>2.0</v>
      </c>
      <c r="H376" s="40">
        <f t="shared" si="55"/>
        <v>42</v>
      </c>
      <c r="I376" s="42"/>
      <c r="J376" s="40">
        <f t="shared" si="56"/>
        <v>42</v>
      </c>
      <c r="K376" s="79"/>
    </row>
    <row r="377" ht="19.5" customHeight="1">
      <c r="A377" s="46">
        <f t="shared" si="57"/>
        <v>9</v>
      </c>
      <c r="B377" s="37" t="s">
        <v>363</v>
      </c>
      <c r="C377" s="46" t="s">
        <v>103</v>
      </c>
      <c r="D377" s="78">
        <v>2.0</v>
      </c>
      <c r="E377" s="37">
        <v>3.0</v>
      </c>
      <c r="F377" s="78">
        <v>2.5</v>
      </c>
      <c r="G377" s="40">
        <v>2.0</v>
      </c>
      <c r="H377" s="40">
        <f t="shared" si="55"/>
        <v>30</v>
      </c>
      <c r="I377" s="42"/>
      <c r="J377" s="40">
        <f t="shared" si="56"/>
        <v>30</v>
      </c>
      <c r="K377" s="79"/>
    </row>
    <row r="378" ht="19.5" customHeight="1">
      <c r="A378" s="79"/>
      <c r="B378" s="95"/>
      <c r="C378" s="79"/>
      <c r="D378" s="92"/>
      <c r="E378" s="37"/>
      <c r="F378" s="78"/>
      <c r="G378" s="40"/>
      <c r="H378" s="59"/>
      <c r="I378" s="93"/>
      <c r="J378" s="96">
        <f>SUM(J369:J377)</f>
        <v>3644.92</v>
      </c>
      <c r="K378" s="79"/>
    </row>
    <row r="379" ht="19.5" customHeight="1">
      <c r="A379" s="74" t="s">
        <v>1</v>
      </c>
      <c r="B379" s="74" t="s">
        <v>91</v>
      </c>
      <c r="C379" s="74" t="s">
        <v>92</v>
      </c>
      <c r="D379" s="76" t="s">
        <v>93</v>
      </c>
      <c r="E379" s="50" t="s">
        <v>97</v>
      </c>
      <c r="F379" s="53" t="s">
        <v>121</v>
      </c>
      <c r="G379" s="53" t="s">
        <v>198</v>
      </c>
      <c r="H379" s="75" t="s">
        <v>100</v>
      </c>
      <c r="I379" s="75" t="s">
        <v>101</v>
      </c>
      <c r="J379" s="76" t="s">
        <v>95</v>
      </c>
      <c r="K379" s="74" t="s">
        <v>96</v>
      </c>
    </row>
    <row r="380" ht="19.5" customHeight="1">
      <c r="A380" s="46">
        <v>1.0</v>
      </c>
      <c r="B380" s="37" t="s">
        <v>204</v>
      </c>
      <c r="C380" s="46" t="s">
        <v>103</v>
      </c>
      <c r="D380" s="78">
        <v>2.0</v>
      </c>
      <c r="E380" s="37">
        <v>5.0</v>
      </c>
      <c r="F380" s="78">
        <v>84.64</v>
      </c>
      <c r="G380" s="40">
        <v>2.0</v>
      </c>
      <c r="H380" s="40">
        <f t="shared" ref="H380:H388" si="58">G380*F380*E380*D380</f>
        <v>1692.8</v>
      </c>
      <c r="I380" s="42">
        <f>84.64+84.64</f>
        <v>169.28</v>
      </c>
      <c r="J380" s="40">
        <f t="shared" ref="J380:J383" si="59">H380-I380</f>
        <v>1523.52</v>
      </c>
      <c r="K380" s="46"/>
    </row>
    <row r="381" ht="19.5" customHeight="1">
      <c r="A381" s="46">
        <f t="shared" ref="A381:A388" si="60">A380+1</f>
        <v>2</v>
      </c>
      <c r="B381" s="37" t="s">
        <v>204</v>
      </c>
      <c r="C381" s="46" t="s">
        <v>103</v>
      </c>
      <c r="D381" s="78">
        <v>2.0</v>
      </c>
      <c r="E381" s="37">
        <v>2.0</v>
      </c>
      <c r="F381" s="78">
        <v>84.64</v>
      </c>
      <c r="G381" s="40">
        <v>2.0</v>
      </c>
      <c r="H381" s="40">
        <f t="shared" si="58"/>
        <v>677.12</v>
      </c>
      <c r="I381" s="42">
        <v>10.0</v>
      </c>
      <c r="J381" s="40">
        <f t="shared" si="59"/>
        <v>667.12</v>
      </c>
      <c r="K381" s="46"/>
    </row>
    <row r="382" ht="19.5" customHeight="1">
      <c r="A382" s="46">
        <f t="shared" si="60"/>
        <v>3</v>
      </c>
      <c r="B382" s="37" t="s">
        <v>204</v>
      </c>
      <c r="C382" s="46" t="s">
        <v>103</v>
      </c>
      <c r="D382" s="78">
        <v>2.0</v>
      </c>
      <c r="E382" s="37">
        <v>5.0</v>
      </c>
      <c r="F382" s="78">
        <v>11.1</v>
      </c>
      <c r="G382" s="40">
        <v>2.0</v>
      </c>
      <c r="H382" s="40">
        <f t="shared" si="58"/>
        <v>222</v>
      </c>
      <c r="I382" s="42">
        <f>11+11</f>
        <v>22</v>
      </c>
      <c r="J382" s="40">
        <f t="shared" si="59"/>
        <v>200</v>
      </c>
      <c r="K382" s="46"/>
    </row>
    <row r="383" ht="19.5" customHeight="1">
      <c r="A383" s="46">
        <f t="shared" si="60"/>
        <v>4</v>
      </c>
      <c r="B383" s="37" t="s">
        <v>204</v>
      </c>
      <c r="C383" s="46" t="s">
        <v>103</v>
      </c>
      <c r="D383" s="78">
        <v>14.0</v>
      </c>
      <c r="E383" s="37">
        <v>3.0</v>
      </c>
      <c r="F383" s="78">
        <v>11.1</v>
      </c>
      <c r="G383" s="40">
        <v>2.0</v>
      </c>
      <c r="H383" s="40">
        <f t="shared" si="58"/>
        <v>932.4</v>
      </c>
      <c r="I383" s="42"/>
      <c r="J383" s="40">
        <f t="shared" si="59"/>
        <v>932.4</v>
      </c>
      <c r="K383" s="46"/>
    </row>
    <row r="384" ht="19.5" customHeight="1">
      <c r="A384" s="46">
        <f t="shared" si="60"/>
        <v>5</v>
      </c>
      <c r="B384" s="37" t="s">
        <v>204</v>
      </c>
      <c r="C384" s="46" t="s">
        <v>103</v>
      </c>
      <c r="D384" s="78">
        <v>1.0</v>
      </c>
      <c r="E384" s="37">
        <v>3.0</v>
      </c>
      <c r="F384" s="78">
        <v>1.2</v>
      </c>
      <c r="G384" s="40">
        <v>2.0</v>
      </c>
      <c r="H384" s="40">
        <f t="shared" si="58"/>
        <v>7.2</v>
      </c>
      <c r="I384" s="42"/>
      <c r="J384" s="40"/>
      <c r="K384" s="46"/>
    </row>
    <row r="385" ht="19.5" customHeight="1">
      <c r="A385" s="46">
        <f t="shared" si="60"/>
        <v>6</v>
      </c>
      <c r="B385" s="37" t="s">
        <v>204</v>
      </c>
      <c r="C385" s="46" t="s">
        <v>103</v>
      </c>
      <c r="D385" s="78">
        <v>1.0</v>
      </c>
      <c r="E385" s="37">
        <v>3.0</v>
      </c>
      <c r="F385" s="78">
        <v>1.4</v>
      </c>
      <c r="G385" s="40">
        <v>2.0</v>
      </c>
      <c r="H385" s="40">
        <f t="shared" si="58"/>
        <v>8.4</v>
      </c>
      <c r="I385" s="42"/>
      <c r="J385" s="40"/>
      <c r="K385" s="46"/>
    </row>
    <row r="386" ht="19.5" customHeight="1">
      <c r="A386" s="46">
        <f t="shared" si="60"/>
        <v>7</v>
      </c>
      <c r="B386" s="37" t="s">
        <v>204</v>
      </c>
      <c r="C386" s="46" t="s">
        <v>103</v>
      </c>
      <c r="D386" s="78">
        <v>1.0</v>
      </c>
      <c r="E386" s="37">
        <v>3.0</v>
      </c>
      <c r="F386" s="78">
        <v>5.5</v>
      </c>
      <c r="G386" s="40">
        <v>2.0</v>
      </c>
      <c r="H386" s="40">
        <f t="shared" si="58"/>
        <v>33</v>
      </c>
      <c r="I386" s="42"/>
      <c r="J386" s="40">
        <f t="shared" ref="J386:J388" si="61">H386-I386</f>
        <v>33</v>
      </c>
      <c r="K386" s="46"/>
    </row>
    <row r="387" ht="19.5" customHeight="1">
      <c r="A387" s="46">
        <f t="shared" si="60"/>
        <v>8</v>
      </c>
      <c r="B387" s="37" t="s">
        <v>204</v>
      </c>
      <c r="C387" s="46" t="s">
        <v>103</v>
      </c>
      <c r="D387" s="78">
        <v>1.0</v>
      </c>
      <c r="E387" s="37">
        <v>3.0</v>
      </c>
      <c r="F387" s="78">
        <v>7.0</v>
      </c>
      <c r="G387" s="40">
        <v>2.0</v>
      </c>
      <c r="H387" s="40">
        <f t="shared" si="58"/>
        <v>42</v>
      </c>
      <c r="I387" s="42"/>
      <c r="J387" s="40">
        <f t="shared" si="61"/>
        <v>42</v>
      </c>
      <c r="K387" s="46"/>
    </row>
    <row r="388" ht="19.5" customHeight="1">
      <c r="A388" s="46">
        <f t="shared" si="60"/>
        <v>9</v>
      </c>
      <c r="B388" s="37" t="s">
        <v>204</v>
      </c>
      <c r="C388" s="46" t="s">
        <v>103</v>
      </c>
      <c r="D388" s="78">
        <v>2.0</v>
      </c>
      <c r="E388" s="37">
        <v>3.0</v>
      </c>
      <c r="F388" s="78">
        <v>2.5</v>
      </c>
      <c r="G388" s="40">
        <v>2.0</v>
      </c>
      <c r="H388" s="40">
        <f t="shared" si="58"/>
        <v>30</v>
      </c>
      <c r="I388" s="42"/>
      <c r="J388" s="40">
        <f t="shared" si="61"/>
        <v>30</v>
      </c>
      <c r="K388" s="46"/>
    </row>
    <row r="389" ht="19.5" customHeight="1">
      <c r="A389" s="79"/>
      <c r="B389" s="95"/>
      <c r="C389" s="79"/>
      <c r="D389" s="92"/>
      <c r="E389" s="37"/>
      <c r="F389" s="78"/>
      <c r="G389" s="40"/>
      <c r="H389" s="59"/>
      <c r="I389" s="93"/>
      <c r="J389" s="96">
        <f>SUM(J380:J388)</f>
        <v>3428.04</v>
      </c>
      <c r="K389" s="79"/>
    </row>
    <row r="390" ht="19.5" customHeight="1">
      <c r="A390" s="74" t="s">
        <v>1</v>
      </c>
      <c r="B390" s="74" t="s">
        <v>91</v>
      </c>
      <c r="C390" s="74" t="s">
        <v>92</v>
      </c>
      <c r="D390" s="76" t="s">
        <v>93</v>
      </c>
      <c r="E390" s="50" t="s">
        <v>97</v>
      </c>
      <c r="F390" s="53" t="s">
        <v>121</v>
      </c>
      <c r="G390" s="53" t="s">
        <v>198</v>
      </c>
      <c r="H390" s="75" t="s">
        <v>100</v>
      </c>
      <c r="I390" s="75" t="s">
        <v>101</v>
      </c>
      <c r="J390" s="76" t="s">
        <v>95</v>
      </c>
      <c r="K390" s="74" t="s">
        <v>96</v>
      </c>
    </row>
    <row r="391" ht="19.5" customHeight="1">
      <c r="A391" s="46">
        <v>1.0</v>
      </c>
      <c r="B391" s="37" t="s">
        <v>364</v>
      </c>
      <c r="C391" s="46" t="s">
        <v>103</v>
      </c>
      <c r="D391" s="78">
        <v>2.0</v>
      </c>
      <c r="E391" s="37">
        <v>5.0</v>
      </c>
      <c r="F391" s="78">
        <v>84.64</v>
      </c>
      <c r="G391" s="40"/>
      <c r="H391" s="40">
        <f t="shared" ref="H391:H396" si="62">F391*E391*D391</f>
        <v>846.4</v>
      </c>
      <c r="I391" s="42">
        <v>160.0</v>
      </c>
      <c r="J391" s="107"/>
      <c r="K391" s="131"/>
    </row>
    <row r="392" ht="19.5" customHeight="1">
      <c r="A392" s="46">
        <f t="shared" ref="A392:A396" si="63">A391+1</f>
        <v>2</v>
      </c>
      <c r="B392" s="37" t="s">
        <v>364</v>
      </c>
      <c r="C392" s="46" t="s">
        <v>103</v>
      </c>
      <c r="D392" s="78">
        <v>2.0</v>
      </c>
      <c r="E392" s="37">
        <v>5.0</v>
      </c>
      <c r="F392" s="78">
        <v>11.1</v>
      </c>
      <c r="G392" s="40">
        <v>2.0</v>
      </c>
      <c r="H392" s="40">
        <f t="shared" si="62"/>
        <v>111</v>
      </c>
      <c r="I392" s="42">
        <v>36.0</v>
      </c>
      <c r="J392" s="107"/>
      <c r="K392" s="46"/>
    </row>
    <row r="393" ht="19.5" customHeight="1">
      <c r="A393" s="46">
        <f t="shared" si="63"/>
        <v>3</v>
      </c>
      <c r="B393" s="37" t="s">
        <v>364</v>
      </c>
      <c r="C393" s="46" t="s">
        <v>103</v>
      </c>
      <c r="D393" s="78">
        <v>2.0</v>
      </c>
      <c r="E393" s="37">
        <v>1.7</v>
      </c>
      <c r="F393" s="78">
        <v>8.0</v>
      </c>
      <c r="G393" s="40">
        <v>1.0</v>
      </c>
      <c r="H393" s="40">
        <f t="shared" si="62"/>
        <v>27.2</v>
      </c>
      <c r="I393" s="42"/>
      <c r="J393" s="64">
        <f>SUM(H391:H393)-I391-I392</f>
        <v>788.6</v>
      </c>
      <c r="K393" s="46"/>
    </row>
    <row r="394" ht="19.5" customHeight="1">
      <c r="A394" s="46">
        <f t="shared" si="63"/>
        <v>4</v>
      </c>
      <c r="B394" s="37" t="s">
        <v>208</v>
      </c>
      <c r="C394" s="46" t="s">
        <v>103</v>
      </c>
      <c r="D394" s="78">
        <v>14.0</v>
      </c>
      <c r="E394" s="37">
        <v>3.0</v>
      </c>
      <c r="F394" s="78">
        <v>8.0</v>
      </c>
      <c r="G394" s="40">
        <v>2.0</v>
      </c>
      <c r="H394" s="40">
        <f t="shared" si="62"/>
        <v>336</v>
      </c>
      <c r="I394" s="42"/>
      <c r="J394" s="40"/>
      <c r="K394" s="46"/>
    </row>
    <row r="395" ht="19.5" customHeight="1">
      <c r="A395" s="46">
        <f t="shared" si="63"/>
        <v>5</v>
      </c>
      <c r="B395" s="37" t="s">
        <v>208</v>
      </c>
      <c r="C395" s="46" t="s">
        <v>103</v>
      </c>
      <c r="D395" s="78">
        <v>2.0</v>
      </c>
      <c r="E395" s="37">
        <v>3.0</v>
      </c>
      <c r="F395" s="78">
        <v>84.64</v>
      </c>
      <c r="G395" s="40">
        <v>1.0</v>
      </c>
      <c r="H395" s="40">
        <f t="shared" si="62"/>
        <v>507.84</v>
      </c>
      <c r="I395" s="42">
        <f>16*3*2</f>
        <v>96</v>
      </c>
      <c r="J395" s="77"/>
      <c r="K395" s="46"/>
    </row>
    <row r="396" ht="19.5" customHeight="1">
      <c r="A396" s="46">
        <f t="shared" si="63"/>
        <v>6</v>
      </c>
      <c r="B396" s="37" t="s">
        <v>208</v>
      </c>
      <c r="C396" s="46" t="s">
        <v>103</v>
      </c>
      <c r="D396" s="78">
        <v>2.0</v>
      </c>
      <c r="E396" s="37">
        <v>3.0</v>
      </c>
      <c r="F396" s="78">
        <v>4.0</v>
      </c>
      <c r="G396" s="40">
        <v>1.0</v>
      </c>
      <c r="H396" s="40">
        <f t="shared" si="62"/>
        <v>24</v>
      </c>
      <c r="I396" s="93"/>
      <c r="J396" s="107"/>
      <c r="K396" s="79" t="s">
        <v>95</v>
      </c>
    </row>
    <row r="397" ht="19.5" customHeight="1">
      <c r="A397" s="46"/>
      <c r="B397" s="37"/>
      <c r="C397" s="46"/>
      <c r="D397" s="78"/>
      <c r="E397" s="37"/>
      <c r="F397" s="78"/>
      <c r="G397" s="40"/>
      <c r="H397" s="40"/>
      <c r="I397" s="93"/>
      <c r="J397" s="64">
        <f>SUM(H394:H397)-I395</f>
        <v>771.84</v>
      </c>
      <c r="K397" s="132">
        <f>J397+J392</f>
        <v>771.84</v>
      </c>
    </row>
    <row r="398" ht="19.5" customHeight="1">
      <c r="A398" s="74" t="s">
        <v>1</v>
      </c>
      <c r="B398" s="74" t="s">
        <v>91</v>
      </c>
      <c r="C398" s="74" t="s">
        <v>92</v>
      </c>
      <c r="D398" s="76" t="s">
        <v>93</v>
      </c>
      <c r="E398" s="50" t="s">
        <v>97</v>
      </c>
      <c r="F398" s="53" t="s">
        <v>121</v>
      </c>
      <c r="G398" s="53" t="s">
        <v>206</v>
      </c>
      <c r="H398" s="75" t="s">
        <v>100</v>
      </c>
      <c r="I398" s="75" t="s">
        <v>101</v>
      </c>
      <c r="J398" s="76" t="s">
        <v>95</v>
      </c>
      <c r="K398" s="74" t="s">
        <v>96</v>
      </c>
    </row>
    <row r="399" ht="19.5" customHeight="1">
      <c r="A399" s="46">
        <v>1.0</v>
      </c>
      <c r="B399" s="37" t="s">
        <v>365</v>
      </c>
      <c r="C399" s="46" t="s">
        <v>103</v>
      </c>
      <c r="D399" s="78">
        <v>2.0</v>
      </c>
      <c r="E399" s="37">
        <v>1.3</v>
      </c>
      <c r="F399" s="78">
        <v>84.64</v>
      </c>
      <c r="G399" s="40">
        <v>2.0</v>
      </c>
      <c r="H399" s="40">
        <f t="shared" ref="H399:H406" si="64">G399*F399*E399*D399</f>
        <v>440.128</v>
      </c>
      <c r="I399" s="42">
        <f>16*1.3</f>
        <v>20.8</v>
      </c>
      <c r="J399" s="40">
        <f t="shared" ref="J399:J406" si="65">H399-I399</f>
        <v>419.328</v>
      </c>
      <c r="K399" s="46"/>
    </row>
    <row r="400" ht="19.5" customHeight="1">
      <c r="A400" s="46">
        <f t="shared" ref="A400:A407" si="66">A399+1</f>
        <v>2</v>
      </c>
      <c r="B400" s="37" t="s">
        <v>365</v>
      </c>
      <c r="C400" s="46" t="s">
        <v>103</v>
      </c>
      <c r="D400" s="78">
        <v>2.0</v>
      </c>
      <c r="E400" s="37">
        <v>1.3</v>
      </c>
      <c r="F400" s="78">
        <v>8.0</v>
      </c>
      <c r="G400" s="40">
        <v>2.0</v>
      </c>
      <c r="H400" s="40">
        <f t="shared" si="64"/>
        <v>41.6</v>
      </c>
      <c r="I400" s="42"/>
      <c r="J400" s="40">
        <f t="shared" si="65"/>
        <v>41.6</v>
      </c>
      <c r="K400" s="46"/>
    </row>
    <row r="401" ht="19.5" customHeight="1">
      <c r="A401" s="46">
        <f t="shared" si="66"/>
        <v>3</v>
      </c>
      <c r="B401" s="37" t="s">
        <v>365</v>
      </c>
      <c r="C401" s="46" t="s">
        <v>103</v>
      </c>
      <c r="D401" s="78">
        <v>2.0</v>
      </c>
      <c r="E401" s="37">
        <v>3.0</v>
      </c>
      <c r="F401" s="78">
        <v>8.0</v>
      </c>
      <c r="G401" s="40">
        <v>1.0</v>
      </c>
      <c r="H401" s="40">
        <f t="shared" si="64"/>
        <v>48</v>
      </c>
      <c r="I401" s="42"/>
      <c r="J401" s="40">
        <f t="shared" si="65"/>
        <v>48</v>
      </c>
      <c r="K401" s="79"/>
    </row>
    <row r="402" ht="19.5" customHeight="1">
      <c r="A402" s="46">
        <f t="shared" si="66"/>
        <v>4</v>
      </c>
      <c r="B402" s="37" t="s">
        <v>365</v>
      </c>
      <c r="C402" s="46" t="s">
        <v>103</v>
      </c>
      <c r="D402" s="78">
        <v>1.0</v>
      </c>
      <c r="E402" s="37">
        <v>3.0</v>
      </c>
      <c r="F402" s="78">
        <v>1.2</v>
      </c>
      <c r="G402" s="40">
        <v>2.0</v>
      </c>
      <c r="H402" s="40">
        <f t="shared" si="64"/>
        <v>7.2</v>
      </c>
      <c r="I402" s="42"/>
      <c r="J402" s="40">
        <f t="shared" si="65"/>
        <v>7.2</v>
      </c>
      <c r="K402" s="79"/>
    </row>
    <row r="403" ht="19.5" customHeight="1">
      <c r="A403" s="46">
        <f t="shared" si="66"/>
        <v>5</v>
      </c>
      <c r="B403" s="37" t="s">
        <v>365</v>
      </c>
      <c r="C403" s="46" t="s">
        <v>103</v>
      </c>
      <c r="D403" s="78">
        <v>1.0</v>
      </c>
      <c r="E403" s="37">
        <v>3.0</v>
      </c>
      <c r="F403" s="78">
        <v>1.4</v>
      </c>
      <c r="G403" s="40">
        <v>2.0</v>
      </c>
      <c r="H403" s="40">
        <f t="shared" si="64"/>
        <v>8.4</v>
      </c>
      <c r="I403" s="42"/>
      <c r="J403" s="40">
        <f t="shared" si="65"/>
        <v>8.4</v>
      </c>
      <c r="K403" s="79"/>
    </row>
    <row r="404" ht="19.5" customHeight="1">
      <c r="A404" s="46">
        <f t="shared" si="66"/>
        <v>6</v>
      </c>
      <c r="B404" s="37" t="s">
        <v>365</v>
      </c>
      <c r="C404" s="46" t="s">
        <v>103</v>
      </c>
      <c r="D404" s="78">
        <v>3.0</v>
      </c>
      <c r="E404" s="37">
        <v>3.0</v>
      </c>
      <c r="F404" s="78">
        <v>7.0</v>
      </c>
      <c r="G404" s="40">
        <v>2.0</v>
      </c>
      <c r="H404" s="40">
        <f t="shared" si="64"/>
        <v>126</v>
      </c>
      <c r="I404" s="42"/>
      <c r="J404" s="40">
        <f t="shared" si="65"/>
        <v>126</v>
      </c>
      <c r="K404" s="79"/>
    </row>
    <row r="405" ht="19.5" customHeight="1">
      <c r="A405" s="46">
        <f t="shared" si="66"/>
        <v>7</v>
      </c>
      <c r="B405" s="37" t="s">
        <v>365</v>
      </c>
      <c r="C405" s="46" t="s">
        <v>103</v>
      </c>
      <c r="D405" s="78">
        <v>2.0</v>
      </c>
      <c r="E405" s="37">
        <v>3.0</v>
      </c>
      <c r="F405" s="78">
        <v>1.37</v>
      </c>
      <c r="G405" s="40">
        <v>2.0</v>
      </c>
      <c r="H405" s="40">
        <f t="shared" si="64"/>
        <v>16.44</v>
      </c>
      <c r="I405" s="42"/>
      <c r="J405" s="40">
        <f t="shared" si="65"/>
        <v>16.44</v>
      </c>
      <c r="K405" s="79"/>
    </row>
    <row r="406" ht="19.5" customHeight="1">
      <c r="A406" s="46">
        <f t="shared" si="66"/>
        <v>8</v>
      </c>
      <c r="B406" s="37" t="s">
        <v>365</v>
      </c>
      <c r="C406" s="46" t="s">
        <v>103</v>
      </c>
      <c r="D406" s="78">
        <v>4.0</v>
      </c>
      <c r="E406" s="37">
        <v>3.0</v>
      </c>
      <c r="F406" s="78">
        <v>1.85</v>
      </c>
      <c r="G406" s="40">
        <v>2.0</v>
      </c>
      <c r="H406" s="40">
        <f t="shared" si="64"/>
        <v>44.4</v>
      </c>
      <c r="I406" s="93"/>
      <c r="J406" s="40">
        <f t="shared" si="65"/>
        <v>44.4</v>
      </c>
      <c r="K406" s="79"/>
    </row>
    <row r="407" ht="19.5" customHeight="1">
      <c r="A407" s="46">
        <f t="shared" si="66"/>
        <v>9</v>
      </c>
      <c r="B407" s="95" t="s">
        <v>366</v>
      </c>
      <c r="C407" s="79" t="s">
        <v>103</v>
      </c>
      <c r="D407" s="92"/>
      <c r="E407" s="37"/>
      <c r="F407" s="78"/>
      <c r="G407" s="40"/>
      <c r="H407" s="59"/>
      <c r="I407" s="93"/>
      <c r="J407" s="133">
        <f>SUM(J399:J406)</f>
        <v>711.368</v>
      </c>
      <c r="K407" s="79"/>
    </row>
    <row r="408" ht="19.5" customHeight="1">
      <c r="A408" s="74" t="s">
        <v>1</v>
      </c>
      <c r="B408" s="74" t="s">
        <v>91</v>
      </c>
      <c r="C408" s="74" t="s">
        <v>92</v>
      </c>
      <c r="D408" s="76" t="s">
        <v>93</v>
      </c>
      <c r="E408" s="50" t="s">
        <v>97</v>
      </c>
      <c r="F408" s="53" t="s">
        <v>121</v>
      </c>
      <c r="G408" s="53" t="s">
        <v>99</v>
      </c>
      <c r="H408" s="75" t="s">
        <v>100</v>
      </c>
      <c r="I408" s="75" t="s">
        <v>101</v>
      </c>
      <c r="J408" s="76" t="s">
        <v>95</v>
      </c>
      <c r="K408" s="74" t="s">
        <v>96</v>
      </c>
    </row>
    <row r="409" ht="19.5" customHeight="1">
      <c r="A409" s="46">
        <v>1.0</v>
      </c>
      <c r="B409" s="37" t="s">
        <v>367</v>
      </c>
      <c r="C409" s="46" t="s">
        <v>103</v>
      </c>
      <c r="D409" s="78">
        <v>19.0</v>
      </c>
      <c r="E409" s="37">
        <v>2.1</v>
      </c>
      <c r="F409" s="78"/>
      <c r="G409" s="40">
        <v>0.9</v>
      </c>
      <c r="H409" s="40">
        <f t="shared" ref="H409:H412" si="67">G409*E409*D409</f>
        <v>35.91</v>
      </c>
      <c r="I409" s="42"/>
      <c r="J409" s="64">
        <f>H409+H411+H412</f>
        <v>52.53</v>
      </c>
      <c r="K409" s="46"/>
    </row>
    <row r="410" ht="19.5" customHeight="1">
      <c r="A410" s="46">
        <f t="shared" ref="A410:A415" si="68">A409+1</f>
        <v>2</v>
      </c>
      <c r="B410" s="37" t="s">
        <v>368</v>
      </c>
      <c r="C410" s="46" t="s">
        <v>103</v>
      </c>
      <c r="D410" s="78">
        <v>1.0</v>
      </c>
      <c r="E410" s="37">
        <v>2.1</v>
      </c>
      <c r="F410" s="78"/>
      <c r="G410" s="40">
        <v>2.0</v>
      </c>
      <c r="H410" s="40">
        <f t="shared" si="67"/>
        <v>4.2</v>
      </c>
      <c r="I410" s="42"/>
      <c r="J410" s="64">
        <f>H410</f>
        <v>4.2</v>
      </c>
      <c r="K410" s="46"/>
    </row>
    <row r="411" ht="19.5" customHeight="1">
      <c r="A411" s="46">
        <f t="shared" si="68"/>
        <v>3</v>
      </c>
      <c r="B411" s="37" t="s">
        <v>369</v>
      </c>
      <c r="C411" s="46" t="s">
        <v>103</v>
      </c>
      <c r="D411" s="78">
        <v>16.0</v>
      </c>
      <c r="E411" s="37">
        <v>1.6</v>
      </c>
      <c r="F411" s="78"/>
      <c r="G411" s="40">
        <v>0.6</v>
      </c>
      <c r="H411" s="40">
        <f t="shared" si="67"/>
        <v>15.36</v>
      </c>
      <c r="I411" s="42"/>
      <c r="J411" s="14"/>
      <c r="K411" s="46"/>
    </row>
    <row r="412" ht="19.5" customHeight="1">
      <c r="A412" s="46">
        <f t="shared" si="68"/>
        <v>4</v>
      </c>
      <c r="B412" s="37" t="s">
        <v>370</v>
      </c>
      <c r="C412" s="46" t="s">
        <v>103</v>
      </c>
      <c r="D412" s="78">
        <v>1.0</v>
      </c>
      <c r="E412" s="37">
        <v>2.1</v>
      </c>
      <c r="F412" s="78"/>
      <c r="G412" s="40">
        <v>0.6</v>
      </c>
      <c r="H412" s="40">
        <f t="shared" si="67"/>
        <v>1.26</v>
      </c>
      <c r="I412" s="42"/>
      <c r="J412" s="14"/>
      <c r="K412" s="46"/>
    </row>
    <row r="413" ht="19.5" customHeight="1">
      <c r="A413" s="46">
        <f t="shared" si="68"/>
        <v>5</v>
      </c>
      <c r="B413" s="37" t="s">
        <v>371</v>
      </c>
      <c r="C413" s="46" t="s">
        <v>103</v>
      </c>
      <c r="D413" s="78">
        <v>18.0</v>
      </c>
      <c r="E413" s="37">
        <v>0.5</v>
      </c>
      <c r="F413" s="78">
        <v>3.7</v>
      </c>
      <c r="G413" s="40"/>
      <c r="H413" s="40">
        <f>F413*E413*D413</f>
        <v>33.3</v>
      </c>
      <c r="I413" s="42"/>
      <c r="J413" s="64">
        <f t="shared" ref="J413:J414" si="69">H413</f>
        <v>33.3</v>
      </c>
      <c r="K413" s="46"/>
    </row>
    <row r="414" ht="19.5" customHeight="1">
      <c r="A414" s="46">
        <f t="shared" si="68"/>
        <v>6</v>
      </c>
      <c r="B414" s="37" t="s">
        <v>372</v>
      </c>
      <c r="C414" s="46" t="s">
        <v>103</v>
      </c>
      <c r="D414" s="78"/>
      <c r="E414" s="37"/>
      <c r="F414" s="78"/>
      <c r="G414" s="40"/>
      <c r="H414" s="40"/>
      <c r="I414" s="42"/>
      <c r="J414" s="64" t="str">
        <f t="shared" si="69"/>
        <v/>
      </c>
      <c r="K414" s="46"/>
    </row>
    <row r="415" ht="19.5" customHeight="1">
      <c r="A415" s="46">
        <f t="shared" si="68"/>
        <v>7</v>
      </c>
      <c r="B415" s="37" t="s">
        <v>373</v>
      </c>
      <c r="C415" s="46" t="s">
        <v>103</v>
      </c>
      <c r="D415" s="78"/>
      <c r="E415" s="37"/>
      <c r="F415" s="78"/>
      <c r="G415" s="40"/>
      <c r="H415" s="40"/>
      <c r="I415" s="42"/>
      <c r="J415" s="64">
        <f>J413</f>
        <v>33.3</v>
      </c>
      <c r="K415" s="79"/>
    </row>
    <row r="416" ht="19.5" customHeight="1">
      <c r="A416" s="74" t="s">
        <v>1</v>
      </c>
      <c r="B416" s="74" t="s">
        <v>91</v>
      </c>
      <c r="C416" s="74" t="s">
        <v>92</v>
      </c>
      <c r="D416" s="76" t="s">
        <v>93</v>
      </c>
      <c r="E416" s="50" t="s">
        <v>161</v>
      </c>
      <c r="F416" s="53" t="s">
        <v>121</v>
      </c>
      <c r="G416" s="53" t="s">
        <v>99</v>
      </c>
      <c r="H416" s="75" t="s">
        <v>100</v>
      </c>
      <c r="I416" s="75" t="s">
        <v>101</v>
      </c>
      <c r="J416" s="76" t="s">
        <v>95</v>
      </c>
      <c r="K416" s="74" t="s">
        <v>96</v>
      </c>
    </row>
    <row r="417" ht="19.5" customHeight="1">
      <c r="A417" s="46">
        <v>1.0</v>
      </c>
      <c r="B417" s="37" t="s">
        <v>162</v>
      </c>
      <c r="C417" s="46" t="s">
        <v>103</v>
      </c>
      <c r="D417" s="78">
        <v>84.64</v>
      </c>
      <c r="E417" s="37">
        <v>2.0</v>
      </c>
      <c r="F417" s="78"/>
      <c r="G417" s="40">
        <v>1.0</v>
      </c>
      <c r="H417" s="40">
        <f t="shared" ref="H417:H418" si="70">G417*E417*D417</f>
        <v>169.28</v>
      </c>
      <c r="I417" s="42"/>
      <c r="J417" s="40"/>
      <c r="K417" s="46"/>
    </row>
    <row r="418" ht="19.5" customHeight="1">
      <c r="A418" s="46">
        <v>2.0</v>
      </c>
      <c r="B418" s="37" t="s">
        <v>162</v>
      </c>
      <c r="C418" s="46" t="s">
        <v>103</v>
      </c>
      <c r="D418" s="78">
        <v>13.1</v>
      </c>
      <c r="E418" s="37">
        <v>2.0</v>
      </c>
      <c r="F418" s="78"/>
      <c r="G418" s="40">
        <v>1.0</v>
      </c>
      <c r="H418" s="40">
        <f t="shared" si="70"/>
        <v>26.2</v>
      </c>
      <c r="I418" s="42"/>
      <c r="J418" s="64">
        <f>SUM(H417:H418)</f>
        <v>195.48</v>
      </c>
      <c r="K418" s="46"/>
    </row>
    <row r="419" ht="19.5" customHeight="1">
      <c r="A419" s="74" t="s">
        <v>1</v>
      </c>
      <c r="B419" s="74" t="s">
        <v>91</v>
      </c>
      <c r="C419" s="74" t="s">
        <v>92</v>
      </c>
      <c r="D419" s="76" t="s">
        <v>93</v>
      </c>
      <c r="E419" s="50" t="s">
        <v>161</v>
      </c>
      <c r="F419" s="53" t="s">
        <v>121</v>
      </c>
      <c r="G419" s="53" t="s">
        <v>99</v>
      </c>
      <c r="H419" s="75" t="s">
        <v>100</v>
      </c>
      <c r="I419" s="75" t="s">
        <v>101</v>
      </c>
      <c r="J419" s="76" t="s">
        <v>95</v>
      </c>
      <c r="K419" s="74" t="s">
        <v>96</v>
      </c>
    </row>
    <row r="420" ht="19.5" customHeight="1">
      <c r="A420" s="46">
        <f t="shared" ref="A420:A421" si="71">A417+1</f>
        <v>2</v>
      </c>
      <c r="B420" s="37" t="s">
        <v>374</v>
      </c>
      <c r="C420" s="46" t="s">
        <v>106</v>
      </c>
      <c r="D420" s="78">
        <v>14.0</v>
      </c>
      <c r="E420" s="37">
        <v>1.0</v>
      </c>
      <c r="F420" s="78"/>
      <c r="G420" s="40">
        <v>1.0</v>
      </c>
      <c r="H420" s="40">
        <f t="shared" ref="H420:H422" si="72">G420*E420*D420</f>
        <v>14</v>
      </c>
      <c r="I420" s="42"/>
      <c r="J420" s="40"/>
      <c r="K420" s="46"/>
    </row>
    <row r="421" ht="19.5" customHeight="1">
      <c r="A421" s="46">
        <f t="shared" si="71"/>
        <v>3</v>
      </c>
      <c r="B421" s="37" t="s">
        <v>375</v>
      </c>
      <c r="C421" s="46" t="s">
        <v>106</v>
      </c>
      <c r="D421" s="78">
        <v>1.0</v>
      </c>
      <c r="E421" s="37">
        <v>1.0</v>
      </c>
      <c r="F421" s="78"/>
      <c r="G421" s="40">
        <v>1.0</v>
      </c>
      <c r="H421" s="40">
        <f t="shared" si="72"/>
        <v>1</v>
      </c>
      <c r="I421" s="42"/>
      <c r="J421" s="64">
        <f>SUM(H420:H421)</f>
        <v>15</v>
      </c>
      <c r="K421" s="46"/>
    </row>
    <row r="422" ht="19.5" customHeight="1">
      <c r="A422" s="46">
        <v>20.0</v>
      </c>
      <c r="B422" s="37" t="s">
        <v>376</v>
      </c>
      <c r="C422" s="46" t="s">
        <v>106</v>
      </c>
      <c r="D422" s="78">
        <v>25.0</v>
      </c>
      <c r="E422" s="37">
        <v>1.0</v>
      </c>
      <c r="F422" s="78"/>
      <c r="G422" s="40">
        <v>1.0</v>
      </c>
      <c r="H422" s="40">
        <f t="shared" si="72"/>
        <v>25</v>
      </c>
      <c r="I422" s="42"/>
      <c r="J422" s="64">
        <f>H422</f>
        <v>25</v>
      </c>
      <c r="K422" s="79"/>
    </row>
    <row r="423" ht="19.5" customHeight="1">
      <c r="A423" s="74" t="s">
        <v>1</v>
      </c>
      <c r="B423" s="74" t="s">
        <v>91</v>
      </c>
      <c r="C423" s="74" t="s">
        <v>92</v>
      </c>
      <c r="D423" s="76" t="s">
        <v>93</v>
      </c>
      <c r="E423" s="50" t="s">
        <v>161</v>
      </c>
      <c r="F423" s="53" t="s">
        <v>121</v>
      </c>
      <c r="G423" s="53" t="s">
        <v>99</v>
      </c>
      <c r="H423" s="75" t="s">
        <v>100</v>
      </c>
      <c r="I423" s="75" t="s">
        <v>101</v>
      </c>
      <c r="J423" s="76" t="s">
        <v>95</v>
      </c>
      <c r="K423" s="74" t="s">
        <v>96</v>
      </c>
    </row>
    <row r="424" ht="19.5" customHeight="1">
      <c r="A424" s="46">
        <v>1.0</v>
      </c>
      <c r="B424" s="37" t="s">
        <v>242</v>
      </c>
      <c r="C424" s="46" t="s">
        <v>103</v>
      </c>
      <c r="D424" s="78">
        <v>1.0</v>
      </c>
      <c r="E424" s="37">
        <v>1.0</v>
      </c>
      <c r="F424" s="78">
        <v>5.5</v>
      </c>
      <c r="G424" s="40">
        <v>0.6</v>
      </c>
      <c r="H424" s="40">
        <f t="shared" ref="H424:H426" si="73">G424*F424*E424</f>
        <v>3.3</v>
      </c>
      <c r="I424" s="42"/>
      <c r="J424" s="40"/>
      <c r="K424" s="46"/>
    </row>
    <row r="425" ht="19.5" customHeight="1">
      <c r="A425" s="46">
        <v>2.0</v>
      </c>
      <c r="B425" s="37" t="s">
        <v>242</v>
      </c>
      <c r="C425" s="46" t="s">
        <v>103</v>
      </c>
      <c r="D425" s="78">
        <v>1.0</v>
      </c>
      <c r="E425" s="37">
        <v>1.0</v>
      </c>
      <c r="F425" s="78">
        <v>3.5</v>
      </c>
      <c r="G425" s="40">
        <v>0.6</v>
      </c>
      <c r="H425" s="40">
        <f t="shared" si="73"/>
        <v>2.1</v>
      </c>
      <c r="I425" s="42"/>
      <c r="J425" s="77"/>
      <c r="K425" s="46"/>
    </row>
    <row r="426" ht="19.5" customHeight="1">
      <c r="A426" s="46">
        <v>3.0</v>
      </c>
      <c r="B426" s="37" t="s">
        <v>242</v>
      </c>
      <c r="C426" s="46" t="s">
        <v>377</v>
      </c>
      <c r="D426" s="78">
        <v>1.0</v>
      </c>
      <c r="E426" s="37">
        <v>1.0</v>
      </c>
      <c r="F426" s="78">
        <v>1.0</v>
      </c>
      <c r="G426" s="40">
        <v>0.6</v>
      </c>
      <c r="H426" s="40">
        <f t="shared" si="73"/>
        <v>0.6</v>
      </c>
      <c r="I426" s="93"/>
      <c r="J426" s="64">
        <f>SUM(H424:H426)</f>
        <v>6</v>
      </c>
      <c r="K426" s="79"/>
    </row>
    <row r="427" ht="19.5" customHeight="1">
      <c r="A427" s="74" t="s">
        <v>1</v>
      </c>
      <c r="B427" s="74" t="s">
        <v>91</v>
      </c>
      <c r="C427" s="74" t="s">
        <v>92</v>
      </c>
      <c r="D427" s="76" t="s">
        <v>93</v>
      </c>
      <c r="E427" s="50" t="s">
        <v>161</v>
      </c>
      <c r="F427" s="53" t="s">
        <v>121</v>
      </c>
      <c r="G427" s="53" t="s">
        <v>97</v>
      </c>
      <c r="H427" s="75" t="s">
        <v>100</v>
      </c>
      <c r="I427" s="75" t="s">
        <v>101</v>
      </c>
      <c r="J427" s="76" t="s">
        <v>95</v>
      </c>
      <c r="K427" s="74" t="s">
        <v>96</v>
      </c>
    </row>
    <row r="428" ht="19.5" customHeight="1">
      <c r="A428" s="46">
        <v>1.0</v>
      </c>
      <c r="B428" s="37" t="s">
        <v>244</v>
      </c>
      <c r="C428" s="46" t="s">
        <v>103</v>
      </c>
      <c r="D428" s="78">
        <v>8.0</v>
      </c>
      <c r="E428" s="37">
        <v>1.0</v>
      </c>
      <c r="F428" s="78">
        <v>1.5</v>
      </c>
      <c r="G428" s="40">
        <v>1.8</v>
      </c>
      <c r="H428" s="40">
        <f>F428*E428*D428</f>
        <v>12</v>
      </c>
      <c r="I428" s="42"/>
      <c r="J428" s="40"/>
      <c r="K428" s="46"/>
    </row>
    <row r="429" ht="19.5" customHeight="1">
      <c r="A429" s="46">
        <v>2.0</v>
      </c>
      <c r="B429" s="37" t="s">
        <v>244</v>
      </c>
      <c r="C429" s="46" t="s">
        <v>103</v>
      </c>
      <c r="D429" s="78">
        <v>8.0</v>
      </c>
      <c r="E429" s="37">
        <v>1.0</v>
      </c>
      <c r="F429" s="78">
        <v>0.5</v>
      </c>
      <c r="G429" s="40">
        <v>1.8</v>
      </c>
      <c r="H429" s="40">
        <f>G429*F429*E429</f>
        <v>0.9</v>
      </c>
      <c r="I429" s="42"/>
      <c r="J429" s="64">
        <f>SUM(H428:H429)</f>
        <v>12.9</v>
      </c>
      <c r="K429" s="46"/>
    </row>
    <row r="430" ht="19.5" customHeight="1">
      <c r="A430" s="74" t="s">
        <v>1</v>
      </c>
      <c r="B430" s="74" t="s">
        <v>91</v>
      </c>
      <c r="C430" s="74" t="s">
        <v>92</v>
      </c>
      <c r="D430" s="76" t="s">
        <v>93</v>
      </c>
      <c r="E430" s="50" t="s">
        <v>161</v>
      </c>
      <c r="F430" s="53"/>
      <c r="G430" s="53"/>
      <c r="H430" s="75" t="s">
        <v>100</v>
      </c>
      <c r="I430" s="75" t="s">
        <v>101</v>
      </c>
      <c r="J430" s="76" t="s">
        <v>95</v>
      </c>
      <c r="K430" s="74" t="s">
        <v>96</v>
      </c>
    </row>
    <row r="431" ht="19.5" customHeight="1">
      <c r="A431" s="46">
        <v>1.0</v>
      </c>
      <c r="B431" s="37" t="s">
        <v>245</v>
      </c>
      <c r="C431" s="46" t="s">
        <v>106</v>
      </c>
      <c r="D431" s="78">
        <v>4.0</v>
      </c>
      <c r="E431" s="37">
        <v>20.0</v>
      </c>
      <c r="F431" s="78"/>
      <c r="G431" s="40"/>
      <c r="H431" s="40">
        <f>E431*D431+6</f>
        <v>86</v>
      </c>
      <c r="I431" s="42"/>
      <c r="J431" s="64">
        <f t="shared" ref="J431:J449" si="74">H431</f>
        <v>86</v>
      </c>
      <c r="K431" s="46"/>
    </row>
    <row r="432" ht="19.5" customHeight="1">
      <c r="A432" s="46">
        <f t="shared" ref="A432:A449" si="75">A431+1</f>
        <v>2</v>
      </c>
      <c r="B432" s="37" t="s">
        <v>245</v>
      </c>
      <c r="C432" s="46" t="s">
        <v>106</v>
      </c>
      <c r="D432" s="78">
        <v>19.0</v>
      </c>
      <c r="E432" s="37">
        <v>1.0</v>
      </c>
      <c r="F432" s="78"/>
      <c r="G432" s="40"/>
      <c r="H432" s="40">
        <f t="shared" ref="H432:H449" si="76">E432*D432</f>
        <v>19</v>
      </c>
      <c r="I432" s="42"/>
      <c r="J432" s="64">
        <f t="shared" si="74"/>
        <v>19</v>
      </c>
      <c r="K432" s="46"/>
    </row>
    <row r="433" ht="19.5" customHeight="1">
      <c r="A433" s="46">
        <f t="shared" si="75"/>
        <v>3</v>
      </c>
      <c r="B433" s="37" t="s">
        <v>246</v>
      </c>
      <c r="C433" s="46" t="s">
        <v>106</v>
      </c>
      <c r="D433" s="78">
        <v>4.0</v>
      </c>
      <c r="E433" s="37">
        <v>20.0</v>
      </c>
      <c r="F433" s="78"/>
      <c r="G433" s="40"/>
      <c r="H433" s="40">
        <f t="shared" si="76"/>
        <v>80</v>
      </c>
      <c r="I433" s="42"/>
      <c r="J433" s="64">
        <f t="shared" si="74"/>
        <v>80</v>
      </c>
      <c r="K433" s="46"/>
    </row>
    <row r="434" ht="19.5" customHeight="1">
      <c r="A434" s="46">
        <f t="shared" si="75"/>
        <v>4</v>
      </c>
      <c r="B434" s="37" t="s">
        <v>246</v>
      </c>
      <c r="C434" s="46" t="s">
        <v>106</v>
      </c>
      <c r="D434" s="78">
        <v>8.0</v>
      </c>
      <c r="E434" s="37">
        <v>1.0</v>
      </c>
      <c r="F434" s="78"/>
      <c r="G434" s="40"/>
      <c r="H434" s="40">
        <f t="shared" si="76"/>
        <v>8</v>
      </c>
      <c r="I434" s="42"/>
      <c r="J434" s="64">
        <f t="shared" si="74"/>
        <v>8</v>
      </c>
      <c r="K434" s="46"/>
    </row>
    <row r="435" ht="19.5" customHeight="1">
      <c r="A435" s="46">
        <f t="shared" si="75"/>
        <v>5</v>
      </c>
      <c r="B435" s="37" t="s">
        <v>247</v>
      </c>
      <c r="C435" s="46" t="s">
        <v>106</v>
      </c>
      <c r="D435" s="78">
        <v>2.0</v>
      </c>
      <c r="E435" s="37">
        <v>1.0</v>
      </c>
      <c r="F435" s="78"/>
      <c r="G435" s="40"/>
      <c r="H435" s="40">
        <f t="shared" si="76"/>
        <v>2</v>
      </c>
      <c r="I435" s="42"/>
      <c r="J435" s="64">
        <f t="shared" si="74"/>
        <v>2</v>
      </c>
      <c r="K435" s="46"/>
    </row>
    <row r="436" ht="19.5" customHeight="1">
      <c r="A436" s="46">
        <f t="shared" si="75"/>
        <v>6</v>
      </c>
      <c r="B436" s="37" t="s">
        <v>248</v>
      </c>
      <c r="C436" s="46" t="s">
        <v>106</v>
      </c>
      <c r="D436" s="78">
        <v>4.0</v>
      </c>
      <c r="E436" s="37">
        <v>1.0</v>
      </c>
      <c r="F436" s="78"/>
      <c r="G436" s="40"/>
      <c r="H436" s="40">
        <f t="shared" si="76"/>
        <v>4</v>
      </c>
      <c r="I436" s="42"/>
      <c r="J436" s="64">
        <f t="shared" si="74"/>
        <v>4</v>
      </c>
      <c r="K436" s="46"/>
    </row>
    <row r="437" ht="19.5" customHeight="1">
      <c r="A437" s="46">
        <f t="shared" si="75"/>
        <v>7</v>
      </c>
      <c r="B437" s="37" t="s">
        <v>249</v>
      </c>
      <c r="C437" s="46" t="s">
        <v>106</v>
      </c>
      <c r="D437" s="78">
        <v>11.0</v>
      </c>
      <c r="E437" s="37">
        <v>1.0</v>
      </c>
      <c r="F437" s="78"/>
      <c r="G437" s="40"/>
      <c r="H437" s="40">
        <f t="shared" si="76"/>
        <v>11</v>
      </c>
      <c r="I437" s="42"/>
      <c r="J437" s="64">
        <f t="shared" si="74"/>
        <v>11</v>
      </c>
      <c r="K437" s="46"/>
    </row>
    <row r="438" ht="19.5" customHeight="1">
      <c r="A438" s="46">
        <f t="shared" si="75"/>
        <v>8</v>
      </c>
      <c r="B438" s="37" t="s">
        <v>250</v>
      </c>
      <c r="C438" s="46" t="s">
        <v>106</v>
      </c>
      <c r="D438" s="123">
        <f>H437+H436+H435+H434+H433</f>
        <v>105</v>
      </c>
      <c r="E438" s="37">
        <v>1.0</v>
      </c>
      <c r="F438" s="40"/>
      <c r="G438" s="40"/>
      <c r="H438" s="40">
        <f t="shared" si="76"/>
        <v>105</v>
      </c>
      <c r="I438" s="40"/>
      <c r="J438" s="64">
        <f t="shared" si="74"/>
        <v>105</v>
      </c>
      <c r="K438" s="46"/>
    </row>
    <row r="439" ht="19.5" customHeight="1">
      <c r="A439" s="46">
        <f t="shared" si="75"/>
        <v>9</v>
      </c>
      <c r="B439" s="37" t="s">
        <v>251</v>
      </c>
      <c r="C439" s="46" t="s">
        <v>106</v>
      </c>
      <c r="D439" s="123">
        <f>H432+H431</f>
        <v>105</v>
      </c>
      <c r="E439" s="37">
        <v>1.0</v>
      </c>
      <c r="F439" s="40"/>
      <c r="G439" s="40"/>
      <c r="H439" s="40">
        <f t="shared" si="76"/>
        <v>105</v>
      </c>
      <c r="I439" s="40"/>
      <c r="J439" s="64">
        <f t="shared" si="74"/>
        <v>105</v>
      </c>
      <c r="K439" s="46"/>
    </row>
    <row r="440" ht="19.5" customHeight="1">
      <c r="A440" s="46">
        <f t="shared" si="75"/>
        <v>10</v>
      </c>
      <c r="B440" s="37" t="s">
        <v>252</v>
      </c>
      <c r="C440" s="46" t="s">
        <v>108</v>
      </c>
      <c r="D440" s="123">
        <v>800.0</v>
      </c>
      <c r="E440" s="37">
        <v>1.0</v>
      </c>
      <c r="F440" s="40"/>
      <c r="G440" s="40"/>
      <c r="H440" s="40">
        <f t="shared" si="76"/>
        <v>800</v>
      </c>
      <c r="I440" s="40"/>
      <c r="J440" s="64">
        <f t="shared" si="74"/>
        <v>800</v>
      </c>
      <c r="K440" s="46"/>
    </row>
    <row r="441" ht="19.5" customHeight="1">
      <c r="A441" s="46">
        <f t="shared" si="75"/>
        <v>11</v>
      </c>
      <c r="B441" s="37" t="s">
        <v>253</v>
      </c>
      <c r="C441" s="46" t="s">
        <v>108</v>
      </c>
      <c r="D441" s="123">
        <v>300.0</v>
      </c>
      <c r="E441" s="37">
        <v>1.0</v>
      </c>
      <c r="F441" s="40"/>
      <c r="G441" s="40"/>
      <c r="H441" s="40">
        <f t="shared" si="76"/>
        <v>300</v>
      </c>
      <c r="I441" s="40"/>
      <c r="J441" s="64">
        <f t="shared" si="74"/>
        <v>300</v>
      </c>
      <c r="K441" s="46"/>
    </row>
    <row r="442" ht="19.5" customHeight="1">
      <c r="A442" s="46">
        <f t="shared" si="75"/>
        <v>12</v>
      </c>
      <c r="B442" s="37" t="s">
        <v>254</v>
      </c>
      <c r="C442" s="46" t="s">
        <v>108</v>
      </c>
      <c r="D442" s="123">
        <v>3000.0</v>
      </c>
      <c r="E442" s="37">
        <v>1.0</v>
      </c>
      <c r="F442" s="40"/>
      <c r="G442" s="40"/>
      <c r="H442" s="40">
        <f t="shared" si="76"/>
        <v>3000</v>
      </c>
      <c r="I442" s="40"/>
      <c r="J442" s="64">
        <f t="shared" si="74"/>
        <v>3000</v>
      </c>
      <c r="K442" s="46"/>
    </row>
    <row r="443" ht="19.5" customHeight="1">
      <c r="A443" s="46">
        <f t="shared" si="75"/>
        <v>13</v>
      </c>
      <c r="B443" s="37" t="s">
        <v>255</v>
      </c>
      <c r="C443" s="46" t="s">
        <v>108</v>
      </c>
      <c r="D443" s="123">
        <v>22.0</v>
      </c>
      <c r="E443" s="37">
        <v>19.0</v>
      </c>
      <c r="F443" s="40"/>
      <c r="G443" s="40"/>
      <c r="H443" s="40">
        <f t="shared" si="76"/>
        <v>418</v>
      </c>
      <c r="I443" s="40"/>
      <c r="J443" s="64">
        <f t="shared" si="74"/>
        <v>418</v>
      </c>
      <c r="K443" s="46"/>
    </row>
    <row r="444" ht="19.5" customHeight="1">
      <c r="A444" s="46">
        <f t="shared" si="75"/>
        <v>14</v>
      </c>
      <c r="B444" s="37" t="s">
        <v>256</v>
      </c>
      <c r="C444" s="46" t="s">
        <v>108</v>
      </c>
      <c r="D444" s="123">
        <v>100.0</v>
      </c>
      <c r="E444" s="37">
        <v>1.0</v>
      </c>
      <c r="F444" s="40"/>
      <c r="G444" s="40"/>
      <c r="H444" s="40">
        <f t="shared" si="76"/>
        <v>100</v>
      </c>
      <c r="I444" s="40"/>
      <c r="J444" s="64">
        <f t="shared" si="74"/>
        <v>100</v>
      </c>
      <c r="K444" s="46"/>
    </row>
    <row r="445" ht="19.5" customHeight="1">
      <c r="A445" s="46">
        <f t="shared" si="75"/>
        <v>15</v>
      </c>
      <c r="B445" s="37" t="s">
        <v>257</v>
      </c>
      <c r="C445" s="46" t="s">
        <v>106</v>
      </c>
      <c r="D445" s="123">
        <v>2.0</v>
      </c>
      <c r="E445" s="37">
        <v>1.0</v>
      </c>
      <c r="F445" s="40"/>
      <c r="G445" s="40"/>
      <c r="H445" s="40">
        <f t="shared" si="76"/>
        <v>2</v>
      </c>
      <c r="I445" s="40"/>
      <c r="J445" s="64">
        <f t="shared" si="74"/>
        <v>2</v>
      </c>
      <c r="K445" s="46"/>
    </row>
    <row r="446" ht="19.5" customHeight="1">
      <c r="A446" s="46">
        <f t="shared" si="75"/>
        <v>16</v>
      </c>
      <c r="B446" s="37" t="s">
        <v>258</v>
      </c>
      <c r="C446" s="46" t="s">
        <v>106</v>
      </c>
      <c r="D446" s="123">
        <v>13.0</v>
      </c>
      <c r="E446" s="37">
        <v>1.0</v>
      </c>
      <c r="F446" s="40"/>
      <c r="G446" s="40"/>
      <c r="H446" s="40">
        <f t="shared" si="76"/>
        <v>13</v>
      </c>
      <c r="I446" s="40"/>
      <c r="J446" s="64">
        <f t="shared" si="74"/>
        <v>13</v>
      </c>
      <c r="K446" s="46"/>
    </row>
    <row r="447" ht="19.5" customHeight="1">
      <c r="A447" s="46">
        <f t="shared" si="75"/>
        <v>17</v>
      </c>
      <c r="B447" s="37" t="s">
        <v>259</v>
      </c>
      <c r="C447" s="46" t="s">
        <v>108</v>
      </c>
      <c r="D447" s="123">
        <v>100.0</v>
      </c>
      <c r="E447" s="37">
        <v>1.0</v>
      </c>
      <c r="F447" s="40"/>
      <c r="G447" s="40"/>
      <c r="H447" s="40">
        <f t="shared" si="76"/>
        <v>100</v>
      </c>
      <c r="I447" s="40"/>
      <c r="J447" s="64">
        <f t="shared" si="74"/>
        <v>100</v>
      </c>
      <c r="K447" s="46"/>
    </row>
    <row r="448" ht="19.5" customHeight="1">
      <c r="A448" s="46">
        <f t="shared" si="75"/>
        <v>18</v>
      </c>
      <c r="B448" s="37" t="s">
        <v>260</v>
      </c>
      <c r="C448" s="46" t="s">
        <v>108</v>
      </c>
      <c r="D448" s="123">
        <v>84.64</v>
      </c>
      <c r="E448" s="37">
        <v>1.0</v>
      </c>
      <c r="F448" s="40"/>
      <c r="G448" s="40"/>
      <c r="H448" s="40">
        <f t="shared" si="76"/>
        <v>84.64</v>
      </c>
      <c r="I448" s="40"/>
      <c r="J448" s="64">
        <f t="shared" si="74"/>
        <v>84.64</v>
      </c>
      <c r="K448" s="46"/>
    </row>
    <row r="449" ht="19.5" customHeight="1">
      <c r="A449" s="46">
        <f t="shared" si="75"/>
        <v>19</v>
      </c>
      <c r="B449" s="37" t="s">
        <v>261</v>
      </c>
      <c r="C449" s="46" t="s">
        <v>106</v>
      </c>
      <c r="D449" s="123">
        <v>6.0</v>
      </c>
      <c r="E449" s="37">
        <v>1.0</v>
      </c>
      <c r="F449" s="40"/>
      <c r="G449" s="40"/>
      <c r="H449" s="40">
        <f t="shared" si="76"/>
        <v>6</v>
      </c>
      <c r="I449" s="40"/>
      <c r="J449" s="64">
        <f t="shared" si="74"/>
        <v>6</v>
      </c>
      <c r="K449" s="46"/>
    </row>
    <row r="450" ht="19.5" customHeight="1">
      <c r="A450" s="12"/>
      <c r="C450" s="12"/>
      <c r="D450" s="87"/>
      <c r="F450" s="14"/>
      <c r="G450" s="14"/>
      <c r="H450" s="14"/>
      <c r="I450" s="14"/>
      <c r="J450" s="14"/>
      <c r="K450" s="12"/>
    </row>
    <row r="451" ht="19.5" customHeight="1">
      <c r="A451" s="74" t="s">
        <v>1</v>
      </c>
      <c r="B451" s="74" t="s">
        <v>91</v>
      </c>
      <c r="C451" s="74" t="s">
        <v>92</v>
      </c>
      <c r="D451" s="76" t="s">
        <v>93</v>
      </c>
      <c r="E451" s="50" t="s">
        <v>161</v>
      </c>
      <c r="F451" s="53" t="s">
        <v>121</v>
      </c>
      <c r="G451" s="53" t="s">
        <v>99</v>
      </c>
      <c r="H451" s="53" t="s">
        <v>100</v>
      </c>
      <c r="I451" s="53" t="s">
        <v>101</v>
      </c>
      <c r="J451" s="76" t="s">
        <v>95</v>
      </c>
      <c r="K451" s="74" t="s">
        <v>96</v>
      </c>
    </row>
    <row r="452" ht="19.5" customHeight="1">
      <c r="A452" s="46">
        <v>1.0</v>
      </c>
      <c r="B452" s="37" t="s">
        <v>262</v>
      </c>
      <c r="C452" s="46" t="s">
        <v>108</v>
      </c>
      <c r="D452" s="78">
        <v>200.0</v>
      </c>
      <c r="E452" s="37">
        <v>1.0</v>
      </c>
      <c r="F452" s="78"/>
      <c r="G452" s="40"/>
      <c r="H452" s="40">
        <f t="shared" ref="H452:H475" si="77">E452*D452</f>
        <v>200</v>
      </c>
      <c r="I452" s="42"/>
      <c r="J452" s="64">
        <f t="shared" ref="J452:J475" si="78">H452</f>
        <v>200</v>
      </c>
      <c r="K452" s="46"/>
    </row>
    <row r="453" ht="19.5" customHeight="1">
      <c r="A453" s="46">
        <f t="shared" ref="A453:A475" si="79">A452+1</f>
        <v>2</v>
      </c>
      <c r="B453" s="37" t="s">
        <v>263</v>
      </c>
      <c r="C453" s="46" t="s">
        <v>108</v>
      </c>
      <c r="D453" s="123">
        <v>100.0</v>
      </c>
      <c r="E453" s="37">
        <v>1.0</v>
      </c>
      <c r="F453" s="40"/>
      <c r="G453" s="40"/>
      <c r="H453" s="40">
        <f t="shared" si="77"/>
        <v>100</v>
      </c>
      <c r="I453" s="40"/>
      <c r="J453" s="64">
        <f t="shared" si="78"/>
        <v>100</v>
      </c>
      <c r="K453" s="46"/>
    </row>
    <row r="454" ht="19.5" customHeight="1">
      <c r="A454" s="46">
        <f t="shared" si="79"/>
        <v>3</v>
      </c>
      <c r="B454" s="37" t="s">
        <v>264</v>
      </c>
      <c r="C454" s="46" t="s">
        <v>108</v>
      </c>
      <c r="D454" s="123">
        <v>100.0</v>
      </c>
      <c r="E454" s="37">
        <v>1.0</v>
      </c>
      <c r="F454" s="40"/>
      <c r="G454" s="40"/>
      <c r="H454" s="40">
        <f t="shared" si="77"/>
        <v>100</v>
      </c>
      <c r="I454" s="40"/>
      <c r="J454" s="64">
        <f t="shared" si="78"/>
        <v>100</v>
      </c>
      <c r="K454" s="46"/>
    </row>
    <row r="455" ht="19.5" customHeight="1">
      <c r="A455" s="46">
        <f t="shared" si="79"/>
        <v>4</v>
      </c>
      <c r="B455" s="37" t="s">
        <v>265</v>
      </c>
      <c r="C455" s="46" t="s">
        <v>106</v>
      </c>
      <c r="D455" s="123">
        <v>4.0</v>
      </c>
      <c r="E455" s="37">
        <v>1.0</v>
      </c>
      <c r="F455" s="40"/>
      <c r="G455" s="40"/>
      <c r="H455" s="40">
        <f t="shared" si="77"/>
        <v>4</v>
      </c>
      <c r="I455" s="40"/>
      <c r="J455" s="64">
        <f t="shared" si="78"/>
        <v>4</v>
      </c>
      <c r="K455" s="46"/>
    </row>
    <row r="456" ht="19.5" customHeight="1">
      <c r="A456" s="46">
        <f t="shared" si="79"/>
        <v>5</v>
      </c>
      <c r="B456" s="37" t="s">
        <v>266</v>
      </c>
      <c r="C456" s="46" t="s">
        <v>106</v>
      </c>
      <c r="D456" s="123">
        <v>8.0</v>
      </c>
      <c r="E456" s="37">
        <v>1.0</v>
      </c>
      <c r="F456" s="40"/>
      <c r="G456" s="40"/>
      <c r="H456" s="40">
        <f t="shared" si="77"/>
        <v>8</v>
      </c>
      <c r="I456" s="40"/>
      <c r="J456" s="64">
        <f t="shared" si="78"/>
        <v>8</v>
      </c>
      <c r="K456" s="46"/>
    </row>
    <row r="457" ht="19.5" customHeight="1">
      <c r="A457" s="46">
        <f t="shared" si="79"/>
        <v>6</v>
      </c>
      <c r="B457" s="37" t="s">
        <v>267</v>
      </c>
      <c r="C457" s="46" t="s">
        <v>106</v>
      </c>
      <c r="D457" s="123">
        <v>8.0</v>
      </c>
      <c r="E457" s="37">
        <v>1.0</v>
      </c>
      <c r="F457" s="40"/>
      <c r="G457" s="40"/>
      <c r="H457" s="40">
        <f t="shared" si="77"/>
        <v>8</v>
      </c>
      <c r="I457" s="40"/>
      <c r="J457" s="64">
        <f t="shared" si="78"/>
        <v>8</v>
      </c>
      <c r="K457" s="46"/>
    </row>
    <row r="458" ht="19.5" customHeight="1">
      <c r="A458" s="46">
        <f t="shared" si="79"/>
        <v>7</v>
      </c>
      <c r="B458" s="37" t="s">
        <v>268</v>
      </c>
      <c r="C458" s="46" t="s">
        <v>106</v>
      </c>
      <c r="D458" s="123">
        <v>8.0</v>
      </c>
      <c r="E458" s="37">
        <v>1.0</v>
      </c>
      <c r="F458" s="40"/>
      <c r="G458" s="40"/>
      <c r="H458" s="40">
        <f t="shared" si="77"/>
        <v>8</v>
      </c>
      <c r="I458" s="40"/>
      <c r="J458" s="64">
        <f t="shared" si="78"/>
        <v>8</v>
      </c>
      <c r="K458" s="46"/>
    </row>
    <row r="459" ht="19.5" customHeight="1">
      <c r="A459" s="46">
        <f t="shared" si="79"/>
        <v>8</v>
      </c>
      <c r="B459" s="37" t="s">
        <v>269</v>
      </c>
      <c r="C459" s="46" t="s">
        <v>106</v>
      </c>
      <c r="D459" s="123">
        <v>8.0</v>
      </c>
      <c r="E459" s="37">
        <v>1.0</v>
      </c>
      <c r="F459" s="40"/>
      <c r="G459" s="40"/>
      <c r="H459" s="40">
        <f t="shared" si="77"/>
        <v>8</v>
      </c>
      <c r="I459" s="40"/>
      <c r="J459" s="64">
        <f t="shared" si="78"/>
        <v>8</v>
      </c>
      <c r="K459" s="46"/>
    </row>
    <row r="460" ht="19.5" customHeight="1">
      <c r="A460" s="46">
        <f t="shared" si="79"/>
        <v>9</v>
      </c>
      <c r="B460" s="37" t="s">
        <v>270</v>
      </c>
      <c r="C460" s="46" t="s">
        <v>106</v>
      </c>
      <c r="D460" s="123">
        <v>8.0</v>
      </c>
      <c r="E460" s="37">
        <v>1.0</v>
      </c>
      <c r="F460" s="40"/>
      <c r="G460" s="40"/>
      <c r="H460" s="40">
        <f t="shared" si="77"/>
        <v>8</v>
      </c>
      <c r="I460" s="40"/>
      <c r="J460" s="64">
        <f t="shared" si="78"/>
        <v>8</v>
      </c>
      <c r="K460" s="46"/>
    </row>
    <row r="461" ht="19.5" customHeight="1">
      <c r="A461" s="46">
        <f t="shared" si="79"/>
        <v>10</v>
      </c>
      <c r="B461" s="37" t="s">
        <v>271</v>
      </c>
      <c r="C461" s="46" t="s">
        <v>106</v>
      </c>
      <c r="D461" s="123">
        <v>8.0</v>
      </c>
      <c r="E461" s="37">
        <v>1.0</v>
      </c>
      <c r="F461" s="40"/>
      <c r="G461" s="40"/>
      <c r="H461" s="40">
        <f t="shared" si="77"/>
        <v>8</v>
      </c>
      <c r="I461" s="40"/>
      <c r="J461" s="64">
        <f t="shared" si="78"/>
        <v>8</v>
      </c>
      <c r="K461" s="46"/>
    </row>
    <row r="462" ht="19.5" customHeight="1">
      <c r="A462" s="46">
        <f t="shared" si="79"/>
        <v>11</v>
      </c>
      <c r="B462" s="37" t="s">
        <v>272</v>
      </c>
      <c r="C462" s="46" t="s">
        <v>106</v>
      </c>
      <c r="D462" s="123">
        <v>8.0</v>
      </c>
      <c r="E462" s="37">
        <v>1.0</v>
      </c>
      <c r="F462" s="40"/>
      <c r="G462" s="40"/>
      <c r="H462" s="40">
        <f t="shared" si="77"/>
        <v>8</v>
      </c>
      <c r="I462" s="40"/>
      <c r="J462" s="64">
        <f t="shared" si="78"/>
        <v>8</v>
      </c>
      <c r="K462" s="46"/>
    </row>
    <row r="463" ht="19.5" customHeight="1">
      <c r="A463" s="46">
        <f t="shared" si="79"/>
        <v>12</v>
      </c>
      <c r="B463" s="37" t="s">
        <v>273</v>
      </c>
      <c r="C463" s="46" t="s">
        <v>106</v>
      </c>
      <c r="D463" s="123">
        <v>4.0</v>
      </c>
      <c r="E463" s="37">
        <v>1.0</v>
      </c>
      <c r="F463" s="40"/>
      <c r="G463" s="40"/>
      <c r="H463" s="40">
        <f t="shared" si="77"/>
        <v>4</v>
      </c>
      <c r="I463" s="40"/>
      <c r="J463" s="64">
        <f t="shared" si="78"/>
        <v>4</v>
      </c>
      <c r="K463" s="46"/>
    </row>
    <row r="464" ht="19.5" customHeight="1">
      <c r="A464" s="46">
        <f t="shared" si="79"/>
        <v>13</v>
      </c>
      <c r="B464" s="37" t="s">
        <v>274</v>
      </c>
      <c r="C464" s="46" t="s">
        <v>106</v>
      </c>
      <c r="D464" s="123">
        <v>4.0</v>
      </c>
      <c r="E464" s="37">
        <v>1.0</v>
      </c>
      <c r="F464" s="40"/>
      <c r="G464" s="40"/>
      <c r="H464" s="40">
        <f t="shared" si="77"/>
        <v>4</v>
      </c>
      <c r="I464" s="40"/>
      <c r="J464" s="64">
        <f t="shared" si="78"/>
        <v>4</v>
      </c>
      <c r="K464" s="46"/>
    </row>
    <row r="465" ht="19.5" customHeight="1">
      <c r="A465" s="46">
        <f t="shared" si="79"/>
        <v>14</v>
      </c>
      <c r="B465" s="37" t="s">
        <v>275</v>
      </c>
      <c r="C465" s="46" t="s">
        <v>106</v>
      </c>
      <c r="D465" s="123">
        <v>4.0</v>
      </c>
      <c r="E465" s="37">
        <v>1.0</v>
      </c>
      <c r="F465" s="40"/>
      <c r="G465" s="40"/>
      <c r="H465" s="40">
        <f t="shared" si="77"/>
        <v>4</v>
      </c>
      <c r="I465" s="40"/>
      <c r="J465" s="64">
        <f t="shared" si="78"/>
        <v>4</v>
      </c>
      <c r="K465" s="46"/>
    </row>
    <row r="466" ht="19.5" customHeight="1">
      <c r="A466" s="46">
        <f t="shared" si="79"/>
        <v>15</v>
      </c>
      <c r="B466" s="37" t="s">
        <v>276</v>
      </c>
      <c r="C466" s="46" t="s">
        <v>106</v>
      </c>
      <c r="D466" s="123">
        <v>4.0</v>
      </c>
      <c r="E466" s="37">
        <v>1.0</v>
      </c>
      <c r="F466" s="40"/>
      <c r="G466" s="40"/>
      <c r="H466" s="40">
        <f t="shared" si="77"/>
        <v>4</v>
      </c>
      <c r="I466" s="40"/>
      <c r="J466" s="64">
        <f t="shared" si="78"/>
        <v>4</v>
      </c>
      <c r="K466" s="46"/>
    </row>
    <row r="467" ht="19.5" customHeight="1">
      <c r="A467" s="46">
        <f t="shared" si="79"/>
        <v>16</v>
      </c>
      <c r="B467" s="37" t="s">
        <v>277</v>
      </c>
      <c r="C467" s="46" t="s">
        <v>106</v>
      </c>
      <c r="D467" s="123">
        <v>3.0</v>
      </c>
      <c r="E467" s="37">
        <v>1.0</v>
      </c>
      <c r="F467" s="40"/>
      <c r="G467" s="40"/>
      <c r="H467" s="40">
        <f t="shared" si="77"/>
        <v>3</v>
      </c>
      <c r="I467" s="40"/>
      <c r="J467" s="64">
        <f t="shared" si="78"/>
        <v>3</v>
      </c>
      <c r="K467" s="46"/>
    </row>
    <row r="468" ht="19.5" customHeight="1">
      <c r="A468" s="46">
        <f t="shared" si="79"/>
        <v>17</v>
      </c>
      <c r="B468" s="37" t="s">
        <v>278</v>
      </c>
      <c r="C468" s="46" t="s">
        <v>106</v>
      </c>
      <c r="D468" s="123">
        <v>3.0</v>
      </c>
      <c r="E468" s="37">
        <v>1.0</v>
      </c>
      <c r="F468" s="40"/>
      <c r="G468" s="40"/>
      <c r="H468" s="40">
        <f t="shared" si="77"/>
        <v>3</v>
      </c>
      <c r="I468" s="40"/>
      <c r="J468" s="64">
        <f t="shared" si="78"/>
        <v>3</v>
      </c>
      <c r="K468" s="46"/>
    </row>
    <row r="469" ht="19.5" customHeight="1">
      <c r="A469" s="46">
        <f t="shared" si="79"/>
        <v>18</v>
      </c>
      <c r="B469" s="37" t="s">
        <v>279</v>
      </c>
      <c r="C469" s="46" t="s">
        <v>106</v>
      </c>
      <c r="D469" s="123">
        <v>10.0</v>
      </c>
      <c r="E469" s="37">
        <v>1.0</v>
      </c>
      <c r="F469" s="40"/>
      <c r="G469" s="40"/>
      <c r="H469" s="40">
        <f t="shared" si="77"/>
        <v>10</v>
      </c>
      <c r="I469" s="40"/>
      <c r="J469" s="64">
        <f t="shared" si="78"/>
        <v>10</v>
      </c>
      <c r="K469" s="46"/>
    </row>
    <row r="470" ht="19.5" customHeight="1">
      <c r="A470" s="46">
        <f t="shared" si="79"/>
        <v>19</v>
      </c>
      <c r="B470" s="37" t="s">
        <v>280</v>
      </c>
      <c r="C470" s="46" t="s">
        <v>106</v>
      </c>
      <c r="D470" s="123">
        <v>14.0</v>
      </c>
      <c r="E470" s="37">
        <v>1.0</v>
      </c>
      <c r="F470" s="40"/>
      <c r="G470" s="40"/>
      <c r="H470" s="40">
        <f t="shared" si="77"/>
        <v>14</v>
      </c>
      <c r="I470" s="40"/>
      <c r="J470" s="64">
        <f t="shared" si="78"/>
        <v>14</v>
      </c>
      <c r="K470" s="46"/>
    </row>
    <row r="471" ht="19.5" customHeight="1">
      <c r="A471" s="46">
        <f t="shared" si="79"/>
        <v>20</v>
      </c>
      <c r="B471" s="37" t="s">
        <v>281</v>
      </c>
      <c r="C471" s="46" t="s">
        <v>106</v>
      </c>
      <c r="D471" s="123">
        <v>9.0</v>
      </c>
      <c r="E471" s="37">
        <v>1.0</v>
      </c>
      <c r="F471" s="40"/>
      <c r="G471" s="40"/>
      <c r="H471" s="40">
        <f t="shared" si="77"/>
        <v>9</v>
      </c>
      <c r="I471" s="40"/>
      <c r="J471" s="64">
        <f t="shared" si="78"/>
        <v>9</v>
      </c>
      <c r="K471" s="46"/>
    </row>
    <row r="472" ht="19.5" customHeight="1">
      <c r="A472" s="46">
        <f t="shared" si="79"/>
        <v>21</v>
      </c>
      <c r="B472" s="37" t="s">
        <v>378</v>
      </c>
      <c r="C472" s="46" t="s">
        <v>106</v>
      </c>
      <c r="D472" s="123">
        <v>2.0</v>
      </c>
      <c r="E472" s="37">
        <v>1.0</v>
      </c>
      <c r="F472" s="40"/>
      <c r="G472" s="40"/>
      <c r="H472" s="40">
        <f t="shared" si="77"/>
        <v>2</v>
      </c>
      <c r="I472" s="40"/>
      <c r="J472" s="64">
        <f t="shared" si="78"/>
        <v>2</v>
      </c>
      <c r="K472" s="46"/>
    </row>
    <row r="473" ht="19.5" customHeight="1">
      <c r="A473" s="46">
        <f t="shared" si="79"/>
        <v>22</v>
      </c>
      <c r="B473" s="37" t="s">
        <v>284</v>
      </c>
      <c r="C473" s="46" t="s">
        <v>106</v>
      </c>
      <c r="D473" s="123">
        <v>8.0</v>
      </c>
      <c r="E473" s="37">
        <v>1.0</v>
      </c>
      <c r="F473" s="40"/>
      <c r="G473" s="40"/>
      <c r="H473" s="40">
        <f t="shared" si="77"/>
        <v>8</v>
      </c>
      <c r="I473" s="40"/>
      <c r="J473" s="64">
        <f t="shared" si="78"/>
        <v>8</v>
      </c>
      <c r="K473" s="46"/>
    </row>
    <row r="474" ht="19.5" customHeight="1">
      <c r="A474" s="46">
        <f t="shared" si="79"/>
        <v>23</v>
      </c>
      <c r="B474" s="37" t="s">
        <v>285</v>
      </c>
      <c r="C474" s="46" t="s">
        <v>106</v>
      </c>
      <c r="D474" s="123">
        <v>3.0</v>
      </c>
      <c r="E474" s="37">
        <v>1.0</v>
      </c>
      <c r="F474" s="40"/>
      <c r="G474" s="40"/>
      <c r="H474" s="40">
        <f t="shared" si="77"/>
        <v>3</v>
      </c>
      <c r="I474" s="40"/>
      <c r="J474" s="64">
        <f t="shared" si="78"/>
        <v>3</v>
      </c>
      <c r="K474" s="79"/>
    </row>
    <row r="475" ht="19.5" customHeight="1">
      <c r="A475" s="46">
        <f t="shared" si="79"/>
        <v>24</v>
      </c>
      <c r="B475" s="37" t="s">
        <v>286</v>
      </c>
      <c r="C475" s="46" t="s">
        <v>106</v>
      </c>
      <c r="D475" s="123">
        <v>2.0</v>
      </c>
      <c r="E475" s="37">
        <v>1.0</v>
      </c>
      <c r="F475" s="40"/>
      <c r="G475" s="40"/>
      <c r="H475" s="40">
        <f t="shared" si="77"/>
        <v>2</v>
      </c>
      <c r="I475" s="40"/>
      <c r="J475" s="64">
        <f t="shared" si="78"/>
        <v>2</v>
      </c>
      <c r="K475" s="79"/>
    </row>
    <row r="476" ht="19.5" customHeight="1">
      <c r="A476" s="74" t="s">
        <v>1</v>
      </c>
      <c r="B476" s="74" t="s">
        <v>91</v>
      </c>
      <c r="C476" s="74" t="s">
        <v>92</v>
      </c>
      <c r="D476" s="76" t="s">
        <v>93</v>
      </c>
      <c r="E476" s="50" t="s">
        <v>161</v>
      </c>
      <c r="F476" s="53" t="s">
        <v>121</v>
      </c>
      <c r="G476" s="53" t="s">
        <v>99</v>
      </c>
      <c r="H476" s="53" t="s">
        <v>100</v>
      </c>
      <c r="I476" s="53" t="s">
        <v>101</v>
      </c>
      <c r="J476" s="76" t="s">
        <v>95</v>
      </c>
      <c r="K476" s="74" t="s">
        <v>96</v>
      </c>
    </row>
    <row r="477" ht="19.5" customHeight="1">
      <c r="A477" s="46">
        <v>1.0</v>
      </c>
      <c r="B477" s="37" t="s">
        <v>287</v>
      </c>
      <c r="C477" s="46" t="s">
        <v>108</v>
      </c>
      <c r="D477" s="78">
        <v>0.0</v>
      </c>
      <c r="E477" s="37">
        <v>1.0</v>
      </c>
      <c r="F477" s="78"/>
      <c r="G477" s="40"/>
      <c r="H477" s="40">
        <f t="shared" ref="H477:H517" si="80">E477*D477</f>
        <v>0</v>
      </c>
      <c r="I477" s="42"/>
      <c r="J477" s="64">
        <f t="shared" ref="J477:J517" si="81">H477</f>
        <v>0</v>
      </c>
      <c r="K477" s="46"/>
    </row>
    <row r="478" ht="19.5" customHeight="1">
      <c r="A478" s="46">
        <f t="shared" ref="A478:A517" si="82">A477+1</f>
        <v>2</v>
      </c>
      <c r="B478" s="37" t="s">
        <v>288</v>
      </c>
      <c r="C478" s="46" t="s">
        <v>108</v>
      </c>
      <c r="D478" s="78">
        <v>100.0</v>
      </c>
      <c r="E478" s="37">
        <v>1.0</v>
      </c>
      <c r="F478" s="78"/>
      <c r="G478" s="40"/>
      <c r="H478" s="40">
        <f t="shared" si="80"/>
        <v>100</v>
      </c>
      <c r="I478" s="42"/>
      <c r="J478" s="64">
        <f t="shared" si="81"/>
        <v>100</v>
      </c>
      <c r="K478" s="46"/>
    </row>
    <row r="479" ht="19.5" customHeight="1">
      <c r="A479" s="46">
        <f t="shared" si="82"/>
        <v>3</v>
      </c>
      <c r="B479" s="37" t="s">
        <v>289</v>
      </c>
      <c r="C479" s="46" t="s">
        <v>108</v>
      </c>
      <c r="D479" s="78">
        <v>50.0</v>
      </c>
      <c r="E479" s="37">
        <v>1.0</v>
      </c>
      <c r="F479" s="78"/>
      <c r="G479" s="40"/>
      <c r="H479" s="40">
        <f t="shared" si="80"/>
        <v>50</v>
      </c>
      <c r="I479" s="42"/>
      <c r="J479" s="64">
        <f t="shared" si="81"/>
        <v>50</v>
      </c>
      <c r="K479" s="46"/>
    </row>
    <row r="480" ht="19.5" customHeight="1">
      <c r="A480" s="46">
        <f t="shared" si="82"/>
        <v>4</v>
      </c>
      <c r="B480" s="37" t="s">
        <v>263</v>
      </c>
      <c r="C480" s="46" t="s">
        <v>108</v>
      </c>
      <c r="D480" s="78">
        <v>100.0</v>
      </c>
      <c r="E480" s="37">
        <v>1.0</v>
      </c>
      <c r="F480" s="78"/>
      <c r="G480" s="40"/>
      <c r="H480" s="40">
        <f t="shared" si="80"/>
        <v>100</v>
      </c>
      <c r="I480" s="42"/>
      <c r="J480" s="64">
        <f t="shared" si="81"/>
        <v>100</v>
      </c>
      <c r="K480" s="46"/>
    </row>
    <row r="481" ht="19.5" customHeight="1">
      <c r="A481" s="46">
        <f t="shared" si="82"/>
        <v>5</v>
      </c>
      <c r="B481" s="37" t="s">
        <v>264</v>
      </c>
      <c r="C481" s="46" t="s">
        <v>108</v>
      </c>
      <c r="D481" s="123">
        <v>100.0</v>
      </c>
      <c r="E481" s="37">
        <v>1.0</v>
      </c>
      <c r="F481" s="40"/>
      <c r="G481" s="40"/>
      <c r="H481" s="40">
        <f t="shared" si="80"/>
        <v>100</v>
      </c>
      <c r="I481" s="40"/>
      <c r="J481" s="64">
        <f t="shared" si="81"/>
        <v>100</v>
      </c>
      <c r="K481" s="46"/>
    </row>
    <row r="482" ht="19.5" customHeight="1">
      <c r="A482" s="46">
        <f t="shared" si="82"/>
        <v>6</v>
      </c>
      <c r="B482" s="37" t="s">
        <v>290</v>
      </c>
      <c r="C482" s="46" t="s">
        <v>108</v>
      </c>
      <c r="D482" s="123">
        <v>24.0</v>
      </c>
      <c r="E482" s="37">
        <v>1.0</v>
      </c>
      <c r="F482" s="40"/>
      <c r="G482" s="40"/>
      <c r="H482" s="40">
        <f t="shared" si="80"/>
        <v>24</v>
      </c>
      <c r="I482" s="40"/>
      <c r="J482" s="64">
        <f t="shared" si="81"/>
        <v>24</v>
      </c>
      <c r="K482" s="46"/>
    </row>
    <row r="483" ht="19.5" customHeight="1">
      <c r="A483" s="46">
        <f t="shared" si="82"/>
        <v>7</v>
      </c>
      <c r="B483" s="37" t="s">
        <v>291</v>
      </c>
      <c r="C483" s="46" t="s">
        <v>108</v>
      </c>
      <c r="D483" s="123">
        <v>60.0</v>
      </c>
      <c r="E483" s="37">
        <v>1.0</v>
      </c>
      <c r="F483" s="40"/>
      <c r="G483" s="40"/>
      <c r="H483" s="40">
        <f t="shared" si="80"/>
        <v>60</v>
      </c>
      <c r="I483" s="40"/>
      <c r="J483" s="64">
        <f t="shared" si="81"/>
        <v>60</v>
      </c>
      <c r="K483" s="46"/>
    </row>
    <row r="484" ht="19.5" customHeight="1">
      <c r="A484" s="46">
        <f t="shared" si="82"/>
        <v>8</v>
      </c>
      <c r="B484" s="37" t="s">
        <v>292</v>
      </c>
      <c r="C484" s="46" t="s">
        <v>106</v>
      </c>
      <c r="D484" s="123">
        <v>0.0</v>
      </c>
      <c r="E484" s="37">
        <v>1.0</v>
      </c>
      <c r="F484" s="40"/>
      <c r="G484" s="40"/>
      <c r="H484" s="40">
        <f t="shared" si="80"/>
        <v>0</v>
      </c>
      <c r="I484" s="40"/>
      <c r="J484" s="64">
        <f t="shared" si="81"/>
        <v>0</v>
      </c>
      <c r="K484" s="46"/>
    </row>
    <row r="485" ht="19.5" customHeight="1">
      <c r="A485" s="46">
        <f t="shared" si="82"/>
        <v>9</v>
      </c>
      <c r="B485" s="37" t="s">
        <v>293</v>
      </c>
      <c r="C485" s="46" t="s">
        <v>106</v>
      </c>
      <c r="D485" s="123">
        <v>2.0</v>
      </c>
      <c r="E485" s="37">
        <v>1.0</v>
      </c>
      <c r="F485" s="40"/>
      <c r="G485" s="40"/>
      <c r="H485" s="40">
        <f t="shared" si="80"/>
        <v>2</v>
      </c>
      <c r="I485" s="40"/>
      <c r="J485" s="64">
        <f t="shared" si="81"/>
        <v>2</v>
      </c>
      <c r="K485" s="46"/>
    </row>
    <row r="486" ht="19.5" customHeight="1">
      <c r="A486" s="46">
        <f t="shared" si="82"/>
        <v>10</v>
      </c>
      <c r="B486" s="37" t="s">
        <v>294</v>
      </c>
      <c r="C486" s="46" t="s">
        <v>106</v>
      </c>
      <c r="D486" s="123">
        <v>2.0</v>
      </c>
      <c r="E486" s="37">
        <v>1.0</v>
      </c>
      <c r="F486" s="40"/>
      <c r="G486" s="40"/>
      <c r="H486" s="40">
        <f t="shared" si="80"/>
        <v>2</v>
      </c>
      <c r="I486" s="40"/>
      <c r="J486" s="64">
        <f t="shared" si="81"/>
        <v>2</v>
      </c>
      <c r="K486" s="46"/>
    </row>
    <row r="487" ht="19.5" customHeight="1">
      <c r="A487" s="46">
        <f t="shared" si="82"/>
        <v>11</v>
      </c>
      <c r="B487" s="37" t="s">
        <v>295</v>
      </c>
      <c r="C487" s="46" t="s">
        <v>106</v>
      </c>
      <c r="D487" s="123">
        <v>2.0</v>
      </c>
      <c r="E487" s="37">
        <v>1.0</v>
      </c>
      <c r="F487" s="40"/>
      <c r="G487" s="40"/>
      <c r="H487" s="40">
        <f t="shared" si="80"/>
        <v>2</v>
      </c>
      <c r="I487" s="40"/>
      <c r="J487" s="64">
        <f t="shared" si="81"/>
        <v>2</v>
      </c>
      <c r="K487" s="46"/>
    </row>
    <row r="488" ht="19.5" customHeight="1">
      <c r="A488" s="46">
        <f t="shared" si="82"/>
        <v>12</v>
      </c>
      <c r="B488" s="37" t="s">
        <v>270</v>
      </c>
      <c r="C488" s="46" t="s">
        <v>106</v>
      </c>
      <c r="D488" s="123">
        <v>2.0</v>
      </c>
      <c r="E488" s="37">
        <v>1.0</v>
      </c>
      <c r="F488" s="40"/>
      <c r="G488" s="40"/>
      <c r="H488" s="40">
        <f t="shared" si="80"/>
        <v>2</v>
      </c>
      <c r="I488" s="40"/>
      <c r="J488" s="64">
        <f t="shared" si="81"/>
        <v>2</v>
      </c>
      <c r="K488" s="46"/>
    </row>
    <row r="489" ht="19.5" customHeight="1">
      <c r="A489" s="46">
        <f t="shared" si="82"/>
        <v>13</v>
      </c>
      <c r="B489" s="37" t="s">
        <v>296</v>
      </c>
      <c r="C489" s="46" t="s">
        <v>106</v>
      </c>
      <c r="D489" s="123">
        <v>2.0</v>
      </c>
      <c r="E489" s="37">
        <v>2.0</v>
      </c>
      <c r="F489" s="40"/>
      <c r="G489" s="40"/>
      <c r="H489" s="40">
        <f t="shared" si="80"/>
        <v>4</v>
      </c>
      <c r="I489" s="40"/>
      <c r="J489" s="64">
        <f t="shared" si="81"/>
        <v>4</v>
      </c>
      <c r="K489" s="46"/>
    </row>
    <row r="490" ht="19.5" customHeight="1">
      <c r="A490" s="46">
        <f t="shared" si="82"/>
        <v>14</v>
      </c>
      <c r="B490" s="37" t="s">
        <v>297</v>
      </c>
      <c r="C490" s="46" t="s">
        <v>106</v>
      </c>
      <c r="D490" s="123">
        <v>4.0</v>
      </c>
      <c r="E490" s="37">
        <v>2.0</v>
      </c>
      <c r="F490" s="40"/>
      <c r="G490" s="40"/>
      <c r="H490" s="40">
        <f t="shared" si="80"/>
        <v>8</v>
      </c>
      <c r="I490" s="40"/>
      <c r="J490" s="64">
        <f t="shared" si="81"/>
        <v>8</v>
      </c>
      <c r="K490" s="46"/>
    </row>
    <row r="491" ht="19.5" customHeight="1">
      <c r="A491" s="46">
        <f t="shared" si="82"/>
        <v>15</v>
      </c>
      <c r="B491" s="37" t="s">
        <v>298</v>
      </c>
      <c r="C491" s="46" t="s">
        <v>106</v>
      </c>
      <c r="D491" s="123">
        <v>2.0</v>
      </c>
      <c r="E491" s="37">
        <v>1.0</v>
      </c>
      <c r="F491" s="40"/>
      <c r="G491" s="40"/>
      <c r="H491" s="40">
        <f t="shared" si="80"/>
        <v>2</v>
      </c>
      <c r="I491" s="40"/>
      <c r="J491" s="64">
        <f t="shared" si="81"/>
        <v>2</v>
      </c>
      <c r="K491" s="46"/>
    </row>
    <row r="492" ht="19.5" customHeight="1">
      <c r="A492" s="46">
        <f t="shared" si="82"/>
        <v>16</v>
      </c>
      <c r="B492" s="37" t="s">
        <v>299</v>
      </c>
      <c r="C492" s="46" t="s">
        <v>106</v>
      </c>
      <c r="D492" s="123">
        <v>2.0</v>
      </c>
      <c r="E492" s="37">
        <v>1.0</v>
      </c>
      <c r="F492" s="40"/>
      <c r="G492" s="40"/>
      <c r="H492" s="40">
        <f t="shared" si="80"/>
        <v>2</v>
      </c>
      <c r="I492" s="40"/>
      <c r="J492" s="64">
        <f t="shared" si="81"/>
        <v>2</v>
      </c>
      <c r="K492" s="46"/>
    </row>
    <row r="493" ht="19.5" customHeight="1">
      <c r="A493" s="46">
        <f t="shared" si="82"/>
        <v>17</v>
      </c>
      <c r="B493" s="37" t="s">
        <v>300</v>
      </c>
      <c r="C493" s="46" t="s">
        <v>106</v>
      </c>
      <c r="D493" s="123">
        <v>2.0</v>
      </c>
      <c r="E493" s="37">
        <v>1.0</v>
      </c>
      <c r="F493" s="40"/>
      <c r="G493" s="40"/>
      <c r="H493" s="40">
        <f t="shared" si="80"/>
        <v>2</v>
      </c>
      <c r="I493" s="40"/>
      <c r="J493" s="64">
        <f t="shared" si="81"/>
        <v>2</v>
      </c>
      <c r="K493" s="46"/>
    </row>
    <row r="494" ht="19.5" customHeight="1">
      <c r="A494" s="46">
        <f t="shared" si="82"/>
        <v>18</v>
      </c>
      <c r="B494" s="37" t="s">
        <v>301</v>
      </c>
      <c r="C494" s="46" t="s">
        <v>106</v>
      </c>
      <c r="D494" s="123">
        <v>2.0</v>
      </c>
      <c r="E494" s="37">
        <v>1.0</v>
      </c>
      <c r="F494" s="40"/>
      <c r="G494" s="40"/>
      <c r="H494" s="40">
        <f t="shared" si="80"/>
        <v>2</v>
      </c>
      <c r="I494" s="40"/>
      <c r="J494" s="64">
        <f t="shared" si="81"/>
        <v>2</v>
      </c>
      <c r="K494" s="46"/>
    </row>
    <row r="495" ht="19.5" customHeight="1">
      <c r="A495" s="46">
        <f t="shared" si="82"/>
        <v>19</v>
      </c>
      <c r="B495" s="37" t="s">
        <v>302</v>
      </c>
      <c r="C495" s="46" t="s">
        <v>106</v>
      </c>
      <c r="D495" s="123">
        <v>2.0</v>
      </c>
      <c r="E495" s="37">
        <v>1.0</v>
      </c>
      <c r="F495" s="40"/>
      <c r="G495" s="40"/>
      <c r="H495" s="40">
        <f t="shared" si="80"/>
        <v>2</v>
      </c>
      <c r="I495" s="40"/>
      <c r="J495" s="64">
        <f t="shared" si="81"/>
        <v>2</v>
      </c>
      <c r="K495" s="46"/>
    </row>
    <row r="496" ht="19.5" customHeight="1">
      <c r="A496" s="46">
        <f t="shared" si="82"/>
        <v>20</v>
      </c>
      <c r="B496" s="37" t="s">
        <v>303</v>
      </c>
      <c r="C496" s="46" t="s">
        <v>106</v>
      </c>
      <c r="D496" s="123">
        <v>1.0</v>
      </c>
      <c r="E496" s="37">
        <v>1.0</v>
      </c>
      <c r="F496" s="40"/>
      <c r="G496" s="40"/>
      <c r="H496" s="40">
        <f t="shared" si="80"/>
        <v>1</v>
      </c>
      <c r="I496" s="40"/>
      <c r="J496" s="64">
        <f t="shared" si="81"/>
        <v>1</v>
      </c>
      <c r="K496" s="46"/>
    </row>
    <row r="497" ht="19.5" customHeight="1">
      <c r="A497" s="46">
        <f t="shared" si="82"/>
        <v>21</v>
      </c>
      <c r="B497" s="37" t="s">
        <v>304</v>
      </c>
      <c r="C497" s="46" t="s">
        <v>106</v>
      </c>
      <c r="D497" s="123">
        <v>4.0</v>
      </c>
      <c r="E497" s="37">
        <v>1.0</v>
      </c>
      <c r="F497" s="40"/>
      <c r="G497" s="40"/>
      <c r="H497" s="40">
        <f t="shared" si="80"/>
        <v>4</v>
      </c>
      <c r="I497" s="40"/>
      <c r="J497" s="64">
        <f t="shared" si="81"/>
        <v>4</v>
      </c>
      <c r="K497" s="46"/>
    </row>
    <row r="498" ht="19.5" customHeight="1">
      <c r="A498" s="46">
        <f t="shared" si="82"/>
        <v>22</v>
      </c>
      <c r="B498" s="37" t="s">
        <v>305</v>
      </c>
      <c r="C498" s="46" t="s">
        <v>106</v>
      </c>
      <c r="D498" s="123">
        <v>0.0</v>
      </c>
      <c r="E498" s="37">
        <v>1.0</v>
      </c>
      <c r="F498" s="40"/>
      <c r="G498" s="40"/>
      <c r="H498" s="40">
        <f t="shared" si="80"/>
        <v>0</v>
      </c>
      <c r="I498" s="40"/>
      <c r="J498" s="64">
        <f t="shared" si="81"/>
        <v>0</v>
      </c>
      <c r="K498" s="46"/>
    </row>
    <row r="499" ht="19.5" customHeight="1">
      <c r="A499" s="46">
        <f t="shared" si="82"/>
        <v>23</v>
      </c>
      <c r="B499" s="37" t="s">
        <v>306</v>
      </c>
      <c r="C499" s="46" t="s">
        <v>106</v>
      </c>
      <c r="D499" s="123">
        <v>2.0</v>
      </c>
      <c r="E499" s="37">
        <v>1.0</v>
      </c>
      <c r="F499" s="40"/>
      <c r="G499" s="40"/>
      <c r="H499" s="40">
        <f t="shared" si="80"/>
        <v>2</v>
      </c>
      <c r="I499" s="40"/>
      <c r="J499" s="64">
        <f t="shared" si="81"/>
        <v>2</v>
      </c>
      <c r="K499" s="46"/>
    </row>
    <row r="500" ht="19.5" customHeight="1">
      <c r="A500" s="46">
        <f t="shared" si="82"/>
        <v>24</v>
      </c>
      <c r="B500" s="37" t="s">
        <v>307</v>
      </c>
      <c r="C500" s="46" t="s">
        <v>106</v>
      </c>
      <c r="D500" s="123">
        <v>2.0</v>
      </c>
      <c r="E500" s="37">
        <v>1.0</v>
      </c>
      <c r="F500" s="40"/>
      <c r="G500" s="40"/>
      <c r="H500" s="40">
        <f t="shared" si="80"/>
        <v>2</v>
      </c>
      <c r="I500" s="40"/>
      <c r="J500" s="64">
        <f t="shared" si="81"/>
        <v>2</v>
      </c>
      <c r="K500" s="46"/>
    </row>
    <row r="501" ht="19.5" customHeight="1">
      <c r="A501" s="46">
        <f t="shared" si="82"/>
        <v>25</v>
      </c>
      <c r="B501" s="37" t="s">
        <v>308</v>
      </c>
      <c r="C501" s="46" t="s">
        <v>106</v>
      </c>
      <c r="D501" s="123">
        <v>2.0</v>
      </c>
      <c r="E501" s="37">
        <v>1.0</v>
      </c>
      <c r="F501" s="40"/>
      <c r="G501" s="40"/>
      <c r="H501" s="40">
        <f t="shared" si="80"/>
        <v>2</v>
      </c>
      <c r="I501" s="40"/>
      <c r="J501" s="64">
        <f t="shared" si="81"/>
        <v>2</v>
      </c>
      <c r="K501" s="46"/>
    </row>
    <row r="502" ht="19.5" customHeight="1">
      <c r="A502" s="46">
        <f t="shared" si="82"/>
        <v>26</v>
      </c>
      <c r="B502" s="37" t="s">
        <v>309</v>
      </c>
      <c r="C502" s="46" t="s">
        <v>106</v>
      </c>
      <c r="D502" s="123">
        <v>4.0</v>
      </c>
      <c r="E502" s="37">
        <v>1.0</v>
      </c>
      <c r="F502" s="40"/>
      <c r="G502" s="40"/>
      <c r="H502" s="40">
        <f t="shared" si="80"/>
        <v>4</v>
      </c>
      <c r="I502" s="40"/>
      <c r="J502" s="64">
        <f t="shared" si="81"/>
        <v>4</v>
      </c>
      <c r="K502" s="46"/>
    </row>
    <row r="503" ht="19.5" customHeight="1">
      <c r="A503" s="46">
        <f t="shared" si="82"/>
        <v>27</v>
      </c>
      <c r="B503" s="37" t="s">
        <v>310</v>
      </c>
      <c r="C503" s="46" t="s">
        <v>106</v>
      </c>
      <c r="D503" s="123">
        <v>2.0</v>
      </c>
      <c r="E503" s="37">
        <v>1.0</v>
      </c>
      <c r="F503" s="40"/>
      <c r="G503" s="40"/>
      <c r="H503" s="40">
        <f t="shared" si="80"/>
        <v>2</v>
      </c>
      <c r="I503" s="40"/>
      <c r="J503" s="64">
        <f t="shared" si="81"/>
        <v>2</v>
      </c>
      <c r="K503" s="46"/>
    </row>
    <row r="504" ht="19.5" customHeight="1">
      <c r="A504" s="46">
        <f t="shared" si="82"/>
        <v>28</v>
      </c>
      <c r="B504" s="37" t="s">
        <v>311</v>
      </c>
      <c r="C504" s="46" t="s">
        <v>106</v>
      </c>
      <c r="D504" s="123">
        <v>4.0</v>
      </c>
      <c r="E504" s="37">
        <v>1.0</v>
      </c>
      <c r="F504" s="40"/>
      <c r="G504" s="40"/>
      <c r="H504" s="40">
        <f t="shared" si="80"/>
        <v>4</v>
      </c>
      <c r="I504" s="40"/>
      <c r="J504" s="64">
        <f t="shared" si="81"/>
        <v>4</v>
      </c>
      <c r="K504" s="46"/>
    </row>
    <row r="505" ht="19.5" customHeight="1">
      <c r="A505" s="46">
        <f t="shared" si="82"/>
        <v>29</v>
      </c>
      <c r="B505" s="37" t="s">
        <v>312</v>
      </c>
      <c r="C505" s="46" t="s">
        <v>106</v>
      </c>
      <c r="D505" s="123">
        <v>11.0</v>
      </c>
      <c r="E505" s="37">
        <v>1.0</v>
      </c>
      <c r="F505" s="40"/>
      <c r="G505" s="40"/>
      <c r="H505" s="40">
        <f t="shared" si="80"/>
        <v>11</v>
      </c>
      <c r="I505" s="40"/>
      <c r="J505" s="64">
        <f t="shared" si="81"/>
        <v>11</v>
      </c>
      <c r="K505" s="46"/>
    </row>
    <row r="506" ht="19.5" customHeight="1">
      <c r="A506" s="46">
        <f t="shared" si="82"/>
        <v>30</v>
      </c>
      <c r="B506" s="37" t="s">
        <v>313</v>
      </c>
      <c r="C506" s="46" t="s">
        <v>106</v>
      </c>
      <c r="D506" s="123">
        <v>20.0</v>
      </c>
      <c r="E506" s="37">
        <v>1.0</v>
      </c>
      <c r="F506" s="40"/>
      <c r="G506" s="40"/>
      <c r="H506" s="40">
        <f t="shared" si="80"/>
        <v>20</v>
      </c>
      <c r="I506" s="40"/>
      <c r="J506" s="64">
        <f t="shared" si="81"/>
        <v>20</v>
      </c>
      <c r="K506" s="46"/>
    </row>
    <row r="507" ht="19.5" customHeight="1">
      <c r="A507" s="46">
        <f t="shared" si="82"/>
        <v>31</v>
      </c>
      <c r="B507" s="37" t="s">
        <v>314</v>
      </c>
      <c r="C507" s="46" t="s">
        <v>106</v>
      </c>
      <c r="D507" s="123">
        <v>2.0</v>
      </c>
      <c r="E507" s="37">
        <v>1.0</v>
      </c>
      <c r="F507" s="40"/>
      <c r="G507" s="40"/>
      <c r="H507" s="40">
        <f t="shared" si="80"/>
        <v>2</v>
      </c>
      <c r="I507" s="40"/>
      <c r="J507" s="64">
        <f t="shared" si="81"/>
        <v>2</v>
      </c>
      <c r="K507" s="46"/>
    </row>
    <row r="508" ht="19.5" customHeight="1">
      <c r="A508" s="46">
        <f t="shared" si="82"/>
        <v>32</v>
      </c>
      <c r="B508" s="37" t="s">
        <v>315</v>
      </c>
      <c r="C508" s="46" t="s">
        <v>106</v>
      </c>
      <c r="D508" s="123">
        <v>4.0</v>
      </c>
      <c r="E508" s="37">
        <v>1.0</v>
      </c>
      <c r="F508" s="40"/>
      <c r="G508" s="40"/>
      <c r="H508" s="40">
        <f t="shared" si="80"/>
        <v>4</v>
      </c>
      <c r="I508" s="40"/>
      <c r="J508" s="64">
        <f t="shared" si="81"/>
        <v>4</v>
      </c>
      <c r="K508" s="46"/>
    </row>
    <row r="509" ht="19.5" customHeight="1">
      <c r="A509" s="46">
        <f t="shared" si="82"/>
        <v>33</v>
      </c>
      <c r="B509" s="37" t="s">
        <v>316</v>
      </c>
      <c r="C509" s="46" t="s">
        <v>106</v>
      </c>
      <c r="D509" s="123"/>
      <c r="E509" s="37">
        <v>1.0</v>
      </c>
      <c r="F509" s="40"/>
      <c r="G509" s="40"/>
      <c r="H509" s="40">
        <f t="shared" si="80"/>
        <v>0</v>
      </c>
      <c r="I509" s="40"/>
      <c r="J509" s="64">
        <f t="shared" si="81"/>
        <v>0</v>
      </c>
      <c r="K509" s="46"/>
    </row>
    <row r="510" ht="19.5" customHeight="1">
      <c r="A510" s="46">
        <f t="shared" si="82"/>
        <v>34</v>
      </c>
      <c r="B510" s="37" t="s">
        <v>317</v>
      </c>
      <c r="C510" s="46" t="s">
        <v>106</v>
      </c>
      <c r="D510" s="123">
        <v>3.0</v>
      </c>
      <c r="E510" s="37">
        <v>1.0</v>
      </c>
      <c r="F510" s="40"/>
      <c r="G510" s="40"/>
      <c r="H510" s="40">
        <f t="shared" si="80"/>
        <v>3</v>
      </c>
      <c r="I510" s="40"/>
      <c r="J510" s="64">
        <f t="shared" si="81"/>
        <v>3</v>
      </c>
      <c r="K510" s="46"/>
    </row>
    <row r="511" ht="19.5" customHeight="1">
      <c r="A511" s="46">
        <f t="shared" si="82"/>
        <v>35</v>
      </c>
      <c r="B511" s="37" t="s">
        <v>318</v>
      </c>
      <c r="C511" s="46" t="s">
        <v>106</v>
      </c>
      <c r="D511" s="123">
        <v>1.0</v>
      </c>
      <c r="E511" s="37">
        <v>1.0</v>
      </c>
      <c r="F511" s="40"/>
      <c r="G511" s="40"/>
      <c r="H511" s="40">
        <f t="shared" si="80"/>
        <v>1</v>
      </c>
      <c r="I511" s="40"/>
      <c r="J511" s="64">
        <f t="shared" si="81"/>
        <v>1</v>
      </c>
      <c r="K511" s="46"/>
    </row>
    <row r="512" ht="19.5" customHeight="1">
      <c r="A512" s="46">
        <f t="shared" si="82"/>
        <v>36</v>
      </c>
      <c r="B512" s="37" t="s">
        <v>319</v>
      </c>
      <c r="C512" s="46" t="s">
        <v>106</v>
      </c>
      <c r="D512" s="123">
        <v>25.0</v>
      </c>
      <c r="E512" s="37">
        <v>1.0</v>
      </c>
      <c r="F512" s="40"/>
      <c r="G512" s="40"/>
      <c r="H512" s="40">
        <f t="shared" si="80"/>
        <v>25</v>
      </c>
      <c r="I512" s="40"/>
      <c r="J512" s="64">
        <f t="shared" si="81"/>
        <v>25</v>
      </c>
      <c r="K512" s="46"/>
    </row>
    <row r="513" ht="19.5" customHeight="1">
      <c r="A513" s="46">
        <f t="shared" si="82"/>
        <v>37</v>
      </c>
      <c r="B513" s="37" t="s">
        <v>320</v>
      </c>
      <c r="C513" s="46" t="s">
        <v>106</v>
      </c>
      <c r="D513" s="123">
        <v>9.0</v>
      </c>
      <c r="E513" s="37">
        <v>1.0</v>
      </c>
      <c r="F513" s="40"/>
      <c r="G513" s="40"/>
      <c r="H513" s="40">
        <f t="shared" si="80"/>
        <v>9</v>
      </c>
      <c r="I513" s="40"/>
      <c r="J513" s="64">
        <f t="shared" si="81"/>
        <v>9</v>
      </c>
      <c r="K513" s="46"/>
    </row>
    <row r="514" ht="19.5" customHeight="1">
      <c r="A514" s="46">
        <f t="shared" si="82"/>
        <v>38</v>
      </c>
      <c r="B514" s="37" t="s">
        <v>321</v>
      </c>
      <c r="C514" s="46" t="s">
        <v>106</v>
      </c>
      <c r="D514" s="123">
        <v>9.0</v>
      </c>
      <c r="E514" s="37">
        <v>1.0</v>
      </c>
      <c r="F514" s="40"/>
      <c r="G514" s="40"/>
      <c r="H514" s="40">
        <f t="shared" si="80"/>
        <v>9</v>
      </c>
      <c r="I514" s="40"/>
      <c r="J514" s="64">
        <f t="shared" si="81"/>
        <v>9</v>
      </c>
      <c r="K514" s="46"/>
    </row>
    <row r="515" ht="19.5" customHeight="1">
      <c r="A515" s="46">
        <f t="shared" si="82"/>
        <v>39</v>
      </c>
      <c r="B515" s="37" t="s">
        <v>322</v>
      </c>
      <c r="C515" s="46" t="s">
        <v>106</v>
      </c>
      <c r="D515" s="123"/>
      <c r="E515" s="37">
        <v>1.0</v>
      </c>
      <c r="F515" s="40"/>
      <c r="G515" s="40"/>
      <c r="H515" s="40">
        <f t="shared" si="80"/>
        <v>0</v>
      </c>
      <c r="I515" s="40"/>
      <c r="J515" s="64">
        <f t="shared" si="81"/>
        <v>0</v>
      </c>
      <c r="K515" s="46"/>
    </row>
    <row r="516" ht="19.5" customHeight="1">
      <c r="A516" s="46">
        <f t="shared" si="82"/>
        <v>40</v>
      </c>
      <c r="B516" s="37" t="s">
        <v>323</v>
      </c>
      <c r="C516" s="46" t="s">
        <v>108</v>
      </c>
      <c r="D516" s="123">
        <v>100.0</v>
      </c>
      <c r="E516" s="37">
        <v>1.0</v>
      </c>
      <c r="F516" s="40"/>
      <c r="G516" s="40"/>
      <c r="H516" s="40">
        <f t="shared" si="80"/>
        <v>100</v>
      </c>
      <c r="I516" s="40"/>
      <c r="J516" s="64">
        <f t="shared" si="81"/>
        <v>100</v>
      </c>
      <c r="K516" s="46"/>
    </row>
    <row r="517" ht="19.5" customHeight="1">
      <c r="A517" s="46">
        <f t="shared" si="82"/>
        <v>41</v>
      </c>
      <c r="B517" s="37" t="s">
        <v>324</v>
      </c>
      <c r="C517" s="46" t="s">
        <v>325</v>
      </c>
      <c r="D517" s="123">
        <v>10.0</v>
      </c>
      <c r="E517" s="37">
        <v>1.0</v>
      </c>
      <c r="F517" s="40"/>
      <c r="G517" s="40"/>
      <c r="H517" s="40">
        <f t="shared" si="80"/>
        <v>10</v>
      </c>
      <c r="I517" s="40"/>
      <c r="J517" s="64">
        <f t="shared" si="81"/>
        <v>10</v>
      </c>
      <c r="K517" s="46"/>
    </row>
    <row r="518" ht="19.5" customHeight="1">
      <c r="A518" s="12"/>
      <c r="C518" s="12"/>
      <c r="D518" s="87"/>
      <c r="F518" s="14"/>
      <c r="G518" s="14"/>
      <c r="H518" s="14"/>
      <c r="I518" s="14"/>
      <c r="J518" s="14"/>
      <c r="K518" s="12"/>
    </row>
    <row r="519" ht="19.5" customHeight="1">
      <c r="A519" s="74" t="s">
        <v>1</v>
      </c>
      <c r="B519" s="74" t="s">
        <v>91</v>
      </c>
      <c r="C519" s="74" t="s">
        <v>92</v>
      </c>
      <c r="D519" s="76" t="s">
        <v>93</v>
      </c>
      <c r="E519" s="50" t="s">
        <v>161</v>
      </c>
      <c r="F519" s="53" t="s">
        <v>121</v>
      </c>
      <c r="G519" s="53" t="s">
        <v>99</v>
      </c>
      <c r="H519" s="53" t="s">
        <v>100</v>
      </c>
      <c r="I519" s="53" t="s">
        <v>101</v>
      </c>
      <c r="J519" s="76" t="s">
        <v>95</v>
      </c>
      <c r="K519" s="74" t="s">
        <v>96</v>
      </c>
    </row>
    <row r="520" ht="19.5" customHeight="1">
      <c r="A520" s="46">
        <v>1.0</v>
      </c>
      <c r="B520" s="37" t="s">
        <v>326</v>
      </c>
      <c r="C520" s="46" t="s">
        <v>108</v>
      </c>
      <c r="D520" s="78">
        <v>9.0</v>
      </c>
      <c r="E520" s="37">
        <v>1.0</v>
      </c>
      <c r="F520" s="78"/>
      <c r="G520" s="40"/>
      <c r="H520" s="40">
        <f t="shared" ref="H520:H523" si="83">E520*D520</f>
        <v>9</v>
      </c>
      <c r="I520" s="42"/>
      <c r="J520" s="43">
        <f t="shared" ref="J520:J523" si="84">H520</f>
        <v>9</v>
      </c>
      <c r="K520" s="46"/>
    </row>
    <row r="521" ht="19.5" customHeight="1">
      <c r="A521" s="46">
        <v>2.0</v>
      </c>
      <c r="B521" s="37" t="s">
        <v>327</v>
      </c>
      <c r="C521" s="46"/>
      <c r="D521" s="123">
        <v>4.0</v>
      </c>
      <c r="E521" s="37">
        <v>1.0</v>
      </c>
      <c r="F521" s="40"/>
      <c r="G521" s="40"/>
      <c r="H521" s="40">
        <f t="shared" si="83"/>
        <v>4</v>
      </c>
      <c r="I521" s="40"/>
      <c r="J521" s="43">
        <f t="shared" si="84"/>
        <v>4</v>
      </c>
      <c r="K521" s="46"/>
    </row>
    <row r="522" ht="19.5" customHeight="1">
      <c r="A522" s="46">
        <v>3.0</v>
      </c>
      <c r="B522" s="37" t="s">
        <v>379</v>
      </c>
      <c r="C522" s="46"/>
      <c r="D522" s="123">
        <v>4.0</v>
      </c>
      <c r="E522" s="37">
        <v>1.0</v>
      </c>
      <c r="F522" s="40"/>
      <c r="G522" s="40"/>
      <c r="H522" s="40">
        <f t="shared" si="83"/>
        <v>4</v>
      </c>
      <c r="I522" s="40"/>
      <c r="J522" s="43">
        <f t="shared" si="84"/>
        <v>4</v>
      </c>
      <c r="K522" s="46"/>
    </row>
    <row r="523" ht="19.5" customHeight="1">
      <c r="A523" s="46">
        <v>4.0</v>
      </c>
      <c r="B523" s="37" t="s">
        <v>330</v>
      </c>
      <c r="C523" s="46" t="s">
        <v>103</v>
      </c>
      <c r="D523" s="123">
        <v>10.0</v>
      </c>
      <c r="E523" s="37">
        <v>1.0</v>
      </c>
      <c r="F523" s="40"/>
      <c r="G523" s="40"/>
      <c r="H523" s="40">
        <f t="shared" si="83"/>
        <v>10</v>
      </c>
      <c r="I523" s="40"/>
      <c r="J523" s="43">
        <f t="shared" si="84"/>
        <v>10</v>
      </c>
      <c r="K523" s="46"/>
    </row>
    <row r="524" ht="19.5" customHeight="1">
      <c r="A524" s="12"/>
      <c r="C524" s="12"/>
      <c r="D524" s="87"/>
      <c r="F524" s="14"/>
      <c r="G524" s="14"/>
      <c r="H524" s="14"/>
      <c r="I524" s="14"/>
      <c r="J524" s="14"/>
      <c r="K524" s="12"/>
    </row>
    <row r="525" ht="19.5" customHeight="1">
      <c r="A525" s="12"/>
      <c r="C525" s="12"/>
      <c r="D525" s="87"/>
      <c r="F525" s="14"/>
      <c r="G525" s="14"/>
      <c r="H525" s="14"/>
      <c r="I525" s="14"/>
      <c r="J525" s="14"/>
      <c r="K525" s="12"/>
    </row>
    <row r="526" ht="19.5" customHeight="1">
      <c r="A526" s="12"/>
      <c r="C526" s="12"/>
      <c r="D526" s="87"/>
      <c r="F526" s="14"/>
      <c r="G526" s="14"/>
      <c r="H526" s="14"/>
      <c r="I526" s="14"/>
      <c r="J526" s="14"/>
      <c r="K526" s="12"/>
    </row>
    <row r="527" ht="19.5" customHeight="1">
      <c r="A527" s="12"/>
      <c r="C527" s="12"/>
      <c r="D527" s="87"/>
      <c r="F527" s="14"/>
      <c r="G527" s="14"/>
      <c r="H527" s="14"/>
      <c r="I527" s="14"/>
      <c r="J527" s="14"/>
      <c r="K527" s="12"/>
    </row>
    <row r="528" ht="19.5" customHeight="1">
      <c r="A528" s="12"/>
      <c r="C528" s="12"/>
      <c r="D528" s="87"/>
      <c r="F528" s="14"/>
      <c r="G528" s="14"/>
      <c r="H528" s="14"/>
      <c r="I528" s="14"/>
      <c r="J528" s="14"/>
      <c r="K528" s="12"/>
    </row>
    <row r="529" ht="19.5" customHeight="1">
      <c r="A529" s="12"/>
      <c r="C529" s="12"/>
      <c r="D529" s="87"/>
      <c r="F529" s="14"/>
      <c r="G529" s="14"/>
      <c r="H529" s="14"/>
      <c r="I529" s="14"/>
      <c r="J529" s="14"/>
      <c r="K529" s="12"/>
    </row>
    <row r="530" ht="19.5" customHeight="1">
      <c r="A530" s="12"/>
      <c r="C530" s="12"/>
      <c r="D530" s="87"/>
      <c r="F530" s="14"/>
      <c r="G530" s="14"/>
      <c r="H530" s="14"/>
      <c r="I530" s="14"/>
      <c r="J530" s="14"/>
      <c r="K530" s="12"/>
    </row>
    <row r="531" ht="19.5" customHeight="1">
      <c r="A531" s="12"/>
      <c r="C531" s="12"/>
      <c r="D531" s="87"/>
      <c r="F531" s="14"/>
      <c r="G531" s="14"/>
      <c r="H531" s="14"/>
      <c r="I531" s="14"/>
      <c r="J531" s="14"/>
      <c r="K531" s="12"/>
    </row>
    <row r="532" ht="19.5" customHeight="1">
      <c r="A532" s="12"/>
      <c r="C532" s="12"/>
      <c r="D532" s="87"/>
      <c r="F532" s="14"/>
      <c r="G532" s="14"/>
      <c r="H532" s="14"/>
      <c r="I532" s="14"/>
      <c r="J532" s="14"/>
      <c r="K532" s="12"/>
    </row>
    <row r="533" ht="19.5" customHeight="1">
      <c r="A533" s="12"/>
      <c r="C533" s="12"/>
      <c r="D533" s="87"/>
      <c r="F533" s="14"/>
      <c r="G533" s="14"/>
      <c r="H533" s="14"/>
      <c r="I533" s="14"/>
      <c r="J533" s="14"/>
      <c r="K533" s="12"/>
    </row>
    <row r="534" ht="19.5" customHeight="1">
      <c r="A534" s="12"/>
      <c r="C534" s="12"/>
      <c r="D534" s="87"/>
      <c r="F534" s="14"/>
      <c r="G534" s="14"/>
      <c r="H534" s="14"/>
      <c r="I534" s="14"/>
      <c r="J534" s="14"/>
      <c r="K534" s="12"/>
    </row>
    <row r="535" ht="19.5" customHeight="1">
      <c r="A535" s="12"/>
      <c r="C535" s="12"/>
      <c r="D535" s="87"/>
      <c r="F535" s="14"/>
      <c r="G535" s="14"/>
      <c r="H535" s="14"/>
      <c r="I535" s="14"/>
      <c r="J535" s="14"/>
      <c r="K535" s="12"/>
    </row>
    <row r="536" ht="19.5" customHeight="1">
      <c r="A536" s="12"/>
      <c r="C536" s="12"/>
      <c r="D536" s="87"/>
      <c r="F536" s="14"/>
      <c r="G536" s="14"/>
      <c r="H536" s="14"/>
      <c r="I536" s="14"/>
      <c r="J536" s="14"/>
      <c r="K536" s="12"/>
    </row>
    <row r="537" ht="19.5" customHeight="1">
      <c r="A537" s="12"/>
      <c r="C537" s="12"/>
      <c r="D537" s="87"/>
      <c r="F537" s="14"/>
      <c r="G537" s="14"/>
      <c r="H537" s="14"/>
      <c r="I537" s="14"/>
      <c r="J537" s="14"/>
      <c r="K537" s="12"/>
    </row>
    <row r="538" ht="19.5" customHeight="1">
      <c r="A538" s="12"/>
      <c r="C538" s="12"/>
      <c r="D538" s="87"/>
      <c r="F538" s="14"/>
      <c r="G538" s="14"/>
      <c r="H538" s="14"/>
      <c r="I538" s="14"/>
      <c r="J538" s="14"/>
      <c r="K538" s="12"/>
    </row>
    <row r="539" ht="19.5" customHeight="1">
      <c r="A539" s="12"/>
      <c r="C539" s="12"/>
      <c r="D539" s="87"/>
      <c r="F539" s="14"/>
      <c r="G539" s="14"/>
      <c r="H539" s="14"/>
      <c r="I539" s="14"/>
      <c r="J539" s="14"/>
      <c r="K539" s="12"/>
    </row>
    <row r="540" ht="19.5" customHeight="1">
      <c r="A540" s="12"/>
      <c r="C540" s="12"/>
      <c r="D540" s="87"/>
      <c r="F540" s="14"/>
      <c r="G540" s="14"/>
      <c r="H540" s="14"/>
      <c r="I540" s="14"/>
      <c r="J540" s="14"/>
      <c r="K540" s="12"/>
    </row>
    <row r="541" ht="19.5" customHeight="1">
      <c r="A541" s="12"/>
      <c r="C541" s="12"/>
      <c r="D541" s="87"/>
      <c r="F541" s="14"/>
      <c r="G541" s="14"/>
      <c r="H541" s="14"/>
      <c r="I541" s="14"/>
      <c r="J541" s="14"/>
      <c r="K541" s="12"/>
    </row>
    <row r="542" ht="19.5" customHeight="1">
      <c r="A542" s="12"/>
      <c r="C542" s="12"/>
      <c r="D542" s="87"/>
      <c r="F542" s="14"/>
      <c r="G542" s="14"/>
      <c r="H542" s="14"/>
      <c r="I542" s="14"/>
      <c r="J542" s="14"/>
      <c r="K542" s="12"/>
    </row>
    <row r="543" ht="19.5" customHeight="1">
      <c r="A543" s="12"/>
      <c r="C543" s="12"/>
      <c r="D543" s="87"/>
      <c r="F543" s="14"/>
      <c r="G543" s="14"/>
      <c r="H543" s="14"/>
      <c r="I543" s="14"/>
      <c r="J543" s="14"/>
      <c r="K543" s="12"/>
    </row>
    <row r="544" ht="19.5" customHeight="1">
      <c r="A544" s="12"/>
      <c r="C544" s="12"/>
      <c r="D544" s="87"/>
      <c r="F544" s="14"/>
      <c r="G544" s="14"/>
      <c r="H544" s="14"/>
      <c r="I544" s="14"/>
      <c r="J544" s="14"/>
      <c r="K544" s="12"/>
    </row>
    <row r="545" ht="19.5" customHeight="1">
      <c r="A545" s="12"/>
      <c r="C545" s="12"/>
      <c r="D545" s="87"/>
      <c r="F545" s="14"/>
      <c r="G545" s="14"/>
      <c r="H545" s="14"/>
      <c r="I545" s="14"/>
      <c r="J545" s="14"/>
      <c r="K545" s="12"/>
    </row>
    <row r="546" ht="19.5" customHeight="1">
      <c r="A546" s="12"/>
      <c r="C546" s="12"/>
      <c r="D546" s="87"/>
      <c r="F546" s="14"/>
      <c r="G546" s="14"/>
      <c r="H546" s="14"/>
      <c r="I546" s="14"/>
      <c r="J546" s="14"/>
      <c r="K546" s="12"/>
    </row>
    <row r="547" ht="19.5" customHeight="1">
      <c r="A547" s="12"/>
      <c r="C547" s="12"/>
      <c r="D547" s="87"/>
      <c r="F547" s="14"/>
      <c r="G547" s="14"/>
      <c r="H547" s="14"/>
      <c r="I547" s="14"/>
      <c r="J547" s="14"/>
      <c r="K547" s="12"/>
    </row>
    <row r="548" ht="19.5" customHeight="1">
      <c r="A548" s="12"/>
      <c r="C548" s="12"/>
      <c r="D548" s="87"/>
      <c r="F548" s="14"/>
      <c r="G548" s="14"/>
      <c r="H548" s="14"/>
      <c r="I548" s="14"/>
      <c r="J548" s="14"/>
      <c r="K548" s="12"/>
    </row>
    <row r="549" ht="19.5" customHeight="1">
      <c r="A549" s="12"/>
      <c r="C549" s="12"/>
      <c r="D549" s="87"/>
      <c r="F549" s="14"/>
      <c r="G549" s="14"/>
      <c r="H549" s="14"/>
      <c r="I549" s="14"/>
      <c r="J549" s="14"/>
      <c r="K549" s="12"/>
    </row>
    <row r="550" ht="19.5" customHeight="1">
      <c r="A550" s="12"/>
      <c r="C550" s="12"/>
      <c r="D550" s="87"/>
      <c r="F550" s="14"/>
      <c r="G550" s="14"/>
      <c r="H550" s="14"/>
      <c r="I550" s="14"/>
      <c r="J550" s="14"/>
      <c r="K550" s="12"/>
    </row>
    <row r="551" ht="19.5" customHeight="1">
      <c r="A551" s="12"/>
      <c r="C551" s="12"/>
      <c r="D551" s="87"/>
      <c r="F551" s="14"/>
      <c r="G551" s="14"/>
      <c r="H551" s="14"/>
      <c r="I551" s="14"/>
      <c r="J551" s="14"/>
      <c r="K551" s="12"/>
    </row>
    <row r="552" ht="19.5" customHeight="1">
      <c r="A552" s="12"/>
      <c r="C552" s="12"/>
      <c r="D552" s="87"/>
      <c r="F552" s="14"/>
      <c r="G552" s="14"/>
      <c r="H552" s="14"/>
      <c r="I552" s="14"/>
      <c r="J552" s="14"/>
      <c r="K552" s="12"/>
    </row>
    <row r="553" ht="19.5" customHeight="1">
      <c r="A553" s="12"/>
      <c r="C553" s="12"/>
      <c r="D553" s="87"/>
      <c r="F553" s="14"/>
      <c r="G553" s="14"/>
      <c r="H553" s="14"/>
      <c r="I553" s="14"/>
      <c r="J553" s="14"/>
      <c r="K553" s="12"/>
    </row>
    <row r="554" ht="19.5" customHeight="1">
      <c r="A554" s="12"/>
      <c r="C554" s="12"/>
      <c r="D554" s="87"/>
      <c r="F554" s="14"/>
      <c r="G554" s="14"/>
      <c r="H554" s="14"/>
      <c r="I554" s="14"/>
      <c r="J554" s="14"/>
      <c r="K554" s="12"/>
    </row>
    <row r="555" ht="19.5" customHeight="1">
      <c r="A555" s="12"/>
      <c r="C555" s="12"/>
      <c r="D555" s="87"/>
      <c r="F555" s="14"/>
      <c r="G555" s="14"/>
      <c r="H555" s="14"/>
      <c r="I555" s="14"/>
      <c r="J555" s="14"/>
      <c r="K555" s="12"/>
    </row>
    <row r="556" ht="19.5" customHeight="1">
      <c r="A556" s="12"/>
      <c r="C556" s="12"/>
      <c r="D556" s="87"/>
      <c r="F556" s="14"/>
      <c r="G556" s="14"/>
      <c r="H556" s="14"/>
      <c r="I556" s="14"/>
      <c r="J556" s="14"/>
      <c r="K556" s="12"/>
    </row>
    <row r="557" ht="19.5" customHeight="1">
      <c r="A557" s="12"/>
      <c r="C557" s="12"/>
      <c r="D557" s="87"/>
      <c r="F557" s="14"/>
      <c r="G557" s="14"/>
      <c r="H557" s="14"/>
      <c r="I557" s="14"/>
      <c r="J557" s="14"/>
      <c r="K557" s="12"/>
    </row>
    <row r="558" ht="19.5" customHeight="1">
      <c r="A558" s="12"/>
      <c r="C558" s="12"/>
      <c r="D558" s="87"/>
      <c r="F558" s="14"/>
      <c r="G558" s="14"/>
      <c r="H558" s="14"/>
      <c r="I558" s="14"/>
      <c r="J558" s="14"/>
      <c r="K558" s="12"/>
    </row>
    <row r="559" ht="19.5" customHeight="1">
      <c r="A559" s="12"/>
      <c r="C559" s="12"/>
      <c r="D559" s="87"/>
      <c r="F559" s="14"/>
      <c r="G559" s="14"/>
      <c r="H559" s="14"/>
      <c r="I559" s="14"/>
      <c r="J559" s="14"/>
      <c r="K559" s="12"/>
    </row>
    <row r="560" ht="19.5" customHeight="1">
      <c r="A560" s="12"/>
      <c r="C560" s="12"/>
      <c r="D560" s="87"/>
      <c r="F560" s="14"/>
      <c r="G560" s="14"/>
      <c r="H560" s="14"/>
      <c r="I560" s="14"/>
      <c r="J560" s="14"/>
      <c r="K560" s="12"/>
    </row>
    <row r="561" ht="19.5" customHeight="1">
      <c r="A561" s="12"/>
      <c r="C561" s="12"/>
      <c r="D561" s="87"/>
      <c r="F561" s="14"/>
      <c r="G561" s="14"/>
      <c r="H561" s="14"/>
      <c r="I561" s="14"/>
      <c r="J561" s="14"/>
      <c r="K561" s="12"/>
    </row>
    <row r="562" ht="19.5" customHeight="1">
      <c r="A562" s="12"/>
      <c r="C562" s="12"/>
      <c r="D562" s="87"/>
      <c r="F562" s="14"/>
      <c r="G562" s="14"/>
      <c r="H562" s="14"/>
      <c r="I562" s="14"/>
      <c r="J562" s="14"/>
      <c r="K562" s="12"/>
    </row>
    <row r="563" ht="19.5" customHeight="1">
      <c r="A563" s="12"/>
      <c r="C563" s="12"/>
      <c r="D563" s="87"/>
      <c r="F563" s="14"/>
      <c r="G563" s="14"/>
      <c r="H563" s="14"/>
      <c r="I563" s="14"/>
      <c r="J563" s="14"/>
      <c r="K563" s="12"/>
    </row>
    <row r="564" ht="19.5" customHeight="1">
      <c r="A564" s="12"/>
      <c r="C564" s="12"/>
      <c r="D564" s="87"/>
      <c r="F564" s="14"/>
      <c r="G564" s="14"/>
      <c r="H564" s="14"/>
      <c r="I564" s="14"/>
      <c r="J564" s="14"/>
      <c r="K564" s="12"/>
    </row>
    <row r="565" ht="19.5" customHeight="1">
      <c r="A565" s="12"/>
      <c r="C565" s="12"/>
      <c r="D565" s="87"/>
      <c r="F565" s="14"/>
      <c r="G565" s="14"/>
      <c r="H565" s="14"/>
      <c r="I565" s="14"/>
      <c r="J565" s="14"/>
      <c r="K565" s="12"/>
    </row>
    <row r="566" ht="19.5" customHeight="1">
      <c r="A566" s="12"/>
      <c r="C566" s="12"/>
      <c r="D566" s="87"/>
      <c r="F566" s="14"/>
      <c r="G566" s="14"/>
      <c r="H566" s="14"/>
      <c r="I566" s="14"/>
      <c r="J566" s="14"/>
      <c r="K566" s="12"/>
    </row>
    <row r="567" ht="19.5" customHeight="1">
      <c r="A567" s="12"/>
      <c r="C567" s="12"/>
      <c r="D567" s="87"/>
      <c r="F567" s="14"/>
      <c r="G567" s="14"/>
      <c r="H567" s="14"/>
      <c r="I567" s="14"/>
      <c r="J567" s="14"/>
      <c r="K567" s="12"/>
    </row>
    <row r="568" ht="19.5" customHeight="1">
      <c r="A568" s="12"/>
      <c r="C568" s="12"/>
      <c r="D568" s="87"/>
      <c r="F568" s="14"/>
      <c r="G568" s="14"/>
      <c r="H568" s="14"/>
      <c r="I568" s="14"/>
      <c r="J568" s="14"/>
      <c r="K568" s="12"/>
    </row>
    <row r="569" ht="19.5" customHeight="1">
      <c r="A569" s="12"/>
      <c r="C569" s="12"/>
      <c r="D569" s="87"/>
      <c r="F569" s="14"/>
      <c r="G569" s="14"/>
      <c r="H569" s="14"/>
      <c r="I569" s="14"/>
      <c r="J569" s="14"/>
      <c r="K569" s="12"/>
    </row>
    <row r="570" ht="19.5" customHeight="1">
      <c r="A570" s="12"/>
      <c r="C570" s="12"/>
      <c r="D570" s="87"/>
      <c r="F570" s="14"/>
      <c r="G570" s="14"/>
      <c r="H570" s="14"/>
      <c r="I570" s="14"/>
      <c r="J570" s="14"/>
      <c r="K570" s="12"/>
    </row>
    <row r="571" ht="19.5" customHeight="1">
      <c r="A571" s="12"/>
      <c r="C571" s="12"/>
      <c r="D571" s="87"/>
      <c r="F571" s="14"/>
      <c r="G571" s="14"/>
      <c r="H571" s="14"/>
      <c r="I571" s="14"/>
      <c r="J571" s="14"/>
      <c r="K571" s="12"/>
    </row>
    <row r="572" ht="19.5" customHeight="1">
      <c r="A572" s="12"/>
      <c r="C572" s="12"/>
      <c r="D572" s="87"/>
      <c r="F572" s="14"/>
      <c r="G572" s="14"/>
      <c r="H572" s="14"/>
      <c r="I572" s="14"/>
      <c r="J572" s="14"/>
      <c r="K572" s="12"/>
    </row>
    <row r="573" ht="19.5" customHeight="1">
      <c r="A573" s="12"/>
      <c r="C573" s="12"/>
      <c r="D573" s="87"/>
      <c r="F573" s="14"/>
      <c r="G573" s="14"/>
      <c r="H573" s="14"/>
      <c r="I573" s="14"/>
      <c r="J573" s="14"/>
      <c r="K573" s="12"/>
    </row>
    <row r="574" ht="19.5" customHeight="1">
      <c r="A574" s="12"/>
      <c r="C574" s="12"/>
      <c r="D574" s="87"/>
      <c r="F574" s="14"/>
      <c r="G574" s="14"/>
      <c r="H574" s="14"/>
      <c r="I574" s="14"/>
      <c r="J574" s="14"/>
      <c r="K574" s="12"/>
    </row>
    <row r="575" ht="19.5" customHeight="1">
      <c r="A575" s="12"/>
      <c r="C575" s="12"/>
      <c r="D575" s="87"/>
      <c r="F575" s="14"/>
      <c r="G575" s="14"/>
      <c r="H575" s="14"/>
      <c r="I575" s="14"/>
      <c r="J575" s="14"/>
      <c r="K575" s="12"/>
    </row>
    <row r="576" ht="19.5" customHeight="1">
      <c r="A576" s="12"/>
      <c r="C576" s="12"/>
      <c r="D576" s="87"/>
      <c r="F576" s="14"/>
      <c r="G576" s="14"/>
      <c r="H576" s="14"/>
      <c r="I576" s="14"/>
      <c r="J576" s="14"/>
      <c r="K576" s="12"/>
    </row>
    <row r="577" ht="19.5" customHeight="1">
      <c r="A577" s="12"/>
      <c r="C577" s="12"/>
      <c r="D577" s="87"/>
      <c r="F577" s="14"/>
      <c r="G577" s="14"/>
      <c r="H577" s="14"/>
      <c r="I577" s="14"/>
      <c r="J577" s="14"/>
      <c r="K577" s="12"/>
    </row>
    <row r="578" ht="19.5" customHeight="1">
      <c r="A578" s="12"/>
      <c r="C578" s="12"/>
      <c r="D578" s="87"/>
      <c r="F578" s="14"/>
      <c r="G578" s="14"/>
      <c r="H578" s="14"/>
      <c r="I578" s="14"/>
      <c r="J578" s="14"/>
      <c r="K578" s="12"/>
    </row>
    <row r="579" ht="19.5" customHeight="1">
      <c r="A579" s="12"/>
      <c r="C579" s="12"/>
      <c r="D579" s="87"/>
      <c r="F579" s="14"/>
      <c r="G579" s="14"/>
      <c r="H579" s="14"/>
      <c r="I579" s="14"/>
      <c r="J579" s="14"/>
      <c r="K579" s="12"/>
    </row>
    <row r="580" ht="19.5" customHeight="1">
      <c r="A580" s="12"/>
      <c r="C580" s="12"/>
      <c r="D580" s="87"/>
      <c r="F580" s="14"/>
      <c r="G580" s="14"/>
      <c r="H580" s="14"/>
      <c r="I580" s="14"/>
      <c r="J580" s="14"/>
      <c r="K580" s="12"/>
    </row>
    <row r="581" ht="19.5" customHeight="1">
      <c r="A581" s="12"/>
      <c r="C581" s="12"/>
      <c r="D581" s="87"/>
      <c r="F581" s="14"/>
      <c r="G581" s="14"/>
      <c r="H581" s="14"/>
      <c r="I581" s="14"/>
      <c r="J581" s="14"/>
      <c r="K581" s="12"/>
    </row>
    <row r="582" ht="19.5" customHeight="1">
      <c r="A582" s="12"/>
      <c r="C582" s="12"/>
      <c r="D582" s="87"/>
      <c r="F582" s="14"/>
      <c r="G582" s="14"/>
      <c r="H582" s="14"/>
      <c r="I582" s="14"/>
      <c r="J582" s="14"/>
      <c r="K582" s="12"/>
    </row>
    <row r="583" ht="19.5" customHeight="1">
      <c r="A583" s="12"/>
      <c r="C583" s="12"/>
      <c r="D583" s="87"/>
      <c r="F583" s="14"/>
      <c r="G583" s="14"/>
      <c r="H583" s="14"/>
      <c r="I583" s="14"/>
      <c r="J583" s="14"/>
      <c r="K583" s="12"/>
    </row>
    <row r="584" ht="19.5" customHeight="1">
      <c r="A584" s="12"/>
      <c r="C584" s="12"/>
      <c r="D584" s="87"/>
      <c r="F584" s="14"/>
      <c r="G584" s="14"/>
      <c r="H584" s="14"/>
      <c r="I584" s="14"/>
      <c r="J584" s="14"/>
      <c r="K584" s="12"/>
    </row>
    <row r="585" ht="19.5" customHeight="1">
      <c r="A585" s="12"/>
      <c r="C585" s="12"/>
      <c r="D585" s="87"/>
      <c r="F585" s="14"/>
      <c r="G585" s="14"/>
      <c r="H585" s="14"/>
      <c r="I585" s="14"/>
      <c r="J585" s="14"/>
      <c r="K585" s="12"/>
    </row>
    <row r="586" ht="19.5" customHeight="1">
      <c r="A586" s="12"/>
      <c r="C586" s="12"/>
      <c r="D586" s="87"/>
      <c r="F586" s="14"/>
      <c r="G586" s="14"/>
      <c r="H586" s="14"/>
      <c r="I586" s="14"/>
      <c r="J586" s="14"/>
      <c r="K586" s="12"/>
    </row>
    <row r="587" ht="19.5" customHeight="1">
      <c r="A587" s="12"/>
      <c r="C587" s="12"/>
      <c r="D587" s="87"/>
      <c r="F587" s="14"/>
      <c r="G587" s="14"/>
      <c r="H587" s="14"/>
      <c r="I587" s="14"/>
      <c r="J587" s="14"/>
      <c r="K587" s="12"/>
    </row>
    <row r="588" ht="19.5" customHeight="1">
      <c r="A588" s="12"/>
      <c r="C588" s="12"/>
      <c r="D588" s="87"/>
      <c r="F588" s="14"/>
      <c r="G588" s="14"/>
      <c r="H588" s="14"/>
      <c r="I588" s="14"/>
      <c r="J588" s="14"/>
      <c r="K588" s="12"/>
    </row>
    <row r="589" ht="19.5" customHeight="1">
      <c r="A589" s="12"/>
      <c r="C589" s="12"/>
      <c r="D589" s="87"/>
      <c r="F589" s="14"/>
      <c r="G589" s="14"/>
      <c r="H589" s="14"/>
      <c r="I589" s="14"/>
      <c r="J589" s="14"/>
      <c r="K589" s="12"/>
    </row>
    <row r="590" ht="19.5" customHeight="1">
      <c r="A590" s="12"/>
      <c r="C590" s="12"/>
      <c r="D590" s="87"/>
      <c r="F590" s="14"/>
      <c r="G590" s="14"/>
      <c r="H590" s="14"/>
      <c r="I590" s="14"/>
      <c r="J590" s="14"/>
      <c r="K590" s="12"/>
    </row>
    <row r="591" ht="19.5" customHeight="1">
      <c r="A591" s="12"/>
      <c r="C591" s="12"/>
      <c r="D591" s="87"/>
      <c r="F591" s="14"/>
      <c r="G591" s="14"/>
      <c r="H591" s="14"/>
      <c r="I591" s="14"/>
      <c r="J591" s="14"/>
      <c r="K591" s="12"/>
    </row>
    <row r="592" ht="19.5" customHeight="1">
      <c r="A592" s="12"/>
      <c r="C592" s="12"/>
      <c r="D592" s="87"/>
      <c r="F592" s="14"/>
      <c r="G592" s="14"/>
      <c r="H592" s="14"/>
      <c r="I592" s="14"/>
      <c r="J592" s="14"/>
      <c r="K592" s="12"/>
    </row>
    <row r="593" ht="19.5" customHeight="1">
      <c r="A593" s="12"/>
      <c r="C593" s="12"/>
      <c r="D593" s="87"/>
      <c r="F593" s="14"/>
      <c r="G593" s="14"/>
      <c r="H593" s="14"/>
      <c r="I593" s="14"/>
      <c r="J593" s="14"/>
      <c r="K593" s="12"/>
    </row>
    <row r="594" ht="19.5" customHeight="1">
      <c r="A594" s="12"/>
      <c r="C594" s="12"/>
      <c r="D594" s="87"/>
      <c r="F594" s="14"/>
      <c r="G594" s="14"/>
      <c r="H594" s="14"/>
      <c r="I594" s="14"/>
      <c r="J594" s="14"/>
      <c r="K594" s="12"/>
    </row>
    <row r="595" ht="19.5" customHeight="1">
      <c r="A595" s="12"/>
      <c r="C595" s="12"/>
      <c r="D595" s="87"/>
      <c r="F595" s="14"/>
      <c r="G595" s="14"/>
      <c r="H595" s="14"/>
      <c r="I595" s="14"/>
      <c r="J595" s="14"/>
      <c r="K595" s="12"/>
    </row>
    <row r="596" ht="19.5" customHeight="1">
      <c r="A596" s="12"/>
      <c r="C596" s="12"/>
      <c r="D596" s="87"/>
      <c r="F596" s="14"/>
      <c r="G596" s="14"/>
      <c r="H596" s="14"/>
      <c r="I596" s="14"/>
      <c r="J596" s="14"/>
      <c r="K596" s="12"/>
    </row>
    <row r="597" ht="19.5" customHeight="1">
      <c r="A597" s="12"/>
      <c r="C597" s="12"/>
      <c r="D597" s="87"/>
      <c r="F597" s="14"/>
      <c r="G597" s="14"/>
      <c r="H597" s="14"/>
      <c r="I597" s="14"/>
      <c r="J597" s="14"/>
      <c r="K597" s="12"/>
    </row>
    <row r="598" ht="19.5" customHeight="1">
      <c r="A598" s="12"/>
      <c r="C598" s="12"/>
      <c r="D598" s="87"/>
      <c r="F598" s="14"/>
      <c r="G598" s="14"/>
      <c r="H598" s="14"/>
      <c r="I598" s="14"/>
      <c r="J598" s="14"/>
      <c r="K598" s="12"/>
    </row>
    <row r="599" ht="19.5" customHeight="1">
      <c r="A599" s="12"/>
      <c r="C599" s="12"/>
      <c r="D599" s="87"/>
      <c r="F599" s="14"/>
      <c r="G599" s="14"/>
      <c r="H599" s="14"/>
      <c r="I599" s="14"/>
      <c r="J599" s="14"/>
      <c r="K599" s="12"/>
    </row>
    <row r="600" ht="19.5" customHeight="1">
      <c r="A600" s="12"/>
      <c r="C600" s="12"/>
      <c r="D600" s="87"/>
      <c r="F600" s="14"/>
      <c r="G600" s="14"/>
      <c r="H600" s="14"/>
      <c r="I600" s="14"/>
      <c r="J600" s="14"/>
      <c r="K600" s="12"/>
    </row>
    <row r="601" ht="19.5" customHeight="1">
      <c r="A601" s="12"/>
      <c r="C601" s="12"/>
      <c r="D601" s="87"/>
      <c r="F601" s="14"/>
      <c r="G601" s="14"/>
      <c r="H601" s="14"/>
      <c r="I601" s="14"/>
      <c r="J601" s="14"/>
      <c r="K601" s="12"/>
    </row>
    <row r="602" ht="19.5" customHeight="1">
      <c r="A602" s="12"/>
      <c r="C602" s="12"/>
      <c r="D602" s="87"/>
      <c r="F602" s="14"/>
      <c r="G602" s="14"/>
      <c r="H602" s="14"/>
      <c r="I602" s="14"/>
      <c r="J602" s="14"/>
      <c r="K602" s="12"/>
    </row>
    <row r="603" ht="19.5" customHeight="1">
      <c r="A603" s="12"/>
      <c r="C603" s="12"/>
      <c r="D603" s="87"/>
      <c r="F603" s="14"/>
      <c r="G603" s="14"/>
      <c r="H603" s="14"/>
      <c r="I603" s="14"/>
      <c r="J603" s="14"/>
      <c r="K603" s="12"/>
    </row>
    <row r="604" ht="19.5" customHeight="1">
      <c r="A604" s="12"/>
      <c r="C604" s="12"/>
      <c r="D604" s="87"/>
      <c r="F604" s="14"/>
      <c r="G604" s="14"/>
      <c r="H604" s="14"/>
      <c r="I604" s="14"/>
      <c r="J604" s="14"/>
      <c r="K604" s="12"/>
    </row>
    <row r="605" ht="19.5" customHeight="1">
      <c r="A605" s="12"/>
      <c r="C605" s="12"/>
      <c r="D605" s="87"/>
      <c r="F605" s="14"/>
      <c r="G605" s="14"/>
      <c r="H605" s="14"/>
      <c r="I605" s="14"/>
      <c r="J605" s="14"/>
      <c r="K605" s="12"/>
    </row>
    <row r="606" ht="19.5" customHeight="1">
      <c r="A606" s="12"/>
      <c r="C606" s="12"/>
      <c r="D606" s="87"/>
      <c r="F606" s="14"/>
      <c r="G606" s="14"/>
      <c r="H606" s="14"/>
      <c r="I606" s="14"/>
      <c r="J606" s="14"/>
      <c r="K606" s="12"/>
    </row>
    <row r="607" ht="19.5" customHeight="1">
      <c r="A607" s="12"/>
      <c r="C607" s="12"/>
      <c r="D607" s="87"/>
      <c r="F607" s="14"/>
      <c r="G607" s="14"/>
      <c r="H607" s="14"/>
      <c r="I607" s="14"/>
      <c r="J607" s="14"/>
      <c r="K607" s="12"/>
    </row>
    <row r="608" ht="19.5" customHeight="1">
      <c r="A608" s="12"/>
      <c r="C608" s="12"/>
      <c r="D608" s="87"/>
      <c r="F608" s="14"/>
      <c r="G608" s="14"/>
      <c r="H608" s="14"/>
      <c r="I608" s="14"/>
      <c r="J608" s="14"/>
      <c r="K608" s="12"/>
    </row>
    <row r="609" ht="19.5" customHeight="1">
      <c r="A609" s="12"/>
      <c r="C609" s="12"/>
      <c r="D609" s="87"/>
      <c r="F609" s="14"/>
      <c r="G609" s="14"/>
      <c r="H609" s="14"/>
      <c r="I609" s="14"/>
      <c r="J609" s="14"/>
      <c r="K609" s="12"/>
    </row>
    <row r="610" ht="19.5" customHeight="1">
      <c r="A610" s="12"/>
      <c r="C610" s="12"/>
      <c r="D610" s="87"/>
      <c r="F610" s="14"/>
      <c r="G610" s="14"/>
      <c r="H610" s="14"/>
      <c r="I610" s="14"/>
      <c r="J610" s="14"/>
      <c r="K610" s="12"/>
    </row>
    <row r="611" ht="19.5" customHeight="1">
      <c r="A611" s="12"/>
      <c r="C611" s="12"/>
      <c r="D611" s="87"/>
      <c r="F611" s="14"/>
      <c r="G611" s="14"/>
      <c r="H611" s="14"/>
      <c r="I611" s="14"/>
      <c r="J611" s="14"/>
      <c r="K611" s="12"/>
    </row>
    <row r="612" ht="19.5" customHeight="1">
      <c r="A612" s="12"/>
      <c r="C612" s="12"/>
      <c r="D612" s="87"/>
      <c r="F612" s="14"/>
      <c r="G612" s="14"/>
      <c r="H612" s="14"/>
      <c r="I612" s="14"/>
      <c r="J612" s="14"/>
      <c r="K612" s="12"/>
    </row>
    <row r="613" ht="19.5" customHeight="1">
      <c r="A613" s="12"/>
      <c r="C613" s="12"/>
      <c r="D613" s="87"/>
      <c r="F613" s="14"/>
      <c r="G613" s="14"/>
      <c r="H613" s="14"/>
      <c r="I613" s="14"/>
      <c r="J613" s="14"/>
      <c r="K613" s="12"/>
    </row>
    <row r="614" ht="19.5" customHeight="1">
      <c r="A614" s="12"/>
      <c r="C614" s="12"/>
      <c r="D614" s="87"/>
      <c r="F614" s="14"/>
      <c r="G614" s="14"/>
      <c r="H614" s="14"/>
      <c r="I614" s="14"/>
      <c r="J614" s="14"/>
      <c r="K614" s="12"/>
    </row>
    <row r="615" ht="19.5" customHeight="1">
      <c r="A615" s="12"/>
      <c r="C615" s="12"/>
      <c r="D615" s="87"/>
      <c r="F615" s="14"/>
      <c r="G615" s="14"/>
      <c r="H615" s="14"/>
      <c r="I615" s="14"/>
      <c r="J615" s="14"/>
      <c r="K615" s="12"/>
    </row>
    <row r="616" ht="19.5" customHeight="1">
      <c r="A616" s="12"/>
      <c r="C616" s="12"/>
      <c r="D616" s="87"/>
      <c r="F616" s="14"/>
      <c r="G616" s="14"/>
      <c r="H616" s="14"/>
      <c r="I616" s="14"/>
      <c r="J616" s="14"/>
      <c r="K616" s="12"/>
    </row>
    <row r="617" ht="19.5" customHeight="1">
      <c r="A617" s="12"/>
      <c r="C617" s="12"/>
      <c r="D617" s="87"/>
      <c r="F617" s="14"/>
      <c r="G617" s="14"/>
      <c r="H617" s="14"/>
      <c r="I617" s="14"/>
      <c r="J617" s="14"/>
      <c r="K617" s="12"/>
    </row>
    <row r="618" ht="19.5" customHeight="1">
      <c r="A618" s="12"/>
      <c r="C618" s="12"/>
      <c r="D618" s="87"/>
      <c r="F618" s="14"/>
      <c r="G618" s="14"/>
      <c r="H618" s="14"/>
      <c r="I618" s="14"/>
      <c r="J618" s="14"/>
      <c r="K618" s="12"/>
    </row>
    <row r="619" ht="19.5" customHeight="1">
      <c r="A619" s="12"/>
      <c r="C619" s="12"/>
      <c r="D619" s="87"/>
      <c r="F619" s="14"/>
      <c r="G619" s="14"/>
      <c r="H619" s="14"/>
      <c r="I619" s="14"/>
      <c r="J619" s="14"/>
      <c r="K619" s="12"/>
    </row>
    <row r="620" ht="19.5" customHeight="1">
      <c r="A620" s="12"/>
      <c r="C620" s="12"/>
      <c r="D620" s="87"/>
      <c r="F620" s="14"/>
      <c r="G620" s="14"/>
      <c r="H620" s="14"/>
      <c r="I620" s="14"/>
      <c r="J620" s="14"/>
      <c r="K620" s="12"/>
    </row>
    <row r="621" ht="19.5" customHeight="1">
      <c r="A621" s="12"/>
      <c r="C621" s="12"/>
      <c r="D621" s="87"/>
      <c r="F621" s="14"/>
      <c r="G621" s="14"/>
      <c r="H621" s="14"/>
      <c r="I621" s="14"/>
      <c r="J621" s="14"/>
      <c r="K621" s="12"/>
    </row>
    <row r="622" ht="19.5" customHeight="1">
      <c r="A622" s="12"/>
      <c r="C622" s="12"/>
      <c r="D622" s="87"/>
      <c r="F622" s="14"/>
      <c r="G622" s="14"/>
      <c r="H622" s="14"/>
      <c r="I622" s="14"/>
      <c r="J622" s="14"/>
      <c r="K622" s="12"/>
    </row>
    <row r="623" ht="19.5" customHeight="1">
      <c r="A623" s="12"/>
      <c r="C623" s="12"/>
      <c r="D623" s="87"/>
      <c r="F623" s="14"/>
      <c r="G623" s="14"/>
      <c r="H623" s="14"/>
      <c r="I623" s="14"/>
      <c r="J623" s="14"/>
      <c r="K623" s="12"/>
    </row>
    <row r="624" ht="19.5" customHeight="1">
      <c r="A624" s="12"/>
      <c r="C624" s="12"/>
      <c r="D624" s="87"/>
      <c r="F624" s="14"/>
      <c r="G624" s="14"/>
      <c r="H624" s="14"/>
      <c r="I624" s="14"/>
      <c r="J624" s="14"/>
      <c r="K624" s="12"/>
    </row>
    <row r="625" ht="19.5" customHeight="1">
      <c r="A625" s="12"/>
      <c r="C625" s="12"/>
      <c r="D625" s="87"/>
      <c r="F625" s="14"/>
      <c r="G625" s="14"/>
      <c r="H625" s="14"/>
      <c r="I625" s="14"/>
      <c r="J625" s="14"/>
      <c r="K625" s="12"/>
    </row>
    <row r="626" ht="19.5" customHeight="1">
      <c r="A626" s="12"/>
      <c r="C626" s="12"/>
      <c r="D626" s="87"/>
      <c r="F626" s="14"/>
      <c r="G626" s="14"/>
      <c r="H626" s="14"/>
      <c r="I626" s="14"/>
      <c r="J626" s="14"/>
      <c r="K626" s="12"/>
    </row>
    <row r="627" ht="19.5" customHeight="1">
      <c r="A627" s="12"/>
      <c r="C627" s="12"/>
      <c r="D627" s="87"/>
      <c r="F627" s="14"/>
      <c r="G627" s="14"/>
      <c r="H627" s="14"/>
      <c r="I627" s="14"/>
      <c r="J627" s="14"/>
      <c r="K627" s="12"/>
    </row>
    <row r="628" ht="19.5" customHeight="1">
      <c r="A628" s="12"/>
      <c r="C628" s="12"/>
      <c r="D628" s="87"/>
      <c r="F628" s="14"/>
      <c r="G628" s="14"/>
      <c r="H628" s="14"/>
      <c r="I628" s="14"/>
      <c r="J628" s="14"/>
      <c r="K628" s="12"/>
    </row>
    <row r="629" ht="19.5" customHeight="1">
      <c r="A629" s="12"/>
      <c r="C629" s="12"/>
      <c r="D629" s="87"/>
      <c r="F629" s="14"/>
      <c r="G629" s="14"/>
      <c r="H629" s="14"/>
      <c r="I629" s="14"/>
      <c r="J629" s="14"/>
      <c r="K629" s="12"/>
    </row>
    <row r="630" ht="19.5" customHeight="1">
      <c r="A630" s="12"/>
      <c r="C630" s="12"/>
      <c r="D630" s="87"/>
      <c r="F630" s="14"/>
      <c r="G630" s="14"/>
      <c r="H630" s="14"/>
      <c r="I630" s="14"/>
      <c r="J630" s="14"/>
      <c r="K630" s="12"/>
    </row>
    <row r="631" ht="19.5" customHeight="1">
      <c r="A631" s="12"/>
      <c r="C631" s="12"/>
      <c r="D631" s="87"/>
      <c r="F631" s="14"/>
      <c r="G631" s="14"/>
      <c r="H631" s="14"/>
      <c r="I631" s="14"/>
      <c r="J631" s="14"/>
      <c r="K631" s="12"/>
    </row>
    <row r="632" ht="19.5" customHeight="1">
      <c r="A632" s="12"/>
      <c r="C632" s="12"/>
      <c r="D632" s="87"/>
      <c r="F632" s="14"/>
      <c r="G632" s="14"/>
      <c r="H632" s="14"/>
      <c r="I632" s="14"/>
      <c r="J632" s="14"/>
      <c r="K632" s="12"/>
    </row>
    <row r="633" ht="19.5" customHeight="1">
      <c r="A633" s="12"/>
      <c r="C633" s="12"/>
      <c r="D633" s="87"/>
      <c r="F633" s="14"/>
      <c r="G633" s="14"/>
      <c r="H633" s="14"/>
      <c r="I633" s="14"/>
      <c r="J633" s="14"/>
      <c r="K633" s="12"/>
    </row>
    <row r="634" ht="19.5" customHeight="1">
      <c r="A634" s="12"/>
      <c r="C634" s="12"/>
      <c r="D634" s="87"/>
      <c r="F634" s="14"/>
      <c r="G634" s="14"/>
      <c r="H634" s="14"/>
      <c r="I634" s="14"/>
      <c r="J634" s="14"/>
      <c r="K634" s="12"/>
    </row>
    <row r="635" ht="19.5" customHeight="1">
      <c r="A635" s="12"/>
      <c r="C635" s="12"/>
      <c r="D635" s="87"/>
      <c r="F635" s="14"/>
      <c r="G635" s="14"/>
      <c r="H635" s="14"/>
      <c r="I635" s="14"/>
      <c r="J635" s="14"/>
      <c r="K635" s="12"/>
    </row>
    <row r="636" ht="19.5" customHeight="1">
      <c r="A636" s="12"/>
      <c r="C636" s="12"/>
      <c r="D636" s="87"/>
      <c r="F636" s="14"/>
      <c r="G636" s="14"/>
      <c r="H636" s="14"/>
      <c r="I636" s="14"/>
      <c r="J636" s="14"/>
      <c r="K636" s="12"/>
    </row>
    <row r="637" ht="19.5" customHeight="1">
      <c r="A637" s="12"/>
      <c r="C637" s="12"/>
      <c r="D637" s="87"/>
      <c r="F637" s="14"/>
      <c r="G637" s="14"/>
      <c r="H637" s="14"/>
      <c r="I637" s="14"/>
      <c r="J637" s="14"/>
      <c r="K637" s="12"/>
    </row>
    <row r="638" ht="19.5" customHeight="1">
      <c r="A638" s="12"/>
      <c r="C638" s="12"/>
      <c r="D638" s="87"/>
      <c r="F638" s="14"/>
      <c r="G638" s="14"/>
      <c r="H638" s="14"/>
      <c r="I638" s="14"/>
      <c r="J638" s="14"/>
      <c r="K638" s="12"/>
    </row>
    <row r="639" ht="19.5" customHeight="1">
      <c r="A639" s="12"/>
      <c r="C639" s="12"/>
      <c r="D639" s="87"/>
      <c r="F639" s="14"/>
      <c r="G639" s="14"/>
      <c r="H639" s="14"/>
      <c r="I639" s="14"/>
      <c r="J639" s="14"/>
      <c r="K639" s="12"/>
    </row>
    <row r="640" ht="19.5" customHeight="1">
      <c r="A640" s="12"/>
      <c r="C640" s="12"/>
      <c r="D640" s="87"/>
      <c r="F640" s="14"/>
      <c r="G640" s="14"/>
      <c r="H640" s="14"/>
      <c r="I640" s="14"/>
      <c r="J640" s="14"/>
      <c r="K640" s="12"/>
    </row>
    <row r="641" ht="19.5" customHeight="1">
      <c r="A641" s="12"/>
      <c r="C641" s="12"/>
      <c r="D641" s="87"/>
      <c r="F641" s="14"/>
      <c r="G641" s="14"/>
      <c r="H641" s="14"/>
      <c r="I641" s="14"/>
      <c r="J641" s="14"/>
      <c r="K641" s="12"/>
    </row>
    <row r="642" ht="19.5" customHeight="1">
      <c r="A642" s="12"/>
      <c r="C642" s="12"/>
      <c r="D642" s="87"/>
      <c r="F642" s="14"/>
      <c r="G642" s="14"/>
      <c r="H642" s="14"/>
      <c r="I642" s="14"/>
      <c r="J642" s="14"/>
      <c r="K642" s="12"/>
    </row>
    <row r="643" ht="19.5" customHeight="1">
      <c r="A643" s="12"/>
      <c r="C643" s="12"/>
      <c r="D643" s="87"/>
      <c r="F643" s="14"/>
      <c r="G643" s="14"/>
      <c r="H643" s="14"/>
      <c r="I643" s="14"/>
      <c r="J643" s="14"/>
      <c r="K643" s="12"/>
    </row>
    <row r="644" ht="19.5" customHeight="1">
      <c r="A644" s="12"/>
      <c r="C644" s="12"/>
      <c r="D644" s="87"/>
      <c r="F644" s="14"/>
      <c r="G644" s="14"/>
      <c r="H644" s="14"/>
      <c r="I644" s="14"/>
      <c r="J644" s="14"/>
      <c r="K644" s="12"/>
    </row>
    <row r="645" ht="19.5" customHeight="1">
      <c r="A645" s="12"/>
      <c r="C645" s="12"/>
      <c r="D645" s="87"/>
      <c r="F645" s="14"/>
      <c r="G645" s="14"/>
      <c r="H645" s="14"/>
      <c r="I645" s="14"/>
      <c r="J645" s="14"/>
      <c r="K645" s="12"/>
    </row>
    <row r="646" ht="19.5" customHeight="1">
      <c r="A646" s="12"/>
      <c r="C646" s="12"/>
      <c r="D646" s="87"/>
      <c r="F646" s="14"/>
      <c r="G646" s="14"/>
      <c r="H646" s="14"/>
      <c r="I646" s="14"/>
      <c r="J646" s="14"/>
      <c r="K646" s="12"/>
    </row>
    <row r="647" ht="19.5" customHeight="1">
      <c r="A647" s="12"/>
      <c r="C647" s="12"/>
      <c r="D647" s="87"/>
      <c r="F647" s="14"/>
      <c r="G647" s="14"/>
      <c r="H647" s="14"/>
      <c r="I647" s="14"/>
      <c r="J647" s="14"/>
      <c r="K647" s="12"/>
    </row>
    <row r="648" ht="19.5" customHeight="1">
      <c r="A648" s="12"/>
      <c r="C648" s="12"/>
      <c r="D648" s="87"/>
      <c r="F648" s="14"/>
      <c r="G648" s="14"/>
      <c r="H648" s="14"/>
      <c r="I648" s="14"/>
      <c r="J648" s="14"/>
      <c r="K648" s="12"/>
    </row>
    <row r="649" ht="19.5" customHeight="1">
      <c r="A649" s="12"/>
      <c r="C649" s="12"/>
      <c r="D649" s="87"/>
      <c r="F649" s="14"/>
      <c r="G649" s="14"/>
      <c r="H649" s="14"/>
      <c r="I649" s="14"/>
      <c r="J649" s="14"/>
      <c r="K649" s="12"/>
    </row>
    <row r="650" ht="19.5" customHeight="1">
      <c r="A650" s="12"/>
      <c r="C650" s="12"/>
      <c r="D650" s="87"/>
      <c r="F650" s="14"/>
      <c r="G650" s="14"/>
      <c r="H650" s="14"/>
      <c r="I650" s="14"/>
      <c r="J650" s="14"/>
      <c r="K650" s="12"/>
    </row>
    <row r="651" ht="19.5" customHeight="1">
      <c r="A651" s="12"/>
      <c r="C651" s="12"/>
      <c r="D651" s="87"/>
      <c r="F651" s="14"/>
      <c r="G651" s="14"/>
      <c r="H651" s="14"/>
      <c r="I651" s="14"/>
      <c r="J651" s="14"/>
      <c r="K651" s="12"/>
    </row>
    <row r="652" ht="19.5" customHeight="1">
      <c r="A652" s="12"/>
      <c r="C652" s="12"/>
      <c r="D652" s="87"/>
      <c r="F652" s="14"/>
      <c r="G652" s="14"/>
      <c r="H652" s="14"/>
      <c r="I652" s="14"/>
      <c r="J652" s="14"/>
      <c r="K652" s="12"/>
    </row>
    <row r="653" ht="19.5" customHeight="1">
      <c r="A653" s="12"/>
      <c r="C653" s="12"/>
      <c r="D653" s="87"/>
      <c r="F653" s="14"/>
      <c r="G653" s="14"/>
      <c r="H653" s="14"/>
      <c r="I653" s="14"/>
      <c r="J653" s="14"/>
      <c r="K653" s="12"/>
    </row>
    <row r="654" ht="19.5" customHeight="1">
      <c r="A654" s="12"/>
      <c r="C654" s="12"/>
      <c r="D654" s="87"/>
      <c r="F654" s="14"/>
      <c r="G654" s="14"/>
      <c r="H654" s="14"/>
      <c r="I654" s="14"/>
      <c r="J654" s="14"/>
      <c r="K654" s="12"/>
    </row>
    <row r="655" ht="19.5" customHeight="1">
      <c r="A655" s="12"/>
      <c r="C655" s="12"/>
      <c r="D655" s="87"/>
      <c r="F655" s="14"/>
      <c r="G655" s="14"/>
      <c r="H655" s="14"/>
      <c r="I655" s="14"/>
      <c r="J655" s="14"/>
      <c r="K655" s="12"/>
    </row>
    <row r="656" ht="19.5" customHeight="1">
      <c r="A656" s="12"/>
      <c r="C656" s="12"/>
      <c r="D656" s="87"/>
      <c r="F656" s="14"/>
      <c r="G656" s="14"/>
      <c r="H656" s="14"/>
      <c r="I656" s="14"/>
      <c r="J656" s="14"/>
      <c r="K656" s="12"/>
    </row>
    <row r="657" ht="19.5" customHeight="1">
      <c r="A657" s="12"/>
      <c r="C657" s="12"/>
      <c r="D657" s="87"/>
      <c r="F657" s="14"/>
      <c r="G657" s="14"/>
      <c r="H657" s="14"/>
      <c r="I657" s="14"/>
      <c r="J657" s="14"/>
      <c r="K657" s="12"/>
    </row>
    <row r="658" ht="19.5" customHeight="1">
      <c r="A658" s="12"/>
      <c r="C658" s="12"/>
      <c r="D658" s="87"/>
      <c r="F658" s="14"/>
      <c r="G658" s="14"/>
      <c r="H658" s="14"/>
      <c r="I658" s="14"/>
      <c r="J658" s="14"/>
      <c r="K658" s="12"/>
    </row>
    <row r="659" ht="19.5" customHeight="1">
      <c r="A659" s="12"/>
      <c r="C659" s="12"/>
      <c r="D659" s="87"/>
      <c r="F659" s="14"/>
      <c r="G659" s="14"/>
      <c r="H659" s="14"/>
      <c r="I659" s="14"/>
      <c r="J659" s="14"/>
      <c r="K659" s="12"/>
    </row>
    <row r="660" ht="19.5" customHeight="1">
      <c r="A660" s="12"/>
      <c r="C660" s="12"/>
      <c r="D660" s="87"/>
      <c r="F660" s="14"/>
      <c r="G660" s="14"/>
      <c r="H660" s="14"/>
      <c r="I660" s="14"/>
      <c r="J660" s="14"/>
      <c r="K660" s="12"/>
    </row>
    <row r="661" ht="19.5" customHeight="1">
      <c r="A661" s="12"/>
      <c r="C661" s="12"/>
      <c r="D661" s="87"/>
      <c r="F661" s="14"/>
      <c r="G661" s="14"/>
      <c r="H661" s="14"/>
      <c r="I661" s="14"/>
      <c r="J661" s="14"/>
      <c r="K661" s="12"/>
    </row>
    <row r="662" ht="19.5" customHeight="1">
      <c r="A662" s="12"/>
      <c r="C662" s="12"/>
      <c r="D662" s="87"/>
      <c r="F662" s="14"/>
      <c r="G662" s="14"/>
      <c r="H662" s="14"/>
      <c r="I662" s="14"/>
      <c r="J662" s="14"/>
      <c r="K662" s="12"/>
    </row>
    <row r="663" ht="19.5" customHeight="1">
      <c r="A663" s="12"/>
      <c r="C663" s="12"/>
      <c r="D663" s="87"/>
      <c r="F663" s="14"/>
      <c r="G663" s="14"/>
      <c r="H663" s="14"/>
      <c r="I663" s="14"/>
      <c r="J663" s="14"/>
      <c r="K663" s="12"/>
    </row>
    <row r="664" ht="19.5" customHeight="1">
      <c r="A664" s="12"/>
      <c r="C664" s="12"/>
      <c r="D664" s="87"/>
      <c r="F664" s="14"/>
      <c r="G664" s="14"/>
      <c r="H664" s="14"/>
      <c r="I664" s="14"/>
      <c r="J664" s="14"/>
      <c r="K664" s="12"/>
    </row>
    <row r="665" ht="19.5" customHeight="1">
      <c r="A665" s="12"/>
      <c r="C665" s="12"/>
      <c r="D665" s="87"/>
      <c r="F665" s="14"/>
      <c r="G665" s="14"/>
      <c r="H665" s="14"/>
      <c r="I665" s="14"/>
      <c r="J665" s="14"/>
      <c r="K665" s="12"/>
    </row>
    <row r="666" ht="19.5" customHeight="1">
      <c r="A666" s="12"/>
      <c r="C666" s="12"/>
      <c r="D666" s="87"/>
      <c r="F666" s="14"/>
      <c r="G666" s="14"/>
      <c r="H666" s="14"/>
      <c r="I666" s="14"/>
      <c r="J666" s="14"/>
      <c r="K666" s="12"/>
    </row>
    <row r="667" ht="19.5" customHeight="1">
      <c r="A667" s="12"/>
      <c r="C667" s="12"/>
      <c r="D667" s="87"/>
      <c r="F667" s="14"/>
      <c r="G667" s="14"/>
      <c r="H667" s="14"/>
      <c r="I667" s="14"/>
      <c r="J667" s="14"/>
      <c r="K667" s="12"/>
    </row>
    <row r="668" ht="19.5" customHeight="1">
      <c r="A668" s="12"/>
      <c r="C668" s="12"/>
      <c r="D668" s="87"/>
      <c r="F668" s="14"/>
      <c r="G668" s="14"/>
      <c r="H668" s="14"/>
      <c r="I668" s="14"/>
      <c r="J668" s="14"/>
      <c r="K668" s="12"/>
    </row>
    <row r="669" ht="19.5" customHeight="1">
      <c r="A669" s="12"/>
      <c r="C669" s="12"/>
      <c r="D669" s="87"/>
      <c r="F669" s="14"/>
      <c r="G669" s="14"/>
      <c r="H669" s="14"/>
      <c r="I669" s="14"/>
      <c r="J669" s="14"/>
      <c r="K669" s="12"/>
    </row>
    <row r="670" ht="19.5" customHeight="1">
      <c r="A670" s="12"/>
      <c r="C670" s="12"/>
      <c r="D670" s="87"/>
      <c r="F670" s="14"/>
      <c r="G670" s="14"/>
      <c r="H670" s="14"/>
      <c r="I670" s="14"/>
      <c r="J670" s="14"/>
      <c r="K670" s="12"/>
    </row>
    <row r="671" ht="19.5" customHeight="1">
      <c r="A671" s="12"/>
      <c r="C671" s="12"/>
      <c r="D671" s="87"/>
      <c r="F671" s="14"/>
      <c r="G671" s="14"/>
      <c r="H671" s="14"/>
      <c r="I671" s="14"/>
      <c r="J671" s="14"/>
      <c r="K671" s="12"/>
    </row>
    <row r="672" ht="19.5" customHeight="1">
      <c r="A672" s="12"/>
      <c r="C672" s="12"/>
      <c r="D672" s="87"/>
      <c r="F672" s="14"/>
      <c r="G672" s="14"/>
      <c r="H672" s="14"/>
      <c r="I672" s="14"/>
      <c r="J672" s="14"/>
      <c r="K672" s="12"/>
    </row>
    <row r="673" ht="19.5" customHeight="1">
      <c r="A673" s="12"/>
      <c r="C673" s="12"/>
      <c r="D673" s="87"/>
      <c r="F673" s="14"/>
      <c r="G673" s="14"/>
      <c r="H673" s="14"/>
      <c r="I673" s="14"/>
      <c r="J673" s="14"/>
      <c r="K673" s="12"/>
    </row>
    <row r="674" ht="19.5" customHeight="1">
      <c r="A674" s="12"/>
      <c r="C674" s="12"/>
      <c r="D674" s="87"/>
      <c r="F674" s="14"/>
      <c r="G674" s="14"/>
      <c r="H674" s="14"/>
      <c r="I674" s="14"/>
      <c r="J674" s="14"/>
      <c r="K674" s="12"/>
    </row>
    <row r="675" ht="19.5" customHeight="1">
      <c r="A675" s="12"/>
      <c r="C675" s="12"/>
      <c r="D675" s="87"/>
      <c r="F675" s="14"/>
      <c r="G675" s="14"/>
      <c r="H675" s="14"/>
      <c r="I675" s="14"/>
      <c r="J675" s="14"/>
      <c r="K675" s="12"/>
    </row>
    <row r="676" ht="19.5" customHeight="1">
      <c r="A676" s="12"/>
      <c r="C676" s="12"/>
      <c r="D676" s="87"/>
      <c r="F676" s="14"/>
      <c r="G676" s="14"/>
      <c r="H676" s="14"/>
      <c r="I676" s="14"/>
      <c r="J676" s="14"/>
      <c r="K676" s="12"/>
    </row>
    <row r="677" ht="19.5" customHeight="1">
      <c r="A677" s="12"/>
      <c r="C677" s="12"/>
      <c r="D677" s="87"/>
      <c r="F677" s="14"/>
      <c r="G677" s="14"/>
      <c r="H677" s="14"/>
      <c r="I677" s="14"/>
      <c r="J677" s="14"/>
      <c r="K677" s="12"/>
    </row>
    <row r="678" ht="19.5" customHeight="1">
      <c r="A678" s="12"/>
      <c r="C678" s="12"/>
      <c r="D678" s="87"/>
      <c r="F678" s="14"/>
      <c r="G678" s="14"/>
      <c r="H678" s="14"/>
      <c r="I678" s="14"/>
      <c r="J678" s="14"/>
      <c r="K678" s="12"/>
    </row>
    <row r="679" ht="19.5" customHeight="1">
      <c r="A679" s="12"/>
      <c r="C679" s="12"/>
      <c r="D679" s="87"/>
      <c r="F679" s="14"/>
      <c r="G679" s="14"/>
      <c r="H679" s="14"/>
      <c r="I679" s="14"/>
      <c r="J679" s="14"/>
      <c r="K679" s="12"/>
    </row>
    <row r="680" ht="19.5" customHeight="1">
      <c r="A680" s="12"/>
      <c r="C680" s="12"/>
      <c r="D680" s="87"/>
      <c r="F680" s="14"/>
      <c r="G680" s="14"/>
      <c r="H680" s="14"/>
      <c r="I680" s="14"/>
      <c r="J680" s="14"/>
      <c r="K680" s="12"/>
    </row>
    <row r="681" ht="19.5" customHeight="1">
      <c r="A681" s="12"/>
      <c r="C681" s="12"/>
      <c r="D681" s="87"/>
      <c r="F681" s="14"/>
      <c r="G681" s="14"/>
      <c r="H681" s="14"/>
      <c r="I681" s="14"/>
      <c r="J681" s="14"/>
      <c r="K681" s="12"/>
    </row>
    <row r="682" ht="19.5" customHeight="1">
      <c r="A682" s="12"/>
      <c r="C682" s="12"/>
      <c r="D682" s="87"/>
      <c r="F682" s="14"/>
      <c r="G682" s="14"/>
      <c r="H682" s="14"/>
      <c r="I682" s="14"/>
      <c r="J682" s="14"/>
      <c r="K682" s="12"/>
    </row>
    <row r="683" ht="19.5" customHeight="1">
      <c r="A683" s="12"/>
      <c r="C683" s="12"/>
      <c r="D683" s="87"/>
      <c r="F683" s="14"/>
      <c r="G683" s="14"/>
      <c r="H683" s="14"/>
      <c r="I683" s="14"/>
      <c r="J683" s="14"/>
      <c r="K683" s="12"/>
    </row>
    <row r="684" ht="19.5" customHeight="1">
      <c r="A684" s="12"/>
      <c r="C684" s="12"/>
      <c r="D684" s="87"/>
      <c r="F684" s="14"/>
      <c r="G684" s="14"/>
      <c r="H684" s="14"/>
      <c r="I684" s="14"/>
      <c r="J684" s="14"/>
      <c r="K684" s="12"/>
    </row>
    <row r="685" ht="19.5" customHeight="1">
      <c r="A685" s="12"/>
      <c r="C685" s="12"/>
      <c r="D685" s="87"/>
      <c r="F685" s="14"/>
      <c r="G685" s="14"/>
      <c r="H685" s="14"/>
      <c r="I685" s="14"/>
      <c r="J685" s="14"/>
      <c r="K685" s="12"/>
    </row>
    <row r="686" ht="19.5" customHeight="1">
      <c r="A686" s="12"/>
      <c r="C686" s="12"/>
      <c r="D686" s="87"/>
      <c r="F686" s="14"/>
      <c r="G686" s="14"/>
      <c r="H686" s="14"/>
      <c r="I686" s="14"/>
      <c r="J686" s="14"/>
      <c r="K686" s="12"/>
    </row>
    <row r="687" ht="19.5" customHeight="1">
      <c r="A687" s="12"/>
      <c r="C687" s="12"/>
      <c r="D687" s="87"/>
      <c r="F687" s="14"/>
      <c r="G687" s="14"/>
      <c r="H687" s="14"/>
      <c r="I687" s="14"/>
      <c r="J687" s="14"/>
      <c r="K687" s="12"/>
    </row>
    <row r="688" ht="19.5" customHeight="1">
      <c r="A688" s="12"/>
      <c r="C688" s="12"/>
      <c r="D688" s="87"/>
      <c r="F688" s="14"/>
      <c r="G688" s="14"/>
      <c r="H688" s="14"/>
      <c r="I688" s="14"/>
      <c r="J688" s="14"/>
      <c r="K688" s="12"/>
    </row>
    <row r="689" ht="19.5" customHeight="1">
      <c r="A689" s="12"/>
      <c r="C689" s="12"/>
      <c r="D689" s="87"/>
      <c r="F689" s="14"/>
      <c r="G689" s="14"/>
      <c r="H689" s="14"/>
      <c r="I689" s="14"/>
      <c r="J689" s="14"/>
      <c r="K689" s="12"/>
    </row>
    <row r="690" ht="19.5" customHeight="1">
      <c r="A690" s="12"/>
      <c r="C690" s="12"/>
      <c r="D690" s="87"/>
      <c r="F690" s="14"/>
      <c r="G690" s="14"/>
      <c r="H690" s="14"/>
      <c r="I690" s="14"/>
      <c r="J690" s="14"/>
      <c r="K690" s="12"/>
    </row>
    <row r="691" ht="19.5" customHeight="1">
      <c r="A691" s="12"/>
      <c r="C691" s="12"/>
      <c r="D691" s="87"/>
      <c r="F691" s="14"/>
      <c r="G691" s="14"/>
      <c r="H691" s="14"/>
      <c r="I691" s="14"/>
      <c r="J691" s="14"/>
      <c r="K691" s="12"/>
    </row>
    <row r="692" ht="19.5" customHeight="1">
      <c r="A692" s="12"/>
      <c r="C692" s="12"/>
      <c r="D692" s="87"/>
      <c r="F692" s="14"/>
      <c r="G692" s="14"/>
      <c r="H692" s="14"/>
      <c r="I692" s="14"/>
      <c r="J692" s="14"/>
      <c r="K692" s="12"/>
    </row>
    <row r="693" ht="19.5" customHeight="1">
      <c r="A693" s="12"/>
      <c r="C693" s="12"/>
      <c r="D693" s="87"/>
      <c r="F693" s="14"/>
      <c r="G693" s="14"/>
      <c r="H693" s="14"/>
      <c r="I693" s="14"/>
      <c r="J693" s="14"/>
      <c r="K693" s="12"/>
    </row>
    <row r="694" ht="19.5" customHeight="1">
      <c r="A694" s="12"/>
      <c r="C694" s="12"/>
      <c r="D694" s="87"/>
      <c r="F694" s="14"/>
      <c r="G694" s="14"/>
      <c r="H694" s="14"/>
      <c r="I694" s="14"/>
      <c r="J694" s="14"/>
      <c r="K694" s="12"/>
    </row>
    <row r="695" ht="19.5" customHeight="1">
      <c r="A695" s="12"/>
      <c r="C695" s="12"/>
      <c r="D695" s="87"/>
      <c r="F695" s="14"/>
      <c r="G695" s="14"/>
      <c r="H695" s="14"/>
      <c r="I695" s="14"/>
      <c r="J695" s="14"/>
      <c r="K695" s="12"/>
    </row>
    <row r="696" ht="19.5" customHeight="1">
      <c r="A696" s="12"/>
      <c r="C696" s="12"/>
      <c r="D696" s="87"/>
      <c r="F696" s="14"/>
      <c r="G696" s="14"/>
      <c r="H696" s="14"/>
      <c r="I696" s="14"/>
      <c r="J696" s="14"/>
      <c r="K696" s="12"/>
    </row>
    <row r="697" ht="19.5" customHeight="1">
      <c r="A697" s="12"/>
      <c r="C697" s="12"/>
      <c r="D697" s="87"/>
      <c r="F697" s="14"/>
      <c r="G697" s="14"/>
      <c r="H697" s="14"/>
      <c r="I697" s="14"/>
      <c r="J697" s="14"/>
      <c r="K697" s="12"/>
    </row>
    <row r="698" ht="19.5" customHeight="1">
      <c r="A698" s="12"/>
      <c r="C698" s="12"/>
      <c r="D698" s="87"/>
      <c r="F698" s="14"/>
      <c r="G698" s="14"/>
      <c r="H698" s="14"/>
      <c r="I698" s="14"/>
      <c r="J698" s="14"/>
      <c r="K698" s="12"/>
    </row>
    <row r="699" ht="19.5" customHeight="1">
      <c r="A699" s="12"/>
      <c r="C699" s="12"/>
      <c r="D699" s="87"/>
      <c r="F699" s="14"/>
      <c r="G699" s="14"/>
      <c r="H699" s="14"/>
      <c r="I699" s="14"/>
      <c r="J699" s="14"/>
      <c r="K699" s="12"/>
    </row>
    <row r="700" ht="19.5" customHeight="1">
      <c r="A700" s="12"/>
      <c r="C700" s="12"/>
      <c r="D700" s="87"/>
      <c r="F700" s="14"/>
      <c r="G700" s="14"/>
      <c r="H700" s="14"/>
      <c r="I700" s="14"/>
      <c r="J700" s="14"/>
      <c r="K700" s="12"/>
    </row>
    <row r="701" ht="19.5" customHeight="1">
      <c r="A701" s="12"/>
      <c r="C701" s="12"/>
      <c r="D701" s="87"/>
      <c r="F701" s="14"/>
      <c r="G701" s="14"/>
      <c r="H701" s="14"/>
      <c r="I701" s="14"/>
      <c r="J701" s="14"/>
      <c r="K701" s="12"/>
    </row>
    <row r="702" ht="19.5" customHeight="1">
      <c r="A702" s="12"/>
      <c r="C702" s="12"/>
      <c r="D702" s="87"/>
      <c r="F702" s="14"/>
      <c r="G702" s="14"/>
      <c r="H702" s="14"/>
      <c r="I702" s="14"/>
      <c r="J702" s="14"/>
      <c r="K702" s="12"/>
    </row>
    <row r="703" ht="19.5" customHeight="1">
      <c r="A703" s="12"/>
      <c r="C703" s="12"/>
      <c r="D703" s="87"/>
      <c r="F703" s="14"/>
      <c r="G703" s="14"/>
      <c r="H703" s="14"/>
      <c r="I703" s="14"/>
      <c r="J703" s="14"/>
      <c r="K703" s="12"/>
    </row>
    <row r="704" ht="19.5" customHeight="1">
      <c r="A704" s="12"/>
      <c r="C704" s="12"/>
      <c r="D704" s="87"/>
      <c r="F704" s="14"/>
      <c r="G704" s="14"/>
      <c r="H704" s="14"/>
      <c r="I704" s="14"/>
      <c r="J704" s="14"/>
      <c r="K704" s="12"/>
    </row>
    <row r="705" ht="19.5" customHeight="1">
      <c r="A705" s="12"/>
      <c r="C705" s="12"/>
      <c r="D705" s="87"/>
      <c r="F705" s="14"/>
      <c r="G705" s="14"/>
      <c r="H705" s="14"/>
      <c r="I705" s="14"/>
      <c r="J705" s="14"/>
      <c r="K705" s="12"/>
    </row>
    <row r="706" ht="19.5" customHeight="1">
      <c r="A706" s="12"/>
      <c r="C706" s="12"/>
      <c r="D706" s="87"/>
      <c r="F706" s="14"/>
      <c r="G706" s="14"/>
      <c r="H706" s="14"/>
      <c r="I706" s="14"/>
      <c r="J706" s="14"/>
      <c r="K706" s="12"/>
    </row>
    <row r="707" ht="19.5" customHeight="1">
      <c r="A707" s="12"/>
      <c r="C707" s="12"/>
      <c r="D707" s="87"/>
      <c r="F707" s="14"/>
      <c r="G707" s="14"/>
      <c r="H707" s="14"/>
      <c r="I707" s="14"/>
      <c r="J707" s="14"/>
      <c r="K707" s="12"/>
    </row>
    <row r="708" ht="19.5" customHeight="1">
      <c r="A708" s="12"/>
      <c r="C708" s="12"/>
      <c r="D708" s="87"/>
      <c r="F708" s="14"/>
      <c r="G708" s="14"/>
      <c r="H708" s="14"/>
      <c r="I708" s="14"/>
      <c r="J708" s="14"/>
      <c r="K708" s="12"/>
    </row>
    <row r="709" ht="19.5" customHeight="1">
      <c r="A709" s="12"/>
      <c r="C709" s="12"/>
      <c r="D709" s="87"/>
      <c r="F709" s="14"/>
      <c r="G709" s="14"/>
      <c r="H709" s="14"/>
      <c r="I709" s="14"/>
      <c r="J709" s="14"/>
      <c r="K709" s="12"/>
    </row>
    <row r="710" ht="19.5" customHeight="1">
      <c r="A710" s="12"/>
      <c r="C710" s="12"/>
      <c r="D710" s="87"/>
      <c r="F710" s="14"/>
      <c r="G710" s="14"/>
      <c r="H710" s="14"/>
      <c r="I710" s="14"/>
      <c r="J710" s="14"/>
      <c r="K710" s="12"/>
    </row>
    <row r="711" ht="19.5" customHeight="1">
      <c r="A711" s="12"/>
      <c r="C711" s="12"/>
      <c r="D711" s="87"/>
      <c r="F711" s="14"/>
      <c r="G711" s="14"/>
      <c r="H711" s="14"/>
      <c r="I711" s="14"/>
      <c r="J711" s="14"/>
      <c r="K711" s="12"/>
    </row>
    <row r="712" ht="19.5" customHeight="1">
      <c r="A712" s="12"/>
      <c r="C712" s="12"/>
      <c r="D712" s="87"/>
      <c r="F712" s="14"/>
      <c r="G712" s="14"/>
      <c r="H712" s="14"/>
      <c r="I712" s="14"/>
      <c r="J712" s="14"/>
      <c r="K712" s="12"/>
    </row>
    <row r="713" ht="19.5" customHeight="1">
      <c r="A713" s="12"/>
      <c r="C713" s="12"/>
      <c r="D713" s="87"/>
      <c r="F713" s="14"/>
      <c r="G713" s="14"/>
      <c r="H713" s="14"/>
      <c r="I713" s="14"/>
      <c r="J713" s="14"/>
      <c r="K713" s="12"/>
    </row>
    <row r="714" ht="19.5" customHeight="1">
      <c r="A714" s="12"/>
      <c r="C714" s="12"/>
      <c r="D714" s="87"/>
      <c r="F714" s="14"/>
      <c r="G714" s="14"/>
      <c r="H714" s="14"/>
      <c r="I714" s="14"/>
      <c r="J714" s="14"/>
      <c r="K714" s="12"/>
    </row>
    <row r="715" ht="19.5" customHeight="1">
      <c r="A715" s="12"/>
      <c r="C715" s="12"/>
      <c r="D715" s="87"/>
      <c r="F715" s="14"/>
      <c r="G715" s="14"/>
      <c r="H715" s="14"/>
      <c r="I715" s="14"/>
      <c r="J715" s="14"/>
      <c r="K715" s="12"/>
    </row>
    <row r="716" ht="19.5" customHeight="1">
      <c r="A716" s="12"/>
      <c r="C716" s="12"/>
      <c r="D716" s="87"/>
      <c r="F716" s="14"/>
      <c r="G716" s="14"/>
      <c r="H716" s="14"/>
      <c r="I716" s="14"/>
      <c r="J716" s="14"/>
      <c r="K716" s="12"/>
    </row>
    <row r="717" ht="19.5" customHeight="1">
      <c r="A717" s="12"/>
      <c r="C717" s="12"/>
      <c r="D717" s="87"/>
      <c r="F717" s="14"/>
      <c r="G717" s="14"/>
      <c r="H717" s="14"/>
      <c r="I717" s="14"/>
      <c r="J717" s="14"/>
      <c r="K717" s="12"/>
    </row>
    <row r="718" ht="19.5" customHeight="1">
      <c r="A718" s="12"/>
      <c r="C718" s="12"/>
      <c r="D718" s="87"/>
      <c r="F718" s="14"/>
      <c r="G718" s="14"/>
      <c r="H718" s="14"/>
      <c r="I718" s="14"/>
      <c r="J718" s="14"/>
      <c r="K718" s="12"/>
    </row>
    <row r="719" ht="19.5" customHeight="1">
      <c r="A719" s="12"/>
      <c r="C719" s="12"/>
      <c r="D719" s="87"/>
      <c r="F719" s="14"/>
      <c r="G719" s="14"/>
      <c r="H719" s="14"/>
      <c r="I719" s="14"/>
      <c r="J719" s="14"/>
      <c r="K719" s="12"/>
    </row>
    <row r="720" ht="19.5" customHeight="1">
      <c r="A720" s="12"/>
      <c r="C720" s="12"/>
      <c r="D720" s="87"/>
      <c r="F720" s="14"/>
      <c r="G720" s="14"/>
      <c r="H720" s="14"/>
      <c r="I720" s="14"/>
      <c r="J720" s="14"/>
      <c r="K720" s="12"/>
    </row>
    <row r="721" ht="19.5" customHeight="1">
      <c r="A721" s="12"/>
      <c r="C721" s="12"/>
      <c r="D721" s="87"/>
      <c r="F721" s="14"/>
      <c r="G721" s="14"/>
      <c r="H721" s="14"/>
      <c r="I721" s="14"/>
      <c r="J721" s="14"/>
      <c r="K721" s="12"/>
    </row>
    <row r="722" ht="19.5" customHeight="1">
      <c r="A722" s="12"/>
      <c r="C722" s="12"/>
      <c r="D722" s="87"/>
      <c r="F722" s="14"/>
      <c r="G722" s="14"/>
      <c r="H722" s="14"/>
      <c r="I722" s="14"/>
      <c r="J722" s="14"/>
      <c r="K722" s="12"/>
    </row>
    <row r="723" ht="19.5" customHeight="1">
      <c r="A723" s="12"/>
      <c r="C723" s="12"/>
      <c r="D723" s="87"/>
      <c r="F723" s="14"/>
      <c r="G723" s="14"/>
      <c r="H723" s="14"/>
      <c r="I723" s="14"/>
      <c r="J723" s="14"/>
      <c r="K723" s="12"/>
    </row>
    <row r="724" ht="19.5" customHeight="1">
      <c r="A724" s="12"/>
      <c r="C724" s="12"/>
      <c r="D724" s="87"/>
      <c r="F724" s="14"/>
      <c r="G724" s="14"/>
      <c r="H724" s="14"/>
      <c r="I724" s="14"/>
      <c r="J724" s="14"/>
      <c r="K724" s="12"/>
    </row>
    <row r="725" ht="19.5" customHeight="1">
      <c r="A725" s="12"/>
      <c r="C725" s="12"/>
      <c r="D725" s="87"/>
      <c r="F725" s="14"/>
      <c r="G725" s="14"/>
      <c r="H725" s="14"/>
      <c r="I725" s="14"/>
      <c r="J725" s="14"/>
      <c r="K725" s="12"/>
    </row>
    <row r="726" ht="19.5" customHeight="1">
      <c r="A726" s="12"/>
      <c r="C726" s="12"/>
      <c r="D726" s="87"/>
      <c r="F726" s="14"/>
      <c r="G726" s="14"/>
      <c r="H726" s="14"/>
      <c r="I726" s="14"/>
      <c r="J726" s="14"/>
      <c r="K726" s="12"/>
    </row>
    <row r="727" ht="19.5" customHeight="1">
      <c r="A727" s="12"/>
      <c r="C727" s="12"/>
      <c r="D727" s="87"/>
      <c r="F727" s="14"/>
      <c r="G727" s="14"/>
      <c r="H727" s="14"/>
      <c r="I727" s="14"/>
      <c r="J727" s="14"/>
      <c r="K727" s="12"/>
    </row>
    <row r="728" ht="19.5" customHeight="1">
      <c r="A728" s="12"/>
      <c r="C728" s="12"/>
      <c r="D728" s="87"/>
      <c r="F728" s="14"/>
      <c r="G728" s="14"/>
      <c r="H728" s="14"/>
      <c r="I728" s="14"/>
      <c r="J728" s="14"/>
      <c r="K728" s="12"/>
    </row>
    <row r="729" ht="19.5" customHeight="1">
      <c r="A729" s="12"/>
      <c r="C729" s="12"/>
      <c r="D729" s="87"/>
      <c r="F729" s="14"/>
      <c r="G729" s="14"/>
      <c r="H729" s="14"/>
      <c r="I729" s="14"/>
      <c r="J729" s="14"/>
      <c r="K729" s="12"/>
    </row>
    <row r="730" ht="19.5" customHeight="1">
      <c r="A730" s="12"/>
      <c r="C730" s="12"/>
      <c r="D730" s="87"/>
      <c r="F730" s="14"/>
      <c r="G730" s="14"/>
      <c r="H730" s="14"/>
      <c r="I730" s="14"/>
      <c r="J730" s="14"/>
      <c r="K730" s="12"/>
    </row>
    <row r="731" ht="19.5" customHeight="1">
      <c r="A731" s="12"/>
      <c r="C731" s="12"/>
      <c r="D731" s="87"/>
      <c r="F731" s="14"/>
      <c r="G731" s="14"/>
      <c r="H731" s="14"/>
      <c r="I731" s="14"/>
      <c r="J731" s="14"/>
      <c r="K731" s="12"/>
    </row>
    <row r="732" ht="19.5" customHeight="1">
      <c r="A732" s="12"/>
      <c r="C732" s="12"/>
      <c r="D732" s="87"/>
      <c r="F732" s="14"/>
      <c r="G732" s="14"/>
      <c r="H732" s="14"/>
      <c r="I732" s="14"/>
      <c r="J732" s="14"/>
      <c r="K732" s="12"/>
    </row>
    <row r="733" ht="19.5" customHeight="1">
      <c r="A733" s="12"/>
      <c r="C733" s="12"/>
      <c r="D733" s="87"/>
      <c r="F733" s="14"/>
      <c r="G733" s="14"/>
      <c r="H733" s="14"/>
      <c r="I733" s="14"/>
      <c r="J733" s="14"/>
      <c r="K733" s="12"/>
    </row>
    <row r="734" ht="19.5" customHeight="1">
      <c r="A734" s="12"/>
      <c r="C734" s="12"/>
      <c r="D734" s="87"/>
      <c r="F734" s="14"/>
      <c r="G734" s="14"/>
      <c r="H734" s="14"/>
      <c r="I734" s="14"/>
      <c r="J734" s="14"/>
      <c r="K734" s="12"/>
    </row>
    <row r="735" ht="19.5" customHeight="1">
      <c r="A735" s="12"/>
      <c r="C735" s="12"/>
      <c r="D735" s="87"/>
      <c r="F735" s="14"/>
      <c r="G735" s="14"/>
      <c r="H735" s="14"/>
      <c r="I735" s="14"/>
      <c r="J735" s="14"/>
      <c r="K735" s="12"/>
    </row>
    <row r="736" ht="19.5" customHeight="1">
      <c r="A736" s="12"/>
      <c r="C736" s="12"/>
      <c r="D736" s="87"/>
      <c r="F736" s="14"/>
      <c r="G736" s="14"/>
      <c r="H736" s="14"/>
      <c r="I736" s="14"/>
      <c r="J736" s="14"/>
      <c r="K736" s="12"/>
    </row>
    <row r="737" ht="19.5" customHeight="1">
      <c r="A737" s="12"/>
      <c r="C737" s="12"/>
      <c r="D737" s="87"/>
      <c r="F737" s="14"/>
      <c r="G737" s="14"/>
      <c r="H737" s="14"/>
      <c r="I737" s="14"/>
      <c r="J737" s="14"/>
      <c r="K737" s="12"/>
    </row>
    <row r="738" ht="19.5" customHeight="1">
      <c r="A738" s="12"/>
      <c r="C738" s="12"/>
      <c r="D738" s="87"/>
      <c r="F738" s="14"/>
      <c r="G738" s="14"/>
      <c r="H738" s="14"/>
      <c r="I738" s="14"/>
      <c r="J738" s="14"/>
      <c r="K738" s="12"/>
    </row>
    <row r="739" ht="19.5" customHeight="1">
      <c r="A739" s="12"/>
      <c r="C739" s="12"/>
      <c r="D739" s="87"/>
      <c r="F739" s="14"/>
      <c r="G739" s="14"/>
      <c r="H739" s="14"/>
      <c r="I739" s="14"/>
      <c r="J739" s="14"/>
      <c r="K739" s="12"/>
    </row>
    <row r="740" ht="19.5" customHeight="1">
      <c r="A740" s="12"/>
      <c r="C740" s="12"/>
      <c r="D740" s="87"/>
      <c r="F740" s="14"/>
      <c r="G740" s="14"/>
      <c r="H740" s="14"/>
      <c r="I740" s="14"/>
      <c r="J740" s="14"/>
      <c r="K740" s="12"/>
    </row>
    <row r="741" ht="19.5" customHeight="1">
      <c r="A741" s="12"/>
      <c r="C741" s="12"/>
      <c r="D741" s="87"/>
      <c r="F741" s="14"/>
      <c r="G741" s="14"/>
      <c r="H741" s="14"/>
      <c r="I741" s="14"/>
      <c r="J741" s="14"/>
      <c r="K741" s="12"/>
    </row>
    <row r="742" ht="19.5" customHeight="1">
      <c r="A742" s="12"/>
      <c r="C742" s="12"/>
      <c r="D742" s="87"/>
      <c r="F742" s="14"/>
      <c r="G742" s="14"/>
      <c r="H742" s="14"/>
      <c r="I742" s="14"/>
      <c r="J742" s="14"/>
      <c r="K742" s="12"/>
    </row>
    <row r="743" ht="19.5" customHeight="1">
      <c r="A743" s="12"/>
      <c r="C743" s="12"/>
      <c r="D743" s="87"/>
      <c r="F743" s="14"/>
      <c r="G743" s="14"/>
      <c r="H743" s="14"/>
      <c r="I743" s="14"/>
      <c r="J743" s="14"/>
      <c r="K743" s="12"/>
    </row>
    <row r="744" ht="19.5" customHeight="1">
      <c r="A744" s="12"/>
      <c r="C744" s="12"/>
      <c r="D744" s="87"/>
      <c r="F744" s="14"/>
      <c r="G744" s="14"/>
      <c r="H744" s="14"/>
      <c r="I744" s="14"/>
      <c r="J744" s="14"/>
      <c r="K744" s="12"/>
    </row>
    <row r="745" ht="19.5" customHeight="1">
      <c r="A745" s="12"/>
      <c r="C745" s="12"/>
      <c r="D745" s="87"/>
      <c r="F745" s="14"/>
      <c r="G745" s="14"/>
      <c r="H745" s="14"/>
      <c r="I745" s="14"/>
      <c r="J745" s="14"/>
      <c r="K745" s="12"/>
    </row>
    <row r="746" ht="19.5" customHeight="1">
      <c r="A746" s="12"/>
      <c r="C746" s="12"/>
      <c r="D746" s="87"/>
      <c r="F746" s="14"/>
      <c r="G746" s="14"/>
      <c r="H746" s="14"/>
      <c r="I746" s="14"/>
      <c r="J746" s="14"/>
      <c r="K746" s="12"/>
    </row>
    <row r="747" ht="19.5" customHeight="1">
      <c r="A747" s="12"/>
      <c r="C747" s="12"/>
      <c r="D747" s="87"/>
      <c r="F747" s="14"/>
      <c r="G747" s="14"/>
      <c r="H747" s="14"/>
      <c r="I747" s="14"/>
      <c r="J747" s="14"/>
      <c r="K747" s="12"/>
    </row>
    <row r="748" ht="19.5" customHeight="1">
      <c r="A748" s="12"/>
      <c r="C748" s="12"/>
      <c r="D748" s="87"/>
      <c r="F748" s="14"/>
      <c r="G748" s="14"/>
      <c r="H748" s="14"/>
      <c r="I748" s="14"/>
      <c r="J748" s="14"/>
      <c r="K748" s="12"/>
    </row>
    <row r="749" ht="19.5" customHeight="1">
      <c r="A749" s="12"/>
      <c r="C749" s="12"/>
      <c r="D749" s="87"/>
      <c r="F749" s="14"/>
      <c r="G749" s="14"/>
      <c r="H749" s="14"/>
      <c r="I749" s="14"/>
      <c r="J749" s="14"/>
      <c r="K749" s="12"/>
    </row>
    <row r="750" ht="19.5" customHeight="1">
      <c r="A750" s="12"/>
      <c r="C750" s="12"/>
      <c r="D750" s="87"/>
      <c r="F750" s="14"/>
      <c r="G750" s="14"/>
      <c r="H750" s="14"/>
      <c r="I750" s="14"/>
      <c r="J750" s="14"/>
      <c r="K750" s="12"/>
    </row>
    <row r="751" ht="19.5" customHeight="1">
      <c r="A751" s="12"/>
      <c r="C751" s="12"/>
      <c r="D751" s="87"/>
      <c r="F751" s="14"/>
      <c r="G751" s="14"/>
      <c r="H751" s="14"/>
      <c r="I751" s="14"/>
      <c r="J751" s="14"/>
      <c r="K751" s="12"/>
    </row>
    <row r="752" ht="19.5" customHeight="1">
      <c r="A752" s="12"/>
      <c r="C752" s="12"/>
      <c r="D752" s="87"/>
      <c r="F752" s="14"/>
      <c r="G752" s="14"/>
      <c r="H752" s="14"/>
      <c r="I752" s="14"/>
      <c r="J752" s="14"/>
      <c r="K752" s="12"/>
    </row>
    <row r="753" ht="19.5" customHeight="1">
      <c r="A753" s="12"/>
      <c r="C753" s="12"/>
      <c r="D753" s="87"/>
      <c r="F753" s="14"/>
      <c r="G753" s="14"/>
      <c r="H753" s="14"/>
      <c r="I753" s="14"/>
      <c r="J753" s="14"/>
      <c r="K753" s="12"/>
    </row>
    <row r="754" ht="19.5" customHeight="1">
      <c r="A754" s="12"/>
      <c r="C754" s="12"/>
      <c r="D754" s="87"/>
      <c r="F754" s="14"/>
      <c r="G754" s="14"/>
      <c r="H754" s="14"/>
      <c r="I754" s="14"/>
      <c r="J754" s="14"/>
      <c r="K754" s="12"/>
    </row>
    <row r="755" ht="19.5" customHeight="1">
      <c r="A755" s="12"/>
      <c r="C755" s="12"/>
      <c r="D755" s="87"/>
      <c r="F755" s="14"/>
      <c r="G755" s="14"/>
      <c r="H755" s="14"/>
      <c r="I755" s="14"/>
      <c r="J755" s="14"/>
      <c r="K755" s="12"/>
    </row>
    <row r="756" ht="19.5" customHeight="1">
      <c r="A756" s="12"/>
      <c r="C756" s="12"/>
      <c r="D756" s="87"/>
      <c r="F756" s="14"/>
      <c r="G756" s="14"/>
      <c r="H756" s="14"/>
      <c r="I756" s="14"/>
      <c r="J756" s="14"/>
      <c r="K756" s="12"/>
    </row>
    <row r="757" ht="19.5" customHeight="1">
      <c r="A757" s="12"/>
      <c r="C757" s="12"/>
      <c r="D757" s="87"/>
      <c r="F757" s="14"/>
      <c r="G757" s="14"/>
      <c r="H757" s="14"/>
      <c r="I757" s="14"/>
      <c r="J757" s="14"/>
      <c r="K757" s="12"/>
    </row>
    <row r="758" ht="19.5" customHeight="1">
      <c r="A758" s="12"/>
      <c r="C758" s="12"/>
      <c r="D758" s="87"/>
      <c r="F758" s="14"/>
      <c r="G758" s="14"/>
      <c r="H758" s="14"/>
      <c r="I758" s="14"/>
      <c r="J758" s="14"/>
      <c r="K758" s="12"/>
    </row>
    <row r="759" ht="19.5" customHeight="1">
      <c r="A759" s="12"/>
      <c r="C759" s="12"/>
      <c r="D759" s="87"/>
      <c r="F759" s="14"/>
      <c r="G759" s="14"/>
      <c r="H759" s="14"/>
      <c r="I759" s="14"/>
      <c r="J759" s="14"/>
      <c r="K759" s="12"/>
    </row>
    <row r="760" ht="19.5" customHeight="1">
      <c r="A760" s="12"/>
      <c r="C760" s="12"/>
      <c r="D760" s="87"/>
      <c r="F760" s="14"/>
      <c r="G760" s="14"/>
      <c r="H760" s="14"/>
      <c r="I760" s="14"/>
      <c r="J760" s="14"/>
      <c r="K760" s="12"/>
    </row>
    <row r="761" ht="19.5" customHeight="1">
      <c r="A761" s="12"/>
      <c r="C761" s="12"/>
      <c r="D761" s="87"/>
      <c r="F761" s="14"/>
      <c r="G761" s="14"/>
      <c r="H761" s="14"/>
      <c r="I761" s="14"/>
      <c r="J761" s="14"/>
      <c r="K761" s="12"/>
    </row>
    <row r="762" ht="19.5" customHeight="1">
      <c r="A762" s="12"/>
      <c r="C762" s="12"/>
      <c r="D762" s="87"/>
      <c r="F762" s="14"/>
      <c r="G762" s="14"/>
      <c r="H762" s="14"/>
      <c r="I762" s="14"/>
      <c r="J762" s="14"/>
      <c r="K762" s="12"/>
    </row>
    <row r="763" ht="19.5" customHeight="1">
      <c r="A763" s="12"/>
      <c r="C763" s="12"/>
      <c r="D763" s="87"/>
      <c r="F763" s="14"/>
      <c r="G763" s="14"/>
      <c r="H763" s="14"/>
      <c r="I763" s="14"/>
      <c r="J763" s="14"/>
      <c r="K763" s="12"/>
    </row>
    <row r="764" ht="19.5" customHeight="1">
      <c r="A764" s="12"/>
      <c r="C764" s="12"/>
      <c r="D764" s="87"/>
      <c r="F764" s="14"/>
      <c r="G764" s="14"/>
      <c r="H764" s="14"/>
      <c r="I764" s="14"/>
      <c r="J764" s="14"/>
      <c r="K764" s="12"/>
    </row>
    <row r="765" ht="19.5" customHeight="1">
      <c r="A765" s="12"/>
      <c r="C765" s="12"/>
      <c r="D765" s="87"/>
      <c r="F765" s="14"/>
      <c r="G765" s="14"/>
      <c r="H765" s="14"/>
      <c r="I765" s="14"/>
      <c r="J765" s="14"/>
      <c r="K765" s="12"/>
    </row>
    <row r="766" ht="19.5" customHeight="1">
      <c r="A766" s="12"/>
      <c r="C766" s="12"/>
      <c r="D766" s="87"/>
      <c r="F766" s="14"/>
      <c r="G766" s="14"/>
      <c r="H766" s="14"/>
      <c r="I766" s="14"/>
      <c r="J766" s="14"/>
      <c r="K766" s="12"/>
    </row>
    <row r="767" ht="19.5" customHeight="1">
      <c r="A767" s="12"/>
      <c r="C767" s="12"/>
      <c r="D767" s="87"/>
      <c r="F767" s="14"/>
      <c r="G767" s="14"/>
      <c r="H767" s="14"/>
      <c r="I767" s="14"/>
      <c r="J767" s="14"/>
      <c r="K767" s="12"/>
    </row>
    <row r="768" ht="19.5" customHeight="1">
      <c r="A768" s="12"/>
      <c r="C768" s="12"/>
      <c r="D768" s="87"/>
      <c r="F768" s="14"/>
      <c r="G768" s="14"/>
      <c r="H768" s="14"/>
      <c r="I768" s="14"/>
      <c r="J768" s="14"/>
      <c r="K768" s="12"/>
    </row>
    <row r="769" ht="19.5" customHeight="1">
      <c r="A769" s="12"/>
      <c r="C769" s="12"/>
      <c r="D769" s="87"/>
      <c r="F769" s="14"/>
      <c r="G769" s="14"/>
      <c r="H769" s="14"/>
      <c r="I769" s="14"/>
      <c r="J769" s="14"/>
      <c r="K769" s="12"/>
    </row>
    <row r="770" ht="19.5" customHeight="1">
      <c r="A770" s="12"/>
      <c r="C770" s="12"/>
      <c r="D770" s="87"/>
      <c r="F770" s="14"/>
      <c r="G770" s="14"/>
      <c r="H770" s="14"/>
      <c r="I770" s="14"/>
      <c r="J770" s="14"/>
      <c r="K770" s="12"/>
    </row>
    <row r="771" ht="19.5" customHeight="1">
      <c r="A771" s="12"/>
      <c r="C771" s="12"/>
      <c r="D771" s="87"/>
      <c r="F771" s="14"/>
      <c r="G771" s="14"/>
      <c r="H771" s="14"/>
      <c r="I771" s="14"/>
      <c r="J771" s="14"/>
      <c r="K771" s="12"/>
    </row>
    <row r="772" ht="19.5" customHeight="1">
      <c r="A772" s="12"/>
      <c r="C772" s="12"/>
      <c r="D772" s="87"/>
      <c r="F772" s="14"/>
      <c r="G772" s="14"/>
      <c r="H772" s="14"/>
      <c r="I772" s="14"/>
      <c r="J772" s="14"/>
      <c r="K772" s="12"/>
    </row>
    <row r="773" ht="19.5" customHeight="1">
      <c r="A773" s="12"/>
      <c r="C773" s="12"/>
      <c r="D773" s="87"/>
      <c r="F773" s="14"/>
      <c r="G773" s="14"/>
      <c r="H773" s="14"/>
      <c r="I773" s="14"/>
      <c r="J773" s="14"/>
      <c r="K773" s="12"/>
    </row>
    <row r="774" ht="19.5" customHeight="1">
      <c r="A774" s="12"/>
      <c r="C774" s="12"/>
      <c r="D774" s="87"/>
      <c r="F774" s="14"/>
      <c r="G774" s="14"/>
      <c r="H774" s="14"/>
      <c r="I774" s="14"/>
      <c r="J774" s="14"/>
      <c r="K774" s="12"/>
    </row>
    <row r="775" ht="19.5" customHeight="1">
      <c r="A775" s="12"/>
      <c r="C775" s="12"/>
      <c r="D775" s="87"/>
      <c r="F775" s="14"/>
      <c r="G775" s="14"/>
      <c r="H775" s="14"/>
      <c r="I775" s="14"/>
      <c r="J775" s="14"/>
      <c r="K775" s="12"/>
    </row>
    <row r="776" ht="19.5" customHeight="1">
      <c r="A776" s="12"/>
      <c r="C776" s="12"/>
      <c r="D776" s="87"/>
      <c r="F776" s="14"/>
      <c r="G776" s="14"/>
      <c r="H776" s="14"/>
      <c r="I776" s="14"/>
      <c r="J776" s="14"/>
      <c r="K776" s="12"/>
    </row>
    <row r="777" ht="19.5" customHeight="1">
      <c r="A777" s="12"/>
      <c r="C777" s="12"/>
      <c r="D777" s="87"/>
      <c r="F777" s="14"/>
      <c r="G777" s="14"/>
      <c r="H777" s="14"/>
      <c r="I777" s="14"/>
      <c r="J777" s="14"/>
      <c r="K777" s="12"/>
    </row>
    <row r="778" ht="19.5" customHeight="1">
      <c r="A778" s="12"/>
      <c r="C778" s="12"/>
      <c r="D778" s="87"/>
      <c r="F778" s="14"/>
      <c r="G778" s="14"/>
      <c r="H778" s="14"/>
      <c r="I778" s="14"/>
      <c r="J778" s="14"/>
      <c r="K778" s="12"/>
    </row>
    <row r="779" ht="19.5" customHeight="1">
      <c r="A779" s="12"/>
      <c r="C779" s="12"/>
      <c r="D779" s="87"/>
      <c r="F779" s="14"/>
      <c r="G779" s="14"/>
      <c r="H779" s="14"/>
      <c r="I779" s="14"/>
      <c r="J779" s="14"/>
      <c r="K779" s="12"/>
    </row>
    <row r="780" ht="19.5" customHeight="1">
      <c r="A780" s="12"/>
      <c r="C780" s="12"/>
      <c r="D780" s="87"/>
      <c r="F780" s="14"/>
      <c r="G780" s="14"/>
      <c r="H780" s="14"/>
      <c r="I780" s="14"/>
      <c r="J780" s="14"/>
      <c r="K780" s="12"/>
    </row>
    <row r="781" ht="19.5" customHeight="1">
      <c r="A781" s="12"/>
      <c r="C781" s="12"/>
      <c r="D781" s="87"/>
      <c r="F781" s="14"/>
      <c r="G781" s="14"/>
      <c r="H781" s="14"/>
      <c r="I781" s="14"/>
      <c r="J781" s="14"/>
      <c r="K781" s="12"/>
    </row>
    <row r="782" ht="19.5" customHeight="1">
      <c r="A782" s="12"/>
      <c r="C782" s="12"/>
      <c r="D782" s="87"/>
      <c r="F782" s="14"/>
      <c r="G782" s="14"/>
      <c r="H782" s="14"/>
      <c r="I782" s="14"/>
      <c r="J782" s="14"/>
      <c r="K782" s="12"/>
    </row>
    <row r="783" ht="19.5" customHeight="1">
      <c r="A783" s="12"/>
      <c r="C783" s="12"/>
      <c r="D783" s="87"/>
      <c r="F783" s="14"/>
      <c r="G783" s="14"/>
      <c r="H783" s="14"/>
      <c r="I783" s="14"/>
      <c r="J783" s="14"/>
      <c r="K783" s="12"/>
    </row>
    <row r="784" ht="19.5" customHeight="1">
      <c r="A784" s="12"/>
      <c r="C784" s="12"/>
      <c r="D784" s="87"/>
      <c r="F784" s="14"/>
      <c r="G784" s="14"/>
      <c r="H784" s="14"/>
      <c r="I784" s="14"/>
      <c r="J784" s="14"/>
      <c r="K784" s="12"/>
    </row>
    <row r="785" ht="19.5" customHeight="1">
      <c r="A785" s="12"/>
      <c r="C785" s="12"/>
      <c r="D785" s="87"/>
      <c r="F785" s="14"/>
      <c r="G785" s="14"/>
      <c r="H785" s="14"/>
      <c r="I785" s="14"/>
      <c r="J785" s="14"/>
      <c r="K785" s="12"/>
    </row>
    <row r="786" ht="19.5" customHeight="1">
      <c r="A786" s="12"/>
      <c r="C786" s="12"/>
      <c r="D786" s="87"/>
      <c r="F786" s="14"/>
      <c r="G786" s="14"/>
      <c r="H786" s="14"/>
      <c r="I786" s="14"/>
      <c r="J786" s="14"/>
      <c r="K786" s="12"/>
    </row>
    <row r="787" ht="19.5" customHeight="1">
      <c r="A787" s="12"/>
      <c r="C787" s="12"/>
      <c r="D787" s="87"/>
      <c r="F787" s="14"/>
      <c r="G787" s="14"/>
      <c r="H787" s="14"/>
      <c r="I787" s="14"/>
      <c r="J787" s="14"/>
      <c r="K787" s="12"/>
    </row>
    <row r="788" ht="19.5" customHeight="1">
      <c r="A788" s="12"/>
      <c r="C788" s="12"/>
      <c r="D788" s="87"/>
      <c r="F788" s="14"/>
      <c r="G788" s="14"/>
      <c r="H788" s="14"/>
      <c r="I788" s="14"/>
      <c r="J788" s="14"/>
      <c r="K788" s="12"/>
    </row>
    <row r="789" ht="19.5" customHeight="1">
      <c r="A789" s="12"/>
      <c r="C789" s="12"/>
      <c r="D789" s="87"/>
      <c r="F789" s="14"/>
      <c r="G789" s="14"/>
      <c r="H789" s="14"/>
      <c r="I789" s="14"/>
      <c r="J789" s="14"/>
      <c r="K789" s="12"/>
    </row>
    <row r="790" ht="19.5" customHeight="1">
      <c r="A790" s="12"/>
      <c r="C790" s="12"/>
      <c r="D790" s="87"/>
      <c r="F790" s="14"/>
      <c r="G790" s="14"/>
      <c r="H790" s="14"/>
      <c r="I790" s="14"/>
      <c r="J790" s="14"/>
      <c r="K790" s="12"/>
    </row>
    <row r="791" ht="19.5" customHeight="1">
      <c r="A791" s="12"/>
      <c r="C791" s="12"/>
      <c r="D791" s="87"/>
      <c r="F791" s="14"/>
      <c r="G791" s="14"/>
      <c r="H791" s="14"/>
      <c r="I791" s="14"/>
      <c r="J791" s="14"/>
      <c r="K791" s="12"/>
    </row>
    <row r="792" ht="19.5" customHeight="1">
      <c r="A792" s="12"/>
      <c r="C792" s="12"/>
      <c r="D792" s="87"/>
      <c r="F792" s="14"/>
      <c r="G792" s="14"/>
      <c r="H792" s="14"/>
      <c r="I792" s="14"/>
      <c r="J792" s="14"/>
      <c r="K792" s="12"/>
    </row>
    <row r="793" ht="19.5" customHeight="1">
      <c r="A793" s="12"/>
      <c r="C793" s="12"/>
      <c r="D793" s="87"/>
      <c r="F793" s="14"/>
      <c r="G793" s="14"/>
      <c r="H793" s="14"/>
      <c r="I793" s="14"/>
      <c r="J793" s="14"/>
      <c r="K793" s="12"/>
    </row>
    <row r="794" ht="19.5" customHeight="1">
      <c r="A794" s="12"/>
      <c r="C794" s="12"/>
      <c r="D794" s="87"/>
      <c r="F794" s="14"/>
      <c r="G794" s="14"/>
      <c r="H794" s="14"/>
      <c r="I794" s="14"/>
      <c r="J794" s="14"/>
      <c r="K794" s="12"/>
    </row>
    <row r="795" ht="19.5" customHeight="1">
      <c r="A795" s="12"/>
      <c r="C795" s="12"/>
      <c r="D795" s="87"/>
      <c r="F795" s="14"/>
      <c r="G795" s="14"/>
      <c r="H795" s="14"/>
      <c r="I795" s="14"/>
      <c r="J795" s="14"/>
      <c r="K795" s="12"/>
    </row>
    <row r="796" ht="19.5" customHeight="1">
      <c r="A796" s="12"/>
      <c r="C796" s="12"/>
      <c r="D796" s="87"/>
      <c r="F796" s="14"/>
      <c r="G796" s="14"/>
      <c r="H796" s="14"/>
      <c r="I796" s="14"/>
      <c r="J796" s="14"/>
      <c r="K796" s="12"/>
    </row>
    <row r="797" ht="19.5" customHeight="1">
      <c r="A797" s="12"/>
      <c r="C797" s="12"/>
      <c r="D797" s="87"/>
      <c r="F797" s="14"/>
      <c r="G797" s="14"/>
      <c r="H797" s="14"/>
      <c r="I797" s="14"/>
      <c r="J797" s="14"/>
      <c r="K797" s="12"/>
    </row>
    <row r="798" ht="19.5" customHeight="1">
      <c r="A798" s="12"/>
      <c r="C798" s="12"/>
      <c r="D798" s="87"/>
      <c r="F798" s="14"/>
      <c r="G798" s="14"/>
      <c r="H798" s="14"/>
      <c r="I798" s="14"/>
      <c r="J798" s="14"/>
      <c r="K798" s="12"/>
    </row>
    <row r="799" ht="19.5" customHeight="1">
      <c r="A799" s="12"/>
      <c r="C799" s="12"/>
      <c r="D799" s="87"/>
      <c r="F799" s="14"/>
      <c r="G799" s="14"/>
      <c r="H799" s="14"/>
      <c r="I799" s="14"/>
      <c r="J799" s="14"/>
      <c r="K799" s="12"/>
    </row>
    <row r="800" ht="19.5" customHeight="1">
      <c r="A800" s="12"/>
      <c r="C800" s="12"/>
      <c r="D800" s="87"/>
      <c r="F800" s="14"/>
      <c r="G800" s="14"/>
      <c r="H800" s="14"/>
      <c r="I800" s="14"/>
      <c r="J800" s="14"/>
      <c r="K800" s="12"/>
    </row>
    <row r="801" ht="19.5" customHeight="1">
      <c r="A801" s="12"/>
      <c r="C801" s="12"/>
      <c r="D801" s="87"/>
      <c r="F801" s="14"/>
      <c r="G801" s="14"/>
      <c r="H801" s="14"/>
      <c r="I801" s="14"/>
      <c r="J801" s="14"/>
      <c r="K801" s="12"/>
    </row>
    <row r="802" ht="19.5" customHeight="1">
      <c r="A802" s="12"/>
      <c r="C802" s="12"/>
      <c r="D802" s="87"/>
      <c r="F802" s="14"/>
      <c r="G802" s="14"/>
      <c r="H802" s="14"/>
      <c r="I802" s="14"/>
      <c r="J802" s="14"/>
      <c r="K802" s="12"/>
    </row>
    <row r="803" ht="19.5" customHeight="1">
      <c r="A803" s="12"/>
      <c r="C803" s="12"/>
      <c r="D803" s="87"/>
      <c r="F803" s="14"/>
      <c r="G803" s="14"/>
      <c r="H803" s="14"/>
      <c r="I803" s="14"/>
      <c r="J803" s="14"/>
      <c r="K803" s="12"/>
    </row>
    <row r="804" ht="19.5" customHeight="1">
      <c r="A804" s="12"/>
      <c r="C804" s="12"/>
      <c r="D804" s="87"/>
      <c r="F804" s="14"/>
      <c r="G804" s="14"/>
      <c r="H804" s="14"/>
      <c r="I804" s="14"/>
      <c r="J804" s="14"/>
      <c r="K804" s="12"/>
    </row>
    <row r="805" ht="19.5" customHeight="1">
      <c r="A805" s="12"/>
      <c r="C805" s="12"/>
      <c r="D805" s="87"/>
      <c r="F805" s="14"/>
      <c r="G805" s="14"/>
      <c r="H805" s="14"/>
      <c r="I805" s="14"/>
      <c r="J805" s="14"/>
      <c r="K805" s="12"/>
    </row>
    <row r="806" ht="19.5" customHeight="1">
      <c r="A806" s="12"/>
      <c r="C806" s="12"/>
      <c r="D806" s="87"/>
      <c r="F806" s="14"/>
      <c r="G806" s="14"/>
      <c r="H806" s="14"/>
      <c r="I806" s="14"/>
      <c r="J806" s="14"/>
      <c r="K806" s="12"/>
    </row>
    <row r="807" ht="19.5" customHeight="1">
      <c r="A807" s="12"/>
      <c r="C807" s="12"/>
      <c r="D807" s="87"/>
      <c r="F807" s="14"/>
      <c r="G807" s="14"/>
      <c r="H807" s="14"/>
      <c r="I807" s="14"/>
      <c r="J807" s="14"/>
      <c r="K807" s="12"/>
    </row>
    <row r="808" ht="19.5" customHeight="1">
      <c r="A808" s="12"/>
      <c r="C808" s="12"/>
      <c r="D808" s="87"/>
      <c r="F808" s="14"/>
      <c r="G808" s="14"/>
      <c r="H808" s="14"/>
      <c r="I808" s="14"/>
      <c r="J808" s="14"/>
      <c r="K808" s="12"/>
    </row>
    <row r="809" ht="19.5" customHeight="1">
      <c r="A809" s="12"/>
      <c r="C809" s="12"/>
      <c r="D809" s="87"/>
      <c r="F809" s="14"/>
      <c r="G809" s="14"/>
      <c r="H809" s="14"/>
      <c r="I809" s="14"/>
      <c r="J809" s="14"/>
      <c r="K809" s="12"/>
    </row>
    <row r="810" ht="19.5" customHeight="1">
      <c r="A810" s="12"/>
      <c r="C810" s="12"/>
      <c r="D810" s="87"/>
      <c r="F810" s="14"/>
      <c r="G810" s="14"/>
      <c r="H810" s="14"/>
      <c r="I810" s="14"/>
      <c r="J810" s="14"/>
      <c r="K810" s="12"/>
    </row>
    <row r="811" ht="19.5" customHeight="1">
      <c r="A811" s="12"/>
      <c r="C811" s="12"/>
      <c r="D811" s="87"/>
      <c r="F811" s="14"/>
      <c r="G811" s="14"/>
      <c r="H811" s="14"/>
      <c r="I811" s="14"/>
      <c r="J811" s="14"/>
      <c r="K811" s="12"/>
    </row>
    <row r="812" ht="19.5" customHeight="1">
      <c r="A812" s="12"/>
      <c r="C812" s="12"/>
      <c r="D812" s="87"/>
      <c r="F812" s="14"/>
      <c r="G812" s="14"/>
      <c r="H812" s="14"/>
      <c r="I812" s="14"/>
      <c r="J812" s="14"/>
      <c r="K812" s="12"/>
    </row>
    <row r="813" ht="19.5" customHeight="1">
      <c r="A813" s="12"/>
      <c r="C813" s="12"/>
      <c r="D813" s="87"/>
      <c r="F813" s="14"/>
      <c r="G813" s="14"/>
      <c r="H813" s="14"/>
      <c r="I813" s="14"/>
      <c r="J813" s="14"/>
      <c r="K813" s="12"/>
    </row>
    <row r="814" ht="19.5" customHeight="1">
      <c r="A814" s="12"/>
      <c r="C814" s="12"/>
      <c r="D814" s="87"/>
      <c r="F814" s="14"/>
      <c r="G814" s="14"/>
      <c r="H814" s="14"/>
      <c r="I814" s="14"/>
      <c r="J814" s="14"/>
      <c r="K814" s="12"/>
    </row>
    <row r="815" ht="19.5" customHeight="1">
      <c r="A815" s="12"/>
      <c r="C815" s="12"/>
      <c r="D815" s="87"/>
      <c r="F815" s="14"/>
      <c r="G815" s="14"/>
      <c r="H815" s="14"/>
      <c r="I815" s="14"/>
      <c r="J815" s="14"/>
      <c r="K815" s="12"/>
    </row>
    <row r="816" ht="19.5" customHeight="1">
      <c r="A816" s="12"/>
      <c r="C816" s="12"/>
      <c r="D816" s="87"/>
      <c r="F816" s="14"/>
      <c r="G816" s="14"/>
      <c r="H816" s="14"/>
      <c r="I816" s="14"/>
      <c r="J816" s="14"/>
      <c r="K816" s="12"/>
    </row>
    <row r="817" ht="19.5" customHeight="1">
      <c r="A817" s="12"/>
      <c r="C817" s="12"/>
      <c r="D817" s="87"/>
      <c r="F817" s="14"/>
      <c r="G817" s="14"/>
      <c r="H817" s="14"/>
      <c r="I817" s="14"/>
      <c r="J817" s="14"/>
      <c r="K817" s="12"/>
    </row>
    <row r="818" ht="19.5" customHeight="1">
      <c r="A818" s="12"/>
      <c r="C818" s="12"/>
      <c r="D818" s="87"/>
      <c r="F818" s="14"/>
      <c r="G818" s="14"/>
      <c r="H818" s="14"/>
      <c r="I818" s="14"/>
      <c r="J818" s="14"/>
      <c r="K818" s="12"/>
    </row>
    <row r="819" ht="19.5" customHeight="1">
      <c r="A819" s="12"/>
      <c r="C819" s="12"/>
      <c r="D819" s="87"/>
      <c r="F819" s="14"/>
      <c r="G819" s="14"/>
      <c r="H819" s="14"/>
      <c r="I819" s="14"/>
      <c r="J819" s="14"/>
      <c r="K819" s="12"/>
    </row>
    <row r="820" ht="19.5" customHeight="1">
      <c r="A820" s="12"/>
      <c r="C820" s="12"/>
      <c r="D820" s="87"/>
      <c r="F820" s="14"/>
      <c r="G820" s="14"/>
      <c r="H820" s="14"/>
      <c r="I820" s="14"/>
      <c r="J820" s="14"/>
      <c r="K820" s="12"/>
    </row>
    <row r="821" ht="19.5" customHeight="1">
      <c r="A821" s="12"/>
      <c r="C821" s="12"/>
      <c r="D821" s="87"/>
      <c r="F821" s="14"/>
      <c r="G821" s="14"/>
      <c r="H821" s="14"/>
      <c r="I821" s="14"/>
      <c r="J821" s="14"/>
      <c r="K821" s="12"/>
    </row>
    <row r="822" ht="19.5" customHeight="1">
      <c r="A822" s="12"/>
      <c r="C822" s="12"/>
      <c r="D822" s="87"/>
      <c r="F822" s="14"/>
      <c r="G822" s="14"/>
      <c r="H822" s="14"/>
      <c r="I822" s="14"/>
      <c r="J822" s="14"/>
      <c r="K822" s="12"/>
    </row>
    <row r="823" ht="19.5" customHeight="1">
      <c r="A823" s="12"/>
      <c r="C823" s="12"/>
      <c r="D823" s="87"/>
      <c r="F823" s="14"/>
      <c r="G823" s="14"/>
      <c r="H823" s="14"/>
      <c r="I823" s="14"/>
      <c r="J823" s="14"/>
      <c r="K823" s="12"/>
    </row>
    <row r="824" ht="19.5" customHeight="1">
      <c r="A824" s="12"/>
      <c r="C824" s="12"/>
      <c r="D824" s="87"/>
      <c r="F824" s="14"/>
      <c r="G824" s="14"/>
      <c r="H824" s="14"/>
      <c r="I824" s="14"/>
      <c r="J824" s="14"/>
      <c r="K824" s="12"/>
    </row>
    <row r="825" ht="19.5" customHeight="1">
      <c r="A825" s="12"/>
      <c r="C825" s="12"/>
      <c r="D825" s="87"/>
      <c r="F825" s="14"/>
      <c r="G825" s="14"/>
      <c r="H825" s="14"/>
      <c r="I825" s="14"/>
      <c r="J825" s="14"/>
      <c r="K825" s="12"/>
    </row>
    <row r="826" ht="19.5" customHeight="1">
      <c r="A826" s="12"/>
      <c r="C826" s="12"/>
      <c r="D826" s="87"/>
      <c r="F826" s="14"/>
      <c r="G826" s="14"/>
      <c r="H826" s="14"/>
      <c r="I826" s="14"/>
      <c r="J826" s="14"/>
      <c r="K826" s="12"/>
    </row>
    <row r="827" ht="19.5" customHeight="1">
      <c r="A827" s="12"/>
      <c r="C827" s="12"/>
      <c r="D827" s="87"/>
      <c r="F827" s="14"/>
      <c r="G827" s="14"/>
      <c r="H827" s="14"/>
      <c r="I827" s="14"/>
      <c r="J827" s="14"/>
      <c r="K827" s="12"/>
    </row>
    <row r="828" ht="19.5" customHeight="1">
      <c r="A828" s="12"/>
      <c r="C828" s="12"/>
      <c r="D828" s="87"/>
      <c r="F828" s="14"/>
      <c r="G828" s="14"/>
      <c r="H828" s="14"/>
      <c r="I828" s="14"/>
      <c r="J828" s="14"/>
      <c r="K828" s="12"/>
    </row>
    <row r="829" ht="19.5" customHeight="1">
      <c r="A829" s="12"/>
      <c r="C829" s="12"/>
      <c r="D829" s="87"/>
      <c r="F829" s="14"/>
      <c r="G829" s="14"/>
      <c r="H829" s="14"/>
      <c r="I829" s="14"/>
      <c r="J829" s="14"/>
      <c r="K829" s="12"/>
    </row>
    <row r="830" ht="19.5" customHeight="1">
      <c r="A830" s="12"/>
      <c r="C830" s="12"/>
      <c r="D830" s="87"/>
      <c r="F830" s="14"/>
      <c r="G830" s="14"/>
      <c r="H830" s="14"/>
      <c r="I830" s="14"/>
      <c r="J830" s="14"/>
      <c r="K830" s="12"/>
    </row>
    <row r="831" ht="19.5" customHeight="1">
      <c r="A831" s="12"/>
      <c r="C831" s="12"/>
      <c r="D831" s="87"/>
      <c r="F831" s="14"/>
      <c r="G831" s="14"/>
      <c r="H831" s="14"/>
      <c r="I831" s="14"/>
      <c r="J831" s="14"/>
      <c r="K831" s="12"/>
    </row>
    <row r="832" ht="19.5" customHeight="1">
      <c r="A832" s="12"/>
      <c r="C832" s="12"/>
      <c r="D832" s="87"/>
      <c r="F832" s="14"/>
      <c r="G832" s="14"/>
      <c r="H832" s="14"/>
      <c r="I832" s="14"/>
      <c r="J832" s="14"/>
      <c r="K832" s="12"/>
    </row>
    <row r="833" ht="19.5" customHeight="1">
      <c r="A833" s="12"/>
      <c r="C833" s="12"/>
      <c r="D833" s="87"/>
      <c r="F833" s="14"/>
      <c r="G833" s="14"/>
      <c r="H833" s="14"/>
      <c r="I833" s="14"/>
      <c r="J833" s="14"/>
      <c r="K833" s="12"/>
    </row>
    <row r="834" ht="19.5" customHeight="1">
      <c r="A834" s="12"/>
      <c r="C834" s="12"/>
      <c r="D834" s="87"/>
      <c r="F834" s="14"/>
      <c r="G834" s="14"/>
      <c r="H834" s="14"/>
      <c r="I834" s="14"/>
      <c r="J834" s="14"/>
      <c r="K834" s="12"/>
    </row>
    <row r="835" ht="19.5" customHeight="1">
      <c r="A835" s="12"/>
      <c r="C835" s="12"/>
      <c r="D835" s="87"/>
      <c r="F835" s="14"/>
      <c r="G835" s="14"/>
      <c r="H835" s="14"/>
      <c r="I835" s="14"/>
      <c r="J835" s="14"/>
      <c r="K835" s="12"/>
    </row>
    <row r="836" ht="19.5" customHeight="1">
      <c r="A836" s="12"/>
      <c r="C836" s="12"/>
      <c r="D836" s="87"/>
      <c r="F836" s="14"/>
      <c r="G836" s="14"/>
      <c r="H836" s="14"/>
      <c r="I836" s="14"/>
      <c r="J836" s="14"/>
      <c r="K836" s="12"/>
    </row>
    <row r="837" ht="19.5" customHeight="1">
      <c r="A837" s="12"/>
      <c r="C837" s="12"/>
      <c r="D837" s="87"/>
      <c r="F837" s="14"/>
      <c r="G837" s="14"/>
      <c r="H837" s="14"/>
      <c r="I837" s="14"/>
      <c r="J837" s="14"/>
      <c r="K837" s="12"/>
    </row>
    <row r="838" ht="19.5" customHeight="1">
      <c r="A838" s="12"/>
      <c r="C838" s="12"/>
      <c r="D838" s="87"/>
      <c r="F838" s="14"/>
      <c r="G838" s="14"/>
      <c r="H838" s="14"/>
      <c r="I838" s="14"/>
      <c r="J838" s="14"/>
      <c r="K838" s="12"/>
    </row>
    <row r="839" ht="19.5" customHeight="1">
      <c r="A839" s="12"/>
      <c r="C839" s="12"/>
      <c r="D839" s="87"/>
      <c r="F839" s="14"/>
      <c r="G839" s="14"/>
      <c r="H839" s="14"/>
      <c r="I839" s="14"/>
      <c r="J839" s="14"/>
      <c r="K839" s="12"/>
    </row>
    <row r="840" ht="19.5" customHeight="1">
      <c r="A840" s="12"/>
      <c r="C840" s="12"/>
      <c r="D840" s="87"/>
      <c r="F840" s="14"/>
      <c r="G840" s="14"/>
      <c r="H840" s="14"/>
      <c r="I840" s="14"/>
      <c r="J840" s="14"/>
      <c r="K840" s="12"/>
    </row>
    <row r="841" ht="19.5" customHeight="1">
      <c r="A841" s="12"/>
      <c r="C841" s="12"/>
      <c r="D841" s="87"/>
      <c r="F841" s="14"/>
      <c r="G841" s="14"/>
      <c r="H841" s="14"/>
      <c r="I841" s="14"/>
      <c r="J841" s="14"/>
      <c r="K841" s="12"/>
    </row>
    <row r="842" ht="19.5" customHeight="1">
      <c r="A842" s="12"/>
      <c r="C842" s="12"/>
      <c r="D842" s="87"/>
      <c r="F842" s="14"/>
      <c r="G842" s="14"/>
      <c r="H842" s="14"/>
      <c r="I842" s="14"/>
      <c r="J842" s="14"/>
      <c r="K842" s="12"/>
    </row>
    <row r="843" ht="19.5" customHeight="1">
      <c r="A843" s="12"/>
      <c r="C843" s="12"/>
      <c r="D843" s="87"/>
      <c r="F843" s="14"/>
      <c r="G843" s="14"/>
      <c r="H843" s="14"/>
      <c r="I843" s="14"/>
      <c r="J843" s="14"/>
      <c r="K843" s="12"/>
    </row>
    <row r="844" ht="19.5" customHeight="1">
      <c r="A844" s="12"/>
      <c r="C844" s="12"/>
      <c r="D844" s="87"/>
      <c r="F844" s="14"/>
      <c r="G844" s="14"/>
      <c r="H844" s="14"/>
      <c r="I844" s="14"/>
      <c r="J844" s="14"/>
      <c r="K844" s="12"/>
    </row>
    <row r="845" ht="19.5" customHeight="1">
      <c r="A845" s="12"/>
      <c r="C845" s="12"/>
      <c r="D845" s="87"/>
      <c r="F845" s="14"/>
      <c r="G845" s="14"/>
      <c r="H845" s="14"/>
      <c r="I845" s="14"/>
      <c r="J845" s="14"/>
      <c r="K845" s="12"/>
    </row>
    <row r="846" ht="19.5" customHeight="1">
      <c r="A846" s="12"/>
      <c r="C846" s="12"/>
      <c r="D846" s="87"/>
      <c r="F846" s="14"/>
      <c r="G846" s="14"/>
      <c r="H846" s="14"/>
      <c r="I846" s="14"/>
      <c r="J846" s="14"/>
      <c r="K846" s="12"/>
    </row>
    <row r="847" ht="19.5" customHeight="1">
      <c r="A847" s="12"/>
      <c r="C847" s="12"/>
      <c r="D847" s="87"/>
      <c r="F847" s="14"/>
      <c r="G847" s="14"/>
      <c r="H847" s="14"/>
      <c r="I847" s="14"/>
      <c r="J847" s="14"/>
      <c r="K847" s="12"/>
    </row>
    <row r="848" ht="19.5" customHeight="1">
      <c r="A848" s="12"/>
      <c r="C848" s="12"/>
      <c r="D848" s="87"/>
      <c r="F848" s="14"/>
      <c r="G848" s="14"/>
      <c r="H848" s="14"/>
      <c r="I848" s="14"/>
      <c r="J848" s="14"/>
      <c r="K848" s="12"/>
    </row>
    <row r="849" ht="19.5" customHeight="1">
      <c r="A849" s="12"/>
      <c r="C849" s="12"/>
      <c r="D849" s="87"/>
      <c r="F849" s="14"/>
      <c r="G849" s="14"/>
      <c r="H849" s="14"/>
      <c r="I849" s="14"/>
      <c r="J849" s="14"/>
      <c r="K849" s="12"/>
    </row>
    <row r="850" ht="19.5" customHeight="1">
      <c r="A850" s="12"/>
      <c r="C850" s="12"/>
      <c r="D850" s="87"/>
      <c r="F850" s="14"/>
      <c r="G850" s="14"/>
      <c r="H850" s="14"/>
      <c r="I850" s="14"/>
      <c r="J850" s="14"/>
      <c r="K850" s="12"/>
    </row>
    <row r="851" ht="19.5" customHeight="1">
      <c r="A851" s="12"/>
      <c r="C851" s="12"/>
      <c r="D851" s="87"/>
      <c r="F851" s="14"/>
      <c r="G851" s="14"/>
      <c r="H851" s="14"/>
      <c r="I851" s="14"/>
      <c r="J851" s="14"/>
      <c r="K851" s="12"/>
    </row>
    <row r="852" ht="19.5" customHeight="1">
      <c r="A852" s="12"/>
      <c r="C852" s="12"/>
      <c r="D852" s="87"/>
      <c r="F852" s="14"/>
      <c r="G852" s="14"/>
      <c r="H852" s="14"/>
      <c r="I852" s="14"/>
      <c r="J852" s="14"/>
      <c r="K852" s="12"/>
    </row>
    <row r="853" ht="19.5" customHeight="1">
      <c r="A853" s="12"/>
      <c r="C853" s="12"/>
      <c r="D853" s="87"/>
      <c r="F853" s="14"/>
      <c r="G853" s="14"/>
      <c r="H853" s="14"/>
      <c r="I853" s="14"/>
      <c r="J853" s="14"/>
      <c r="K853" s="12"/>
    </row>
    <row r="854" ht="19.5" customHeight="1">
      <c r="A854" s="12"/>
      <c r="C854" s="12"/>
      <c r="D854" s="87"/>
      <c r="F854" s="14"/>
      <c r="G854" s="14"/>
      <c r="H854" s="14"/>
      <c r="I854" s="14"/>
      <c r="J854" s="14"/>
      <c r="K854" s="12"/>
    </row>
    <row r="855" ht="19.5" customHeight="1">
      <c r="A855" s="12"/>
      <c r="C855" s="12"/>
      <c r="D855" s="87"/>
      <c r="F855" s="14"/>
      <c r="G855" s="14"/>
      <c r="H855" s="14"/>
      <c r="I855" s="14"/>
      <c r="J855" s="14"/>
      <c r="K855" s="12"/>
    </row>
    <row r="856" ht="19.5" customHeight="1">
      <c r="A856" s="12"/>
      <c r="C856" s="12"/>
      <c r="D856" s="87"/>
      <c r="F856" s="14"/>
      <c r="G856" s="14"/>
      <c r="H856" s="14"/>
      <c r="I856" s="14"/>
      <c r="J856" s="14"/>
      <c r="K856" s="12"/>
    </row>
    <row r="857" ht="19.5" customHeight="1">
      <c r="A857" s="12"/>
      <c r="C857" s="12"/>
      <c r="D857" s="87"/>
      <c r="F857" s="14"/>
      <c r="G857" s="14"/>
      <c r="H857" s="14"/>
      <c r="I857" s="14"/>
      <c r="J857" s="14"/>
      <c r="K857" s="12"/>
    </row>
    <row r="858" ht="19.5" customHeight="1">
      <c r="A858" s="12"/>
      <c r="C858" s="12"/>
      <c r="D858" s="87"/>
      <c r="F858" s="14"/>
      <c r="G858" s="14"/>
      <c r="H858" s="14"/>
      <c r="I858" s="14"/>
      <c r="J858" s="14"/>
      <c r="K858" s="12"/>
    </row>
    <row r="859" ht="19.5" customHeight="1">
      <c r="A859" s="12"/>
      <c r="C859" s="12"/>
      <c r="D859" s="87"/>
      <c r="F859" s="14"/>
      <c r="G859" s="14"/>
      <c r="H859" s="14"/>
      <c r="I859" s="14"/>
      <c r="J859" s="14"/>
      <c r="K859" s="12"/>
    </row>
    <row r="860" ht="19.5" customHeight="1">
      <c r="A860" s="12"/>
      <c r="C860" s="12"/>
      <c r="D860" s="87"/>
      <c r="F860" s="14"/>
      <c r="G860" s="14"/>
      <c r="H860" s="14"/>
      <c r="I860" s="14"/>
      <c r="J860" s="14"/>
      <c r="K860" s="12"/>
    </row>
    <row r="861" ht="19.5" customHeight="1">
      <c r="A861" s="12"/>
      <c r="C861" s="12"/>
      <c r="D861" s="87"/>
      <c r="F861" s="14"/>
      <c r="G861" s="14"/>
      <c r="H861" s="14"/>
      <c r="I861" s="14"/>
      <c r="J861" s="14"/>
      <c r="K861" s="12"/>
    </row>
    <row r="862" ht="19.5" customHeight="1">
      <c r="A862" s="12"/>
      <c r="C862" s="12"/>
      <c r="D862" s="87"/>
      <c r="F862" s="14"/>
      <c r="G862" s="14"/>
      <c r="H862" s="14"/>
      <c r="I862" s="14"/>
      <c r="J862" s="14"/>
      <c r="K862" s="12"/>
    </row>
    <row r="863" ht="19.5" customHeight="1">
      <c r="A863" s="12"/>
      <c r="C863" s="12"/>
      <c r="D863" s="87"/>
      <c r="F863" s="14"/>
      <c r="G863" s="14"/>
      <c r="H863" s="14"/>
      <c r="I863" s="14"/>
      <c r="J863" s="14"/>
      <c r="K863" s="12"/>
    </row>
    <row r="864" ht="19.5" customHeight="1">
      <c r="A864" s="12"/>
      <c r="C864" s="12"/>
      <c r="D864" s="87"/>
      <c r="F864" s="14"/>
      <c r="G864" s="14"/>
      <c r="H864" s="14"/>
      <c r="I864" s="14"/>
      <c r="J864" s="14"/>
      <c r="K864" s="12"/>
    </row>
    <row r="865" ht="19.5" customHeight="1">
      <c r="A865" s="12"/>
      <c r="C865" s="12"/>
      <c r="D865" s="87"/>
      <c r="F865" s="14"/>
      <c r="G865" s="14"/>
      <c r="H865" s="14"/>
      <c r="I865" s="14"/>
      <c r="J865" s="14"/>
      <c r="K865" s="12"/>
    </row>
    <row r="866" ht="19.5" customHeight="1">
      <c r="A866" s="12"/>
      <c r="C866" s="12"/>
      <c r="D866" s="87"/>
      <c r="F866" s="14"/>
      <c r="G866" s="14"/>
      <c r="H866" s="14"/>
      <c r="I866" s="14"/>
      <c r="J866" s="14"/>
      <c r="K866" s="12"/>
    </row>
    <row r="867" ht="19.5" customHeight="1">
      <c r="A867" s="12"/>
      <c r="C867" s="12"/>
      <c r="D867" s="87"/>
      <c r="F867" s="14"/>
      <c r="G867" s="14"/>
      <c r="H867" s="14"/>
      <c r="I867" s="14"/>
      <c r="J867" s="14"/>
      <c r="K867" s="12"/>
    </row>
    <row r="868" ht="19.5" customHeight="1">
      <c r="A868" s="12"/>
      <c r="C868" s="12"/>
      <c r="D868" s="87"/>
      <c r="F868" s="14"/>
      <c r="G868" s="14"/>
      <c r="H868" s="14"/>
      <c r="I868" s="14"/>
      <c r="J868" s="14"/>
      <c r="K868" s="12"/>
    </row>
    <row r="869" ht="19.5" customHeight="1">
      <c r="A869" s="12"/>
      <c r="C869" s="12"/>
      <c r="D869" s="87"/>
      <c r="F869" s="14"/>
      <c r="G869" s="14"/>
      <c r="H869" s="14"/>
      <c r="I869" s="14"/>
      <c r="J869" s="14"/>
      <c r="K869" s="12"/>
    </row>
    <row r="870" ht="19.5" customHeight="1">
      <c r="A870" s="12"/>
      <c r="C870" s="12"/>
      <c r="D870" s="87"/>
      <c r="F870" s="14"/>
      <c r="G870" s="14"/>
      <c r="H870" s="14"/>
      <c r="I870" s="14"/>
      <c r="J870" s="14"/>
      <c r="K870" s="12"/>
    </row>
    <row r="871" ht="19.5" customHeight="1">
      <c r="A871" s="12"/>
      <c r="C871" s="12"/>
      <c r="D871" s="87"/>
      <c r="F871" s="14"/>
      <c r="G871" s="14"/>
      <c r="H871" s="14"/>
      <c r="I871" s="14"/>
      <c r="J871" s="14"/>
      <c r="K871" s="12"/>
    </row>
    <row r="872" ht="19.5" customHeight="1">
      <c r="A872" s="12"/>
      <c r="C872" s="12"/>
      <c r="D872" s="87"/>
      <c r="F872" s="14"/>
      <c r="G872" s="14"/>
      <c r="H872" s="14"/>
      <c r="I872" s="14"/>
      <c r="J872" s="14"/>
      <c r="K872" s="12"/>
    </row>
    <row r="873" ht="19.5" customHeight="1">
      <c r="A873" s="12"/>
      <c r="C873" s="12"/>
      <c r="D873" s="87"/>
      <c r="F873" s="14"/>
      <c r="G873" s="14"/>
      <c r="H873" s="14"/>
      <c r="I873" s="14"/>
      <c r="J873" s="14"/>
      <c r="K873" s="12"/>
    </row>
    <row r="874" ht="19.5" customHeight="1">
      <c r="A874" s="12"/>
      <c r="C874" s="12"/>
      <c r="D874" s="87"/>
      <c r="F874" s="14"/>
      <c r="G874" s="14"/>
      <c r="H874" s="14"/>
      <c r="I874" s="14"/>
      <c r="J874" s="14"/>
      <c r="K874" s="12"/>
    </row>
    <row r="875" ht="19.5" customHeight="1">
      <c r="A875" s="12"/>
      <c r="C875" s="12"/>
      <c r="D875" s="87"/>
      <c r="F875" s="14"/>
      <c r="G875" s="14"/>
      <c r="H875" s="14"/>
      <c r="I875" s="14"/>
      <c r="J875" s="14"/>
      <c r="K875" s="12"/>
    </row>
    <row r="876" ht="19.5" customHeight="1">
      <c r="A876" s="12"/>
      <c r="C876" s="12"/>
      <c r="D876" s="87"/>
      <c r="F876" s="14"/>
      <c r="G876" s="14"/>
      <c r="H876" s="14"/>
      <c r="I876" s="14"/>
      <c r="J876" s="14"/>
      <c r="K876" s="12"/>
    </row>
    <row r="877" ht="19.5" customHeight="1">
      <c r="A877" s="12"/>
      <c r="C877" s="12"/>
      <c r="D877" s="87"/>
      <c r="F877" s="14"/>
      <c r="G877" s="14"/>
      <c r="H877" s="14"/>
      <c r="I877" s="14"/>
      <c r="J877" s="14"/>
      <c r="K877" s="12"/>
    </row>
    <row r="878" ht="19.5" customHeight="1">
      <c r="A878" s="12"/>
      <c r="C878" s="12"/>
      <c r="D878" s="87"/>
      <c r="F878" s="14"/>
      <c r="G878" s="14"/>
      <c r="H878" s="14"/>
      <c r="I878" s="14"/>
      <c r="J878" s="14"/>
      <c r="K878" s="12"/>
    </row>
    <row r="879" ht="19.5" customHeight="1">
      <c r="A879" s="12"/>
      <c r="C879" s="12"/>
      <c r="D879" s="87"/>
      <c r="F879" s="14"/>
      <c r="G879" s="14"/>
      <c r="H879" s="14"/>
      <c r="I879" s="14"/>
      <c r="J879" s="14"/>
      <c r="K879" s="12"/>
    </row>
    <row r="880" ht="19.5" customHeight="1">
      <c r="A880" s="12"/>
      <c r="C880" s="12"/>
      <c r="D880" s="87"/>
      <c r="F880" s="14"/>
      <c r="G880" s="14"/>
      <c r="H880" s="14"/>
      <c r="I880" s="14"/>
      <c r="J880" s="14"/>
      <c r="K880" s="12"/>
    </row>
    <row r="881" ht="19.5" customHeight="1">
      <c r="A881" s="12"/>
      <c r="C881" s="12"/>
      <c r="D881" s="87"/>
      <c r="F881" s="14"/>
      <c r="G881" s="14"/>
      <c r="H881" s="14"/>
      <c r="I881" s="14"/>
      <c r="J881" s="14"/>
      <c r="K881" s="12"/>
    </row>
    <row r="882" ht="19.5" customHeight="1">
      <c r="A882" s="12"/>
      <c r="C882" s="12"/>
      <c r="D882" s="87"/>
      <c r="F882" s="14"/>
      <c r="G882" s="14"/>
      <c r="H882" s="14"/>
      <c r="I882" s="14"/>
      <c r="J882" s="14"/>
      <c r="K882" s="12"/>
    </row>
    <row r="883" ht="19.5" customHeight="1">
      <c r="A883" s="12"/>
      <c r="C883" s="12"/>
      <c r="D883" s="87"/>
      <c r="F883" s="14"/>
      <c r="G883" s="14"/>
      <c r="H883" s="14"/>
      <c r="I883" s="14"/>
      <c r="J883" s="14"/>
      <c r="K883" s="12"/>
    </row>
    <row r="884" ht="19.5" customHeight="1">
      <c r="A884" s="12"/>
      <c r="C884" s="12"/>
      <c r="D884" s="87"/>
      <c r="F884" s="14"/>
      <c r="G884" s="14"/>
      <c r="H884" s="14"/>
      <c r="I884" s="14"/>
      <c r="J884" s="14"/>
      <c r="K884" s="12"/>
    </row>
    <row r="885" ht="19.5" customHeight="1">
      <c r="A885" s="12"/>
      <c r="C885" s="12"/>
      <c r="D885" s="87"/>
      <c r="F885" s="14"/>
      <c r="G885" s="14"/>
      <c r="H885" s="14"/>
      <c r="I885" s="14"/>
      <c r="J885" s="14"/>
      <c r="K885" s="12"/>
    </row>
    <row r="886" ht="19.5" customHeight="1">
      <c r="A886" s="12"/>
      <c r="C886" s="12"/>
      <c r="D886" s="87"/>
      <c r="F886" s="14"/>
      <c r="G886" s="14"/>
      <c r="H886" s="14"/>
      <c r="I886" s="14"/>
      <c r="J886" s="14"/>
      <c r="K886" s="12"/>
    </row>
    <row r="887" ht="19.5" customHeight="1">
      <c r="A887" s="12"/>
      <c r="C887" s="12"/>
      <c r="D887" s="87"/>
      <c r="F887" s="14"/>
      <c r="G887" s="14"/>
      <c r="H887" s="14"/>
      <c r="I887" s="14"/>
      <c r="J887" s="14"/>
      <c r="K887" s="12"/>
    </row>
    <row r="888" ht="19.5" customHeight="1">
      <c r="A888" s="12"/>
      <c r="C888" s="12"/>
      <c r="D888" s="87"/>
      <c r="F888" s="14"/>
      <c r="G888" s="14"/>
      <c r="H888" s="14"/>
      <c r="I888" s="14"/>
      <c r="J888" s="14"/>
      <c r="K888" s="12"/>
    </row>
    <row r="889" ht="19.5" customHeight="1">
      <c r="A889" s="12"/>
      <c r="C889" s="12"/>
      <c r="D889" s="87"/>
      <c r="F889" s="14"/>
      <c r="G889" s="14"/>
      <c r="H889" s="14"/>
      <c r="I889" s="14"/>
      <c r="J889" s="14"/>
      <c r="K889" s="12"/>
    </row>
    <row r="890" ht="19.5" customHeight="1">
      <c r="A890" s="12"/>
      <c r="C890" s="12"/>
      <c r="D890" s="87"/>
      <c r="F890" s="14"/>
      <c r="G890" s="14"/>
      <c r="H890" s="14"/>
      <c r="I890" s="14"/>
      <c r="J890" s="14"/>
      <c r="K890" s="12"/>
    </row>
    <row r="891" ht="19.5" customHeight="1">
      <c r="A891" s="12"/>
      <c r="C891" s="12"/>
      <c r="D891" s="87"/>
      <c r="F891" s="14"/>
      <c r="G891" s="14"/>
      <c r="H891" s="14"/>
      <c r="I891" s="14"/>
      <c r="J891" s="14"/>
      <c r="K891" s="12"/>
    </row>
    <row r="892" ht="19.5" customHeight="1">
      <c r="A892" s="12"/>
      <c r="C892" s="12"/>
      <c r="D892" s="87"/>
      <c r="F892" s="14"/>
      <c r="G892" s="14"/>
      <c r="H892" s="14"/>
      <c r="I892" s="14"/>
      <c r="J892" s="14"/>
      <c r="K892" s="12"/>
    </row>
    <row r="893" ht="19.5" customHeight="1">
      <c r="A893" s="12"/>
      <c r="C893" s="12"/>
      <c r="D893" s="87"/>
      <c r="F893" s="14"/>
      <c r="G893" s="14"/>
      <c r="H893" s="14"/>
      <c r="I893" s="14"/>
      <c r="J893" s="14"/>
      <c r="K893" s="12"/>
    </row>
    <row r="894" ht="19.5" customHeight="1">
      <c r="A894" s="12"/>
      <c r="C894" s="12"/>
      <c r="D894" s="87"/>
      <c r="F894" s="14"/>
      <c r="G894" s="14"/>
      <c r="H894" s="14"/>
      <c r="I894" s="14"/>
      <c r="J894" s="14"/>
      <c r="K894" s="12"/>
    </row>
    <row r="895" ht="19.5" customHeight="1">
      <c r="A895" s="12"/>
      <c r="C895" s="12"/>
      <c r="D895" s="87"/>
      <c r="F895" s="14"/>
      <c r="G895" s="14"/>
      <c r="H895" s="14"/>
      <c r="I895" s="14"/>
      <c r="J895" s="14"/>
      <c r="K895" s="12"/>
    </row>
    <row r="896" ht="19.5" customHeight="1">
      <c r="A896" s="12"/>
      <c r="C896" s="12"/>
      <c r="D896" s="87"/>
      <c r="F896" s="14"/>
      <c r="G896" s="14"/>
      <c r="H896" s="14"/>
      <c r="I896" s="14"/>
      <c r="J896" s="14"/>
      <c r="K896" s="12"/>
    </row>
    <row r="897" ht="19.5" customHeight="1">
      <c r="A897" s="12"/>
      <c r="C897" s="12"/>
      <c r="D897" s="87"/>
      <c r="F897" s="14"/>
      <c r="G897" s="14"/>
      <c r="H897" s="14"/>
      <c r="I897" s="14"/>
      <c r="J897" s="14"/>
      <c r="K897" s="12"/>
    </row>
    <row r="898" ht="19.5" customHeight="1">
      <c r="A898" s="12"/>
      <c r="C898" s="12"/>
      <c r="D898" s="87"/>
      <c r="F898" s="14"/>
      <c r="G898" s="14"/>
      <c r="H898" s="14"/>
      <c r="I898" s="14"/>
      <c r="J898" s="14"/>
      <c r="K898" s="12"/>
    </row>
    <row r="899" ht="19.5" customHeight="1">
      <c r="A899" s="12"/>
      <c r="C899" s="12"/>
      <c r="D899" s="87"/>
      <c r="F899" s="14"/>
      <c r="G899" s="14"/>
      <c r="H899" s="14"/>
      <c r="I899" s="14"/>
      <c r="J899" s="14"/>
      <c r="K899" s="12"/>
    </row>
    <row r="900" ht="19.5" customHeight="1">
      <c r="A900" s="12"/>
      <c r="C900" s="12"/>
      <c r="D900" s="87"/>
      <c r="F900" s="14"/>
      <c r="G900" s="14"/>
      <c r="H900" s="14"/>
      <c r="I900" s="14"/>
      <c r="J900" s="14"/>
      <c r="K900" s="12"/>
    </row>
    <row r="901" ht="19.5" customHeight="1">
      <c r="A901" s="12"/>
      <c r="C901" s="12"/>
      <c r="D901" s="87"/>
      <c r="F901" s="14"/>
      <c r="G901" s="14"/>
      <c r="H901" s="14"/>
      <c r="I901" s="14"/>
      <c r="J901" s="14"/>
      <c r="K901" s="12"/>
    </row>
    <row r="902" ht="19.5" customHeight="1">
      <c r="A902" s="12"/>
      <c r="C902" s="12"/>
      <c r="D902" s="87"/>
      <c r="F902" s="14"/>
      <c r="G902" s="14"/>
      <c r="H902" s="14"/>
      <c r="I902" s="14"/>
      <c r="J902" s="14"/>
      <c r="K902" s="12"/>
    </row>
    <row r="903" ht="19.5" customHeight="1">
      <c r="A903" s="12"/>
      <c r="C903" s="12"/>
      <c r="D903" s="87"/>
      <c r="F903" s="14"/>
      <c r="G903" s="14"/>
      <c r="H903" s="14"/>
      <c r="I903" s="14"/>
      <c r="J903" s="14"/>
      <c r="K903" s="12"/>
    </row>
    <row r="904" ht="19.5" customHeight="1">
      <c r="A904" s="12"/>
      <c r="C904" s="12"/>
      <c r="D904" s="87"/>
      <c r="F904" s="14"/>
      <c r="G904" s="14"/>
      <c r="H904" s="14"/>
      <c r="I904" s="14"/>
      <c r="J904" s="14"/>
      <c r="K904" s="12"/>
    </row>
    <row r="905" ht="19.5" customHeight="1">
      <c r="A905" s="12"/>
      <c r="C905" s="12"/>
      <c r="D905" s="87"/>
      <c r="F905" s="14"/>
      <c r="G905" s="14"/>
      <c r="H905" s="14"/>
      <c r="I905" s="14"/>
      <c r="J905" s="14"/>
      <c r="K905" s="12"/>
    </row>
    <row r="906" ht="19.5" customHeight="1">
      <c r="A906" s="12"/>
      <c r="C906" s="12"/>
      <c r="D906" s="87"/>
      <c r="F906" s="14"/>
      <c r="G906" s="14"/>
      <c r="H906" s="14"/>
      <c r="I906" s="14"/>
      <c r="J906" s="14"/>
      <c r="K906" s="12"/>
    </row>
    <row r="907" ht="19.5" customHeight="1">
      <c r="A907" s="12"/>
      <c r="C907" s="12"/>
      <c r="D907" s="87"/>
      <c r="F907" s="14"/>
      <c r="G907" s="14"/>
      <c r="H907" s="14"/>
      <c r="I907" s="14"/>
      <c r="J907" s="14"/>
      <c r="K907" s="12"/>
    </row>
    <row r="908" ht="19.5" customHeight="1">
      <c r="A908" s="12"/>
      <c r="C908" s="12"/>
      <c r="D908" s="87"/>
      <c r="F908" s="14"/>
      <c r="G908" s="14"/>
      <c r="H908" s="14"/>
      <c r="I908" s="14"/>
      <c r="J908" s="14"/>
      <c r="K908" s="12"/>
    </row>
    <row r="909" ht="19.5" customHeight="1">
      <c r="A909" s="12"/>
      <c r="C909" s="12"/>
      <c r="D909" s="87"/>
      <c r="F909" s="14"/>
      <c r="G909" s="14"/>
      <c r="H909" s="14"/>
      <c r="I909" s="14"/>
      <c r="J909" s="14"/>
      <c r="K909" s="12"/>
    </row>
    <row r="910" ht="19.5" customHeight="1">
      <c r="A910" s="12"/>
      <c r="C910" s="12"/>
      <c r="D910" s="87"/>
      <c r="F910" s="14"/>
      <c r="G910" s="14"/>
      <c r="H910" s="14"/>
      <c r="I910" s="14"/>
      <c r="J910" s="14"/>
      <c r="K910" s="12"/>
    </row>
    <row r="911" ht="19.5" customHeight="1">
      <c r="A911" s="12"/>
      <c r="C911" s="12"/>
      <c r="D911" s="87"/>
      <c r="F911" s="14"/>
      <c r="G911" s="14"/>
      <c r="H911" s="14"/>
      <c r="I911" s="14"/>
      <c r="J911" s="14"/>
      <c r="K911" s="12"/>
    </row>
    <row r="912" ht="19.5" customHeight="1">
      <c r="A912" s="12"/>
      <c r="C912" s="12"/>
      <c r="D912" s="87"/>
      <c r="F912" s="14"/>
      <c r="G912" s="14"/>
      <c r="H912" s="14"/>
      <c r="I912" s="14"/>
      <c r="J912" s="14"/>
      <c r="K912" s="12"/>
    </row>
    <row r="913" ht="19.5" customHeight="1">
      <c r="A913" s="12"/>
      <c r="C913" s="12"/>
      <c r="D913" s="87"/>
      <c r="F913" s="14"/>
      <c r="G913" s="14"/>
      <c r="H913" s="14"/>
      <c r="I913" s="14"/>
      <c r="J913" s="14"/>
      <c r="K913" s="12"/>
    </row>
    <row r="914" ht="19.5" customHeight="1">
      <c r="A914" s="12"/>
      <c r="C914" s="12"/>
      <c r="D914" s="87"/>
      <c r="F914" s="14"/>
      <c r="G914" s="14"/>
      <c r="H914" s="14"/>
      <c r="I914" s="14"/>
      <c r="J914" s="14"/>
      <c r="K914" s="12"/>
    </row>
    <row r="915" ht="19.5" customHeight="1">
      <c r="A915" s="12"/>
      <c r="C915" s="12"/>
      <c r="D915" s="87"/>
      <c r="F915" s="14"/>
      <c r="G915" s="14"/>
      <c r="H915" s="14"/>
      <c r="I915" s="14"/>
      <c r="J915" s="14"/>
      <c r="K915" s="12"/>
    </row>
    <row r="916" ht="19.5" customHeight="1">
      <c r="A916" s="12"/>
      <c r="C916" s="12"/>
      <c r="D916" s="87"/>
      <c r="F916" s="14"/>
      <c r="G916" s="14"/>
      <c r="H916" s="14"/>
      <c r="I916" s="14"/>
      <c r="J916" s="14"/>
      <c r="K916" s="12"/>
    </row>
    <row r="917" ht="19.5" customHeight="1">
      <c r="A917" s="12"/>
      <c r="C917" s="12"/>
      <c r="D917" s="87"/>
      <c r="F917" s="14"/>
      <c r="G917" s="14"/>
      <c r="H917" s="14"/>
      <c r="I917" s="14"/>
      <c r="J917" s="14"/>
      <c r="K917" s="12"/>
    </row>
    <row r="918" ht="19.5" customHeight="1">
      <c r="A918" s="12"/>
      <c r="C918" s="12"/>
      <c r="D918" s="87"/>
      <c r="F918" s="14"/>
      <c r="G918" s="14"/>
      <c r="H918" s="14"/>
      <c r="I918" s="14"/>
      <c r="J918" s="14"/>
      <c r="K918" s="12"/>
    </row>
    <row r="919" ht="19.5" customHeight="1">
      <c r="A919" s="12"/>
      <c r="C919" s="12"/>
      <c r="D919" s="87"/>
      <c r="F919" s="14"/>
      <c r="G919" s="14"/>
      <c r="H919" s="14"/>
      <c r="I919" s="14"/>
      <c r="J919" s="14"/>
      <c r="K919" s="12"/>
    </row>
    <row r="920" ht="19.5" customHeight="1">
      <c r="A920" s="12"/>
      <c r="C920" s="12"/>
      <c r="D920" s="87"/>
      <c r="F920" s="14"/>
      <c r="G920" s="14"/>
      <c r="H920" s="14"/>
      <c r="I920" s="14"/>
      <c r="J920" s="14"/>
      <c r="K920" s="12"/>
    </row>
    <row r="921" ht="19.5" customHeight="1">
      <c r="A921" s="12"/>
      <c r="C921" s="12"/>
      <c r="D921" s="87"/>
      <c r="F921" s="14"/>
      <c r="G921" s="14"/>
      <c r="H921" s="14"/>
      <c r="I921" s="14"/>
      <c r="J921" s="14"/>
      <c r="K921" s="12"/>
    </row>
    <row r="922" ht="19.5" customHeight="1">
      <c r="A922" s="12"/>
      <c r="C922" s="12"/>
      <c r="D922" s="87"/>
      <c r="F922" s="14"/>
      <c r="G922" s="14"/>
      <c r="H922" s="14"/>
      <c r="I922" s="14"/>
      <c r="J922" s="14"/>
      <c r="K922" s="12"/>
    </row>
    <row r="923" ht="19.5" customHeight="1">
      <c r="A923" s="12"/>
      <c r="C923" s="12"/>
      <c r="D923" s="87"/>
      <c r="F923" s="14"/>
      <c r="G923" s="14"/>
      <c r="H923" s="14"/>
      <c r="I923" s="14"/>
      <c r="J923" s="14"/>
      <c r="K923" s="12"/>
    </row>
    <row r="924" ht="19.5" customHeight="1">
      <c r="A924" s="12"/>
      <c r="C924" s="12"/>
      <c r="D924" s="87"/>
      <c r="F924" s="14"/>
      <c r="G924" s="14"/>
      <c r="H924" s="14"/>
      <c r="I924" s="14"/>
      <c r="J924" s="14"/>
      <c r="K924" s="12"/>
    </row>
    <row r="925" ht="19.5" customHeight="1">
      <c r="A925" s="12"/>
      <c r="C925" s="12"/>
      <c r="D925" s="87"/>
      <c r="F925" s="14"/>
      <c r="G925" s="14"/>
      <c r="H925" s="14"/>
      <c r="I925" s="14"/>
      <c r="J925" s="14"/>
      <c r="K925" s="12"/>
    </row>
    <row r="926" ht="19.5" customHeight="1">
      <c r="A926" s="12"/>
      <c r="C926" s="12"/>
      <c r="D926" s="87"/>
      <c r="F926" s="14"/>
      <c r="G926" s="14"/>
      <c r="H926" s="14"/>
      <c r="I926" s="14"/>
      <c r="J926" s="14"/>
      <c r="K926" s="12"/>
    </row>
    <row r="927" ht="19.5" customHeight="1">
      <c r="A927" s="12"/>
      <c r="C927" s="12"/>
      <c r="D927" s="87"/>
      <c r="F927" s="14"/>
      <c r="G927" s="14"/>
      <c r="H927" s="14"/>
      <c r="I927" s="14"/>
      <c r="J927" s="14"/>
      <c r="K927" s="12"/>
    </row>
    <row r="928" ht="19.5" customHeight="1">
      <c r="A928" s="12"/>
      <c r="C928" s="12"/>
      <c r="D928" s="87"/>
      <c r="F928" s="14"/>
      <c r="G928" s="14"/>
      <c r="H928" s="14"/>
      <c r="I928" s="14"/>
      <c r="J928" s="14"/>
      <c r="K928" s="12"/>
    </row>
    <row r="929" ht="19.5" customHeight="1">
      <c r="A929" s="12"/>
      <c r="C929" s="12"/>
      <c r="D929" s="87"/>
      <c r="F929" s="14"/>
      <c r="G929" s="14"/>
      <c r="H929" s="14"/>
      <c r="I929" s="14"/>
      <c r="J929" s="14"/>
      <c r="K929" s="12"/>
    </row>
    <row r="930" ht="19.5" customHeight="1">
      <c r="A930" s="12"/>
      <c r="C930" s="12"/>
      <c r="D930" s="87"/>
      <c r="F930" s="14"/>
      <c r="G930" s="14"/>
      <c r="H930" s="14"/>
      <c r="I930" s="14"/>
      <c r="J930" s="14"/>
      <c r="K930" s="12"/>
    </row>
    <row r="931" ht="19.5" customHeight="1">
      <c r="A931" s="12"/>
      <c r="C931" s="12"/>
      <c r="D931" s="87"/>
      <c r="F931" s="14"/>
      <c r="G931" s="14"/>
      <c r="H931" s="14"/>
      <c r="I931" s="14"/>
      <c r="J931" s="14"/>
      <c r="K931" s="12"/>
    </row>
    <row r="932" ht="19.5" customHeight="1">
      <c r="A932" s="12"/>
      <c r="C932" s="12"/>
      <c r="D932" s="87"/>
      <c r="F932" s="14"/>
      <c r="G932" s="14"/>
      <c r="H932" s="14"/>
      <c r="I932" s="14"/>
      <c r="J932" s="14"/>
      <c r="K932" s="12"/>
    </row>
    <row r="933" ht="19.5" customHeight="1">
      <c r="A933" s="12"/>
      <c r="C933" s="12"/>
      <c r="D933" s="87"/>
      <c r="F933" s="14"/>
      <c r="G933" s="14"/>
      <c r="H933" s="14"/>
      <c r="I933" s="14"/>
      <c r="J933" s="14"/>
      <c r="K933" s="12"/>
    </row>
    <row r="934" ht="19.5" customHeight="1">
      <c r="A934" s="12"/>
      <c r="C934" s="12"/>
      <c r="D934" s="87"/>
      <c r="F934" s="14"/>
      <c r="G934" s="14"/>
      <c r="H934" s="14"/>
      <c r="I934" s="14"/>
      <c r="J934" s="14"/>
      <c r="K934" s="12"/>
    </row>
    <row r="935" ht="19.5" customHeight="1">
      <c r="A935" s="12"/>
      <c r="C935" s="12"/>
      <c r="D935" s="87"/>
      <c r="F935" s="14"/>
      <c r="G935" s="14"/>
      <c r="H935" s="14"/>
      <c r="I935" s="14"/>
      <c r="J935" s="14"/>
      <c r="K935" s="12"/>
    </row>
    <row r="936" ht="19.5" customHeight="1">
      <c r="A936" s="12"/>
      <c r="C936" s="12"/>
      <c r="D936" s="87"/>
      <c r="F936" s="14"/>
      <c r="G936" s="14"/>
      <c r="H936" s="14"/>
      <c r="I936" s="14"/>
      <c r="J936" s="14"/>
      <c r="K936" s="12"/>
    </row>
    <row r="937" ht="19.5" customHeight="1">
      <c r="A937" s="12"/>
      <c r="C937" s="12"/>
      <c r="D937" s="87"/>
      <c r="F937" s="14"/>
      <c r="G937" s="14"/>
      <c r="H937" s="14"/>
      <c r="I937" s="14"/>
      <c r="J937" s="14"/>
      <c r="K937" s="12"/>
    </row>
    <row r="938" ht="19.5" customHeight="1">
      <c r="A938" s="12"/>
      <c r="C938" s="12"/>
      <c r="D938" s="87"/>
      <c r="F938" s="14"/>
      <c r="G938" s="14"/>
      <c r="H938" s="14"/>
      <c r="I938" s="14"/>
      <c r="J938" s="14"/>
      <c r="K938" s="12"/>
    </row>
    <row r="939" ht="19.5" customHeight="1">
      <c r="A939" s="12"/>
      <c r="C939" s="12"/>
      <c r="D939" s="87"/>
      <c r="F939" s="14"/>
      <c r="G939" s="14"/>
      <c r="H939" s="14"/>
      <c r="I939" s="14"/>
      <c r="J939" s="14"/>
      <c r="K939" s="12"/>
    </row>
    <row r="940" ht="19.5" customHeight="1">
      <c r="A940" s="12"/>
      <c r="C940" s="12"/>
      <c r="D940" s="87"/>
      <c r="F940" s="14"/>
      <c r="G940" s="14"/>
      <c r="H940" s="14"/>
      <c r="I940" s="14"/>
      <c r="J940" s="14"/>
      <c r="K940" s="12"/>
    </row>
    <row r="941" ht="19.5" customHeight="1">
      <c r="A941" s="12"/>
      <c r="C941" s="12"/>
      <c r="D941" s="87"/>
      <c r="F941" s="14"/>
      <c r="G941" s="14"/>
      <c r="H941" s="14"/>
      <c r="I941" s="14"/>
      <c r="J941" s="14"/>
      <c r="K941" s="12"/>
    </row>
    <row r="942" ht="19.5" customHeight="1">
      <c r="A942" s="12"/>
      <c r="C942" s="12"/>
      <c r="D942" s="87"/>
      <c r="F942" s="14"/>
      <c r="G942" s="14"/>
      <c r="H942" s="14"/>
      <c r="I942" s="14"/>
      <c r="J942" s="14"/>
      <c r="K942" s="12"/>
    </row>
    <row r="943" ht="19.5" customHeight="1">
      <c r="A943" s="12"/>
      <c r="C943" s="12"/>
      <c r="D943" s="87"/>
      <c r="F943" s="14"/>
      <c r="G943" s="14"/>
      <c r="H943" s="14"/>
      <c r="I943" s="14"/>
      <c r="J943" s="14"/>
      <c r="K943" s="12"/>
    </row>
    <row r="944" ht="19.5" customHeight="1">
      <c r="A944" s="12"/>
      <c r="C944" s="12"/>
      <c r="D944" s="87"/>
      <c r="F944" s="14"/>
      <c r="G944" s="14"/>
      <c r="H944" s="14"/>
      <c r="I944" s="14"/>
      <c r="J944" s="14"/>
      <c r="K944" s="12"/>
    </row>
    <row r="945" ht="19.5" customHeight="1">
      <c r="A945" s="12"/>
      <c r="C945" s="12"/>
      <c r="D945" s="87"/>
      <c r="F945" s="14"/>
      <c r="G945" s="14"/>
      <c r="H945" s="14"/>
      <c r="I945" s="14"/>
      <c r="J945" s="14"/>
      <c r="K945" s="12"/>
    </row>
    <row r="946" ht="19.5" customHeight="1">
      <c r="A946" s="12"/>
      <c r="C946" s="12"/>
      <c r="D946" s="87"/>
      <c r="F946" s="14"/>
      <c r="G946" s="14"/>
      <c r="H946" s="14"/>
      <c r="I946" s="14"/>
      <c r="J946" s="14"/>
      <c r="K946" s="12"/>
    </row>
    <row r="947" ht="19.5" customHeight="1">
      <c r="A947" s="12"/>
      <c r="C947" s="12"/>
      <c r="D947" s="87"/>
      <c r="F947" s="14"/>
      <c r="G947" s="14"/>
      <c r="H947" s="14"/>
      <c r="I947" s="14"/>
      <c r="J947" s="14"/>
      <c r="K947" s="12"/>
    </row>
    <row r="948" ht="19.5" customHeight="1">
      <c r="A948" s="12"/>
      <c r="C948" s="12"/>
      <c r="D948" s="87"/>
      <c r="F948" s="14"/>
      <c r="G948" s="14"/>
      <c r="H948" s="14"/>
      <c r="I948" s="14"/>
      <c r="J948" s="14"/>
      <c r="K948" s="12"/>
    </row>
    <row r="949" ht="19.5" customHeight="1">
      <c r="A949" s="12"/>
      <c r="C949" s="12"/>
      <c r="D949" s="87"/>
      <c r="F949" s="14"/>
      <c r="G949" s="14"/>
      <c r="H949" s="14"/>
      <c r="I949" s="14"/>
      <c r="J949" s="14"/>
      <c r="K949" s="12"/>
    </row>
    <row r="950" ht="19.5" customHeight="1">
      <c r="A950" s="12"/>
      <c r="C950" s="12"/>
      <c r="D950" s="87"/>
      <c r="F950" s="14"/>
      <c r="G950" s="14"/>
      <c r="H950" s="14"/>
      <c r="I950" s="14"/>
      <c r="J950" s="14"/>
      <c r="K950" s="12"/>
    </row>
    <row r="951" ht="19.5" customHeight="1">
      <c r="A951" s="12"/>
      <c r="C951" s="12"/>
      <c r="D951" s="87"/>
      <c r="F951" s="14"/>
      <c r="G951" s="14"/>
      <c r="H951" s="14"/>
      <c r="I951" s="14"/>
      <c r="J951" s="14"/>
      <c r="K951" s="12"/>
    </row>
    <row r="952" ht="19.5" customHeight="1">
      <c r="A952" s="12"/>
      <c r="C952" s="12"/>
      <c r="D952" s="87"/>
      <c r="F952" s="14"/>
      <c r="G952" s="14"/>
      <c r="H952" s="14"/>
      <c r="I952" s="14"/>
      <c r="J952" s="14"/>
      <c r="K952" s="12"/>
    </row>
    <row r="953" ht="19.5" customHeight="1">
      <c r="A953" s="12"/>
      <c r="C953" s="12"/>
      <c r="D953" s="87"/>
      <c r="F953" s="14"/>
      <c r="G953" s="14"/>
      <c r="H953" s="14"/>
      <c r="I953" s="14"/>
      <c r="J953" s="14"/>
      <c r="K953" s="12"/>
    </row>
    <row r="954" ht="19.5" customHeight="1">
      <c r="A954" s="12"/>
      <c r="C954" s="12"/>
      <c r="D954" s="87"/>
      <c r="F954" s="14"/>
      <c r="G954" s="14"/>
      <c r="H954" s="14"/>
      <c r="I954" s="14"/>
      <c r="J954" s="14"/>
      <c r="K954" s="12"/>
    </row>
    <row r="955" ht="19.5" customHeight="1">
      <c r="A955" s="12"/>
      <c r="C955" s="12"/>
      <c r="D955" s="87"/>
      <c r="F955" s="14"/>
      <c r="G955" s="14"/>
      <c r="H955" s="14"/>
      <c r="I955" s="14"/>
      <c r="J955" s="14"/>
      <c r="K955" s="12"/>
    </row>
    <row r="956" ht="19.5" customHeight="1">
      <c r="A956" s="12"/>
      <c r="C956" s="12"/>
      <c r="D956" s="87"/>
      <c r="F956" s="14"/>
      <c r="G956" s="14"/>
      <c r="H956" s="14"/>
      <c r="I956" s="14"/>
      <c r="J956" s="14"/>
      <c r="K956" s="12"/>
    </row>
    <row r="957" ht="19.5" customHeight="1">
      <c r="A957" s="12"/>
      <c r="C957" s="12"/>
      <c r="D957" s="87"/>
      <c r="F957" s="14"/>
      <c r="G957" s="14"/>
      <c r="H957" s="14"/>
      <c r="I957" s="14"/>
      <c r="J957" s="14"/>
      <c r="K957" s="12"/>
    </row>
    <row r="958" ht="19.5" customHeight="1">
      <c r="A958" s="12"/>
      <c r="C958" s="12"/>
      <c r="D958" s="87"/>
      <c r="F958" s="14"/>
      <c r="G958" s="14"/>
      <c r="H958" s="14"/>
      <c r="I958" s="14"/>
      <c r="J958" s="14"/>
      <c r="K958" s="12"/>
    </row>
    <row r="959" ht="19.5" customHeight="1">
      <c r="A959" s="12"/>
      <c r="C959" s="12"/>
      <c r="D959" s="87"/>
      <c r="F959" s="14"/>
      <c r="G959" s="14"/>
      <c r="H959" s="14"/>
      <c r="I959" s="14"/>
      <c r="J959" s="14"/>
      <c r="K959" s="12"/>
    </row>
    <row r="960" ht="19.5" customHeight="1">
      <c r="A960" s="12"/>
      <c r="C960" s="12"/>
      <c r="D960" s="87"/>
      <c r="F960" s="14"/>
      <c r="G960" s="14"/>
      <c r="H960" s="14"/>
      <c r="I960" s="14"/>
      <c r="J960" s="14"/>
      <c r="K960" s="12"/>
    </row>
    <row r="961" ht="19.5" customHeight="1">
      <c r="A961" s="12"/>
      <c r="C961" s="12"/>
      <c r="D961" s="87"/>
      <c r="F961" s="14"/>
      <c r="G961" s="14"/>
      <c r="H961" s="14"/>
      <c r="I961" s="14"/>
      <c r="J961" s="14"/>
      <c r="K961" s="12"/>
    </row>
    <row r="962" ht="19.5" customHeight="1">
      <c r="A962" s="12"/>
      <c r="C962" s="12"/>
      <c r="D962" s="87"/>
      <c r="F962" s="14"/>
      <c r="G962" s="14"/>
      <c r="H962" s="14"/>
      <c r="I962" s="14"/>
      <c r="J962" s="14"/>
      <c r="K962" s="12"/>
    </row>
    <row r="963" ht="19.5" customHeight="1">
      <c r="A963" s="12"/>
      <c r="C963" s="12"/>
      <c r="D963" s="87"/>
      <c r="F963" s="14"/>
      <c r="G963" s="14"/>
      <c r="H963" s="14"/>
      <c r="I963" s="14"/>
      <c r="J963" s="14"/>
      <c r="K963" s="12"/>
    </row>
    <row r="964" ht="19.5" customHeight="1">
      <c r="A964" s="12"/>
      <c r="C964" s="12"/>
      <c r="D964" s="87"/>
      <c r="F964" s="14"/>
      <c r="G964" s="14"/>
      <c r="H964" s="14"/>
      <c r="I964" s="14"/>
      <c r="J964" s="14"/>
      <c r="K964" s="12"/>
    </row>
    <row r="965" ht="19.5" customHeight="1">
      <c r="A965" s="12"/>
      <c r="C965" s="12"/>
      <c r="D965" s="87"/>
      <c r="F965" s="14"/>
      <c r="G965" s="14"/>
      <c r="H965" s="14"/>
      <c r="I965" s="14"/>
      <c r="J965" s="14"/>
      <c r="K965" s="12"/>
    </row>
    <row r="966" ht="19.5" customHeight="1">
      <c r="A966" s="12"/>
      <c r="C966" s="12"/>
      <c r="D966" s="87"/>
      <c r="F966" s="14"/>
      <c r="G966" s="14"/>
      <c r="H966" s="14"/>
      <c r="I966" s="14"/>
      <c r="J966" s="14"/>
      <c r="K966" s="12"/>
    </row>
    <row r="967" ht="19.5" customHeight="1">
      <c r="A967" s="12"/>
      <c r="C967" s="12"/>
      <c r="D967" s="87"/>
      <c r="F967" s="14"/>
      <c r="G967" s="14"/>
      <c r="H967" s="14"/>
      <c r="I967" s="14"/>
      <c r="J967" s="14"/>
      <c r="K967" s="12"/>
    </row>
    <row r="968" ht="19.5" customHeight="1">
      <c r="A968" s="12"/>
      <c r="C968" s="12"/>
      <c r="D968" s="87"/>
      <c r="F968" s="14"/>
      <c r="G968" s="14"/>
      <c r="H968" s="14"/>
      <c r="I968" s="14"/>
      <c r="J968" s="14"/>
      <c r="K968" s="12"/>
    </row>
    <row r="969" ht="19.5" customHeight="1">
      <c r="A969" s="12"/>
      <c r="C969" s="12"/>
      <c r="D969" s="87"/>
      <c r="F969" s="14"/>
      <c r="G969" s="14"/>
      <c r="H969" s="14"/>
      <c r="I969" s="14"/>
      <c r="J969" s="14"/>
      <c r="K969" s="12"/>
    </row>
    <row r="970" ht="19.5" customHeight="1">
      <c r="A970" s="12"/>
      <c r="C970" s="12"/>
      <c r="D970" s="87"/>
      <c r="F970" s="14"/>
      <c r="G970" s="14"/>
      <c r="H970" s="14"/>
      <c r="I970" s="14"/>
      <c r="J970" s="14"/>
      <c r="K970" s="12"/>
    </row>
    <row r="971" ht="19.5" customHeight="1">
      <c r="A971" s="12"/>
      <c r="C971" s="12"/>
      <c r="D971" s="87"/>
      <c r="F971" s="14"/>
      <c r="G971" s="14"/>
      <c r="H971" s="14"/>
      <c r="I971" s="14"/>
      <c r="J971" s="14"/>
      <c r="K971" s="12"/>
    </row>
    <row r="972" ht="19.5" customHeight="1">
      <c r="A972" s="12"/>
      <c r="C972" s="12"/>
      <c r="D972" s="87"/>
      <c r="F972" s="14"/>
      <c r="G972" s="14"/>
      <c r="H972" s="14"/>
      <c r="I972" s="14"/>
      <c r="J972" s="14"/>
      <c r="K972" s="12"/>
    </row>
    <row r="973" ht="19.5" customHeight="1">
      <c r="A973" s="12"/>
      <c r="C973" s="12"/>
      <c r="D973" s="87"/>
      <c r="F973" s="14"/>
      <c r="G973" s="14"/>
      <c r="H973" s="14"/>
      <c r="I973" s="14"/>
      <c r="J973" s="14"/>
      <c r="K973" s="12"/>
    </row>
    <row r="974" ht="19.5" customHeight="1">
      <c r="A974" s="12"/>
      <c r="C974" s="12"/>
      <c r="D974" s="87"/>
      <c r="F974" s="14"/>
      <c r="G974" s="14"/>
      <c r="H974" s="14"/>
      <c r="I974" s="14"/>
      <c r="J974" s="14"/>
      <c r="K974" s="12"/>
    </row>
    <row r="975" ht="19.5" customHeight="1">
      <c r="A975" s="12"/>
      <c r="C975" s="12"/>
      <c r="D975" s="87"/>
      <c r="F975" s="14"/>
      <c r="G975" s="14"/>
      <c r="H975" s="14"/>
      <c r="I975" s="14"/>
      <c r="J975" s="14"/>
      <c r="K975" s="12"/>
    </row>
    <row r="976" ht="19.5" customHeight="1">
      <c r="A976" s="12"/>
      <c r="C976" s="12"/>
      <c r="D976" s="87"/>
      <c r="F976" s="14"/>
      <c r="G976" s="14"/>
      <c r="H976" s="14"/>
      <c r="I976" s="14"/>
      <c r="J976" s="14"/>
      <c r="K976" s="12"/>
    </row>
    <row r="977" ht="19.5" customHeight="1">
      <c r="A977" s="12"/>
      <c r="C977" s="12"/>
      <c r="D977" s="87"/>
      <c r="F977" s="14"/>
      <c r="G977" s="14"/>
      <c r="H977" s="14"/>
      <c r="I977" s="14"/>
      <c r="J977" s="14"/>
      <c r="K977" s="12"/>
    </row>
    <row r="978" ht="19.5" customHeight="1">
      <c r="A978" s="12"/>
      <c r="C978" s="12"/>
      <c r="D978" s="87"/>
      <c r="F978" s="14"/>
      <c r="G978" s="14"/>
      <c r="H978" s="14"/>
      <c r="I978" s="14"/>
      <c r="J978" s="14"/>
      <c r="K978" s="12"/>
    </row>
    <row r="979" ht="19.5" customHeight="1">
      <c r="A979" s="12"/>
      <c r="C979" s="12"/>
      <c r="D979" s="87"/>
      <c r="F979" s="14"/>
      <c r="G979" s="14"/>
      <c r="H979" s="14"/>
      <c r="I979" s="14"/>
      <c r="J979" s="14"/>
      <c r="K979" s="12"/>
    </row>
    <row r="980" ht="19.5" customHeight="1">
      <c r="A980" s="12"/>
      <c r="C980" s="12"/>
      <c r="D980" s="87"/>
      <c r="F980" s="14"/>
      <c r="G980" s="14"/>
      <c r="H980" s="14"/>
      <c r="I980" s="14"/>
      <c r="J980" s="14"/>
      <c r="K980" s="12"/>
    </row>
    <row r="981" ht="19.5" customHeight="1">
      <c r="A981" s="12"/>
      <c r="C981" s="12"/>
      <c r="D981" s="87"/>
      <c r="F981" s="14"/>
      <c r="G981" s="14"/>
      <c r="H981" s="14"/>
      <c r="I981" s="14"/>
      <c r="J981" s="14"/>
      <c r="K981" s="12"/>
    </row>
    <row r="982" ht="19.5" customHeight="1">
      <c r="A982" s="12"/>
      <c r="C982" s="12"/>
      <c r="D982" s="87"/>
      <c r="F982" s="14"/>
      <c r="G982" s="14"/>
      <c r="H982" s="14"/>
      <c r="I982" s="14"/>
      <c r="J982" s="14"/>
      <c r="K982" s="12"/>
    </row>
    <row r="983" ht="19.5" customHeight="1">
      <c r="A983" s="12"/>
      <c r="C983" s="12"/>
      <c r="D983" s="87"/>
      <c r="F983" s="14"/>
      <c r="G983" s="14"/>
      <c r="H983" s="14"/>
      <c r="I983" s="14"/>
      <c r="J983" s="14"/>
      <c r="K983" s="12"/>
    </row>
    <row r="984" ht="19.5" customHeight="1">
      <c r="A984" s="12"/>
      <c r="C984" s="12"/>
      <c r="D984" s="87"/>
      <c r="F984" s="14"/>
      <c r="G984" s="14"/>
      <c r="H984" s="14"/>
      <c r="I984" s="14"/>
      <c r="J984" s="14"/>
      <c r="K984" s="12"/>
    </row>
    <row r="985" ht="19.5" customHeight="1">
      <c r="A985" s="12"/>
      <c r="C985" s="12"/>
      <c r="D985" s="87"/>
      <c r="F985" s="14"/>
      <c r="G985" s="14"/>
      <c r="H985" s="14"/>
      <c r="I985" s="14"/>
      <c r="J985" s="14"/>
      <c r="K985" s="12"/>
    </row>
    <row r="986" ht="19.5" customHeight="1">
      <c r="A986" s="12"/>
      <c r="C986" s="12"/>
      <c r="D986" s="87"/>
      <c r="F986" s="14"/>
      <c r="G986" s="14"/>
      <c r="H986" s="14"/>
      <c r="I986" s="14"/>
      <c r="J986" s="14"/>
      <c r="K986" s="12"/>
    </row>
    <row r="987" ht="19.5" customHeight="1">
      <c r="A987" s="12"/>
      <c r="C987" s="12"/>
      <c r="D987" s="87"/>
      <c r="F987" s="14"/>
      <c r="G987" s="14"/>
      <c r="H987" s="14"/>
      <c r="I987" s="14"/>
      <c r="J987" s="14"/>
      <c r="K987" s="12"/>
    </row>
    <row r="988" ht="19.5" customHeight="1">
      <c r="A988" s="12"/>
      <c r="C988" s="12"/>
      <c r="D988" s="87"/>
      <c r="F988" s="14"/>
      <c r="G988" s="14"/>
      <c r="H988" s="14"/>
      <c r="I988" s="14"/>
      <c r="J988" s="14"/>
      <c r="K988" s="12"/>
    </row>
    <row r="989" ht="19.5" customHeight="1">
      <c r="A989" s="12"/>
      <c r="C989" s="12"/>
      <c r="D989" s="87"/>
      <c r="F989" s="14"/>
      <c r="G989" s="14"/>
      <c r="H989" s="14"/>
      <c r="I989" s="14"/>
      <c r="J989" s="14"/>
      <c r="K989" s="12"/>
    </row>
    <row r="990" ht="19.5" customHeight="1">
      <c r="A990" s="12"/>
      <c r="C990" s="12"/>
      <c r="D990" s="87"/>
      <c r="F990" s="14"/>
      <c r="G990" s="14"/>
      <c r="H990" s="14"/>
      <c r="I990" s="14"/>
      <c r="J990" s="14"/>
      <c r="K990" s="12"/>
    </row>
    <row r="991" ht="19.5" customHeight="1">
      <c r="A991" s="12"/>
      <c r="C991" s="12"/>
      <c r="D991" s="87"/>
      <c r="F991" s="14"/>
      <c r="G991" s="14"/>
      <c r="H991" s="14"/>
      <c r="I991" s="14"/>
      <c r="J991" s="14"/>
      <c r="K991" s="12"/>
    </row>
    <row r="992" ht="19.5" customHeight="1">
      <c r="A992" s="12"/>
      <c r="C992" s="12"/>
      <c r="D992" s="87"/>
      <c r="F992" s="14"/>
      <c r="G992" s="14"/>
      <c r="H992" s="14"/>
      <c r="I992" s="14"/>
      <c r="J992" s="14"/>
      <c r="K992" s="12"/>
    </row>
    <row r="993" ht="19.5" customHeight="1">
      <c r="A993" s="12"/>
      <c r="C993" s="12"/>
      <c r="D993" s="87"/>
      <c r="F993" s="14"/>
      <c r="G993" s="14"/>
      <c r="H993" s="14"/>
      <c r="I993" s="14"/>
      <c r="J993" s="14"/>
      <c r="K993" s="12"/>
    </row>
    <row r="994" ht="19.5" customHeight="1">
      <c r="A994" s="12"/>
      <c r="C994" s="12"/>
      <c r="D994" s="87"/>
      <c r="F994" s="14"/>
      <c r="G994" s="14"/>
      <c r="H994" s="14"/>
      <c r="I994" s="14"/>
      <c r="J994" s="14"/>
      <c r="K994" s="12"/>
    </row>
    <row r="995" ht="19.5" customHeight="1">
      <c r="A995" s="12"/>
      <c r="C995" s="12"/>
      <c r="D995" s="87"/>
      <c r="F995" s="14"/>
      <c r="G995" s="14"/>
      <c r="H995" s="14"/>
      <c r="I995" s="14"/>
      <c r="J995" s="14"/>
      <c r="K995" s="12"/>
    </row>
    <row r="996" ht="19.5" customHeight="1">
      <c r="A996" s="12"/>
      <c r="C996" s="12"/>
      <c r="D996" s="87"/>
      <c r="F996" s="14"/>
      <c r="G996" s="14"/>
      <c r="H996" s="14"/>
      <c r="I996" s="14"/>
      <c r="J996" s="14"/>
      <c r="K996" s="12"/>
    </row>
    <row r="997" ht="19.5" customHeight="1">
      <c r="A997" s="12"/>
      <c r="C997" s="12"/>
      <c r="D997" s="87"/>
      <c r="F997" s="14"/>
      <c r="G997" s="14"/>
      <c r="H997" s="14"/>
      <c r="I997" s="14"/>
      <c r="J997" s="14"/>
      <c r="K997" s="12"/>
    </row>
    <row r="998" ht="19.5" customHeight="1">
      <c r="A998" s="12"/>
      <c r="C998" s="12"/>
      <c r="D998" s="87"/>
      <c r="F998" s="14"/>
      <c r="G998" s="14"/>
      <c r="H998" s="14"/>
      <c r="I998" s="14"/>
      <c r="J998" s="14"/>
      <c r="K998" s="12"/>
    </row>
    <row r="999" ht="19.5" customHeight="1">
      <c r="A999" s="12"/>
      <c r="C999" s="12"/>
      <c r="D999" s="87"/>
      <c r="F999" s="14"/>
      <c r="G999" s="14"/>
      <c r="H999" s="14"/>
      <c r="I999" s="14"/>
      <c r="J999" s="14"/>
      <c r="K999" s="12"/>
    </row>
    <row r="1000" ht="19.5" customHeight="1">
      <c r="A1000" s="12"/>
      <c r="C1000" s="12"/>
      <c r="D1000" s="87"/>
      <c r="F1000" s="14"/>
      <c r="G1000" s="14"/>
      <c r="H1000" s="14"/>
      <c r="I1000" s="14"/>
      <c r="J1000" s="14"/>
      <c r="K1000" s="12"/>
    </row>
    <row r="1001" ht="19.5" customHeight="1">
      <c r="A1001" s="12"/>
      <c r="C1001" s="12"/>
      <c r="D1001" s="87"/>
      <c r="F1001" s="14"/>
      <c r="G1001" s="14"/>
      <c r="H1001" s="14"/>
      <c r="I1001" s="14"/>
      <c r="J1001" s="14"/>
      <c r="K1001" s="12"/>
    </row>
    <row r="1002" ht="19.5" customHeight="1">
      <c r="A1002" s="12"/>
      <c r="C1002" s="12"/>
      <c r="D1002" s="87"/>
      <c r="F1002" s="14"/>
      <c r="G1002" s="14"/>
      <c r="H1002" s="14"/>
      <c r="I1002" s="14"/>
      <c r="J1002" s="14"/>
      <c r="K1002" s="12"/>
    </row>
    <row r="1003" ht="19.5" customHeight="1">
      <c r="A1003" s="12"/>
      <c r="C1003" s="12"/>
      <c r="D1003" s="87"/>
      <c r="F1003" s="14"/>
      <c r="G1003" s="14"/>
      <c r="H1003" s="14"/>
      <c r="I1003" s="14"/>
      <c r="J1003" s="14"/>
      <c r="K1003" s="12"/>
    </row>
    <row r="1004" ht="19.5" customHeight="1">
      <c r="A1004" s="12"/>
      <c r="C1004" s="12"/>
      <c r="D1004" s="87"/>
      <c r="F1004" s="14"/>
      <c r="G1004" s="14"/>
      <c r="H1004" s="14"/>
      <c r="I1004" s="14"/>
      <c r="J1004" s="14"/>
      <c r="K1004" s="12"/>
    </row>
    <row r="1005" ht="19.5" customHeight="1">
      <c r="A1005" s="12"/>
      <c r="C1005" s="12"/>
      <c r="D1005" s="87"/>
      <c r="F1005" s="14"/>
      <c r="G1005" s="14"/>
      <c r="H1005" s="14"/>
      <c r="I1005" s="14"/>
      <c r="J1005" s="14"/>
      <c r="K1005" s="12"/>
    </row>
    <row r="1006" ht="19.5" customHeight="1">
      <c r="A1006" s="12"/>
      <c r="C1006" s="12"/>
      <c r="D1006" s="87"/>
      <c r="F1006" s="14"/>
      <c r="G1006" s="14"/>
      <c r="H1006" s="14"/>
      <c r="I1006" s="14"/>
      <c r="J1006" s="14"/>
      <c r="K1006" s="12"/>
    </row>
  </sheetData>
  <mergeCells count="22">
    <mergeCell ref="E9:G9"/>
    <mergeCell ref="J9:J10"/>
    <mergeCell ref="L47:N47"/>
    <mergeCell ref="A6:K6"/>
    <mergeCell ref="A7:K7"/>
    <mergeCell ref="A8:K8"/>
    <mergeCell ref="A9:A10"/>
    <mergeCell ref="B9:B10"/>
    <mergeCell ref="C9:C10"/>
    <mergeCell ref="D9:D10"/>
    <mergeCell ref="D274:D275"/>
    <mergeCell ref="E274:G274"/>
    <mergeCell ref="J274:J275"/>
    <mergeCell ref="K274:K275"/>
    <mergeCell ref="K326:K328"/>
    <mergeCell ref="K9:K10"/>
    <mergeCell ref="A271:K271"/>
    <mergeCell ref="A272:K272"/>
    <mergeCell ref="A273:K273"/>
    <mergeCell ref="A274:A275"/>
    <mergeCell ref="B274:B275"/>
    <mergeCell ref="C274:C275"/>
  </mergeCells>
  <printOptions/>
  <pageMargins bottom="0.787401575" footer="0.0" header="0.0" left="0.511811024" right="0.511811024" top="0.787401575"/>
  <pageSetup paperSize="9" scale="65"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/>
  </sheetPr>
  <sheetViews>
    <sheetView workbookViewId="0"/>
  </sheetViews>
  <sheetFormatPr customHeight="1" defaultColWidth="12.63" defaultRowHeight="15.0"/>
  <cols>
    <col customWidth="1" min="1" max="1" width="14.88"/>
    <col customWidth="1" min="2" max="2" width="71.63"/>
    <col customWidth="1" min="3" max="3" width="9.13"/>
    <col customWidth="1" min="4" max="4" width="8.88"/>
    <col customWidth="1" min="5" max="5" width="12.88"/>
    <col customWidth="1" min="6" max="6" width="17.75"/>
    <col customWidth="1" min="7" max="7" width="20.25"/>
    <col customWidth="1" min="8" max="8" width="14.0"/>
    <col customWidth="1" min="9" max="9" width="11.88"/>
    <col customWidth="1" min="10" max="10" width="11.5"/>
    <col customWidth="1" min="11" max="11" width="20.63"/>
    <col customWidth="1" min="12" max="26" width="8.63"/>
  </cols>
  <sheetData>
    <row r="1" ht="19.5" customHeight="1">
      <c r="A1" s="4"/>
      <c r="B1" s="5"/>
      <c r="C1" s="6"/>
      <c r="D1" s="86"/>
      <c r="E1" s="5"/>
      <c r="F1" s="8"/>
      <c r="G1" s="8"/>
      <c r="H1" s="8"/>
      <c r="I1" s="8"/>
      <c r="J1" s="8"/>
      <c r="K1" s="9"/>
    </row>
    <row r="2" ht="19.5" customHeight="1">
      <c r="A2" s="10" t="s">
        <v>83</v>
      </c>
      <c r="B2" s="11" t="s">
        <v>84</v>
      </c>
      <c r="C2" s="12"/>
      <c r="D2" s="87"/>
      <c r="F2" s="14"/>
      <c r="G2" s="14"/>
      <c r="H2" s="14"/>
      <c r="I2" s="14"/>
      <c r="J2" s="17" t="s">
        <v>144</v>
      </c>
      <c r="K2" s="18"/>
    </row>
    <row r="3" ht="19.5" customHeight="1">
      <c r="A3" s="10" t="s">
        <v>86</v>
      </c>
      <c r="B3" s="11" t="s">
        <v>87</v>
      </c>
      <c r="C3" s="12"/>
      <c r="D3" s="87"/>
      <c r="F3" s="14"/>
      <c r="G3" s="14"/>
      <c r="H3" s="14"/>
      <c r="I3" s="14"/>
      <c r="J3" s="14"/>
      <c r="K3" s="18"/>
    </row>
    <row r="4" ht="19.5" customHeight="1">
      <c r="A4" s="19"/>
      <c r="C4" s="12"/>
      <c r="D4" s="87"/>
      <c r="F4" s="14"/>
      <c r="G4" s="14"/>
      <c r="H4" s="14"/>
      <c r="I4" s="14"/>
      <c r="J4" s="14"/>
      <c r="K4" s="18"/>
    </row>
    <row r="5" ht="19.5" customHeight="1">
      <c r="A5" s="19"/>
      <c r="C5" s="12"/>
      <c r="D5" s="87"/>
      <c r="F5" s="14"/>
      <c r="G5" s="14"/>
      <c r="H5" s="14"/>
      <c r="I5" s="14"/>
      <c r="J5" s="14"/>
      <c r="K5" s="18"/>
    </row>
    <row r="6" ht="200.25" customHeight="1">
      <c r="A6" s="20" t="s">
        <v>380</v>
      </c>
      <c r="K6" s="21"/>
    </row>
    <row r="7" ht="64.5" customHeight="1">
      <c r="A7" s="22" t="s">
        <v>381</v>
      </c>
      <c r="K7" s="21"/>
    </row>
    <row r="8" ht="37.5" customHeight="1">
      <c r="A8" s="88" t="s">
        <v>90</v>
      </c>
      <c r="B8" s="24"/>
      <c r="C8" s="24"/>
      <c r="D8" s="24"/>
      <c r="E8" s="24"/>
      <c r="F8" s="24"/>
      <c r="G8" s="24"/>
      <c r="H8" s="24"/>
      <c r="I8" s="24"/>
      <c r="J8" s="24"/>
      <c r="K8" s="25"/>
    </row>
    <row r="9" ht="19.5" customHeight="1">
      <c r="A9" s="26" t="s">
        <v>1</v>
      </c>
      <c r="B9" s="26" t="s">
        <v>91</v>
      </c>
      <c r="C9" s="26" t="s">
        <v>92</v>
      </c>
      <c r="D9" s="31" t="s">
        <v>93</v>
      </c>
      <c r="E9" s="27" t="s">
        <v>94</v>
      </c>
      <c r="F9" s="28"/>
      <c r="G9" s="29"/>
      <c r="H9" s="30"/>
      <c r="I9" s="30"/>
      <c r="J9" s="31" t="s">
        <v>95</v>
      </c>
      <c r="K9" s="26" t="s">
        <v>96</v>
      </c>
    </row>
    <row r="10" ht="19.5" customHeight="1">
      <c r="A10" s="32"/>
      <c r="B10" s="32"/>
      <c r="C10" s="32"/>
      <c r="D10" s="32"/>
      <c r="E10" s="33" t="s">
        <v>97</v>
      </c>
      <c r="F10" s="34" t="s">
        <v>121</v>
      </c>
      <c r="G10" s="34" t="s">
        <v>99</v>
      </c>
      <c r="H10" s="35" t="s">
        <v>100</v>
      </c>
      <c r="I10" s="35" t="s">
        <v>101</v>
      </c>
      <c r="J10" s="32"/>
      <c r="K10" s="32"/>
    </row>
    <row r="11" ht="19.5" customHeight="1">
      <c r="A11" s="126">
        <v>1.0</v>
      </c>
      <c r="B11" s="37" t="s">
        <v>147</v>
      </c>
      <c r="C11" s="46" t="s">
        <v>148</v>
      </c>
      <c r="D11" s="78">
        <f>60+18</f>
        <v>78</v>
      </c>
      <c r="E11" s="37">
        <v>1.5</v>
      </c>
      <c r="F11" s="40">
        <v>1.2</v>
      </c>
      <c r="G11" s="40">
        <v>1.2</v>
      </c>
      <c r="H11" s="40">
        <f>G11*F11*E11*D11</f>
        <v>168.48</v>
      </c>
      <c r="I11" s="42"/>
      <c r="J11" s="134" t="s">
        <v>382</v>
      </c>
      <c r="K11" s="46"/>
      <c r="O11" s="2" t="s">
        <v>383</v>
      </c>
      <c r="P11" s="2" t="s">
        <v>384</v>
      </c>
      <c r="R11" s="2" t="s">
        <v>385</v>
      </c>
    </row>
    <row r="12" ht="19.5" customHeight="1">
      <c r="A12" s="106"/>
      <c r="B12" s="135" t="s">
        <v>386</v>
      </c>
      <c r="C12" s="106"/>
      <c r="D12" s="136">
        <v>0.35</v>
      </c>
      <c r="E12" s="137">
        <v>0.8</v>
      </c>
      <c r="F12" s="138">
        <v>1.25</v>
      </c>
      <c r="G12" s="138">
        <v>1.7</v>
      </c>
      <c r="H12" s="139">
        <v>0.2</v>
      </c>
      <c r="I12" s="139">
        <v>0.35</v>
      </c>
      <c r="J12" s="140">
        <f t="shared" ref="J12:J124" si="1">F12*(G12)</f>
        <v>2.125</v>
      </c>
      <c r="K12" s="106" t="str">
        <f>"+0,25 de cada lado"</f>
        <v>+0,25 de cada lado</v>
      </c>
      <c r="M12" s="138">
        <v>2.5</v>
      </c>
      <c r="N12" s="138">
        <v>3.4</v>
      </c>
      <c r="O12" s="45">
        <f t="shared" ref="O12:O77" si="2">((I12/3)*(F12*G12+D12*E12+(SQRT(D12*E12*F12*G12))))+(F12*G12*H12)</f>
        <v>0.795575617</v>
      </c>
      <c r="P12" s="45">
        <f t="shared" ref="P12:P124" si="3">(F12+0.5)*(G12+0.5)*(1.5)</f>
        <v>5.775</v>
      </c>
      <c r="R12" s="45">
        <f t="shared" ref="R12:R124" si="4">G12*F12*0.05</f>
        <v>0.10625</v>
      </c>
    </row>
    <row r="13" ht="19.5" customHeight="1">
      <c r="A13" s="106"/>
      <c r="B13" s="135" t="s">
        <v>387</v>
      </c>
      <c r="C13" s="106"/>
      <c r="D13" s="136">
        <v>0.35</v>
      </c>
      <c r="E13" s="137">
        <v>0.8</v>
      </c>
      <c r="F13" s="138">
        <v>1.35</v>
      </c>
      <c r="G13" s="138">
        <v>1.8</v>
      </c>
      <c r="H13" s="139">
        <v>0.2</v>
      </c>
      <c r="I13" s="139">
        <v>0.35</v>
      </c>
      <c r="J13" s="140">
        <f t="shared" si="1"/>
        <v>2.43</v>
      </c>
      <c r="K13" s="106"/>
      <c r="M13" s="138">
        <v>2.7</v>
      </c>
      <c r="N13" s="138">
        <v>3.6</v>
      </c>
      <c r="O13" s="45">
        <f t="shared" si="2"/>
        <v>0.8984007563</v>
      </c>
      <c r="P13" s="45">
        <f t="shared" si="3"/>
        <v>6.3825</v>
      </c>
      <c r="R13" s="45">
        <f t="shared" si="4"/>
        <v>0.1215</v>
      </c>
    </row>
    <row r="14" ht="19.5" customHeight="1">
      <c r="A14" s="106"/>
      <c r="B14" s="135" t="s">
        <v>388</v>
      </c>
      <c r="C14" s="106"/>
      <c r="D14" s="136">
        <v>0.35</v>
      </c>
      <c r="E14" s="137">
        <v>0.8</v>
      </c>
      <c r="F14" s="138">
        <v>1.4</v>
      </c>
      <c r="G14" s="138">
        <v>1.85</v>
      </c>
      <c r="H14" s="139">
        <v>0.2</v>
      </c>
      <c r="I14" s="139">
        <v>0.35</v>
      </c>
      <c r="J14" s="140">
        <f t="shared" si="1"/>
        <v>2.59</v>
      </c>
      <c r="K14" s="106"/>
      <c r="M14" s="138">
        <v>2.8</v>
      </c>
      <c r="N14" s="138">
        <v>3.7</v>
      </c>
      <c r="O14" s="45">
        <f t="shared" si="2"/>
        <v>0.9521851213</v>
      </c>
      <c r="P14" s="45">
        <f t="shared" si="3"/>
        <v>6.6975</v>
      </c>
      <c r="R14" s="45">
        <f t="shared" si="4"/>
        <v>0.1295</v>
      </c>
    </row>
    <row r="15" ht="19.5" customHeight="1">
      <c r="A15" s="106"/>
      <c r="B15" s="135" t="s">
        <v>389</v>
      </c>
      <c r="C15" s="106"/>
      <c r="D15" s="136">
        <v>0.35</v>
      </c>
      <c r="E15" s="137">
        <v>0.8</v>
      </c>
      <c r="F15" s="138">
        <v>1.55</v>
      </c>
      <c r="G15" s="138">
        <v>2.0</v>
      </c>
      <c r="H15" s="139">
        <v>0.2</v>
      </c>
      <c r="I15" s="139">
        <v>0.35</v>
      </c>
      <c r="J15" s="140">
        <f t="shared" si="1"/>
        <v>3.1</v>
      </c>
      <c r="K15" s="106"/>
      <c r="M15" s="138">
        <v>3.1</v>
      </c>
      <c r="N15" s="138">
        <v>4.0</v>
      </c>
      <c r="O15" s="45">
        <f t="shared" si="2"/>
        <v>1.123027604</v>
      </c>
      <c r="P15" s="45">
        <f t="shared" si="3"/>
        <v>7.6875</v>
      </c>
      <c r="R15" s="45">
        <f t="shared" si="4"/>
        <v>0.155</v>
      </c>
    </row>
    <row r="16" ht="19.5" customHeight="1">
      <c r="A16" s="106"/>
      <c r="B16" s="135" t="s">
        <v>390</v>
      </c>
      <c r="C16" s="106"/>
      <c r="D16" s="136">
        <v>0.35</v>
      </c>
      <c r="E16" s="137">
        <v>0.8</v>
      </c>
      <c r="F16" s="138">
        <v>1.25</v>
      </c>
      <c r="G16" s="138">
        <v>1.7</v>
      </c>
      <c r="H16" s="139">
        <v>0.2</v>
      </c>
      <c r="I16" s="139">
        <v>0.35</v>
      </c>
      <c r="J16" s="140">
        <f t="shared" si="1"/>
        <v>2.125</v>
      </c>
      <c r="K16" s="106"/>
      <c r="M16" s="138">
        <v>2.5</v>
      </c>
      <c r="N16" s="138">
        <v>3.4</v>
      </c>
      <c r="O16" s="45">
        <f t="shared" si="2"/>
        <v>0.795575617</v>
      </c>
      <c r="P16" s="45">
        <f t="shared" si="3"/>
        <v>5.775</v>
      </c>
      <c r="R16" s="45">
        <f t="shared" si="4"/>
        <v>0.10625</v>
      </c>
    </row>
    <row r="17" ht="19.5" customHeight="1">
      <c r="A17" s="106"/>
      <c r="B17" s="135" t="s">
        <v>391</v>
      </c>
      <c r="C17" s="106"/>
      <c r="D17" s="136">
        <v>0.35</v>
      </c>
      <c r="E17" s="137">
        <v>0.8</v>
      </c>
      <c r="F17" s="138">
        <v>1.25</v>
      </c>
      <c r="G17" s="138">
        <v>1.7</v>
      </c>
      <c r="H17" s="139">
        <v>0.2</v>
      </c>
      <c r="I17" s="139">
        <v>0.35</v>
      </c>
      <c r="J17" s="140">
        <f t="shared" si="1"/>
        <v>2.125</v>
      </c>
      <c r="K17" s="106"/>
      <c r="M17" s="138">
        <v>2.5</v>
      </c>
      <c r="N17" s="138">
        <v>3.4</v>
      </c>
      <c r="O17" s="45">
        <f t="shared" si="2"/>
        <v>0.795575617</v>
      </c>
      <c r="P17" s="45">
        <f t="shared" si="3"/>
        <v>5.775</v>
      </c>
      <c r="R17" s="45">
        <f t="shared" si="4"/>
        <v>0.10625</v>
      </c>
    </row>
    <row r="18" ht="19.5" customHeight="1">
      <c r="A18" s="106"/>
      <c r="B18" s="135" t="s">
        <v>392</v>
      </c>
      <c r="C18" s="106"/>
      <c r="D18" s="136">
        <v>0.35</v>
      </c>
      <c r="E18" s="137">
        <v>0.8</v>
      </c>
      <c r="F18" s="138">
        <v>1.4</v>
      </c>
      <c r="G18" s="138">
        <v>1.85</v>
      </c>
      <c r="H18" s="139">
        <v>0.2</v>
      </c>
      <c r="I18" s="139">
        <v>0.35</v>
      </c>
      <c r="J18" s="140">
        <f t="shared" si="1"/>
        <v>2.59</v>
      </c>
      <c r="K18" s="106"/>
      <c r="M18" s="138">
        <v>2.8</v>
      </c>
      <c r="N18" s="138">
        <v>3.7</v>
      </c>
      <c r="O18" s="45">
        <f t="shared" si="2"/>
        <v>0.9521851213</v>
      </c>
      <c r="P18" s="45">
        <f t="shared" si="3"/>
        <v>6.6975</v>
      </c>
      <c r="R18" s="45">
        <f t="shared" si="4"/>
        <v>0.1295</v>
      </c>
    </row>
    <row r="19" ht="19.5" customHeight="1">
      <c r="A19" s="106"/>
      <c r="B19" s="135" t="s">
        <v>393</v>
      </c>
      <c r="C19" s="106"/>
      <c r="D19" s="136">
        <v>0.35</v>
      </c>
      <c r="E19" s="137">
        <v>0.8</v>
      </c>
      <c r="F19" s="138">
        <v>1.55</v>
      </c>
      <c r="G19" s="138">
        <v>2.0</v>
      </c>
      <c r="H19" s="139">
        <v>0.2</v>
      </c>
      <c r="I19" s="139">
        <v>0.35</v>
      </c>
      <c r="J19" s="140">
        <f t="shared" si="1"/>
        <v>3.1</v>
      </c>
      <c r="K19" s="106"/>
      <c r="M19" s="138">
        <v>3.1</v>
      </c>
      <c r="N19" s="138">
        <v>4.0</v>
      </c>
      <c r="O19" s="45">
        <f t="shared" si="2"/>
        <v>1.123027604</v>
      </c>
      <c r="P19" s="45">
        <f t="shared" si="3"/>
        <v>7.6875</v>
      </c>
      <c r="R19" s="45">
        <f t="shared" si="4"/>
        <v>0.155</v>
      </c>
    </row>
    <row r="20" ht="19.5" customHeight="1">
      <c r="A20" s="106"/>
      <c r="B20" s="135" t="s">
        <v>394</v>
      </c>
      <c r="C20" s="106"/>
      <c r="D20" s="136">
        <v>0.35</v>
      </c>
      <c r="E20" s="137">
        <v>0.8</v>
      </c>
      <c r="F20" s="138">
        <v>1.35</v>
      </c>
      <c r="G20" s="138">
        <v>1.8</v>
      </c>
      <c r="H20" s="139">
        <v>0.2</v>
      </c>
      <c r="I20" s="139">
        <v>0.35</v>
      </c>
      <c r="J20" s="140">
        <f t="shared" si="1"/>
        <v>2.43</v>
      </c>
      <c r="K20" s="106"/>
      <c r="M20" s="138">
        <v>2.7</v>
      </c>
      <c r="N20" s="138">
        <v>3.6</v>
      </c>
      <c r="O20" s="45">
        <f t="shared" si="2"/>
        <v>0.8984007563</v>
      </c>
      <c r="P20" s="45">
        <f t="shared" si="3"/>
        <v>6.3825</v>
      </c>
      <c r="R20" s="45">
        <f t="shared" si="4"/>
        <v>0.1215</v>
      </c>
    </row>
    <row r="21" ht="19.5" customHeight="1">
      <c r="A21" s="106"/>
      <c r="B21" s="135" t="s">
        <v>395</v>
      </c>
      <c r="C21" s="106"/>
      <c r="D21" s="136">
        <v>0.2</v>
      </c>
      <c r="E21" s="137">
        <v>0.4</v>
      </c>
      <c r="F21" s="138">
        <v>1.35</v>
      </c>
      <c r="G21" s="138">
        <v>1.1</v>
      </c>
      <c r="H21" s="139">
        <v>0.2</v>
      </c>
      <c r="I21" s="139">
        <v>0.35</v>
      </c>
      <c r="J21" s="140">
        <f t="shared" si="1"/>
        <v>1.485</v>
      </c>
      <c r="K21" s="106"/>
      <c r="M21" s="138">
        <v>2.7</v>
      </c>
      <c r="N21" s="138">
        <v>2.2</v>
      </c>
      <c r="O21" s="45">
        <f t="shared" si="2"/>
        <v>0.5197952719</v>
      </c>
      <c r="P21" s="45">
        <f t="shared" si="3"/>
        <v>4.44</v>
      </c>
      <c r="R21" s="45">
        <f t="shared" si="4"/>
        <v>0.07425</v>
      </c>
    </row>
    <row r="22" ht="19.5" customHeight="1">
      <c r="A22" s="106"/>
      <c r="B22" s="135" t="s">
        <v>396</v>
      </c>
      <c r="C22" s="106"/>
      <c r="D22" s="136">
        <v>0.2</v>
      </c>
      <c r="E22" s="137">
        <v>0.4</v>
      </c>
      <c r="F22" s="138">
        <v>1.35</v>
      </c>
      <c r="G22" s="138">
        <v>1.1</v>
      </c>
      <c r="H22" s="139">
        <v>0.2</v>
      </c>
      <c r="I22" s="139">
        <v>0.35</v>
      </c>
      <c r="J22" s="140">
        <f t="shared" si="1"/>
        <v>1.485</v>
      </c>
      <c r="K22" s="106"/>
      <c r="M22" s="138">
        <v>2.7</v>
      </c>
      <c r="N22" s="138">
        <v>2.2</v>
      </c>
      <c r="O22" s="45">
        <f t="shared" si="2"/>
        <v>0.5197952719</v>
      </c>
      <c r="P22" s="45">
        <f t="shared" si="3"/>
        <v>4.44</v>
      </c>
      <c r="R22" s="45">
        <f t="shared" si="4"/>
        <v>0.07425</v>
      </c>
    </row>
    <row r="23" ht="19.5" customHeight="1">
      <c r="A23" s="106"/>
      <c r="B23" s="135" t="s">
        <v>397</v>
      </c>
      <c r="C23" s="106"/>
      <c r="D23" s="136">
        <v>0.2</v>
      </c>
      <c r="E23" s="137">
        <v>0.4</v>
      </c>
      <c r="F23" s="138">
        <v>1.35</v>
      </c>
      <c r="G23" s="138">
        <v>1.1</v>
      </c>
      <c r="H23" s="139">
        <v>0.2</v>
      </c>
      <c r="I23" s="139">
        <v>0.35</v>
      </c>
      <c r="J23" s="140">
        <f t="shared" si="1"/>
        <v>1.485</v>
      </c>
      <c r="K23" s="106"/>
      <c r="M23" s="138">
        <v>2.7</v>
      </c>
      <c r="N23" s="138">
        <v>2.2</v>
      </c>
      <c r="O23" s="45">
        <f t="shared" si="2"/>
        <v>0.5197952719</v>
      </c>
      <c r="P23" s="45">
        <f t="shared" si="3"/>
        <v>4.44</v>
      </c>
      <c r="R23" s="45">
        <f t="shared" si="4"/>
        <v>0.07425</v>
      </c>
    </row>
    <row r="24" ht="19.5" customHeight="1">
      <c r="A24" s="106"/>
      <c r="B24" s="135" t="s">
        <v>398</v>
      </c>
      <c r="C24" s="106"/>
      <c r="D24" s="136">
        <v>0.2</v>
      </c>
      <c r="E24" s="137">
        <v>0.4</v>
      </c>
      <c r="F24" s="138">
        <v>1.1</v>
      </c>
      <c r="G24" s="138">
        <v>0.9</v>
      </c>
      <c r="H24" s="139">
        <v>0.2</v>
      </c>
      <c r="I24" s="139">
        <v>0.35</v>
      </c>
      <c r="J24" s="140">
        <f t="shared" si="1"/>
        <v>0.99</v>
      </c>
      <c r="K24" s="106"/>
      <c r="M24" s="138">
        <v>2.2</v>
      </c>
      <c r="N24" s="138">
        <v>1.8</v>
      </c>
      <c r="O24" s="45">
        <f t="shared" si="2"/>
        <v>0.3556662437</v>
      </c>
      <c r="P24" s="45">
        <f t="shared" si="3"/>
        <v>3.36</v>
      </c>
      <c r="R24" s="45">
        <f t="shared" si="4"/>
        <v>0.0495</v>
      </c>
    </row>
    <row r="25" ht="19.5" customHeight="1">
      <c r="A25" s="106"/>
      <c r="B25" s="135" t="s">
        <v>399</v>
      </c>
      <c r="C25" s="106"/>
      <c r="D25" s="136">
        <v>0.2</v>
      </c>
      <c r="E25" s="137">
        <v>0.4</v>
      </c>
      <c r="F25" s="138">
        <v>1.25</v>
      </c>
      <c r="G25" s="138">
        <v>1.1</v>
      </c>
      <c r="H25" s="139">
        <v>0.2</v>
      </c>
      <c r="I25" s="139">
        <v>0.35</v>
      </c>
      <c r="J25" s="140">
        <f t="shared" si="1"/>
        <v>1.375</v>
      </c>
      <c r="K25" s="106"/>
      <c r="M25" s="138">
        <v>2.5</v>
      </c>
      <c r="N25" s="138">
        <v>2.2</v>
      </c>
      <c r="O25" s="45">
        <f t="shared" si="2"/>
        <v>0.4834439559</v>
      </c>
      <c r="P25" s="45">
        <f t="shared" si="3"/>
        <v>4.2</v>
      </c>
      <c r="R25" s="45">
        <f t="shared" si="4"/>
        <v>0.06875</v>
      </c>
    </row>
    <row r="26" ht="19.5" customHeight="1">
      <c r="A26" s="106"/>
      <c r="B26" s="135" t="s">
        <v>400</v>
      </c>
      <c r="C26" s="106"/>
      <c r="D26" s="136">
        <v>0.2</v>
      </c>
      <c r="E26" s="137">
        <v>0.4</v>
      </c>
      <c r="F26" s="138">
        <v>1.35</v>
      </c>
      <c r="G26" s="138">
        <v>1.1</v>
      </c>
      <c r="H26" s="139">
        <v>0.2</v>
      </c>
      <c r="I26" s="139">
        <v>0.35</v>
      </c>
      <c r="J26" s="140">
        <f t="shared" si="1"/>
        <v>1.485</v>
      </c>
      <c r="K26" s="106"/>
      <c r="M26" s="138">
        <v>2.7</v>
      </c>
      <c r="N26" s="138">
        <v>2.2</v>
      </c>
      <c r="O26" s="45">
        <f t="shared" si="2"/>
        <v>0.5197952719</v>
      </c>
      <c r="P26" s="45">
        <f t="shared" si="3"/>
        <v>4.44</v>
      </c>
      <c r="R26" s="45">
        <f t="shared" si="4"/>
        <v>0.07425</v>
      </c>
    </row>
    <row r="27" ht="19.5" customHeight="1">
      <c r="A27" s="106"/>
      <c r="B27" s="135" t="s">
        <v>401</v>
      </c>
      <c r="C27" s="106"/>
      <c r="D27" s="136">
        <v>0.18</v>
      </c>
      <c r="E27" s="137">
        <v>0.3</v>
      </c>
      <c r="F27" s="138">
        <v>0.6</v>
      </c>
      <c r="G27" s="138">
        <v>0.75</v>
      </c>
      <c r="H27" s="139">
        <v>0.2</v>
      </c>
      <c r="I27" s="139">
        <v>0.35</v>
      </c>
      <c r="J27" s="140">
        <f t="shared" si="1"/>
        <v>0.45</v>
      </c>
      <c r="K27" s="106"/>
      <c r="M27" s="138">
        <v>1.2</v>
      </c>
      <c r="N27" s="138">
        <v>1.5</v>
      </c>
      <c r="O27" s="45">
        <f t="shared" si="2"/>
        <v>0.1669865335</v>
      </c>
      <c r="P27" s="45">
        <f t="shared" si="3"/>
        <v>2.0625</v>
      </c>
      <c r="R27" s="45">
        <f t="shared" si="4"/>
        <v>0.0225</v>
      </c>
    </row>
    <row r="28" ht="19.5" customHeight="1">
      <c r="A28" s="106"/>
      <c r="B28" s="135" t="s">
        <v>402</v>
      </c>
      <c r="C28" s="106"/>
      <c r="D28" s="136">
        <v>0.2</v>
      </c>
      <c r="E28" s="137">
        <v>0.2</v>
      </c>
      <c r="F28" s="138">
        <v>1.25</v>
      </c>
      <c r="G28" s="138">
        <v>1.25</v>
      </c>
      <c r="H28" s="139">
        <v>0.2</v>
      </c>
      <c r="I28" s="139">
        <v>0.35</v>
      </c>
      <c r="J28" s="140">
        <f t="shared" si="1"/>
        <v>1.5625</v>
      </c>
      <c r="K28" s="106"/>
      <c r="M28" s="138">
        <v>2.5</v>
      </c>
      <c r="N28" s="138">
        <v>2.5</v>
      </c>
      <c r="O28" s="45">
        <f t="shared" si="2"/>
        <v>0.528625</v>
      </c>
      <c r="P28" s="45">
        <f t="shared" si="3"/>
        <v>4.59375</v>
      </c>
      <c r="R28" s="45">
        <f t="shared" si="4"/>
        <v>0.078125</v>
      </c>
    </row>
    <row r="29" ht="19.5" customHeight="1">
      <c r="A29" s="106"/>
      <c r="B29" s="135" t="s">
        <v>403</v>
      </c>
      <c r="C29" s="106"/>
      <c r="D29" s="136">
        <v>0.2</v>
      </c>
      <c r="E29" s="137">
        <v>0.2</v>
      </c>
      <c r="F29" s="138">
        <v>1.25</v>
      </c>
      <c r="G29" s="138">
        <v>1.25</v>
      </c>
      <c r="H29" s="139">
        <v>0.2</v>
      </c>
      <c r="I29" s="139">
        <v>0.35</v>
      </c>
      <c r="J29" s="140">
        <f t="shared" si="1"/>
        <v>1.5625</v>
      </c>
      <c r="K29" s="106"/>
      <c r="M29" s="138">
        <v>2.5</v>
      </c>
      <c r="N29" s="138">
        <v>2.5</v>
      </c>
      <c r="O29" s="45">
        <f t="shared" si="2"/>
        <v>0.528625</v>
      </c>
      <c r="P29" s="45">
        <f t="shared" si="3"/>
        <v>4.59375</v>
      </c>
      <c r="R29" s="45">
        <f t="shared" si="4"/>
        <v>0.078125</v>
      </c>
    </row>
    <row r="30" ht="19.5" customHeight="1">
      <c r="A30" s="106"/>
      <c r="B30" s="135" t="s">
        <v>404</v>
      </c>
      <c r="C30" s="106"/>
      <c r="D30" s="136">
        <v>0.18</v>
      </c>
      <c r="E30" s="137">
        <v>0.3</v>
      </c>
      <c r="F30" s="138">
        <v>0.65</v>
      </c>
      <c r="G30" s="138">
        <v>0.75</v>
      </c>
      <c r="H30" s="139">
        <v>0.2</v>
      </c>
      <c r="I30" s="139">
        <v>0.35</v>
      </c>
      <c r="J30" s="140">
        <f t="shared" si="1"/>
        <v>0.4875</v>
      </c>
      <c r="K30" s="106"/>
      <c r="M30" s="138">
        <v>1.3</v>
      </c>
      <c r="N30" s="138">
        <v>1.5</v>
      </c>
      <c r="O30" s="45">
        <f t="shared" si="2"/>
        <v>0.1796041442</v>
      </c>
      <c r="P30" s="45">
        <f t="shared" si="3"/>
        <v>2.15625</v>
      </c>
      <c r="R30" s="45">
        <f t="shared" si="4"/>
        <v>0.024375</v>
      </c>
    </row>
    <row r="31" ht="19.5" customHeight="1">
      <c r="A31" s="106"/>
      <c r="B31" s="135" t="s">
        <v>405</v>
      </c>
      <c r="C31" s="106"/>
      <c r="D31" s="136">
        <v>0.25</v>
      </c>
      <c r="E31" s="137">
        <v>0.5</v>
      </c>
      <c r="F31" s="138">
        <v>1.25</v>
      </c>
      <c r="G31" s="138">
        <v>1.5</v>
      </c>
      <c r="H31" s="139">
        <v>0.2</v>
      </c>
      <c r="I31" s="139">
        <v>0.35</v>
      </c>
      <c r="J31" s="140">
        <f t="shared" si="1"/>
        <v>1.875</v>
      </c>
      <c r="K31" s="106"/>
      <c r="M31" s="138">
        <v>2.5</v>
      </c>
      <c r="N31" s="138">
        <v>3.0</v>
      </c>
      <c r="O31" s="45">
        <f t="shared" si="2"/>
        <v>0.6648143405</v>
      </c>
      <c r="P31" s="45">
        <f t="shared" si="3"/>
        <v>5.25</v>
      </c>
      <c r="R31" s="45">
        <f t="shared" si="4"/>
        <v>0.09375</v>
      </c>
    </row>
    <row r="32" ht="19.5" customHeight="1">
      <c r="A32" s="106"/>
      <c r="B32" s="135" t="s">
        <v>406</v>
      </c>
      <c r="C32" s="106"/>
      <c r="D32" s="136">
        <v>0.2</v>
      </c>
      <c r="E32" s="137">
        <v>0.4</v>
      </c>
      <c r="F32" s="138">
        <v>1.5</v>
      </c>
      <c r="G32" s="138">
        <v>1.25</v>
      </c>
      <c r="H32" s="139">
        <v>0.2</v>
      </c>
      <c r="I32" s="139">
        <v>0.35</v>
      </c>
      <c r="J32" s="140">
        <f t="shared" si="1"/>
        <v>1.875</v>
      </c>
      <c r="K32" s="106"/>
      <c r="M32" s="138">
        <v>3.0</v>
      </c>
      <c r="N32" s="138">
        <v>2.5</v>
      </c>
      <c r="O32" s="45">
        <f t="shared" si="2"/>
        <v>0.648268139</v>
      </c>
      <c r="P32" s="45">
        <f t="shared" si="3"/>
        <v>5.25</v>
      </c>
      <c r="R32" s="45">
        <f t="shared" si="4"/>
        <v>0.09375</v>
      </c>
    </row>
    <row r="33" ht="19.5" customHeight="1">
      <c r="A33" s="106"/>
      <c r="B33" s="135" t="s">
        <v>407</v>
      </c>
      <c r="C33" s="106"/>
      <c r="D33" s="136">
        <v>0.25</v>
      </c>
      <c r="E33" s="137">
        <v>0.5</v>
      </c>
      <c r="F33" s="138">
        <v>1.25</v>
      </c>
      <c r="G33" s="138">
        <v>1.5</v>
      </c>
      <c r="H33" s="139">
        <v>0.2</v>
      </c>
      <c r="I33" s="139">
        <v>0.35</v>
      </c>
      <c r="J33" s="140">
        <f t="shared" si="1"/>
        <v>1.875</v>
      </c>
      <c r="K33" s="106"/>
      <c r="M33" s="138">
        <v>2.5</v>
      </c>
      <c r="N33" s="138">
        <v>3.0</v>
      </c>
      <c r="O33" s="45">
        <f t="shared" si="2"/>
        <v>0.6648143405</v>
      </c>
      <c r="P33" s="45">
        <f t="shared" si="3"/>
        <v>5.25</v>
      </c>
      <c r="R33" s="45">
        <f t="shared" si="4"/>
        <v>0.09375</v>
      </c>
    </row>
    <row r="34" ht="19.5" customHeight="1">
      <c r="A34" s="106"/>
      <c r="B34" s="135" t="s">
        <v>408</v>
      </c>
      <c r="C34" s="106"/>
      <c r="D34" s="136">
        <v>0.25</v>
      </c>
      <c r="E34" s="137">
        <v>0.5</v>
      </c>
      <c r="F34" s="138">
        <v>1.25</v>
      </c>
      <c r="G34" s="138">
        <v>1.5</v>
      </c>
      <c r="H34" s="139">
        <v>0.2</v>
      </c>
      <c r="I34" s="139">
        <v>0.35</v>
      </c>
      <c r="J34" s="140">
        <f t="shared" si="1"/>
        <v>1.875</v>
      </c>
      <c r="K34" s="106"/>
      <c r="M34" s="138">
        <v>2.5</v>
      </c>
      <c r="N34" s="138">
        <v>3.0</v>
      </c>
      <c r="O34" s="45">
        <f t="shared" si="2"/>
        <v>0.6648143405</v>
      </c>
      <c r="P34" s="45">
        <f t="shared" si="3"/>
        <v>5.25</v>
      </c>
      <c r="R34" s="45">
        <f t="shared" si="4"/>
        <v>0.09375</v>
      </c>
    </row>
    <row r="35" ht="19.5" customHeight="1">
      <c r="A35" s="106"/>
      <c r="B35" s="135" t="s">
        <v>409</v>
      </c>
      <c r="C35" s="106"/>
      <c r="D35" s="136">
        <v>0.2</v>
      </c>
      <c r="E35" s="137">
        <v>0.4</v>
      </c>
      <c r="F35" s="138">
        <v>1.5</v>
      </c>
      <c r="G35" s="138">
        <v>1.25</v>
      </c>
      <c r="H35" s="139">
        <v>0.2</v>
      </c>
      <c r="I35" s="139">
        <v>0.35</v>
      </c>
      <c r="J35" s="140">
        <f t="shared" si="1"/>
        <v>1.875</v>
      </c>
      <c r="K35" s="106"/>
      <c r="M35" s="138">
        <v>3.0</v>
      </c>
      <c r="N35" s="138">
        <v>2.5</v>
      </c>
      <c r="O35" s="45">
        <f t="shared" si="2"/>
        <v>0.648268139</v>
      </c>
      <c r="P35" s="45">
        <f t="shared" si="3"/>
        <v>5.25</v>
      </c>
      <c r="R35" s="45">
        <f t="shared" si="4"/>
        <v>0.09375</v>
      </c>
    </row>
    <row r="36" ht="19.5" customHeight="1">
      <c r="A36" s="106"/>
      <c r="B36" s="135" t="s">
        <v>410</v>
      </c>
      <c r="C36" s="106"/>
      <c r="D36" s="136">
        <v>0.25</v>
      </c>
      <c r="E36" s="137">
        <v>0.5</v>
      </c>
      <c r="F36" s="138">
        <v>1.45</v>
      </c>
      <c r="G36" s="138">
        <v>1.7</v>
      </c>
      <c r="H36" s="139">
        <v>0.2</v>
      </c>
      <c r="I36" s="139">
        <v>0.35</v>
      </c>
      <c r="J36" s="140">
        <f t="shared" si="1"/>
        <v>2.465</v>
      </c>
      <c r="K36" s="106"/>
      <c r="M36" s="138">
        <v>2.9</v>
      </c>
      <c r="N36" s="138">
        <v>3.4</v>
      </c>
      <c r="O36" s="45">
        <f t="shared" si="2"/>
        <v>0.8599271763</v>
      </c>
      <c r="P36" s="45">
        <f t="shared" si="3"/>
        <v>6.435</v>
      </c>
      <c r="R36" s="45">
        <f t="shared" si="4"/>
        <v>0.12325</v>
      </c>
    </row>
    <row r="37" ht="19.5" customHeight="1">
      <c r="A37" s="106"/>
      <c r="B37" s="135" t="s">
        <v>411</v>
      </c>
      <c r="C37" s="106"/>
      <c r="D37" s="136">
        <v>0.2</v>
      </c>
      <c r="E37" s="137">
        <v>0.4</v>
      </c>
      <c r="F37" s="138">
        <v>1.4</v>
      </c>
      <c r="G37" s="138">
        <v>1.2</v>
      </c>
      <c r="H37" s="139">
        <v>0.2</v>
      </c>
      <c r="I37" s="139">
        <v>0.35</v>
      </c>
      <c r="J37" s="140">
        <f t="shared" si="1"/>
        <v>1.68</v>
      </c>
      <c r="K37" s="106"/>
      <c r="M37" s="138">
        <v>2.8</v>
      </c>
      <c r="N37" s="138">
        <v>2.4</v>
      </c>
      <c r="O37" s="45">
        <f t="shared" si="2"/>
        <v>0.5841040398</v>
      </c>
      <c r="P37" s="45">
        <f t="shared" si="3"/>
        <v>4.845</v>
      </c>
      <c r="R37" s="45">
        <f t="shared" si="4"/>
        <v>0.084</v>
      </c>
    </row>
    <row r="38" ht="19.5" customHeight="1">
      <c r="A38" s="106"/>
      <c r="B38" s="135" t="s">
        <v>412</v>
      </c>
      <c r="C38" s="106"/>
      <c r="D38" s="136">
        <v>0.25</v>
      </c>
      <c r="E38" s="137">
        <v>0.5</v>
      </c>
      <c r="F38" s="138">
        <v>1.15</v>
      </c>
      <c r="G38" s="138">
        <v>1.4</v>
      </c>
      <c r="H38" s="139">
        <v>0.2</v>
      </c>
      <c r="I38" s="139">
        <v>0.35</v>
      </c>
      <c r="J38" s="140">
        <f t="shared" si="1"/>
        <v>1.61</v>
      </c>
      <c r="K38" s="106"/>
      <c r="M38" s="138">
        <v>2.3</v>
      </c>
      <c r="N38" s="138">
        <v>2.8</v>
      </c>
      <c r="O38" s="45">
        <f t="shared" si="2"/>
        <v>0.5767543788</v>
      </c>
      <c r="P38" s="45">
        <f t="shared" si="3"/>
        <v>4.7025</v>
      </c>
      <c r="R38" s="45">
        <f t="shared" si="4"/>
        <v>0.0805</v>
      </c>
    </row>
    <row r="39" ht="19.5" customHeight="1">
      <c r="A39" s="106"/>
      <c r="B39" s="135" t="s">
        <v>413</v>
      </c>
      <c r="C39" s="106"/>
      <c r="D39" s="136">
        <v>0.2</v>
      </c>
      <c r="E39" s="137">
        <v>0.4</v>
      </c>
      <c r="F39" s="138">
        <v>1.2</v>
      </c>
      <c r="G39" s="138">
        <v>1.0</v>
      </c>
      <c r="H39" s="139">
        <v>0.2</v>
      </c>
      <c r="I39" s="139">
        <v>0.35</v>
      </c>
      <c r="J39" s="140">
        <f t="shared" si="1"/>
        <v>1.2</v>
      </c>
      <c r="K39" s="106"/>
      <c r="M39" s="138">
        <v>2.4</v>
      </c>
      <c r="N39" s="138">
        <v>2.0</v>
      </c>
      <c r="O39" s="45">
        <f t="shared" si="2"/>
        <v>0.4254811779</v>
      </c>
      <c r="P39" s="45">
        <f t="shared" si="3"/>
        <v>3.825</v>
      </c>
      <c r="R39" s="45">
        <f t="shared" si="4"/>
        <v>0.06</v>
      </c>
    </row>
    <row r="40" ht="19.5" customHeight="1">
      <c r="A40" s="106"/>
      <c r="B40" s="135" t="s">
        <v>414</v>
      </c>
      <c r="C40" s="106"/>
      <c r="D40" s="136">
        <v>0.25</v>
      </c>
      <c r="E40" s="137">
        <v>0.5</v>
      </c>
      <c r="F40" s="138">
        <v>1.1</v>
      </c>
      <c r="G40" s="138">
        <v>1.35</v>
      </c>
      <c r="H40" s="139">
        <v>0.2</v>
      </c>
      <c r="I40" s="139">
        <v>0.35</v>
      </c>
      <c r="J40" s="140">
        <f t="shared" si="1"/>
        <v>1.485</v>
      </c>
      <c r="K40" s="106"/>
      <c r="M40" s="138">
        <v>2.2</v>
      </c>
      <c r="N40" s="138">
        <v>2.7</v>
      </c>
      <c r="O40" s="45">
        <f t="shared" si="2"/>
        <v>0.5350982565</v>
      </c>
      <c r="P40" s="45">
        <f t="shared" si="3"/>
        <v>4.44</v>
      </c>
      <c r="R40" s="45">
        <f t="shared" si="4"/>
        <v>0.07425</v>
      </c>
    </row>
    <row r="41" ht="19.5" customHeight="1">
      <c r="A41" s="106"/>
      <c r="B41" s="135" t="s">
        <v>415</v>
      </c>
      <c r="C41" s="106"/>
      <c r="D41" s="136">
        <v>0.25</v>
      </c>
      <c r="E41" s="137">
        <v>0.5</v>
      </c>
      <c r="F41" s="138">
        <v>1.25</v>
      </c>
      <c r="G41" s="138">
        <v>1.5</v>
      </c>
      <c r="H41" s="139">
        <v>0.2</v>
      </c>
      <c r="I41" s="139">
        <v>0.35</v>
      </c>
      <c r="J41" s="140">
        <f t="shared" si="1"/>
        <v>1.875</v>
      </c>
      <c r="K41" s="106"/>
      <c r="M41" s="138">
        <v>2.5</v>
      </c>
      <c r="N41" s="138">
        <v>3.0</v>
      </c>
      <c r="O41" s="45">
        <f t="shared" si="2"/>
        <v>0.6648143405</v>
      </c>
      <c r="P41" s="45">
        <f t="shared" si="3"/>
        <v>5.25</v>
      </c>
      <c r="R41" s="45">
        <f t="shared" si="4"/>
        <v>0.09375</v>
      </c>
    </row>
    <row r="42" ht="19.5" customHeight="1">
      <c r="A42" s="106"/>
      <c r="B42" s="135" t="s">
        <v>416</v>
      </c>
      <c r="C42" s="106"/>
      <c r="D42" s="136">
        <v>0.2</v>
      </c>
      <c r="E42" s="137">
        <v>0.4</v>
      </c>
      <c r="F42" s="138">
        <v>1.5</v>
      </c>
      <c r="G42" s="138">
        <v>1.25</v>
      </c>
      <c r="H42" s="139">
        <v>0.2</v>
      </c>
      <c r="I42" s="139">
        <v>0.35</v>
      </c>
      <c r="J42" s="140">
        <f t="shared" si="1"/>
        <v>1.875</v>
      </c>
      <c r="K42" s="106"/>
      <c r="M42" s="138">
        <v>3.0</v>
      </c>
      <c r="N42" s="138">
        <v>2.5</v>
      </c>
      <c r="O42" s="45">
        <f t="shared" si="2"/>
        <v>0.648268139</v>
      </c>
      <c r="P42" s="45">
        <f t="shared" si="3"/>
        <v>5.25</v>
      </c>
      <c r="R42" s="45">
        <f t="shared" si="4"/>
        <v>0.09375</v>
      </c>
    </row>
    <row r="43" ht="19.5" customHeight="1">
      <c r="A43" s="106"/>
      <c r="B43" s="135" t="s">
        <v>417</v>
      </c>
      <c r="C43" s="106"/>
      <c r="D43" s="136">
        <v>0.25</v>
      </c>
      <c r="E43" s="137">
        <v>0.5</v>
      </c>
      <c r="F43" s="138">
        <v>1.45</v>
      </c>
      <c r="G43" s="138">
        <v>1.7</v>
      </c>
      <c r="H43" s="139">
        <v>0.2</v>
      </c>
      <c r="I43" s="139">
        <v>0.35</v>
      </c>
      <c r="J43" s="140">
        <f t="shared" si="1"/>
        <v>2.465</v>
      </c>
      <c r="K43" s="106"/>
      <c r="M43" s="138">
        <v>2.9</v>
      </c>
      <c r="N43" s="138">
        <v>3.4</v>
      </c>
      <c r="O43" s="45">
        <f t="shared" si="2"/>
        <v>0.8599271763</v>
      </c>
      <c r="P43" s="45">
        <f t="shared" si="3"/>
        <v>6.435</v>
      </c>
      <c r="R43" s="45">
        <f t="shared" si="4"/>
        <v>0.12325</v>
      </c>
    </row>
    <row r="44" ht="19.5" customHeight="1">
      <c r="A44" s="106"/>
      <c r="B44" s="135" t="s">
        <v>418</v>
      </c>
      <c r="C44" s="106"/>
      <c r="D44" s="136">
        <v>0.2</v>
      </c>
      <c r="E44" s="137">
        <v>0.4</v>
      </c>
      <c r="F44" s="138">
        <v>1.5</v>
      </c>
      <c r="G44" s="138">
        <v>1.25</v>
      </c>
      <c r="H44" s="139">
        <v>0.2</v>
      </c>
      <c r="I44" s="139">
        <v>0.35</v>
      </c>
      <c r="J44" s="140">
        <f t="shared" si="1"/>
        <v>1.875</v>
      </c>
      <c r="K44" s="106"/>
      <c r="M44" s="138">
        <v>3.0</v>
      </c>
      <c r="N44" s="138">
        <v>2.5</v>
      </c>
      <c r="O44" s="45">
        <f t="shared" si="2"/>
        <v>0.648268139</v>
      </c>
      <c r="P44" s="45">
        <f t="shared" si="3"/>
        <v>5.25</v>
      </c>
      <c r="R44" s="45">
        <f t="shared" si="4"/>
        <v>0.09375</v>
      </c>
    </row>
    <row r="45" ht="19.5" customHeight="1">
      <c r="A45" s="106"/>
      <c r="B45" s="135" t="s">
        <v>419</v>
      </c>
      <c r="C45" s="106"/>
      <c r="D45" s="136">
        <v>0.2</v>
      </c>
      <c r="E45" s="137">
        <v>0.2</v>
      </c>
      <c r="F45" s="138">
        <v>1.25</v>
      </c>
      <c r="G45" s="138">
        <v>1.25</v>
      </c>
      <c r="H45" s="139">
        <v>0.2</v>
      </c>
      <c r="I45" s="139">
        <v>0.35</v>
      </c>
      <c r="J45" s="140">
        <f t="shared" si="1"/>
        <v>1.5625</v>
      </c>
      <c r="K45" s="106"/>
      <c r="M45" s="138">
        <v>2.5</v>
      </c>
      <c r="N45" s="138">
        <v>2.5</v>
      </c>
      <c r="O45" s="45">
        <f t="shared" si="2"/>
        <v>0.528625</v>
      </c>
      <c r="P45" s="45">
        <f t="shared" si="3"/>
        <v>4.59375</v>
      </c>
      <c r="R45" s="45">
        <f t="shared" si="4"/>
        <v>0.078125</v>
      </c>
    </row>
    <row r="46" ht="19.5" customHeight="1">
      <c r="A46" s="106"/>
      <c r="B46" s="135" t="s">
        <v>420</v>
      </c>
      <c r="C46" s="106"/>
      <c r="D46" s="136">
        <v>0.25</v>
      </c>
      <c r="E46" s="137">
        <v>0.5</v>
      </c>
      <c r="F46" s="138">
        <v>1.25</v>
      </c>
      <c r="G46" s="138">
        <v>1.5</v>
      </c>
      <c r="H46" s="139">
        <v>0.2</v>
      </c>
      <c r="I46" s="139">
        <v>0.35</v>
      </c>
      <c r="J46" s="140">
        <f t="shared" si="1"/>
        <v>1.875</v>
      </c>
      <c r="K46" s="106"/>
      <c r="M46" s="138">
        <v>2.5</v>
      </c>
      <c r="N46" s="138">
        <v>3.0</v>
      </c>
      <c r="O46" s="45">
        <f t="shared" si="2"/>
        <v>0.6648143405</v>
      </c>
      <c r="P46" s="45">
        <f t="shared" si="3"/>
        <v>5.25</v>
      </c>
      <c r="R46" s="45">
        <f t="shared" si="4"/>
        <v>0.09375</v>
      </c>
    </row>
    <row r="47" ht="19.5" customHeight="1">
      <c r="A47" s="106"/>
      <c r="B47" s="135" t="s">
        <v>421</v>
      </c>
      <c r="C47" s="106"/>
      <c r="D47" s="136">
        <v>0.2</v>
      </c>
      <c r="E47" s="137">
        <v>0.4</v>
      </c>
      <c r="F47" s="138">
        <v>1.5</v>
      </c>
      <c r="G47" s="138">
        <v>1.25</v>
      </c>
      <c r="H47" s="139">
        <v>0.2</v>
      </c>
      <c r="I47" s="139">
        <v>0.35</v>
      </c>
      <c r="J47" s="140">
        <f t="shared" si="1"/>
        <v>1.875</v>
      </c>
      <c r="K47" s="106"/>
      <c r="M47" s="138">
        <v>3.0</v>
      </c>
      <c r="N47" s="138">
        <v>2.5</v>
      </c>
      <c r="O47" s="45">
        <f t="shared" si="2"/>
        <v>0.648268139</v>
      </c>
      <c r="P47" s="45">
        <f t="shared" si="3"/>
        <v>5.25</v>
      </c>
      <c r="R47" s="45">
        <f t="shared" si="4"/>
        <v>0.09375</v>
      </c>
    </row>
    <row r="48" ht="19.5" customHeight="1">
      <c r="A48" s="106"/>
      <c r="B48" s="135" t="s">
        <v>422</v>
      </c>
      <c r="C48" s="106"/>
      <c r="D48" s="136">
        <v>0.25</v>
      </c>
      <c r="E48" s="137">
        <v>0.5</v>
      </c>
      <c r="F48" s="138">
        <v>1.25</v>
      </c>
      <c r="G48" s="138">
        <v>1.5</v>
      </c>
      <c r="H48" s="139">
        <v>0.2</v>
      </c>
      <c r="I48" s="139">
        <v>0.35</v>
      </c>
      <c r="J48" s="140">
        <f t="shared" si="1"/>
        <v>1.875</v>
      </c>
      <c r="K48" s="106"/>
      <c r="M48" s="138">
        <v>2.5</v>
      </c>
      <c r="N48" s="138">
        <v>3.0</v>
      </c>
      <c r="O48" s="45">
        <f t="shared" si="2"/>
        <v>0.6648143405</v>
      </c>
      <c r="P48" s="45">
        <f t="shared" si="3"/>
        <v>5.25</v>
      </c>
      <c r="R48" s="45">
        <f t="shared" si="4"/>
        <v>0.09375</v>
      </c>
    </row>
    <row r="49" ht="19.5" customHeight="1">
      <c r="A49" s="106"/>
      <c r="B49" s="135" t="s">
        <v>423</v>
      </c>
      <c r="C49" s="106"/>
      <c r="D49" s="136">
        <v>0.25</v>
      </c>
      <c r="E49" s="137">
        <v>0.5</v>
      </c>
      <c r="F49" s="138">
        <v>1.25</v>
      </c>
      <c r="G49" s="138">
        <v>1.5</v>
      </c>
      <c r="H49" s="139">
        <v>0.2</v>
      </c>
      <c r="I49" s="139">
        <v>0.35</v>
      </c>
      <c r="J49" s="140">
        <f t="shared" si="1"/>
        <v>1.875</v>
      </c>
      <c r="K49" s="106"/>
      <c r="M49" s="138">
        <v>2.5</v>
      </c>
      <c r="N49" s="138">
        <v>3.0</v>
      </c>
      <c r="O49" s="45">
        <f t="shared" si="2"/>
        <v>0.6648143405</v>
      </c>
      <c r="P49" s="45">
        <f t="shared" si="3"/>
        <v>5.25</v>
      </c>
      <c r="R49" s="45">
        <f t="shared" si="4"/>
        <v>0.09375</v>
      </c>
    </row>
    <row r="50" ht="19.5" customHeight="1">
      <c r="A50" s="106"/>
      <c r="B50" s="135" t="s">
        <v>424</v>
      </c>
      <c r="C50" s="106"/>
      <c r="D50" s="136">
        <v>0.2</v>
      </c>
      <c r="E50" s="137">
        <v>0.4</v>
      </c>
      <c r="F50" s="138">
        <v>1.4</v>
      </c>
      <c r="G50" s="138">
        <v>1.2</v>
      </c>
      <c r="H50" s="139">
        <v>0.2</v>
      </c>
      <c r="I50" s="139">
        <v>0.35</v>
      </c>
      <c r="J50" s="140">
        <f t="shared" si="1"/>
        <v>1.68</v>
      </c>
      <c r="K50" s="106"/>
      <c r="M50" s="138">
        <v>2.8</v>
      </c>
      <c r="N50" s="138">
        <v>2.4</v>
      </c>
      <c r="O50" s="45">
        <f t="shared" si="2"/>
        <v>0.5841040398</v>
      </c>
      <c r="P50" s="45">
        <f t="shared" si="3"/>
        <v>4.845</v>
      </c>
      <c r="R50" s="45">
        <f t="shared" si="4"/>
        <v>0.084</v>
      </c>
    </row>
    <row r="51" ht="19.5" customHeight="1">
      <c r="A51" s="106"/>
      <c r="B51" s="135" t="s">
        <v>425</v>
      </c>
      <c r="C51" s="106"/>
      <c r="D51" s="136">
        <v>0.25</v>
      </c>
      <c r="E51" s="137">
        <v>0.5</v>
      </c>
      <c r="F51" s="138">
        <v>1.45</v>
      </c>
      <c r="G51" s="138">
        <v>1.7</v>
      </c>
      <c r="H51" s="139">
        <v>0.2</v>
      </c>
      <c r="I51" s="139">
        <v>0.35</v>
      </c>
      <c r="J51" s="140">
        <f t="shared" si="1"/>
        <v>2.465</v>
      </c>
      <c r="K51" s="106"/>
      <c r="M51" s="138">
        <v>2.9</v>
      </c>
      <c r="N51" s="138">
        <v>3.4</v>
      </c>
      <c r="O51" s="45">
        <f t="shared" si="2"/>
        <v>0.8599271763</v>
      </c>
      <c r="P51" s="45">
        <f t="shared" si="3"/>
        <v>6.435</v>
      </c>
      <c r="R51" s="45">
        <f t="shared" si="4"/>
        <v>0.12325</v>
      </c>
    </row>
    <row r="52" ht="19.5" customHeight="1">
      <c r="A52" s="106"/>
      <c r="B52" s="135" t="s">
        <v>426</v>
      </c>
      <c r="C52" s="106"/>
      <c r="D52" s="136">
        <v>0.2</v>
      </c>
      <c r="E52" s="137">
        <v>0.4</v>
      </c>
      <c r="F52" s="138">
        <v>1.4</v>
      </c>
      <c r="G52" s="138">
        <v>1.2</v>
      </c>
      <c r="H52" s="139">
        <v>0.2</v>
      </c>
      <c r="I52" s="139">
        <v>0.35</v>
      </c>
      <c r="J52" s="140">
        <f t="shared" si="1"/>
        <v>1.68</v>
      </c>
      <c r="K52" s="106"/>
      <c r="M52" s="138">
        <v>2.8</v>
      </c>
      <c r="N52" s="138">
        <v>2.4</v>
      </c>
      <c r="O52" s="45">
        <f t="shared" si="2"/>
        <v>0.5841040398</v>
      </c>
      <c r="P52" s="45">
        <f t="shared" si="3"/>
        <v>4.845</v>
      </c>
      <c r="R52" s="45">
        <f t="shared" si="4"/>
        <v>0.084</v>
      </c>
    </row>
    <row r="53" ht="19.5" customHeight="1">
      <c r="A53" s="106"/>
      <c r="B53" s="135" t="s">
        <v>427</v>
      </c>
      <c r="C53" s="106"/>
      <c r="D53" s="136">
        <v>0.25</v>
      </c>
      <c r="E53" s="137">
        <v>0.5</v>
      </c>
      <c r="F53" s="138">
        <v>1.45</v>
      </c>
      <c r="G53" s="138">
        <v>1.7</v>
      </c>
      <c r="H53" s="139">
        <v>0.2</v>
      </c>
      <c r="I53" s="139">
        <v>0.35</v>
      </c>
      <c r="J53" s="140">
        <f t="shared" si="1"/>
        <v>2.465</v>
      </c>
      <c r="K53" s="106"/>
      <c r="M53" s="138">
        <v>2.9</v>
      </c>
      <c r="N53" s="138">
        <v>3.4</v>
      </c>
      <c r="O53" s="45">
        <f t="shared" si="2"/>
        <v>0.8599271763</v>
      </c>
      <c r="P53" s="45">
        <f t="shared" si="3"/>
        <v>6.435</v>
      </c>
      <c r="R53" s="45">
        <f t="shared" si="4"/>
        <v>0.12325</v>
      </c>
    </row>
    <row r="54" ht="19.5" customHeight="1">
      <c r="A54" s="106"/>
      <c r="B54" s="135" t="s">
        <v>428</v>
      </c>
      <c r="C54" s="106"/>
      <c r="D54" s="136">
        <v>0.2</v>
      </c>
      <c r="E54" s="137">
        <v>0.4</v>
      </c>
      <c r="F54" s="138">
        <v>1.5</v>
      </c>
      <c r="G54" s="138">
        <v>1.25</v>
      </c>
      <c r="H54" s="139">
        <v>0.2</v>
      </c>
      <c r="I54" s="139">
        <v>0.35</v>
      </c>
      <c r="J54" s="140">
        <f t="shared" si="1"/>
        <v>1.875</v>
      </c>
      <c r="K54" s="106"/>
      <c r="M54" s="138">
        <v>3.0</v>
      </c>
      <c r="N54" s="138">
        <v>2.5</v>
      </c>
      <c r="O54" s="45">
        <f t="shared" si="2"/>
        <v>0.648268139</v>
      </c>
      <c r="P54" s="45">
        <f t="shared" si="3"/>
        <v>5.25</v>
      </c>
      <c r="R54" s="45">
        <f t="shared" si="4"/>
        <v>0.09375</v>
      </c>
    </row>
    <row r="55" ht="19.5" customHeight="1">
      <c r="A55" s="106"/>
      <c r="B55" s="135" t="s">
        <v>429</v>
      </c>
      <c r="C55" s="106"/>
      <c r="D55" s="136">
        <v>0.25</v>
      </c>
      <c r="E55" s="137">
        <v>0.5</v>
      </c>
      <c r="F55" s="138">
        <v>1.15</v>
      </c>
      <c r="G55" s="138">
        <v>1.4</v>
      </c>
      <c r="H55" s="139">
        <v>0.2</v>
      </c>
      <c r="I55" s="139">
        <v>0.35</v>
      </c>
      <c r="J55" s="140">
        <f t="shared" si="1"/>
        <v>1.61</v>
      </c>
      <c r="K55" s="106"/>
      <c r="M55" s="138">
        <v>2.3</v>
      </c>
      <c r="N55" s="138">
        <v>2.8</v>
      </c>
      <c r="O55" s="45">
        <f t="shared" si="2"/>
        <v>0.5767543788</v>
      </c>
      <c r="P55" s="45">
        <f t="shared" si="3"/>
        <v>4.7025</v>
      </c>
      <c r="R55" s="45">
        <f t="shared" si="4"/>
        <v>0.0805</v>
      </c>
    </row>
    <row r="56" ht="19.5" customHeight="1">
      <c r="A56" s="106"/>
      <c r="B56" s="135" t="s">
        <v>430</v>
      </c>
      <c r="C56" s="106"/>
      <c r="D56" s="136">
        <v>0.25</v>
      </c>
      <c r="E56" s="137">
        <v>0.5</v>
      </c>
      <c r="F56" s="138">
        <v>1.25</v>
      </c>
      <c r="G56" s="138">
        <v>1.5</v>
      </c>
      <c r="H56" s="139">
        <v>0.2</v>
      </c>
      <c r="I56" s="139">
        <v>0.35</v>
      </c>
      <c r="J56" s="140">
        <f t="shared" si="1"/>
        <v>1.875</v>
      </c>
      <c r="K56" s="106"/>
      <c r="M56" s="138">
        <v>2.5</v>
      </c>
      <c r="N56" s="138">
        <v>3.0</v>
      </c>
      <c r="O56" s="45">
        <f t="shared" si="2"/>
        <v>0.6648143405</v>
      </c>
      <c r="P56" s="45">
        <f t="shared" si="3"/>
        <v>5.25</v>
      </c>
      <c r="R56" s="45">
        <f t="shared" si="4"/>
        <v>0.09375</v>
      </c>
    </row>
    <row r="57" ht="19.5" customHeight="1">
      <c r="A57" s="106"/>
      <c r="B57" s="135" t="s">
        <v>431</v>
      </c>
      <c r="C57" s="106"/>
      <c r="D57" s="136">
        <v>0.2</v>
      </c>
      <c r="E57" s="137">
        <v>0.4</v>
      </c>
      <c r="F57" s="138">
        <v>1.4</v>
      </c>
      <c r="G57" s="138">
        <v>1.2</v>
      </c>
      <c r="H57" s="139">
        <v>0.2</v>
      </c>
      <c r="I57" s="139">
        <v>0.35</v>
      </c>
      <c r="J57" s="140">
        <f t="shared" si="1"/>
        <v>1.68</v>
      </c>
      <c r="K57" s="106"/>
      <c r="M57" s="138">
        <v>2.8</v>
      </c>
      <c r="N57" s="138">
        <v>2.4</v>
      </c>
      <c r="O57" s="45">
        <f t="shared" si="2"/>
        <v>0.5841040398</v>
      </c>
      <c r="P57" s="45">
        <f t="shared" si="3"/>
        <v>4.845</v>
      </c>
      <c r="R57" s="45">
        <f t="shared" si="4"/>
        <v>0.084</v>
      </c>
    </row>
    <row r="58" ht="19.5" customHeight="1">
      <c r="A58" s="106"/>
      <c r="B58" s="135" t="s">
        <v>432</v>
      </c>
      <c r="C58" s="106"/>
      <c r="D58" s="136">
        <v>0.25</v>
      </c>
      <c r="E58" s="137">
        <v>0.5</v>
      </c>
      <c r="F58" s="138">
        <v>1.4</v>
      </c>
      <c r="G58" s="138">
        <v>1.65</v>
      </c>
      <c r="H58" s="139">
        <v>0.2</v>
      </c>
      <c r="I58" s="139">
        <v>0.35</v>
      </c>
      <c r="J58" s="140">
        <f t="shared" si="1"/>
        <v>2.31</v>
      </c>
      <c r="K58" s="106"/>
      <c r="M58" s="138">
        <v>2.8</v>
      </c>
      <c r="N58" s="138">
        <v>3.3</v>
      </c>
      <c r="O58" s="45">
        <f t="shared" si="2"/>
        <v>0.808774707</v>
      </c>
      <c r="P58" s="45">
        <f t="shared" si="3"/>
        <v>6.1275</v>
      </c>
      <c r="R58" s="45">
        <f t="shared" si="4"/>
        <v>0.1155</v>
      </c>
    </row>
    <row r="59" ht="19.5" customHeight="1">
      <c r="A59" s="106"/>
      <c r="B59" s="135" t="s">
        <v>433</v>
      </c>
      <c r="C59" s="106"/>
      <c r="D59" s="136">
        <v>0.2</v>
      </c>
      <c r="E59" s="137">
        <v>0.4</v>
      </c>
      <c r="F59" s="138">
        <v>1.5</v>
      </c>
      <c r="G59" s="138">
        <v>1.25</v>
      </c>
      <c r="H59" s="139">
        <v>0.2</v>
      </c>
      <c r="I59" s="139">
        <v>0.35</v>
      </c>
      <c r="J59" s="140">
        <f t="shared" si="1"/>
        <v>1.875</v>
      </c>
      <c r="K59" s="106"/>
      <c r="M59" s="138">
        <v>3.0</v>
      </c>
      <c r="N59" s="138">
        <v>2.5</v>
      </c>
      <c r="O59" s="45">
        <f t="shared" si="2"/>
        <v>0.648268139</v>
      </c>
      <c r="P59" s="45">
        <f t="shared" si="3"/>
        <v>5.25</v>
      </c>
      <c r="R59" s="45">
        <f t="shared" si="4"/>
        <v>0.09375</v>
      </c>
    </row>
    <row r="60" ht="19.5" customHeight="1">
      <c r="A60" s="106"/>
      <c r="B60" s="135" t="s">
        <v>434</v>
      </c>
      <c r="C60" s="106"/>
      <c r="D60" s="136">
        <v>0.2</v>
      </c>
      <c r="E60" s="137">
        <v>0.2</v>
      </c>
      <c r="F60" s="138">
        <v>1.25</v>
      </c>
      <c r="G60" s="138">
        <v>1.25</v>
      </c>
      <c r="H60" s="139">
        <v>0.2</v>
      </c>
      <c r="I60" s="139">
        <v>0.35</v>
      </c>
      <c r="J60" s="140">
        <f t="shared" si="1"/>
        <v>1.5625</v>
      </c>
      <c r="K60" s="106"/>
      <c r="M60" s="138">
        <v>2.5</v>
      </c>
      <c r="N60" s="138">
        <v>2.5</v>
      </c>
      <c r="O60" s="45">
        <f t="shared" si="2"/>
        <v>0.528625</v>
      </c>
      <c r="P60" s="45">
        <f t="shared" si="3"/>
        <v>4.59375</v>
      </c>
      <c r="R60" s="45">
        <f t="shared" si="4"/>
        <v>0.078125</v>
      </c>
    </row>
    <row r="61" ht="19.5" customHeight="1">
      <c r="A61" s="106"/>
      <c r="B61" s="135" t="s">
        <v>435</v>
      </c>
      <c r="C61" s="106"/>
      <c r="D61" s="136">
        <v>0.18</v>
      </c>
      <c r="E61" s="137">
        <v>0.3</v>
      </c>
      <c r="F61" s="138">
        <v>0.65</v>
      </c>
      <c r="G61" s="138">
        <v>0.75</v>
      </c>
      <c r="H61" s="139">
        <v>0.2</v>
      </c>
      <c r="I61" s="139">
        <v>0.35</v>
      </c>
      <c r="J61" s="140">
        <f t="shared" si="1"/>
        <v>0.4875</v>
      </c>
      <c r="K61" s="106"/>
      <c r="M61" s="138">
        <v>1.3</v>
      </c>
      <c r="N61" s="138">
        <v>1.5</v>
      </c>
      <c r="O61" s="45">
        <f t="shared" si="2"/>
        <v>0.1796041442</v>
      </c>
      <c r="P61" s="45">
        <f t="shared" si="3"/>
        <v>2.15625</v>
      </c>
      <c r="R61" s="45">
        <f t="shared" si="4"/>
        <v>0.024375</v>
      </c>
    </row>
    <row r="62" ht="19.5" customHeight="1">
      <c r="A62" s="106"/>
      <c r="B62" s="135" t="s">
        <v>436</v>
      </c>
      <c r="C62" s="106"/>
      <c r="D62" s="136">
        <v>0.18</v>
      </c>
      <c r="E62" s="137">
        <v>0.3</v>
      </c>
      <c r="F62" s="138">
        <v>0.65</v>
      </c>
      <c r="G62" s="138">
        <v>0.75</v>
      </c>
      <c r="H62" s="139">
        <v>0.2</v>
      </c>
      <c r="I62" s="139">
        <v>0.35</v>
      </c>
      <c r="J62" s="140">
        <f t="shared" si="1"/>
        <v>0.4875</v>
      </c>
      <c r="K62" s="106"/>
      <c r="M62" s="138">
        <v>1.3</v>
      </c>
      <c r="N62" s="138">
        <v>1.5</v>
      </c>
      <c r="O62" s="45">
        <f t="shared" si="2"/>
        <v>0.1796041442</v>
      </c>
      <c r="P62" s="45">
        <f t="shared" si="3"/>
        <v>2.15625</v>
      </c>
      <c r="R62" s="45">
        <f t="shared" si="4"/>
        <v>0.024375</v>
      </c>
    </row>
    <row r="63" ht="19.5" customHeight="1">
      <c r="A63" s="106"/>
      <c r="B63" s="135" t="s">
        <v>437</v>
      </c>
      <c r="C63" s="106"/>
      <c r="D63" s="136">
        <v>0.35</v>
      </c>
      <c r="E63" s="137">
        <v>0.8</v>
      </c>
      <c r="F63" s="138">
        <v>1.25</v>
      </c>
      <c r="G63" s="138">
        <v>1.7</v>
      </c>
      <c r="H63" s="139">
        <v>0.2</v>
      </c>
      <c r="I63" s="139">
        <v>0.35</v>
      </c>
      <c r="J63" s="140">
        <f t="shared" si="1"/>
        <v>2.125</v>
      </c>
      <c r="K63" s="106"/>
      <c r="M63" s="138">
        <v>2.5</v>
      </c>
      <c r="N63" s="138">
        <v>3.4</v>
      </c>
      <c r="O63" s="45">
        <f t="shared" si="2"/>
        <v>0.795575617</v>
      </c>
      <c r="P63" s="45">
        <f t="shared" si="3"/>
        <v>5.775</v>
      </c>
      <c r="R63" s="45">
        <f t="shared" si="4"/>
        <v>0.10625</v>
      </c>
    </row>
    <row r="64" ht="19.5" customHeight="1">
      <c r="A64" s="106"/>
      <c r="B64" s="135" t="s">
        <v>438</v>
      </c>
      <c r="C64" s="106"/>
      <c r="D64" s="136">
        <v>0.2</v>
      </c>
      <c r="E64" s="137">
        <v>0.4</v>
      </c>
      <c r="F64" s="138">
        <v>1.35</v>
      </c>
      <c r="G64" s="138">
        <v>1.1</v>
      </c>
      <c r="H64" s="139">
        <v>0.2</v>
      </c>
      <c r="I64" s="139">
        <v>0.35</v>
      </c>
      <c r="J64" s="140">
        <f t="shared" si="1"/>
        <v>1.485</v>
      </c>
      <c r="K64" s="106"/>
      <c r="M64" s="138">
        <v>2.7</v>
      </c>
      <c r="N64" s="138">
        <v>2.2</v>
      </c>
      <c r="O64" s="45">
        <f t="shared" si="2"/>
        <v>0.5197952719</v>
      </c>
      <c r="P64" s="45">
        <f t="shared" si="3"/>
        <v>4.44</v>
      </c>
      <c r="R64" s="45">
        <f t="shared" si="4"/>
        <v>0.07425</v>
      </c>
    </row>
    <row r="65" ht="19.5" customHeight="1">
      <c r="A65" s="106"/>
      <c r="B65" s="135" t="s">
        <v>439</v>
      </c>
      <c r="C65" s="106"/>
      <c r="D65" s="136">
        <v>0.35</v>
      </c>
      <c r="E65" s="137">
        <v>0.8</v>
      </c>
      <c r="F65" s="138">
        <v>1.35</v>
      </c>
      <c r="G65" s="138">
        <v>1.8</v>
      </c>
      <c r="H65" s="139">
        <v>0.2</v>
      </c>
      <c r="I65" s="139">
        <v>0.35</v>
      </c>
      <c r="J65" s="140">
        <f t="shared" si="1"/>
        <v>2.43</v>
      </c>
      <c r="K65" s="106"/>
      <c r="M65" s="138">
        <v>2.7</v>
      </c>
      <c r="N65" s="138">
        <v>3.6</v>
      </c>
      <c r="O65" s="45">
        <f t="shared" si="2"/>
        <v>0.8984007563</v>
      </c>
      <c r="P65" s="45">
        <f t="shared" si="3"/>
        <v>6.3825</v>
      </c>
      <c r="R65" s="45">
        <f t="shared" si="4"/>
        <v>0.1215</v>
      </c>
    </row>
    <row r="66" ht="19.5" customHeight="1">
      <c r="A66" s="106"/>
      <c r="B66" s="135" t="s">
        <v>440</v>
      </c>
      <c r="C66" s="106"/>
      <c r="D66" s="136">
        <v>0.35</v>
      </c>
      <c r="E66" s="137">
        <v>0.8</v>
      </c>
      <c r="F66" s="138">
        <v>1.35</v>
      </c>
      <c r="G66" s="138">
        <v>1.8</v>
      </c>
      <c r="H66" s="139">
        <v>0.2</v>
      </c>
      <c r="I66" s="139">
        <v>0.35</v>
      </c>
      <c r="J66" s="140">
        <f t="shared" si="1"/>
        <v>2.43</v>
      </c>
      <c r="K66" s="106"/>
      <c r="M66" s="138">
        <v>2.7</v>
      </c>
      <c r="N66" s="138">
        <v>3.6</v>
      </c>
      <c r="O66" s="45">
        <f t="shared" si="2"/>
        <v>0.8984007563</v>
      </c>
      <c r="P66" s="45">
        <f t="shared" si="3"/>
        <v>6.3825</v>
      </c>
      <c r="R66" s="45">
        <f t="shared" si="4"/>
        <v>0.1215</v>
      </c>
    </row>
    <row r="67" ht="19.5" customHeight="1">
      <c r="A67" s="106"/>
      <c r="B67" s="135" t="s">
        <v>441</v>
      </c>
      <c r="C67" s="106"/>
      <c r="D67" s="136">
        <v>0.2</v>
      </c>
      <c r="E67" s="137">
        <v>0.4</v>
      </c>
      <c r="F67" s="138">
        <v>1.35</v>
      </c>
      <c r="G67" s="138">
        <v>1.1</v>
      </c>
      <c r="H67" s="139">
        <v>0.2</v>
      </c>
      <c r="I67" s="139">
        <v>0.35</v>
      </c>
      <c r="J67" s="140">
        <f t="shared" si="1"/>
        <v>1.485</v>
      </c>
      <c r="K67" s="106"/>
      <c r="M67" s="138">
        <v>2.7</v>
      </c>
      <c r="N67" s="138">
        <v>2.2</v>
      </c>
      <c r="O67" s="45">
        <f t="shared" si="2"/>
        <v>0.5197952719</v>
      </c>
      <c r="P67" s="45">
        <f t="shared" si="3"/>
        <v>4.44</v>
      </c>
      <c r="R67" s="45">
        <f t="shared" si="4"/>
        <v>0.07425</v>
      </c>
    </row>
    <row r="68" ht="19.5" customHeight="1">
      <c r="A68" s="106"/>
      <c r="B68" s="135" t="s">
        <v>442</v>
      </c>
      <c r="C68" s="106"/>
      <c r="D68" s="136">
        <v>0.35</v>
      </c>
      <c r="E68" s="137">
        <v>0.8</v>
      </c>
      <c r="F68" s="138">
        <v>1.55</v>
      </c>
      <c r="G68" s="138">
        <v>2.0</v>
      </c>
      <c r="H68" s="139">
        <v>0.2</v>
      </c>
      <c r="I68" s="139">
        <v>0.35</v>
      </c>
      <c r="J68" s="140">
        <f t="shared" si="1"/>
        <v>3.1</v>
      </c>
      <c r="K68" s="106"/>
      <c r="M68" s="138">
        <v>3.1</v>
      </c>
      <c r="N68" s="138">
        <v>4.0</v>
      </c>
      <c r="O68" s="45">
        <f t="shared" si="2"/>
        <v>1.123027604</v>
      </c>
      <c r="P68" s="45">
        <f t="shared" si="3"/>
        <v>7.6875</v>
      </c>
      <c r="R68" s="45">
        <f t="shared" si="4"/>
        <v>0.155</v>
      </c>
    </row>
    <row r="69" ht="19.5" customHeight="1">
      <c r="A69" s="106"/>
      <c r="B69" s="135" t="s">
        <v>443</v>
      </c>
      <c r="C69" s="106"/>
      <c r="D69" s="136">
        <v>0.2</v>
      </c>
      <c r="E69" s="137">
        <v>0.4</v>
      </c>
      <c r="F69" s="138">
        <v>1.35</v>
      </c>
      <c r="G69" s="138">
        <v>1.1</v>
      </c>
      <c r="H69" s="139">
        <v>0.2</v>
      </c>
      <c r="I69" s="139">
        <v>0.35</v>
      </c>
      <c r="J69" s="140">
        <f t="shared" si="1"/>
        <v>1.485</v>
      </c>
      <c r="K69" s="106"/>
      <c r="M69" s="138">
        <v>2.7</v>
      </c>
      <c r="N69" s="138">
        <v>2.2</v>
      </c>
      <c r="O69" s="45">
        <f t="shared" si="2"/>
        <v>0.5197952719</v>
      </c>
      <c r="P69" s="45">
        <f t="shared" si="3"/>
        <v>4.44</v>
      </c>
      <c r="R69" s="45">
        <f t="shared" si="4"/>
        <v>0.07425</v>
      </c>
    </row>
    <row r="70" ht="19.5" customHeight="1">
      <c r="A70" s="106"/>
      <c r="B70" s="135" t="s">
        <v>444</v>
      </c>
      <c r="C70" s="106"/>
      <c r="D70" s="136">
        <v>0.35</v>
      </c>
      <c r="E70" s="137">
        <v>0.8</v>
      </c>
      <c r="F70" s="138">
        <v>1.55</v>
      </c>
      <c r="G70" s="138">
        <v>2.0</v>
      </c>
      <c r="H70" s="139">
        <v>0.2</v>
      </c>
      <c r="I70" s="139">
        <v>0.35</v>
      </c>
      <c r="J70" s="140">
        <f t="shared" si="1"/>
        <v>3.1</v>
      </c>
      <c r="K70" s="106"/>
      <c r="M70" s="138">
        <v>3.1</v>
      </c>
      <c r="N70" s="138">
        <v>4.0</v>
      </c>
      <c r="O70" s="45">
        <f t="shared" si="2"/>
        <v>1.123027604</v>
      </c>
      <c r="P70" s="45">
        <f t="shared" si="3"/>
        <v>7.6875</v>
      </c>
      <c r="R70" s="45">
        <f t="shared" si="4"/>
        <v>0.155</v>
      </c>
    </row>
    <row r="71" ht="19.5" customHeight="1">
      <c r="A71" s="106"/>
      <c r="B71" s="135" t="s">
        <v>445</v>
      </c>
      <c r="C71" s="106"/>
      <c r="D71" s="136">
        <v>0.2</v>
      </c>
      <c r="E71" s="137">
        <v>0.4</v>
      </c>
      <c r="F71" s="138">
        <v>1.35</v>
      </c>
      <c r="G71" s="138">
        <v>1.1</v>
      </c>
      <c r="H71" s="139">
        <v>0.2</v>
      </c>
      <c r="I71" s="139">
        <v>0.35</v>
      </c>
      <c r="J71" s="140">
        <f t="shared" si="1"/>
        <v>1.485</v>
      </c>
      <c r="K71" s="106"/>
      <c r="M71" s="138">
        <v>2.7</v>
      </c>
      <c r="N71" s="138">
        <v>2.2</v>
      </c>
      <c r="O71" s="45">
        <f t="shared" si="2"/>
        <v>0.5197952719</v>
      </c>
      <c r="P71" s="45">
        <f t="shared" si="3"/>
        <v>4.44</v>
      </c>
      <c r="R71" s="45">
        <f t="shared" si="4"/>
        <v>0.07425</v>
      </c>
    </row>
    <row r="72" ht="19.5" customHeight="1">
      <c r="A72" s="106"/>
      <c r="B72" s="135" t="s">
        <v>446</v>
      </c>
      <c r="C72" s="106"/>
      <c r="D72" s="136">
        <v>0.35</v>
      </c>
      <c r="E72" s="137">
        <v>0.8</v>
      </c>
      <c r="F72" s="138">
        <v>1.25</v>
      </c>
      <c r="G72" s="138">
        <v>1.7</v>
      </c>
      <c r="H72" s="139">
        <v>0.2</v>
      </c>
      <c r="I72" s="139">
        <v>0.35</v>
      </c>
      <c r="J72" s="140">
        <f t="shared" si="1"/>
        <v>2.125</v>
      </c>
      <c r="K72" s="106"/>
      <c r="M72" s="138">
        <v>2.5</v>
      </c>
      <c r="N72" s="138">
        <v>3.4</v>
      </c>
      <c r="O72" s="45">
        <f t="shared" si="2"/>
        <v>0.795575617</v>
      </c>
      <c r="P72" s="45">
        <f t="shared" si="3"/>
        <v>5.775</v>
      </c>
      <c r="R72" s="45">
        <f t="shared" si="4"/>
        <v>0.10625</v>
      </c>
    </row>
    <row r="73" ht="19.5" customHeight="1">
      <c r="A73" s="106"/>
      <c r="B73" s="135" t="s">
        <v>447</v>
      </c>
      <c r="C73" s="106"/>
      <c r="D73" s="136">
        <v>0.35</v>
      </c>
      <c r="E73" s="137">
        <v>0.8</v>
      </c>
      <c r="F73" s="138">
        <v>1.4</v>
      </c>
      <c r="G73" s="138">
        <v>1.85</v>
      </c>
      <c r="H73" s="139">
        <v>0.2</v>
      </c>
      <c r="I73" s="139">
        <v>0.35</v>
      </c>
      <c r="J73" s="140">
        <f t="shared" si="1"/>
        <v>2.59</v>
      </c>
      <c r="K73" s="106"/>
      <c r="M73" s="138">
        <v>2.8</v>
      </c>
      <c r="N73" s="138">
        <v>3.7</v>
      </c>
      <c r="O73" s="45">
        <f t="shared" si="2"/>
        <v>0.9521851213</v>
      </c>
      <c r="P73" s="45">
        <f t="shared" si="3"/>
        <v>6.6975</v>
      </c>
      <c r="R73" s="45">
        <f t="shared" si="4"/>
        <v>0.1295</v>
      </c>
    </row>
    <row r="74" ht="19.5" customHeight="1">
      <c r="A74" s="106"/>
      <c r="B74" s="135" t="s">
        <v>448</v>
      </c>
      <c r="C74" s="106"/>
      <c r="D74" s="136">
        <v>0.2</v>
      </c>
      <c r="E74" s="137">
        <v>0.4</v>
      </c>
      <c r="F74" s="138">
        <v>1.35</v>
      </c>
      <c r="G74" s="138">
        <v>1.1</v>
      </c>
      <c r="H74" s="139">
        <v>0.2</v>
      </c>
      <c r="I74" s="139">
        <v>0.35</v>
      </c>
      <c r="J74" s="140">
        <f t="shared" si="1"/>
        <v>1.485</v>
      </c>
      <c r="K74" s="106"/>
      <c r="M74" s="138">
        <v>2.7</v>
      </c>
      <c r="N74" s="138">
        <v>2.2</v>
      </c>
      <c r="O74" s="45">
        <f t="shared" si="2"/>
        <v>0.5197952719</v>
      </c>
      <c r="P74" s="45">
        <f t="shared" si="3"/>
        <v>4.44</v>
      </c>
      <c r="R74" s="45">
        <f t="shared" si="4"/>
        <v>0.07425</v>
      </c>
    </row>
    <row r="75" ht="19.5" customHeight="1">
      <c r="A75" s="106"/>
      <c r="B75" s="135" t="s">
        <v>449</v>
      </c>
      <c r="C75" s="106"/>
      <c r="D75" s="136">
        <v>0.35</v>
      </c>
      <c r="E75" s="137">
        <v>0.8</v>
      </c>
      <c r="F75" s="138">
        <v>1.55</v>
      </c>
      <c r="G75" s="138">
        <v>2.0</v>
      </c>
      <c r="H75" s="139">
        <v>0.2</v>
      </c>
      <c r="I75" s="139">
        <v>0.35</v>
      </c>
      <c r="J75" s="140">
        <f t="shared" si="1"/>
        <v>3.1</v>
      </c>
      <c r="K75" s="106"/>
      <c r="M75" s="138">
        <v>3.1</v>
      </c>
      <c r="N75" s="138">
        <v>4.0</v>
      </c>
      <c r="O75" s="45">
        <f t="shared" si="2"/>
        <v>1.123027604</v>
      </c>
      <c r="P75" s="45">
        <f t="shared" si="3"/>
        <v>7.6875</v>
      </c>
      <c r="R75" s="45">
        <f t="shared" si="4"/>
        <v>0.155</v>
      </c>
    </row>
    <row r="76" ht="19.5" customHeight="1">
      <c r="A76" s="106"/>
      <c r="B76" s="135" t="s">
        <v>450</v>
      </c>
      <c r="C76" s="106"/>
      <c r="D76" s="136">
        <v>0.2</v>
      </c>
      <c r="E76" s="137">
        <v>0.4</v>
      </c>
      <c r="F76" s="138">
        <v>1.35</v>
      </c>
      <c r="G76" s="138">
        <v>1.1</v>
      </c>
      <c r="H76" s="139">
        <v>0.2</v>
      </c>
      <c r="I76" s="139">
        <v>0.35</v>
      </c>
      <c r="J76" s="140">
        <f t="shared" si="1"/>
        <v>1.485</v>
      </c>
      <c r="K76" s="106"/>
      <c r="M76" s="138">
        <v>2.7</v>
      </c>
      <c r="N76" s="138">
        <v>2.2</v>
      </c>
      <c r="O76" s="45">
        <f t="shared" si="2"/>
        <v>0.5197952719</v>
      </c>
      <c r="P76" s="45">
        <f t="shared" si="3"/>
        <v>4.44</v>
      </c>
      <c r="R76" s="45">
        <f t="shared" si="4"/>
        <v>0.07425</v>
      </c>
    </row>
    <row r="77" ht="19.5" customHeight="1">
      <c r="A77" s="106"/>
      <c r="B77" s="135" t="s">
        <v>451</v>
      </c>
      <c r="C77" s="106"/>
      <c r="D77" s="136">
        <v>0.35</v>
      </c>
      <c r="E77" s="137">
        <v>0.8</v>
      </c>
      <c r="F77" s="138">
        <v>1.3</v>
      </c>
      <c r="G77" s="138">
        <v>1.75</v>
      </c>
      <c r="H77" s="139">
        <v>0.2</v>
      </c>
      <c r="I77" s="139">
        <v>0.35</v>
      </c>
      <c r="J77" s="140">
        <f t="shared" si="1"/>
        <v>2.275</v>
      </c>
      <c r="K77" s="106"/>
      <c r="M77" s="138">
        <v>2.6</v>
      </c>
      <c r="N77" s="138">
        <v>3.5</v>
      </c>
      <c r="O77" s="45">
        <f t="shared" si="2"/>
        <v>0.8461976597</v>
      </c>
      <c r="P77" s="45">
        <f t="shared" si="3"/>
        <v>6.075</v>
      </c>
      <c r="R77" s="45">
        <f t="shared" si="4"/>
        <v>0.11375</v>
      </c>
    </row>
    <row r="78" ht="19.5" customHeight="1">
      <c r="A78" s="106"/>
      <c r="B78" s="135" t="s">
        <v>452</v>
      </c>
      <c r="C78" s="106"/>
      <c r="D78" s="140"/>
      <c r="E78" s="102"/>
      <c r="F78" s="138">
        <v>0.0</v>
      </c>
      <c r="G78" s="138">
        <v>0.0</v>
      </c>
      <c r="H78" s="139">
        <v>0.2</v>
      </c>
      <c r="I78" s="139">
        <v>0.35</v>
      </c>
      <c r="J78" s="140">
        <f t="shared" si="1"/>
        <v>0</v>
      </c>
      <c r="K78" s="106"/>
      <c r="M78" s="103"/>
      <c r="N78" s="103"/>
      <c r="P78" s="45">
        <f t="shared" si="3"/>
        <v>0.375</v>
      </c>
      <c r="R78" s="45">
        <f t="shared" si="4"/>
        <v>0</v>
      </c>
    </row>
    <row r="79" ht="19.5" customHeight="1">
      <c r="A79" s="106"/>
      <c r="B79" s="135" t="s">
        <v>453</v>
      </c>
      <c r="C79" s="106"/>
      <c r="D79" s="140"/>
      <c r="E79" s="102"/>
      <c r="F79" s="138">
        <v>0.0</v>
      </c>
      <c r="G79" s="138">
        <v>0.0</v>
      </c>
      <c r="H79" s="139">
        <v>0.2</v>
      </c>
      <c r="I79" s="139">
        <v>0.35</v>
      </c>
      <c r="J79" s="140">
        <f t="shared" si="1"/>
        <v>0</v>
      </c>
      <c r="K79" s="106"/>
      <c r="M79" s="103"/>
      <c r="N79" s="103"/>
      <c r="P79" s="45">
        <f t="shared" si="3"/>
        <v>0.375</v>
      </c>
      <c r="R79" s="45">
        <f t="shared" si="4"/>
        <v>0</v>
      </c>
    </row>
    <row r="80" ht="19.5" customHeight="1">
      <c r="A80" s="106"/>
      <c r="B80" s="135" t="s">
        <v>454</v>
      </c>
      <c r="C80" s="106"/>
      <c r="D80" s="140"/>
      <c r="E80" s="102"/>
      <c r="F80" s="138">
        <v>0.0</v>
      </c>
      <c r="G80" s="138">
        <v>0.0</v>
      </c>
      <c r="H80" s="139">
        <v>0.2</v>
      </c>
      <c r="I80" s="139">
        <v>0.35</v>
      </c>
      <c r="J80" s="140">
        <f t="shared" si="1"/>
        <v>0</v>
      </c>
      <c r="K80" s="106"/>
      <c r="M80" s="103"/>
      <c r="N80" s="103"/>
      <c r="P80" s="45">
        <f t="shared" si="3"/>
        <v>0.375</v>
      </c>
      <c r="R80" s="45">
        <f t="shared" si="4"/>
        <v>0</v>
      </c>
    </row>
    <row r="81" ht="19.5" customHeight="1">
      <c r="A81" s="106"/>
      <c r="B81" s="135" t="s">
        <v>455</v>
      </c>
      <c r="C81" s="106"/>
      <c r="D81" s="140"/>
      <c r="E81" s="102"/>
      <c r="F81" s="138">
        <v>0.0</v>
      </c>
      <c r="G81" s="138">
        <v>0.0</v>
      </c>
      <c r="H81" s="139">
        <v>0.2</v>
      </c>
      <c r="I81" s="139">
        <v>0.35</v>
      </c>
      <c r="J81" s="140">
        <f t="shared" si="1"/>
        <v>0</v>
      </c>
      <c r="K81" s="106"/>
      <c r="M81" s="103"/>
      <c r="N81" s="103"/>
      <c r="P81" s="45">
        <f t="shared" si="3"/>
        <v>0.375</v>
      </c>
      <c r="R81" s="45">
        <f t="shared" si="4"/>
        <v>0</v>
      </c>
    </row>
    <row r="82" ht="19.5" customHeight="1">
      <c r="A82" s="106"/>
      <c r="B82" s="135" t="s">
        <v>456</v>
      </c>
      <c r="C82" s="106"/>
      <c r="D82" s="136">
        <v>0.2</v>
      </c>
      <c r="E82" s="137">
        <v>0.2</v>
      </c>
      <c r="F82" s="138">
        <v>0.6</v>
      </c>
      <c r="G82" s="138">
        <v>0.6</v>
      </c>
      <c r="H82" s="139">
        <v>0.2</v>
      </c>
      <c r="I82" s="139">
        <v>0.35</v>
      </c>
      <c r="J82" s="140">
        <f t="shared" si="1"/>
        <v>0.36</v>
      </c>
      <c r="K82" s="106"/>
      <c r="M82" s="138">
        <v>1.2</v>
      </c>
      <c r="N82" s="138">
        <v>1.2</v>
      </c>
      <c r="O82" s="45">
        <f t="shared" ref="O82:O124" si="5">((I82/3)*(F82*G82+D82*E82+(SQRT(D82*E82*F82*G82))))+(F82*G82*H82)</f>
        <v>0.1326666667</v>
      </c>
      <c r="P82" s="45">
        <f t="shared" si="3"/>
        <v>1.815</v>
      </c>
      <c r="R82" s="45">
        <f t="shared" si="4"/>
        <v>0.018</v>
      </c>
    </row>
    <row r="83" ht="19.5" customHeight="1">
      <c r="A83" s="106"/>
      <c r="B83" s="135" t="s">
        <v>457</v>
      </c>
      <c r="C83" s="106"/>
      <c r="D83" s="136">
        <v>0.2</v>
      </c>
      <c r="E83" s="137">
        <v>0.2</v>
      </c>
      <c r="F83" s="138">
        <v>0.6</v>
      </c>
      <c r="G83" s="138">
        <v>0.6</v>
      </c>
      <c r="H83" s="139">
        <v>0.2</v>
      </c>
      <c r="I83" s="139">
        <v>0.35</v>
      </c>
      <c r="J83" s="140">
        <f t="shared" si="1"/>
        <v>0.36</v>
      </c>
      <c r="K83" s="106"/>
      <c r="M83" s="138">
        <v>1.2</v>
      </c>
      <c r="N83" s="138">
        <v>1.2</v>
      </c>
      <c r="O83" s="45">
        <f t="shared" si="5"/>
        <v>0.1326666667</v>
      </c>
      <c r="P83" s="45">
        <f t="shared" si="3"/>
        <v>1.815</v>
      </c>
      <c r="R83" s="45">
        <f t="shared" si="4"/>
        <v>0.018</v>
      </c>
    </row>
    <row r="84" ht="19.5" customHeight="1">
      <c r="A84" s="106"/>
      <c r="B84" s="135" t="s">
        <v>458</v>
      </c>
      <c r="C84" s="106"/>
      <c r="D84" s="136">
        <v>0.2</v>
      </c>
      <c r="E84" s="137">
        <v>0.2</v>
      </c>
      <c r="F84" s="138">
        <v>0.6</v>
      </c>
      <c r="G84" s="138">
        <v>0.6</v>
      </c>
      <c r="H84" s="139">
        <v>0.2</v>
      </c>
      <c r="I84" s="139">
        <v>0.35</v>
      </c>
      <c r="J84" s="140">
        <f t="shared" si="1"/>
        <v>0.36</v>
      </c>
      <c r="K84" s="106"/>
      <c r="M84" s="138">
        <v>1.2</v>
      </c>
      <c r="N84" s="138">
        <v>1.2</v>
      </c>
      <c r="O84" s="45">
        <f t="shared" si="5"/>
        <v>0.1326666667</v>
      </c>
      <c r="P84" s="45">
        <f t="shared" si="3"/>
        <v>1.815</v>
      </c>
      <c r="R84" s="45">
        <f t="shared" si="4"/>
        <v>0.018</v>
      </c>
    </row>
    <row r="85" ht="19.5" customHeight="1">
      <c r="A85" s="106"/>
      <c r="B85" s="135" t="s">
        <v>459</v>
      </c>
      <c r="C85" s="106"/>
      <c r="D85" s="136">
        <v>0.2</v>
      </c>
      <c r="E85" s="137">
        <v>0.2</v>
      </c>
      <c r="F85" s="138">
        <v>0.6</v>
      </c>
      <c r="G85" s="138">
        <v>0.6</v>
      </c>
      <c r="H85" s="139">
        <v>0.2</v>
      </c>
      <c r="I85" s="139">
        <v>0.35</v>
      </c>
      <c r="J85" s="140">
        <f t="shared" si="1"/>
        <v>0.36</v>
      </c>
      <c r="K85" s="106"/>
      <c r="M85" s="138">
        <v>1.2</v>
      </c>
      <c r="N85" s="138">
        <v>1.2</v>
      </c>
      <c r="O85" s="45">
        <f t="shared" si="5"/>
        <v>0.1326666667</v>
      </c>
      <c r="P85" s="45">
        <f t="shared" si="3"/>
        <v>1.815</v>
      </c>
      <c r="R85" s="45">
        <f t="shared" si="4"/>
        <v>0.018</v>
      </c>
    </row>
    <row r="86" ht="19.5" customHeight="1">
      <c r="A86" s="106"/>
      <c r="B86" s="135" t="s">
        <v>460</v>
      </c>
      <c r="C86" s="106"/>
      <c r="D86" s="136">
        <v>0.25</v>
      </c>
      <c r="E86" s="137">
        <v>0.35</v>
      </c>
      <c r="F86" s="138">
        <v>0.75</v>
      </c>
      <c r="G86" s="138">
        <v>0.65</v>
      </c>
      <c r="H86" s="139">
        <v>0.2</v>
      </c>
      <c r="I86" s="139">
        <v>0.35</v>
      </c>
      <c r="J86" s="140">
        <f t="shared" si="1"/>
        <v>0.4875</v>
      </c>
      <c r="K86" s="106"/>
      <c r="M86" s="138">
        <v>1.5</v>
      </c>
      <c r="N86" s="138">
        <v>1.3</v>
      </c>
      <c r="O86" s="45">
        <f t="shared" si="5"/>
        <v>0.1886789545</v>
      </c>
      <c r="P86" s="45">
        <f t="shared" si="3"/>
        <v>2.15625</v>
      </c>
      <c r="R86" s="45">
        <f t="shared" si="4"/>
        <v>0.024375</v>
      </c>
    </row>
    <row r="87" ht="19.5" customHeight="1">
      <c r="A87" s="106"/>
      <c r="B87" s="135" t="s">
        <v>461</v>
      </c>
      <c r="C87" s="106"/>
      <c r="D87" s="136">
        <v>0.25</v>
      </c>
      <c r="E87" s="137">
        <v>0.25</v>
      </c>
      <c r="F87" s="138">
        <v>0.7</v>
      </c>
      <c r="G87" s="138">
        <v>0.8</v>
      </c>
      <c r="H87" s="139">
        <v>0.2</v>
      </c>
      <c r="I87" s="139">
        <v>0.35</v>
      </c>
      <c r="J87" s="140">
        <f t="shared" si="1"/>
        <v>0.56</v>
      </c>
      <c r="K87" s="106"/>
      <c r="M87" s="138">
        <v>1.4</v>
      </c>
      <c r="N87" s="138">
        <v>1.6</v>
      </c>
      <c r="O87" s="45">
        <f t="shared" si="5"/>
        <v>0.2064513348</v>
      </c>
      <c r="P87" s="45">
        <f t="shared" si="3"/>
        <v>2.34</v>
      </c>
      <c r="R87" s="45">
        <f t="shared" si="4"/>
        <v>0.028</v>
      </c>
    </row>
    <row r="88" ht="19.5" customHeight="1">
      <c r="A88" s="106"/>
      <c r="B88" s="135" t="s">
        <v>462</v>
      </c>
      <c r="C88" s="106"/>
      <c r="D88" s="136">
        <v>0.25</v>
      </c>
      <c r="E88" s="137">
        <v>0.25</v>
      </c>
      <c r="F88" s="138">
        <v>0.65</v>
      </c>
      <c r="G88" s="138">
        <v>0.65</v>
      </c>
      <c r="H88" s="139">
        <v>0.2</v>
      </c>
      <c r="I88" s="139">
        <v>0.35</v>
      </c>
      <c r="J88" s="140">
        <f t="shared" si="1"/>
        <v>0.4225</v>
      </c>
      <c r="K88" s="106"/>
      <c r="M88" s="138">
        <v>1.3</v>
      </c>
      <c r="N88" s="138">
        <v>1.3</v>
      </c>
      <c r="O88" s="45">
        <f t="shared" si="5"/>
        <v>0.1600416667</v>
      </c>
      <c r="P88" s="45">
        <f t="shared" si="3"/>
        <v>1.98375</v>
      </c>
      <c r="R88" s="45">
        <f t="shared" si="4"/>
        <v>0.021125</v>
      </c>
    </row>
    <row r="89" ht="19.5" customHeight="1">
      <c r="A89" s="106"/>
      <c r="B89" s="135" t="s">
        <v>463</v>
      </c>
      <c r="C89" s="106"/>
      <c r="D89" s="136">
        <v>0.25</v>
      </c>
      <c r="E89" s="137">
        <v>0.25</v>
      </c>
      <c r="F89" s="138">
        <v>0.85</v>
      </c>
      <c r="G89" s="138">
        <v>0.85</v>
      </c>
      <c r="H89" s="139">
        <v>0.2</v>
      </c>
      <c r="I89" s="139">
        <v>0.35</v>
      </c>
      <c r="J89" s="140">
        <f t="shared" si="1"/>
        <v>0.7225</v>
      </c>
      <c r="K89" s="106"/>
      <c r="M89" s="138">
        <v>1.7</v>
      </c>
      <c r="N89" s="138">
        <v>1.7</v>
      </c>
      <c r="O89" s="45">
        <f t="shared" si="5"/>
        <v>0.260875</v>
      </c>
      <c r="P89" s="45">
        <f t="shared" si="3"/>
        <v>2.73375</v>
      </c>
      <c r="R89" s="45">
        <f t="shared" si="4"/>
        <v>0.036125</v>
      </c>
    </row>
    <row r="90" ht="19.5" customHeight="1">
      <c r="A90" s="106"/>
      <c r="B90" s="135" t="s">
        <v>464</v>
      </c>
      <c r="C90" s="106"/>
      <c r="D90" s="136">
        <v>0.25</v>
      </c>
      <c r="E90" s="137">
        <v>0.25</v>
      </c>
      <c r="F90" s="138">
        <v>0.65</v>
      </c>
      <c r="G90" s="138">
        <v>0.65</v>
      </c>
      <c r="H90" s="139">
        <v>0.2</v>
      </c>
      <c r="I90" s="139">
        <v>0.35</v>
      </c>
      <c r="J90" s="140">
        <f t="shared" si="1"/>
        <v>0.4225</v>
      </c>
      <c r="K90" s="106"/>
      <c r="M90" s="138">
        <v>1.3</v>
      </c>
      <c r="N90" s="138">
        <v>1.3</v>
      </c>
      <c r="O90" s="45">
        <f t="shared" si="5"/>
        <v>0.1600416667</v>
      </c>
      <c r="P90" s="45">
        <f t="shared" si="3"/>
        <v>1.98375</v>
      </c>
      <c r="R90" s="45">
        <f t="shared" si="4"/>
        <v>0.021125</v>
      </c>
    </row>
    <row r="91" ht="19.5" customHeight="1">
      <c r="A91" s="106"/>
      <c r="B91" s="135" t="s">
        <v>465</v>
      </c>
      <c r="C91" s="106"/>
      <c r="D91" s="136">
        <v>0.25</v>
      </c>
      <c r="E91" s="137">
        <v>0.25</v>
      </c>
      <c r="F91" s="138">
        <v>0.65</v>
      </c>
      <c r="G91" s="138">
        <v>0.65</v>
      </c>
      <c r="H91" s="139">
        <v>0.2</v>
      </c>
      <c r="I91" s="139">
        <v>0.35</v>
      </c>
      <c r="J91" s="140">
        <f t="shared" si="1"/>
        <v>0.4225</v>
      </c>
      <c r="K91" s="106"/>
      <c r="M91" s="138">
        <v>1.3</v>
      </c>
      <c r="N91" s="138">
        <v>1.3</v>
      </c>
      <c r="O91" s="45">
        <f t="shared" si="5"/>
        <v>0.1600416667</v>
      </c>
      <c r="P91" s="45">
        <f t="shared" si="3"/>
        <v>1.98375</v>
      </c>
      <c r="R91" s="45">
        <f t="shared" si="4"/>
        <v>0.021125</v>
      </c>
    </row>
    <row r="92" ht="19.5" customHeight="1">
      <c r="A92" s="106"/>
      <c r="B92" s="135" t="s">
        <v>466</v>
      </c>
      <c r="C92" s="106"/>
      <c r="D92" s="136">
        <v>0.2</v>
      </c>
      <c r="E92" s="137">
        <v>0.2</v>
      </c>
      <c r="F92" s="138">
        <v>1.25</v>
      </c>
      <c r="G92" s="138">
        <v>1.25</v>
      </c>
      <c r="H92" s="139">
        <v>0.2</v>
      </c>
      <c r="I92" s="139">
        <v>0.35</v>
      </c>
      <c r="J92" s="140">
        <f t="shared" si="1"/>
        <v>1.5625</v>
      </c>
      <c r="K92" s="106"/>
      <c r="M92" s="138">
        <v>2.5</v>
      </c>
      <c r="N92" s="138">
        <v>2.5</v>
      </c>
      <c r="O92" s="45">
        <f t="shared" si="5"/>
        <v>0.528625</v>
      </c>
      <c r="P92" s="45">
        <f t="shared" si="3"/>
        <v>4.59375</v>
      </c>
      <c r="R92" s="45">
        <f t="shared" si="4"/>
        <v>0.078125</v>
      </c>
    </row>
    <row r="93" ht="19.5" customHeight="1">
      <c r="A93" s="106"/>
      <c r="B93" s="135" t="s">
        <v>467</v>
      </c>
      <c r="C93" s="106"/>
      <c r="D93" s="136">
        <v>0.2</v>
      </c>
      <c r="E93" s="137">
        <v>0.3</v>
      </c>
      <c r="F93" s="138">
        <v>1.55</v>
      </c>
      <c r="G93" s="138">
        <v>1.45</v>
      </c>
      <c r="H93" s="139">
        <v>0.2</v>
      </c>
      <c r="I93" s="139">
        <v>0.35</v>
      </c>
      <c r="J93" s="140">
        <f t="shared" si="1"/>
        <v>2.2475</v>
      </c>
      <c r="K93" s="106"/>
      <c r="M93" s="138">
        <v>3.1</v>
      </c>
      <c r="N93" s="138">
        <v>2.9</v>
      </c>
      <c r="O93" s="45">
        <f t="shared" si="5"/>
        <v>0.7615505827</v>
      </c>
      <c r="P93" s="45">
        <f t="shared" si="3"/>
        <v>5.99625</v>
      </c>
      <c r="R93" s="45">
        <f t="shared" si="4"/>
        <v>0.112375</v>
      </c>
    </row>
    <row r="94" ht="19.5" customHeight="1">
      <c r="A94" s="106"/>
      <c r="B94" s="135" t="s">
        <v>468</v>
      </c>
      <c r="C94" s="106"/>
      <c r="D94" s="136">
        <v>0.2</v>
      </c>
      <c r="E94" s="137">
        <v>0.2</v>
      </c>
      <c r="F94" s="138">
        <v>1.35</v>
      </c>
      <c r="G94" s="138">
        <v>1.35</v>
      </c>
      <c r="H94" s="139">
        <v>0.2</v>
      </c>
      <c r="I94" s="139">
        <v>0.35</v>
      </c>
      <c r="J94" s="140">
        <f t="shared" si="1"/>
        <v>1.8225</v>
      </c>
      <c r="K94" s="106"/>
      <c r="M94" s="138">
        <v>2.7</v>
      </c>
      <c r="N94" s="138">
        <v>2.7</v>
      </c>
      <c r="O94" s="45">
        <f t="shared" si="5"/>
        <v>0.6132916667</v>
      </c>
      <c r="P94" s="45">
        <f t="shared" si="3"/>
        <v>5.13375</v>
      </c>
      <c r="R94" s="45">
        <f t="shared" si="4"/>
        <v>0.091125</v>
      </c>
    </row>
    <row r="95" ht="19.5" customHeight="1">
      <c r="A95" s="106"/>
      <c r="B95" s="135" t="s">
        <v>469</v>
      </c>
      <c r="C95" s="106"/>
      <c r="D95" s="136">
        <v>0.25</v>
      </c>
      <c r="E95" s="137">
        <v>0.25</v>
      </c>
      <c r="F95" s="138">
        <v>0.65</v>
      </c>
      <c r="G95" s="138">
        <v>0.65</v>
      </c>
      <c r="H95" s="139">
        <v>0.2</v>
      </c>
      <c r="I95" s="139">
        <v>0.35</v>
      </c>
      <c r="J95" s="140">
        <f t="shared" si="1"/>
        <v>0.4225</v>
      </c>
      <c r="K95" s="106"/>
      <c r="M95" s="138">
        <v>1.3</v>
      </c>
      <c r="N95" s="138">
        <v>1.3</v>
      </c>
      <c r="O95" s="45">
        <f t="shared" si="5"/>
        <v>0.1600416667</v>
      </c>
      <c r="P95" s="45">
        <f t="shared" si="3"/>
        <v>1.98375</v>
      </c>
      <c r="R95" s="45">
        <f t="shared" si="4"/>
        <v>0.021125</v>
      </c>
    </row>
    <row r="96" ht="19.5" customHeight="1">
      <c r="A96" s="106"/>
      <c r="B96" s="135" t="s">
        <v>470</v>
      </c>
      <c r="C96" s="106"/>
      <c r="D96" s="136">
        <v>0.25</v>
      </c>
      <c r="E96" s="137">
        <v>0.25</v>
      </c>
      <c r="F96" s="138">
        <v>0.85</v>
      </c>
      <c r="G96" s="138">
        <v>0.85</v>
      </c>
      <c r="H96" s="139">
        <v>0.2</v>
      </c>
      <c r="I96" s="139">
        <v>0.35</v>
      </c>
      <c r="J96" s="140">
        <f t="shared" si="1"/>
        <v>0.7225</v>
      </c>
      <c r="K96" s="106"/>
      <c r="M96" s="138">
        <v>1.7</v>
      </c>
      <c r="N96" s="138">
        <v>1.7</v>
      </c>
      <c r="O96" s="45">
        <f t="shared" si="5"/>
        <v>0.260875</v>
      </c>
      <c r="P96" s="45">
        <f t="shared" si="3"/>
        <v>2.73375</v>
      </c>
      <c r="R96" s="45">
        <f t="shared" si="4"/>
        <v>0.036125</v>
      </c>
    </row>
    <row r="97" ht="19.5" customHeight="1">
      <c r="A97" s="106"/>
      <c r="B97" s="135" t="s">
        <v>471</v>
      </c>
      <c r="C97" s="106"/>
      <c r="D97" s="136">
        <v>0.25</v>
      </c>
      <c r="E97" s="137">
        <v>0.25</v>
      </c>
      <c r="F97" s="138">
        <v>1.0</v>
      </c>
      <c r="G97" s="138">
        <v>1.0</v>
      </c>
      <c r="H97" s="139">
        <v>0.2</v>
      </c>
      <c r="I97" s="139">
        <v>0.35</v>
      </c>
      <c r="J97" s="140">
        <f t="shared" si="1"/>
        <v>1</v>
      </c>
      <c r="K97" s="106"/>
      <c r="M97" s="138">
        <v>2.0</v>
      </c>
      <c r="N97" s="138">
        <v>2.0</v>
      </c>
      <c r="O97" s="45">
        <f t="shared" si="5"/>
        <v>0.353125</v>
      </c>
      <c r="P97" s="45">
        <f t="shared" si="3"/>
        <v>3.375</v>
      </c>
      <c r="R97" s="45">
        <f t="shared" si="4"/>
        <v>0.05</v>
      </c>
    </row>
    <row r="98" ht="19.5" customHeight="1">
      <c r="A98" s="106"/>
      <c r="B98" s="135" t="s">
        <v>472</v>
      </c>
      <c r="C98" s="106"/>
      <c r="D98" s="136">
        <v>0.25</v>
      </c>
      <c r="E98" s="137">
        <v>0.25</v>
      </c>
      <c r="F98" s="138">
        <v>0.85</v>
      </c>
      <c r="G98" s="138">
        <v>0.85</v>
      </c>
      <c r="H98" s="139">
        <v>0.2</v>
      </c>
      <c r="I98" s="139">
        <v>0.35</v>
      </c>
      <c r="J98" s="140">
        <f t="shared" si="1"/>
        <v>0.7225</v>
      </c>
      <c r="K98" s="106"/>
      <c r="M98" s="138">
        <v>1.7</v>
      </c>
      <c r="N98" s="138">
        <v>1.7</v>
      </c>
      <c r="O98" s="45">
        <f t="shared" si="5"/>
        <v>0.260875</v>
      </c>
      <c r="P98" s="45">
        <f t="shared" si="3"/>
        <v>2.73375</v>
      </c>
      <c r="R98" s="45">
        <f t="shared" si="4"/>
        <v>0.036125</v>
      </c>
    </row>
    <row r="99" ht="19.5" customHeight="1">
      <c r="A99" s="106"/>
      <c r="B99" s="135" t="s">
        <v>473</v>
      </c>
      <c r="C99" s="106"/>
      <c r="D99" s="136">
        <v>0.2</v>
      </c>
      <c r="E99" s="137">
        <v>0.2</v>
      </c>
      <c r="F99" s="138">
        <v>0.6</v>
      </c>
      <c r="G99" s="138">
        <v>0.6</v>
      </c>
      <c r="H99" s="139">
        <v>0.2</v>
      </c>
      <c r="I99" s="139">
        <v>0.35</v>
      </c>
      <c r="J99" s="140">
        <f t="shared" si="1"/>
        <v>0.36</v>
      </c>
      <c r="K99" s="106"/>
      <c r="M99" s="138">
        <v>1.2</v>
      </c>
      <c r="N99" s="138">
        <v>1.2</v>
      </c>
      <c r="O99" s="45">
        <f t="shared" si="5"/>
        <v>0.1326666667</v>
      </c>
      <c r="P99" s="45">
        <f t="shared" si="3"/>
        <v>1.815</v>
      </c>
      <c r="R99" s="45">
        <f t="shared" si="4"/>
        <v>0.018</v>
      </c>
    </row>
    <row r="100" ht="19.5" customHeight="1">
      <c r="A100" s="106"/>
      <c r="B100" s="135" t="s">
        <v>474</v>
      </c>
      <c r="C100" s="106"/>
      <c r="D100" s="136">
        <v>0.2</v>
      </c>
      <c r="E100" s="137">
        <v>0.2</v>
      </c>
      <c r="F100" s="138">
        <v>0.6</v>
      </c>
      <c r="G100" s="138">
        <v>0.6</v>
      </c>
      <c r="H100" s="139">
        <v>0.2</v>
      </c>
      <c r="I100" s="139">
        <v>0.35</v>
      </c>
      <c r="J100" s="140">
        <f t="shared" si="1"/>
        <v>0.36</v>
      </c>
      <c r="K100" s="106"/>
      <c r="M100" s="138">
        <v>1.2</v>
      </c>
      <c r="N100" s="138">
        <v>1.2</v>
      </c>
      <c r="O100" s="45">
        <f t="shared" si="5"/>
        <v>0.1326666667</v>
      </c>
      <c r="P100" s="45">
        <f t="shared" si="3"/>
        <v>1.815</v>
      </c>
      <c r="R100" s="45">
        <f t="shared" si="4"/>
        <v>0.018</v>
      </c>
    </row>
    <row r="101" ht="19.5" customHeight="1">
      <c r="A101" s="106"/>
      <c r="B101" s="135" t="s">
        <v>475</v>
      </c>
      <c r="C101" s="106"/>
      <c r="D101" s="136">
        <v>0.25</v>
      </c>
      <c r="E101" s="137">
        <v>0.25</v>
      </c>
      <c r="F101" s="138">
        <v>0.85</v>
      </c>
      <c r="G101" s="138">
        <v>0.85</v>
      </c>
      <c r="H101" s="139">
        <v>0.2</v>
      </c>
      <c r="I101" s="139">
        <v>0.35</v>
      </c>
      <c r="J101" s="140">
        <f t="shared" si="1"/>
        <v>0.7225</v>
      </c>
      <c r="K101" s="106"/>
      <c r="M101" s="138">
        <v>1.7</v>
      </c>
      <c r="N101" s="138">
        <v>1.7</v>
      </c>
      <c r="O101" s="45">
        <f t="shared" si="5"/>
        <v>0.260875</v>
      </c>
      <c r="P101" s="45">
        <f t="shared" si="3"/>
        <v>2.73375</v>
      </c>
      <c r="R101" s="45">
        <f t="shared" si="4"/>
        <v>0.036125</v>
      </c>
    </row>
    <row r="102" ht="19.5" customHeight="1">
      <c r="A102" s="106"/>
      <c r="B102" s="135" t="s">
        <v>476</v>
      </c>
      <c r="C102" s="106"/>
      <c r="D102" s="136">
        <v>0.25</v>
      </c>
      <c r="E102" s="137">
        <v>0.25</v>
      </c>
      <c r="F102" s="138">
        <v>0.9</v>
      </c>
      <c r="G102" s="138">
        <v>0.85</v>
      </c>
      <c r="H102" s="139">
        <v>0.2</v>
      </c>
      <c r="I102" s="139">
        <v>0.35</v>
      </c>
      <c r="J102" s="140">
        <f t="shared" si="1"/>
        <v>0.765</v>
      </c>
      <c r="K102" s="106"/>
      <c r="M102" s="138">
        <v>1.8</v>
      </c>
      <c r="N102" s="138">
        <v>1.7</v>
      </c>
      <c r="O102" s="45">
        <f t="shared" si="5"/>
        <v>0.2750520812</v>
      </c>
      <c r="P102" s="45">
        <f t="shared" si="3"/>
        <v>2.835</v>
      </c>
      <c r="R102" s="45">
        <f t="shared" si="4"/>
        <v>0.03825</v>
      </c>
    </row>
    <row r="103" ht="19.5" customHeight="1">
      <c r="A103" s="106"/>
      <c r="B103" s="135" t="s">
        <v>477</v>
      </c>
      <c r="C103" s="106"/>
      <c r="D103" s="136">
        <v>0.25</v>
      </c>
      <c r="E103" s="137">
        <v>0.25</v>
      </c>
      <c r="F103" s="138">
        <v>1.0</v>
      </c>
      <c r="G103" s="138">
        <v>1.0</v>
      </c>
      <c r="H103" s="139">
        <v>0.2</v>
      </c>
      <c r="I103" s="139">
        <v>0.35</v>
      </c>
      <c r="J103" s="140">
        <f t="shared" si="1"/>
        <v>1</v>
      </c>
      <c r="K103" s="106"/>
      <c r="M103" s="138">
        <v>2.0</v>
      </c>
      <c r="N103" s="138">
        <v>2.0</v>
      </c>
      <c r="O103" s="45">
        <f t="shared" si="5"/>
        <v>0.353125</v>
      </c>
      <c r="P103" s="45">
        <f t="shared" si="3"/>
        <v>3.375</v>
      </c>
      <c r="R103" s="45">
        <f t="shared" si="4"/>
        <v>0.05</v>
      </c>
    </row>
    <row r="104" ht="19.5" customHeight="1">
      <c r="A104" s="106"/>
      <c r="B104" s="135" t="s">
        <v>478</v>
      </c>
      <c r="C104" s="106"/>
      <c r="D104" s="136">
        <v>0.25</v>
      </c>
      <c r="E104" s="137">
        <v>0.25</v>
      </c>
      <c r="F104" s="138">
        <v>0.85</v>
      </c>
      <c r="G104" s="138">
        <v>0.85</v>
      </c>
      <c r="H104" s="139">
        <v>0.2</v>
      </c>
      <c r="I104" s="139">
        <v>0.35</v>
      </c>
      <c r="J104" s="140">
        <f t="shared" si="1"/>
        <v>0.7225</v>
      </c>
      <c r="K104" s="106"/>
      <c r="M104" s="138">
        <v>1.7</v>
      </c>
      <c r="N104" s="138">
        <v>1.7</v>
      </c>
      <c r="O104" s="45">
        <f t="shared" si="5"/>
        <v>0.260875</v>
      </c>
      <c r="P104" s="45">
        <f t="shared" si="3"/>
        <v>2.73375</v>
      </c>
      <c r="R104" s="45">
        <f t="shared" si="4"/>
        <v>0.036125</v>
      </c>
    </row>
    <row r="105" ht="19.5" customHeight="1">
      <c r="A105" s="106"/>
      <c r="B105" s="135" t="s">
        <v>479</v>
      </c>
      <c r="C105" s="106"/>
      <c r="D105" s="136">
        <v>0.25</v>
      </c>
      <c r="E105" s="137">
        <v>0.25</v>
      </c>
      <c r="F105" s="138">
        <v>0.85</v>
      </c>
      <c r="G105" s="138">
        <v>0.85</v>
      </c>
      <c r="H105" s="139">
        <v>0.2</v>
      </c>
      <c r="I105" s="139">
        <v>0.35</v>
      </c>
      <c r="J105" s="140">
        <f t="shared" si="1"/>
        <v>0.7225</v>
      </c>
      <c r="K105" s="106"/>
      <c r="M105" s="138">
        <v>1.7</v>
      </c>
      <c r="N105" s="138">
        <v>1.7</v>
      </c>
      <c r="O105" s="45">
        <f t="shared" si="5"/>
        <v>0.260875</v>
      </c>
      <c r="P105" s="45">
        <f t="shared" si="3"/>
        <v>2.73375</v>
      </c>
      <c r="R105" s="45">
        <f t="shared" si="4"/>
        <v>0.036125</v>
      </c>
    </row>
    <row r="106" ht="19.5" customHeight="1">
      <c r="A106" s="106"/>
      <c r="B106" s="135" t="s">
        <v>480</v>
      </c>
      <c r="C106" s="106"/>
      <c r="D106" s="136">
        <v>0.2</v>
      </c>
      <c r="E106" s="137">
        <v>0.2</v>
      </c>
      <c r="F106" s="138">
        <v>1.25</v>
      </c>
      <c r="G106" s="138">
        <v>1.25</v>
      </c>
      <c r="H106" s="139">
        <v>0.2</v>
      </c>
      <c r="I106" s="139">
        <v>0.35</v>
      </c>
      <c r="J106" s="140">
        <f t="shared" si="1"/>
        <v>1.5625</v>
      </c>
      <c r="K106" s="106"/>
      <c r="M106" s="138">
        <v>2.5</v>
      </c>
      <c r="N106" s="138">
        <v>2.5</v>
      </c>
      <c r="O106" s="45">
        <f t="shared" si="5"/>
        <v>0.528625</v>
      </c>
      <c r="P106" s="45">
        <f t="shared" si="3"/>
        <v>4.59375</v>
      </c>
      <c r="R106" s="45">
        <f t="shared" si="4"/>
        <v>0.078125</v>
      </c>
    </row>
    <row r="107" ht="19.5" customHeight="1">
      <c r="A107" s="106"/>
      <c r="B107" s="135" t="s">
        <v>481</v>
      </c>
      <c r="C107" s="106"/>
      <c r="D107" s="136">
        <v>0.2</v>
      </c>
      <c r="E107" s="137">
        <v>0.3</v>
      </c>
      <c r="F107" s="138">
        <v>1.55</v>
      </c>
      <c r="G107" s="138">
        <v>1.45</v>
      </c>
      <c r="H107" s="139">
        <v>0.2</v>
      </c>
      <c r="I107" s="139">
        <v>0.35</v>
      </c>
      <c r="J107" s="140">
        <f t="shared" si="1"/>
        <v>2.2475</v>
      </c>
      <c r="K107" s="106"/>
      <c r="M107" s="138">
        <v>3.1</v>
      </c>
      <c r="N107" s="138">
        <v>2.9</v>
      </c>
      <c r="O107" s="45">
        <f t="shared" si="5"/>
        <v>0.7615505827</v>
      </c>
      <c r="P107" s="45">
        <f t="shared" si="3"/>
        <v>5.99625</v>
      </c>
      <c r="R107" s="45">
        <f t="shared" si="4"/>
        <v>0.112375</v>
      </c>
    </row>
    <row r="108" ht="19.5" customHeight="1">
      <c r="A108" s="106"/>
      <c r="B108" s="135" t="s">
        <v>482</v>
      </c>
      <c r="C108" s="106"/>
      <c r="D108" s="136">
        <v>0.2</v>
      </c>
      <c r="E108" s="137">
        <v>0.2</v>
      </c>
      <c r="F108" s="138">
        <v>1.35</v>
      </c>
      <c r="G108" s="138">
        <v>1.35</v>
      </c>
      <c r="H108" s="139">
        <v>0.2</v>
      </c>
      <c r="I108" s="139">
        <v>0.35</v>
      </c>
      <c r="J108" s="140">
        <f t="shared" si="1"/>
        <v>1.8225</v>
      </c>
      <c r="K108" s="106"/>
      <c r="M108" s="138">
        <v>2.7</v>
      </c>
      <c r="N108" s="138">
        <v>2.7</v>
      </c>
      <c r="O108" s="45">
        <f t="shared" si="5"/>
        <v>0.6132916667</v>
      </c>
      <c r="P108" s="45">
        <f t="shared" si="3"/>
        <v>5.13375</v>
      </c>
      <c r="R108" s="45">
        <f t="shared" si="4"/>
        <v>0.091125</v>
      </c>
    </row>
    <row r="109" ht="19.5" customHeight="1">
      <c r="A109" s="106"/>
      <c r="B109" s="135" t="s">
        <v>483</v>
      </c>
      <c r="C109" s="106"/>
      <c r="D109" s="136">
        <v>0.25</v>
      </c>
      <c r="E109" s="137">
        <v>0.25</v>
      </c>
      <c r="F109" s="138">
        <v>0.65</v>
      </c>
      <c r="G109" s="138">
        <v>0.65</v>
      </c>
      <c r="H109" s="139">
        <v>0.2</v>
      </c>
      <c r="I109" s="139">
        <v>0.35</v>
      </c>
      <c r="J109" s="140">
        <f t="shared" si="1"/>
        <v>0.4225</v>
      </c>
      <c r="K109" s="106"/>
      <c r="M109" s="138">
        <v>1.3</v>
      </c>
      <c r="N109" s="138">
        <v>1.3</v>
      </c>
      <c r="O109" s="45">
        <f t="shared" si="5"/>
        <v>0.1600416667</v>
      </c>
      <c r="P109" s="45">
        <f t="shared" si="3"/>
        <v>1.98375</v>
      </c>
      <c r="R109" s="45">
        <f t="shared" si="4"/>
        <v>0.021125</v>
      </c>
    </row>
    <row r="110" ht="19.5" customHeight="1">
      <c r="A110" s="106"/>
      <c r="B110" s="135" t="s">
        <v>484</v>
      </c>
      <c r="C110" s="106"/>
      <c r="D110" s="136">
        <v>0.25</v>
      </c>
      <c r="E110" s="137">
        <v>0.25</v>
      </c>
      <c r="F110" s="138">
        <v>0.65</v>
      </c>
      <c r="G110" s="138">
        <v>0.65</v>
      </c>
      <c r="H110" s="139">
        <v>0.2</v>
      </c>
      <c r="I110" s="139">
        <v>0.35</v>
      </c>
      <c r="J110" s="140">
        <f t="shared" si="1"/>
        <v>0.4225</v>
      </c>
      <c r="K110" s="106"/>
      <c r="M110" s="138">
        <v>1.3</v>
      </c>
      <c r="N110" s="138">
        <v>1.3</v>
      </c>
      <c r="O110" s="45">
        <f t="shared" si="5"/>
        <v>0.1600416667</v>
      </c>
      <c r="P110" s="45">
        <f t="shared" si="3"/>
        <v>1.98375</v>
      </c>
      <c r="R110" s="45">
        <f t="shared" si="4"/>
        <v>0.021125</v>
      </c>
    </row>
    <row r="111" ht="19.5" customHeight="1">
      <c r="A111" s="106"/>
      <c r="B111" s="135" t="s">
        <v>485</v>
      </c>
      <c r="C111" s="106"/>
      <c r="D111" s="136">
        <v>0.25</v>
      </c>
      <c r="E111" s="137">
        <v>0.25</v>
      </c>
      <c r="F111" s="138">
        <v>0.7</v>
      </c>
      <c r="G111" s="138">
        <v>0.8</v>
      </c>
      <c r="H111" s="139">
        <v>0.2</v>
      </c>
      <c r="I111" s="139">
        <v>0.35</v>
      </c>
      <c r="J111" s="140">
        <f t="shared" si="1"/>
        <v>0.56</v>
      </c>
      <c r="K111" s="106"/>
      <c r="M111" s="138">
        <v>1.4</v>
      </c>
      <c r="N111" s="138">
        <v>1.6</v>
      </c>
      <c r="O111" s="45">
        <f t="shared" si="5"/>
        <v>0.2064513348</v>
      </c>
      <c r="P111" s="45">
        <f t="shared" si="3"/>
        <v>2.34</v>
      </c>
      <c r="R111" s="45">
        <f t="shared" si="4"/>
        <v>0.028</v>
      </c>
    </row>
    <row r="112" ht="19.5" customHeight="1">
      <c r="A112" s="106"/>
      <c r="B112" s="135" t="s">
        <v>486</v>
      </c>
      <c r="C112" s="106"/>
      <c r="D112" s="136">
        <v>0.25</v>
      </c>
      <c r="E112" s="137">
        <v>0.25</v>
      </c>
      <c r="F112" s="138">
        <v>0.85</v>
      </c>
      <c r="G112" s="138">
        <v>0.85</v>
      </c>
      <c r="H112" s="139">
        <v>0.2</v>
      </c>
      <c r="I112" s="139">
        <v>0.35</v>
      </c>
      <c r="J112" s="140">
        <f t="shared" si="1"/>
        <v>0.7225</v>
      </c>
      <c r="K112" s="106"/>
      <c r="M112" s="138">
        <v>1.7</v>
      </c>
      <c r="N112" s="138">
        <v>1.7</v>
      </c>
      <c r="O112" s="45">
        <f t="shared" si="5"/>
        <v>0.260875</v>
      </c>
      <c r="P112" s="45">
        <f t="shared" si="3"/>
        <v>2.73375</v>
      </c>
      <c r="R112" s="45">
        <f t="shared" si="4"/>
        <v>0.036125</v>
      </c>
    </row>
    <row r="113" ht="19.5" customHeight="1">
      <c r="A113" s="106"/>
      <c r="B113" s="135" t="s">
        <v>487</v>
      </c>
      <c r="C113" s="106"/>
      <c r="D113" s="136">
        <v>0.2</v>
      </c>
      <c r="E113" s="137">
        <v>0.2</v>
      </c>
      <c r="F113" s="138">
        <v>0.6</v>
      </c>
      <c r="G113" s="138">
        <v>0.6</v>
      </c>
      <c r="H113" s="139">
        <v>0.2</v>
      </c>
      <c r="I113" s="139">
        <v>0.35</v>
      </c>
      <c r="J113" s="140">
        <f t="shared" si="1"/>
        <v>0.36</v>
      </c>
      <c r="K113" s="106"/>
      <c r="M113" s="138">
        <v>1.2</v>
      </c>
      <c r="N113" s="138">
        <v>1.2</v>
      </c>
      <c r="O113" s="45">
        <f t="shared" si="5"/>
        <v>0.1326666667</v>
      </c>
      <c r="P113" s="45">
        <f t="shared" si="3"/>
        <v>1.815</v>
      </c>
      <c r="R113" s="45">
        <f t="shared" si="4"/>
        <v>0.018</v>
      </c>
    </row>
    <row r="114" ht="19.5" customHeight="1">
      <c r="A114" s="106"/>
      <c r="B114" s="135" t="s">
        <v>488</v>
      </c>
      <c r="C114" s="106"/>
      <c r="D114" s="136">
        <v>0.2</v>
      </c>
      <c r="E114" s="137">
        <v>0.2</v>
      </c>
      <c r="F114" s="138">
        <v>0.6</v>
      </c>
      <c r="G114" s="138">
        <v>0.6</v>
      </c>
      <c r="H114" s="139">
        <v>0.2</v>
      </c>
      <c r="I114" s="139">
        <v>0.35</v>
      </c>
      <c r="J114" s="140">
        <f t="shared" si="1"/>
        <v>0.36</v>
      </c>
      <c r="K114" s="106"/>
      <c r="M114" s="138">
        <v>1.2</v>
      </c>
      <c r="N114" s="138">
        <v>1.2</v>
      </c>
      <c r="O114" s="45">
        <f t="shared" si="5"/>
        <v>0.1326666667</v>
      </c>
      <c r="P114" s="45">
        <f t="shared" si="3"/>
        <v>1.815</v>
      </c>
      <c r="R114" s="45">
        <f t="shared" si="4"/>
        <v>0.018</v>
      </c>
    </row>
    <row r="115" ht="19.5" customHeight="1">
      <c r="A115" s="106"/>
      <c r="B115" s="135" t="s">
        <v>489</v>
      </c>
      <c r="C115" s="106"/>
      <c r="D115" s="136">
        <v>0.25</v>
      </c>
      <c r="E115" s="137">
        <v>0.35</v>
      </c>
      <c r="F115" s="138">
        <v>0.75</v>
      </c>
      <c r="G115" s="138">
        <v>0.65</v>
      </c>
      <c r="H115" s="139">
        <v>0.2</v>
      </c>
      <c r="I115" s="139">
        <v>0.35</v>
      </c>
      <c r="J115" s="140">
        <f t="shared" si="1"/>
        <v>0.4875</v>
      </c>
      <c r="K115" s="106"/>
      <c r="M115" s="138">
        <v>1.5</v>
      </c>
      <c r="N115" s="138">
        <v>1.3</v>
      </c>
      <c r="O115" s="45">
        <f t="shared" si="5"/>
        <v>0.1886789545</v>
      </c>
      <c r="P115" s="45">
        <f t="shared" si="3"/>
        <v>2.15625</v>
      </c>
      <c r="R115" s="45">
        <f t="shared" si="4"/>
        <v>0.024375</v>
      </c>
    </row>
    <row r="116" ht="19.5" customHeight="1">
      <c r="A116" s="106"/>
      <c r="B116" s="135" t="s">
        <v>490</v>
      </c>
      <c r="C116" s="106"/>
      <c r="D116" s="136">
        <v>0.25</v>
      </c>
      <c r="E116" s="137">
        <v>0.35</v>
      </c>
      <c r="F116" s="138">
        <v>0.8</v>
      </c>
      <c r="G116" s="138">
        <v>0.7</v>
      </c>
      <c r="H116" s="139">
        <v>0.2</v>
      </c>
      <c r="I116" s="139">
        <v>0.35</v>
      </c>
      <c r="J116" s="140">
        <f t="shared" si="1"/>
        <v>0.56</v>
      </c>
      <c r="K116" s="106"/>
      <c r="M116" s="138">
        <v>1.6</v>
      </c>
      <c r="N116" s="138">
        <v>1.4</v>
      </c>
      <c r="O116" s="45">
        <f t="shared" si="5"/>
        <v>0.2133669342</v>
      </c>
      <c r="P116" s="45">
        <f t="shared" si="3"/>
        <v>2.34</v>
      </c>
      <c r="R116" s="45">
        <f t="shared" si="4"/>
        <v>0.028</v>
      </c>
    </row>
    <row r="117" ht="19.5" customHeight="1">
      <c r="A117" s="106"/>
      <c r="B117" s="135" t="s">
        <v>491</v>
      </c>
      <c r="C117" s="106"/>
      <c r="D117" s="136">
        <v>0.25</v>
      </c>
      <c r="E117" s="137">
        <v>0.25</v>
      </c>
      <c r="F117" s="138">
        <v>0.65</v>
      </c>
      <c r="G117" s="138">
        <v>0.65</v>
      </c>
      <c r="H117" s="139">
        <v>0.2</v>
      </c>
      <c r="I117" s="139">
        <v>0.35</v>
      </c>
      <c r="J117" s="140">
        <f t="shared" si="1"/>
        <v>0.4225</v>
      </c>
      <c r="K117" s="106"/>
      <c r="M117" s="138">
        <v>1.3</v>
      </c>
      <c r="N117" s="138">
        <v>1.3</v>
      </c>
      <c r="O117" s="45">
        <f t="shared" si="5"/>
        <v>0.1600416667</v>
      </c>
      <c r="P117" s="45">
        <f t="shared" si="3"/>
        <v>1.98375</v>
      </c>
      <c r="R117" s="45">
        <f t="shared" si="4"/>
        <v>0.021125</v>
      </c>
    </row>
    <row r="118" ht="19.5" customHeight="1">
      <c r="A118" s="106"/>
      <c r="B118" s="135" t="s">
        <v>492</v>
      </c>
      <c r="C118" s="106"/>
      <c r="D118" s="136">
        <v>0.25</v>
      </c>
      <c r="E118" s="137">
        <v>0.25</v>
      </c>
      <c r="F118" s="138">
        <v>0.65</v>
      </c>
      <c r="G118" s="138">
        <v>0.65</v>
      </c>
      <c r="H118" s="139">
        <v>0.2</v>
      </c>
      <c r="I118" s="139">
        <v>0.35</v>
      </c>
      <c r="J118" s="140">
        <f t="shared" si="1"/>
        <v>0.4225</v>
      </c>
      <c r="K118" s="106"/>
      <c r="M118" s="138">
        <v>1.3</v>
      </c>
      <c r="N118" s="138">
        <v>1.3</v>
      </c>
      <c r="O118" s="45">
        <f t="shared" si="5"/>
        <v>0.1600416667</v>
      </c>
      <c r="P118" s="45">
        <f t="shared" si="3"/>
        <v>1.98375</v>
      </c>
      <c r="R118" s="45">
        <f t="shared" si="4"/>
        <v>0.021125</v>
      </c>
    </row>
    <row r="119" ht="19.5" customHeight="1">
      <c r="A119" s="106"/>
      <c r="B119" s="135" t="s">
        <v>493</v>
      </c>
      <c r="C119" s="106"/>
      <c r="D119" s="136">
        <v>0.25</v>
      </c>
      <c r="E119" s="137">
        <v>0.25</v>
      </c>
      <c r="F119" s="138">
        <v>0.65</v>
      </c>
      <c r="G119" s="138">
        <v>0.65</v>
      </c>
      <c r="H119" s="139">
        <v>0.2</v>
      </c>
      <c r="I119" s="139">
        <v>0.35</v>
      </c>
      <c r="J119" s="140">
        <f t="shared" si="1"/>
        <v>0.4225</v>
      </c>
      <c r="K119" s="106"/>
      <c r="M119" s="138">
        <v>1.3</v>
      </c>
      <c r="N119" s="138">
        <v>1.3</v>
      </c>
      <c r="O119" s="45">
        <f t="shared" si="5"/>
        <v>0.1600416667</v>
      </c>
      <c r="P119" s="45">
        <f t="shared" si="3"/>
        <v>1.98375</v>
      </c>
      <c r="R119" s="45">
        <f t="shared" si="4"/>
        <v>0.021125</v>
      </c>
    </row>
    <row r="120" ht="19.5" customHeight="1">
      <c r="A120" s="106"/>
      <c r="B120" s="135" t="s">
        <v>494</v>
      </c>
      <c r="C120" s="106"/>
      <c r="D120" s="136">
        <v>0.25</v>
      </c>
      <c r="E120" s="137">
        <v>0.25</v>
      </c>
      <c r="F120" s="138">
        <v>0.65</v>
      </c>
      <c r="G120" s="138">
        <v>0.65</v>
      </c>
      <c r="H120" s="139">
        <v>0.2</v>
      </c>
      <c r="I120" s="139">
        <v>0.35</v>
      </c>
      <c r="J120" s="140">
        <f t="shared" si="1"/>
        <v>0.4225</v>
      </c>
      <c r="K120" s="106"/>
      <c r="M120" s="138">
        <v>1.3</v>
      </c>
      <c r="N120" s="138">
        <v>1.3</v>
      </c>
      <c r="O120" s="45">
        <f t="shared" si="5"/>
        <v>0.1600416667</v>
      </c>
      <c r="P120" s="45">
        <f t="shared" si="3"/>
        <v>1.98375</v>
      </c>
      <c r="R120" s="45">
        <f t="shared" si="4"/>
        <v>0.021125</v>
      </c>
    </row>
    <row r="121" ht="19.5" customHeight="1">
      <c r="A121" s="106"/>
      <c r="B121" s="135" t="s">
        <v>495</v>
      </c>
      <c r="C121" s="106"/>
      <c r="D121" s="136">
        <v>0.2</v>
      </c>
      <c r="E121" s="137">
        <v>0.2</v>
      </c>
      <c r="F121" s="138">
        <v>0.6</v>
      </c>
      <c r="G121" s="138">
        <v>0.6</v>
      </c>
      <c r="H121" s="139">
        <v>0.2</v>
      </c>
      <c r="I121" s="139">
        <v>0.35</v>
      </c>
      <c r="J121" s="140">
        <f t="shared" si="1"/>
        <v>0.36</v>
      </c>
      <c r="K121" s="106"/>
      <c r="M121" s="138">
        <v>1.2</v>
      </c>
      <c r="N121" s="138">
        <v>1.2</v>
      </c>
      <c r="O121" s="45">
        <f t="shared" si="5"/>
        <v>0.1326666667</v>
      </c>
      <c r="P121" s="45">
        <f t="shared" si="3"/>
        <v>1.815</v>
      </c>
      <c r="R121" s="45">
        <f t="shared" si="4"/>
        <v>0.018</v>
      </c>
    </row>
    <row r="122" ht="19.5" customHeight="1">
      <c r="A122" s="106"/>
      <c r="B122" s="135" t="s">
        <v>496</v>
      </c>
      <c r="C122" s="106"/>
      <c r="D122" s="136">
        <v>0.2</v>
      </c>
      <c r="E122" s="137">
        <v>0.2</v>
      </c>
      <c r="F122" s="138">
        <v>0.6</v>
      </c>
      <c r="G122" s="138">
        <v>0.6</v>
      </c>
      <c r="H122" s="139">
        <v>0.2</v>
      </c>
      <c r="I122" s="139">
        <v>0.35</v>
      </c>
      <c r="J122" s="140">
        <f t="shared" si="1"/>
        <v>0.36</v>
      </c>
      <c r="K122" s="106"/>
      <c r="M122" s="138">
        <v>1.2</v>
      </c>
      <c r="N122" s="138">
        <v>1.2</v>
      </c>
      <c r="O122" s="45">
        <f t="shared" si="5"/>
        <v>0.1326666667</v>
      </c>
      <c r="P122" s="45">
        <f t="shared" si="3"/>
        <v>1.815</v>
      </c>
      <c r="R122" s="45">
        <f t="shared" si="4"/>
        <v>0.018</v>
      </c>
    </row>
    <row r="123" ht="19.5" customHeight="1">
      <c r="A123" s="106"/>
      <c r="B123" s="135" t="s">
        <v>497</v>
      </c>
      <c r="C123" s="106"/>
      <c r="D123" s="136">
        <v>0.2</v>
      </c>
      <c r="E123" s="137">
        <v>0.2</v>
      </c>
      <c r="F123" s="138">
        <v>0.6</v>
      </c>
      <c r="G123" s="138">
        <v>0.6</v>
      </c>
      <c r="H123" s="139">
        <v>0.2</v>
      </c>
      <c r="I123" s="139">
        <v>0.35</v>
      </c>
      <c r="J123" s="140">
        <f t="shared" si="1"/>
        <v>0.36</v>
      </c>
      <c r="K123" s="106"/>
      <c r="M123" s="138">
        <v>1.2</v>
      </c>
      <c r="N123" s="138">
        <v>1.2</v>
      </c>
      <c r="O123" s="45">
        <f t="shared" si="5"/>
        <v>0.1326666667</v>
      </c>
      <c r="P123" s="45">
        <f t="shared" si="3"/>
        <v>1.815</v>
      </c>
      <c r="R123" s="45">
        <f t="shared" si="4"/>
        <v>0.018</v>
      </c>
    </row>
    <row r="124" ht="19.5" customHeight="1">
      <c r="A124" s="106"/>
      <c r="B124" s="135" t="s">
        <v>498</v>
      </c>
      <c r="C124" s="106"/>
      <c r="D124" s="136">
        <v>0.2</v>
      </c>
      <c r="E124" s="137">
        <v>0.2</v>
      </c>
      <c r="F124" s="138">
        <v>0.6</v>
      </c>
      <c r="G124" s="138">
        <v>0.6</v>
      </c>
      <c r="H124" s="139">
        <v>0.2</v>
      </c>
      <c r="I124" s="139">
        <v>0.35</v>
      </c>
      <c r="J124" s="140">
        <f t="shared" si="1"/>
        <v>0.36</v>
      </c>
      <c r="K124" s="106"/>
      <c r="M124" s="138">
        <v>1.2</v>
      </c>
      <c r="N124" s="138">
        <v>1.2</v>
      </c>
      <c r="O124" s="45">
        <f t="shared" si="5"/>
        <v>0.1326666667</v>
      </c>
      <c r="P124" s="45">
        <f t="shared" si="3"/>
        <v>1.815</v>
      </c>
      <c r="R124" s="45">
        <f t="shared" si="4"/>
        <v>0.018</v>
      </c>
      <c r="S124" s="2" t="s">
        <v>499</v>
      </c>
    </row>
    <row r="125" ht="19.5" customHeight="1">
      <c r="A125" s="106"/>
      <c r="B125" s="135" t="s">
        <v>500</v>
      </c>
      <c r="C125" s="106"/>
      <c r="D125" s="140"/>
      <c r="E125" s="137">
        <v>0.14</v>
      </c>
      <c r="F125" s="103">
        <v>34.2</v>
      </c>
      <c r="G125" s="138">
        <v>0.55</v>
      </c>
      <c r="H125" s="108"/>
      <c r="I125" s="108"/>
      <c r="J125" s="140">
        <f t="shared" ref="J125:J179" si="6">E125*F125</f>
        <v>4.788</v>
      </c>
      <c r="K125" s="106" t="str">
        <f>"+0,20 de cada lado"</f>
        <v>+0,20 de cada lado</v>
      </c>
      <c r="M125" s="2">
        <v>68.4</v>
      </c>
      <c r="O125" s="45">
        <f t="shared" ref="O125:O179" si="7">G125*F125*E125</f>
        <v>2.6334</v>
      </c>
      <c r="P125" s="45">
        <f t="shared" ref="P125:P179" si="8">F125*(E125+0.4)*G125</f>
        <v>10.1574</v>
      </c>
      <c r="R125" s="45">
        <f t="shared" ref="R125:R179" si="9">E125*F125*0.05</f>
        <v>0.2394</v>
      </c>
      <c r="S125" s="45">
        <f t="shared" ref="S125:S179" si="10">(G125+G125+E125)*F125</f>
        <v>42.408</v>
      </c>
    </row>
    <row r="126" ht="19.5" customHeight="1">
      <c r="A126" s="106"/>
      <c r="B126" s="135" t="s">
        <v>501</v>
      </c>
      <c r="C126" s="106"/>
      <c r="D126" s="140"/>
      <c r="E126" s="137">
        <v>0.14</v>
      </c>
      <c r="F126" s="103">
        <v>18.08</v>
      </c>
      <c r="G126" s="138">
        <v>0.55</v>
      </c>
      <c r="H126" s="108"/>
      <c r="I126" s="108"/>
      <c r="J126" s="140">
        <f t="shared" si="6"/>
        <v>2.5312</v>
      </c>
      <c r="K126" s="106"/>
      <c r="M126" s="2">
        <v>36.16</v>
      </c>
      <c r="O126" s="45">
        <f t="shared" si="7"/>
        <v>1.39216</v>
      </c>
      <c r="P126" s="45">
        <f t="shared" si="8"/>
        <v>5.36976</v>
      </c>
      <c r="R126" s="45">
        <f t="shared" si="9"/>
        <v>0.12656</v>
      </c>
      <c r="S126" s="45">
        <f t="shared" si="10"/>
        <v>22.4192</v>
      </c>
    </row>
    <row r="127" ht="19.5" customHeight="1">
      <c r="A127" s="106"/>
      <c r="B127" s="135" t="s">
        <v>502</v>
      </c>
      <c r="C127" s="106"/>
      <c r="D127" s="140"/>
      <c r="E127" s="137">
        <v>0.14</v>
      </c>
      <c r="F127" s="103">
        <v>2.52</v>
      </c>
      <c r="G127" s="138">
        <v>0.55</v>
      </c>
      <c r="H127" s="108"/>
      <c r="I127" s="108"/>
      <c r="J127" s="140">
        <f t="shared" si="6"/>
        <v>0.3528</v>
      </c>
      <c r="K127" s="106"/>
      <c r="M127" s="2">
        <v>5.04</v>
      </c>
      <c r="O127" s="45">
        <f t="shared" si="7"/>
        <v>0.19404</v>
      </c>
      <c r="P127" s="45">
        <f t="shared" si="8"/>
        <v>0.74844</v>
      </c>
      <c r="R127" s="45">
        <f t="shared" si="9"/>
        <v>0.01764</v>
      </c>
      <c r="S127" s="45">
        <f t="shared" si="10"/>
        <v>3.1248</v>
      </c>
    </row>
    <row r="128" ht="19.5" customHeight="1">
      <c r="A128" s="106"/>
      <c r="B128" s="135" t="s">
        <v>503</v>
      </c>
      <c r="C128" s="106"/>
      <c r="D128" s="140"/>
      <c r="E128" s="137">
        <v>0.14</v>
      </c>
      <c r="F128" s="103">
        <v>5.38</v>
      </c>
      <c r="G128" s="138">
        <v>0.55</v>
      </c>
      <c r="H128" s="108"/>
      <c r="I128" s="108"/>
      <c r="J128" s="140">
        <f t="shared" si="6"/>
        <v>0.7532</v>
      </c>
      <c r="K128" s="106"/>
      <c r="M128" s="2">
        <v>10.76</v>
      </c>
      <c r="O128" s="45">
        <f t="shared" si="7"/>
        <v>0.41426</v>
      </c>
      <c r="P128" s="45">
        <f t="shared" si="8"/>
        <v>1.59786</v>
      </c>
      <c r="R128" s="45">
        <f t="shared" si="9"/>
        <v>0.03766</v>
      </c>
      <c r="S128" s="45">
        <f t="shared" si="10"/>
        <v>6.6712</v>
      </c>
    </row>
    <row r="129" ht="19.5" customHeight="1">
      <c r="A129" s="106"/>
      <c r="B129" s="135" t="s">
        <v>504</v>
      </c>
      <c r="C129" s="106"/>
      <c r="D129" s="140"/>
      <c r="E129" s="137">
        <v>0.14</v>
      </c>
      <c r="F129" s="103">
        <v>2.52</v>
      </c>
      <c r="G129" s="138">
        <v>0.55</v>
      </c>
      <c r="H129" s="108"/>
      <c r="I129" s="108"/>
      <c r="J129" s="140">
        <f t="shared" si="6"/>
        <v>0.3528</v>
      </c>
      <c r="K129" s="106"/>
      <c r="M129" s="2">
        <v>5.04</v>
      </c>
      <c r="O129" s="45">
        <f t="shared" si="7"/>
        <v>0.19404</v>
      </c>
      <c r="P129" s="45">
        <f t="shared" si="8"/>
        <v>0.74844</v>
      </c>
      <c r="R129" s="45">
        <f t="shared" si="9"/>
        <v>0.01764</v>
      </c>
      <c r="S129" s="45">
        <f t="shared" si="10"/>
        <v>3.1248</v>
      </c>
    </row>
    <row r="130" ht="19.5" customHeight="1">
      <c r="A130" s="106"/>
      <c r="B130" s="135" t="s">
        <v>505</v>
      </c>
      <c r="C130" s="106"/>
      <c r="D130" s="140"/>
      <c r="E130" s="137">
        <v>0.14</v>
      </c>
      <c r="F130" s="103">
        <v>34.4</v>
      </c>
      <c r="G130" s="138">
        <v>0.55</v>
      </c>
      <c r="H130" s="108"/>
      <c r="I130" s="108"/>
      <c r="J130" s="140">
        <f t="shared" si="6"/>
        <v>4.816</v>
      </c>
      <c r="K130" s="106"/>
      <c r="M130" s="2">
        <v>68.8</v>
      </c>
      <c r="O130" s="45">
        <f t="shared" si="7"/>
        <v>2.6488</v>
      </c>
      <c r="P130" s="45">
        <f t="shared" si="8"/>
        <v>10.2168</v>
      </c>
      <c r="R130" s="45">
        <f t="shared" si="9"/>
        <v>0.2408</v>
      </c>
      <c r="S130" s="45">
        <f t="shared" si="10"/>
        <v>42.656</v>
      </c>
    </row>
    <row r="131" ht="19.5" customHeight="1">
      <c r="A131" s="106"/>
      <c r="B131" s="135" t="s">
        <v>506</v>
      </c>
      <c r="C131" s="106"/>
      <c r="D131" s="140"/>
      <c r="E131" s="137">
        <v>0.14</v>
      </c>
      <c r="F131" s="103">
        <v>16.025</v>
      </c>
      <c r="G131" s="138">
        <v>0.55</v>
      </c>
      <c r="H131" s="108"/>
      <c r="I131" s="108"/>
      <c r="J131" s="140">
        <f t="shared" si="6"/>
        <v>2.2435</v>
      </c>
      <c r="K131" s="106"/>
      <c r="M131" s="2">
        <v>32.05</v>
      </c>
      <c r="O131" s="45">
        <f t="shared" si="7"/>
        <v>1.233925</v>
      </c>
      <c r="P131" s="45">
        <f t="shared" si="8"/>
        <v>4.759425</v>
      </c>
      <c r="R131" s="45">
        <f t="shared" si="9"/>
        <v>0.112175</v>
      </c>
      <c r="S131" s="45">
        <f t="shared" si="10"/>
        <v>19.871</v>
      </c>
    </row>
    <row r="132" ht="19.5" customHeight="1">
      <c r="A132" s="106"/>
      <c r="B132" s="135" t="s">
        <v>507</v>
      </c>
      <c r="C132" s="106"/>
      <c r="D132" s="140"/>
      <c r="E132" s="137">
        <v>0.14</v>
      </c>
      <c r="F132" s="103">
        <v>34.4</v>
      </c>
      <c r="G132" s="138">
        <v>0.55</v>
      </c>
      <c r="H132" s="108"/>
      <c r="I132" s="108"/>
      <c r="J132" s="140">
        <f t="shared" si="6"/>
        <v>4.816</v>
      </c>
      <c r="K132" s="106"/>
      <c r="M132" s="2">
        <v>68.8</v>
      </c>
      <c r="O132" s="45">
        <f t="shared" si="7"/>
        <v>2.6488</v>
      </c>
      <c r="P132" s="45">
        <f t="shared" si="8"/>
        <v>10.2168</v>
      </c>
      <c r="R132" s="45">
        <f t="shared" si="9"/>
        <v>0.2408</v>
      </c>
      <c r="S132" s="45">
        <f t="shared" si="10"/>
        <v>42.656</v>
      </c>
    </row>
    <row r="133" ht="19.5" customHeight="1">
      <c r="A133" s="106"/>
      <c r="B133" s="135" t="s">
        <v>508</v>
      </c>
      <c r="C133" s="106"/>
      <c r="D133" s="140"/>
      <c r="E133" s="137">
        <v>0.14</v>
      </c>
      <c r="F133" s="103">
        <v>16.025</v>
      </c>
      <c r="G133" s="138">
        <v>0.55</v>
      </c>
      <c r="H133" s="108"/>
      <c r="I133" s="108"/>
      <c r="J133" s="140">
        <f t="shared" si="6"/>
        <v>2.2435</v>
      </c>
      <c r="K133" s="106"/>
      <c r="M133" s="2">
        <v>32.05</v>
      </c>
      <c r="O133" s="45">
        <f t="shared" si="7"/>
        <v>1.233925</v>
      </c>
      <c r="P133" s="45">
        <f t="shared" si="8"/>
        <v>4.759425</v>
      </c>
      <c r="R133" s="45">
        <f t="shared" si="9"/>
        <v>0.112175</v>
      </c>
      <c r="S133" s="45">
        <f t="shared" si="10"/>
        <v>19.871</v>
      </c>
    </row>
    <row r="134" ht="19.5" customHeight="1">
      <c r="A134" s="106"/>
      <c r="B134" s="135" t="s">
        <v>509</v>
      </c>
      <c r="C134" s="106"/>
      <c r="D134" s="140"/>
      <c r="E134" s="137">
        <v>0.14</v>
      </c>
      <c r="F134" s="103">
        <v>34.2</v>
      </c>
      <c r="G134" s="138">
        <v>0.55</v>
      </c>
      <c r="H134" s="108"/>
      <c r="I134" s="108"/>
      <c r="J134" s="140">
        <f t="shared" si="6"/>
        <v>4.788</v>
      </c>
      <c r="K134" s="106"/>
      <c r="M134" s="2">
        <v>68.4</v>
      </c>
      <c r="O134" s="45">
        <f t="shared" si="7"/>
        <v>2.6334</v>
      </c>
      <c r="P134" s="45">
        <f t="shared" si="8"/>
        <v>10.1574</v>
      </c>
      <c r="R134" s="45">
        <f t="shared" si="9"/>
        <v>0.2394</v>
      </c>
      <c r="S134" s="45">
        <f t="shared" si="10"/>
        <v>42.408</v>
      </c>
    </row>
    <row r="135" ht="19.5" customHeight="1">
      <c r="A135" s="106"/>
      <c r="B135" s="135" t="s">
        <v>510</v>
      </c>
      <c r="C135" s="106"/>
      <c r="D135" s="140"/>
      <c r="E135" s="137">
        <v>0.14</v>
      </c>
      <c r="F135" s="103">
        <v>18.08</v>
      </c>
      <c r="G135" s="138">
        <v>0.55</v>
      </c>
      <c r="H135" s="108"/>
      <c r="I135" s="108"/>
      <c r="J135" s="140">
        <f t="shared" si="6"/>
        <v>2.5312</v>
      </c>
      <c r="K135" s="106"/>
      <c r="M135" s="2">
        <v>36.16</v>
      </c>
      <c r="O135" s="45">
        <f t="shared" si="7"/>
        <v>1.39216</v>
      </c>
      <c r="P135" s="45">
        <f t="shared" si="8"/>
        <v>5.36976</v>
      </c>
      <c r="R135" s="45">
        <f t="shared" si="9"/>
        <v>0.12656</v>
      </c>
      <c r="S135" s="45">
        <f t="shared" si="10"/>
        <v>22.4192</v>
      </c>
    </row>
    <row r="136" ht="19.5" customHeight="1">
      <c r="A136" s="106"/>
      <c r="B136" s="135" t="s">
        <v>511</v>
      </c>
      <c r="C136" s="106"/>
      <c r="D136" s="140"/>
      <c r="E136" s="137">
        <v>0.14</v>
      </c>
      <c r="F136" s="103">
        <v>2.02</v>
      </c>
      <c r="G136" s="138">
        <v>0.3</v>
      </c>
      <c r="H136" s="108"/>
      <c r="I136" s="108"/>
      <c r="J136" s="140">
        <f t="shared" si="6"/>
        <v>0.2828</v>
      </c>
      <c r="K136" s="106"/>
      <c r="M136" s="2">
        <v>4.04</v>
      </c>
      <c r="O136" s="45">
        <f t="shared" si="7"/>
        <v>0.08484</v>
      </c>
      <c r="P136" s="45">
        <f t="shared" si="8"/>
        <v>0.32724</v>
      </c>
      <c r="R136" s="45">
        <f t="shared" si="9"/>
        <v>0.01414</v>
      </c>
      <c r="S136" s="45">
        <f t="shared" si="10"/>
        <v>1.4948</v>
      </c>
    </row>
    <row r="137" ht="19.5" customHeight="1">
      <c r="A137" s="106"/>
      <c r="B137" s="135" t="s">
        <v>512</v>
      </c>
      <c r="C137" s="106"/>
      <c r="D137" s="140"/>
      <c r="E137" s="137">
        <v>0.14</v>
      </c>
      <c r="F137" s="103">
        <v>13.72</v>
      </c>
      <c r="G137" s="138">
        <v>0.35</v>
      </c>
      <c r="H137" s="108"/>
      <c r="I137" s="108"/>
      <c r="J137" s="140">
        <f t="shared" si="6"/>
        <v>1.9208</v>
      </c>
      <c r="K137" s="106"/>
      <c r="M137" s="2">
        <v>27.44</v>
      </c>
      <c r="O137" s="45">
        <f t="shared" si="7"/>
        <v>0.67228</v>
      </c>
      <c r="P137" s="45">
        <f t="shared" si="8"/>
        <v>2.59308</v>
      </c>
      <c r="R137" s="45">
        <f t="shared" si="9"/>
        <v>0.09604</v>
      </c>
      <c r="S137" s="45">
        <f t="shared" si="10"/>
        <v>11.5248</v>
      </c>
    </row>
    <row r="138" ht="19.5" customHeight="1">
      <c r="A138" s="106"/>
      <c r="B138" s="135" t="s">
        <v>513</v>
      </c>
      <c r="C138" s="106"/>
      <c r="D138" s="140"/>
      <c r="E138" s="137">
        <v>0.14</v>
      </c>
      <c r="F138" s="103">
        <v>4.17</v>
      </c>
      <c r="G138" s="138">
        <v>0.5</v>
      </c>
      <c r="H138" s="108"/>
      <c r="I138" s="108"/>
      <c r="J138" s="140">
        <f t="shared" si="6"/>
        <v>0.5838</v>
      </c>
      <c r="K138" s="106"/>
      <c r="M138" s="2">
        <v>8.34</v>
      </c>
      <c r="O138" s="45">
        <f t="shared" si="7"/>
        <v>0.2919</v>
      </c>
      <c r="P138" s="45">
        <f t="shared" si="8"/>
        <v>1.1259</v>
      </c>
      <c r="R138" s="45">
        <f t="shared" si="9"/>
        <v>0.02919</v>
      </c>
      <c r="S138" s="45">
        <f t="shared" si="10"/>
        <v>4.7538</v>
      </c>
    </row>
    <row r="139" ht="19.5" customHeight="1">
      <c r="A139" s="106"/>
      <c r="B139" s="135" t="s">
        <v>514</v>
      </c>
      <c r="C139" s="106"/>
      <c r="D139" s="140"/>
      <c r="E139" s="137">
        <v>0.14</v>
      </c>
      <c r="F139" s="103">
        <v>4.17</v>
      </c>
      <c r="G139" s="138">
        <v>0.5</v>
      </c>
      <c r="H139" s="108"/>
      <c r="I139" s="108"/>
      <c r="J139" s="140">
        <f t="shared" si="6"/>
        <v>0.5838</v>
      </c>
      <c r="K139" s="106"/>
      <c r="M139" s="2">
        <v>8.34</v>
      </c>
      <c r="O139" s="45">
        <f t="shared" si="7"/>
        <v>0.2919</v>
      </c>
      <c r="P139" s="45">
        <f t="shared" si="8"/>
        <v>1.1259</v>
      </c>
      <c r="R139" s="45">
        <f t="shared" si="9"/>
        <v>0.02919</v>
      </c>
      <c r="S139" s="45">
        <f t="shared" si="10"/>
        <v>4.7538</v>
      </c>
    </row>
    <row r="140" ht="19.5" customHeight="1">
      <c r="A140" s="106"/>
      <c r="B140" s="135" t="s">
        <v>515</v>
      </c>
      <c r="C140" s="106"/>
      <c r="D140" s="140"/>
      <c r="E140" s="137">
        <v>0.14</v>
      </c>
      <c r="F140" s="103">
        <v>6.71</v>
      </c>
      <c r="G140" s="138">
        <v>0.35</v>
      </c>
      <c r="H140" s="108"/>
      <c r="I140" s="108"/>
      <c r="J140" s="140">
        <f t="shared" si="6"/>
        <v>0.9394</v>
      </c>
      <c r="K140" s="106"/>
      <c r="M140" s="2">
        <v>13.42</v>
      </c>
      <c r="O140" s="45">
        <f t="shared" si="7"/>
        <v>0.32879</v>
      </c>
      <c r="P140" s="45">
        <f t="shared" si="8"/>
        <v>1.26819</v>
      </c>
      <c r="R140" s="45">
        <f t="shared" si="9"/>
        <v>0.04697</v>
      </c>
      <c r="S140" s="45">
        <f t="shared" si="10"/>
        <v>5.6364</v>
      </c>
    </row>
    <row r="141" ht="19.5" customHeight="1">
      <c r="A141" s="106"/>
      <c r="B141" s="135" t="s">
        <v>516</v>
      </c>
      <c r="C141" s="106"/>
      <c r="D141" s="140"/>
      <c r="E141" s="137">
        <v>0.14</v>
      </c>
      <c r="F141" s="103">
        <v>1.95</v>
      </c>
      <c r="G141" s="138">
        <v>0.3</v>
      </c>
      <c r="H141" s="108"/>
      <c r="I141" s="108"/>
      <c r="J141" s="140">
        <f t="shared" si="6"/>
        <v>0.273</v>
      </c>
      <c r="K141" s="106"/>
      <c r="M141" s="2">
        <v>3.9</v>
      </c>
      <c r="O141" s="45">
        <f t="shared" si="7"/>
        <v>0.0819</v>
      </c>
      <c r="P141" s="45">
        <f t="shared" si="8"/>
        <v>0.3159</v>
      </c>
      <c r="R141" s="45">
        <f t="shared" si="9"/>
        <v>0.01365</v>
      </c>
      <c r="S141" s="45">
        <f t="shared" si="10"/>
        <v>1.443</v>
      </c>
    </row>
    <row r="142" ht="19.5" customHeight="1">
      <c r="A142" s="106"/>
      <c r="B142" s="135" t="s">
        <v>517</v>
      </c>
      <c r="C142" s="106"/>
      <c r="D142" s="140"/>
      <c r="E142" s="137">
        <v>0.14</v>
      </c>
      <c r="F142" s="103">
        <v>16.45</v>
      </c>
      <c r="G142" s="138">
        <v>0.55</v>
      </c>
      <c r="H142" s="108"/>
      <c r="I142" s="108"/>
      <c r="J142" s="140">
        <f t="shared" si="6"/>
        <v>2.303</v>
      </c>
      <c r="K142" s="106"/>
      <c r="M142" s="2">
        <v>32.9</v>
      </c>
      <c r="O142" s="45">
        <f t="shared" si="7"/>
        <v>1.26665</v>
      </c>
      <c r="P142" s="45">
        <f t="shared" si="8"/>
        <v>4.88565</v>
      </c>
      <c r="R142" s="45">
        <f t="shared" si="9"/>
        <v>0.11515</v>
      </c>
      <c r="S142" s="45">
        <f t="shared" si="10"/>
        <v>20.398</v>
      </c>
    </row>
    <row r="143" ht="19.5" customHeight="1">
      <c r="A143" s="106"/>
      <c r="B143" s="135" t="s">
        <v>518</v>
      </c>
      <c r="C143" s="106"/>
      <c r="D143" s="140"/>
      <c r="E143" s="137">
        <v>0.14</v>
      </c>
      <c r="F143" s="103">
        <v>3.9</v>
      </c>
      <c r="G143" s="138">
        <v>0.5</v>
      </c>
      <c r="H143" s="108"/>
      <c r="I143" s="108"/>
      <c r="J143" s="140">
        <f t="shared" si="6"/>
        <v>0.546</v>
      </c>
      <c r="K143" s="106"/>
      <c r="M143" s="2">
        <v>7.8</v>
      </c>
      <c r="O143" s="45">
        <f t="shared" si="7"/>
        <v>0.273</v>
      </c>
      <c r="P143" s="45">
        <f t="shared" si="8"/>
        <v>1.053</v>
      </c>
      <c r="R143" s="45">
        <f t="shared" si="9"/>
        <v>0.0273</v>
      </c>
      <c r="S143" s="45">
        <f t="shared" si="10"/>
        <v>4.446</v>
      </c>
    </row>
    <row r="144" ht="19.5" customHeight="1">
      <c r="A144" s="106"/>
      <c r="B144" s="135" t="s">
        <v>519</v>
      </c>
      <c r="C144" s="106"/>
      <c r="D144" s="140"/>
      <c r="E144" s="137">
        <v>0.14</v>
      </c>
      <c r="F144" s="103">
        <v>2.1</v>
      </c>
      <c r="G144" s="138">
        <v>0.3</v>
      </c>
      <c r="H144" s="108"/>
      <c r="I144" s="108"/>
      <c r="J144" s="140">
        <f t="shared" si="6"/>
        <v>0.294</v>
      </c>
      <c r="K144" s="106"/>
      <c r="M144" s="2">
        <v>4.2</v>
      </c>
      <c r="O144" s="45">
        <f t="shared" si="7"/>
        <v>0.0882</v>
      </c>
      <c r="P144" s="45">
        <f t="shared" si="8"/>
        <v>0.3402</v>
      </c>
      <c r="R144" s="45">
        <f t="shared" si="9"/>
        <v>0.0147</v>
      </c>
      <c r="S144" s="45">
        <f t="shared" si="10"/>
        <v>1.554</v>
      </c>
    </row>
    <row r="145" ht="19.5" customHeight="1">
      <c r="A145" s="106"/>
      <c r="B145" s="135" t="s">
        <v>520</v>
      </c>
      <c r="C145" s="106"/>
      <c r="D145" s="140"/>
      <c r="E145" s="137">
        <v>0.14</v>
      </c>
      <c r="F145" s="103">
        <v>3.9</v>
      </c>
      <c r="G145" s="138">
        <v>0.3</v>
      </c>
      <c r="H145" s="108"/>
      <c r="I145" s="108"/>
      <c r="J145" s="140">
        <f t="shared" si="6"/>
        <v>0.546</v>
      </c>
      <c r="K145" s="106"/>
      <c r="M145" s="2">
        <v>7.8</v>
      </c>
      <c r="O145" s="45">
        <f t="shared" si="7"/>
        <v>0.1638</v>
      </c>
      <c r="P145" s="45">
        <f t="shared" si="8"/>
        <v>0.6318</v>
      </c>
      <c r="R145" s="45">
        <f t="shared" si="9"/>
        <v>0.0273</v>
      </c>
      <c r="S145" s="45">
        <f t="shared" si="10"/>
        <v>2.886</v>
      </c>
    </row>
    <row r="146" ht="19.5" customHeight="1">
      <c r="A146" s="106"/>
      <c r="B146" s="135" t="s">
        <v>521</v>
      </c>
      <c r="C146" s="106"/>
      <c r="D146" s="140"/>
      <c r="E146" s="137">
        <v>0.2</v>
      </c>
      <c r="F146" s="103">
        <v>2.19</v>
      </c>
      <c r="G146" s="138">
        <v>0.5</v>
      </c>
      <c r="H146" s="108"/>
      <c r="I146" s="108"/>
      <c r="J146" s="140">
        <f t="shared" si="6"/>
        <v>0.438</v>
      </c>
      <c r="K146" s="106"/>
      <c r="M146" s="2">
        <v>4.38</v>
      </c>
      <c r="O146" s="45">
        <f t="shared" si="7"/>
        <v>0.219</v>
      </c>
      <c r="P146" s="45">
        <f t="shared" si="8"/>
        <v>0.657</v>
      </c>
      <c r="R146" s="45">
        <f t="shared" si="9"/>
        <v>0.0219</v>
      </c>
      <c r="S146" s="45">
        <f t="shared" si="10"/>
        <v>2.628</v>
      </c>
    </row>
    <row r="147" ht="19.5" customHeight="1">
      <c r="A147" s="106"/>
      <c r="B147" s="135" t="s">
        <v>522</v>
      </c>
      <c r="C147" s="106"/>
      <c r="D147" s="140"/>
      <c r="E147" s="137">
        <v>0.14</v>
      </c>
      <c r="F147" s="103">
        <v>2.33</v>
      </c>
      <c r="G147" s="138">
        <v>0.5</v>
      </c>
      <c r="H147" s="108"/>
      <c r="I147" s="108"/>
      <c r="J147" s="140">
        <f t="shared" si="6"/>
        <v>0.3262</v>
      </c>
      <c r="K147" s="106"/>
      <c r="M147" s="2">
        <v>4.66</v>
      </c>
      <c r="O147" s="45">
        <f t="shared" si="7"/>
        <v>0.1631</v>
      </c>
      <c r="P147" s="45">
        <f t="shared" si="8"/>
        <v>0.6291</v>
      </c>
      <c r="R147" s="45">
        <f t="shared" si="9"/>
        <v>0.01631</v>
      </c>
      <c r="S147" s="45">
        <f t="shared" si="10"/>
        <v>2.6562</v>
      </c>
    </row>
    <row r="148" ht="19.5" customHeight="1">
      <c r="A148" s="106"/>
      <c r="B148" s="135" t="s">
        <v>523</v>
      </c>
      <c r="C148" s="106"/>
      <c r="D148" s="140"/>
      <c r="E148" s="137">
        <v>0.2</v>
      </c>
      <c r="F148" s="103">
        <v>3.9</v>
      </c>
      <c r="G148" s="138">
        <v>0.5</v>
      </c>
      <c r="H148" s="108"/>
      <c r="I148" s="108"/>
      <c r="J148" s="140">
        <f t="shared" si="6"/>
        <v>0.78</v>
      </c>
      <c r="K148" s="106"/>
      <c r="M148" s="45">
        <f>3.9*2</f>
        <v>7.8</v>
      </c>
      <c r="O148" s="45">
        <f t="shared" si="7"/>
        <v>0.39</v>
      </c>
      <c r="P148" s="45">
        <f t="shared" si="8"/>
        <v>1.17</v>
      </c>
      <c r="R148" s="45">
        <f t="shared" si="9"/>
        <v>0.039</v>
      </c>
      <c r="S148" s="45">
        <f t="shared" si="10"/>
        <v>4.68</v>
      </c>
    </row>
    <row r="149" ht="19.5" customHeight="1">
      <c r="A149" s="106"/>
      <c r="B149" s="135" t="s">
        <v>524</v>
      </c>
      <c r="C149" s="106"/>
      <c r="D149" s="140"/>
      <c r="E149" s="137">
        <v>0.14</v>
      </c>
      <c r="F149" s="103">
        <v>2.35</v>
      </c>
      <c r="G149" s="138">
        <v>0.5</v>
      </c>
      <c r="H149" s="108"/>
      <c r="I149" s="108"/>
      <c r="J149" s="140">
        <f t="shared" si="6"/>
        <v>0.329</v>
      </c>
      <c r="K149" s="106"/>
      <c r="M149" s="2">
        <v>4.7</v>
      </c>
      <c r="O149" s="45">
        <f t="shared" si="7"/>
        <v>0.1645</v>
      </c>
      <c r="P149" s="45">
        <f t="shared" si="8"/>
        <v>0.6345</v>
      </c>
      <c r="R149" s="45">
        <f t="shared" si="9"/>
        <v>0.01645</v>
      </c>
      <c r="S149" s="45">
        <f t="shared" si="10"/>
        <v>2.679</v>
      </c>
    </row>
    <row r="150" ht="19.5" customHeight="1">
      <c r="A150" s="106"/>
      <c r="B150" s="135" t="s">
        <v>525</v>
      </c>
      <c r="C150" s="106"/>
      <c r="D150" s="140"/>
      <c r="E150" s="137">
        <v>0.2</v>
      </c>
      <c r="F150" s="103">
        <v>2.2</v>
      </c>
      <c r="G150" s="138">
        <v>0.5</v>
      </c>
      <c r="H150" s="108"/>
      <c r="I150" s="108"/>
      <c r="J150" s="140">
        <f t="shared" si="6"/>
        <v>0.44</v>
      </c>
      <c r="K150" s="106"/>
      <c r="M150" s="2">
        <v>4.4</v>
      </c>
      <c r="O150" s="45">
        <f t="shared" si="7"/>
        <v>0.22</v>
      </c>
      <c r="P150" s="45">
        <f t="shared" si="8"/>
        <v>0.66</v>
      </c>
      <c r="R150" s="45">
        <f t="shared" si="9"/>
        <v>0.022</v>
      </c>
      <c r="S150" s="45">
        <f t="shared" si="10"/>
        <v>2.64</v>
      </c>
    </row>
    <row r="151" ht="19.5" customHeight="1">
      <c r="A151" s="106"/>
      <c r="B151" s="135" t="s">
        <v>526</v>
      </c>
      <c r="C151" s="106"/>
      <c r="D151" s="140"/>
      <c r="E151" s="137">
        <v>0.14</v>
      </c>
      <c r="F151" s="103">
        <v>16.45</v>
      </c>
      <c r="G151" s="138">
        <v>0.55</v>
      </c>
      <c r="H151" s="108"/>
      <c r="I151" s="108"/>
      <c r="J151" s="140">
        <f t="shared" si="6"/>
        <v>2.303</v>
      </c>
      <c r="K151" s="106"/>
      <c r="M151" s="2">
        <v>32.9</v>
      </c>
      <c r="O151" s="45">
        <f t="shared" si="7"/>
        <v>1.26665</v>
      </c>
      <c r="P151" s="45">
        <f t="shared" si="8"/>
        <v>4.88565</v>
      </c>
      <c r="R151" s="45">
        <f t="shared" si="9"/>
        <v>0.11515</v>
      </c>
      <c r="S151" s="45">
        <f t="shared" si="10"/>
        <v>20.398</v>
      </c>
    </row>
    <row r="152" ht="19.5" customHeight="1">
      <c r="A152" s="106"/>
      <c r="B152" s="135" t="s">
        <v>527</v>
      </c>
      <c r="C152" s="106"/>
      <c r="D152" s="140"/>
      <c r="E152" s="137">
        <v>0.2</v>
      </c>
      <c r="F152" s="103">
        <v>2.19</v>
      </c>
      <c r="G152" s="138">
        <v>0.5</v>
      </c>
      <c r="H152" s="108"/>
      <c r="I152" s="108"/>
      <c r="J152" s="140">
        <f t="shared" si="6"/>
        <v>0.438</v>
      </c>
      <c r="K152" s="106"/>
      <c r="M152" s="2">
        <v>4.38</v>
      </c>
      <c r="O152" s="45">
        <f t="shared" si="7"/>
        <v>0.219</v>
      </c>
      <c r="P152" s="45">
        <f t="shared" si="8"/>
        <v>0.657</v>
      </c>
      <c r="R152" s="45">
        <f t="shared" si="9"/>
        <v>0.0219</v>
      </c>
      <c r="S152" s="45">
        <f t="shared" si="10"/>
        <v>2.628</v>
      </c>
    </row>
    <row r="153" ht="19.5" customHeight="1">
      <c r="A153" s="106"/>
      <c r="B153" s="135" t="s">
        <v>528</v>
      </c>
      <c r="C153" s="106"/>
      <c r="D153" s="140"/>
      <c r="E153" s="137">
        <v>0.14</v>
      </c>
      <c r="F153" s="103">
        <v>8.96</v>
      </c>
      <c r="G153" s="138">
        <v>0.5</v>
      </c>
      <c r="H153" s="108"/>
      <c r="I153" s="108"/>
      <c r="J153" s="140">
        <f t="shared" si="6"/>
        <v>1.2544</v>
      </c>
      <c r="K153" s="106"/>
      <c r="M153" s="2">
        <v>17.92</v>
      </c>
      <c r="O153" s="45">
        <f t="shared" si="7"/>
        <v>0.6272</v>
      </c>
      <c r="P153" s="45">
        <f t="shared" si="8"/>
        <v>2.4192</v>
      </c>
      <c r="R153" s="45">
        <f t="shared" si="9"/>
        <v>0.06272</v>
      </c>
      <c r="S153" s="45">
        <f t="shared" si="10"/>
        <v>10.2144</v>
      </c>
    </row>
    <row r="154" ht="19.5" customHeight="1">
      <c r="A154" s="106"/>
      <c r="B154" s="135" t="s">
        <v>529</v>
      </c>
      <c r="C154" s="106"/>
      <c r="D154" s="140"/>
      <c r="E154" s="137">
        <v>0.2</v>
      </c>
      <c r="F154" s="103">
        <v>2.22</v>
      </c>
      <c r="G154" s="138">
        <v>0.5</v>
      </c>
      <c r="H154" s="108"/>
      <c r="I154" s="108"/>
      <c r="J154" s="140">
        <f t="shared" si="6"/>
        <v>0.444</v>
      </c>
      <c r="K154" s="106"/>
      <c r="M154" s="2">
        <v>4.44</v>
      </c>
      <c r="O154" s="45">
        <f t="shared" si="7"/>
        <v>0.222</v>
      </c>
      <c r="P154" s="45">
        <f t="shared" si="8"/>
        <v>0.666</v>
      </c>
      <c r="R154" s="45">
        <f t="shared" si="9"/>
        <v>0.0222</v>
      </c>
      <c r="S154" s="45">
        <f t="shared" si="10"/>
        <v>2.664</v>
      </c>
    </row>
    <row r="155" ht="19.5" customHeight="1">
      <c r="A155" s="106"/>
      <c r="B155" s="135" t="s">
        <v>530</v>
      </c>
      <c r="C155" s="106"/>
      <c r="D155" s="140"/>
      <c r="E155" s="137">
        <v>0.14</v>
      </c>
      <c r="F155" s="103">
        <v>16.45</v>
      </c>
      <c r="G155" s="138">
        <v>0.55</v>
      </c>
      <c r="H155" s="108"/>
      <c r="I155" s="108"/>
      <c r="J155" s="140">
        <f t="shared" si="6"/>
        <v>2.303</v>
      </c>
      <c r="K155" s="106"/>
      <c r="M155" s="2">
        <v>32.9</v>
      </c>
      <c r="O155" s="45">
        <f t="shared" si="7"/>
        <v>1.26665</v>
      </c>
      <c r="P155" s="45">
        <f t="shared" si="8"/>
        <v>4.88565</v>
      </c>
      <c r="R155" s="45">
        <f t="shared" si="9"/>
        <v>0.11515</v>
      </c>
      <c r="S155" s="45">
        <f t="shared" si="10"/>
        <v>20.398</v>
      </c>
    </row>
    <row r="156" ht="19.5" customHeight="1">
      <c r="A156" s="106"/>
      <c r="B156" s="135" t="s">
        <v>531</v>
      </c>
      <c r="C156" s="106"/>
      <c r="D156" s="140"/>
      <c r="E156" s="137">
        <v>0.14</v>
      </c>
      <c r="F156" s="103">
        <v>2.1</v>
      </c>
      <c r="G156" s="138">
        <v>0.3</v>
      </c>
      <c r="H156" s="108"/>
      <c r="I156" s="108"/>
      <c r="J156" s="140">
        <f t="shared" si="6"/>
        <v>0.294</v>
      </c>
      <c r="K156" s="106"/>
      <c r="M156" s="2">
        <v>4.2</v>
      </c>
      <c r="O156" s="45">
        <f t="shared" si="7"/>
        <v>0.0882</v>
      </c>
      <c r="P156" s="45">
        <f t="shared" si="8"/>
        <v>0.3402</v>
      </c>
      <c r="R156" s="45">
        <f t="shared" si="9"/>
        <v>0.0147</v>
      </c>
      <c r="S156" s="45">
        <f t="shared" si="10"/>
        <v>1.554</v>
      </c>
    </row>
    <row r="157" ht="19.5" customHeight="1">
      <c r="A157" s="106"/>
      <c r="B157" s="135" t="s">
        <v>532</v>
      </c>
      <c r="C157" s="106"/>
      <c r="D157" s="140"/>
      <c r="E157" s="137">
        <v>0.14</v>
      </c>
      <c r="F157" s="103">
        <v>16.45</v>
      </c>
      <c r="G157" s="138">
        <v>0.55</v>
      </c>
      <c r="H157" s="108"/>
      <c r="I157" s="108"/>
      <c r="J157" s="140">
        <f t="shared" si="6"/>
        <v>2.303</v>
      </c>
      <c r="K157" s="106"/>
      <c r="M157" s="2">
        <v>32.9</v>
      </c>
      <c r="O157" s="45">
        <f t="shared" si="7"/>
        <v>1.26665</v>
      </c>
      <c r="P157" s="45">
        <f t="shared" si="8"/>
        <v>4.88565</v>
      </c>
      <c r="R157" s="45">
        <f t="shared" si="9"/>
        <v>0.11515</v>
      </c>
      <c r="S157" s="45">
        <f t="shared" si="10"/>
        <v>20.398</v>
      </c>
    </row>
    <row r="158" ht="19.5" customHeight="1">
      <c r="A158" s="106"/>
      <c r="B158" s="135" t="s">
        <v>533</v>
      </c>
      <c r="C158" s="106"/>
      <c r="D158" s="140"/>
      <c r="E158" s="137">
        <v>0.14</v>
      </c>
      <c r="F158" s="103">
        <v>2.1</v>
      </c>
      <c r="G158" s="138">
        <v>0.3</v>
      </c>
      <c r="H158" s="108"/>
      <c r="I158" s="108"/>
      <c r="J158" s="140">
        <f t="shared" si="6"/>
        <v>0.294</v>
      </c>
      <c r="K158" s="106"/>
      <c r="M158" s="2">
        <v>4.2</v>
      </c>
      <c r="O158" s="45">
        <f t="shared" si="7"/>
        <v>0.0882</v>
      </c>
      <c r="P158" s="45">
        <f t="shared" si="8"/>
        <v>0.3402</v>
      </c>
      <c r="R158" s="45">
        <f t="shared" si="9"/>
        <v>0.0147</v>
      </c>
      <c r="S158" s="45">
        <f t="shared" si="10"/>
        <v>1.554</v>
      </c>
    </row>
    <row r="159" ht="19.5" customHeight="1">
      <c r="A159" s="106"/>
      <c r="B159" s="135" t="s">
        <v>534</v>
      </c>
      <c r="C159" s="106"/>
      <c r="D159" s="140"/>
      <c r="E159" s="137">
        <v>0.14</v>
      </c>
      <c r="F159" s="103">
        <v>8.96</v>
      </c>
      <c r="G159" s="138">
        <v>0.35</v>
      </c>
      <c r="H159" s="108"/>
      <c r="I159" s="108"/>
      <c r="J159" s="140">
        <f t="shared" si="6"/>
        <v>1.2544</v>
      </c>
      <c r="K159" s="106"/>
      <c r="M159" s="2">
        <v>17.92</v>
      </c>
      <c r="O159" s="45">
        <f t="shared" si="7"/>
        <v>0.43904</v>
      </c>
      <c r="P159" s="45">
        <f t="shared" si="8"/>
        <v>1.69344</v>
      </c>
      <c r="R159" s="45">
        <f t="shared" si="9"/>
        <v>0.06272</v>
      </c>
      <c r="S159" s="45">
        <f t="shared" si="10"/>
        <v>7.5264</v>
      </c>
    </row>
    <row r="160" ht="19.5" customHeight="1">
      <c r="A160" s="106"/>
      <c r="B160" s="135" t="s">
        <v>535</v>
      </c>
      <c r="C160" s="106"/>
      <c r="D160" s="140"/>
      <c r="E160" s="137">
        <v>0.14</v>
      </c>
      <c r="F160" s="103">
        <v>16.45</v>
      </c>
      <c r="G160" s="138">
        <v>0.55</v>
      </c>
      <c r="H160" s="108"/>
      <c r="I160" s="108"/>
      <c r="J160" s="140">
        <f t="shared" si="6"/>
        <v>2.303</v>
      </c>
      <c r="K160" s="106"/>
      <c r="M160" s="2">
        <v>32.9</v>
      </c>
      <c r="O160" s="45">
        <f t="shared" si="7"/>
        <v>1.26665</v>
      </c>
      <c r="P160" s="45">
        <f t="shared" si="8"/>
        <v>4.88565</v>
      </c>
      <c r="R160" s="45">
        <f t="shared" si="9"/>
        <v>0.11515</v>
      </c>
      <c r="S160" s="45">
        <f t="shared" si="10"/>
        <v>20.398</v>
      </c>
    </row>
    <row r="161" ht="19.5" customHeight="1">
      <c r="A161" s="106"/>
      <c r="B161" s="135" t="s">
        <v>536</v>
      </c>
      <c r="C161" s="106"/>
      <c r="D161" s="140"/>
      <c r="E161" s="137">
        <v>0.14</v>
      </c>
      <c r="F161" s="103">
        <v>2.1</v>
      </c>
      <c r="G161" s="138">
        <v>0.3</v>
      </c>
      <c r="H161" s="108"/>
      <c r="I161" s="108"/>
      <c r="J161" s="140">
        <f t="shared" si="6"/>
        <v>0.294</v>
      </c>
      <c r="K161" s="106"/>
      <c r="M161" s="2">
        <v>4.2</v>
      </c>
      <c r="O161" s="45">
        <f t="shared" si="7"/>
        <v>0.0882</v>
      </c>
      <c r="P161" s="45">
        <f t="shared" si="8"/>
        <v>0.3402</v>
      </c>
      <c r="R161" s="45">
        <f t="shared" si="9"/>
        <v>0.0147</v>
      </c>
      <c r="S161" s="45">
        <f t="shared" si="10"/>
        <v>1.554</v>
      </c>
    </row>
    <row r="162" ht="19.5" customHeight="1">
      <c r="A162" s="106"/>
      <c r="B162" s="135" t="s">
        <v>537</v>
      </c>
      <c r="C162" s="106"/>
      <c r="D162" s="140"/>
      <c r="E162" s="137">
        <v>0.14</v>
      </c>
      <c r="F162" s="103">
        <v>7.16</v>
      </c>
      <c r="G162" s="138">
        <v>0.55</v>
      </c>
      <c r="H162" s="108"/>
      <c r="I162" s="108"/>
      <c r="J162" s="140">
        <f t="shared" si="6"/>
        <v>1.0024</v>
      </c>
      <c r="K162" s="106"/>
      <c r="M162" s="2">
        <v>14.32</v>
      </c>
      <c r="O162" s="45">
        <f t="shared" si="7"/>
        <v>0.55132</v>
      </c>
      <c r="P162" s="45">
        <f t="shared" si="8"/>
        <v>2.12652</v>
      </c>
      <c r="R162" s="45">
        <f t="shared" si="9"/>
        <v>0.05012</v>
      </c>
      <c r="S162" s="45">
        <f t="shared" si="10"/>
        <v>8.8784</v>
      </c>
    </row>
    <row r="163" ht="19.5" customHeight="1">
      <c r="A163" s="106"/>
      <c r="B163" s="135" t="s">
        <v>538</v>
      </c>
      <c r="C163" s="106"/>
      <c r="D163" s="140"/>
      <c r="E163" s="137">
        <v>0.2</v>
      </c>
      <c r="F163" s="103">
        <v>4.5</v>
      </c>
      <c r="G163" s="138">
        <v>0.4</v>
      </c>
      <c r="H163" s="108"/>
      <c r="I163" s="108"/>
      <c r="J163" s="140">
        <f t="shared" si="6"/>
        <v>0.9</v>
      </c>
      <c r="K163" s="106"/>
      <c r="M163" s="2">
        <v>9.0</v>
      </c>
      <c r="O163" s="45">
        <f t="shared" si="7"/>
        <v>0.36</v>
      </c>
      <c r="P163" s="45">
        <f t="shared" si="8"/>
        <v>1.08</v>
      </c>
      <c r="R163" s="45">
        <f t="shared" si="9"/>
        <v>0.045</v>
      </c>
      <c r="S163" s="45">
        <f t="shared" si="10"/>
        <v>4.5</v>
      </c>
    </row>
    <row r="164" ht="19.5" customHeight="1">
      <c r="A164" s="106"/>
      <c r="B164" s="135" t="s">
        <v>539</v>
      </c>
      <c r="C164" s="106"/>
      <c r="D164" s="140"/>
      <c r="E164" s="137">
        <v>0.14</v>
      </c>
      <c r="F164" s="103">
        <v>4.5</v>
      </c>
      <c r="G164" s="138">
        <v>0.35</v>
      </c>
      <c r="H164" s="108"/>
      <c r="I164" s="108"/>
      <c r="J164" s="140">
        <f t="shared" si="6"/>
        <v>0.63</v>
      </c>
      <c r="K164" s="106"/>
      <c r="M164" s="2">
        <v>9.0</v>
      </c>
      <c r="O164" s="45">
        <f t="shared" si="7"/>
        <v>0.2205</v>
      </c>
      <c r="P164" s="45">
        <f t="shared" si="8"/>
        <v>0.8505</v>
      </c>
      <c r="R164" s="45">
        <f t="shared" si="9"/>
        <v>0.0315</v>
      </c>
      <c r="S164" s="45">
        <f t="shared" si="10"/>
        <v>3.78</v>
      </c>
    </row>
    <row r="165" ht="19.5" customHeight="1">
      <c r="A165" s="106"/>
      <c r="B165" s="135" t="s">
        <v>540</v>
      </c>
      <c r="C165" s="106"/>
      <c r="D165" s="140"/>
      <c r="E165" s="137">
        <v>0.2</v>
      </c>
      <c r="F165" s="103">
        <v>4.5</v>
      </c>
      <c r="G165" s="138">
        <v>0.4</v>
      </c>
      <c r="H165" s="108"/>
      <c r="I165" s="108"/>
      <c r="J165" s="140">
        <f t="shared" si="6"/>
        <v>0.9</v>
      </c>
      <c r="K165" s="106"/>
      <c r="M165" s="2">
        <v>9.0</v>
      </c>
      <c r="O165" s="45">
        <f t="shared" si="7"/>
        <v>0.36</v>
      </c>
      <c r="P165" s="45">
        <f t="shared" si="8"/>
        <v>1.08</v>
      </c>
      <c r="R165" s="45">
        <f t="shared" si="9"/>
        <v>0.045</v>
      </c>
      <c r="S165" s="45">
        <f t="shared" si="10"/>
        <v>4.5</v>
      </c>
    </row>
    <row r="166" ht="19.5" customHeight="1">
      <c r="A166" s="106"/>
      <c r="B166" s="135" t="s">
        <v>541</v>
      </c>
      <c r="C166" s="106"/>
      <c r="D166" s="140"/>
      <c r="E166" s="137">
        <v>0.14</v>
      </c>
      <c r="F166" s="103">
        <v>6.65</v>
      </c>
      <c r="G166" s="138">
        <v>0.55</v>
      </c>
      <c r="H166" s="108"/>
      <c r="I166" s="108"/>
      <c r="J166" s="140">
        <f t="shared" si="6"/>
        <v>0.931</v>
      </c>
      <c r="K166" s="106"/>
      <c r="M166" s="2">
        <v>13.3</v>
      </c>
      <c r="O166" s="45">
        <f t="shared" si="7"/>
        <v>0.51205</v>
      </c>
      <c r="P166" s="45">
        <f t="shared" si="8"/>
        <v>1.97505</v>
      </c>
      <c r="R166" s="45">
        <f t="shared" si="9"/>
        <v>0.04655</v>
      </c>
      <c r="S166" s="45">
        <f t="shared" si="10"/>
        <v>8.246</v>
      </c>
    </row>
    <row r="167" ht="19.5" customHeight="1">
      <c r="A167" s="106"/>
      <c r="B167" s="135" t="s">
        <v>542</v>
      </c>
      <c r="C167" s="106"/>
      <c r="D167" s="140"/>
      <c r="E167" s="137">
        <v>0.14</v>
      </c>
      <c r="F167" s="103">
        <v>9.3</v>
      </c>
      <c r="G167" s="138">
        <v>0.6</v>
      </c>
      <c r="H167" s="108"/>
      <c r="I167" s="108"/>
      <c r="J167" s="140">
        <f t="shared" si="6"/>
        <v>1.302</v>
      </c>
      <c r="K167" s="106"/>
      <c r="M167" s="2">
        <v>18.6</v>
      </c>
      <c r="O167" s="45">
        <f t="shared" si="7"/>
        <v>0.7812</v>
      </c>
      <c r="P167" s="45">
        <f t="shared" si="8"/>
        <v>3.0132</v>
      </c>
      <c r="R167" s="45">
        <f t="shared" si="9"/>
        <v>0.0651</v>
      </c>
      <c r="S167" s="45">
        <f t="shared" si="10"/>
        <v>12.462</v>
      </c>
    </row>
    <row r="168" ht="19.5" customHeight="1">
      <c r="A168" s="106"/>
      <c r="B168" s="135" t="s">
        <v>543</v>
      </c>
      <c r="C168" s="106"/>
      <c r="D168" s="140"/>
      <c r="E168" s="137">
        <v>0.2</v>
      </c>
      <c r="F168" s="103">
        <v>4.5</v>
      </c>
      <c r="G168" s="138">
        <v>0.4</v>
      </c>
      <c r="H168" s="108"/>
      <c r="I168" s="108"/>
      <c r="J168" s="140">
        <f t="shared" si="6"/>
        <v>0.9</v>
      </c>
      <c r="K168" s="106"/>
      <c r="M168" s="2">
        <v>9.0</v>
      </c>
      <c r="O168" s="45">
        <f t="shared" si="7"/>
        <v>0.36</v>
      </c>
      <c r="P168" s="45">
        <f t="shared" si="8"/>
        <v>1.08</v>
      </c>
      <c r="R168" s="45">
        <f t="shared" si="9"/>
        <v>0.045</v>
      </c>
      <c r="S168" s="45">
        <f t="shared" si="10"/>
        <v>4.5</v>
      </c>
    </row>
    <row r="169" ht="19.5" customHeight="1">
      <c r="A169" s="106"/>
      <c r="B169" s="135" t="s">
        <v>544</v>
      </c>
      <c r="C169" s="106"/>
      <c r="D169" s="140"/>
      <c r="E169" s="137">
        <v>0.14</v>
      </c>
      <c r="F169" s="103">
        <v>4.5</v>
      </c>
      <c r="G169" s="138">
        <v>0.35</v>
      </c>
      <c r="H169" s="108"/>
      <c r="I169" s="108"/>
      <c r="J169" s="140">
        <f t="shared" si="6"/>
        <v>0.63</v>
      </c>
      <c r="K169" s="106"/>
      <c r="M169" s="2">
        <v>9.0</v>
      </c>
      <c r="O169" s="45">
        <f t="shared" si="7"/>
        <v>0.2205</v>
      </c>
      <c r="P169" s="45">
        <f t="shared" si="8"/>
        <v>0.8505</v>
      </c>
      <c r="R169" s="45">
        <f t="shared" si="9"/>
        <v>0.0315</v>
      </c>
      <c r="S169" s="45">
        <f t="shared" si="10"/>
        <v>3.78</v>
      </c>
    </row>
    <row r="170" ht="19.5" customHeight="1">
      <c r="A170" s="106"/>
      <c r="B170" s="135" t="s">
        <v>545</v>
      </c>
      <c r="C170" s="106"/>
      <c r="D170" s="140"/>
      <c r="E170" s="137">
        <v>0.2</v>
      </c>
      <c r="F170" s="103">
        <v>4.5</v>
      </c>
      <c r="G170" s="138">
        <v>0.4</v>
      </c>
      <c r="H170" s="108"/>
      <c r="I170" s="108"/>
      <c r="J170" s="140">
        <f t="shared" si="6"/>
        <v>0.9</v>
      </c>
      <c r="K170" s="106"/>
      <c r="M170" s="2">
        <v>9.0</v>
      </c>
      <c r="O170" s="45">
        <f t="shared" si="7"/>
        <v>0.36</v>
      </c>
      <c r="P170" s="45">
        <f t="shared" si="8"/>
        <v>1.08</v>
      </c>
      <c r="R170" s="45">
        <f t="shared" si="9"/>
        <v>0.045</v>
      </c>
      <c r="S170" s="45">
        <f t="shared" si="10"/>
        <v>4.5</v>
      </c>
    </row>
    <row r="171" ht="19.5" customHeight="1">
      <c r="A171" s="106"/>
      <c r="B171" s="135" t="s">
        <v>546</v>
      </c>
      <c r="C171" s="106"/>
      <c r="D171" s="140"/>
      <c r="E171" s="137">
        <v>0.14</v>
      </c>
      <c r="F171" s="103">
        <v>16.45</v>
      </c>
      <c r="G171" s="138">
        <v>0.55</v>
      </c>
      <c r="H171" s="108"/>
      <c r="I171" s="108"/>
      <c r="J171" s="140">
        <f t="shared" si="6"/>
        <v>2.303</v>
      </c>
      <c r="K171" s="106"/>
      <c r="M171" s="2">
        <v>32.9</v>
      </c>
      <c r="O171" s="45">
        <f t="shared" si="7"/>
        <v>1.26665</v>
      </c>
      <c r="P171" s="45">
        <f t="shared" si="8"/>
        <v>4.88565</v>
      </c>
      <c r="R171" s="45">
        <f t="shared" si="9"/>
        <v>0.11515</v>
      </c>
      <c r="S171" s="45">
        <f t="shared" si="10"/>
        <v>20.398</v>
      </c>
    </row>
    <row r="172" ht="19.5" customHeight="1">
      <c r="A172" s="106"/>
      <c r="B172" s="135" t="s">
        <v>547</v>
      </c>
      <c r="C172" s="106"/>
      <c r="D172" s="140"/>
      <c r="E172" s="137">
        <v>0.14</v>
      </c>
      <c r="F172" s="103">
        <v>2.1</v>
      </c>
      <c r="G172" s="138">
        <v>0.3</v>
      </c>
      <c r="H172" s="108"/>
      <c r="I172" s="108"/>
      <c r="J172" s="140">
        <f t="shared" si="6"/>
        <v>0.294</v>
      </c>
      <c r="K172" s="106"/>
      <c r="M172" s="2">
        <v>4.2</v>
      </c>
      <c r="O172" s="45">
        <f t="shared" si="7"/>
        <v>0.0882</v>
      </c>
      <c r="P172" s="45">
        <f t="shared" si="8"/>
        <v>0.3402</v>
      </c>
      <c r="R172" s="45">
        <f t="shared" si="9"/>
        <v>0.0147</v>
      </c>
      <c r="S172" s="45">
        <f t="shared" si="10"/>
        <v>1.554</v>
      </c>
    </row>
    <row r="173" ht="19.5" customHeight="1">
      <c r="A173" s="106"/>
      <c r="B173" s="135" t="s">
        <v>548</v>
      </c>
      <c r="C173" s="106"/>
      <c r="D173" s="140"/>
      <c r="E173" s="137">
        <v>0.14</v>
      </c>
      <c r="F173" s="103">
        <v>16.45</v>
      </c>
      <c r="G173" s="138">
        <v>0.55</v>
      </c>
      <c r="H173" s="108"/>
      <c r="I173" s="108"/>
      <c r="J173" s="140">
        <f t="shared" si="6"/>
        <v>2.303</v>
      </c>
      <c r="K173" s="106"/>
      <c r="M173" s="2">
        <v>32.9</v>
      </c>
      <c r="O173" s="45">
        <f t="shared" si="7"/>
        <v>1.26665</v>
      </c>
      <c r="P173" s="45">
        <f t="shared" si="8"/>
        <v>4.88565</v>
      </c>
      <c r="R173" s="45">
        <f t="shared" si="9"/>
        <v>0.11515</v>
      </c>
      <c r="S173" s="45">
        <f t="shared" si="10"/>
        <v>20.398</v>
      </c>
    </row>
    <row r="174" ht="19.5" customHeight="1">
      <c r="A174" s="106"/>
      <c r="B174" s="135" t="s">
        <v>549</v>
      </c>
      <c r="C174" s="106"/>
      <c r="D174" s="140"/>
      <c r="E174" s="137">
        <v>0.14</v>
      </c>
      <c r="F174" s="103">
        <v>2.1</v>
      </c>
      <c r="G174" s="138">
        <v>0.3</v>
      </c>
      <c r="H174" s="108"/>
      <c r="I174" s="108"/>
      <c r="J174" s="140">
        <f t="shared" si="6"/>
        <v>0.294</v>
      </c>
      <c r="K174" s="106"/>
      <c r="M174" s="2">
        <v>4.2</v>
      </c>
      <c r="O174" s="45">
        <f t="shared" si="7"/>
        <v>0.0882</v>
      </c>
      <c r="P174" s="45">
        <f t="shared" si="8"/>
        <v>0.3402</v>
      </c>
      <c r="R174" s="45">
        <f t="shared" si="9"/>
        <v>0.0147</v>
      </c>
      <c r="S174" s="45">
        <f t="shared" si="10"/>
        <v>1.554</v>
      </c>
    </row>
    <row r="175" ht="19.5" customHeight="1">
      <c r="A175" s="106"/>
      <c r="B175" s="135" t="s">
        <v>550</v>
      </c>
      <c r="C175" s="106"/>
      <c r="D175" s="140"/>
      <c r="E175" s="137">
        <v>0.14</v>
      </c>
      <c r="F175" s="103">
        <v>16.45</v>
      </c>
      <c r="G175" s="138">
        <v>0.55</v>
      </c>
      <c r="H175" s="108"/>
      <c r="I175" s="108"/>
      <c r="J175" s="140">
        <f t="shared" si="6"/>
        <v>2.303</v>
      </c>
      <c r="K175" s="106"/>
      <c r="M175" s="2">
        <v>32.9</v>
      </c>
      <c r="O175" s="45">
        <f t="shared" si="7"/>
        <v>1.26665</v>
      </c>
      <c r="P175" s="45">
        <f t="shared" si="8"/>
        <v>4.88565</v>
      </c>
      <c r="R175" s="45">
        <f t="shared" si="9"/>
        <v>0.11515</v>
      </c>
      <c r="S175" s="45">
        <f t="shared" si="10"/>
        <v>20.398</v>
      </c>
    </row>
    <row r="176" ht="19.5" customHeight="1">
      <c r="A176" s="106"/>
      <c r="B176" s="135" t="s">
        <v>551</v>
      </c>
      <c r="C176" s="106"/>
      <c r="D176" s="140"/>
      <c r="E176" s="137">
        <v>0.14</v>
      </c>
      <c r="F176" s="103">
        <v>2.15</v>
      </c>
      <c r="G176" s="138">
        <v>0.3</v>
      </c>
      <c r="H176" s="108"/>
      <c r="I176" s="108"/>
      <c r="J176" s="140">
        <f t="shared" si="6"/>
        <v>0.301</v>
      </c>
      <c r="K176" s="106"/>
      <c r="M176" s="2">
        <v>4.3</v>
      </c>
      <c r="O176" s="45">
        <f t="shared" si="7"/>
        <v>0.0903</v>
      </c>
      <c r="P176" s="45">
        <f t="shared" si="8"/>
        <v>0.3483</v>
      </c>
      <c r="R176" s="45">
        <f t="shared" si="9"/>
        <v>0.01505</v>
      </c>
      <c r="S176" s="45">
        <f t="shared" si="10"/>
        <v>1.591</v>
      </c>
    </row>
    <row r="177" ht="19.5" customHeight="1">
      <c r="A177" s="106"/>
      <c r="B177" s="135" t="s">
        <v>552</v>
      </c>
      <c r="C177" s="106"/>
      <c r="D177" s="140"/>
      <c r="E177" s="137">
        <v>0.14</v>
      </c>
      <c r="F177" s="103">
        <v>2.13</v>
      </c>
      <c r="G177" s="138">
        <v>0.3</v>
      </c>
      <c r="H177" s="108"/>
      <c r="I177" s="108"/>
      <c r="J177" s="140">
        <f t="shared" si="6"/>
        <v>0.2982</v>
      </c>
      <c r="K177" s="106"/>
      <c r="M177" s="2">
        <v>4.26</v>
      </c>
      <c r="O177" s="45">
        <f t="shared" si="7"/>
        <v>0.08946</v>
      </c>
      <c r="P177" s="45">
        <f t="shared" si="8"/>
        <v>0.34506</v>
      </c>
      <c r="R177" s="45">
        <f t="shared" si="9"/>
        <v>0.01491</v>
      </c>
      <c r="S177" s="45">
        <f t="shared" si="10"/>
        <v>1.5762</v>
      </c>
    </row>
    <row r="178" ht="19.5" customHeight="1">
      <c r="A178" s="106"/>
      <c r="B178" s="135" t="s">
        <v>553</v>
      </c>
      <c r="C178" s="106"/>
      <c r="D178" s="140"/>
      <c r="E178" s="137">
        <v>0.14</v>
      </c>
      <c r="F178" s="103">
        <v>2.13</v>
      </c>
      <c r="G178" s="138">
        <v>0.3</v>
      </c>
      <c r="H178" s="108"/>
      <c r="I178" s="108"/>
      <c r="J178" s="140">
        <f t="shared" si="6"/>
        <v>0.2982</v>
      </c>
      <c r="K178" s="106"/>
      <c r="M178" s="2">
        <v>4.26</v>
      </c>
      <c r="O178" s="45">
        <f t="shared" si="7"/>
        <v>0.08946</v>
      </c>
      <c r="P178" s="45">
        <f t="shared" si="8"/>
        <v>0.34506</v>
      </c>
      <c r="R178" s="45">
        <f t="shared" si="9"/>
        <v>0.01491</v>
      </c>
      <c r="S178" s="45">
        <f t="shared" si="10"/>
        <v>1.5762</v>
      </c>
    </row>
    <row r="179" ht="19.5" customHeight="1">
      <c r="A179" s="106"/>
      <c r="B179" s="135" t="s">
        <v>554</v>
      </c>
      <c r="C179" s="106"/>
      <c r="D179" s="140"/>
      <c r="E179" s="137">
        <v>0.14</v>
      </c>
      <c r="F179" s="103">
        <v>2.13</v>
      </c>
      <c r="G179" s="138">
        <v>0.3</v>
      </c>
      <c r="H179" s="108"/>
      <c r="I179" s="108"/>
      <c r="J179" s="140">
        <f t="shared" si="6"/>
        <v>0.2982</v>
      </c>
      <c r="K179" s="106"/>
      <c r="M179" s="2">
        <v>4.26</v>
      </c>
      <c r="O179" s="45">
        <f t="shared" si="7"/>
        <v>0.08946</v>
      </c>
      <c r="P179" s="45">
        <f t="shared" si="8"/>
        <v>0.34506</v>
      </c>
      <c r="R179" s="45">
        <f t="shared" si="9"/>
        <v>0.01491</v>
      </c>
      <c r="S179" s="45">
        <f t="shared" si="10"/>
        <v>1.5762</v>
      </c>
    </row>
    <row r="180" ht="19.5" customHeight="1">
      <c r="A180" s="106"/>
      <c r="B180" s="106"/>
      <c r="C180" s="106"/>
      <c r="D180" s="140"/>
      <c r="E180" s="102"/>
      <c r="F180" s="103"/>
      <c r="G180" s="103"/>
      <c r="H180" s="108"/>
      <c r="I180" s="108"/>
      <c r="J180" s="140">
        <f>SUM(J12:J179)</f>
        <v>225.5498</v>
      </c>
      <c r="K180" s="106"/>
      <c r="S180" s="45">
        <f>SUM(S125:S179)</f>
        <v>576.8578</v>
      </c>
    </row>
    <row r="181" ht="19.5" customHeight="1">
      <c r="A181" s="106"/>
      <c r="B181" s="106"/>
      <c r="C181" s="106"/>
      <c r="D181" s="140"/>
      <c r="E181" s="102"/>
      <c r="F181" s="103"/>
      <c r="G181" s="103"/>
      <c r="H181" s="108"/>
      <c r="I181" s="108"/>
      <c r="J181" s="140"/>
      <c r="K181" s="106"/>
    </row>
    <row r="182" ht="19.5" customHeight="1">
      <c r="A182" s="74" t="s">
        <v>1</v>
      </c>
      <c r="B182" s="74" t="s">
        <v>91</v>
      </c>
      <c r="C182" s="74" t="s">
        <v>92</v>
      </c>
      <c r="D182" s="76" t="s">
        <v>93</v>
      </c>
      <c r="E182" s="50" t="s">
        <v>97</v>
      </c>
      <c r="F182" s="53" t="s">
        <v>121</v>
      </c>
      <c r="G182" s="53" t="s">
        <v>99</v>
      </c>
      <c r="H182" s="75" t="s">
        <v>100</v>
      </c>
      <c r="I182" s="75" t="s">
        <v>101</v>
      </c>
      <c r="J182" s="76" t="s">
        <v>95</v>
      </c>
      <c r="K182" s="74" t="s">
        <v>96</v>
      </c>
    </row>
    <row r="183" ht="19.5" customHeight="1">
      <c r="A183" s="126">
        <v>1.0</v>
      </c>
      <c r="B183" s="37" t="s">
        <v>150</v>
      </c>
      <c r="C183" s="46" t="s">
        <v>148</v>
      </c>
      <c r="D183" s="78">
        <v>2.0</v>
      </c>
      <c r="E183" s="37"/>
      <c r="F183" s="40">
        <v>57.0</v>
      </c>
      <c r="G183" s="40">
        <v>21.0</v>
      </c>
      <c r="H183" s="40">
        <f>(G183+F183)*D183</f>
        <v>156</v>
      </c>
      <c r="I183" s="42"/>
      <c r="J183" s="64">
        <f>H183</f>
        <v>156</v>
      </c>
      <c r="K183" s="46"/>
    </row>
    <row r="184" ht="19.5" customHeight="1">
      <c r="A184" s="74" t="s">
        <v>1</v>
      </c>
      <c r="B184" s="74" t="s">
        <v>91</v>
      </c>
      <c r="C184" s="74" t="s">
        <v>92</v>
      </c>
      <c r="D184" s="76" t="s">
        <v>93</v>
      </c>
      <c r="E184" s="50" t="s">
        <v>97</v>
      </c>
      <c r="F184" s="53" t="s">
        <v>121</v>
      </c>
      <c r="G184" s="53" t="s">
        <v>99</v>
      </c>
      <c r="H184" s="75" t="s">
        <v>100</v>
      </c>
      <c r="I184" s="75" t="s">
        <v>101</v>
      </c>
      <c r="J184" s="76" t="s">
        <v>95</v>
      </c>
      <c r="K184" s="74" t="s">
        <v>96</v>
      </c>
    </row>
    <row r="185" ht="19.5" customHeight="1">
      <c r="A185" s="126">
        <v>1.0</v>
      </c>
      <c r="B185" s="37" t="s">
        <v>332</v>
      </c>
      <c r="C185" s="46" t="s">
        <v>148</v>
      </c>
      <c r="D185" s="78">
        <v>78.0</v>
      </c>
      <c r="E185" s="37"/>
      <c r="F185" s="40">
        <v>1.0</v>
      </c>
      <c r="G185" s="40">
        <v>1.0</v>
      </c>
      <c r="H185" s="40">
        <f>G185*F185*D185</f>
        <v>78</v>
      </c>
      <c r="I185" s="42"/>
      <c r="J185" s="64">
        <f>H185</f>
        <v>78</v>
      </c>
      <c r="K185" s="46"/>
    </row>
    <row r="186" ht="19.5" customHeight="1">
      <c r="A186" s="74" t="s">
        <v>1</v>
      </c>
      <c r="B186" s="74" t="s">
        <v>91</v>
      </c>
      <c r="C186" s="74" t="s">
        <v>92</v>
      </c>
      <c r="D186" s="76" t="s">
        <v>93</v>
      </c>
      <c r="E186" s="50" t="s">
        <v>97</v>
      </c>
      <c r="F186" s="53" t="s">
        <v>121</v>
      </c>
      <c r="G186" s="53" t="s">
        <v>99</v>
      </c>
      <c r="H186" s="75">
        <v>8.0</v>
      </c>
      <c r="I186" s="75" t="s">
        <v>101</v>
      </c>
      <c r="J186" s="76" t="s">
        <v>95</v>
      </c>
      <c r="K186" s="74" t="s">
        <v>96</v>
      </c>
    </row>
    <row r="187" ht="19.5" customHeight="1">
      <c r="A187" s="126">
        <v>1.0</v>
      </c>
      <c r="B187" s="37" t="s">
        <v>333</v>
      </c>
      <c r="C187" s="46" t="s">
        <v>148</v>
      </c>
      <c r="D187" s="78">
        <v>78.0</v>
      </c>
      <c r="E187" s="37">
        <v>0.05</v>
      </c>
      <c r="F187" s="40">
        <v>1.2</v>
      </c>
      <c r="G187" s="40">
        <v>1.2</v>
      </c>
      <c r="H187" s="40">
        <f>G187*F187*E187*D187</f>
        <v>5.616</v>
      </c>
      <c r="I187" s="42"/>
      <c r="J187" s="64">
        <f>H187</f>
        <v>5.616</v>
      </c>
      <c r="K187" s="46"/>
    </row>
    <row r="188" ht="19.5" customHeight="1">
      <c r="A188" s="74" t="s">
        <v>1</v>
      </c>
      <c r="B188" s="74" t="s">
        <v>91</v>
      </c>
      <c r="C188" s="74" t="s">
        <v>92</v>
      </c>
      <c r="D188" s="76" t="s">
        <v>93</v>
      </c>
      <c r="E188" s="50" t="s">
        <v>97</v>
      </c>
      <c r="F188" s="53" t="s">
        <v>121</v>
      </c>
      <c r="G188" s="53" t="s">
        <v>99</v>
      </c>
      <c r="H188" s="75" t="s">
        <v>100</v>
      </c>
      <c r="I188" s="75" t="s">
        <v>101</v>
      </c>
      <c r="J188" s="76" t="s">
        <v>95</v>
      </c>
      <c r="K188" s="74" t="s">
        <v>96</v>
      </c>
    </row>
    <row r="189" ht="19.5" customHeight="1">
      <c r="A189" s="126">
        <v>1.0</v>
      </c>
      <c r="B189" s="37" t="s">
        <v>334</v>
      </c>
      <c r="C189" s="46" t="s">
        <v>148</v>
      </c>
      <c r="D189" s="78">
        <v>78.0</v>
      </c>
      <c r="E189" s="37">
        <v>1.0</v>
      </c>
      <c r="F189" s="40">
        <v>0.25</v>
      </c>
      <c r="G189" s="40">
        <v>0.3</v>
      </c>
      <c r="H189" s="40">
        <f>G189*F189*E189*D189</f>
        <v>5.85</v>
      </c>
      <c r="I189" s="42"/>
      <c r="J189" s="43">
        <f>H189-I189</f>
        <v>5.85</v>
      </c>
      <c r="K189" s="46"/>
    </row>
    <row r="190" ht="19.5" customHeight="1">
      <c r="A190" s="74" t="s">
        <v>1</v>
      </c>
      <c r="B190" s="74" t="s">
        <v>91</v>
      </c>
      <c r="C190" s="74" t="s">
        <v>92</v>
      </c>
      <c r="D190" s="76" t="s">
        <v>93</v>
      </c>
      <c r="E190" s="50" t="s">
        <v>97</v>
      </c>
      <c r="F190" s="53" t="s">
        <v>121</v>
      </c>
      <c r="G190" s="53" t="s">
        <v>99</v>
      </c>
      <c r="H190" s="75" t="s">
        <v>100</v>
      </c>
      <c r="I190" s="75" t="s">
        <v>101</v>
      </c>
      <c r="J190" s="76" t="s">
        <v>95</v>
      </c>
      <c r="K190" s="74" t="s">
        <v>96</v>
      </c>
    </row>
    <row r="191" ht="19.5" customHeight="1">
      <c r="A191" s="126">
        <v>1.0</v>
      </c>
      <c r="B191" s="37" t="s">
        <v>335</v>
      </c>
      <c r="C191" s="46" t="s">
        <v>148</v>
      </c>
      <c r="D191" s="78">
        <v>78.0</v>
      </c>
      <c r="E191" s="37">
        <v>6.0</v>
      </c>
      <c r="F191" s="40">
        <v>0.25</v>
      </c>
      <c r="G191" s="40">
        <v>0.3</v>
      </c>
      <c r="H191" s="40">
        <f>G191*F191*E191*D191</f>
        <v>35.1</v>
      </c>
      <c r="I191" s="42"/>
      <c r="J191" s="43">
        <f>H191-I191</f>
        <v>35.1</v>
      </c>
      <c r="K191" s="46"/>
    </row>
    <row r="192" ht="19.5" customHeight="1">
      <c r="A192" s="74" t="s">
        <v>1</v>
      </c>
      <c r="B192" s="74" t="s">
        <v>91</v>
      </c>
      <c r="C192" s="74" t="s">
        <v>92</v>
      </c>
      <c r="D192" s="76" t="s">
        <v>93</v>
      </c>
      <c r="E192" s="50" t="s">
        <v>97</v>
      </c>
      <c r="F192" s="53" t="s">
        <v>121</v>
      </c>
      <c r="G192" s="53" t="s">
        <v>99</v>
      </c>
      <c r="H192" s="75" t="s">
        <v>100</v>
      </c>
      <c r="I192" s="75" t="s">
        <v>101</v>
      </c>
      <c r="J192" s="76" t="s">
        <v>95</v>
      </c>
      <c r="K192" s="74" t="s">
        <v>96</v>
      </c>
    </row>
    <row r="193" ht="19.5" customHeight="1">
      <c r="A193" s="126">
        <v>1.0</v>
      </c>
      <c r="B193" s="37" t="s">
        <v>337</v>
      </c>
      <c r="C193" s="46" t="s">
        <v>148</v>
      </c>
      <c r="D193" s="78">
        <v>78.0</v>
      </c>
      <c r="E193" s="37">
        <v>0.4</v>
      </c>
      <c r="F193" s="40">
        <v>1.2</v>
      </c>
      <c r="G193" s="40">
        <v>1.2</v>
      </c>
      <c r="H193" s="40">
        <f>G193*F193*E193*D193</f>
        <v>44.928</v>
      </c>
      <c r="I193" s="42"/>
      <c r="J193" s="40"/>
      <c r="K193" s="46"/>
    </row>
    <row r="194" ht="19.5" customHeight="1">
      <c r="A194" s="126">
        <v>2.0</v>
      </c>
      <c r="B194" s="37" t="s">
        <v>337</v>
      </c>
      <c r="C194" s="46" t="s">
        <v>148</v>
      </c>
      <c r="D194" s="78"/>
      <c r="E194" s="37"/>
      <c r="F194" s="40"/>
      <c r="G194" s="40"/>
      <c r="H194" s="40"/>
      <c r="I194" s="42"/>
      <c r="J194" s="43">
        <f>SUM(H193:H194)</f>
        <v>44.928</v>
      </c>
      <c r="K194" s="79"/>
    </row>
    <row r="195" ht="19.5" customHeight="1">
      <c r="A195" s="74" t="s">
        <v>1</v>
      </c>
      <c r="B195" s="74" t="s">
        <v>91</v>
      </c>
      <c r="C195" s="74" t="s">
        <v>92</v>
      </c>
      <c r="D195" s="76" t="s">
        <v>93</v>
      </c>
      <c r="E195" s="50" t="s">
        <v>97</v>
      </c>
      <c r="F195" s="53" t="s">
        <v>121</v>
      </c>
      <c r="G195" s="53" t="s">
        <v>99</v>
      </c>
      <c r="H195" s="75" t="s">
        <v>100</v>
      </c>
      <c r="I195" s="75" t="s">
        <v>101</v>
      </c>
      <c r="J195" s="76" t="s">
        <v>95</v>
      </c>
      <c r="K195" s="74" t="s">
        <v>96</v>
      </c>
    </row>
    <row r="196" ht="19.5" customHeight="1">
      <c r="A196" s="126">
        <v>1.0</v>
      </c>
      <c r="B196" s="37" t="s">
        <v>555</v>
      </c>
      <c r="C196" s="46" t="s">
        <v>148</v>
      </c>
      <c r="D196" s="78">
        <v>4.0</v>
      </c>
      <c r="E196" s="37">
        <v>0.4</v>
      </c>
      <c r="F196" s="78">
        <v>55.0</v>
      </c>
      <c r="G196" s="40">
        <v>0.14</v>
      </c>
      <c r="H196" s="40">
        <f t="shared" ref="H196:H200" si="11">G196*F196*E196*D196</f>
        <v>12.32</v>
      </c>
      <c r="I196" s="42"/>
      <c r="J196" s="40"/>
      <c r="K196" s="46"/>
    </row>
    <row r="197" ht="19.5" customHeight="1">
      <c r="A197" s="126">
        <v>2.0</v>
      </c>
      <c r="B197" s="37" t="s">
        <v>555</v>
      </c>
      <c r="C197" s="46" t="s">
        <v>148</v>
      </c>
      <c r="D197" s="78">
        <v>9.0</v>
      </c>
      <c r="E197" s="37">
        <v>0.4</v>
      </c>
      <c r="F197" s="78">
        <v>18.0</v>
      </c>
      <c r="G197" s="40">
        <v>0.14</v>
      </c>
      <c r="H197" s="40">
        <f t="shared" si="11"/>
        <v>9.072</v>
      </c>
      <c r="I197" s="42"/>
      <c r="J197" s="107"/>
      <c r="K197" s="46"/>
      <c r="L197" s="14">
        <f>J197+J191</f>
        <v>35.1</v>
      </c>
    </row>
    <row r="198" ht="19.5" customHeight="1">
      <c r="A198" s="126">
        <v>3.0</v>
      </c>
      <c r="B198" s="37" t="s">
        <v>555</v>
      </c>
      <c r="C198" s="46" t="s">
        <v>148</v>
      </c>
      <c r="D198" s="78">
        <v>1.0</v>
      </c>
      <c r="E198" s="37">
        <v>0.4</v>
      </c>
      <c r="F198" s="78">
        <v>5.5</v>
      </c>
      <c r="G198" s="40">
        <v>0.14</v>
      </c>
      <c r="H198" s="40">
        <f t="shared" si="11"/>
        <v>0.308</v>
      </c>
      <c r="I198" s="42"/>
      <c r="J198" s="107"/>
      <c r="K198" s="79"/>
      <c r="L198" s="14"/>
    </row>
    <row r="199" ht="19.5" customHeight="1">
      <c r="A199" s="126">
        <v>4.0</v>
      </c>
      <c r="B199" s="37" t="s">
        <v>555</v>
      </c>
      <c r="C199" s="46" t="s">
        <v>148</v>
      </c>
      <c r="D199" s="78">
        <v>1.0</v>
      </c>
      <c r="E199" s="37">
        <v>0.4</v>
      </c>
      <c r="F199" s="78">
        <v>7.0</v>
      </c>
      <c r="G199" s="40">
        <v>0.14</v>
      </c>
      <c r="H199" s="40">
        <f t="shared" si="11"/>
        <v>0.392</v>
      </c>
      <c r="I199" s="42"/>
      <c r="J199" s="107"/>
      <c r="K199" s="79"/>
      <c r="L199" s="14"/>
    </row>
    <row r="200" ht="19.5" customHeight="1">
      <c r="A200" s="126">
        <v>5.0</v>
      </c>
      <c r="B200" s="37" t="s">
        <v>555</v>
      </c>
      <c r="C200" s="46" t="s">
        <v>148</v>
      </c>
      <c r="D200" s="78">
        <v>2.0</v>
      </c>
      <c r="E200" s="37">
        <v>0.4</v>
      </c>
      <c r="F200" s="78">
        <v>2.5</v>
      </c>
      <c r="G200" s="40">
        <v>0.14</v>
      </c>
      <c r="H200" s="40">
        <f t="shared" si="11"/>
        <v>0.28</v>
      </c>
      <c r="I200" s="42"/>
      <c r="J200" s="43">
        <f>SUM(H196:H200)</f>
        <v>22.372</v>
      </c>
      <c r="K200" s="79"/>
      <c r="L200" s="14">
        <f>J200+J189</f>
        <v>28.222</v>
      </c>
    </row>
    <row r="201" ht="19.5" customHeight="1">
      <c r="A201" s="74" t="s">
        <v>1</v>
      </c>
      <c r="B201" s="74" t="s">
        <v>91</v>
      </c>
      <c r="C201" s="74" t="s">
        <v>92</v>
      </c>
      <c r="D201" s="76" t="s">
        <v>93</v>
      </c>
      <c r="E201" s="50" t="s">
        <v>97</v>
      </c>
      <c r="F201" s="53" t="s">
        <v>121</v>
      </c>
      <c r="G201" s="53" t="s">
        <v>99</v>
      </c>
      <c r="H201" s="75" t="s">
        <v>100</v>
      </c>
      <c r="I201" s="75" t="s">
        <v>101</v>
      </c>
      <c r="J201" s="76" t="s">
        <v>95</v>
      </c>
      <c r="K201" s="74" t="s">
        <v>96</v>
      </c>
    </row>
    <row r="202" ht="19.5" customHeight="1">
      <c r="A202" s="126">
        <v>1.0</v>
      </c>
      <c r="B202" s="37" t="s">
        <v>339</v>
      </c>
      <c r="C202" s="46" t="s">
        <v>148</v>
      </c>
      <c r="D202" s="78">
        <f>H11</f>
        <v>168.48</v>
      </c>
      <c r="E202" s="37"/>
      <c r="F202" s="78"/>
      <c r="G202" s="40"/>
      <c r="H202" s="40">
        <f>D202</f>
        <v>168.48</v>
      </c>
      <c r="I202" s="42"/>
      <c r="J202" s="43">
        <f>H202</f>
        <v>168.48</v>
      </c>
      <c r="K202" s="46"/>
    </row>
    <row r="203" ht="19.5" customHeight="1">
      <c r="A203" s="126">
        <v>2.0</v>
      </c>
      <c r="B203" s="37" t="s">
        <v>340</v>
      </c>
      <c r="C203" s="46" t="s">
        <v>148</v>
      </c>
      <c r="D203" s="78">
        <v>1.0</v>
      </c>
      <c r="E203" s="37">
        <v>0.4</v>
      </c>
      <c r="F203" s="78">
        <v>55.0</v>
      </c>
      <c r="G203" s="40">
        <v>18.0</v>
      </c>
      <c r="H203" s="40">
        <f>G203*F203*E203</f>
        <v>396</v>
      </c>
      <c r="I203" s="42"/>
      <c r="J203" s="43">
        <f>H203-J202</f>
        <v>227.52</v>
      </c>
      <c r="K203" s="46" t="s">
        <v>341</v>
      </c>
    </row>
    <row r="204" ht="19.5" customHeight="1">
      <c r="A204" s="74" t="s">
        <v>1</v>
      </c>
      <c r="B204" s="74" t="s">
        <v>91</v>
      </c>
      <c r="C204" s="74" t="s">
        <v>92</v>
      </c>
      <c r="D204" s="76" t="s">
        <v>93</v>
      </c>
      <c r="E204" s="50" t="s">
        <v>97</v>
      </c>
      <c r="F204" s="53" t="s">
        <v>121</v>
      </c>
      <c r="G204" s="53" t="s">
        <v>99</v>
      </c>
      <c r="H204" s="75" t="s">
        <v>100</v>
      </c>
      <c r="I204" s="75" t="s">
        <v>101</v>
      </c>
      <c r="J204" s="76" t="s">
        <v>95</v>
      </c>
      <c r="K204" s="74" t="s">
        <v>96</v>
      </c>
      <c r="L204" s="14">
        <f>J191+J234</f>
        <v>80.411</v>
      </c>
    </row>
    <row r="205" ht="19.5" customHeight="1">
      <c r="A205" s="141">
        <v>37076.0</v>
      </c>
      <c r="B205" s="37" t="s">
        <v>172</v>
      </c>
      <c r="C205" s="46" t="s">
        <v>148</v>
      </c>
      <c r="D205" s="78">
        <v>1.0</v>
      </c>
      <c r="E205" s="37">
        <v>0.05</v>
      </c>
      <c r="F205" s="39">
        <v>53.05</v>
      </c>
      <c r="G205" s="41">
        <v>17.9</v>
      </c>
      <c r="H205" s="40">
        <f>G205*F205*E205*D205</f>
        <v>47.47975</v>
      </c>
      <c r="I205" s="42"/>
      <c r="J205" s="43">
        <f>H205</f>
        <v>47.47975</v>
      </c>
      <c r="K205" s="46"/>
    </row>
    <row r="206" ht="19.5" customHeight="1">
      <c r="A206" s="141">
        <v>38537.0</v>
      </c>
      <c r="B206" s="49" t="s">
        <v>342</v>
      </c>
      <c r="C206" s="46" t="s">
        <v>103</v>
      </c>
      <c r="D206" s="39">
        <v>2.0</v>
      </c>
      <c r="E206" s="37"/>
      <c r="F206" s="39">
        <v>53.05</v>
      </c>
      <c r="G206" s="41">
        <v>17.9</v>
      </c>
      <c r="H206" s="40">
        <f>G206*F206*D206</f>
        <v>1899.19</v>
      </c>
      <c r="I206" s="42">
        <f>H207</f>
        <v>95.4</v>
      </c>
      <c r="J206" s="43">
        <f>H206-I206</f>
        <v>1803.79</v>
      </c>
      <c r="K206" s="46"/>
    </row>
    <row r="207" ht="19.5" customHeight="1">
      <c r="A207" s="141">
        <v>37441.0</v>
      </c>
      <c r="B207" s="49" t="s">
        <v>556</v>
      </c>
      <c r="C207" s="46" t="s">
        <v>103</v>
      </c>
      <c r="D207" s="39">
        <v>2.0</v>
      </c>
      <c r="E207" s="37"/>
      <c r="F207" s="39"/>
      <c r="G207" s="41"/>
      <c r="H207" s="40">
        <f>2*47.7</f>
        <v>95.4</v>
      </c>
      <c r="I207" s="42"/>
      <c r="J207" s="43">
        <f>H207</f>
        <v>95.4</v>
      </c>
      <c r="K207" s="46"/>
    </row>
    <row r="208" ht="19.5" customHeight="1">
      <c r="A208" s="141">
        <v>37806.0</v>
      </c>
      <c r="B208" s="49" t="s">
        <v>557</v>
      </c>
      <c r="C208" s="46" t="s">
        <v>103</v>
      </c>
      <c r="D208" s="39">
        <v>11.0</v>
      </c>
      <c r="E208" s="37"/>
      <c r="F208" s="39">
        <v>7.0</v>
      </c>
      <c r="G208" s="41">
        <v>8.0</v>
      </c>
      <c r="H208" s="40">
        <f>D208*F208*G208</f>
        <v>616</v>
      </c>
      <c r="I208" s="42"/>
      <c r="J208" s="142">
        <f t="shared" ref="J208:J213" si="12">H208-I208</f>
        <v>616</v>
      </c>
      <c r="K208" s="46"/>
    </row>
    <row r="209" ht="19.5" customHeight="1">
      <c r="A209" s="141">
        <v>37806.0</v>
      </c>
      <c r="B209" s="49" t="s">
        <v>558</v>
      </c>
      <c r="C209" s="46" t="s">
        <v>103</v>
      </c>
      <c r="D209" s="39">
        <v>1.0</v>
      </c>
      <c r="E209" s="37"/>
      <c r="F209" s="39"/>
      <c r="G209" s="41"/>
      <c r="H209" s="41">
        <v>47.7</v>
      </c>
      <c r="I209" s="42"/>
      <c r="J209" s="142">
        <f t="shared" si="12"/>
        <v>47.7</v>
      </c>
      <c r="K209" s="46"/>
    </row>
    <row r="210" ht="19.5" customHeight="1">
      <c r="A210" s="141">
        <v>37806.0</v>
      </c>
      <c r="B210" s="49" t="s">
        <v>559</v>
      </c>
      <c r="C210" s="46" t="s">
        <v>103</v>
      </c>
      <c r="D210" s="115">
        <v>1.0</v>
      </c>
      <c r="E210" s="37"/>
      <c r="F210" s="39"/>
      <c r="G210" s="40"/>
      <c r="H210" s="58">
        <v>182.3</v>
      </c>
      <c r="I210" s="82"/>
      <c r="J210" s="142">
        <f t="shared" si="12"/>
        <v>182.3</v>
      </c>
      <c r="K210" s="79"/>
    </row>
    <row r="211" ht="19.5" customHeight="1">
      <c r="A211" s="141">
        <v>37806.0</v>
      </c>
      <c r="B211" s="49" t="s">
        <v>560</v>
      </c>
      <c r="C211" s="46" t="s">
        <v>103</v>
      </c>
      <c r="D211" s="39">
        <v>11.0</v>
      </c>
      <c r="E211" s="37"/>
      <c r="F211" s="39">
        <v>7.0</v>
      </c>
      <c r="G211" s="41">
        <v>8.0</v>
      </c>
      <c r="H211" s="40">
        <f>D211*F211*G211</f>
        <v>616</v>
      </c>
      <c r="I211" s="42"/>
      <c r="J211" s="142">
        <f t="shared" si="12"/>
        <v>616</v>
      </c>
      <c r="K211" s="46"/>
    </row>
    <row r="212" ht="19.5" customHeight="1">
      <c r="A212" s="141">
        <v>37806.0</v>
      </c>
      <c r="B212" s="49" t="s">
        <v>561</v>
      </c>
      <c r="C212" s="46" t="s">
        <v>103</v>
      </c>
      <c r="D212" s="39">
        <v>1.0</v>
      </c>
      <c r="E212" s="37"/>
      <c r="F212" s="39"/>
      <c r="G212" s="41"/>
      <c r="H212" s="41">
        <v>47.7</v>
      </c>
      <c r="I212" s="42"/>
      <c r="J212" s="142">
        <f t="shared" si="12"/>
        <v>47.7</v>
      </c>
      <c r="K212" s="46"/>
    </row>
    <row r="213" ht="19.5" customHeight="1">
      <c r="A213" s="141">
        <v>37806.0</v>
      </c>
      <c r="B213" s="49" t="s">
        <v>562</v>
      </c>
      <c r="C213" s="46" t="s">
        <v>103</v>
      </c>
      <c r="D213" s="115">
        <v>1.0</v>
      </c>
      <c r="E213" s="37"/>
      <c r="F213" s="39"/>
      <c r="G213" s="40"/>
      <c r="H213" s="58">
        <v>182.3</v>
      </c>
      <c r="I213" s="82"/>
      <c r="J213" s="142">
        <f t="shared" si="12"/>
        <v>182.3</v>
      </c>
      <c r="K213" s="79"/>
    </row>
    <row r="214" ht="19.5" customHeight="1">
      <c r="A214" s="141">
        <v>37806.0</v>
      </c>
      <c r="B214" s="114"/>
      <c r="C214" s="83"/>
      <c r="D214" s="115"/>
      <c r="E214" s="37"/>
      <c r="F214" s="39"/>
      <c r="G214" s="40"/>
      <c r="H214" s="59"/>
      <c r="I214" s="82"/>
      <c r="J214" s="143">
        <f>SUM(J208:J213)</f>
        <v>1692</v>
      </c>
      <c r="K214" s="79"/>
    </row>
    <row r="215" ht="19.5" customHeight="1">
      <c r="A215" s="144">
        <v>38902.0</v>
      </c>
      <c r="B215" s="114" t="s">
        <v>563</v>
      </c>
      <c r="C215" s="83" t="s">
        <v>108</v>
      </c>
      <c r="D215" s="115">
        <v>1.0</v>
      </c>
      <c r="E215" s="37"/>
      <c r="F215" s="39"/>
      <c r="G215" s="40"/>
      <c r="H215" s="58">
        <v>178.05</v>
      </c>
      <c r="I215" s="82"/>
      <c r="J215" s="143">
        <f>H215-I215</f>
        <v>178.05</v>
      </c>
      <c r="K215" s="79"/>
    </row>
    <row r="216" ht="19.5" customHeight="1">
      <c r="A216" s="144">
        <v>39267.0</v>
      </c>
      <c r="B216" s="114" t="s">
        <v>564</v>
      </c>
      <c r="C216" s="83" t="s">
        <v>108</v>
      </c>
      <c r="D216" s="115">
        <v>8.0</v>
      </c>
      <c r="E216" s="37"/>
      <c r="F216" s="39">
        <v>0.9</v>
      </c>
      <c r="G216" s="40"/>
      <c r="H216" s="59">
        <f>D216*F216</f>
        <v>7.2</v>
      </c>
      <c r="I216" s="82"/>
      <c r="J216" s="143">
        <f>H216</f>
        <v>7.2</v>
      </c>
      <c r="K216" s="79"/>
    </row>
    <row r="217" ht="19.5" customHeight="1">
      <c r="A217" s="74" t="s">
        <v>1</v>
      </c>
      <c r="B217" s="74" t="s">
        <v>91</v>
      </c>
      <c r="C217" s="74" t="s">
        <v>92</v>
      </c>
      <c r="D217" s="76" t="s">
        <v>93</v>
      </c>
      <c r="E217" s="50" t="s">
        <v>97</v>
      </c>
      <c r="F217" s="53" t="s">
        <v>121</v>
      </c>
      <c r="G217" s="53" t="s">
        <v>99</v>
      </c>
      <c r="H217" s="75" t="s">
        <v>100</v>
      </c>
      <c r="I217" s="75" t="s">
        <v>101</v>
      </c>
      <c r="J217" s="76" t="s">
        <v>95</v>
      </c>
      <c r="K217" s="74" t="s">
        <v>96</v>
      </c>
    </row>
    <row r="218" ht="19.5" customHeight="1">
      <c r="A218" s="126">
        <v>1.0</v>
      </c>
      <c r="B218" s="37" t="s">
        <v>345</v>
      </c>
      <c r="C218" s="46" t="s">
        <v>148</v>
      </c>
      <c r="D218" s="78">
        <v>4.0</v>
      </c>
      <c r="E218" s="37">
        <v>0.3</v>
      </c>
      <c r="F218" s="78">
        <v>55.0</v>
      </c>
      <c r="G218" s="40">
        <v>0.14</v>
      </c>
      <c r="H218" s="40">
        <f t="shared" ref="H218:H222" si="13">G218*F218*E218*D218</f>
        <v>9.24</v>
      </c>
      <c r="I218" s="42"/>
      <c r="J218" s="40"/>
      <c r="K218" s="46"/>
    </row>
    <row r="219" ht="19.5" customHeight="1">
      <c r="A219" s="126">
        <v>2.0</v>
      </c>
      <c r="B219" s="37" t="s">
        <v>345</v>
      </c>
      <c r="C219" s="46" t="s">
        <v>148</v>
      </c>
      <c r="D219" s="78">
        <v>9.0</v>
      </c>
      <c r="E219" s="37">
        <v>0.3</v>
      </c>
      <c r="F219" s="78">
        <v>18.0</v>
      </c>
      <c r="G219" s="40">
        <v>0.14</v>
      </c>
      <c r="H219" s="40">
        <f t="shared" si="13"/>
        <v>6.804</v>
      </c>
      <c r="I219" s="42"/>
      <c r="J219" s="107"/>
      <c r="K219" s="46"/>
    </row>
    <row r="220" ht="19.5" customHeight="1">
      <c r="A220" s="126">
        <v>3.0</v>
      </c>
      <c r="B220" s="37" t="s">
        <v>345</v>
      </c>
      <c r="C220" s="46" t="s">
        <v>148</v>
      </c>
      <c r="D220" s="78">
        <v>1.0</v>
      </c>
      <c r="E220" s="37">
        <v>0.3</v>
      </c>
      <c r="F220" s="78">
        <v>5.5</v>
      </c>
      <c r="G220" s="40">
        <v>0.14</v>
      </c>
      <c r="H220" s="40">
        <f t="shared" si="13"/>
        <v>0.231</v>
      </c>
      <c r="I220" s="42"/>
      <c r="J220" s="107"/>
      <c r="K220" s="79"/>
    </row>
    <row r="221" ht="19.5" customHeight="1">
      <c r="A221" s="126">
        <v>4.0</v>
      </c>
      <c r="B221" s="37" t="s">
        <v>345</v>
      </c>
      <c r="C221" s="46" t="s">
        <v>148</v>
      </c>
      <c r="D221" s="78">
        <v>1.0</v>
      </c>
      <c r="E221" s="37">
        <v>0.3</v>
      </c>
      <c r="F221" s="78">
        <v>7.0</v>
      </c>
      <c r="G221" s="40">
        <v>0.14</v>
      </c>
      <c r="H221" s="40">
        <f t="shared" si="13"/>
        <v>0.294</v>
      </c>
      <c r="I221" s="42"/>
      <c r="J221" s="107"/>
      <c r="K221" s="79"/>
    </row>
    <row r="222" ht="19.5" customHeight="1">
      <c r="A222" s="126">
        <v>5.0</v>
      </c>
      <c r="B222" s="37" t="s">
        <v>345</v>
      </c>
      <c r="C222" s="46" t="s">
        <v>148</v>
      </c>
      <c r="D222" s="78">
        <v>2.0</v>
      </c>
      <c r="E222" s="37">
        <v>0.3</v>
      </c>
      <c r="F222" s="78">
        <v>2.5</v>
      </c>
      <c r="G222" s="40">
        <v>0.14</v>
      </c>
      <c r="H222" s="40">
        <f t="shared" si="13"/>
        <v>0.21</v>
      </c>
      <c r="I222" s="42"/>
      <c r="J222" s="43">
        <f>SUM(H218:H222)</f>
        <v>16.779</v>
      </c>
      <c r="K222" s="79"/>
    </row>
    <row r="223" ht="19.5" customHeight="1">
      <c r="A223" s="74" t="s">
        <v>1</v>
      </c>
      <c r="B223" s="74" t="s">
        <v>91</v>
      </c>
      <c r="C223" s="74" t="s">
        <v>92</v>
      </c>
      <c r="D223" s="76" t="s">
        <v>93</v>
      </c>
      <c r="E223" s="50" t="s">
        <v>97</v>
      </c>
      <c r="F223" s="53" t="s">
        <v>121</v>
      </c>
      <c r="G223" s="53" t="s">
        <v>99</v>
      </c>
      <c r="H223" s="75" t="s">
        <v>100</v>
      </c>
      <c r="I223" s="75" t="s">
        <v>101</v>
      </c>
      <c r="J223" s="76" t="s">
        <v>95</v>
      </c>
      <c r="K223" s="74" t="s">
        <v>96</v>
      </c>
    </row>
    <row r="224" ht="19.5" customHeight="1">
      <c r="A224" s="145">
        <v>1.0</v>
      </c>
      <c r="B224" s="37" t="s">
        <v>565</v>
      </c>
      <c r="C224" s="46" t="s">
        <v>148</v>
      </c>
      <c r="D224" s="78">
        <v>4.0</v>
      </c>
      <c r="E224" s="37">
        <v>0.45</v>
      </c>
      <c r="F224" s="40">
        <v>55.0</v>
      </c>
      <c r="G224" s="40">
        <v>0.14</v>
      </c>
      <c r="H224" s="40">
        <f t="shared" ref="H224:H234" si="14">G224*F224*E224*D224</f>
        <v>13.86</v>
      </c>
      <c r="I224" s="42"/>
      <c r="J224" s="40"/>
      <c r="K224" s="46"/>
    </row>
    <row r="225" ht="19.5" customHeight="1">
      <c r="A225" s="126">
        <v>2.0</v>
      </c>
      <c r="B225" s="37" t="s">
        <v>565</v>
      </c>
      <c r="C225" s="46" t="s">
        <v>148</v>
      </c>
      <c r="D225" s="78">
        <v>9.0</v>
      </c>
      <c r="E225" s="37">
        <v>0.45</v>
      </c>
      <c r="F225" s="40">
        <v>18.0</v>
      </c>
      <c r="G225" s="40">
        <v>0.14</v>
      </c>
      <c r="H225" s="40">
        <f t="shared" si="14"/>
        <v>10.206</v>
      </c>
      <c r="I225" s="42"/>
      <c r="J225" s="107"/>
      <c r="K225" s="46"/>
      <c r="L225" s="14">
        <f>J225+J191+J197</f>
        <v>35.1</v>
      </c>
    </row>
    <row r="226" ht="19.5" customHeight="1">
      <c r="A226" s="126">
        <v>3.0</v>
      </c>
      <c r="B226" s="37" t="s">
        <v>565</v>
      </c>
      <c r="C226" s="46" t="s">
        <v>148</v>
      </c>
      <c r="D226" s="78">
        <v>1.0</v>
      </c>
      <c r="E226" s="37">
        <v>0.45</v>
      </c>
      <c r="F226" s="40">
        <v>5.5</v>
      </c>
      <c r="G226" s="40">
        <v>0.14</v>
      </c>
      <c r="H226" s="40">
        <f t="shared" si="14"/>
        <v>0.3465</v>
      </c>
      <c r="I226" s="42"/>
      <c r="J226" s="107"/>
      <c r="K226" s="79"/>
      <c r="L226" s="14"/>
    </row>
    <row r="227" ht="19.5" customHeight="1">
      <c r="A227" s="126">
        <v>4.0</v>
      </c>
      <c r="B227" s="37" t="s">
        <v>565</v>
      </c>
      <c r="C227" s="46" t="s">
        <v>148</v>
      </c>
      <c r="D227" s="78">
        <v>1.0</v>
      </c>
      <c r="E227" s="37">
        <v>0.45</v>
      </c>
      <c r="F227" s="40">
        <v>7.0</v>
      </c>
      <c r="G227" s="40">
        <v>0.14</v>
      </c>
      <c r="H227" s="40">
        <f t="shared" si="14"/>
        <v>0.441</v>
      </c>
      <c r="I227" s="42"/>
      <c r="J227" s="107"/>
      <c r="K227" s="79"/>
      <c r="L227" s="14"/>
    </row>
    <row r="228" ht="19.5" customHeight="1">
      <c r="A228" s="126">
        <v>5.0</v>
      </c>
      <c r="B228" s="37" t="s">
        <v>565</v>
      </c>
      <c r="C228" s="46" t="s">
        <v>148</v>
      </c>
      <c r="D228" s="78">
        <v>2.0</v>
      </c>
      <c r="E228" s="37">
        <v>0.45</v>
      </c>
      <c r="F228" s="40">
        <v>2.5</v>
      </c>
      <c r="G228" s="40">
        <v>0.14</v>
      </c>
      <c r="H228" s="40">
        <f t="shared" si="14"/>
        <v>0.315</v>
      </c>
      <c r="I228" s="42"/>
      <c r="J228" s="107"/>
      <c r="K228" s="79"/>
      <c r="L228" s="14"/>
    </row>
    <row r="229" ht="19.5" customHeight="1">
      <c r="A229" s="126">
        <v>5.0</v>
      </c>
      <c r="B229" s="37" t="s">
        <v>346</v>
      </c>
      <c r="C229" s="46" t="s">
        <v>148</v>
      </c>
      <c r="D229" s="78">
        <v>4.0</v>
      </c>
      <c r="E229" s="37">
        <v>0.25</v>
      </c>
      <c r="F229" s="40">
        <v>55.0</v>
      </c>
      <c r="G229" s="40">
        <v>0.14</v>
      </c>
      <c r="H229" s="40">
        <f t="shared" si="14"/>
        <v>7.7</v>
      </c>
      <c r="I229" s="42"/>
      <c r="J229" s="40"/>
      <c r="K229" s="79"/>
      <c r="L229" s="14"/>
    </row>
    <row r="230" ht="19.5" customHeight="1">
      <c r="A230" s="126">
        <v>6.0</v>
      </c>
      <c r="B230" s="37" t="s">
        <v>346</v>
      </c>
      <c r="C230" s="46" t="s">
        <v>148</v>
      </c>
      <c r="D230" s="78">
        <v>9.0</v>
      </c>
      <c r="E230" s="37">
        <v>0.25</v>
      </c>
      <c r="F230" s="40">
        <v>18.0</v>
      </c>
      <c r="G230" s="40">
        <v>0.14</v>
      </c>
      <c r="H230" s="40">
        <f t="shared" si="14"/>
        <v>5.67</v>
      </c>
      <c r="I230" s="42"/>
      <c r="J230" s="107"/>
      <c r="K230" s="79"/>
      <c r="L230" s="14"/>
    </row>
    <row r="231" ht="19.5" customHeight="1">
      <c r="A231" s="126">
        <v>7.0</v>
      </c>
      <c r="B231" s="37" t="s">
        <v>346</v>
      </c>
      <c r="C231" s="46" t="s">
        <v>148</v>
      </c>
      <c r="D231" s="78">
        <v>1.0</v>
      </c>
      <c r="E231" s="37">
        <v>0.25</v>
      </c>
      <c r="F231" s="40">
        <v>5.5</v>
      </c>
      <c r="G231" s="40">
        <v>0.14</v>
      </c>
      <c r="H231" s="40">
        <f t="shared" si="14"/>
        <v>0.1925</v>
      </c>
      <c r="I231" s="42"/>
      <c r="J231" s="107"/>
      <c r="K231" s="79"/>
      <c r="L231" s="14"/>
    </row>
    <row r="232" ht="19.5" customHeight="1">
      <c r="A232" s="126">
        <v>8.0</v>
      </c>
      <c r="B232" s="37" t="s">
        <v>346</v>
      </c>
      <c r="C232" s="46" t="s">
        <v>148</v>
      </c>
      <c r="D232" s="78">
        <v>1.0</v>
      </c>
      <c r="E232" s="37">
        <v>0.25</v>
      </c>
      <c r="F232" s="40">
        <v>7.0</v>
      </c>
      <c r="G232" s="40">
        <v>0.14</v>
      </c>
      <c r="H232" s="40">
        <f t="shared" si="14"/>
        <v>0.245</v>
      </c>
      <c r="I232" s="42"/>
      <c r="J232" s="107"/>
      <c r="K232" s="79"/>
      <c r="L232" s="14"/>
    </row>
    <row r="233" ht="19.5" customHeight="1">
      <c r="A233" s="126">
        <v>9.0</v>
      </c>
      <c r="B233" s="37" t="s">
        <v>346</v>
      </c>
      <c r="C233" s="46" t="s">
        <v>148</v>
      </c>
      <c r="D233" s="78">
        <v>2.0</v>
      </c>
      <c r="E233" s="37">
        <v>0.25</v>
      </c>
      <c r="F233" s="40">
        <v>2.5</v>
      </c>
      <c r="G233" s="40">
        <v>0.14</v>
      </c>
      <c r="H233" s="40">
        <f t="shared" si="14"/>
        <v>0.175</v>
      </c>
      <c r="I233" s="42"/>
      <c r="J233" s="107"/>
      <c r="K233" s="79"/>
      <c r="L233" s="14"/>
    </row>
    <row r="234" ht="19.5" customHeight="1">
      <c r="A234" s="126">
        <v>10.0</v>
      </c>
      <c r="B234" s="37" t="s">
        <v>566</v>
      </c>
      <c r="C234" s="46" t="s">
        <v>148</v>
      </c>
      <c r="D234" s="78">
        <v>2.0</v>
      </c>
      <c r="E234" s="37">
        <v>0.4</v>
      </c>
      <c r="F234" s="40">
        <v>55.0</v>
      </c>
      <c r="G234" s="40">
        <v>0.14</v>
      </c>
      <c r="H234" s="40">
        <f t="shared" si="14"/>
        <v>6.16</v>
      </c>
      <c r="I234" s="42"/>
      <c r="J234" s="96">
        <f>SUM(H224:H234)</f>
        <v>45.311</v>
      </c>
      <c r="K234" s="79"/>
      <c r="L234" s="14"/>
    </row>
    <row r="235" ht="19.5" customHeight="1">
      <c r="A235" s="74" t="s">
        <v>1</v>
      </c>
      <c r="B235" s="74" t="s">
        <v>91</v>
      </c>
      <c r="C235" s="74" t="s">
        <v>92</v>
      </c>
      <c r="D235" s="76" t="s">
        <v>93</v>
      </c>
      <c r="E235" s="50" t="s">
        <v>97</v>
      </c>
      <c r="F235" s="53" t="s">
        <v>121</v>
      </c>
      <c r="G235" s="53" t="s">
        <v>99</v>
      </c>
      <c r="H235" s="75" t="s">
        <v>100</v>
      </c>
      <c r="I235" s="75" t="s">
        <v>101</v>
      </c>
      <c r="J235" s="76" t="s">
        <v>95</v>
      </c>
      <c r="K235" s="74" t="s">
        <v>96</v>
      </c>
    </row>
    <row r="236" ht="19.5" customHeight="1">
      <c r="A236" s="126">
        <v>1.0</v>
      </c>
      <c r="B236" s="37" t="s">
        <v>176</v>
      </c>
      <c r="C236" s="46" t="s">
        <v>103</v>
      </c>
      <c r="D236" s="78">
        <v>1.0</v>
      </c>
      <c r="E236" s="37">
        <v>0.3</v>
      </c>
      <c r="F236" s="40">
        <v>55.0</v>
      </c>
      <c r="G236" s="40">
        <v>18.0</v>
      </c>
      <c r="H236" s="40">
        <f>G236*F236</f>
        <v>990</v>
      </c>
      <c r="I236" s="42"/>
      <c r="J236" s="43">
        <f>H236-I236</f>
        <v>990</v>
      </c>
      <c r="K236" s="47"/>
    </row>
    <row r="237" ht="19.5" customHeight="1">
      <c r="A237" s="74" t="s">
        <v>1</v>
      </c>
      <c r="B237" s="74" t="s">
        <v>91</v>
      </c>
      <c r="C237" s="74" t="s">
        <v>92</v>
      </c>
      <c r="D237" s="76" t="s">
        <v>93</v>
      </c>
      <c r="E237" s="50" t="s">
        <v>148</v>
      </c>
      <c r="F237" s="53" t="s">
        <v>347</v>
      </c>
      <c r="G237" s="53" t="s">
        <v>348</v>
      </c>
      <c r="H237" s="75" t="s">
        <v>100</v>
      </c>
      <c r="I237" s="75" t="s">
        <v>101</v>
      </c>
      <c r="J237" s="76" t="s">
        <v>95</v>
      </c>
      <c r="K237" s="50" t="s">
        <v>96</v>
      </c>
    </row>
    <row r="238" ht="20.25" customHeight="1">
      <c r="A238" s="126">
        <v>1.0</v>
      </c>
      <c r="B238" s="37" t="s">
        <v>349</v>
      </c>
      <c r="C238" s="46" t="s">
        <v>103</v>
      </c>
      <c r="D238" s="123">
        <v>1.0</v>
      </c>
      <c r="E238" s="40">
        <f>J194</f>
        <v>44.928</v>
      </c>
      <c r="F238" s="40">
        <v>10.0</v>
      </c>
      <c r="G238" s="40">
        <f t="shared" ref="G238:G240" si="15">E238/4</f>
        <v>11.232</v>
      </c>
      <c r="H238" s="40">
        <f t="shared" ref="H238:H240" si="16">G238*F238</f>
        <v>112.32</v>
      </c>
      <c r="I238" s="42"/>
      <c r="J238" s="107"/>
      <c r="K238" s="146" t="s">
        <v>567</v>
      </c>
    </row>
    <row r="239" ht="18.75" customHeight="1">
      <c r="A239" s="126">
        <v>2.0</v>
      </c>
      <c r="B239" s="37" t="s">
        <v>351</v>
      </c>
      <c r="C239" s="46" t="s">
        <v>103</v>
      </c>
      <c r="D239" s="128">
        <v>1.0</v>
      </c>
      <c r="E239" s="40">
        <f>J189+J200</f>
        <v>28.222</v>
      </c>
      <c r="F239" s="40">
        <v>12.0</v>
      </c>
      <c r="G239" s="40">
        <f t="shared" si="15"/>
        <v>7.0555</v>
      </c>
      <c r="H239" s="59">
        <f t="shared" si="16"/>
        <v>84.666</v>
      </c>
      <c r="I239" s="93"/>
      <c r="J239" s="107"/>
      <c r="K239" s="147"/>
    </row>
    <row r="240" ht="18.0" customHeight="1">
      <c r="A240" s="126">
        <v>3.0</v>
      </c>
      <c r="B240" s="37" t="s">
        <v>352</v>
      </c>
      <c r="C240" s="46" t="s">
        <v>103</v>
      </c>
      <c r="D240" s="128">
        <v>1.0</v>
      </c>
      <c r="E240" s="40">
        <f>J234+J191</f>
        <v>80.411</v>
      </c>
      <c r="F240" s="40">
        <v>12.0</v>
      </c>
      <c r="G240" s="40">
        <f t="shared" si="15"/>
        <v>20.10275</v>
      </c>
      <c r="H240" s="59">
        <f t="shared" si="16"/>
        <v>241.233</v>
      </c>
      <c r="I240" s="93"/>
      <c r="J240" s="107">
        <f>SUM(H238:H240)</f>
        <v>438.219</v>
      </c>
      <c r="K240" s="32"/>
    </row>
    <row r="241" ht="18.0" customHeight="1">
      <c r="A241" s="126">
        <v>3.0</v>
      </c>
      <c r="B241" s="49" t="s">
        <v>568</v>
      </c>
      <c r="C241" s="46"/>
      <c r="D241" s="148" t="s">
        <v>569</v>
      </c>
      <c r="E241" s="41" t="s">
        <v>570</v>
      </c>
      <c r="F241" s="41" t="s">
        <v>571</v>
      </c>
      <c r="G241" s="41" t="s">
        <v>572</v>
      </c>
      <c r="H241" s="59"/>
      <c r="I241" s="93"/>
      <c r="J241" s="107"/>
    </row>
    <row r="242" ht="18.0" customHeight="1">
      <c r="A242" s="126"/>
      <c r="B242" s="49" t="s">
        <v>573</v>
      </c>
      <c r="C242" s="38" t="s">
        <v>574</v>
      </c>
      <c r="D242" s="148">
        <v>4.0</v>
      </c>
      <c r="E242" s="40">
        <f>18.43+34.9</f>
        <v>53.33</v>
      </c>
      <c r="F242" s="41">
        <v>0.4</v>
      </c>
      <c r="G242" s="41">
        <v>0.2</v>
      </c>
      <c r="H242" s="59"/>
      <c r="I242" s="93"/>
      <c r="J242" s="107">
        <f t="shared" ref="J242:J243" si="17">D242*E242*(G242+F242*2)</f>
        <v>213.32</v>
      </c>
    </row>
    <row r="243" ht="18.0" customHeight="1">
      <c r="A243" s="126"/>
      <c r="B243" s="49" t="s">
        <v>575</v>
      </c>
      <c r="C243" s="38" t="s">
        <v>574</v>
      </c>
      <c r="D243" s="148">
        <v>9.0</v>
      </c>
      <c r="E243" s="40">
        <f>18.05*1.6</f>
        <v>28.88</v>
      </c>
      <c r="F243" s="41">
        <v>0.4</v>
      </c>
      <c r="G243" s="41">
        <v>0.2</v>
      </c>
      <c r="H243" s="59"/>
      <c r="I243" s="93"/>
      <c r="J243" s="107">
        <f t="shared" si="17"/>
        <v>259.92</v>
      </c>
    </row>
    <row r="244" ht="18.0" customHeight="1">
      <c r="A244" s="126"/>
      <c r="B244" s="49"/>
      <c r="C244" s="46"/>
      <c r="D244" s="128"/>
      <c r="E244" s="40"/>
      <c r="F244" s="40"/>
      <c r="G244" s="40"/>
      <c r="H244" s="59"/>
      <c r="I244" s="149" t="s">
        <v>576</v>
      </c>
      <c r="J244" s="107">
        <f>J243+J242</f>
        <v>473.24</v>
      </c>
    </row>
    <row r="245" ht="19.5" customHeight="1">
      <c r="A245" s="74" t="s">
        <v>1</v>
      </c>
      <c r="B245" s="74" t="s">
        <v>91</v>
      </c>
      <c r="C245" s="74" t="s">
        <v>92</v>
      </c>
      <c r="D245" s="76" t="s">
        <v>93</v>
      </c>
      <c r="E245" s="50" t="s">
        <v>97</v>
      </c>
      <c r="F245" s="53" t="s">
        <v>121</v>
      </c>
      <c r="G245" s="53" t="s">
        <v>99</v>
      </c>
      <c r="H245" s="75" t="s">
        <v>100</v>
      </c>
      <c r="I245" s="75" t="s">
        <v>101</v>
      </c>
      <c r="J245" s="76" t="s">
        <v>95</v>
      </c>
      <c r="K245" s="74" t="s">
        <v>96</v>
      </c>
    </row>
    <row r="246" ht="19.5" customHeight="1">
      <c r="A246" s="141">
        <v>37319.0</v>
      </c>
      <c r="B246" s="49" t="s">
        <v>577</v>
      </c>
      <c r="C246" s="46" t="s">
        <v>103</v>
      </c>
      <c r="D246" s="39">
        <v>4.0</v>
      </c>
      <c r="E246" s="49">
        <v>3.0</v>
      </c>
      <c r="F246" s="39">
        <v>53.05</v>
      </c>
      <c r="G246" s="40"/>
      <c r="H246" s="40">
        <f t="shared" ref="H246:H251" si="18">F246*E246*D246</f>
        <v>636.6</v>
      </c>
      <c r="I246" s="42">
        <f>22*1.5*1+14*1.5*0.45</f>
        <v>42.45</v>
      </c>
      <c r="J246" s="40">
        <f t="shared" ref="J246:J251" si="19">H246-I246</f>
        <v>594.15</v>
      </c>
      <c r="K246" s="46"/>
    </row>
    <row r="247" ht="19.5" customHeight="1">
      <c r="A247" s="141">
        <v>37319.0</v>
      </c>
      <c r="B247" s="49" t="s">
        <v>577</v>
      </c>
      <c r="C247" s="46" t="s">
        <v>103</v>
      </c>
      <c r="D247" s="39">
        <v>9.0</v>
      </c>
      <c r="E247" s="49">
        <v>3.0</v>
      </c>
      <c r="F247" s="39">
        <v>18.05</v>
      </c>
      <c r="G247" s="40"/>
      <c r="H247" s="40">
        <f t="shared" si="18"/>
        <v>487.35</v>
      </c>
      <c r="I247" s="42">
        <f>15*0.9*2.1</f>
        <v>28.35</v>
      </c>
      <c r="J247" s="40">
        <f t="shared" si="19"/>
        <v>459</v>
      </c>
      <c r="K247" s="46"/>
    </row>
    <row r="248" ht="19.5" customHeight="1">
      <c r="A248" s="141">
        <v>37319.0</v>
      </c>
      <c r="B248" s="49" t="s">
        <v>578</v>
      </c>
      <c r="C248" s="46" t="s">
        <v>103</v>
      </c>
      <c r="D248" s="39">
        <v>4.0</v>
      </c>
      <c r="E248" s="49">
        <v>3.3</v>
      </c>
      <c r="F248" s="39">
        <v>53.05</v>
      </c>
      <c r="G248" s="40"/>
      <c r="H248" s="40">
        <f t="shared" si="18"/>
        <v>700.26</v>
      </c>
      <c r="I248" s="42">
        <f>22*1.5*1+14*1.5*0.45</f>
        <v>42.45</v>
      </c>
      <c r="J248" s="40">
        <f t="shared" si="19"/>
        <v>657.81</v>
      </c>
      <c r="K248" s="46"/>
    </row>
    <row r="249" ht="19.5" customHeight="1">
      <c r="A249" s="141">
        <v>37319.0</v>
      </c>
      <c r="B249" s="49" t="s">
        <v>578</v>
      </c>
      <c r="C249" s="46" t="s">
        <v>103</v>
      </c>
      <c r="D249" s="39">
        <v>9.0</v>
      </c>
      <c r="E249" s="49">
        <v>3.3</v>
      </c>
      <c r="F249" s="39">
        <v>18.05</v>
      </c>
      <c r="G249" s="40"/>
      <c r="H249" s="40">
        <f t="shared" si="18"/>
        <v>536.085</v>
      </c>
      <c r="I249" s="42">
        <f>15*0.9*2.1</f>
        <v>28.35</v>
      </c>
      <c r="J249" s="40">
        <f t="shared" si="19"/>
        <v>507.735</v>
      </c>
      <c r="K249" s="46"/>
    </row>
    <row r="250" ht="19.5" customHeight="1">
      <c r="A250" s="141">
        <v>37319.0</v>
      </c>
      <c r="B250" s="49" t="s">
        <v>579</v>
      </c>
      <c r="C250" s="46" t="s">
        <v>103</v>
      </c>
      <c r="D250" s="39">
        <v>2.0</v>
      </c>
      <c r="E250" s="49">
        <v>1.55</v>
      </c>
      <c r="F250" s="39">
        <v>53.05</v>
      </c>
      <c r="G250" s="40"/>
      <c r="H250" s="40">
        <f t="shared" si="18"/>
        <v>164.455</v>
      </c>
      <c r="I250" s="42"/>
      <c r="J250" s="40">
        <f t="shared" si="19"/>
        <v>164.455</v>
      </c>
      <c r="K250" s="46"/>
    </row>
    <row r="251" ht="19.5" customHeight="1">
      <c r="A251" s="141">
        <v>37319.0</v>
      </c>
      <c r="B251" s="49" t="s">
        <v>579</v>
      </c>
      <c r="C251" s="46" t="s">
        <v>103</v>
      </c>
      <c r="D251" s="39">
        <v>2.0</v>
      </c>
      <c r="E251" s="49">
        <v>1.55</v>
      </c>
      <c r="F251" s="39">
        <v>18.05</v>
      </c>
      <c r="G251" s="40"/>
      <c r="H251" s="40">
        <f t="shared" si="18"/>
        <v>55.955</v>
      </c>
      <c r="I251" s="42"/>
      <c r="J251" s="40">
        <f t="shared" si="19"/>
        <v>55.955</v>
      </c>
      <c r="K251" s="46"/>
    </row>
    <row r="252" ht="19.5" customHeight="1">
      <c r="A252" s="141">
        <v>37319.0</v>
      </c>
      <c r="B252" s="95"/>
      <c r="C252" s="79"/>
      <c r="D252" s="92"/>
      <c r="E252" s="37"/>
      <c r="F252" s="78"/>
      <c r="G252" s="40"/>
      <c r="H252" s="59"/>
      <c r="I252" s="93"/>
      <c r="J252" s="96">
        <f>SUM(J246:J251)</f>
        <v>2439.105</v>
      </c>
      <c r="K252" s="79"/>
    </row>
    <row r="253" ht="19.5" customHeight="1">
      <c r="A253" s="144"/>
      <c r="B253" s="95"/>
      <c r="C253" s="79"/>
      <c r="D253" s="92"/>
      <c r="E253" s="37"/>
      <c r="F253" s="78"/>
      <c r="G253" s="40"/>
      <c r="H253" s="59"/>
      <c r="I253" s="93"/>
      <c r="J253" s="96"/>
      <c r="K253" s="79"/>
    </row>
    <row r="254" ht="19.5" customHeight="1">
      <c r="A254" s="74" t="s">
        <v>1</v>
      </c>
      <c r="B254" s="74" t="s">
        <v>91</v>
      </c>
      <c r="C254" s="74" t="s">
        <v>92</v>
      </c>
      <c r="D254" s="76" t="s">
        <v>93</v>
      </c>
      <c r="E254" s="50" t="s">
        <v>97</v>
      </c>
      <c r="F254" s="53" t="s">
        <v>121</v>
      </c>
      <c r="G254" s="53" t="s">
        <v>99</v>
      </c>
      <c r="H254" s="75" t="s">
        <v>100</v>
      </c>
      <c r="I254" s="75" t="s">
        <v>101</v>
      </c>
      <c r="J254" s="76" t="s">
        <v>95</v>
      </c>
      <c r="K254" s="74" t="s">
        <v>96</v>
      </c>
    </row>
    <row r="255" ht="19.5" customHeight="1">
      <c r="A255" s="126">
        <v>1.0</v>
      </c>
      <c r="B255" s="37" t="s">
        <v>182</v>
      </c>
      <c r="C255" s="46" t="s">
        <v>103</v>
      </c>
      <c r="D255" s="78">
        <f>J236</f>
        <v>990</v>
      </c>
      <c r="E255" s="37"/>
      <c r="F255" s="40"/>
      <c r="G255" s="40"/>
      <c r="H255" s="40">
        <f>D255</f>
        <v>990</v>
      </c>
      <c r="I255" s="42"/>
      <c r="J255" s="43">
        <f>H255-I255</f>
        <v>990</v>
      </c>
      <c r="K255" s="46" t="s">
        <v>183</v>
      </c>
    </row>
    <row r="256" ht="19.5" customHeight="1">
      <c r="A256" s="74" t="s">
        <v>1</v>
      </c>
      <c r="B256" s="74" t="s">
        <v>91</v>
      </c>
      <c r="C256" s="74" t="s">
        <v>92</v>
      </c>
      <c r="D256" s="76" t="s">
        <v>93</v>
      </c>
      <c r="E256" s="50" t="s">
        <v>187</v>
      </c>
      <c r="F256" s="53"/>
      <c r="G256" s="53" t="s">
        <v>353</v>
      </c>
      <c r="H256" s="75" t="s">
        <v>100</v>
      </c>
      <c r="I256" s="75" t="s">
        <v>101</v>
      </c>
      <c r="J256" s="76" t="s">
        <v>95</v>
      </c>
      <c r="K256" s="74" t="s">
        <v>96</v>
      </c>
    </row>
    <row r="257" ht="19.5" customHeight="1">
      <c r="A257" s="150">
        <v>1.0</v>
      </c>
      <c r="B257" s="37" t="s">
        <v>354</v>
      </c>
      <c r="C257" s="46" t="s">
        <v>158</v>
      </c>
      <c r="D257" s="78">
        <f>J194</f>
        <v>44.928</v>
      </c>
      <c r="E257" s="37">
        <v>80.0</v>
      </c>
      <c r="F257" s="40"/>
      <c r="G257" s="40">
        <f t="shared" ref="G257:G260" si="20">E257*D257</f>
        <v>3594.24</v>
      </c>
      <c r="H257" s="40">
        <f t="shared" ref="H257:H260" si="21">E257*D257</f>
        <v>3594.24</v>
      </c>
      <c r="I257" s="42"/>
      <c r="J257" s="107"/>
      <c r="K257" s="46" t="s">
        <v>355</v>
      </c>
    </row>
    <row r="258" ht="19.5" customHeight="1">
      <c r="A258" s="150">
        <v>2.0</v>
      </c>
      <c r="B258" s="37" t="s">
        <v>356</v>
      </c>
      <c r="C258" s="46" t="s">
        <v>158</v>
      </c>
      <c r="D258" s="78">
        <f>J189+J200</f>
        <v>28.222</v>
      </c>
      <c r="E258" s="37">
        <v>90.0</v>
      </c>
      <c r="F258" s="40"/>
      <c r="G258" s="40">
        <f t="shared" si="20"/>
        <v>2539.98</v>
      </c>
      <c r="H258" s="40">
        <f t="shared" si="21"/>
        <v>2539.98</v>
      </c>
      <c r="I258" s="42"/>
      <c r="J258" s="121"/>
      <c r="K258" s="79"/>
    </row>
    <row r="259" ht="19.5" customHeight="1">
      <c r="A259" s="150">
        <v>3.0</v>
      </c>
      <c r="B259" s="37" t="s">
        <v>357</v>
      </c>
      <c r="C259" s="46" t="s">
        <v>158</v>
      </c>
      <c r="D259" s="78">
        <f>J234+J194</f>
        <v>90.239</v>
      </c>
      <c r="E259" s="37">
        <v>100.0</v>
      </c>
      <c r="F259" s="40"/>
      <c r="G259" s="40">
        <f t="shared" si="20"/>
        <v>9023.9</v>
      </c>
      <c r="H259" s="40">
        <f t="shared" si="21"/>
        <v>9023.9</v>
      </c>
      <c r="I259" s="42"/>
      <c r="J259" s="121"/>
      <c r="K259" s="79"/>
    </row>
    <row r="260" ht="19.5" customHeight="1">
      <c r="A260" s="150">
        <v>4.0</v>
      </c>
      <c r="B260" s="37" t="s">
        <v>358</v>
      </c>
      <c r="C260" s="46" t="s">
        <v>158</v>
      </c>
      <c r="D260" s="78">
        <f>J255*0.15</f>
        <v>148.5</v>
      </c>
      <c r="E260" s="37">
        <v>80.0</v>
      </c>
      <c r="F260" s="40"/>
      <c r="G260" s="40">
        <f t="shared" si="20"/>
        <v>11880</v>
      </c>
      <c r="H260" s="40">
        <f t="shared" si="21"/>
        <v>11880</v>
      </c>
      <c r="I260" s="42"/>
      <c r="J260" s="96">
        <f>SUM(H257:H260)</f>
        <v>27038.12</v>
      </c>
      <c r="K260" s="79"/>
    </row>
    <row r="261" ht="19.5" customHeight="1">
      <c r="A261" s="74" t="s">
        <v>1</v>
      </c>
      <c r="B261" s="74" t="s">
        <v>91</v>
      </c>
      <c r="C261" s="74" t="s">
        <v>92</v>
      </c>
      <c r="D261" s="76" t="s">
        <v>93</v>
      </c>
      <c r="E261" s="50" t="s">
        <v>97</v>
      </c>
      <c r="F261" s="53" t="s">
        <v>121</v>
      </c>
      <c r="G261" s="53" t="s">
        <v>99</v>
      </c>
      <c r="H261" s="75" t="s">
        <v>100</v>
      </c>
      <c r="I261" s="75" t="s">
        <v>101</v>
      </c>
      <c r="J261" s="76" t="s">
        <v>95</v>
      </c>
      <c r="K261" s="74" t="s">
        <v>96</v>
      </c>
    </row>
    <row r="262" ht="19.5" customHeight="1">
      <c r="A262" s="141">
        <v>38507.0</v>
      </c>
      <c r="B262" s="37" t="s">
        <v>184</v>
      </c>
      <c r="C262" s="46" t="s">
        <v>108</v>
      </c>
      <c r="D262" s="39">
        <v>2.0</v>
      </c>
      <c r="E262" s="37"/>
      <c r="F262" s="41">
        <v>18.05</v>
      </c>
      <c r="G262" s="41">
        <v>53.05</v>
      </c>
      <c r="H262" s="40">
        <f>D262*(F262+G262)</f>
        <v>142.2</v>
      </c>
      <c r="I262" s="42"/>
      <c r="J262" s="77"/>
      <c r="K262" s="46"/>
    </row>
    <row r="263" ht="19.5" customHeight="1">
      <c r="A263" s="141">
        <v>38507.0</v>
      </c>
      <c r="B263" s="37" t="s">
        <v>185</v>
      </c>
      <c r="C263" s="46" t="s">
        <v>108</v>
      </c>
      <c r="D263" s="39">
        <v>2.0</v>
      </c>
      <c r="E263" s="37"/>
      <c r="F263" s="41">
        <v>18.05</v>
      </c>
      <c r="G263" s="40"/>
      <c r="H263" s="40">
        <f>D263*F263</f>
        <v>36.1</v>
      </c>
      <c r="I263" s="42"/>
      <c r="J263" s="43">
        <f>H263+H262</f>
        <v>178.3</v>
      </c>
      <c r="K263" s="46"/>
    </row>
    <row r="264" ht="19.5" customHeight="1">
      <c r="A264" s="74" t="s">
        <v>1</v>
      </c>
      <c r="B264" s="74" t="s">
        <v>91</v>
      </c>
      <c r="C264" s="74" t="s">
        <v>92</v>
      </c>
      <c r="D264" s="76" t="s">
        <v>93</v>
      </c>
      <c r="E264" s="50" t="s">
        <v>99</v>
      </c>
      <c r="F264" s="53" t="s">
        <v>121</v>
      </c>
      <c r="G264" s="53"/>
      <c r="H264" s="75" t="s">
        <v>100</v>
      </c>
      <c r="I264" s="75" t="s">
        <v>101</v>
      </c>
      <c r="J264" s="76" t="s">
        <v>95</v>
      </c>
      <c r="K264" s="74" t="s">
        <v>96</v>
      </c>
    </row>
    <row r="265" ht="19.5" customHeight="1">
      <c r="A265" s="141">
        <v>37046.0</v>
      </c>
      <c r="B265" s="49" t="s">
        <v>580</v>
      </c>
      <c r="C265" s="38" t="s">
        <v>158</v>
      </c>
      <c r="D265" s="39">
        <f>'39 ESTRUTURAL ADM, LAB E BIBLIO'!Y11</f>
        <v>10368.5725</v>
      </c>
      <c r="E265" s="37"/>
      <c r="F265" s="40"/>
      <c r="G265" s="40"/>
      <c r="H265" s="40"/>
      <c r="I265" s="42"/>
      <c r="J265" s="43">
        <f t="shared" ref="J265:J266" si="22">D265</f>
        <v>10368.5725</v>
      </c>
      <c r="K265" s="46"/>
    </row>
    <row r="266" ht="19.5" customHeight="1">
      <c r="A266" s="151" t="s">
        <v>581</v>
      </c>
      <c r="B266" s="49" t="s">
        <v>582</v>
      </c>
      <c r="C266" s="83" t="s">
        <v>103</v>
      </c>
      <c r="D266" s="115">
        <f>'39 ESTRUTURAL ADM, LAB E BIBLIO'!AA11</f>
        <v>909.5239035</v>
      </c>
      <c r="E266" s="37"/>
      <c r="F266" s="40"/>
      <c r="G266" s="40"/>
      <c r="H266" s="59"/>
      <c r="I266" s="82"/>
      <c r="J266" s="43">
        <f t="shared" si="22"/>
        <v>909.5239035</v>
      </c>
      <c r="K266" s="79"/>
    </row>
    <row r="267" ht="19.5" customHeight="1">
      <c r="A267" s="74" t="s">
        <v>1</v>
      </c>
      <c r="B267" s="74" t="s">
        <v>91</v>
      </c>
      <c r="C267" s="74" t="s">
        <v>92</v>
      </c>
      <c r="D267" s="76" t="s">
        <v>93</v>
      </c>
      <c r="E267" s="50" t="s">
        <v>99</v>
      </c>
      <c r="F267" s="53" t="s">
        <v>121</v>
      </c>
      <c r="G267" s="53"/>
      <c r="H267" s="75" t="s">
        <v>100</v>
      </c>
      <c r="I267" s="75" t="s">
        <v>101</v>
      </c>
      <c r="J267" s="76" t="s">
        <v>95</v>
      </c>
      <c r="K267" s="74" t="s">
        <v>96</v>
      </c>
    </row>
    <row r="268" ht="19.5" customHeight="1">
      <c r="A268" s="141">
        <v>37411.0</v>
      </c>
      <c r="B268" s="37" t="s">
        <v>189</v>
      </c>
      <c r="C268" s="46" t="s">
        <v>103</v>
      </c>
      <c r="D268" s="78">
        <v>1.0</v>
      </c>
      <c r="E268" s="49">
        <v>17.75</v>
      </c>
      <c r="F268" s="41">
        <v>53.05</v>
      </c>
      <c r="G268" s="40"/>
      <c r="H268" s="40">
        <f>F268*E268</f>
        <v>941.6375</v>
      </c>
      <c r="I268" s="42"/>
      <c r="J268" s="43">
        <f t="shared" ref="J268:J269" si="23">H268-I268</f>
        <v>941.6375</v>
      </c>
      <c r="K268" s="46"/>
    </row>
    <row r="269" ht="19.5" customHeight="1">
      <c r="A269" s="141">
        <v>37776.0</v>
      </c>
      <c r="B269" s="114" t="s">
        <v>583</v>
      </c>
      <c r="C269" s="83" t="s">
        <v>108</v>
      </c>
      <c r="D269" s="115">
        <v>1.0</v>
      </c>
      <c r="E269" s="49"/>
      <c r="F269" s="41">
        <v>53.05</v>
      </c>
      <c r="G269" s="40"/>
      <c r="H269" s="59">
        <f>D269*F269</f>
        <v>53.05</v>
      </c>
      <c r="I269" s="82"/>
      <c r="J269" s="43">
        <f t="shared" si="23"/>
        <v>53.05</v>
      </c>
      <c r="K269" s="79"/>
    </row>
    <row r="270" ht="19.5" customHeight="1">
      <c r="A270" s="74" t="s">
        <v>1</v>
      </c>
      <c r="B270" s="74" t="s">
        <v>91</v>
      </c>
      <c r="C270" s="74" t="s">
        <v>92</v>
      </c>
      <c r="D270" s="76" t="s">
        <v>93</v>
      </c>
      <c r="E270" s="50" t="s">
        <v>99</v>
      </c>
      <c r="F270" s="53" t="s">
        <v>121</v>
      </c>
      <c r="G270" s="53" t="s">
        <v>97</v>
      </c>
      <c r="H270" s="75" t="s">
        <v>100</v>
      </c>
      <c r="I270" s="75" t="s">
        <v>101</v>
      </c>
      <c r="J270" s="76" t="s">
        <v>95</v>
      </c>
      <c r="K270" s="74" t="s">
        <v>96</v>
      </c>
    </row>
    <row r="271" ht="19.5" customHeight="1">
      <c r="A271" s="141">
        <v>38142.0</v>
      </c>
      <c r="B271" s="49" t="s">
        <v>584</v>
      </c>
      <c r="C271" s="38" t="s">
        <v>108</v>
      </c>
      <c r="D271" s="78">
        <v>2.0</v>
      </c>
      <c r="E271" s="37"/>
      <c r="F271" s="41">
        <v>53.05</v>
      </c>
      <c r="G271" s="40"/>
      <c r="H271" s="40"/>
      <c r="I271" s="42"/>
      <c r="J271" s="43">
        <f>D271*F271</f>
        <v>106.1</v>
      </c>
      <c r="K271" s="46"/>
    </row>
    <row r="272" ht="19.5" customHeight="1">
      <c r="A272" s="74" t="s">
        <v>1</v>
      </c>
      <c r="B272" s="74" t="s">
        <v>91</v>
      </c>
      <c r="C272" s="74" t="s">
        <v>92</v>
      </c>
      <c r="D272" s="76" t="s">
        <v>93</v>
      </c>
      <c r="E272" s="50" t="s">
        <v>193</v>
      </c>
      <c r="F272" s="53" t="s">
        <v>121</v>
      </c>
      <c r="G272" s="53" t="s">
        <v>194</v>
      </c>
      <c r="H272" s="75" t="s">
        <v>100</v>
      </c>
      <c r="I272" s="75" t="s">
        <v>101</v>
      </c>
      <c r="J272" s="76" t="s">
        <v>95</v>
      </c>
      <c r="K272" s="74" t="s">
        <v>96</v>
      </c>
    </row>
    <row r="273" ht="19.5" customHeight="1">
      <c r="A273" s="46">
        <v>1.0</v>
      </c>
      <c r="B273" s="37" t="s">
        <v>361</v>
      </c>
      <c r="C273" s="46" t="s">
        <v>103</v>
      </c>
      <c r="D273" s="78">
        <v>2.0</v>
      </c>
      <c r="E273" s="37">
        <v>1.1</v>
      </c>
      <c r="F273" s="40">
        <v>55.0</v>
      </c>
      <c r="G273" s="40"/>
      <c r="H273" s="40">
        <f>F273*E273*D273</f>
        <v>121</v>
      </c>
      <c r="I273" s="42"/>
      <c r="J273" s="43">
        <f t="shared" ref="J273:J276" si="24">H273-I273</f>
        <v>121</v>
      </c>
      <c r="K273" s="46"/>
    </row>
    <row r="274" ht="19.5" customHeight="1">
      <c r="A274" s="46">
        <v>2.0</v>
      </c>
      <c r="B274" s="37"/>
      <c r="C274" s="46" t="s">
        <v>103</v>
      </c>
      <c r="D274" s="78">
        <v>1.0</v>
      </c>
      <c r="E274" s="37">
        <v>60.0</v>
      </c>
      <c r="F274" s="40"/>
      <c r="G274" s="40"/>
      <c r="H274" s="40">
        <f>E274*D274</f>
        <v>60</v>
      </c>
      <c r="I274" s="42"/>
      <c r="J274" s="43">
        <f t="shared" si="24"/>
        <v>60</v>
      </c>
      <c r="K274" s="79"/>
    </row>
    <row r="275" ht="19.5" customHeight="1">
      <c r="A275" s="46">
        <v>3.0</v>
      </c>
      <c r="B275" s="49" t="s">
        <v>585</v>
      </c>
      <c r="C275" s="46" t="s">
        <v>103</v>
      </c>
      <c r="D275" s="39">
        <v>4.0</v>
      </c>
      <c r="E275" s="37"/>
      <c r="F275" s="39">
        <v>17.81</v>
      </c>
      <c r="G275" s="41">
        <v>3.0</v>
      </c>
      <c r="H275" s="40">
        <f t="shared" ref="H275:H276" si="25">D275*F275*G275</f>
        <v>213.72</v>
      </c>
      <c r="I275" s="42">
        <f>4*(0.9*2.1+0.45*1.5)</f>
        <v>10.26</v>
      </c>
      <c r="J275" s="40">
        <f t="shared" si="24"/>
        <v>203.46</v>
      </c>
      <c r="K275" s="79"/>
    </row>
    <row r="276" ht="19.5" customHeight="1">
      <c r="A276" s="46">
        <v>4.0</v>
      </c>
      <c r="B276" s="49" t="s">
        <v>586</v>
      </c>
      <c r="C276" s="46" t="s">
        <v>103</v>
      </c>
      <c r="D276" s="39">
        <v>4.0</v>
      </c>
      <c r="E276" s="37"/>
      <c r="F276" s="39">
        <v>8.44</v>
      </c>
      <c r="G276" s="41">
        <v>3.0</v>
      </c>
      <c r="H276" s="40">
        <f t="shared" si="25"/>
        <v>101.28</v>
      </c>
      <c r="I276" s="152">
        <f>4*0.9*2.1</f>
        <v>7.56</v>
      </c>
      <c r="J276" s="40">
        <f t="shared" si="24"/>
        <v>93.72</v>
      </c>
      <c r="K276" s="79"/>
    </row>
    <row r="277" ht="19.5" customHeight="1">
      <c r="A277" s="46"/>
      <c r="B277" s="37"/>
      <c r="C277" s="46" t="s">
        <v>103</v>
      </c>
      <c r="D277" s="78">
        <v>2.0</v>
      </c>
      <c r="E277" s="37">
        <v>0.94</v>
      </c>
      <c r="F277" s="40">
        <v>2.5</v>
      </c>
      <c r="G277" s="40"/>
      <c r="H277" s="40">
        <f>F277*E277*D277</f>
        <v>4.7</v>
      </c>
      <c r="I277" s="42"/>
      <c r="J277" s="96">
        <f>SUM(J275:J276)</f>
        <v>297.18</v>
      </c>
      <c r="K277" s="79"/>
    </row>
    <row r="278" ht="19.5" customHeight="1">
      <c r="A278" s="74" t="s">
        <v>1</v>
      </c>
      <c r="B278" s="74" t="s">
        <v>91</v>
      </c>
      <c r="C278" s="74" t="s">
        <v>92</v>
      </c>
      <c r="D278" s="76" t="s">
        <v>93</v>
      </c>
      <c r="E278" s="50" t="s">
        <v>161</v>
      </c>
      <c r="F278" s="53"/>
      <c r="G278" s="53"/>
      <c r="H278" s="75" t="s">
        <v>100</v>
      </c>
      <c r="I278" s="75" t="s">
        <v>101</v>
      </c>
      <c r="J278" s="76" t="s">
        <v>95</v>
      </c>
      <c r="K278" s="74" t="s">
        <v>96</v>
      </c>
    </row>
    <row r="279" ht="19.5" customHeight="1">
      <c r="A279" s="141">
        <v>37107.0</v>
      </c>
      <c r="B279" s="49" t="s">
        <v>587</v>
      </c>
      <c r="C279" s="46" t="s">
        <v>103</v>
      </c>
      <c r="D279" s="39">
        <v>11.0</v>
      </c>
      <c r="E279" s="37"/>
      <c r="F279" s="39">
        <v>7.0</v>
      </c>
      <c r="G279" s="41">
        <v>8.0</v>
      </c>
      <c r="H279" s="40">
        <f>D279*F279*G279</f>
        <v>616</v>
      </c>
      <c r="I279" s="42"/>
      <c r="J279" s="142">
        <f t="shared" ref="J279:J284" si="26">H279-I279</f>
        <v>616</v>
      </c>
      <c r="K279" s="46"/>
    </row>
    <row r="280" ht="19.5" customHeight="1">
      <c r="A280" s="141">
        <v>37107.0</v>
      </c>
      <c r="B280" s="49" t="s">
        <v>588</v>
      </c>
      <c r="C280" s="46" t="s">
        <v>103</v>
      </c>
      <c r="D280" s="39">
        <v>1.0</v>
      </c>
      <c r="E280" s="37"/>
      <c r="F280" s="39"/>
      <c r="G280" s="41"/>
      <c r="H280" s="41">
        <v>47.7</v>
      </c>
      <c r="I280" s="82"/>
      <c r="J280" s="142">
        <f t="shared" si="26"/>
        <v>47.7</v>
      </c>
      <c r="K280" s="79"/>
    </row>
    <row r="281" ht="19.5" customHeight="1">
      <c r="A281" s="141">
        <v>37107.0</v>
      </c>
      <c r="B281" s="49" t="s">
        <v>589</v>
      </c>
      <c r="C281" s="46" t="s">
        <v>103</v>
      </c>
      <c r="D281" s="115">
        <v>1.0</v>
      </c>
      <c r="E281" s="37"/>
      <c r="F281" s="39"/>
      <c r="G281" s="40"/>
      <c r="H281" s="58">
        <v>182.3</v>
      </c>
      <c r="I281" s="82"/>
      <c r="J281" s="142">
        <f t="shared" si="26"/>
        <v>182.3</v>
      </c>
      <c r="K281" s="79"/>
    </row>
    <row r="282" ht="19.5" customHeight="1">
      <c r="A282" s="141">
        <v>37107.0</v>
      </c>
      <c r="B282" s="49" t="s">
        <v>590</v>
      </c>
      <c r="C282" s="46" t="s">
        <v>103</v>
      </c>
      <c r="D282" s="39">
        <v>11.0</v>
      </c>
      <c r="E282" s="37"/>
      <c r="F282" s="39">
        <v>7.0</v>
      </c>
      <c r="G282" s="41">
        <v>8.0</v>
      </c>
      <c r="H282" s="40">
        <f>D282*F282*G282</f>
        <v>616</v>
      </c>
      <c r="I282" s="82"/>
      <c r="J282" s="142">
        <f t="shared" si="26"/>
        <v>616</v>
      </c>
      <c r="K282" s="79"/>
    </row>
    <row r="283" ht="19.5" customHeight="1">
      <c r="A283" s="141">
        <v>37107.0</v>
      </c>
      <c r="B283" s="49" t="s">
        <v>591</v>
      </c>
      <c r="C283" s="46" t="s">
        <v>103</v>
      </c>
      <c r="D283" s="39">
        <v>1.0</v>
      </c>
      <c r="E283" s="37"/>
      <c r="F283" s="39"/>
      <c r="G283" s="41"/>
      <c r="H283" s="41">
        <v>47.7</v>
      </c>
      <c r="I283" s="82"/>
      <c r="J283" s="142">
        <f t="shared" si="26"/>
        <v>47.7</v>
      </c>
      <c r="K283" s="79"/>
    </row>
    <row r="284" ht="19.5" customHeight="1">
      <c r="A284" s="141">
        <v>37107.0</v>
      </c>
      <c r="B284" s="49" t="s">
        <v>592</v>
      </c>
      <c r="C284" s="46" t="s">
        <v>103</v>
      </c>
      <c r="D284" s="115">
        <v>1.0</v>
      </c>
      <c r="E284" s="37"/>
      <c r="F284" s="39"/>
      <c r="G284" s="40"/>
      <c r="H284" s="58">
        <v>182.3</v>
      </c>
      <c r="I284" s="82"/>
      <c r="J284" s="142">
        <f t="shared" si="26"/>
        <v>182.3</v>
      </c>
      <c r="K284" s="79"/>
    </row>
    <row r="285" ht="19.5" customHeight="1">
      <c r="A285" s="141">
        <v>37107.0</v>
      </c>
      <c r="B285" s="114"/>
      <c r="C285" s="79"/>
      <c r="D285" s="115"/>
      <c r="E285" s="37"/>
      <c r="F285" s="39"/>
      <c r="G285" s="40"/>
      <c r="H285" s="58"/>
      <c r="I285" s="82"/>
      <c r="J285" s="143">
        <f>SUM(J279:J284)</f>
        <v>1692</v>
      </c>
      <c r="K285" s="79"/>
    </row>
    <row r="286" ht="19.5" customHeight="1">
      <c r="A286" s="74" t="s">
        <v>1</v>
      </c>
      <c r="B286" s="74" t="s">
        <v>91</v>
      </c>
      <c r="C286" s="74" t="s">
        <v>92</v>
      </c>
      <c r="D286" s="76" t="s">
        <v>93</v>
      </c>
      <c r="E286" s="50" t="s">
        <v>99</v>
      </c>
      <c r="F286" s="53" t="s">
        <v>121</v>
      </c>
      <c r="G286" s="53" t="s">
        <v>97</v>
      </c>
      <c r="H286" s="75" t="s">
        <v>100</v>
      </c>
      <c r="I286" s="75" t="s">
        <v>101</v>
      </c>
      <c r="J286" s="76" t="s">
        <v>95</v>
      </c>
      <c r="K286" s="74" t="s">
        <v>96</v>
      </c>
    </row>
    <row r="287" ht="19.5" customHeight="1">
      <c r="A287" s="141">
        <v>37015.0</v>
      </c>
      <c r="B287" s="49" t="s">
        <v>593</v>
      </c>
      <c r="C287" s="46" t="s">
        <v>103</v>
      </c>
      <c r="D287" s="39">
        <v>11.0</v>
      </c>
      <c r="E287" s="49"/>
      <c r="F287" s="39">
        <f>(8+7)*2</f>
        <v>30</v>
      </c>
      <c r="G287" s="41">
        <v>3.0</v>
      </c>
      <c r="H287" s="40">
        <f t="shared" ref="H287:H290" si="27">D287*F287*G287</f>
        <v>990</v>
      </c>
      <c r="I287" s="42">
        <f>11*(0.45*1.5+1*2.1*0.9+2*1*1.5)</f>
        <v>61.215</v>
      </c>
      <c r="J287" s="40">
        <f t="shared" ref="J287:J290" si="28">H287-I287</f>
        <v>928.785</v>
      </c>
      <c r="K287" s="46"/>
    </row>
    <row r="288" ht="19.5" customHeight="1">
      <c r="A288" s="141">
        <v>37015.0</v>
      </c>
      <c r="B288" s="49" t="s">
        <v>594</v>
      </c>
      <c r="C288" s="46" t="s">
        <v>103</v>
      </c>
      <c r="D288" s="39">
        <v>1.0</v>
      </c>
      <c r="E288" s="37"/>
      <c r="F288" s="39">
        <v>178.05</v>
      </c>
      <c r="G288" s="41">
        <v>3.0</v>
      </c>
      <c r="H288" s="40">
        <f t="shared" si="27"/>
        <v>534.15</v>
      </c>
      <c r="I288" s="42">
        <f>15*2.1*0.9+12*0.45*1.5</f>
        <v>36.45</v>
      </c>
      <c r="J288" s="40">
        <f t="shared" si="28"/>
        <v>497.7</v>
      </c>
      <c r="K288" s="46"/>
    </row>
    <row r="289" ht="19.5" customHeight="1">
      <c r="A289" s="141">
        <v>37015.0</v>
      </c>
      <c r="B289" s="49" t="s">
        <v>595</v>
      </c>
      <c r="C289" s="46" t="s">
        <v>103</v>
      </c>
      <c r="D289" s="39">
        <v>2.0</v>
      </c>
      <c r="E289" s="37"/>
      <c r="F289" s="39">
        <v>17.81</v>
      </c>
      <c r="G289" s="41">
        <v>3.0</v>
      </c>
      <c r="H289" s="40">
        <f t="shared" si="27"/>
        <v>106.86</v>
      </c>
      <c r="I289" s="42">
        <f>2*(0.9*2.1+0.45*1.5)</f>
        <v>5.13</v>
      </c>
      <c r="J289" s="40">
        <f t="shared" si="28"/>
        <v>101.73</v>
      </c>
      <c r="K289" s="46"/>
    </row>
    <row r="290" ht="19.5" customHeight="1">
      <c r="A290" s="141">
        <v>37015.0</v>
      </c>
      <c r="B290" s="49" t="s">
        <v>596</v>
      </c>
      <c r="C290" s="46" t="s">
        <v>103</v>
      </c>
      <c r="D290" s="39">
        <v>2.0</v>
      </c>
      <c r="E290" s="37"/>
      <c r="F290" s="39">
        <v>8.44</v>
      </c>
      <c r="G290" s="41">
        <v>3.0</v>
      </c>
      <c r="H290" s="40">
        <f t="shared" si="27"/>
        <v>50.64</v>
      </c>
      <c r="I290" s="152">
        <f>2*0.9*2.1</f>
        <v>3.78</v>
      </c>
      <c r="J290" s="40">
        <f t="shared" si="28"/>
        <v>46.86</v>
      </c>
      <c r="K290" s="79"/>
    </row>
    <row r="291" ht="19.5" customHeight="1">
      <c r="A291" s="141">
        <v>37015.0</v>
      </c>
      <c r="B291" s="49"/>
      <c r="C291" s="46"/>
      <c r="D291" s="78"/>
      <c r="E291" s="37"/>
      <c r="F291" s="78"/>
      <c r="G291" s="40"/>
      <c r="H291" s="40"/>
      <c r="I291" s="42"/>
      <c r="J291" s="40"/>
      <c r="K291" s="79"/>
    </row>
    <row r="292" ht="19.5" customHeight="1">
      <c r="A292" s="141">
        <v>37015.0</v>
      </c>
      <c r="B292" s="49" t="s">
        <v>597</v>
      </c>
      <c r="C292" s="46" t="s">
        <v>103</v>
      </c>
      <c r="D292" s="39">
        <v>11.0</v>
      </c>
      <c r="E292" s="49"/>
      <c r="F292" s="39">
        <f>(8+7)*2</f>
        <v>30</v>
      </c>
      <c r="G292" s="41">
        <v>3.3</v>
      </c>
      <c r="H292" s="40">
        <f t="shared" ref="H292:H295" si="29">D292*F292*G292</f>
        <v>1089</v>
      </c>
      <c r="I292" s="42">
        <f>11*(0.45*1.5+1*2.1*0.9+2*1*1.5)</f>
        <v>61.215</v>
      </c>
      <c r="J292" s="40">
        <f t="shared" ref="J292:J295" si="30">H292-I292</f>
        <v>1027.785</v>
      </c>
      <c r="K292" s="79"/>
    </row>
    <row r="293" ht="19.5" customHeight="1">
      <c r="A293" s="141">
        <v>37015.0</v>
      </c>
      <c r="B293" s="49" t="s">
        <v>598</v>
      </c>
      <c r="C293" s="46" t="s">
        <v>103</v>
      </c>
      <c r="D293" s="39">
        <v>1.0</v>
      </c>
      <c r="E293" s="37"/>
      <c r="F293" s="39">
        <v>178.05</v>
      </c>
      <c r="G293" s="41">
        <v>3.3</v>
      </c>
      <c r="H293" s="40">
        <f t="shared" si="29"/>
        <v>587.565</v>
      </c>
      <c r="I293" s="42">
        <f>15*2.1*0.9+12*0.45*1.5</f>
        <v>36.45</v>
      </c>
      <c r="J293" s="40">
        <f t="shared" si="30"/>
        <v>551.115</v>
      </c>
      <c r="K293" s="79"/>
    </row>
    <row r="294" ht="19.5" customHeight="1">
      <c r="A294" s="141">
        <v>37015.0</v>
      </c>
      <c r="B294" s="49" t="s">
        <v>599</v>
      </c>
      <c r="C294" s="46" t="s">
        <v>103</v>
      </c>
      <c r="D294" s="39">
        <v>2.0</v>
      </c>
      <c r="E294" s="37"/>
      <c r="F294" s="39">
        <v>17.81</v>
      </c>
      <c r="G294" s="41">
        <v>3.3</v>
      </c>
      <c r="H294" s="40">
        <f t="shared" si="29"/>
        <v>117.546</v>
      </c>
      <c r="I294" s="42">
        <f>2*(0.9*2.1+0.45*1.5)</f>
        <v>5.13</v>
      </c>
      <c r="J294" s="40">
        <f t="shared" si="30"/>
        <v>112.416</v>
      </c>
      <c r="K294" s="79"/>
    </row>
    <row r="295" ht="19.5" customHeight="1">
      <c r="A295" s="141">
        <v>37015.0</v>
      </c>
      <c r="B295" s="49" t="s">
        <v>600</v>
      </c>
      <c r="C295" s="46" t="s">
        <v>103</v>
      </c>
      <c r="D295" s="39">
        <v>2.0</v>
      </c>
      <c r="E295" s="37"/>
      <c r="F295" s="39">
        <v>8.44</v>
      </c>
      <c r="G295" s="41">
        <v>3.3</v>
      </c>
      <c r="H295" s="40">
        <f t="shared" si="29"/>
        <v>55.704</v>
      </c>
      <c r="I295" s="152">
        <f>2*0.9*2.1</f>
        <v>3.78</v>
      </c>
      <c r="J295" s="40">
        <f t="shared" si="30"/>
        <v>51.924</v>
      </c>
      <c r="K295" s="79"/>
    </row>
    <row r="296" ht="19.5" customHeight="1">
      <c r="A296" s="141">
        <v>37015.0</v>
      </c>
      <c r="B296" s="95"/>
      <c r="C296" s="79"/>
      <c r="D296" s="92"/>
      <c r="E296" s="37"/>
      <c r="F296" s="78"/>
      <c r="G296" s="40"/>
      <c r="H296" s="59"/>
      <c r="I296" s="93"/>
      <c r="J296" s="96">
        <f>SUM(J287:J295)</f>
        <v>3318.315</v>
      </c>
      <c r="K296" s="79"/>
    </row>
    <row r="297" ht="19.5" customHeight="1">
      <c r="A297" s="141">
        <v>37380.0</v>
      </c>
      <c r="B297" s="114" t="s">
        <v>601</v>
      </c>
      <c r="C297" s="46" t="s">
        <v>103</v>
      </c>
      <c r="D297" s="94">
        <v>2.0</v>
      </c>
      <c r="E297" s="49">
        <v>17.75</v>
      </c>
      <c r="F297" s="39">
        <v>53.05</v>
      </c>
      <c r="G297" s="41">
        <v>1.55</v>
      </c>
      <c r="H297" s="59">
        <f t="shared" ref="H297:H298" si="31">(E297+F297)*D297*G297</f>
        <v>219.48</v>
      </c>
      <c r="I297" s="93"/>
      <c r="J297" s="153">
        <f>H297</f>
        <v>219.48</v>
      </c>
      <c r="K297" s="79"/>
    </row>
    <row r="298" ht="19.5" customHeight="1">
      <c r="A298" s="141">
        <v>37380.0</v>
      </c>
      <c r="B298" s="114" t="s">
        <v>602</v>
      </c>
      <c r="C298" s="46" t="s">
        <v>103</v>
      </c>
      <c r="D298" s="94">
        <v>2.0</v>
      </c>
      <c r="E298" s="49">
        <v>18.05</v>
      </c>
      <c r="F298" s="39">
        <v>53.35</v>
      </c>
      <c r="G298" s="41">
        <v>8.3</v>
      </c>
      <c r="H298" s="59">
        <f t="shared" si="31"/>
        <v>1185.24</v>
      </c>
      <c r="I298" s="93">
        <f>44*1.5*1+4*0.45*1.5</f>
        <v>68.7</v>
      </c>
      <c r="J298" s="153">
        <f t="shared" ref="J298:J299" si="32">H298-I298</f>
        <v>1116.54</v>
      </c>
      <c r="K298" s="79"/>
    </row>
    <row r="299" ht="19.5" customHeight="1">
      <c r="A299" s="141"/>
      <c r="B299" s="114" t="s">
        <v>603</v>
      </c>
      <c r="C299" s="46" t="s">
        <v>103</v>
      </c>
      <c r="D299" s="115">
        <f>7*2</f>
        <v>14</v>
      </c>
      <c r="E299" s="37"/>
      <c r="F299" s="39">
        <v>1.65</v>
      </c>
      <c r="G299" s="41">
        <v>6.4</v>
      </c>
      <c r="H299" s="59">
        <f>D299*F299*G299</f>
        <v>147.84</v>
      </c>
      <c r="I299" s="93"/>
      <c r="J299" s="153">
        <f t="shared" si="32"/>
        <v>147.84</v>
      </c>
      <c r="K299" s="79"/>
    </row>
    <row r="300" ht="19.5" customHeight="1">
      <c r="A300" s="141">
        <v>37380.0</v>
      </c>
      <c r="B300" s="114"/>
      <c r="C300" s="79"/>
      <c r="D300" s="94"/>
      <c r="E300" s="49"/>
      <c r="F300" s="39"/>
      <c r="G300" s="41"/>
      <c r="H300" s="59"/>
      <c r="I300" s="93"/>
      <c r="J300" s="96">
        <f>SUM(J297:J299)</f>
        <v>1483.86</v>
      </c>
      <c r="K300" s="79"/>
    </row>
    <row r="301" ht="19.5" customHeight="1">
      <c r="A301" s="144">
        <v>38111.0</v>
      </c>
      <c r="B301" s="114" t="s">
        <v>604</v>
      </c>
      <c r="C301" s="46" t="s">
        <v>103</v>
      </c>
      <c r="D301" s="94">
        <v>2.0</v>
      </c>
      <c r="E301" s="49">
        <v>0.65</v>
      </c>
      <c r="F301" s="39">
        <v>52.0</v>
      </c>
      <c r="G301" s="41"/>
      <c r="H301" s="59">
        <f>D301*E301*F301</f>
        <v>67.6</v>
      </c>
      <c r="I301" s="93"/>
      <c r="J301" s="96">
        <f>H301</f>
        <v>67.6</v>
      </c>
      <c r="K301" s="79"/>
    </row>
    <row r="302" ht="19.5" customHeight="1">
      <c r="A302" s="74" t="s">
        <v>1</v>
      </c>
      <c r="B302" s="74" t="s">
        <v>91</v>
      </c>
      <c r="C302" s="74" t="s">
        <v>92</v>
      </c>
      <c r="D302" s="76" t="s">
        <v>93</v>
      </c>
      <c r="E302" s="50" t="s">
        <v>99</v>
      </c>
      <c r="F302" s="53" t="s">
        <v>121</v>
      </c>
      <c r="G302" s="53" t="s">
        <v>97</v>
      </c>
      <c r="H302" s="75" t="s">
        <v>100</v>
      </c>
      <c r="I302" s="75" t="s">
        <v>101</v>
      </c>
      <c r="J302" s="76" t="s">
        <v>95</v>
      </c>
      <c r="K302" s="74" t="s">
        <v>96</v>
      </c>
    </row>
    <row r="303" ht="19.5" customHeight="1">
      <c r="A303" s="141">
        <v>37745.0</v>
      </c>
      <c r="B303" s="49" t="s">
        <v>605</v>
      </c>
      <c r="C303" s="46" t="s">
        <v>103</v>
      </c>
      <c r="D303" s="39">
        <v>11.0</v>
      </c>
      <c r="E303" s="49"/>
      <c r="F303" s="39">
        <f>(8+7)*2</f>
        <v>30</v>
      </c>
      <c r="G303" s="41">
        <v>3.0</v>
      </c>
      <c r="H303" s="40">
        <f t="shared" ref="H303:H306" si="33">D303*F303*G303</f>
        <v>990</v>
      </c>
      <c r="I303" s="42">
        <f>11*(0.45*1.5+1*2.1*0.9+2*1*1.5)</f>
        <v>61.215</v>
      </c>
      <c r="J303" s="40">
        <f t="shared" ref="J303:J306" si="34">H303-I303</f>
        <v>928.785</v>
      </c>
      <c r="K303" s="79"/>
    </row>
    <row r="304" ht="19.5" customHeight="1">
      <c r="A304" s="141">
        <v>37745.0</v>
      </c>
      <c r="B304" s="49" t="s">
        <v>606</v>
      </c>
      <c r="C304" s="46" t="s">
        <v>103</v>
      </c>
      <c r="D304" s="39">
        <v>1.0</v>
      </c>
      <c r="E304" s="37"/>
      <c r="F304" s="39">
        <v>178.05</v>
      </c>
      <c r="G304" s="41">
        <v>3.0</v>
      </c>
      <c r="H304" s="40">
        <f t="shared" si="33"/>
        <v>534.15</v>
      </c>
      <c r="I304" s="42">
        <f>15*2.1*0.9+12*0.45*1.5</f>
        <v>36.45</v>
      </c>
      <c r="J304" s="40">
        <f t="shared" si="34"/>
        <v>497.7</v>
      </c>
      <c r="K304" s="79"/>
    </row>
    <row r="305" ht="19.5" customHeight="1">
      <c r="A305" s="141">
        <v>37745.0</v>
      </c>
      <c r="B305" s="49" t="s">
        <v>607</v>
      </c>
      <c r="C305" s="46" t="s">
        <v>103</v>
      </c>
      <c r="D305" s="39">
        <v>2.0</v>
      </c>
      <c r="E305" s="37"/>
      <c r="F305" s="39">
        <v>17.81</v>
      </c>
      <c r="G305" s="41">
        <v>3.0</v>
      </c>
      <c r="H305" s="40">
        <f t="shared" si="33"/>
        <v>106.86</v>
      </c>
      <c r="I305" s="42">
        <f>2*(0.9*2.1+0.45*1.5)</f>
        <v>5.13</v>
      </c>
      <c r="J305" s="40">
        <f t="shared" si="34"/>
        <v>101.73</v>
      </c>
      <c r="K305" s="79"/>
    </row>
    <row r="306" ht="19.5" customHeight="1">
      <c r="A306" s="141">
        <v>37745.0</v>
      </c>
      <c r="B306" s="49" t="s">
        <v>608</v>
      </c>
      <c r="C306" s="46" t="s">
        <v>103</v>
      </c>
      <c r="D306" s="39">
        <v>2.0</v>
      </c>
      <c r="E306" s="37"/>
      <c r="F306" s="39">
        <v>8.44</v>
      </c>
      <c r="G306" s="41">
        <v>3.0</v>
      </c>
      <c r="H306" s="40">
        <f t="shared" si="33"/>
        <v>50.64</v>
      </c>
      <c r="I306" s="152">
        <f>2*0.9*2.1</f>
        <v>3.78</v>
      </c>
      <c r="J306" s="40">
        <f t="shared" si="34"/>
        <v>46.86</v>
      </c>
      <c r="K306" s="79"/>
    </row>
    <row r="307" ht="19.5" customHeight="1">
      <c r="A307" s="141">
        <v>37745.0</v>
      </c>
      <c r="B307" s="49"/>
      <c r="C307" s="46"/>
      <c r="D307" s="78"/>
      <c r="E307" s="37"/>
      <c r="F307" s="78"/>
      <c r="G307" s="40"/>
      <c r="H307" s="40"/>
      <c r="I307" s="42"/>
      <c r="J307" s="40"/>
      <c r="K307" s="79"/>
    </row>
    <row r="308" ht="19.5" customHeight="1">
      <c r="A308" s="141">
        <v>37745.0</v>
      </c>
      <c r="B308" s="49" t="s">
        <v>609</v>
      </c>
      <c r="C308" s="46" t="s">
        <v>103</v>
      </c>
      <c r="D308" s="39">
        <v>11.0</v>
      </c>
      <c r="E308" s="49"/>
      <c r="F308" s="39">
        <f>(8+7)*2</f>
        <v>30</v>
      </c>
      <c r="G308" s="41">
        <v>3.3</v>
      </c>
      <c r="H308" s="40">
        <f t="shared" ref="H308:H311" si="35">D308*F308*G308</f>
        <v>1089</v>
      </c>
      <c r="I308" s="42">
        <f>11*(0.45*1.5+1*2.1*0.9+2*1*1.5)</f>
        <v>61.215</v>
      </c>
      <c r="J308" s="40">
        <f t="shared" ref="J308:J311" si="36">H308-I308</f>
        <v>1027.785</v>
      </c>
      <c r="K308" s="79"/>
    </row>
    <row r="309" ht="19.5" customHeight="1">
      <c r="A309" s="141">
        <v>37745.0</v>
      </c>
      <c r="B309" s="49" t="s">
        <v>610</v>
      </c>
      <c r="C309" s="46" t="s">
        <v>103</v>
      </c>
      <c r="D309" s="39">
        <v>1.0</v>
      </c>
      <c r="E309" s="37"/>
      <c r="F309" s="39">
        <v>178.05</v>
      </c>
      <c r="G309" s="41">
        <v>3.3</v>
      </c>
      <c r="H309" s="40">
        <f t="shared" si="35"/>
        <v>587.565</v>
      </c>
      <c r="I309" s="42">
        <f>15*2.1*0.9+12*0.45*1.5</f>
        <v>36.45</v>
      </c>
      <c r="J309" s="40">
        <f t="shared" si="36"/>
        <v>551.115</v>
      </c>
      <c r="K309" s="46"/>
    </row>
    <row r="310" ht="19.5" customHeight="1">
      <c r="A310" s="141">
        <v>37745.0</v>
      </c>
      <c r="B310" s="49" t="s">
        <v>611</v>
      </c>
      <c r="C310" s="46" t="s">
        <v>103</v>
      </c>
      <c r="D310" s="39">
        <v>2.0</v>
      </c>
      <c r="E310" s="37"/>
      <c r="F310" s="39">
        <v>17.81</v>
      </c>
      <c r="G310" s="41">
        <v>3.3</v>
      </c>
      <c r="H310" s="40">
        <f t="shared" si="35"/>
        <v>117.546</v>
      </c>
      <c r="I310" s="42">
        <f>2*(0.9*2.1+0.45*1.5)</f>
        <v>5.13</v>
      </c>
      <c r="J310" s="40">
        <f t="shared" si="36"/>
        <v>112.416</v>
      </c>
      <c r="K310" s="46"/>
    </row>
    <row r="311" ht="19.5" customHeight="1">
      <c r="A311" s="141">
        <v>37745.0</v>
      </c>
      <c r="B311" s="49" t="s">
        <v>612</v>
      </c>
      <c r="C311" s="46" t="s">
        <v>103</v>
      </c>
      <c r="D311" s="39">
        <v>2.0</v>
      </c>
      <c r="E311" s="37"/>
      <c r="F311" s="39">
        <v>8.44</v>
      </c>
      <c r="G311" s="41">
        <v>3.3</v>
      </c>
      <c r="H311" s="40">
        <f t="shared" si="35"/>
        <v>55.704</v>
      </c>
      <c r="I311" s="152">
        <f>2*0.9*2.1</f>
        <v>3.78</v>
      </c>
      <c r="J311" s="40">
        <f t="shared" si="36"/>
        <v>51.924</v>
      </c>
      <c r="K311" s="46"/>
    </row>
    <row r="312" ht="19.5" customHeight="1">
      <c r="A312" s="141">
        <v>37745.0</v>
      </c>
      <c r="B312" s="95"/>
      <c r="C312" s="79"/>
      <c r="D312" s="92"/>
      <c r="E312" s="37"/>
      <c r="F312" s="78"/>
      <c r="G312" s="40"/>
      <c r="H312" s="59"/>
      <c r="I312" s="93"/>
      <c r="J312" s="96">
        <f>SUM(J303:J311)</f>
        <v>3318.315</v>
      </c>
      <c r="K312" s="46"/>
    </row>
    <row r="313" ht="19.5" customHeight="1">
      <c r="A313" s="141">
        <v>38111.0</v>
      </c>
      <c r="B313" s="114" t="s">
        <v>613</v>
      </c>
      <c r="C313" s="46" t="s">
        <v>103</v>
      </c>
      <c r="D313" s="94">
        <v>2.0</v>
      </c>
      <c r="E313" s="49">
        <v>17.75</v>
      </c>
      <c r="F313" s="39">
        <v>53.05</v>
      </c>
      <c r="G313" s="41">
        <v>1.55</v>
      </c>
      <c r="H313" s="59">
        <f t="shared" ref="H313:H314" si="37">(E313+F313)*D313*G313</f>
        <v>219.48</v>
      </c>
      <c r="I313" s="93"/>
      <c r="J313" s="153">
        <f>H313</f>
        <v>219.48</v>
      </c>
      <c r="K313" s="46"/>
    </row>
    <row r="314" ht="19.5" customHeight="1">
      <c r="A314" s="141">
        <v>38111.0</v>
      </c>
      <c r="B314" s="114" t="s">
        <v>614</v>
      </c>
      <c r="C314" s="46" t="s">
        <v>103</v>
      </c>
      <c r="D314" s="94">
        <v>2.0</v>
      </c>
      <c r="E314" s="49">
        <v>18.05</v>
      </c>
      <c r="F314" s="39">
        <v>53.35</v>
      </c>
      <c r="G314" s="41">
        <v>8.3</v>
      </c>
      <c r="H314" s="59">
        <f t="shared" si="37"/>
        <v>1185.24</v>
      </c>
      <c r="I314" s="93">
        <f>44*1.5*1+4*0.45*1.5</f>
        <v>68.7</v>
      </c>
      <c r="J314" s="153">
        <f t="shared" ref="J314:J315" si="38">H314-I314</f>
        <v>1116.54</v>
      </c>
      <c r="K314" s="46"/>
    </row>
    <row r="315" ht="19.5" customHeight="1">
      <c r="A315" s="141">
        <v>38111.0</v>
      </c>
      <c r="B315" s="114" t="s">
        <v>615</v>
      </c>
      <c r="C315" s="46" t="s">
        <v>103</v>
      </c>
      <c r="D315" s="115">
        <f>7*2</f>
        <v>14</v>
      </c>
      <c r="E315" s="37"/>
      <c r="F315" s="39">
        <v>1.65</v>
      </c>
      <c r="G315" s="41">
        <v>6.4</v>
      </c>
      <c r="H315" s="59">
        <f>D315*F315*G315</f>
        <v>147.84</v>
      </c>
      <c r="I315" s="93"/>
      <c r="J315" s="153">
        <f t="shared" si="38"/>
        <v>147.84</v>
      </c>
      <c r="K315" s="46"/>
    </row>
    <row r="316" ht="19.5" customHeight="1">
      <c r="A316" s="141">
        <v>38111.0</v>
      </c>
      <c r="B316" s="114"/>
      <c r="C316" s="79"/>
      <c r="D316" s="94"/>
      <c r="E316" s="49"/>
      <c r="F316" s="39"/>
      <c r="G316" s="41"/>
      <c r="H316" s="59"/>
      <c r="I316" s="93"/>
      <c r="J316" s="96">
        <f>SUM(J313:J315)</f>
        <v>1483.86</v>
      </c>
      <c r="K316" s="46"/>
    </row>
    <row r="317" ht="19.5" customHeight="1">
      <c r="A317" s="144">
        <v>38841.0</v>
      </c>
      <c r="B317" s="114" t="s">
        <v>616</v>
      </c>
      <c r="C317" s="46" t="s">
        <v>103</v>
      </c>
      <c r="D317" s="94">
        <v>2.0</v>
      </c>
      <c r="E317" s="49">
        <v>0.65</v>
      </c>
      <c r="F317" s="39">
        <v>52.0</v>
      </c>
      <c r="G317" s="41"/>
      <c r="H317" s="59">
        <f>D317*E317*F317</f>
        <v>67.6</v>
      </c>
      <c r="I317" s="93"/>
      <c r="J317" s="96">
        <f>H317</f>
        <v>67.6</v>
      </c>
      <c r="K317" s="79"/>
    </row>
    <row r="318" ht="19.5" customHeight="1">
      <c r="A318" s="74" t="s">
        <v>1</v>
      </c>
      <c r="B318" s="74" t="s">
        <v>91</v>
      </c>
      <c r="C318" s="74" t="s">
        <v>92</v>
      </c>
      <c r="D318" s="76" t="s">
        <v>93</v>
      </c>
      <c r="E318" s="50" t="s">
        <v>99</v>
      </c>
      <c r="F318" s="53" t="s">
        <v>121</v>
      </c>
      <c r="G318" s="53" t="s">
        <v>97</v>
      </c>
      <c r="H318" s="75" t="s">
        <v>100</v>
      </c>
      <c r="I318" s="75" t="s">
        <v>101</v>
      </c>
      <c r="J318" s="76" t="s">
        <v>95</v>
      </c>
      <c r="K318" s="74" t="s">
        <v>96</v>
      </c>
    </row>
    <row r="319" ht="19.5" customHeight="1">
      <c r="A319" s="154" t="s">
        <v>617</v>
      </c>
      <c r="B319" s="49" t="s">
        <v>618</v>
      </c>
      <c r="C319" s="46" t="s">
        <v>103</v>
      </c>
      <c r="D319" s="39">
        <v>1.0</v>
      </c>
      <c r="E319" s="37"/>
      <c r="F319" s="39">
        <v>178.05</v>
      </c>
      <c r="G319" s="41">
        <v>2.75</v>
      </c>
      <c r="H319" s="40">
        <f t="shared" ref="H319:H322" si="39">D319*F319*G319</f>
        <v>489.6375</v>
      </c>
      <c r="I319" s="42">
        <f>15*2.1*0.9+12*0.45*1.5</f>
        <v>36.45</v>
      </c>
      <c r="J319" s="40">
        <f t="shared" ref="J319:J322" si="40">H319-I319</f>
        <v>453.1875</v>
      </c>
      <c r="K319" s="46"/>
    </row>
    <row r="320" ht="19.5" customHeight="1">
      <c r="A320" s="154" t="s">
        <v>617</v>
      </c>
      <c r="B320" s="155" t="s">
        <v>619</v>
      </c>
      <c r="C320" s="46" t="s">
        <v>103</v>
      </c>
      <c r="D320" s="39">
        <v>11.0</v>
      </c>
      <c r="E320" s="49"/>
      <c r="F320" s="39">
        <f>(8+7)*2</f>
        <v>30</v>
      </c>
      <c r="G320" s="41">
        <f>2.75-1.6</f>
        <v>1.15</v>
      </c>
      <c r="H320" s="40">
        <f t="shared" si="39"/>
        <v>379.5</v>
      </c>
      <c r="I320" s="42">
        <f>11*0.45*1.5</f>
        <v>7.425</v>
      </c>
      <c r="J320" s="40">
        <f t="shared" si="40"/>
        <v>372.075</v>
      </c>
      <c r="K320" s="46"/>
    </row>
    <row r="321" ht="19.5" customHeight="1">
      <c r="A321" s="154" t="s">
        <v>617</v>
      </c>
      <c r="B321" s="49" t="s">
        <v>620</v>
      </c>
      <c r="C321" s="46" t="s">
        <v>103</v>
      </c>
      <c r="D321" s="39">
        <v>1.0</v>
      </c>
      <c r="E321" s="37"/>
      <c r="F321" s="39">
        <v>178.05</v>
      </c>
      <c r="G321" s="41">
        <v>2.75</v>
      </c>
      <c r="H321" s="40">
        <f t="shared" si="39"/>
        <v>489.6375</v>
      </c>
      <c r="I321" s="42">
        <f>15*2.1*0.9+12*0.45*1.5</f>
        <v>36.45</v>
      </c>
      <c r="J321" s="40">
        <f t="shared" si="40"/>
        <v>453.1875</v>
      </c>
      <c r="K321" s="46"/>
    </row>
    <row r="322" ht="19.5" customHeight="1">
      <c r="A322" s="154" t="s">
        <v>617</v>
      </c>
      <c r="B322" s="155" t="s">
        <v>621</v>
      </c>
      <c r="C322" s="46" t="s">
        <v>103</v>
      </c>
      <c r="D322" s="39">
        <v>11.0</v>
      </c>
      <c r="E322" s="49"/>
      <c r="F322" s="39">
        <f>(8+7)*2</f>
        <v>30</v>
      </c>
      <c r="G322" s="41">
        <f>2.75-1.6</f>
        <v>1.15</v>
      </c>
      <c r="H322" s="40">
        <f t="shared" si="39"/>
        <v>379.5</v>
      </c>
      <c r="I322" s="42">
        <f>11*0.45*1.5</f>
        <v>7.425</v>
      </c>
      <c r="J322" s="40">
        <f t="shared" si="40"/>
        <v>372.075</v>
      </c>
      <c r="K322" s="46"/>
    </row>
    <row r="323" ht="19.5" customHeight="1">
      <c r="A323" s="154" t="s">
        <v>617</v>
      </c>
      <c r="B323" s="37"/>
      <c r="C323" s="46" t="s">
        <v>103</v>
      </c>
      <c r="D323" s="78"/>
      <c r="E323" s="37"/>
      <c r="F323" s="78"/>
      <c r="G323" s="40"/>
      <c r="H323" s="40"/>
      <c r="I323" s="93"/>
      <c r="J323" s="64">
        <f>SUM(J319:J322)</f>
        <v>1650.525</v>
      </c>
      <c r="K323" s="132"/>
    </row>
    <row r="324" ht="19.5" customHeight="1">
      <c r="A324" s="74" t="s">
        <v>1</v>
      </c>
      <c r="B324" s="99" t="s">
        <v>91</v>
      </c>
      <c r="C324" s="74" t="s">
        <v>92</v>
      </c>
      <c r="D324" s="76" t="s">
        <v>93</v>
      </c>
      <c r="E324" s="50" t="s">
        <v>99</v>
      </c>
      <c r="F324" s="53" t="s">
        <v>121</v>
      </c>
      <c r="G324" s="53" t="s">
        <v>97</v>
      </c>
      <c r="H324" s="75" t="s">
        <v>100</v>
      </c>
      <c r="I324" s="75" t="s">
        <v>101</v>
      </c>
      <c r="J324" s="76" t="s">
        <v>95</v>
      </c>
      <c r="K324" s="74" t="s">
        <v>96</v>
      </c>
    </row>
    <row r="325" ht="19.5" customHeight="1">
      <c r="A325" s="141">
        <v>39206.0</v>
      </c>
      <c r="B325" s="155" t="s">
        <v>622</v>
      </c>
      <c r="C325" s="46" t="s">
        <v>103</v>
      </c>
      <c r="D325" s="39">
        <v>11.0</v>
      </c>
      <c r="E325" s="49"/>
      <c r="F325" s="39">
        <f t="shared" ref="F325:F326" si="41">(8+7)*2</f>
        <v>30</v>
      </c>
      <c r="G325" s="41">
        <v>1.6</v>
      </c>
      <c r="H325" s="40">
        <f t="shared" ref="H325:H326" si="42">D325*F325*G325</f>
        <v>528</v>
      </c>
      <c r="I325" s="42"/>
      <c r="J325" s="40">
        <f t="shared" ref="J325:J326" si="43">H325</f>
        <v>528</v>
      </c>
      <c r="K325" s="46"/>
    </row>
    <row r="326" ht="19.5" customHeight="1">
      <c r="A326" s="156">
        <v>39206.0</v>
      </c>
      <c r="B326" s="157" t="s">
        <v>623</v>
      </c>
      <c r="C326" s="158" t="s">
        <v>103</v>
      </c>
      <c r="D326" s="159">
        <v>11.0</v>
      </c>
      <c r="E326" s="160"/>
      <c r="F326" s="159">
        <f t="shared" si="41"/>
        <v>30</v>
      </c>
      <c r="G326" s="161">
        <v>1.6</v>
      </c>
      <c r="H326" s="162">
        <f t="shared" si="42"/>
        <v>528</v>
      </c>
      <c r="I326" s="163"/>
      <c r="J326" s="162">
        <f t="shared" si="43"/>
        <v>528</v>
      </c>
      <c r="K326" s="164"/>
      <c r="L326" s="165"/>
      <c r="M326" s="165"/>
      <c r="N326" s="165"/>
      <c r="O326" s="165"/>
      <c r="P326" s="165"/>
      <c r="Q326" s="165"/>
      <c r="R326" s="165"/>
      <c r="S326" s="165"/>
      <c r="T326" s="165"/>
      <c r="U326" s="165"/>
      <c r="V326" s="165"/>
      <c r="W326" s="165"/>
      <c r="X326" s="165"/>
      <c r="Y326" s="165"/>
      <c r="Z326" s="165"/>
    </row>
    <row r="327" ht="19.5" customHeight="1">
      <c r="A327" s="141">
        <v>39206.0</v>
      </c>
      <c r="B327" s="155"/>
      <c r="C327" s="46"/>
      <c r="D327" s="39"/>
      <c r="E327" s="37"/>
      <c r="F327" s="39"/>
      <c r="G327" s="41"/>
      <c r="H327" s="40"/>
      <c r="I327" s="42"/>
      <c r="J327" s="133">
        <f>SUM(J325:J326)</f>
        <v>1056</v>
      </c>
      <c r="K327" s="79"/>
    </row>
    <row r="328" ht="19.5" customHeight="1">
      <c r="A328" s="141">
        <v>39572.0</v>
      </c>
      <c r="B328" s="155" t="s">
        <v>624</v>
      </c>
      <c r="C328" s="46" t="s">
        <v>103</v>
      </c>
      <c r="D328" s="39">
        <v>2.0</v>
      </c>
      <c r="E328" s="37"/>
      <c r="F328" s="39">
        <v>17.81</v>
      </c>
      <c r="G328" s="41">
        <v>2.75</v>
      </c>
      <c r="H328" s="40">
        <f t="shared" ref="H328:H331" si="44">D328*F328*G328</f>
        <v>97.955</v>
      </c>
      <c r="I328" s="42"/>
      <c r="J328" s="40">
        <f t="shared" ref="J328:J331" si="45">H328</f>
        <v>97.955</v>
      </c>
      <c r="K328" s="79"/>
    </row>
    <row r="329" ht="19.5" customHeight="1">
      <c r="A329" s="141">
        <v>39572.0</v>
      </c>
      <c r="B329" s="155" t="s">
        <v>625</v>
      </c>
      <c r="C329" s="46" t="s">
        <v>103</v>
      </c>
      <c r="D329" s="39">
        <v>2.0</v>
      </c>
      <c r="E329" s="37"/>
      <c r="F329" s="39">
        <v>8.44</v>
      </c>
      <c r="G329" s="41">
        <v>2.75</v>
      </c>
      <c r="H329" s="40">
        <f t="shared" si="44"/>
        <v>46.42</v>
      </c>
      <c r="I329" s="42"/>
      <c r="J329" s="40">
        <f t="shared" si="45"/>
        <v>46.42</v>
      </c>
      <c r="K329" s="79"/>
    </row>
    <row r="330" ht="19.5" customHeight="1">
      <c r="A330" s="141">
        <v>39572.0</v>
      </c>
      <c r="B330" s="155" t="s">
        <v>626</v>
      </c>
      <c r="C330" s="46" t="s">
        <v>103</v>
      </c>
      <c r="D330" s="39">
        <v>2.0</v>
      </c>
      <c r="E330" s="37"/>
      <c r="F330" s="39">
        <v>17.81</v>
      </c>
      <c r="G330" s="41">
        <v>2.75</v>
      </c>
      <c r="H330" s="40">
        <f t="shared" si="44"/>
        <v>97.955</v>
      </c>
      <c r="I330" s="93"/>
      <c r="J330" s="40">
        <f t="shared" si="45"/>
        <v>97.955</v>
      </c>
      <c r="K330" s="79"/>
    </row>
    <row r="331" ht="19.5" customHeight="1">
      <c r="A331" s="141">
        <v>39572.0</v>
      </c>
      <c r="B331" s="155" t="s">
        <v>627</v>
      </c>
      <c r="C331" s="46" t="s">
        <v>103</v>
      </c>
      <c r="D331" s="39">
        <v>2.0</v>
      </c>
      <c r="E331" s="37"/>
      <c r="F331" s="39">
        <v>8.44</v>
      </c>
      <c r="G331" s="41">
        <v>2.75</v>
      </c>
      <c r="H331" s="40">
        <f t="shared" si="44"/>
        <v>46.42</v>
      </c>
      <c r="I331" s="93"/>
      <c r="J331" s="40">
        <f t="shared" si="45"/>
        <v>46.42</v>
      </c>
      <c r="K331" s="79"/>
    </row>
    <row r="332" ht="19.5" customHeight="1">
      <c r="A332" s="141">
        <v>39572.0</v>
      </c>
      <c r="B332" s="166"/>
      <c r="C332" s="79"/>
      <c r="D332" s="115"/>
      <c r="E332" s="37"/>
      <c r="F332" s="39"/>
      <c r="G332" s="41"/>
      <c r="H332" s="59"/>
      <c r="I332" s="93"/>
      <c r="J332" s="133">
        <f>SUM(J328:J331)</f>
        <v>288.75</v>
      </c>
      <c r="K332" s="79"/>
    </row>
    <row r="333" ht="19.5" customHeight="1">
      <c r="A333" s="144">
        <v>39937.0</v>
      </c>
      <c r="B333" s="114" t="s">
        <v>628</v>
      </c>
      <c r="C333" s="46" t="s">
        <v>103</v>
      </c>
      <c r="D333" s="94">
        <v>2.0</v>
      </c>
      <c r="E333" s="49">
        <v>17.75</v>
      </c>
      <c r="F333" s="39">
        <v>53.05</v>
      </c>
      <c r="G333" s="41">
        <v>1.55</v>
      </c>
      <c r="H333" s="59">
        <f t="shared" ref="H333:H334" si="46">(E333+F333)*D333*G333</f>
        <v>219.48</v>
      </c>
      <c r="I333" s="93"/>
      <c r="J333" s="153">
        <f>H333</f>
        <v>219.48</v>
      </c>
      <c r="K333" s="79"/>
    </row>
    <row r="334" ht="19.5" customHeight="1">
      <c r="A334" s="144">
        <v>39937.0</v>
      </c>
      <c r="B334" s="114" t="s">
        <v>629</v>
      </c>
      <c r="C334" s="46" t="s">
        <v>103</v>
      </c>
      <c r="D334" s="94">
        <v>2.0</v>
      </c>
      <c r="E334" s="49">
        <v>18.05</v>
      </c>
      <c r="F334" s="39">
        <v>53.35</v>
      </c>
      <c r="G334" s="41">
        <v>8.3</v>
      </c>
      <c r="H334" s="59">
        <f t="shared" si="46"/>
        <v>1185.24</v>
      </c>
      <c r="I334" s="93">
        <f>44*1.5*1+4*0.45*1.5</f>
        <v>68.7</v>
      </c>
      <c r="J334" s="153">
        <f t="shared" ref="J334:J335" si="47">H334-I334</f>
        <v>1116.54</v>
      </c>
      <c r="K334" s="79"/>
    </row>
    <row r="335" ht="19.5" customHeight="1">
      <c r="A335" s="144">
        <v>39937.0</v>
      </c>
      <c r="B335" s="114" t="s">
        <v>630</v>
      </c>
      <c r="C335" s="46" t="s">
        <v>103</v>
      </c>
      <c r="D335" s="94">
        <v>2.0</v>
      </c>
      <c r="E335" s="49">
        <v>0.65</v>
      </c>
      <c r="F335" s="39">
        <v>52.0</v>
      </c>
      <c r="G335" s="41"/>
      <c r="H335" s="59">
        <f>D335*E335*F335</f>
        <v>67.6</v>
      </c>
      <c r="I335" s="93"/>
      <c r="J335" s="153">
        <f t="shared" si="47"/>
        <v>67.6</v>
      </c>
      <c r="K335" s="79"/>
    </row>
    <row r="336" ht="19.5" customHeight="1">
      <c r="A336" s="144">
        <v>39937.0</v>
      </c>
      <c r="B336" s="114"/>
      <c r="C336" s="79"/>
      <c r="D336" s="94"/>
      <c r="E336" s="49"/>
      <c r="F336" s="39"/>
      <c r="G336" s="41"/>
      <c r="H336" s="59"/>
      <c r="I336" s="93"/>
      <c r="J336" s="133">
        <f>SUM(J333:J335)</f>
        <v>1403.62</v>
      </c>
      <c r="K336" s="79"/>
    </row>
    <row r="337" ht="19.5" customHeight="1">
      <c r="A337" s="144">
        <v>40302.0</v>
      </c>
      <c r="B337" s="166" t="s">
        <v>631</v>
      </c>
      <c r="C337" s="46" t="s">
        <v>103</v>
      </c>
      <c r="D337" s="115">
        <f>7*2</f>
        <v>14</v>
      </c>
      <c r="E337" s="37"/>
      <c r="F337" s="39">
        <v>1.65</v>
      </c>
      <c r="G337" s="41">
        <v>6.4</v>
      </c>
      <c r="H337" s="59">
        <f>D337*F337*G337</f>
        <v>147.84</v>
      </c>
      <c r="I337" s="93"/>
      <c r="J337" s="133">
        <f>H337</f>
        <v>147.84</v>
      </c>
      <c r="K337" s="79"/>
    </row>
    <row r="338" ht="19.5" customHeight="1">
      <c r="A338" s="74" t="s">
        <v>1</v>
      </c>
      <c r="B338" s="74" t="s">
        <v>91</v>
      </c>
      <c r="C338" s="74" t="s">
        <v>92</v>
      </c>
      <c r="D338" s="76" t="s">
        <v>93</v>
      </c>
      <c r="E338" s="50" t="s">
        <v>97</v>
      </c>
      <c r="F338" s="52" t="s">
        <v>632</v>
      </c>
      <c r="G338" s="53" t="s">
        <v>99</v>
      </c>
      <c r="H338" s="75" t="s">
        <v>100</v>
      </c>
      <c r="I338" s="75" t="s">
        <v>101</v>
      </c>
      <c r="J338" s="76" t="s">
        <v>95</v>
      </c>
      <c r="K338" s="74" t="s">
        <v>96</v>
      </c>
    </row>
    <row r="339" ht="19.5" customHeight="1">
      <c r="A339" s="141">
        <v>37503.0</v>
      </c>
      <c r="B339" s="49" t="s">
        <v>633</v>
      </c>
      <c r="C339" s="46" t="s">
        <v>103</v>
      </c>
      <c r="D339" s="39">
        <v>26.0</v>
      </c>
      <c r="E339" s="49">
        <v>2.1</v>
      </c>
      <c r="F339" s="78"/>
      <c r="G339" s="40">
        <v>0.9</v>
      </c>
      <c r="H339" s="40">
        <f t="shared" ref="H339:H341" si="48">G339*E339*D339</f>
        <v>49.14</v>
      </c>
      <c r="I339" s="42"/>
      <c r="J339" s="40"/>
      <c r="K339" s="46"/>
      <c r="L339" s="45">
        <f t="shared" ref="L339:L346" si="49">G339*D339</f>
        <v>23.4</v>
      </c>
    </row>
    <row r="340" ht="19.5" customHeight="1">
      <c r="A340" s="141">
        <v>37503.0</v>
      </c>
      <c r="B340" s="49" t="s">
        <v>634</v>
      </c>
      <c r="C340" s="46" t="s">
        <v>103</v>
      </c>
      <c r="D340" s="39">
        <v>4.0</v>
      </c>
      <c r="E340" s="49">
        <v>2.1</v>
      </c>
      <c r="F340" s="78"/>
      <c r="G340" s="40">
        <v>0.9</v>
      </c>
      <c r="H340" s="40">
        <f t="shared" si="48"/>
        <v>7.56</v>
      </c>
      <c r="I340" s="42"/>
      <c r="J340" s="142"/>
      <c r="K340" s="46"/>
      <c r="L340" s="45">
        <f t="shared" si="49"/>
        <v>3.6</v>
      </c>
    </row>
    <row r="341" ht="19.5" customHeight="1">
      <c r="A341" s="141">
        <v>37503.0</v>
      </c>
      <c r="B341" s="49" t="s">
        <v>635</v>
      </c>
      <c r="C341" s="46" t="s">
        <v>103</v>
      </c>
      <c r="D341" s="39">
        <v>12.0</v>
      </c>
      <c r="E341" s="49">
        <v>1.65</v>
      </c>
      <c r="F341" s="78"/>
      <c r="G341" s="41">
        <v>0.84</v>
      </c>
      <c r="H341" s="40">
        <f t="shared" si="48"/>
        <v>16.632</v>
      </c>
      <c r="I341" s="42"/>
      <c r="J341" s="142"/>
      <c r="K341" s="46"/>
      <c r="L341" s="45">
        <f t="shared" si="49"/>
        <v>10.08</v>
      </c>
    </row>
    <row r="342" ht="19.5" customHeight="1">
      <c r="A342" s="141">
        <v>37503.0</v>
      </c>
      <c r="B342" s="49"/>
      <c r="C342" s="46"/>
      <c r="D342" s="39"/>
      <c r="E342" s="49"/>
      <c r="F342" s="78"/>
      <c r="G342" s="41"/>
      <c r="H342" s="40"/>
      <c r="I342" s="42"/>
      <c r="J342" s="64">
        <f>SUM(H339:H341)</f>
        <v>73.332</v>
      </c>
      <c r="K342" s="46"/>
      <c r="L342" s="45">
        <f t="shared" si="49"/>
        <v>0</v>
      </c>
    </row>
    <row r="343" ht="19.5" customHeight="1">
      <c r="A343" s="167"/>
      <c r="B343" s="49"/>
      <c r="C343" s="46"/>
      <c r="D343" s="39"/>
      <c r="E343" s="49"/>
      <c r="F343" s="78"/>
      <c r="G343" s="41"/>
      <c r="H343" s="40"/>
      <c r="I343" s="42"/>
      <c r="J343" s="142"/>
      <c r="K343" s="46"/>
      <c r="L343" s="45">
        <f t="shared" si="49"/>
        <v>0</v>
      </c>
    </row>
    <row r="344" ht="19.5" customHeight="1">
      <c r="A344" s="141">
        <v>37138.0</v>
      </c>
      <c r="B344" s="49" t="s">
        <v>219</v>
      </c>
      <c r="C344" s="46" t="s">
        <v>103</v>
      </c>
      <c r="D344" s="39">
        <v>44.0</v>
      </c>
      <c r="E344" s="49">
        <v>1.0</v>
      </c>
      <c r="F344" s="78">
        <f t="shared" ref="F344:F345" si="50">(G344+E344)*2</f>
        <v>5</v>
      </c>
      <c r="G344" s="41">
        <v>1.5</v>
      </c>
      <c r="H344" s="40">
        <f t="shared" ref="H344:H345" si="51">G344*E344*D344</f>
        <v>66</v>
      </c>
      <c r="I344" s="42"/>
      <c r="J344" s="142">
        <f t="shared" ref="J344:J345" si="52">H344</f>
        <v>66</v>
      </c>
      <c r="K344" s="46"/>
      <c r="L344" s="45">
        <f t="shared" si="49"/>
        <v>66</v>
      </c>
    </row>
    <row r="345" ht="19.5" customHeight="1">
      <c r="A345" s="141">
        <v>37138.0</v>
      </c>
      <c r="B345" s="49" t="s">
        <v>220</v>
      </c>
      <c r="C345" s="46" t="s">
        <v>103</v>
      </c>
      <c r="D345" s="39">
        <v>28.0</v>
      </c>
      <c r="E345" s="49">
        <v>0.45</v>
      </c>
      <c r="F345" s="78">
        <f t="shared" si="50"/>
        <v>3.9</v>
      </c>
      <c r="G345" s="41">
        <v>1.5</v>
      </c>
      <c r="H345" s="40">
        <f t="shared" si="51"/>
        <v>18.9</v>
      </c>
      <c r="I345" s="42"/>
      <c r="J345" s="142">
        <f t="shared" si="52"/>
        <v>18.9</v>
      </c>
      <c r="K345" s="46"/>
      <c r="L345" s="45">
        <f t="shared" si="49"/>
        <v>42</v>
      </c>
    </row>
    <row r="346" ht="19.5" customHeight="1">
      <c r="A346" s="141">
        <v>37138.0</v>
      </c>
      <c r="B346" s="49"/>
      <c r="C346" s="38"/>
      <c r="D346" s="39"/>
      <c r="E346" s="49"/>
      <c r="F346" s="78"/>
      <c r="G346" s="40"/>
      <c r="H346" s="40"/>
      <c r="I346" s="42"/>
      <c r="J346" s="64">
        <f>SUM(J344:J345)</f>
        <v>84.9</v>
      </c>
      <c r="K346" s="46"/>
      <c r="L346" s="45">
        <f t="shared" si="49"/>
        <v>0</v>
      </c>
    </row>
    <row r="347" ht="19.5" customHeight="1">
      <c r="A347" s="141"/>
      <c r="B347" s="49"/>
      <c r="C347" s="38"/>
      <c r="D347" s="39"/>
      <c r="E347" s="49"/>
      <c r="F347" s="78"/>
      <c r="G347" s="40"/>
      <c r="H347" s="40"/>
      <c r="I347" s="42"/>
      <c r="J347" s="168"/>
      <c r="K347" s="46"/>
    </row>
    <row r="348" ht="19.5" customHeight="1">
      <c r="A348" s="141">
        <v>38234.0</v>
      </c>
      <c r="B348" s="49" t="s">
        <v>636</v>
      </c>
      <c r="C348" s="38" t="s">
        <v>108</v>
      </c>
      <c r="D348" s="39">
        <v>1.0</v>
      </c>
      <c r="E348" s="49"/>
      <c r="F348" s="78">
        <f>D344*F344+D345*F345</f>
        <v>329.2</v>
      </c>
      <c r="G348" s="40"/>
      <c r="H348" s="40">
        <f>D348*F348</f>
        <v>329.2</v>
      </c>
      <c r="I348" s="42"/>
      <c r="J348" s="64">
        <f t="shared" ref="J348:J350" si="53">H348</f>
        <v>329.2</v>
      </c>
      <c r="K348" s="46"/>
    </row>
    <row r="349" ht="19.5" customHeight="1">
      <c r="A349" s="141">
        <v>37868.0</v>
      </c>
      <c r="B349" s="49" t="s">
        <v>637</v>
      </c>
      <c r="C349" s="46" t="s">
        <v>103</v>
      </c>
      <c r="D349" s="39">
        <v>2.0</v>
      </c>
      <c r="E349" s="49">
        <v>2.15</v>
      </c>
      <c r="F349" s="78"/>
      <c r="G349" s="41">
        <v>5.7</v>
      </c>
      <c r="H349" s="40">
        <f t="shared" ref="H349:H350" si="54">D349*E349*G349</f>
        <v>24.51</v>
      </c>
      <c r="I349" s="42"/>
      <c r="J349" s="142">
        <f t="shared" si="53"/>
        <v>24.51</v>
      </c>
      <c r="K349" s="46"/>
    </row>
    <row r="350" ht="19.5" customHeight="1">
      <c r="A350" s="144">
        <v>37868.0</v>
      </c>
      <c r="B350" s="49" t="s">
        <v>637</v>
      </c>
      <c r="C350" s="46" t="s">
        <v>103</v>
      </c>
      <c r="D350" s="115">
        <v>4.0</v>
      </c>
      <c r="E350" s="49">
        <v>2.0</v>
      </c>
      <c r="F350" s="78"/>
      <c r="G350" s="41">
        <v>1.8</v>
      </c>
      <c r="H350" s="40">
        <f t="shared" si="54"/>
        <v>14.4</v>
      </c>
      <c r="I350" s="82"/>
      <c r="J350" s="142">
        <f t="shared" si="53"/>
        <v>14.4</v>
      </c>
      <c r="K350" s="79"/>
    </row>
    <row r="351" ht="19.5" customHeight="1">
      <c r="A351" s="144">
        <v>37868.0</v>
      </c>
      <c r="B351" s="95"/>
      <c r="C351" s="79"/>
      <c r="D351" s="122"/>
      <c r="E351" s="37"/>
      <c r="F351" s="78"/>
      <c r="G351" s="40"/>
      <c r="H351" s="59"/>
      <c r="I351" s="82"/>
      <c r="J351" s="109">
        <f>SUM(J349:J350)</f>
        <v>38.91</v>
      </c>
      <c r="K351" s="79"/>
    </row>
    <row r="352" ht="19.5" customHeight="1">
      <c r="A352" s="74" t="s">
        <v>1</v>
      </c>
      <c r="B352" s="74" t="s">
        <v>91</v>
      </c>
      <c r="C352" s="74" t="s">
        <v>92</v>
      </c>
      <c r="D352" s="76" t="s">
        <v>93</v>
      </c>
      <c r="E352" s="50" t="s">
        <v>161</v>
      </c>
      <c r="F352" s="53" t="s">
        <v>121</v>
      </c>
      <c r="G352" s="53" t="s">
        <v>99</v>
      </c>
      <c r="H352" s="75" t="s">
        <v>100</v>
      </c>
      <c r="I352" s="75" t="s">
        <v>101</v>
      </c>
      <c r="J352" s="76" t="s">
        <v>95</v>
      </c>
      <c r="K352" s="74" t="s">
        <v>96</v>
      </c>
    </row>
    <row r="353" ht="19.5" customHeight="1">
      <c r="A353" s="141">
        <v>38172.0</v>
      </c>
      <c r="B353" s="37" t="s">
        <v>162</v>
      </c>
      <c r="C353" s="46" t="s">
        <v>103</v>
      </c>
      <c r="D353" s="39">
        <v>55.0</v>
      </c>
      <c r="E353" s="37">
        <v>2.0</v>
      </c>
      <c r="F353" s="78"/>
      <c r="G353" s="41">
        <v>2.0</v>
      </c>
      <c r="H353" s="40">
        <f t="shared" ref="H353:H354" si="55">G353*E353*D353</f>
        <v>220</v>
      </c>
      <c r="I353" s="42"/>
      <c r="J353" s="40"/>
      <c r="K353" s="46"/>
    </row>
    <row r="354" ht="19.5" customHeight="1">
      <c r="A354" s="141">
        <v>38172.0</v>
      </c>
      <c r="B354" s="37" t="s">
        <v>162</v>
      </c>
      <c r="C354" s="46" t="s">
        <v>103</v>
      </c>
      <c r="D354" s="78">
        <v>18.0</v>
      </c>
      <c r="E354" s="37">
        <v>2.0</v>
      </c>
      <c r="F354" s="78"/>
      <c r="G354" s="41">
        <v>2.0</v>
      </c>
      <c r="H354" s="40">
        <f t="shared" si="55"/>
        <v>72</v>
      </c>
      <c r="I354" s="42"/>
      <c r="J354" s="64">
        <f>SUM(H353:H354)</f>
        <v>292</v>
      </c>
      <c r="K354" s="46"/>
    </row>
    <row r="355" ht="19.5" customHeight="1">
      <c r="A355" s="74" t="s">
        <v>1</v>
      </c>
      <c r="B355" s="74" t="s">
        <v>91</v>
      </c>
      <c r="C355" s="74" t="s">
        <v>92</v>
      </c>
      <c r="D355" s="76" t="s">
        <v>93</v>
      </c>
      <c r="E355" s="50" t="s">
        <v>161</v>
      </c>
      <c r="F355" s="53" t="s">
        <v>121</v>
      </c>
      <c r="G355" s="53" t="s">
        <v>99</v>
      </c>
      <c r="H355" s="75" t="s">
        <v>100</v>
      </c>
      <c r="I355" s="75" t="s">
        <v>101</v>
      </c>
      <c r="J355" s="76" t="s">
        <v>95</v>
      </c>
      <c r="K355" s="74" t="s">
        <v>96</v>
      </c>
    </row>
    <row r="356" ht="19.5" customHeight="1">
      <c r="A356" s="126">
        <v>1.0</v>
      </c>
      <c r="B356" s="37" t="s">
        <v>374</v>
      </c>
      <c r="C356" s="46" t="s">
        <v>106</v>
      </c>
      <c r="D356" s="78">
        <v>20.0</v>
      </c>
      <c r="E356" s="37">
        <v>2.0</v>
      </c>
      <c r="F356" s="78"/>
      <c r="G356" s="40">
        <v>1.0</v>
      </c>
      <c r="H356" s="40">
        <f t="shared" ref="H356:H358" si="56">G356*E356*D356</f>
        <v>40</v>
      </c>
      <c r="I356" s="42"/>
      <c r="J356" s="40"/>
      <c r="K356" s="46"/>
    </row>
    <row r="357" ht="19.5" customHeight="1">
      <c r="A357" s="126">
        <v>2.0</v>
      </c>
      <c r="B357" s="37" t="s">
        <v>375</v>
      </c>
      <c r="C357" s="46" t="s">
        <v>106</v>
      </c>
      <c r="D357" s="78">
        <v>1.0</v>
      </c>
      <c r="E357" s="37">
        <v>2.0</v>
      </c>
      <c r="F357" s="78"/>
      <c r="G357" s="40">
        <v>1.0</v>
      </c>
      <c r="H357" s="40">
        <f t="shared" si="56"/>
        <v>2</v>
      </c>
      <c r="I357" s="42"/>
      <c r="J357" s="64">
        <f>SUM(H356:H357)</f>
        <v>42</v>
      </c>
      <c r="K357" s="46"/>
    </row>
    <row r="358" ht="19.5" customHeight="1">
      <c r="A358" s="126">
        <v>3.0</v>
      </c>
      <c r="B358" s="37" t="s">
        <v>376</v>
      </c>
      <c r="C358" s="46" t="s">
        <v>106</v>
      </c>
      <c r="D358" s="78">
        <v>200.0</v>
      </c>
      <c r="E358" s="37">
        <v>2.0</v>
      </c>
      <c r="F358" s="78"/>
      <c r="G358" s="40">
        <v>1.0</v>
      </c>
      <c r="H358" s="40">
        <f t="shared" si="56"/>
        <v>400</v>
      </c>
      <c r="I358" s="42"/>
      <c r="J358" s="64">
        <f>H358</f>
        <v>400</v>
      </c>
      <c r="K358" s="79"/>
    </row>
    <row r="359" ht="19.5" customHeight="1">
      <c r="A359" s="74" t="s">
        <v>1</v>
      </c>
      <c r="B359" s="74" t="s">
        <v>91</v>
      </c>
      <c r="C359" s="74" t="s">
        <v>92</v>
      </c>
      <c r="D359" s="76" t="s">
        <v>93</v>
      </c>
      <c r="E359" s="50" t="s">
        <v>161</v>
      </c>
      <c r="F359" s="53" t="s">
        <v>121</v>
      </c>
      <c r="G359" s="53" t="s">
        <v>99</v>
      </c>
      <c r="H359" s="75" t="s">
        <v>100</v>
      </c>
      <c r="I359" s="75" t="s">
        <v>101</v>
      </c>
      <c r="J359" s="76" t="s">
        <v>95</v>
      </c>
      <c r="K359" s="74" t="s">
        <v>96</v>
      </c>
    </row>
    <row r="360" ht="19.5" customHeight="1">
      <c r="A360" s="154" t="s">
        <v>638</v>
      </c>
      <c r="B360" s="49" t="s">
        <v>639</v>
      </c>
      <c r="C360" s="46" t="s">
        <v>103</v>
      </c>
      <c r="D360" s="39">
        <v>4.0</v>
      </c>
      <c r="E360" s="37"/>
      <c r="F360" s="39">
        <v>2.2</v>
      </c>
      <c r="G360" s="40">
        <v>0.6</v>
      </c>
      <c r="H360" s="40">
        <f t="shared" ref="H360:H361" si="57">D360*F360*G360</f>
        <v>5.28</v>
      </c>
      <c r="I360" s="42"/>
      <c r="J360" s="40"/>
      <c r="K360" s="46"/>
    </row>
    <row r="361" ht="19.5" customHeight="1">
      <c r="A361" s="154" t="s">
        <v>638</v>
      </c>
      <c r="B361" s="49" t="s">
        <v>640</v>
      </c>
      <c r="C361" s="46" t="s">
        <v>103</v>
      </c>
      <c r="D361" s="115">
        <v>4.0</v>
      </c>
      <c r="E361" s="37"/>
      <c r="F361" s="39">
        <v>2.8</v>
      </c>
      <c r="G361" s="41">
        <v>0.2</v>
      </c>
      <c r="H361" s="40">
        <f t="shared" si="57"/>
        <v>2.24</v>
      </c>
      <c r="I361" s="82"/>
      <c r="J361" s="101"/>
      <c r="K361" s="79"/>
    </row>
    <row r="362" ht="19.5" customHeight="1">
      <c r="A362" s="154" t="s">
        <v>638</v>
      </c>
      <c r="B362" s="114"/>
      <c r="C362" s="79"/>
      <c r="D362" s="115"/>
      <c r="E362" s="37"/>
      <c r="F362" s="39"/>
      <c r="G362" s="41"/>
      <c r="H362" s="59"/>
      <c r="I362" s="82"/>
      <c r="J362" s="64">
        <f>SUM(H360:H361)</f>
        <v>7.52</v>
      </c>
      <c r="K362" s="79"/>
    </row>
    <row r="363" ht="19.5" customHeight="1">
      <c r="A363" s="74" t="s">
        <v>1</v>
      </c>
      <c r="B363" s="74" t="s">
        <v>91</v>
      </c>
      <c r="C363" s="74" t="s">
        <v>92</v>
      </c>
      <c r="D363" s="76" t="s">
        <v>93</v>
      </c>
      <c r="E363" s="50" t="s">
        <v>161</v>
      </c>
      <c r="F363" s="53" t="s">
        <v>121</v>
      </c>
      <c r="G363" s="53" t="s">
        <v>97</v>
      </c>
      <c r="H363" s="75" t="s">
        <v>100</v>
      </c>
      <c r="I363" s="75" t="s">
        <v>101</v>
      </c>
      <c r="J363" s="76" t="s">
        <v>95</v>
      </c>
      <c r="K363" s="74" t="s">
        <v>96</v>
      </c>
    </row>
    <row r="364" ht="19.5" customHeight="1">
      <c r="A364" s="46">
        <v>1.0</v>
      </c>
      <c r="B364" s="37" t="s">
        <v>244</v>
      </c>
      <c r="C364" s="46" t="s">
        <v>103</v>
      </c>
      <c r="D364" s="78">
        <v>8.0</v>
      </c>
      <c r="E364" s="37">
        <v>2.0</v>
      </c>
      <c r="F364" s="78">
        <v>1.5</v>
      </c>
      <c r="G364" s="40">
        <v>1.8</v>
      </c>
      <c r="H364" s="40">
        <f>F364*E364*D364</f>
        <v>24</v>
      </c>
      <c r="I364" s="42"/>
      <c r="J364" s="40"/>
      <c r="K364" s="46"/>
    </row>
    <row r="365" ht="19.5" customHeight="1">
      <c r="A365" s="46">
        <v>2.0</v>
      </c>
      <c r="B365" s="37" t="s">
        <v>244</v>
      </c>
      <c r="C365" s="46" t="s">
        <v>103</v>
      </c>
      <c r="D365" s="78">
        <v>8.0</v>
      </c>
      <c r="E365" s="37">
        <v>2.0</v>
      </c>
      <c r="F365" s="78">
        <v>0.5</v>
      </c>
      <c r="G365" s="40">
        <v>1.8</v>
      </c>
      <c r="H365" s="40">
        <f>G365*F365*E365</f>
        <v>1.8</v>
      </c>
      <c r="I365" s="42"/>
      <c r="J365" s="64">
        <f>SUM(H364:H365)</f>
        <v>25.8</v>
      </c>
      <c r="K365" s="46"/>
    </row>
    <row r="366" ht="19.5" customHeight="1">
      <c r="A366" s="74" t="s">
        <v>1</v>
      </c>
      <c r="B366" s="74" t="s">
        <v>91</v>
      </c>
      <c r="C366" s="74" t="s">
        <v>92</v>
      </c>
      <c r="D366" s="76" t="s">
        <v>93</v>
      </c>
      <c r="E366" s="50" t="s">
        <v>161</v>
      </c>
      <c r="F366" s="53"/>
      <c r="G366" s="53"/>
      <c r="H366" s="75" t="s">
        <v>100</v>
      </c>
      <c r="I366" s="75" t="s">
        <v>101</v>
      </c>
      <c r="J366" s="76" t="s">
        <v>95</v>
      </c>
      <c r="K366" s="74" t="s">
        <v>96</v>
      </c>
    </row>
    <row r="367" ht="19.5" customHeight="1">
      <c r="A367" s="46">
        <v>1.0</v>
      </c>
      <c r="B367" s="37" t="s">
        <v>245</v>
      </c>
      <c r="C367" s="46" t="s">
        <v>106</v>
      </c>
      <c r="D367" s="78">
        <v>9.0</v>
      </c>
      <c r="E367" s="37">
        <v>20.0</v>
      </c>
      <c r="F367" s="78"/>
      <c r="G367" s="40"/>
      <c r="H367" s="40">
        <f t="shared" ref="H367:H384" si="58">E367*D367</f>
        <v>180</v>
      </c>
      <c r="I367" s="42"/>
      <c r="J367" s="64">
        <f t="shared" ref="J367:J384" si="59">H367</f>
        <v>180</v>
      </c>
      <c r="K367" s="46"/>
    </row>
    <row r="368" ht="19.5" customHeight="1">
      <c r="A368" s="46">
        <v>2.0</v>
      </c>
      <c r="B368" s="37" t="s">
        <v>245</v>
      </c>
      <c r="C368" s="46" t="s">
        <v>106</v>
      </c>
      <c r="D368" s="78">
        <v>20.0</v>
      </c>
      <c r="E368" s="37">
        <v>2.0</v>
      </c>
      <c r="F368" s="78"/>
      <c r="G368" s="40"/>
      <c r="H368" s="40">
        <f t="shared" si="58"/>
        <v>40</v>
      </c>
      <c r="I368" s="42"/>
      <c r="J368" s="64">
        <f t="shared" si="59"/>
        <v>40</v>
      </c>
      <c r="K368" s="46"/>
    </row>
    <row r="369" ht="19.5" customHeight="1">
      <c r="A369" s="46">
        <f t="shared" ref="A369:A373" si="60">A367+1</f>
        <v>2</v>
      </c>
      <c r="B369" s="37" t="s">
        <v>246</v>
      </c>
      <c r="C369" s="46" t="s">
        <v>106</v>
      </c>
      <c r="D369" s="78">
        <v>20.0</v>
      </c>
      <c r="E369" s="37">
        <v>20.0</v>
      </c>
      <c r="F369" s="78"/>
      <c r="G369" s="40"/>
      <c r="H369" s="40">
        <f t="shared" si="58"/>
        <v>400</v>
      </c>
      <c r="I369" s="42"/>
      <c r="J369" s="64">
        <f t="shared" si="59"/>
        <v>400</v>
      </c>
      <c r="K369" s="46"/>
    </row>
    <row r="370" ht="19.5" customHeight="1">
      <c r="A370" s="46">
        <f t="shared" si="60"/>
        <v>3</v>
      </c>
      <c r="B370" s="37" t="s">
        <v>246</v>
      </c>
      <c r="C370" s="46" t="s">
        <v>106</v>
      </c>
      <c r="D370" s="78">
        <v>8.0</v>
      </c>
      <c r="E370" s="37">
        <v>2.0</v>
      </c>
      <c r="F370" s="78"/>
      <c r="G370" s="40"/>
      <c r="H370" s="40">
        <f t="shared" si="58"/>
        <v>16</v>
      </c>
      <c r="I370" s="42"/>
      <c r="J370" s="64">
        <f t="shared" si="59"/>
        <v>16</v>
      </c>
      <c r="K370" s="46"/>
    </row>
    <row r="371" ht="19.5" customHeight="1">
      <c r="A371" s="46">
        <f t="shared" si="60"/>
        <v>3</v>
      </c>
      <c r="B371" s="37" t="s">
        <v>247</v>
      </c>
      <c r="C371" s="46" t="s">
        <v>106</v>
      </c>
      <c r="D371" s="78">
        <v>2.0</v>
      </c>
      <c r="E371" s="37">
        <v>2.0</v>
      </c>
      <c r="F371" s="78"/>
      <c r="G371" s="40"/>
      <c r="H371" s="40">
        <f t="shared" si="58"/>
        <v>4</v>
      </c>
      <c r="I371" s="42"/>
      <c r="J371" s="64">
        <f t="shared" si="59"/>
        <v>4</v>
      </c>
      <c r="K371" s="46"/>
    </row>
    <row r="372" ht="19.5" customHeight="1">
      <c r="A372" s="46">
        <f t="shared" si="60"/>
        <v>4</v>
      </c>
      <c r="B372" s="37" t="s">
        <v>248</v>
      </c>
      <c r="C372" s="46" t="s">
        <v>106</v>
      </c>
      <c r="D372" s="78">
        <v>4.0</v>
      </c>
      <c r="E372" s="37">
        <v>2.0</v>
      </c>
      <c r="F372" s="78"/>
      <c r="G372" s="40"/>
      <c r="H372" s="40">
        <f t="shared" si="58"/>
        <v>8</v>
      </c>
      <c r="I372" s="42"/>
      <c r="J372" s="64">
        <f t="shared" si="59"/>
        <v>8</v>
      </c>
      <c r="K372" s="46"/>
    </row>
    <row r="373" ht="19.5" customHeight="1">
      <c r="A373" s="46">
        <f t="shared" si="60"/>
        <v>4</v>
      </c>
      <c r="B373" s="37" t="s">
        <v>249</v>
      </c>
      <c r="C373" s="46" t="s">
        <v>106</v>
      </c>
      <c r="D373" s="78">
        <v>11.0</v>
      </c>
      <c r="E373" s="37">
        <v>2.0</v>
      </c>
      <c r="F373" s="78"/>
      <c r="G373" s="40"/>
      <c r="H373" s="40">
        <f t="shared" si="58"/>
        <v>22</v>
      </c>
      <c r="I373" s="42"/>
      <c r="J373" s="64">
        <f t="shared" si="59"/>
        <v>22</v>
      </c>
      <c r="K373" s="46"/>
    </row>
    <row r="374" ht="19.5" customHeight="1">
      <c r="A374" s="46">
        <f t="shared" ref="A374:A375" si="61">A369+1</f>
        <v>3</v>
      </c>
      <c r="B374" s="37" t="s">
        <v>250</v>
      </c>
      <c r="C374" s="46" t="s">
        <v>106</v>
      </c>
      <c r="D374" s="123">
        <f>H373+H372+H371+H370+H369</f>
        <v>450</v>
      </c>
      <c r="E374" s="37">
        <v>1.0</v>
      </c>
      <c r="F374" s="40"/>
      <c r="G374" s="40"/>
      <c r="H374" s="40">
        <f t="shared" si="58"/>
        <v>450</v>
      </c>
      <c r="I374" s="40"/>
      <c r="J374" s="64">
        <f t="shared" si="59"/>
        <v>450</v>
      </c>
      <c r="K374" s="46"/>
    </row>
    <row r="375" ht="19.5" customHeight="1">
      <c r="A375" s="46">
        <f t="shared" si="61"/>
        <v>4</v>
      </c>
      <c r="B375" s="37" t="s">
        <v>251</v>
      </c>
      <c r="C375" s="46" t="s">
        <v>106</v>
      </c>
      <c r="D375" s="123">
        <f>H368+H367</f>
        <v>220</v>
      </c>
      <c r="E375" s="37">
        <v>1.0</v>
      </c>
      <c r="F375" s="40"/>
      <c r="G375" s="40"/>
      <c r="H375" s="40">
        <f t="shared" si="58"/>
        <v>220</v>
      </c>
      <c r="I375" s="40"/>
      <c r="J375" s="64">
        <f t="shared" si="59"/>
        <v>220</v>
      </c>
      <c r="K375" s="46"/>
    </row>
    <row r="376" ht="19.5" customHeight="1">
      <c r="A376" s="46">
        <f>A374+1</f>
        <v>4</v>
      </c>
      <c r="B376" s="37" t="s">
        <v>641</v>
      </c>
      <c r="C376" s="46" t="s">
        <v>108</v>
      </c>
      <c r="D376" s="123">
        <v>1200.0</v>
      </c>
      <c r="E376" s="37">
        <v>1.0</v>
      </c>
      <c r="F376" s="40"/>
      <c r="G376" s="40"/>
      <c r="H376" s="40">
        <f t="shared" si="58"/>
        <v>1200</v>
      </c>
      <c r="I376" s="40"/>
      <c r="J376" s="64">
        <f t="shared" si="59"/>
        <v>1200</v>
      </c>
      <c r="K376" s="46"/>
    </row>
    <row r="377" ht="19.5" customHeight="1">
      <c r="A377" s="46">
        <f t="shared" ref="A377:A384" si="62">A376+1</f>
        <v>5</v>
      </c>
      <c r="B377" s="37" t="s">
        <v>254</v>
      </c>
      <c r="C377" s="46" t="s">
        <v>108</v>
      </c>
      <c r="D377" s="123">
        <v>5000.0</v>
      </c>
      <c r="E377" s="37">
        <v>1.0</v>
      </c>
      <c r="F377" s="40"/>
      <c r="G377" s="40"/>
      <c r="H377" s="40">
        <f t="shared" si="58"/>
        <v>5000</v>
      </c>
      <c r="I377" s="40"/>
      <c r="J377" s="64">
        <f t="shared" si="59"/>
        <v>5000</v>
      </c>
      <c r="K377" s="46"/>
    </row>
    <row r="378" ht="19.5" customHeight="1">
      <c r="A378" s="46">
        <f t="shared" si="62"/>
        <v>6</v>
      </c>
      <c r="B378" s="37" t="s">
        <v>255</v>
      </c>
      <c r="C378" s="46" t="s">
        <v>108</v>
      </c>
      <c r="D378" s="123">
        <v>22.0</v>
      </c>
      <c r="E378" s="37">
        <v>16.0</v>
      </c>
      <c r="F378" s="40"/>
      <c r="G378" s="40"/>
      <c r="H378" s="40">
        <f t="shared" si="58"/>
        <v>352</v>
      </c>
      <c r="I378" s="40"/>
      <c r="J378" s="64">
        <f t="shared" si="59"/>
        <v>352</v>
      </c>
      <c r="K378" s="46"/>
    </row>
    <row r="379" ht="19.5" customHeight="1">
      <c r="A379" s="46">
        <f t="shared" si="62"/>
        <v>7</v>
      </c>
      <c r="B379" s="37" t="s">
        <v>256</v>
      </c>
      <c r="C379" s="46" t="s">
        <v>108</v>
      </c>
      <c r="D379" s="123">
        <v>70.0</v>
      </c>
      <c r="E379" s="37">
        <v>4.0</v>
      </c>
      <c r="F379" s="40"/>
      <c r="G379" s="40"/>
      <c r="H379" s="40">
        <f t="shared" si="58"/>
        <v>280</v>
      </c>
      <c r="I379" s="40"/>
      <c r="J379" s="64">
        <f t="shared" si="59"/>
        <v>280</v>
      </c>
      <c r="K379" s="46"/>
    </row>
    <row r="380" ht="19.5" customHeight="1">
      <c r="A380" s="46">
        <f t="shared" si="62"/>
        <v>8</v>
      </c>
      <c r="B380" s="37" t="s">
        <v>257</v>
      </c>
      <c r="C380" s="46" t="s">
        <v>106</v>
      </c>
      <c r="D380" s="123">
        <v>3.0</v>
      </c>
      <c r="E380" s="37">
        <v>2.0</v>
      </c>
      <c r="F380" s="40"/>
      <c r="G380" s="40"/>
      <c r="H380" s="40">
        <f t="shared" si="58"/>
        <v>6</v>
      </c>
      <c r="I380" s="40"/>
      <c r="J380" s="64">
        <f t="shared" si="59"/>
        <v>6</v>
      </c>
      <c r="K380" s="46"/>
    </row>
    <row r="381" ht="19.5" customHeight="1">
      <c r="A381" s="46">
        <f t="shared" si="62"/>
        <v>9</v>
      </c>
      <c r="B381" s="37" t="s">
        <v>258</v>
      </c>
      <c r="C381" s="46" t="s">
        <v>106</v>
      </c>
      <c r="D381" s="123">
        <v>14.0</v>
      </c>
      <c r="E381" s="37">
        <v>2.0</v>
      </c>
      <c r="F381" s="40"/>
      <c r="G381" s="40"/>
      <c r="H381" s="40">
        <f t="shared" si="58"/>
        <v>28</v>
      </c>
      <c r="I381" s="40"/>
      <c r="J381" s="64">
        <f t="shared" si="59"/>
        <v>28</v>
      </c>
      <c r="K381" s="46"/>
    </row>
    <row r="382" ht="19.5" customHeight="1">
      <c r="A382" s="46">
        <f t="shared" si="62"/>
        <v>10</v>
      </c>
      <c r="B382" s="37" t="s">
        <v>259</v>
      </c>
      <c r="C382" s="46" t="s">
        <v>108</v>
      </c>
      <c r="D382" s="123">
        <v>150.0</v>
      </c>
      <c r="E382" s="37">
        <v>1.0</v>
      </c>
      <c r="F382" s="40"/>
      <c r="G382" s="40"/>
      <c r="H382" s="40">
        <f t="shared" si="58"/>
        <v>150</v>
      </c>
      <c r="I382" s="40"/>
      <c r="J382" s="64">
        <f t="shared" si="59"/>
        <v>150</v>
      </c>
      <c r="K382" s="46"/>
    </row>
    <row r="383" ht="19.5" customHeight="1">
      <c r="A383" s="46">
        <f t="shared" si="62"/>
        <v>11</v>
      </c>
      <c r="B383" s="37" t="s">
        <v>260</v>
      </c>
      <c r="C383" s="46" t="s">
        <v>108</v>
      </c>
      <c r="D383" s="123">
        <v>55.0</v>
      </c>
      <c r="E383" s="37">
        <v>2.0</v>
      </c>
      <c r="F383" s="40"/>
      <c r="G383" s="40"/>
      <c r="H383" s="40">
        <f t="shared" si="58"/>
        <v>110</v>
      </c>
      <c r="I383" s="40"/>
      <c r="J383" s="64">
        <f t="shared" si="59"/>
        <v>110</v>
      </c>
      <c r="K383" s="46"/>
    </row>
    <row r="384" ht="19.5" customHeight="1">
      <c r="A384" s="46">
        <f t="shared" si="62"/>
        <v>12</v>
      </c>
      <c r="B384" s="37" t="s">
        <v>261</v>
      </c>
      <c r="C384" s="46" t="s">
        <v>106</v>
      </c>
      <c r="D384" s="123">
        <v>8.0</v>
      </c>
      <c r="E384" s="37">
        <v>1.0</v>
      </c>
      <c r="F384" s="40"/>
      <c r="G384" s="40"/>
      <c r="H384" s="40">
        <f t="shared" si="58"/>
        <v>8</v>
      </c>
      <c r="I384" s="40"/>
      <c r="J384" s="64">
        <f t="shared" si="59"/>
        <v>8</v>
      </c>
      <c r="K384" s="46"/>
    </row>
    <row r="385" ht="19.5" customHeight="1">
      <c r="A385" s="12"/>
      <c r="C385" s="12"/>
      <c r="D385" s="87"/>
      <c r="F385" s="14"/>
      <c r="G385" s="14"/>
      <c r="H385" s="14"/>
      <c r="I385" s="14"/>
      <c r="J385" s="14"/>
      <c r="K385" s="12"/>
    </row>
    <row r="386" ht="19.5" customHeight="1">
      <c r="A386" s="74" t="s">
        <v>1</v>
      </c>
      <c r="B386" s="74" t="s">
        <v>91</v>
      </c>
      <c r="C386" s="74" t="s">
        <v>92</v>
      </c>
      <c r="D386" s="76" t="s">
        <v>93</v>
      </c>
      <c r="E386" s="50" t="s">
        <v>161</v>
      </c>
      <c r="F386" s="53" t="s">
        <v>121</v>
      </c>
      <c r="G386" s="53" t="s">
        <v>99</v>
      </c>
      <c r="H386" s="53" t="s">
        <v>100</v>
      </c>
      <c r="I386" s="53" t="s">
        <v>101</v>
      </c>
      <c r="J386" s="76" t="s">
        <v>95</v>
      </c>
      <c r="K386" s="74" t="s">
        <v>96</v>
      </c>
    </row>
    <row r="387" ht="19.5" customHeight="1">
      <c r="A387" s="46">
        <v>1.0</v>
      </c>
      <c r="B387" s="37" t="s">
        <v>262</v>
      </c>
      <c r="C387" s="46" t="s">
        <v>108</v>
      </c>
      <c r="D387" s="78">
        <v>400.0</v>
      </c>
      <c r="E387" s="37">
        <v>1.0</v>
      </c>
      <c r="F387" s="78"/>
      <c r="G387" s="40"/>
      <c r="H387" s="40">
        <f t="shared" ref="H387:H410" si="63">E387*D387</f>
        <v>400</v>
      </c>
      <c r="I387" s="42"/>
      <c r="J387" s="64">
        <f t="shared" ref="J387:J410" si="64">H387</f>
        <v>400</v>
      </c>
      <c r="K387" s="46"/>
    </row>
    <row r="388" ht="19.5" customHeight="1">
      <c r="A388" s="46">
        <f t="shared" ref="A388:A410" si="65">A387+1</f>
        <v>2</v>
      </c>
      <c r="B388" s="37" t="s">
        <v>263</v>
      </c>
      <c r="C388" s="46" t="s">
        <v>108</v>
      </c>
      <c r="D388" s="123">
        <v>200.0</v>
      </c>
      <c r="E388" s="37">
        <v>2.0</v>
      </c>
      <c r="F388" s="40"/>
      <c r="G388" s="40"/>
      <c r="H388" s="40">
        <f t="shared" si="63"/>
        <v>400</v>
      </c>
      <c r="I388" s="40"/>
      <c r="J388" s="64">
        <f t="shared" si="64"/>
        <v>400</v>
      </c>
      <c r="K388" s="46"/>
    </row>
    <row r="389" ht="19.5" customHeight="1">
      <c r="A389" s="46">
        <f t="shared" si="65"/>
        <v>3</v>
      </c>
      <c r="B389" s="37" t="s">
        <v>264</v>
      </c>
      <c r="C389" s="46" t="s">
        <v>108</v>
      </c>
      <c r="D389" s="123">
        <v>100.0</v>
      </c>
      <c r="E389" s="37">
        <v>2.0</v>
      </c>
      <c r="F389" s="40"/>
      <c r="G389" s="40"/>
      <c r="H389" s="40">
        <f t="shared" si="63"/>
        <v>200</v>
      </c>
      <c r="I389" s="40"/>
      <c r="J389" s="64">
        <f t="shared" si="64"/>
        <v>200</v>
      </c>
      <c r="K389" s="46"/>
    </row>
    <row r="390" ht="19.5" customHeight="1">
      <c r="A390" s="46">
        <f t="shared" si="65"/>
        <v>4</v>
      </c>
      <c r="B390" s="37" t="s">
        <v>265</v>
      </c>
      <c r="C390" s="46" t="s">
        <v>106</v>
      </c>
      <c r="D390" s="123">
        <v>4.0</v>
      </c>
      <c r="E390" s="37">
        <v>2.0</v>
      </c>
      <c r="F390" s="40"/>
      <c r="G390" s="40"/>
      <c r="H390" s="40">
        <f t="shared" si="63"/>
        <v>8</v>
      </c>
      <c r="I390" s="40"/>
      <c r="J390" s="64">
        <f t="shared" si="64"/>
        <v>8</v>
      </c>
      <c r="K390" s="46"/>
    </row>
    <row r="391" ht="19.5" customHeight="1">
      <c r="A391" s="46">
        <f t="shared" si="65"/>
        <v>5</v>
      </c>
      <c r="B391" s="37" t="s">
        <v>266</v>
      </c>
      <c r="C391" s="46" t="s">
        <v>106</v>
      </c>
      <c r="D391" s="123">
        <v>8.0</v>
      </c>
      <c r="E391" s="37">
        <v>2.0</v>
      </c>
      <c r="F391" s="40"/>
      <c r="G391" s="40"/>
      <c r="H391" s="40">
        <f t="shared" si="63"/>
        <v>16</v>
      </c>
      <c r="I391" s="40"/>
      <c r="J391" s="64">
        <f t="shared" si="64"/>
        <v>16</v>
      </c>
      <c r="K391" s="46"/>
    </row>
    <row r="392" ht="19.5" customHeight="1">
      <c r="A392" s="46">
        <f t="shared" si="65"/>
        <v>6</v>
      </c>
      <c r="B392" s="37" t="s">
        <v>267</v>
      </c>
      <c r="C392" s="46" t="s">
        <v>106</v>
      </c>
      <c r="D392" s="123">
        <v>8.0</v>
      </c>
      <c r="E392" s="37">
        <v>2.0</v>
      </c>
      <c r="F392" s="40"/>
      <c r="G392" s="40"/>
      <c r="H392" s="40">
        <f t="shared" si="63"/>
        <v>16</v>
      </c>
      <c r="I392" s="40"/>
      <c r="J392" s="64">
        <f t="shared" si="64"/>
        <v>16</v>
      </c>
      <c r="K392" s="46"/>
    </row>
    <row r="393" ht="19.5" customHeight="1">
      <c r="A393" s="46">
        <f t="shared" si="65"/>
        <v>7</v>
      </c>
      <c r="B393" s="37" t="s">
        <v>268</v>
      </c>
      <c r="C393" s="46" t="s">
        <v>106</v>
      </c>
      <c r="D393" s="123">
        <v>8.0</v>
      </c>
      <c r="E393" s="37">
        <v>2.0</v>
      </c>
      <c r="F393" s="40"/>
      <c r="G393" s="40"/>
      <c r="H393" s="40">
        <f t="shared" si="63"/>
        <v>16</v>
      </c>
      <c r="I393" s="40"/>
      <c r="J393" s="64">
        <f t="shared" si="64"/>
        <v>16</v>
      </c>
      <c r="K393" s="46"/>
    </row>
    <row r="394" ht="19.5" customHeight="1">
      <c r="A394" s="46">
        <f t="shared" si="65"/>
        <v>8</v>
      </c>
      <c r="B394" s="37" t="s">
        <v>269</v>
      </c>
      <c r="C394" s="46" t="s">
        <v>106</v>
      </c>
      <c r="D394" s="123">
        <v>8.0</v>
      </c>
      <c r="E394" s="37">
        <v>2.0</v>
      </c>
      <c r="F394" s="40"/>
      <c r="G394" s="40"/>
      <c r="H394" s="40">
        <f t="shared" si="63"/>
        <v>16</v>
      </c>
      <c r="I394" s="40"/>
      <c r="J394" s="64">
        <f t="shared" si="64"/>
        <v>16</v>
      </c>
      <c r="K394" s="46"/>
    </row>
    <row r="395" ht="19.5" customHeight="1">
      <c r="A395" s="46">
        <f t="shared" si="65"/>
        <v>9</v>
      </c>
      <c r="B395" s="37" t="s">
        <v>270</v>
      </c>
      <c r="C395" s="46" t="s">
        <v>106</v>
      </c>
      <c r="D395" s="123">
        <v>8.0</v>
      </c>
      <c r="E395" s="37">
        <v>2.0</v>
      </c>
      <c r="F395" s="40"/>
      <c r="G395" s="40"/>
      <c r="H395" s="40">
        <f t="shared" si="63"/>
        <v>16</v>
      </c>
      <c r="I395" s="40"/>
      <c r="J395" s="64">
        <f t="shared" si="64"/>
        <v>16</v>
      </c>
      <c r="K395" s="46"/>
    </row>
    <row r="396" ht="19.5" customHeight="1">
      <c r="A396" s="46">
        <f t="shared" si="65"/>
        <v>10</v>
      </c>
      <c r="B396" s="37" t="s">
        <v>271</v>
      </c>
      <c r="C396" s="46" t="s">
        <v>106</v>
      </c>
      <c r="D396" s="123">
        <v>8.0</v>
      </c>
      <c r="E396" s="37">
        <v>2.0</v>
      </c>
      <c r="F396" s="40"/>
      <c r="G396" s="40"/>
      <c r="H396" s="40">
        <f t="shared" si="63"/>
        <v>16</v>
      </c>
      <c r="I396" s="40"/>
      <c r="J396" s="64">
        <f t="shared" si="64"/>
        <v>16</v>
      </c>
      <c r="K396" s="46"/>
    </row>
    <row r="397" ht="19.5" customHeight="1">
      <c r="A397" s="46">
        <f t="shared" si="65"/>
        <v>11</v>
      </c>
      <c r="B397" s="37" t="s">
        <v>272</v>
      </c>
      <c r="C397" s="46" t="s">
        <v>106</v>
      </c>
      <c r="D397" s="123">
        <v>8.0</v>
      </c>
      <c r="E397" s="37">
        <v>2.0</v>
      </c>
      <c r="F397" s="40"/>
      <c r="G397" s="40"/>
      <c r="H397" s="40">
        <f t="shared" si="63"/>
        <v>16</v>
      </c>
      <c r="I397" s="40"/>
      <c r="J397" s="64">
        <f t="shared" si="64"/>
        <v>16</v>
      </c>
      <c r="K397" s="46"/>
    </row>
    <row r="398" ht="19.5" customHeight="1">
      <c r="A398" s="46">
        <f t="shared" si="65"/>
        <v>12</v>
      </c>
      <c r="B398" s="37" t="s">
        <v>273</v>
      </c>
      <c r="C398" s="46" t="s">
        <v>106</v>
      </c>
      <c r="D398" s="123">
        <v>4.0</v>
      </c>
      <c r="E398" s="37">
        <v>2.0</v>
      </c>
      <c r="F398" s="40"/>
      <c r="G398" s="40"/>
      <c r="H398" s="40">
        <f t="shared" si="63"/>
        <v>8</v>
      </c>
      <c r="I398" s="40"/>
      <c r="J398" s="64">
        <f t="shared" si="64"/>
        <v>8</v>
      </c>
      <c r="K398" s="46"/>
    </row>
    <row r="399" ht="19.5" customHeight="1">
      <c r="A399" s="46">
        <f t="shared" si="65"/>
        <v>13</v>
      </c>
      <c r="B399" s="37" t="s">
        <v>274</v>
      </c>
      <c r="C399" s="46" t="s">
        <v>106</v>
      </c>
      <c r="D399" s="123">
        <v>4.0</v>
      </c>
      <c r="E399" s="37">
        <v>2.0</v>
      </c>
      <c r="F399" s="40"/>
      <c r="G399" s="40"/>
      <c r="H399" s="40">
        <f t="shared" si="63"/>
        <v>8</v>
      </c>
      <c r="I399" s="40"/>
      <c r="J399" s="64">
        <f t="shared" si="64"/>
        <v>8</v>
      </c>
      <c r="K399" s="46"/>
    </row>
    <row r="400" ht="19.5" customHeight="1">
      <c r="A400" s="46">
        <f t="shared" si="65"/>
        <v>14</v>
      </c>
      <c r="B400" s="37" t="s">
        <v>275</v>
      </c>
      <c r="C400" s="46" t="s">
        <v>106</v>
      </c>
      <c r="D400" s="123">
        <v>4.0</v>
      </c>
      <c r="E400" s="37">
        <v>2.0</v>
      </c>
      <c r="F400" s="40"/>
      <c r="G400" s="40"/>
      <c r="H400" s="40">
        <f t="shared" si="63"/>
        <v>8</v>
      </c>
      <c r="I400" s="40"/>
      <c r="J400" s="64">
        <f t="shared" si="64"/>
        <v>8</v>
      </c>
      <c r="K400" s="46"/>
    </row>
    <row r="401" ht="19.5" customHeight="1">
      <c r="A401" s="46">
        <f t="shared" si="65"/>
        <v>15</v>
      </c>
      <c r="B401" s="37" t="s">
        <v>276</v>
      </c>
      <c r="C401" s="46" t="s">
        <v>106</v>
      </c>
      <c r="D401" s="123">
        <v>4.0</v>
      </c>
      <c r="E401" s="37">
        <v>2.0</v>
      </c>
      <c r="F401" s="40"/>
      <c r="G401" s="40"/>
      <c r="H401" s="40">
        <f t="shared" si="63"/>
        <v>8</v>
      </c>
      <c r="I401" s="40"/>
      <c r="J401" s="64">
        <f t="shared" si="64"/>
        <v>8</v>
      </c>
      <c r="K401" s="46"/>
    </row>
    <row r="402" ht="19.5" customHeight="1">
      <c r="A402" s="46">
        <f t="shared" si="65"/>
        <v>16</v>
      </c>
      <c r="B402" s="37" t="s">
        <v>277</v>
      </c>
      <c r="C402" s="46" t="s">
        <v>106</v>
      </c>
      <c r="D402" s="123">
        <v>3.0</v>
      </c>
      <c r="E402" s="37">
        <v>2.0</v>
      </c>
      <c r="F402" s="40"/>
      <c r="G402" s="40"/>
      <c r="H402" s="40">
        <f t="shared" si="63"/>
        <v>6</v>
      </c>
      <c r="I402" s="40"/>
      <c r="J402" s="64">
        <f t="shared" si="64"/>
        <v>6</v>
      </c>
      <c r="K402" s="46"/>
    </row>
    <row r="403" ht="19.5" customHeight="1">
      <c r="A403" s="46">
        <f t="shared" si="65"/>
        <v>17</v>
      </c>
      <c r="B403" s="37" t="s">
        <v>278</v>
      </c>
      <c r="C403" s="46" t="s">
        <v>106</v>
      </c>
      <c r="D403" s="123">
        <v>3.0</v>
      </c>
      <c r="E403" s="37">
        <v>2.0</v>
      </c>
      <c r="F403" s="40"/>
      <c r="G403" s="40"/>
      <c r="H403" s="40">
        <f t="shared" si="63"/>
        <v>6</v>
      </c>
      <c r="I403" s="40"/>
      <c r="J403" s="64">
        <f t="shared" si="64"/>
        <v>6</v>
      </c>
      <c r="K403" s="46"/>
    </row>
    <row r="404" ht="19.5" customHeight="1">
      <c r="A404" s="46">
        <f t="shared" si="65"/>
        <v>18</v>
      </c>
      <c r="B404" s="37" t="s">
        <v>279</v>
      </c>
      <c r="C404" s="46" t="s">
        <v>106</v>
      </c>
      <c r="D404" s="123">
        <v>10.0</v>
      </c>
      <c r="E404" s="37">
        <v>2.0</v>
      </c>
      <c r="F404" s="40"/>
      <c r="G404" s="40"/>
      <c r="H404" s="40">
        <f t="shared" si="63"/>
        <v>20</v>
      </c>
      <c r="I404" s="40"/>
      <c r="J404" s="64">
        <f t="shared" si="64"/>
        <v>20</v>
      </c>
      <c r="K404" s="46"/>
    </row>
    <row r="405" ht="19.5" customHeight="1">
      <c r="A405" s="46">
        <f t="shared" si="65"/>
        <v>19</v>
      </c>
      <c r="B405" s="37" t="s">
        <v>280</v>
      </c>
      <c r="C405" s="46" t="s">
        <v>106</v>
      </c>
      <c r="D405" s="123">
        <v>14.0</v>
      </c>
      <c r="E405" s="37">
        <v>2.0</v>
      </c>
      <c r="F405" s="40"/>
      <c r="G405" s="40"/>
      <c r="H405" s="40">
        <f t="shared" si="63"/>
        <v>28</v>
      </c>
      <c r="I405" s="40"/>
      <c r="J405" s="64">
        <f t="shared" si="64"/>
        <v>28</v>
      </c>
      <c r="K405" s="46"/>
    </row>
    <row r="406" ht="19.5" customHeight="1">
      <c r="A406" s="46">
        <f t="shared" si="65"/>
        <v>20</v>
      </c>
      <c r="B406" s="37" t="s">
        <v>281</v>
      </c>
      <c r="C406" s="46" t="s">
        <v>106</v>
      </c>
      <c r="D406" s="123">
        <v>8.0</v>
      </c>
      <c r="E406" s="37">
        <v>2.0</v>
      </c>
      <c r="F406" s="40"/>
      <c r="G406" s="40"/>
      <c r="H406" s="40">
        <f t="shared" si="63"/>
        <v>16</v>
      </c>
      <c r="I406" s="40"/>
      <c r="J406" s="64">
        <f t="shared" si="64"/>
        <v>16</v>
      </c>
      <c r="K406" s="46"/>
    </row>
    <row r="407" ht="19.5" customHeight="1">
      <c r="A407" s="46">
        <f t="shared" si="65"/>
        <v>21</v>
      </c>
      <c r="B407" s="37" t="s">
        <v>378</v>
      </c>
      <c r="C407" s="46" t="s">
        <v>106</v>
      </c>
      <c r="D407" s="123">
        <v>2.0</v>
      </c>
      <c r="E407" s="37">
        <v>2.0</v>
      </c>
      <c r="F407" s="40"/>
      <c r="G407" s="40"/>
      <c r="H407" s="40">
        <f t="shared" si="63"/>
        <v>4</v>
      </c>
      <c r="I407" s="40"/>
      <c r="J407" s="64">
        <f t="shared" si="64"/>
        <v>4</v>
      </c>
      <c r="K407" s="46"/>
    </row>
    <row r="408" ht="19.5" customHeight="1">
      <c r="A408" s="46">
        <f t="shared" si="65"/>
        <v>22</v>
      </c>
      <c r="B408" s="37" t="s">
        <v>284</v>
      </c>
      <c r="C408" s="46" t="s">
        <v>106</v>
      </c>
      <c r="D408" s="123">
        <v>7.0</v>
      </c>
      <c r="E408" s="37">
        <v>2.0</v>
      </c>
      <c r="F408" s="40"/>
      <c r="G408" s="40"/>
      <c r="H408" s="40">
        <f t="shared" si="63"/>
        <v>14</v>
      </c>
      <c r="I408" s="40"/>
      <c r="J408" s="64">
        <f t="shared" si="64"/>
        <v>14</v>
      </c>
      <c r="K408" s="46"/>
    </row>
    <row r="409" ht="19.5" customHeight="1">
      <c r="A409" s="46">
        <f t="shared" si="65"/>
        <v>23</v>
      </c>
      <c r="B409" s="37" t="s">
        <v>285</v>
      </c>
      <c r="C409" s="46" t="s">
        <v>106</v>
      </c>
      <c r="D409" s="123">
        <v>3.0</v>
      </c>
      <c r="E409" s="37">
        <v>2.0</v>
      </c>
      <c r="F409" s="40"/>
      <c r="G409" s="40"/>
      <c r="H409" s="40">
        <f t="shared" si="63"/>
        <v>6</v>
      </c>
      <c r="I409" s="40"/>
      <c r="J409" s="64">
        <f t="shared" si="64"/>
        <v>6</v>
      </c>
      <c r="K409" s="79"/>
    </row>
    <row r="410" ht="19.5" customHeight="1">
      <c r="A410" s="46">
        <f t="shared" si="65"/>
        <v>24</v>
      </c>
      <c r="B410" s="37" t="s">
        <v>286</v>
      </c>
      <c r="C410" s="46" t="s">
        <v>106</v>
      </c>
      <c r="D410" s="123">
        <v>2.0</v>
      </c>
      <c r="E410" s="37">
        <v>2.0</v>
      </c>
      <c r="F410" s="40"/>
      <c r="G410" s="40"/>
      <c r="H410" s="40">
        <f t="shared" si="63"/>
        <v>4</v>
      </c>
      <c r="I410" s="40"/>
      <c r="J410" s="64">
        <f t="shared" si="64"/>
        <v>4</v>
      </c>
      <c r="K410" s="79"/>
    </row>
    <row r="411" ht="19.5" customHeight="1">
      <c r="A411" s="74" t="s">
        <v>1</v>
      </c>
      <c r="B411" s="74" t="s">
        <v>91</v>
      </c>
      <c r="C411" s="74" t="s">
        <v>92</v>
      </c>
      <c r="D411" s="76" t="s">
        <v>93</v>
      </c>
      <c r="E411" s="50" t="s">
        <v>161</v>
      </c>
      <c r="F411" s="53" t="s">
        <v>121</v>
      </c>
      <c r="G411" s="53" t="s">
        <v>99</v>
      </c>
      <c r="H411" s="53" t="s">
        <v>100</v>
      </c>
      <c r="I411" s="53" t="s">
        <v>101</v>
      </c>
      <c r="J411" s="76" t="s">
        <v>95</v>
      </c>
      <c r="K411" s="74" t="s">
        <v>96</v>
      </c>
    </row>
    <row r="412" ht="19.5" customHeight="1">
      <c r="A412" s="46">
        <v>1.0</v>
      </c>
      <c r="B412" s="37" t="s">
        <v>287</v>
      </c>
      <c r="C412" s="46" t="s">
        <v>108</v>
      </c>
      <c r="D412" s="78">
        <v>0.0</v>
      </c>
      <c r="E412" s="37">
        <v>1.0</v>
      </c>
      <c r="F412" s="78"/>
      <c r="G412" s="40"/>
      <c r="H412" s="40">
        <f t="shared" ref="H412:H452" si="66">E412*D412</f>
        <v>0</v>
      </c>
      <c r="I412" s="42"/>
      <c r="J412" s="64">
        <f t="shared" ref="J412:J452" si="67">H412</f>
        <v>0</v>
      </c>
      <c r="K412" s="46"/>
    </row>
    <row r="413" ht="19.5" customHeight="1">
      <c r="A413" s="46">
        <f t="shared" ref="A413:A452" si="68">A412+1</f>
        <v>2</v>
      </c>
      <c r="B413" s="37" t="s">
        <v>288</v>
      </c>
      <c r="C413" s="46" t="s">
        <v>108</v>
      </c>
      <c r="D413" s="78">
        <v>100.0</v>
      </c>
      <c r="E413" s="37">
        <v>1.0</v>
      </c>
      <c r="F413" s="78"/>
      <c r="G413" s="40"/>
      <c r="H413" s="40">
        <f t="shared" si="66"/>
        <v>100</v>
      </c>
      <c r="I413" s="42"/>
      <c r="J413" s="64">
        <f t="shared" si="67"/>
        <v>100</v>
      </c>
      <c r="K413" s="46"/>
    </row>
    <row r="414" ht="19.5" customHeight="1">
      <c r="A414" s="46">
        <f t="shared" si="68"/>
        <v>3</v>
      </c>
      <c r="B414" s="37" t="s">
        <v>289</v>
      </c>
      <c r="C414" s="46" t="s">
        <v>108</v>
      </c>
      <c r="D414" s="78">
        <v>50.0</v>
      </c>
      <c r="E414" s="37">
        <v>1.0</v>
      </c>
      <c r="F414" s="78"/>
      <c r="G414" s="40"/>
      <c r="H414" s="40">
        <f t="shared" si="66"/>
        <v>50</v>
      </c>
      <c r="I414" s="42"/>
      <c r="J414" s="64">
        <f t="shared" si="67"/>
        <v>50</v>
      </c>
      <c r="K414" s="46"/>
    </row>
    <row r="415" ht="19.5" customHeight="1">
      <c r="A415" s="46">
        <f t="shared" si="68"/>
        <v>4</v>
      </c>
      <c r="B415" s="37" t="s">
        <v>263</v>
      </c>
      <c r="C415" s="46" t="s">
        <v>108</v>
      </c>
      <c r="D415" s="78">
        <v>100.0</v>
      </c>
      <c r="E415" s="37">
        <v>1.0</v>
      </c>
      <c r="F415" s="78"/>
      <c r="G415" s="40"/>
      <c r="H415" s="40">
        <f t="shared" si="66"/>
        <v>100</v>
      </c>
      <c r="I415" s="42"/>
      <c r="J415" s="64">
        <f t="shared" si="67"/>
        <v>100</v>
      </c>
      <c r="K415" s="46"/>
    </row>
    <row r="416" ht="19.5" customHeight="1">
      <c r="A416" s="46">
        <f t="shared" si="68"/>
        <v>5</v>
      </c>
      <c r="B416" s="37" t="s">
        <v>264</v>
      </c>
      <c r="C416" s="46" t="s">
        <v>108</v>
      </c>
      <c r="D416" s="123">
        <v>100.0</v>
      </c>
      <c r="E416" s="37">
        <v>2.0</v>
      </c>
      <c r="F416" s="40"/>
      <c r="G416" s="40"/>
      <c r="H416" s="40">
        <f t="shared" si="66"/>
        <v>200</v>
      </c>
      <c r="I416" s="40"/>
      <c r="J416" s="64">
        <f t="shared" si="67"/>
        <v>200</v>
      </c>
      <c r="K416" s="46"/>
    </row>
    <row r="417" ht="19.5" customHeight="1">
      <c r="A417" s="46">
        <f t="shared" si="68"/>
        <v>6</v>
      </c>
      <c r="B417" s="37" t="s">
        <v>290</v>
      </c>
      <c r="C417" s="46" t="s">
        <v>108</v>
      </c>
      <c r="D417" s="123">
        <v>24.0</v>
      </c>
      <c r="E417" s="37">
        <v>2.0</v>
      </c>
      <c r="F417" s="40"/>
      <c r="G417" s="40"/>
      <c r="H417" s="40">
        <f t="shared" si="66"/>
        <v>48</v>
      </c>
      <c r="I417" s="40"/>
      <c r="J417" s="64">
        <f t="shared" si="67"/>
        <v>48</v>
      </c>
      <c r="K417" s="46"/>
    </row>
    <row r="418" ht="19.5" customHeight="1">
      <c r="A418" s="46">
        <f t="shared" si="68"/>
        <v>7</v>
      </c>
      <c r="B418" s="37" t="s">
        <v>291</v>
      </c>
      <c r="C418" s="46" t="s">
        <v>108</v>
      </c>
      <c r="D418" s="123">
        <v>60.0</v>
      </c>
      <c r="E418" s="37">
        <v>2.0</v>
      </c>
      <c r="F418" s="40"/>
      <c r="G418" s="40"/>
      <c r="H418" s="40">
        <f t="shared" si="66"/>
        <v>120</v>
      </c>
      <c r="I418" s="40"/>
      <c r="J418" s="64">
        <f t="shared" si="67"/>
        <v>120</v>
      </c>
      <c r="K418" s="46"/>
    </row>
    <row r="419" ht="19.5" customHeight="1">
      <c r="A419" s="46">
        <f t="shared" si="68"/>
        <v>8</v>
      </c>
      <c r="B419" s="37" t="s">
        <v>292</v>
      </c>
      <c r="C419" s="46" t="s">
        <v>106</v>
      </c>
      <c r="D419" s="123">
        <v>0.0</v>
      </c>
      <c r="E419" s="37">
        <v>1.0</v>
      </c>
      <c r="F419" s="40"/>
      <c r="G419" s="40"/>
      <c r="H419" s="40">
        <f t="shared" si="66"/>
        <v>0</v>
      </c>
      <c r="I419" s="40"/>
      <c r="J419" s="64">
        <f t="shared" si="67"/>
        <v>0</v>
      </c>
      <c r="K419" s="46"/>
    </row>
    <row r="420" ht="19.5" customHeight="1">
      <c r="A420" s="46">
        <f t="shared" si="68"/>
        <v>9</v>
      </c>
      <c r="B420" s="37" t="s">
        <v>293</v>
      </c>
      <c r="C420" s="46" t="s">
        <v>106</v>
      </c>
      <c r="D420" s="123">
        <v>2.0</v>
      </c>
      <c r="E420" s="37">
        <v>1.0</v>
      </c>
      <c r="F420" s="40"/>
      <c r="G420" s="40"/>
      <c r="H420" s="40">
        <f t="shared" si="66"/>
        <v>2</v>
      </c>
      <c r="I420" s="40"/>
      <c r="J420" s="64">
        <f t="shared" si="67"/>
        <v>2</v>
      </c>
      <c r="K420" s="46"/>
    </row>
    <row r="421" ht="19.5" customHeight="1">
      <c r="A421" s="46">
        <f t="shared" si="68"/>
        <v>10</v>
      </c>
      <c r="B421" s="37" t="s">
        <v>294</v>
      </c>
      <c r="C421" s="46" t="s">
        <v>106</v>
      </c>
      <c r="D421" s="123">
        <v>2.0</v>
      </c>
      <c r="E421" s="37">
        <v>1.0</v>
      </c>
      <c r="F421" s="40"/>
      <c r="G421" s="40"/>
      <c r="H421" s="40">
        <f t="shared" si="66"/>
        <v>2</v>
      </c>
      <c r="I421" s="40"/>
      <c r="J421" s="64">
        <f t="shared" si="67"/>
        <v>2</v>
      </c>
      <c r="K421" s="46"/>
    </row>
    <row r="422" ht="19.5" customHeight="1">
      <c r="A422" s="46">
        <f t="shared" si="68"/>
        <v>11</v>
      </c>
      <c r="B422" s="37" t="s">
        <v>295</v>
      </c>
      <c r="C422" s="46" t="s">
        <v>106</v>
      </c>
      <c r="D422" s="123">
        <v>2.0</v>
      </c>
      <c r="E422" s="37">
        <v>1.0</v>
      </c>
      <c r="F422" s="40"/>
      <c r="G422" s="40"/>
      <c r="H422" s="40">
        <f t="shared" si="66"/>
        <v>2</v>
      </c>
      <c r="I422" s="40"/>
      <c r="J422" s="64">
        <f t="shared" si="67"/>
        <v>2</v>
      </c>
      <c r="K422" s="46"/>
    </row>
    <row r="423" ht="19.5" customHeight="1">
      <c r="A423" s="46">
        <f t="shared" si="68"/>
        <v>12</v>
      </c>
      <c r="B423" s="37" t="s">
        <v>270</v>
      </c>
      <c r="C423" s="46" t="s">
        <v>106</v>
      </c>
      <c r="D423" s="123">
        <v>2.0</v>
      </c>
      <c r="E423" s="37">
        <v>1.0</v>
      </c>
      <c r="F423" s="40"/>
      <c r="G423" s="40"/>
      <c r="H423" s="40">
        <f t="shared" si="66"/>
        <v>2</v>
      </c>
      <c r="I423" s="40"/>
      <c r="J423" s="64">
        <f t="shared" si="67"/>
        <v>2</v>
      </c>
      <c r="K423" s="46"/>
    </row>
    <row r="424" ht="19.5" customHeight="1">
      <c r="A424" s="46">
        <f t="shared" si="68"/>
        <v>13</v>
      </c>
      <c r="B424" s="37" t="s">
        <v>296</v>
      </c>
      <c r="C424" s="46" t="s">
        <v>106</v>
      </c>
      <c r="D424" s="123">
        <v>2.0</v>
      </c>
      <c r="E424" s="37">
        <v>2.0</v>
      </c>
      <c r="F424" s="40"/>
      <c r="G424" s="40"/>
      <c r="H424" s="40">
        <f t="shared" si="66"/>
        <v>4</v>
      </c>
      <c r="I424" s="40"/>
      <c r="J424" s="64">
        <f t="shared" si="67"/>
        <v>4</v>
      </c>
      <c r="K424" s="46"/>
    </row>
    <row r="425" ht="19.5" customHeight="1">
      <c r="A425" s="46">
        <f t="shared" si="68"/>
        <v>14</v>
      </c>
      <c r="B425" s="37" t="s">
        <v>297</v>
      </c>
      <c r="C425" s="46" t="s">
        <v>106</v>
      </c>
      <c r="D425" s="123">
        <v>4.0</v>
      </c>
      <c r="E425" s="37">
        <v>2.0</v>
      </c>
      <c r="F425" s="40"/>
      <c r="G425" s="40"/>
      <c r="H425" s="40">
        <f t="shared" si="66"/>
        <v>8</v>
      </c>
      <c r="I425" s="40"/>
      <c r="J425" s="64">
        <f t="shared" si="67"/>
        <v>8</v>
      </c>
      <c r="K425" s="46"/>
    </row>
    <row r="426" ht="19.5" customHeight="1">
      <c r="A426" s="46">
        <f t="shared" si="68"/>
        <v>15</v>
      </c>
      <c r="B426" s="37" t="s">
        <v>298</v>
      </c>
      <c r="C426" s="46" t="s">
        <v>106</v>
      </c>
      <c r="D426" s="123">
        <v>2.0</v>
      </c>
      <c r="E426" s="37">
        <v>1.0</v>
      </c>
      <c r="F426" s="40"/>
      <c r="G426" s="40"/>
      <c r="H426" s="40">
        <f t="shared" si="66"/>
        <v>2</v>
      </c>
      <c r="I426" s="40"/>
      <c r="J426" s="64">
        <f t="shared" si="67"/>
        <v>2</v>
      </c>
      <c r="K426" s="46"/>
    </row>
    <row r="427" ht="19.5" customHeight="1">
      <c r="A427" s="46">
        <f t="shared" si="68"/>
        <v>16</v>
      </c>
      <c r="B427" s="37" t="s">
        <v>299</v>
      </c>
      <c r="C427" s="46" t="s">
        <v>106</v>
      </c>
      <c r="D427" s="123">
        <v>2.0</v>
      </c>
      <c r="E427" s="37">
        <v>1.0</v>
      </c>
      <c r="F427" s="40"/>
      <c r="G427" s="40"/>
      <c r="H427" s="40">
        <f t="shared" si="66"/>
        <v>2</v>
      </c>
      <c r="I427" s="40"/>
      <c r="J427" s="64">
        <f t="shared" si="67"/>
        <v>2</v>
      </c>
      <c r="K427" s="46"/>
    </row>
    <row r="428" ht="19.5" customHeight="1">
      <c r="A428" s="46">
        <f t="shared" si="68"/>
        <v>17</v>
      </c>
      <c r="B428" s="37" t="s">
        <v>300</v>
      </c>
      <c r="C428" s="46" t="s">
        <v>106</v>
      </c>
      <c r="D428" s="123">
        <v>2.0</v>
      </c>
      <c r="E428" s="37">
        <v>1.0</v>
      </c>
      <c r="F428" s="40"/>
      <c r="G428" s="40"/>
      <c r="H428" s="40">
        <f t="shared" si="66"/>
        <v>2</v>
      </c>
      <c r="I428" s="40"/>
      <c r="J428" s="64">
        <f t="shared" si="67"/>
        <v>2</v>
      </c>
      <c r="K428" s="46"/>
    </row>
    <row r="429" ht="19.5" customHeight="1">
      <c r="A429" s="46">
        <f t="shared" si="68"/>
        <v>18</v>
      </c>
      <c r="B429" s="37" t="s">
        <v>301</v>
      </c>
      <c r="C429" s="46" t="s">
        <v>106</v>
      </c>
      <c r="D429" s="123">
        <v>2.0</v>
      </c>
      <c r="E429" s="37">
        <v>1.0</v>
      </c>
      <c r="F429" s="40"/>
      <c r="G429" s="40"/>
      <c r="H429" s="40">
        <f t="shared" si="66"/>
        <v>2</v>
      </c>
      <c r="I429" s="40"/>
      <c r="J429" s="64">
        <f t="shared" si="67"/>
        <v>2</v>
      </c>
      <c r="K429" s="46"/>
    </row>
    <row r="430" ht="19.5" customHeight="1">
      <c r="A430" s="46">
        <f t="shared" si="68"/>
        <v>19</v>
      </c>
      <c r="B430" s="37" t="s">
        <v>302</v>
      </c>
      <c r="C430" s="46" t="s">
        <v>106</v>
      </c>
      <c r="D430" s="123">
        <v>2.0</v>
      </c>
      <c r="E430" s="37">
        <v>1.0</v>
      </c>
      <c r="F430" s="40"/>
      <c r="G430" s="40"/>
      <c r="H430" s="40">
        <f t="shared" si="66"/>
        <v>2</v>
      </c>
      <c r="I430" s="40"/>
      <c r="J430" s="64">
        <f t="shared" si="67"/>
        <v>2</v>
      </c>
      <c r="K430" s="46"/>
    </row>
    <row r="431" ht="19.5" customHeight="1">
      <c r="A431" s="46">
        <f t="shared" si="68"/>
        <v>20</v>
      </c>
      <c r="B431" s="37" t="s">
        <v>303</v>
      </c>
      <c r="C431" s="46" t="s">
        <v>106</v>
      </c>
      <c r="D431" s="123">
        <v>1.0</v>
      </c>
      <c r="E431" s="37">
        <v>2.0</v>
      </c>
      <c r="F431" s="40"/>
      <c r="G431" s="40"/>
      <c r="H431" s="40">
        <f t="shared" si="66"/>
        <v>2</v>
      </c>
      <c r="I431" s="40"/>
      <c r="J431" s="64">
        <f t="shared" si="67"/>
        <v>2</v>
      </c>
      <c r="K431" s="46"/>
    </row>
    <row r="432" ht="19.5" customHeight="1">
      <c r="A432" s="46">
        <f t="shared" si="68"/>
        <v>21</v>
      </c>
      <c r="B432" s="37" t="s">
        <v>304</v>
      </c>
      <c r="C432" s="46" t="s">
        <v>106</v>
      </c>
      <c r="D432" s="123">
        <v>4.0</v>
      </c>
      <c r="E432" s="37">
        <v>2.0</v>
      </c>
      <c r="F432" s="40"/>
      <c r="G432" s="40"/>
      <c r="H432" s="40">
        <f t="shared" si="66"/>
        <v>8</v>
      </c>
      <c r="I432" s="40"/>
      <c r="J432" s="64">
        <f t="shared" si="67"/>
        <v>8</v>
      </c>
      <c r="K432" s="46"/>
    </row>
    <row r="433" ht="19.5" customHeight="1">
      <c r="A433" s="46">
        <f t="shared" si="68"/>
        <v>22</v>
      </c>
      <c r="B433" s="37" t="s">
        <v>305</v>
      </c>
      <c r="C433" s="46" t="s">
        <v>106</v>
      </c>
      <c r="D433" s="123">
        <v>0.0</v>
      </c>
      <c r="E433" s="37">
        <v>1.0</v>
      </c>
      <c r="F433" s="40"/>
      <c r="G433" s="40"/>
      <c r="H433" s="40">
        <f t="shared" si="66"/>
        <v>0</v>
      </c>
      <c r="I433" s="40"/>
      <c r="J433" s="64">
        <f t="shared" si="67"/>
        <v>0</v>
      </c>
      <c r="K433" s="46"/>
    </row>
    <row r="434" ht="19.5" customHeight="1">
      <c r="A434" s="46">
        <f t="shared" si="68"/>
        <v>23</v>
      </c>
      <c r="B434" s="37" t="s">
        <v>306</v>
      </c>
      <c r="C434" s="46" t="s">
        <v>106</v>
      </c>
      <c r="D434" s="123">
        <v>2.0</v>
      </c>
      <c r="E434" s="37">
        <v>1.0</v>
      </c>
      <c r="F434" s="40"/>
      <c r="G434" s="40"/>
      <c r="H434" s="40">
        <f t="shared" si="66"/>
        <v>2</v>
      </c>
      <c r="I434" s="40"/>
      <c r="J434" s="64">
        <f t="shared" si="67"/>
        <v>2</v>
      </c>
      <c r="K434" s="46"/>
    </row>
    <row r="435" ht="19.5" customHeight="1">
      <c r="A435" s="46">
        <f t="shared" si="68"/>
        <v>24</v>
      </c>
      <c r="B435" s="37" t="s">
        <v>307</v>
      </c>
      <c r="C435" s="46" t="s">
        <v>106</v>
      </c>
      <c r="D435" s="123">
        <v>2.0</v>
      </c>
      <c r="E435" s="37">
        <v>1.0</v>
      </c>
      <c r="F435" s="40"/>
      <c r="G435" s="40"/>
      <c r="H435" s="40">
        <f t="shared" si="66"/>
        <v>2</v>
      </c>
      <c r="I435" s="40"/>
      <c r="J435" s="64">
        <f t="shared" si="67"/>
        <v>2</v>
      </c>
      <c r="K435" s="46"/>
    </row>
    <row r="436" ht="19.5" customHeight="1">
      <c r="A436" s="46">
        <f t="shared" si="68"/>
        <v>25</v>
      </c>
      <c r="B436" s="37" t="s">
        <v>308</v>
      </c>
      <c r="C436" s="46" t="s">
        <v>106</v>
      </c>
      <c r="D436" s="123">
        <v>2.0</v>
      </c>
      <c r="E436" s="37">
        <v>1.0</v>
      </c>
      <c r="F436" s="40"/>
      <c r="G436" s="40"/>
      <c r="H436" s="40">
        <f t="shared" si="66"/>
        <v>2</v>
      </c>
      <c r="I436" s="40"/>
      <c r="J436" s="64">
        <f t="shared" si="67"/>
        <v>2</v>
      </c>
      <c r="K436" s="46"/>
    </row>
    <row r="437" ht="19.5" customHeight="1">
      <c r="A437" s="46">
        <f t="shared" si="68"/>
        <v>26</v>
      </c>
      <c r="B437" s="37" t="s">
        <v>309</v>
      </c>
      <c r="C437" s="46" t="s">
        <v>106</v>
      </c>
      <c r="D437" s="123">
        <v>4.0</v>
      </c>
      <c r="E437" s="37">
        <v>1.0</v>
      </c>
      <c r="F437" s="40"/>
      <c r="G437" s="40"/>
      <c r="H437" s="40">
        <f t="shared" si="66"/>
        <v>4</v>
      </c>
      <c r="I437" s="40"/>
      <c r="J437" s="64">
        <f t="shared" si="67"/>
        <v>4</v>
      </c>
      <c r="K437" s="46"/>
    </row>
    <row r="438" ht="19.5" customHeight="1">
      <c r="A438" s="46">
        <f t="shared" si="68"/>
        <v>27</v>
      </c>
      <c r="B438" s="37" t="s">
        <v>310</v>
      </c>
      <c r="C438" s="46" t="s">
        <v>106</v>
      </c>
      <c r="D438" s="123">
        <v>2.0</v>
      </c>
      <c r="E438" s="37">
        <v>1.0</v>
      </c>
      <c r="F438" s="40"/>
      <c r="G438" s="40"/>
      <c r="H438" s="40">
        <f t="shared" si="66"/>
        <v>2</v>
      </c>
      <c r="I438" s="40"/>
      <c r="J438" s="64">
        <f t="shared" si="67"/>
        <v>2</v>
      </c>
      <c r="K438" s="46"/>
    </row>
    <row r="439" ht="19.5" customHeight="1">
      <c r="A439" s="46">
        <f t="shared" si="68"/>
        <v>28</v>
      </c>
      <c r="B439" s="37" t="s">
        <v>311</v>
      </c>
      <c r="C439" s="46" t="s">
        <v>106</v>
      </c>
      <c r="D439" s="123">
        <v>4.0</v>
      </c>
      <c r="E439" s="37">
        <v>1.0</v>
      </c>
      <c r="F439" s="40"/>
      <c r="G439" s="40"/>
      <c r="H439" s="40">
        <f t="shared" si="66"/>
        <v>4</v>
      </c>
      <c r="I439" s="40"/>
      <c r="J439" s="64">
        <f t="shared" si="67"/>
        <v>4</v>
      </c>
      <c r="K439" s="46"/>
    </row>
    <row r="440" ht="19.5" customHeight="1">
      <c r="A440" s="46">
        <f t="shared" si="68"/>
        <v>29</v>
      </c>
      <c r="B440" s="37" t="s">
        <v>312</v>
      </c>
      <c r="C440" s="46" t="s">
        <v>106</v>
      </c>
      <c r="D440" s="123">
        <v>11.0</v>
      </c>
      <c r="E440" s="37">
        <v>2.0</v>
      </c>
      <c r="F440" s="40"/>
      <c r="G440" s="40"/>
      <c r="H440" s="40">
        <f t="shared" si="66"/>
        <v>22</v>
      </c>
      <c r="I440" s="40"/>
      <c r="J440" s="64">
        <f t="shared" si="67"/>
        <v>22</v>
      </c>
      <c r="K440" s="46"/>
    </row>
    <row r="441" ht="19.5" customHeight="1">
      <c r="A441" s="46">
        <f t="shared" si="68"/>
        <v>30</v>
      </c>
      <c r="B441" s="37" t="s">
        <v>313</v>
      </c>
      <c r="C441" s="46" t="s">
        <v>106</v>
      </c>
      <c r="D441" s="123">
        <v>20.0</v>
      </c>
      <c r="E441" s="37">
        <v>2.0</v>
      </c>
      <c r="F441" s="40"/>
      <c r="G441" s="40"/>
      <c r="H441" s="40">
        <f t="shared" si="66"/>
        <v>40</v>
      </c>
      <c r="I441" s="40"/>
      <c r="J441" s="64">
        <f t="shared" si="67"/>
        <v>40</v>
      </c>
      <c r="K441" s="46"/>
    </row>
    <row r="442" ht="19.5" customHeight="1">
      <c r="A442" s="46">
        <f t="shared" si="68"/>
        <v>31</v>
      </c>
      <c r="B442" s="37" t="s">
        <v>314</v>
      </c>
      <c r="C442" s="46" t="s">
        <v>106</v>
      </c>
      <c r="D442" s="123">
        <v>2.0</v>
      </c>
      <c r="E442" s="37">
        <v>2.0</v>
      </c>
      <c r="F442" s="40"/>
      <c r="G442" s="40"/>
      <c r="H442" s="40">
        <f t="shared" si="66"/>
        <v>4</v>
      </c>
      <c r="I442" s="40"/>
      <c r="J442" s="64">
        <f t="shared" si="67"/>
        <v>4</v>
      </c>
      <c r="K442" s="46"/>
    </row>
    <row r="443" ht="19.5" customHeight="1">
      <c r="A443" s="46">
        <f t="shared" si="68"/>
        <v>32</v>
      </c>
      <c r="B443" s="37" t="s">
        <v>315</v>
      </c>
      <c r="C443" s="46" t="s">
        <v>106</v>
      </c>
      <c r="D443" s="123">
        <v>4.0</v>
      </c>
      <c r="E443" s="37">
        <v>2.0</v>
      </c>
      <c r="F443" s="40"/>
      <c r="G443" s="40"/>
      <c r="H443" s="40">
        <f t="shared" si="66"/>
        <v>8</v>
      </c>
      <c r="I443" s="40"/>
      <c r="J443" s="64">
        <f t="shared" si="67"/>
        <v>8</v>
      </c>
      <c r="K443" s="46"/>
    </row>
    <row r="444" ht="19.5" customHeight="1">
      <c r="A444" s="46">
        <f t="shared" si="68"/>
        <v>33</v>
      </c>
      <c r="B444" s="37" t="s">
        <v>316</v>
      </c>
      <c r="C444" s="46" t="s">
        <v>106</v>
      </c>
      <c r="D444" s="123"/>
      <c r="E444" s="37">
        <v>1.0</v>
      </c>
      <c r="F444" s="40"/>
      <c r="G444" s="40"/>
      <c r="H444" s="40">
        <f t="shared" si="66"/>
        <v>0</v>
      </c>
      <c r="I444" s="40"/>
      <c r="J444" s="64">
        <f t="shared" si="67"/>
        <v>0</v>
      </c>
      <c r="K444" s="46"/>
    </row>
    <row r="445" ht="19.5" customHeight="1">
      <c r="A445" s="46">
        <f t="shared" si="68"/>
        <v>34</v>
      </c>
      <c r="B445" s="37" t="s">
        <v>317</v>
      </c>
      <c r="C445" s="46" t="s">
        <v>106</v>
      </c>
      <c r="D445" s="123">
        <v>2.0</v>
      </c>
      <c r="E445" s="37">
        <v>2.0</v>
      </c>
      <c r="F445" s="40"/>
      <c r="G445" s="40"/>
      <c r="H445" s="40">
        <f t="shared" si="66"/>
        <v>4</v>
      </c>
      <c r="I445" s="40"/>
      <c r="J445" s="64">
        <f t="shared" si="67"/>
        <v>4</v>
      </c>
      <c r="K445" s="46"/>
    </row>
    <row r="446" ht="19.5" customHeight="1">
      <c r="A446" s="46">
        <f t="shared" si="68"/>
        <v>35</v>
      </c>
      <c r="B446" s="37" t="s">
        <v>318</v>
      </c>
      <c r="C446" s="46" t="s">
        <v>106</v>
      </c>
      <c r="D446" s="123">
        <v>1.0</v>
      </c>
      <c r="E446" s="37">
        <v>1.0</v>
      </c>
      <c r="F446" s="40"/>
      <c r="G446" s="40"/>
      <c r="H446" s="40">
        <f t="shared" si="66"/>
        <v>1</v>
      </c>
      <c r="I446" s="40"/>
      <c r="J446" s="64">
        <f t="shared" si="67"/>
        <v>1</v>
      </c>
      <c r="K446" s="46"/>
    </row>
    <row r="447" ht="19.5" customHeight="1">
      <c r="A447" s="46">
        <f t="shared" si="68"/>
        <v>36</v>
      </c>
      <c r="B447" s="37" t="s">
        <v>319</v>
      </c>
      <c r="C447" s="46" t="s">
        <v>106</v>
      </c>
      <c r="D447" s="123">
        <v>23.0</v>
      </c>
      <c r="E447" s="37">
        <v>2.0</v>
      </c>
      <c r="F447" s="40"/>
      <c r="G447" s="40"/>
      <c r="H447" s="40">
        <f t="shared" si="66"/>
        <v>46</v>
      </c>
      <c r="I447" s="40"/>
      <c r="J447" s="64">
        <f t="shared" si="67"/>
        <v>46</v>
      </c>
      <c r="K447" s="46"/>
    </row>
    <row r="448" ht="19.5" customHeight="1">
      <c r="A448" s="46">
        <f t="shared" si="68"/>
        <v>37</v>
      </c>
      <c r="B448" s="37" t="s">
        <v>320</v>
      </c>
      <c r="C448" s="46" t="s">
        <v>106</v>
      </c>
      <c r="D448" s="123">
        <v>8.0</v>
      </c>
      <c r="E448" s="37">
        <v>2.0</v>
      </c>
      <c r="F448" s="40"/>
      <c r="G448" s="40"/>
      <c r="H448" s="40">
        <f t="shared" si="66"/>
        <v>16</v>
      </c>
      <c r="I448" s="40"/>
      <c r="J448" s="64">
        <f t="shared" si="67"/>
        <v>16</v>
      </c>
      <c r="K448" s="46"/>
    </row>
    <row r="449" ht="19.5" customHeight="1">
      <c r="A449" s="46">
        <f t="shared" si="68"/>
        <v>38</v>
      </c>
      <c r="B449" s="37" t="s">
        <v>321</v>
      </c>
      <c r="C449" s="46" t="s">
        <v>106</v>
      </c>
      <c r="D449" s="123">
        <v>8.0</v>
      </c>
      <c r="E449" s="37">
        <v>2.0</v>
      </c>
      <c r="F449" s="40"/>
      <c r="G449" s="40"/>
      <c r="H449" s="40">
        <f t="shared" si="66"/>
        <v>16</v>
      </c>
      <c r="I449" s="40"/>
      <c r="J449" s="64">
        <f t="shared" si="67"/>
        <v>16</v>
      </c>
      <c r="K449" s="46"/>
    </row>
    <row r="450" ht="19.5" customHeight="1">
      <c r="A450" s="46">
        <f t="shared" si="68"/>
        <v>39</v>
      </c>
      <c r="B450" s="37" t="s">
        <v>322</v>
      </c>
      <c r="C450" s="46" t="s">
        <v>106</v>
      </c>
      <c r="D450" s="123"/>
      <c r="E450" s="37">
        <v>1.0</v>
      </c>
      <c r="F450" s="40"/>
      <c r="G450" s="40"/>
      <c r="H450" s="40">
        <f t="shared" si="66"/>
        <v>0</v>
      </c>
      <c r="I450" s="40"/>
      <c r="J450" s="64">
        <f t="shared" si="67"/>
        <v>0</v>
      </c>
      <c r="K450" s="46"/>
    </row>
    <row r="451" ht="19.5" customHeight="1">
      <c r="A451" s="46">
        <f t="shared" si="68"/>
        <v>40</v>
      </c>
      <c r="B451" s="37" t="s">
        <v>323</v>
      </c>
      <c r="C451" s="46" t="s">
        <v>108</v>
      </c>
      <c r="D451" s="123">
        <v>100.0</v>
      </c>
      <c r="E451" s="37">
        <v>2.0</v>
      </c>
      <c r="F451" s="40"/>
      <c r="G451" s="40"/>
      <c r="H451" s="40">
        <f t="shared" si="66"/>
        <v>200</v>
      </c>
      <c r="I451" s="40"/>
      <c r="J451" s="64">
        <f t="shared" si="67"/>
        <v>200</v>
      </c>
      <c r="K451" s="46"/>
    </row>
    <row r="452" ht="19.5" customHeight="1">
      <c r="A452" s="46">
        <f t="shared" si="68"/>
        <v>41</v>
      </c>
      <c r="B452" s="37" t="s">
        <v>324</v>
      </c>
      <c r="C452" s="46" t="s">
        <v>325</v>
      </c>
      <c r="D452" s="123">
        <v>10.0</v>
      </c>
      <c r="E452" s="37">
        <v>2.0</v>
      </c>
      <c r="F452" s="40"/>
      <c r="G452" s="40"/>
      <c r="H452" s="40">
        <f t="shared" si="66"/>
        <v>20</v>
      </c>
      <c r="I452" s="40"/>
      <c r="J452" s="64">
        <f t="shared" si="67"/>
        <v>20</v>
      </c>
      <c r="K452" s="46"/>
    </row>
    <row r="453" ht="19.5" customHeight="1">
      <c r="A453" s="12"/>
      <c r="C453" s="12"/>
      <c r="D453" s="87"/>
      <c r="F453" s="14"/>
      <c r="G453" s="14"/>
      <c r="H453" s="14"/>
      <c r="I453" s="14"/>
      <c r="J453" s="14"/>
      <c r="K453" s="12"/>
    </row>
    <row r="454" ht="19.5" customHeight="1">
      <c r="A454" s="74" t="s">
        <v>1</v>
      </c>
      <c r="B454" s="74" t="s">
        <v>91</v>
      </c>
      <c r="C454" s="74" t="s">
        <v>92</v>
      </c>
      <c r="D454" s="76" t="s">
        <v>93</v>
      </c>
      <c r="E454" s="50" t="s">
        <v>161</v>
      </c>
      <c r="F454" s="53" t="s">
        <v>121</v>
      </c>
      <c r="G454" s="53" t="s">
        <v>99</v>
      </c>
      <c r="H454" s="53" t="s">
        <v>100</v>
      </c>
      <c r="I454" s="53" t="s">
        <v>101</v>
      </c>
      <c r="J454" s="76" t="s">
        <v>95</v>
      </c>
      <c r="K454" s="74" t="s">
        <v>96</v>
      </c>
    </row>
    <row r="455" ht="19.5" customHeight="1">
      <c r="A455" s="46">
        <v>1.0</v>
      </c>
      <c r="B455" s="37" t="s">
        <v>326</v>
      </c>
      <c r="C455" s="46" t="s">
        <v>108</v>
      </c>
      <c r="D455" s="78">
        <v>8.0</v>
      </c>
      <c r="E455" s="37">
        <v>2.0</v>
      </c>
      <c r="F455" s="78"/>
      <c r="G455" s="40"/>
      <c r="H455" s="40">
        <f t="shared" ref="H455:H458" si="69">E455*D455</f>
        <v>16</v>
      </c>
      <c r="I455" s="42"/>
      <c r="J455" s="43">
        <f t="shared" ref="J455:J458" si="70">H455</f>
        <v>16</v>
      </c>
      <c r="K455" s="46"/>
    </row>
    <row r="456" ht="19.5" customHeight="1">
      <c r="A456" s="46">
        <v>2.0</v>
      </c>
      <c r="B456" s="37" t="s">
        <v>327</v>
      </c>
      <c r="C456" s="46"/>
      <c r="D456" s="123">
        <v>3.0</v>
      </c>
      <c r="E456" s="37">
        <v>2.0</v>
      </c>
      <c r="F456" s="40"/>
      <c r="G456" s="40"/>
      <c r="H456" s="40">
        <f t="shared" si="69"/>
        <v>6</v>
      </c>
      <c r="I456" s="40"/>
      <c r="J456" s="43">
        <f t="shared" si="70"/>
        <v>6</v>
      </c>
      <c r="K456" s="46"/>
    </row>
    <row r="457" ht="19.5" customHeight="1">
      <c r="A457" s="46">
        <v>3.0</v>
      </c>
      <c r="B457" s="37" t="s">
        <v>379</v>
      </c>
      <c r="C457" s="46"/>
      <c r="D457" s="123">
        <v>3.0</v>
      </c>
      <c r="E457" s="37">
        <v>2.0</v>
      </c>
      <c r="F457" s="40"/>
      <c r="G457" s="40"/>
      <c r="H457" s="40">
        <f t="shared" si="69"/>
        <v>6</v>
      </c>
      <c r="I457" s="40"/>
      <c r="J457" s="43">
        <f t="shared" si="70"/>
        <v>6</v>
      </c>
      <c r="K457" s="46"/>
    </row>
    <row r="458" ht="19.5" customHeight="1">
      <c r="A458" s="46">
        <v>4.0</v>
      </c>
      <c r="B458" s="37" t="s">
        <v>330</v>
      </c>
      <c r="C458" s="46" t="s">
        <v>103</v>
      </c>
      <c r="D458" s="123">
        <v>9.0</v>
      </c>
      <c r="E458" s="37">
        <v>2.0</v>
      </c>
      <c r="F458" s="40"/>
      <c r="G458" s="40"/>
      <c r="H458" s="40">
        <f t="shared" si="69"/>
        <v>18</v>
      </c>
      <c r="I458" s="40"/>
      <c r="J458" s="43">
        <f t="shared" si="70"/>
        <v>18</v>
      </c>
      <c r="K458" s="46"/>
    </row>
    <row r="459" ht="19.5" customHeight="1">
      <c r="A459" s="12"/>
      <c r="C459" s="12"/>
      <c r="D459" s="87"/>
      <c r="F459" s="14"/>
      <c r="G459" s="14"/>
      <c r="H459" s="14"/>
      <c r="I459" s="14"/>
      <c r="J459" s="14"/>
      <c r="K459" s="12"/>
    </row>
    <row r="460" ht="19.5" customHeight="1">
      <c r="A460" s="12"/>
      <c r="C460" s="12"/>
      <c r="D460" s="87"/>
      <c r="F460" s="14"/>
      <c r="G460" s="14"/>
      <c r="H460" s="14"/>
      <c r="I460" s="14"/>
      <c r="J460" s="14"/>
      <c r="K460" s="12"/>
    </row>
    <row r="461" ht="19.5" customHeight="1">
      <c r="A461" s="12"/>
      <c r="C461" s="12"/>
      <c r="D461" s="87"/>
      <c r="F461" s="14"/>
      <c r="G461" s="14"/>
      <c r="H461" s="14"/>
      <c r="I461" s="14"/>
      <c r="J461" s="14"/>
      <c r="K461" s="12"/>
    </row>
    <row r="462" ht="19.5" customHeight="1">
      <c r="A462" s="12"/>
      <c r="C462" s="12"/>
      <c r="D462" s="87"/>
      <c r="F462" s="14"/>
      <c r="G462" s="14"/>
      <c r="H462" s="14"/>
      <c r="I462" s="14"/>
      <c r="J462" s="14"/>
      <c r="K462" s="12"/>
    </row>
    <row r="463" ht="19.5" customHeight="1">
      <c r="A463" s="12"/>
      <c r="C463" s="12"/>
      <c r="D463" s="87"/>
      <c r="F463" s="14"/>
      <c r="G463" s="14"/>
      <c r="H463" s="14"/>
      <c r="I463" s="14"/>
      <c r="J463" s="14"/>
      <c r="K463" s="12"/>
    </row>
    <row r="464" ht="19.5" customHeight="1">
      <c r="A464" s="12"/>
      <c r="C464" s="12"/>
      <c r="D464" s="87"/>
      <c r="F464" s="14"/>
      <c r="G464" s="14"/>
      <c r="H464" s="14"/>
      <c r="I464" s="14"/>
      <c r="J464" s="14"/>
      <c r="K464" s="12"/>
    </row>
    <row r="465" ht="19.5" customHeight="1">
      <c r="A465" s="12"/>
      <c r="C465" s="12"/>
      <c r="D465" s="87"/>
      <c r="F465" s="14"/>
      <c r="G465" s="14"/>
      <c r="H465" s="14"/>
      <c r="I465" s="14"/>
      <c r="J465" s="14"/>
      <c r="K465" s="12"/>
    </row>
    <row r="466" ht="19.5" customHeight="1">
      <c r="A466" s="12"/>
      <c r="C466" s="12"/>
      <c r="D466" s="87"/>
      <c r="F466" s="14"/>
      <c r="G466" s="14"/>
      <c r="H466" s="14"/>
      <c r="I466" s="14"/>
      <c r="J466" s="14"/>
      <c r="K466" s="12"/>
    </row>
    <row r="467" ht="19.5" customHeight="1">
      <c r="A467" s="12"/>
      <c r="C467" s="12"/>
      <c r="D467" s="87"/>
      <c r="F467" s="14"/>
      <c r="G467" s="14"/>
      <c r="H467" s="14"/>
      <c r="I467" s="14"/>
      <c r="J467" s="14"/>
      <c r="K467" s="12"/>
    </row>
    <row r="468" ht="19.5" customHeight="1">
      <c r="A468" s="12"/>
      <c r="C468" s="12"/>
      <c r="D468" s="87"/>
      <c r="F468" s="14"/>
      <c r="G468" s="14"/>
      <c r="H468" s="14"/>
      <c r="I468" s="14"/>
      <c r="J468" s="14"/>
      <c r="K468" s="12"/>
    </row>
    <row r="469" ht="19.5" customHeight="1">
      <c r="A469" s="12"/>
      <c r="C469" s="12"/>
      <c r="D469" s="87"/>
      <c r="F469" s="14"/>
      <c r="G469" s="14"/>
      <c r="H469" s="14"/>
      <c r="I469" s="14"/>
      <c r="J469" s="14"/>
      <c r="K469" s="12"/>
    </row>
    <row r="470" ht="19.5" customHeight="1">
      <c r="A470" s="12"/>
      <c r="C470" s="12"/>
      <c r="D470" s="87"/>
      <c r="F470" s="14"/>
      <c r="G470" s="14"/>
      <c r="H470" s="14"/>
      <c r="I470" s="14"/>
      <c r="J470" s="14"/>
      <c r="K470" s="12"/>
    </row>
    <row r="471" ht="19.5" customHeight="1">
      <c r="A471" s="12"/>
      <c r="C471" s="12"/>
      <c r="D471" s="87"/>
      <c r="F471" s="14"/>
      <c r="G471" s="14"/>
      <c r="H471" s="14"/>
      <c r="I471" s="14"/>
      <c r="J471" s="14"/>
      <c r="K471" s="12"/>
    </row>
    <row r="472" ht="19.5" customHeight="1">
      <c r="A472" s="12"/>
      <c r="C472" s="12"/>
      <c r="D472" s="87"/>
      <c r="F472" s="14"/>
      <c r="G472" s="14"/>
      <c r="H472" s="14"/>
      <c r="I472" s="14"/>
      <c r="J472" s="14"/>
      <c r="K472" s="12"/>
    </row>
    <row r="473" ht="19.5" customHeight="1">
      <c r="A473" s="12"/>
      <c r="C473" s="12"/>
      <c r="D473" s="87"/>
      <c r="F473" s="14"/>
      <c r="G473" s="14"/>
      <c r="H473" s="14"/>
      <c r="I473" s="14"/>
      <c r="J473" s="14"/>
      <c r="K473" s="12"/>
    </row>
    <row r="474" ht="19.5" customHeight="1">
      <c r="A474" s="12"/>
      <c r="C474" s="12"/>
      <c r="D474" s="87"/>
      <c r="F474" s="14"/>
      <c r="G474" s="14"/>
      <c r="H474" s="14"/>
      <c r="I474" s="14"/>
      <c r="J474" s="14"/>
      <c r="K474" s="12"/>
    </row>
    <row r="475" ht="19.5" customHeight="1">
      <c r="A475" s="12"/>
      <c r="C475" s="12"/>
      <c r="D475" s="87"/>
      <c r="F475" s="14"/>
      <c r="G475" s="14"/>
      <c r="H475" s="14"/>
      <c r="I475" s="14"/>
      <c r="J475" s="14"/>
      <c r="K475" s="12"/>
    </row>
    <row r="476" ht="19.5" customHeight="1">
      <c r="A476" s="12"/>
      <c r="C476" s="12"/>
      <c r="D476" s="87"/>
      <c r="F476" s="14"/>
      <c r="G476" s="14"/>
      <c r="H476" s="14"/>
      <c r="I476" s="14"/>
      <c r="J476" s="14"/>
      <c r="K476" s="12"/>
    </row>
    <row r="477" ht="19.5" customHeight="1">
      <c r="A477" s="12"/>
      <c r="C477" s="12"/>
      <c r="D477" s="87"/>
      <c r="F477" s="14"/>
      <c r="G477" s="14"/>
      <c r="H477" s="14"/>
      <c r="I477" s="14"/>
      <c r="J477" s="14"/>
      <c r="K477" s="12"/>
    </row>
    <row r="478" ht="19.5" customHeight="1">
      <c r="A478" s="12"/>
      <c r="C478" s="12"/>
      <c r="D478" s="87"/>
      <c r="F478" s="14"/>
      <c r="G478" s="14"/>
      <c r="H478" s="14"/>
      <c r="I478" s="14"/>
      <c r="J478" s="14"/>
      <c r="K478" s="12"/>
    </row>
    <row r="479" ht="19.5" customHeight="1">
      <c r="A479" s="12"/>
      <c r="C479" s="12"/>
      <c r="D479" s="87"/>
      <c r="F479" s="14"/>
      <c r="G479" s="14"/>
      <c r="H479" s="14"/>
      <c r="I479" s="14"/>
      <c r="J479" s="14"/>
      <c r="K479" s="12"/>
    </row>
    <row r="480" ht="19.5" customHeight="1">
      <c r="A480" s="12"/>
      <c r="C480" s="12"/>
      <c r="D480" s="87"/>
      <c r="F480" s="14"/>
      <c r="G480" s="14"/>
      <c r="H480" s="14"/>
      <c r="I480" s="14"/>
      <c r="J480" s="14"/>
      <c r="K480" s="12"/>
    </row>
    <row r="481" ht="19.5" customHeight="1">
      <c r="A481" s="12"/>
      <c r="C481" s="12"/>
      <c r="D481" s="87"/>
      <c r="F481" s="14"/>
      <c r="G481" s="14"/>
      <c r="H481" s="14"/>
      <c r="I481" s="14"/>
      <c r="J481" s="14"/>
      <c r="K481" s="12"/>
    </row>
    <row r="482" ht="19.5" customHeight="1">
      <c r="A482" s="12"/>
      <c r="C482" s="12"/>
      <c r="D482" s="87"/>
      <c r="F482" s="14"/>
      <c r="G482" s="14"/>
      <c r="H482" s="14"/>
      <c r="I482" s="14"/>
      <c r="J482" s="14"/>
      <c r="K482" s="12"/>
    </row>
    <row r="483" ht="19.5" customHeight="1">
      <c r="A483" s="12"/>
      <c r="C483" s="12"/>
      <c r="D483" s="87"/>
      <c r="F483" s="14"/>
      <c r="G483" s="14"/>
      <c r="H483" s="14"/>
      <c r="I483" s="14"/>
      <c r="J483" s="14"/>
      <c r="K483" s="12"/>
    </row>
    <row r="484" ht="19.5" customHeight="1">
      <c r="A484" s="12"/>
      <c r="C484" s="12"/>
      <c r="D484" s="87"/>
      <c r="F484" s="14"/>
      <c r="G484" s="14"/>
      <c r="H484" s="14"/>
      <c r="I484" s="14"/>
      <c r="J484" s="14"/>
      <c r="K484" s="12"/>
    </row>
    <row r="485" ht="19.5" customHeight="1">
      <c r="A485" s="12"/>
      <c r="C485" s="12"/>
      <c r="D485" s="87"/>
      <c r="F485" s="14"/>
      <c r="G485" s="14"/>
      <c r="H485" s="14"/>
      <c r="I485" s="14"/>
      <c r="J485" s="14"/>
      <c r="K485" s="12"/>
    </row>
    <row r="486" ht="19.5" customHeight="1">
      <c r="A486" s="12"/>
      <c r="C486" s="12"/>
      <c r="D486" s="87"/>
      <c r="F486" s="14"/>
      <c r="G486" s="14"/>
      <c r="H486" s="14"/>
      <c r="I486" s="14"/>
      <c r="J486" s="14"/>
      <c r="K486" s="12"/>
    </row>
    <row r="487" ht="19.5" customHeight="1">
      <c r="A487" s="12"/>
      <c r="C487" s="12"/>
      <c r="D487" s="87"/>
      <c r="F487" s="14"/>
      <c r="G487" s="14"/>
      <c r="H487" s="14"/>
      <c r="I487" s="14"/>
      <c r="J487" s="14"/>
      <c r="K487" s="12"/>
    </row>
    <row r="488" ht="19.5" customHeight="1">
      <c r="A488" s="12"/>
      <c r="C488" s="12"/>
      <c r="D488" s="87"/>
      <c r="F488" s="14"/>
      <c r="G488" s="14"/>
      <c r="H488" s="14"/>
      <c r="I488" s="14"/>
      <c r="J488" s="14"/>
      <c r="K488" s="12"/>
    </row>
    <row r="489" ht="19.5" customHeight="1">
      <c r="A489" s="12"/>
      <c r="C489" s="12"/>
      <c r="D489" s="87"/>
      <c r="F489" s="14"/>
      <c r="G489" s="14"/>
      <c r="H489" s="14"/>
      <c r="I489" s="14"/>
      <c r="J489" s="14"/>
      <c r="K489" s="12"/>
    </row>
    <row r="490" ht="19.5" customHeight="1">
      <c r="A490" s="12"/>
      <c r="C490" s="12"/>
      <c r="D490" s="87"/>
      <c r="F490" s="14"/>
      <c r="G490" s="14"/>
      <c r="H490" s="14"/>
      <c r="I490" s="14"/>
      <c r="J490" s="14"/>
      <c r="K490" s="12"/>
    </row>
    <row r="491" ht="19.5" customHeight="1">
      <c r="A491" s="12"/>
      <c r="C491" s="12"/>
      <c r="D491" s="87"/>
      <c r="F491" s="14"/>
      <c r="G491" s="14"/>
      <c r="H491" s="14"/>
      <c r="I491" s="14"/>
      <c r="J491" s="14"/>
      <c r="K491" s="12"/>
    </row>
    <row r="492" ht="19.5" customHeight="1">
      <c r="A492" s="12"/>
      <c r="C492" s="12"/>
      <c r="D492" s="87"/>
      <c r="F492" s="14"/>
      <c r="G492" s="14"/>
      <c r="H492" s="14"/>
      <c r="I492" s="14"/>
      <c r="J492" s="14"/>
      <c r="K492" s="12"/>
    </row>
    <row r="493" ht="19.5" customHeight="1">
      <c r="A493" s="12"/>
      <c r="C493" s="12"/>
      <c r="D493" s="87"/>
      <c r="F493" s="14"/>
      <c r="G493" s="14"/>
      <c r="H493" s="14"/>
      <c r="I493" s="14"/>
      <c r="J493" s="14"/>
      <c r="K493" s="12"/>
    </row>
    <row r="494" ht="19.5" customHeight="1">
      <c r="A494" s="12"/>
      <c r="C494" s="12"/>
      <c r="D494" s="87"/>
      <c r="F494" s="14"/>
      <c r="G494" s="14"/>
      <c r="H494" s="14"/>
      <c r="I494" s="14"/>
      <c r="J494" s="14"/>
      <c r="K494" s="12"/>
    </row>
    <row r="495" ht="19.5" customHeight="1">
      <c r="A495" s="12"/>
      <c r="C495" s="12"/>
      <c r="D495" s="87"/>
      <c r="F495" s="14"/>
      <c r="G495" s="14"/>
      <c r="H495" s="14"/>
      <c r="I495" s="14"/>
      <c r="J495" s="14"/>
      <c r="K495" s="12"/>
    </row>
    <row r="496" ht="19.5" customHeight="1">
      <c r="A496" s="12"/>
      <c r="C496" s="12"/>
      <c r="D496" s="87"/>
      <c r="F496" s="14"/>
      <c r="G496" s="14"/>
      <c r="H496" s="14"/>
      <c r="I496" s="14"/>
      <c r="J496" s="14"/>
      <c r="K496" s="12"/>
    </row>
    <row r="497" ht="19.5" customHeight="1">
      <c r="A497" s="12"/>
      <c r="C497" s="12"/>
      <c r="D497" s="87"/>
      <c r="F497" s="14"/>
      <c r="G497" s="14"/>
      <c r="H497" s="14"/>
      <c r="I497" s="14"/>
      <c r="J497" s="14"/>
      <c r="K497" s="12"/>
    </row>
    <row r="498" ht="19.5" customHeight="1">
      <c r="A498" s="12"/>
      <c r="C498" s="12"/>
      <c r="D498" s="87"/>
      <c r="F498" s="14"/>
      <c r="G498" s="14"/>
      <c r="H498" s="14"/>
      <c r="I498" s="14"/>
      <c r="J498" s="14"/>
      <c r="K498" s="12"/>
    </row>
    <row r="499" ht="19.5" customHeight="1">
      <c r="A499" s="12"/>
      <c r="C499" s="12"/>
      <c r="D499" s="87"/>
      <c r="F499" s="14"/>
      <c r="G499" s="14"/>
      <c r="H499" s="14"/>
      <c r="I499" s="14"/>
      <c r="J499" s="14"/>
      <c r="K499" s="12"/>
    </row>
    <row r="500" ht="19.5" customHeight="1">
      <c r="A500" s="12"/>
      <c r="C500" s="12"/>
      <c r="D500" s="87"/>
      <c r="F500" s="14"/>
      <c r="G500" s="14"/>
      <c r="H500" s="14"/>
      <c r="I500" s="14"/>
      <c r="J500" s="14"/>
      <c r="K500" s="12"/>
    </row>
    <row r="501" ht="19.5" customHeight="1">
      <c r="A501" s="12"/>
      <c r="C501" s="12"/>
      <c r="D501" s="87"/>
      <c r="F501" s="14"/>
      <c r="G501" s="14"/>
      <c r="H501" s="14"/>
      <c r="I501" s="14"/>
      <c r="J501" s="14"/>
      <c r="K501" s="12"/>
    </row>
    <row r="502" ht="19.5" customHeight="1">
      <c r="A502" s="12"/>
      <c r="C502" s="12"/>
      <c r="D502" s="87"/>
      <c r="F502" s="14"/>
      <c r="G502" s="14"/>
      <c r="H502" s="14"/>
      <c r="I502" s="14"/>
      <c r="J502" s="14"/>
      <c r="K502" s="12"/>
    </row>
    <row r="503" ht="19.5" customHeight="1">
      <c r="A503" s="12"/>
      <c r="C503" s="12"/>
      <c r="D503" s="87"/>
      <c r="F503" s="14"/>
      <c r="G503" s="14"/>
      <c r="H503" s="14"/>
      <c r="I503" s="14"/>
      <c r="J503" s="14"/>
      <c r="K503" s="12"/>
    </row>
    <row r="504" ht="19.5" customHeight="1">
      <c r="A504" s="12"/>
      <c r="C504" s="12"/>
      <c r="D504" s="87"/>
      <c r="F504" s="14"/>
      <c r="G504" s="14"/>
      <c r="H504" s="14"/>
      <c r="I504" s="14"/>
      <c r="J504" s="14"/>
      <c r="K504" s="12"/>
    </row>
    <row r="505" ht="19.5" customHeight="1">
      <c r="A505" s="12"/>
      <c r="C505" s="12"/>
      <c r="D505" s="87"/>
      <c r="F505" s="14"/>
      <c r="G505" s="14"/>
      <c r="H505" s="14"/>
      <c r="I505" s="14"/>
      <c r="J505" s="14"/>
      <c r="K505" s="12"/>
    </row>
    <row r="506" ht="19.5" customHeight="1">
      <c r="A506" s="12"/>
      <c r="C506" s="12"/>
      <c r="D506" s="87"/>
      <c r="F506" s="14"/>
      <c r="G506" s="14"/>
      <c r="H506" s="14"/>
      <c r="I506" s="14"/>
      <c r="J506" s="14"/>
      <c r="K506" s="12"/>
    </row>
    <row r="507" ht="19.5" customHeight="1">
      <c r="A507" s="12"/>
      <c r="C507" s="12"/>
      <c r="D507" s="87"/>
      <c r="F507" s="14"/>
      <c r="G507" s="14"/>
      <c r="H507" s="14"/>
      <c r="I507" s="14"/>
      <c r="J507" s="14"/>
      <c r="K507" s="12"/>
    </row>
    <row r="508" ht="19.5" customHeight="1">
      <c r="A508" s="12"/>
      <c r="C508" s="12"/>
      <c r="D508" s="87"/>
      <c r="F508" s="14"/>
      <c r="G508" s="14"/>
      <c r="H508" s="14"/>
      <c r="I508" s="14"/>
      <c r="J508" s="14"/>
      <c r="K508" s="12"/>
    </row>
    <row r="509" ht="19.5" customHeight="1">
      <c r="A509" s="12"/>
      <c r="C509" s="12"/>
      <c r="D509" s="87"/>
      <c r="F509" s="14"/>
      <c r="G509" s="14"/>
      <c r="H509" s="14"/>
      <c r="I509" s="14"/>
      <c r="J509" s="14"/>
      <c r="K509" s="12"/>
    </row>
    <row r="510" ht="19.5" customHeight="1">
      <c r="A510" s="12"/>
      <c r="C510" s="12"/>
      <c r="D510" s="87"/>
      <c r="F510" s="14"/>
      <c r="G510" s="14"/>
      <c r="H510" s="14"/>
      <c r="I510" s="14"/>
      <c r="J510" s="14"/>
      <c r="K510" s="12"/>
    </row>
    <row r="511" ht="19.5" customHeight="1">
      <c r="A511" s="12"/>
      <c r="C511" s="12"/>
      <c r="D511" s="87"/>
      <c r="F511" s="14"/>
      <c r="G511" s="14"/>
      <c r="H511" s="14"/>
      <c r="I511" s="14"/>
      <c r="J511" s="14"/>
      <c r="K511" s="12"/>
    </row>
    <row r="512" ht="19.5" customHeight="1">
      <c r="A512" s="12"/>
      <c r="C512" s="12"/>
      <c r="D512" s="87"/>
      <c r="F512" s="14"/>
      <c r="G512" s="14"/>
      <c r="H512" s="14"/>
      <c r="I512" s="14"/>
      <c r="J512" s="14"/>
      <c r="K512" s="12"/>
    </row>
    <row r="513" ht="19.5" customHeight="1">
      <c r="A513" s="12"/>
      <c r="C513" s="12"/>
      <c r="D513" s="87"/>
      <c r="F513" s="14"/>
      <c r="G513" s="14"/>
      <c r="H513" s="14"/>
      <c r="I513" s="14"/>
      <c r="J513" s="14"/>
      <c r="K513" s="12"/>
    </row>
    <row r="514" ht="19.5" customHeight="1">
      <c r="A514" s="12"/>
      <c r="C514" s="12"/>
      <c r="D514" s="87"/>
      <c r="F514" s="14"/>
      <c r="G514" s="14"/>
      <c r="H514" s="14"/>
      <c r="I514" s="14"/>
      <c r="J514" s="14"/>
      <c r="K514" s="12"/>
    </row>
    <row r="515" ht="19.5" customHeight="1">
      <c r="A515" s="12"/>
      <c r="C515" s="12"/>
      <c r="D515" s="87"/>
      <c r="F515" s="14"/>
      <c r="G515" s="14"/>
      <c r="H515" s="14"/>
      <c r="I515" s="14"/>
      <c r="J515" s="14"/>
      <c r="K515" s="12"/>
    </row>
    <row r="516" ht="19.5" customHeight="1">
      <c r="A516" s="12"/>
      <c r="C516" s="12"/>
      <c r="D516" s="87"/>
      <c r="F516" s="14"/>
      <c r="G516" s="14"/>
      <c r="H516" s="14"/>
      <c r="I516" s="14"/>
      <c r="J516" s="14"/>
      <c r="K516" s="12"/>
    </row>
    <row r="517" ht="19.5" customHeight="1">
      <c r="A517" s="12"/>
      <c r="C517" s="12"/>
      <c r="D517" s="87"/>
      <c r="F517" s="14"/>
      <c r="G517" s="14"/>
      <c r="H517" s="14"/>
      <c r="I517" s="14"/>
      <c r="J517" s="14"/>
      <c r="K517" s="12"/>
    </row>
    <row r="518" ht="19.5" customHeight="1">
      <c r="A518" s="12"/>
      <c r="C518" s="12"/>
      <c r="D518" s="87"/>
      <c r="F518" s="14"/>
      <c r="G518" s="14"/>
      <c r="H518" s="14"/>
      <c r="I518" s="14"/>
      <c r="J518" s="14"/>
      <c r="K518" s="12"/>
    </row>
    <row r="519" ht="19.5" customHeight="1">
      <c r="A519" s="12"/>
      <c r="C519" s="12"/>
      <c r="D519" s="87"/>
      <c r="F519" s="14"/>
      <c r="G519" s="14"/>
      <c r="H519" s="14"/>
      <c r="I519" s="14"/>
      <c r="J519" s="14"/>
      <c r="K519" s="12"/>
    </row>
    <row r="520" ht="19.5" customHeight="1">
      <c r="A520" s="12"/>
      <c r="C520" s="12"/>
      <c r="D520" s="87"/>
      <c r="F520" s="14"/>
      <c r="G520" s="14"/>
      <c r="H520" s="14"/>
      <c r="I520" s="14"/>
      <c r="J520" s="14"/>
      <c r="K520" s="12"/>
    </row>
    <row r="521" ht="19.5" customHeight="1">
      <c r="A521" s="12"/>
      <c r="C521" s="12"/>
      <c r="D521" s="87"/>
      <c r="F521" s="14"/>
      <c r="G521" s="14"/>
      <c r="H521" s="14"/>
      <c r="I521" s="14"/>
      <c r="J521" s="14"/>
      <c r="K521" s="12"/>
    </row>
    <row r="522" ht="19.5" customHeight="1">
      <c r="A522" s="12"/>
      <c r="C522" s="12"/>
      <c r="D522" s="87"/>
      <c r="F522" s="14"/>
      <c r="G522" s="14"/>
      <c r="H522" s="14"/>
      <c r="I522" s="14"/>
      <c r="J522" s="14"/>
      <c r="K522" s="12"/>
    </row>
    <row r="523" ht="19.5" customHeight="1">
      <c r="A523" s="12"/>
      <c r="C523" s="12"/>
      <c r="D523" s="87"/>
      <c r="F523" s="14"/>
      <c r="G523" s="14"/>
      <c r="H523" s="14"/>
      <c r="I523" s="14"/>
      <c r="J523" s="14"/>
      <c r="K523" s="12"/>
    </row>
    <row r="524" ht="19.5" customHeight="1">
      <c r="A524" s="12"/>
      <c r="C524" s="12"/>
      <c r="D524" s="87"/>
      <c r="F524" s="14"/>
      <c r="G524" s="14"/>
      <c r="H524" s="14"/>
      <c r="I524" s="14"/>
      <c r="J524" s="14"/>
      <c r="K524" s="12"/>
    </row>
    <row r="525" ht="19.5" customHeight="1">
      <c r="A525" s="12"/>
      <c r="C525" s="12"/>
      <c r="D525" s="87"/>
      <c r="F525" s="14"/>
      <c r="G525" s="14"/>
      <c r="H525" s="14"/>
      <c r="I525" s="14"/>
      <c r="J525" s="14"/>
      <c r="K525" s="12"/>
    </row>
    <row r="526" ht="19.5" customHeight="1">
      <c r="A526" s="12"/>
      <c r="C526" s="12"/>
      <c r="D526" s="87"/>
      <c r="F526" s="14"/>
      <c r="G526" s="14"/>
      <c r="H526" s="14"/>
      <c r="I526" s="14"/>
      <c r="J526" s="14"/>
      <c r="K526" s="12"/>
    </row>
    <row r="527" ht="19.5" customHeight="1">
      <c r="A527" s="12"/>
      <c r="C527" s="12"/>
      <c r="D527" s="87"/>
      <c r="F527" s="14"/>
      <c r="G527" s="14"/>
      <c r="H527" s="14"/>
      <c r="I527" s="14"/>
      <c r="J527" s="14"/>
      <c r="K527" s="12"/>
    </row>
    <row r="528" ht="19.5" customHeight="1">
      <c r="A528" s="12"/>
      <c r="C528" s="12"/>
      <c r="D528" s="87"/>
      <c r="F528" s="14"/>
      <c r="G528" s="14"/>
      <c r="H528" s="14"/>
      <c r="I528" s="14"/>
      <c r="J528" s="14"/>
      <c r="K528" s="12"/>
    </row>
    <row r="529" ht="19.5" customHeight="1">
      <c r="A529" s="12"/>
      <c r="C529" s="12"/>
      <c r="D529" s="87"/>
      <c r="F529" s="14"/>
      <c r="G529" s="14"/>
      <c r="H529" s="14"/>
      <c r="I529" s="14"/>
      <c r="J529" s="14"/>
      <c r="K529" s="12"/>
    </row>
    <row r="530" ht="19.5" customHeight="1">
      <c r="A530" s="12"/>
      <c r="C530" s="12"/>
      <c r="D530" s="87"/>
      <c r="F530" s="14"/>
      <c r="G530" s="14"/>
      <c r="H530" s="14"/>
      <c r="I530" s="14"/>
      <c r="J530" s="14"/>
      <c r="K530" s="12"/>
    </row>
    <row r="531" ht="19.5" customHeight="1">
      <c r="A531" s="12"/>
      <c r="C531" s="12"/>
      <c r="D531" s="87"/>
      <c r="F531" s="14"/>
      <c r="G531" s="14"/>
      <c r="H531" s="14"/>
      <c r="I531" s="14"/>
      <c r="J531" s="14"/>
      <c r="K531" s="12"/>
    </row>
    <row r="532" ht="19.5" customHeight="1">
      <c r="A532" s="12"/>
      <c r="C532" s="12"/>
      <c r="D532" s="87"/>
      <c r="F532" s="14"/>
      <c r="G532" s="14"/>
      <c r="H532" s="14"/>
      <c r="I532" s="14"/>
      <c r="J532" s="14"/>
      <c r="K532" s="12"/>
    </row>
    <row r="533" ht="19.5" customHeight="1">
      <c r="A533" s="12"/>
      <c r="C533" s="12"/>
      <c r="D533" s="87"/>
      <c r="F533" s="14"/>
      <c r="G533" s="14"/>
      <c r="H533" s="14"/>
      <c r="I533" s="14"/>
      <c r="J533" s="14"/>
      <c r="K533" s="12"/>
    </row>
    <row r="534" ht="19.5" customHeight="1">
      <c r="A534" s="12"/>
      <c r="C534" s="12"/>
      <c r="D534" s="87"/>
      <c r="F534" s="14"/>
      <c r="G534" s="14"/>
      <c r="H534" s="14"/>
      <c r="I534" s="14"/>
      <c r="J534" s="14"/>
      <c r="K534" s="12"/>
    </row>
    <row r="535" ht="19.5" customHeight="1">
      <c r="A535" s="12"/>
      <c r="C535" s="12"/>
      <c r="D535" s="87"/>
      <c r="F535" s="14"/>
      <c r="G535" s="14"/>
      <c r="H535" s="14"/>
      <c r="I535" s="14"/>
      <c r="J535" s="14"/>
      <c r="K535" s="12"/>
    </row>
    <row r="536" ht="19.5" customHeight="1">
      <c r="A536" s="12"/>
      <c r="C536" s="12"/>
      <c r="D536" s="87"/>
      <c r="F536" s="14"/>
      <c r="G536" s="14"/>
      <c r="H536" s="14"/>
      <c r="I536" s="14"/>
      <c r="J536" s="14"/>
      <c r="K536" s="12"/>
    </row>
    <row r="537" ht="19.5" customHeight="1">
      <c r="A537" s="12"/>
      <c r="C537" s="12"/>
      <c r="D537" s="87"/>
      <c r="F537" s="14"/>
      <c r="G537" s="14"/>
      <c r="H537" s="14"/>
      <c r="I537" s="14"/>
      <c r="J537" s="14"/>
      <c r="K537" s="12"/>
    </row>
    <row r="538" ht="19.5" customHeight="1">
      <c r="A538" s="12"/>
      <c r="C538" s="12"/>
      <c r="D538" s="87"/>
      <c r="F538" s="14"/>
      <c r="G538" s="14"/>
      <c r="H538" s="14"/>
      <c r="I538" s="14"/>
      <c r="J538" s="14"/>
      <c r="K538" s="12"/>
    </row>
    <row r="539" ht="19.5" customHeight="1">
      <c r="A539" s="12"/>
      <c r="C539" s="12"/>
      <c r="D539" s="87"/>
      <c r="F539" s="14"/>
      <c r="G539" s="14"/>
      <c r="H539" s="14"/>
      <c r="I539" s="14"/>
      <c r="J539" s="14"/>
      <c r="K539" s="12"/>
    </row>
    <row r="540" ht="19.5" customHeight="1">
      <c r="A540" s="12"/>
      <c r="C540" s="12"/>
      <c r="D540" s="87"/>
      <c r="F540" s="14"/>
      <c r="G540" s="14"/>
      <c r="H540" s="14"/>
      <c r="I540" s="14"/>
      <c r="J540" s="14"/>
      <c r="K540" s="12"/>
    </row>
    <row r="541" ht="19.5" customHeight="1">
      <c r="A541" s="12"/>
      <c r="C541" s="12"/>
      <c r="D541" s="87"/>
      <c r="F541" s="14"/>
      <c r="G541" s="14"/>
      <c r="H541" s="14"/>
      <c r="I541" s="14"/>
      <c r="J541" s="14"/>
      <c r="K541" s="12"/>
    </row>
    <row r="542" ht="19.5" customHeight="1">
      <c r="A542" s="12"/>
      <c r="C542" s="12"/>
      <c r="D542" s="87"/>
      <c r="F542" s="14"/>
      <c r="G542" s="14"/>
      <c r="H542" s="14"/>
      <c r="I542" s="14"/>
      <c r="J542" s="14"/>
      <c r="K542" s="12"/>
    </row>
    <row r="543" ht="19.5" customHeight="1">
      <c r="A543" s="12"/>
      <c r="C543" s="12"/>
      <c r="D543" s="87"/>
      <c r="F543" s="14"/>
      <c r="G543" s="14"/>
      <c r="H543" s="14"/>
      <c r="I543" s="14"/>
      <c r="J543" s="14"/>
      <c r="K543" s="12"/>
    </row>
    <row r="544" ht="19.5" customHeight="1">
      <c r="A544" s="12"/>
      <c r="C544" s="12"/>
      <c r="D544" s="87"/>
      <c r="F544" s="14"/>
      <c r="G544" s="14"/>
      <c r="H544" s="14"/>
      <c r="I544" s="14"/>
      <c r="J544" s="14"/>
      <c r="K544" s="12"/>
    </row>
    <row r="545" ht="19.5" customHeight="1">
      <c r="A545" s="12"/>
      <c r="C545" s="12"/>
      <c r="D545" s="87"/>
      <c r="F545" s="14"/>
      <c r="G545" s="14"/>
      <c r="H545" s="14"/>
      <c r="I545" s="14"/>
      <c r="J545" s="14"/>
      <c r="K545" s="12"/>
    </row>
    <row r="546" ht="19.5" customHeight="1">
      <c r="A546" s="12"/>
      <c r="C546" s="12"/>
      <c r="D546" s="87"/>
      <c r="F546" s="14"/>
      <c r="G546" s="14"/>
      <c r="H546" s="14"/>
      <c r="I546" s="14"/>
      <c r="J546" s="14"/>
      <c r="K546" s="12"/>
    </row>
    <row r="547" ht="19.5" customHeight="1">
      <c r="A547" s="12"/>
      <c r="C547" s="12"/>
      <c r="D547" s="87"/>
      <c r="F547" s="14"/>
      <c r="G547" s="14"/>
      <c r="H547" s="14"/>
      <c r="I547" s="14"/>
      <c r="J547" s="14"/>
      <c r="K547" s="12"/>
    </row>
    <row r="548" ht="19.5" customHeight="1">
      <c r="A548" s="12"/>
      <c r="C548" s="12"/>
      <c r="D548" s="87"/>
      <c r="F548" s="14"/>
      <c r="G548" s="14"/>
      <c r="H548" s="14"/>
      <c r="I548" s="14"/>
      <c r="J548" s="14"/>
      <c r="K548" s="12"/>
    </row>
    <row r="549" ht="19.5" customHeight="1">
      <c r="A549" s="12"/>
      <c r="C549" s="12"/>
      <c r="D549" s="87"/>
      <c r="F549" s="14"/>
      <c r="G549" s="14"/>
      <c r="H549" s="14"/>
      <c r="I549" s="14"/>
      <c r="J549" s="14"/>
      <c r="K549" s="12"/>
    </row>
    <row r="550" ht="19.5" customHeight="1">
      <c r="A550" s="12"/>
      <c r="C550" s="12"/>
      <c r="D550" s="87"/>
      <c r="F550" s="14"/>
      <c r="G550" s="14"/>
      <c r="H550" s="14"/>
      <c r="I550" s="14"/>
      <c r="J550" s="14"/>
      <c r="K550" s="12"/>
    </row>
    <row r="551" ht="19.5" customHeight="1">
      <c r="A551" s="12"/>
      <c r="C551" s="12"/>
      <c r="D551" s="87"/>
      <c r="F551" s="14"/>
      <c r="G551" s="14"/>
      <c r="H551" s="14"/>
      <c r="I551" s="14"/>
      <c r="J551" s="14"/>
      <c r="K551" s="12"/>
    </row>
    <row r="552" ht="19.5" customHeight="1">
      <c r="A552" s="12"/>
      <c r="C552" s="12"/>
      <c r="D552" s="87"/>
      <c r="F552" s="14"/>
      <c r="G552" s="14"/>
      <c r="H552" s="14"/>
      <c r="I552" s="14"/>
      <c r="J552" s="14"/>
      <c r="K552" s="12"/>
    </row>
    <row r="553" ht="19.5" customHeight="1">
      <c r="A553" s="12"/>
      <c r="C553" s="12"/>
      <c r="D553" s="87"/>
      <c r="F553" s="14"/>
      <c r="G553" s="14"/>
      <c r="H553" s="14"/>
      <c r="I553" s="14"/>
      <c r="J553" s="14"/>
      <c r="K553" s="12"/>
    </row>
    <row r="554" ht="19.5" customHeight="1">
      <c r="A554" s="12"/>
      <c r="C554" s="12"/>
      <c r="D554" s="87"/>
      <c r="F554" s="14"/>
      <c r="G554" s="14"/>
      <c r="H554" s="14"/>
      <c r="I554" s="14"/>
      <c r="J554" s="14"/>
      <c r="K554" s="12"/>
    </row>
    <row r="555" ht="19.5" customHeight="1">
      <c r="A555" s="12"/>
      <c r="C555" s="12"/>
      <c r="D555" s="87"/>
      <c r="F555" s="14"/>
      <c r="G555" s="14"/>
      <c r="H555" s="14"/>
      <c r="I555" s="14"/>
      <c r="J555" s="14"/>
      <c r="K555" s="12"/>
    </row>
    <row r="556" ht="19.5" customHeight="1">
      <c r="A556" s="12"/>
      <c r="C556" s="12"/>
      <c r="D556" s="87"/>
      <c r="F556" s="14"/>
      <c r="G556" s="14"/>
      <c r="H556" s="14"/>
      <c r="I556" s="14"/>
      <c r="J556" s="14"/>
      <c r="K556" s="12"/>
    </row>
    <row r="557" ht="19.5" customHeight="1">
      <c r="A557" s="12"/>
      <c r="C557" s="12"/>
      <c r="D557" s="87"/>
      <c r="F557" s="14"/>
      <c r="G557" s="14"/>
      <c r="H557" s="14"/>
      <c r="I557" s="14"/>
      <c r="J557" s="14"/>
      <c r="K557" s="12"/>
    </row>
    <row r="558" ht="19.5" customHeight="1">
      <c r="A558" s="12"/>
      <c r="C558" s="12"/>
      <c r="D558" s="87"/>
      <c r="F558" s="14"/>
      <c r="G558" s="14"/>
      <c r="H558" s="14"/>
      <c r="I558" s="14"/>
      <c r="J558" s="14"/>
      <c r="K558" s="12"/>
    </row>
    <row r="559" ht="19.5" customHeight="1">
      <c r="A559" s="12"/>
      <c r="C559" s="12"/>
      <c r="D559" s="87"/>
      <c r="F559" s="14"/>
      <c r="G559" s="14"/>
      <c r="H559" s="14"/>
      <c r="I559" s="14"/>
      <c r="J559" s="14"/>
      <c r="K559" s="12"/>
    </row>
    <row r="560" ht="19.5" customHeight="1">
      <c r="A560" s="12"/>
      <c r="C560" s="12"/>
      <c r="D560" s="87"/>
      <c r="F560" s="14"/>
      <c r="G560" s="14"/>
      <c r="H560" s="14"/>
      <c r="I560" s="14"/>
      <c r="J560" s="14"/>
      <c r="K560" s="12"/>
    </row>
    <row r="561" ht="19.5" customHeight="1">
      <c r="A561" s="12"/>
      <c r="C561" s="12"/>
      <c r="D561" s="87"/>
      <c r="F561" s="14"/>
      <c r="G561" s="14"/>
      <c r="H561" s="14"/>
      <c r="I561" s="14"/>
      <c r="J561" s="14"/>
      <c r="K561" s="12"/>
    </row>
    <row r="562" ht="19.5" customHeight="1">
      <c r="A562" s="12"/>
      <c r="C562" s="12"/>
      <c r="D562" s="87"/>
      <c r="F562" s="14"/>
      <c r="G562" s="14"/>
      <c r="H562" s="14"/>
      <c r="I562" s="14"/>
      <c r="J562" s="14"/>
      <c r="K562" s="12"/>
    </row>
    <row r="563" ht="19.5" customHeight="1">
      <c r="A563" s="12"/>
      <c r="C563" s="12"/>
      <c r="D563" s="87"/>
      <c r="F563" s="14"/>
      <c r="G563" s="14"/>
      <c r="H563" s="14"/>
      <c r="I563" s="14"/>
      <c r="J563" s="14"/>
      <c r="K563" s="12"/>
    </row>
    <row r="564" ht="19.5" customHeight="1">
      <c r="A564" s="12"/>
      <c r="C564" s="12"/>
      <c r="D564" s="87"/>
      <c r="F564" s="14"/>
      <c r="G564" s="14"/>
      <c r="H564" s="14"/>
      <c r="I564" s="14"/>
      <c r="J564" s="14"/>
      <c r="K564" s="12"/>
    </row>
    <row r="565" ht="19.5" customHeight="1">
      <c r="A565" s="12"/>
      <c r="C565" s="12"/>
      <c r="D565" s="87"/>
      <c r="F565" s="14"/>
      <c r="G565" s="14"/>
      <c r="H565" s="14"/>
      <c r="I565" s="14"/>
      <c r="J565" s="14"/>
      <c r="K565" s="12"/>
    </row>
    <row r="566" ht="19.5" customHeight="1">
      <c r="A566" s="12"/>
      <c r="C566" s="12"/>
      <c r="D566" s="87"/>
      <c r="F566" s="14"/>
      <c r="G566" s="14"/>
      <c r="H566" s="14"/>
      <c r="I566" s="14"/>
      <c r="J566" s="14"/>
      <c r="K566" s="12"/>
    </row>
    <row r="567" ht="19.5" customHeight="1">
      <c r="A567" s="12"/>
      <c r="C567" s="12"/>
      <c r="D567" s="87"/>
      <c r="F567" s="14"/>
      <c r="G567" s="14"/>
      <c r="H567" s="14"/>
      <c r="I567" s="14"/>
      <c r="J567" s="14"/>
      <c r="K567" s="12"/>
    </row>
    <row r="568" ht="19.5" customHeight="1">
      <c r="A568" s="12"/>
      <c r="C568" s="12"/>
      <c r="D568" s="87"/>
      <c r="F568" s="14"/>
      <c r="G568" s="14"/>
      <c r="H568" s="14"/>
      <c r="I568" s="14"/>
      <c r="J568" s="14"/>
      <c r="K568" s="12"/>
    </row>
    <row r="569" ht="19.5" customHeight="1">
      <c r="A569" s="12"/>
      <c r="C569" s="12"/>
      <c r="D569" s="87"/>
      <c r="F569" s="14"/>
      <c r="G569" s="14"/>
      <c r="H569" s="14"/>
      <c r="I569" s="14"/>
      <c r="J569" s="14"/>
      <c r="K569" s="12"/>
    </row>
    <row r="570" ht="19.5" customHeight="1">
      <c r="A570" s="12"/>
      <c r="C570" s="12"/>
      <c r="D570" s="87"/>
      <c r="F570" s="14"/>
      <c r="G570" s="14"/>
      <c r="H570" s="14"/>
      <c r="I570" s="14"/>
      <c r="J570" s="14"/>
      <c r="K570" s="12"/>
    </row>
    <row r="571" ht="19.5" customHeight="1">
      <c r="A571" s="12"/>
      <c r="C571" s="12"/>
      <c r="D571" s="87"/>
      <c r="F571" s="14"/>
      <c r="G571" s="14"/>
      <c r="H571" s="14"/>
      <c r="I571" s="14"/>
      <c r="J571" s="14"/>
      <c r="K571" s="12"/>
    </row>
    <row r="572" ht="19.5" customHeight="1">
      <c r="A572" s="12"/>
      <c r="C572" s="12"/>
      <c r="D572" s="87"/>
      <c r="F572" s="14"/>
      <c r="G572" s="14"/>
      <c r="H572" s="14"/>
      <c r="I572" s="14"/>
      <c r="J572" s="14"/>
      <c r="K572" s="12"/>
    </row>
    <row r="573" ht="19.5" customHeight="1">
      <c r="A573" s="12"/>
      <c r="C573" s="12"/>
      <c r="D573" s="87"/>
      <c r="F573" s="14"/>
      <c r="G573" s="14"/>
      <c r="H573" s="14"/>
      <c r="I573" s="14"/>
      <c r="J573" s="14"/>
      <c r="K573" s="12"/>
    </row>
    <row r="574" ht="19.5" customHeight="1">
      <c r="A574" s="12"/>
      <c r="C574" s="12"/>
      <c r="D574" s="87"/>
      <c r="F574" s="14"/>
      <c r="G574" s="14"/>
      <c r="H574" s="14"/>
      <c r="I574" s="14"/>
      <c r="J574" s="14"/>
      <c r="K574" s="12"/>
    </row>
    <row r="575" ht="19.5" customHeight="1">
      <c r="A575" s="12"/>
      <c r="C575" s="12"/>
      <c r="D575" s="87"/>
      <c r="F575" s="14"/>
      <c r="G575" s="14"/>
      <c r="H575" s="14"/>
      <c r="I575" s="14"/>
      <c r="J575" s="14"/>
      <c r="K575" s="12"/>
    </row>
    <row r="576" ht="19.5" customHeight="1">
      <c r="A576" s="12"/>
      <c r="C576" s="12"/>
      <c r="D576" s="87"/>
      <c r="F576" s="14"/>
      <c r="G576" s="14"/>
      <c r="H576" s="14"/>
      <c r="I576" s="14"/>
      <c r="J576" s="14"/>
      <c r="K576" s="12"/>
    </row>
    <row r="577" ht="19.5" customHeight="1">
      <c r="A577" s="12"/>
      <c r="C577" s="12"/>
      <c r="D577" s="87"/>
      <c r="F577" s="14"/>
      <c r="G577" s="14"/>
      <c r="H577" s="14"/>
      <c r="I577" s="14"/>
      <c r="J577" s="14"/>
      <c r="K577" s="12"/>
    </row>
    <row r="578" ht="19.5" customHeight="1">
      <c r="A578" s="12"/>
      <c r="C578" s="12"/>
      <c r="D578" s="87"/>
      <c r="F578" s="14"/>
      <c r="G578" s="14"/>
      <c r="H578" s="14"/>
      <c r="I578" s="14"/>
      <c r="J578" s="14"/>
      <c r="K578" s="12"/>
    </row>
    <row r="579" ht="19.5" customHeight="1">
      <c r="A579" s="12"/>
      <c r="C579" s="12"/>
      <c r="D579" s="87"/>
      <c r="F579" s="14"/>
      <c r="G579" s="14"/>
      <c r="H579" s="14"/>
      <c r="I579" s="14"/>
      <c r="J579" s="14"/>
      <c r="K579" s="12"/>
    </row>
    <row r="580" ht="19.5" customHeight="1">
      <c r="A580" s="12"/>
      <c r="C580" s="12"/>
      <c r="D580" s="87"/>
      <c r="F580" s="14"/>
      <c r="G580" s="14"/>
      <c r="H580" s="14"/>
      <c r="I580" s="14"/>
      <c r="J580" s="14"/>
      <c r="K580" s="12"/>
    </row>
    <row r="581" ht="19.5" customHeight="1">
      <c r="A581" s="12"/>
      <c r="C581" s="12"/>
      <c r="D581" s="87"/>
      <c r="F581" s="14"/>
      <c r="G581" s="14"/>
      <c r="H581" s="14"/>
      <c r="I581" s="14"/>
      <c r="J581" s="14"/>
      <c r="K581" s="12"/>
    </row>
    <row r="582" ht="19.5" customHeight="1">
      <c r="A582" s="12"/>
      <c r="C582" s="12"/>
      <c r="D582" s="87"/>
      <c r="F582" s="14"/>
      <c r="G582" s="14"/>
      <c r="H582" s="14"/>
      <c r="I582" s="14"/>
      <c r="J582" s="14"/>
      <c r="K582" s="12"/>
    </row>
    <row r="583" ht="19.5" customHeight="1">
      <c r="A583" s="12"/>
      <c r="C583" s="12"/>
      <c r="D583" s="87"/>
      <c r="F583" s="14"/>
      <c r="G583" s="14"/>
      <c r="H583" s="14"/>
      <c r="I583" s="14"/>
      <c r="J583" s="14"/>
      <c r="K583" s="12"/>
    </row>
    <row r="584" ht="19.5" customHeight="1">
      <c r="A584" s="12"/>
      <c r="C584" s="12"/>
      <c r="D584" s="87"/>
      <c r="F584" s="14"/>
      <c r="G584" s="14"/>
      <c r="H584" s="14"/>
      <c r="I584" s="14"/>
      <c r="J584" s="14"/>
      <c r="K584" s="12"/>
    </row>
    <row r="585" ht="19.5" customHeight="1">
      <c r="A585" s="12"/>
      <c r="C585" s="12"/>
      <c r="D585" s="87"/>
      <c r="F585" s="14"/>
      <c r="G585" s="14"/>
      <c r="H585" s="14"/>
      <c r="I585" s="14"/>
      <c r="J585" s="14"/>
      <c r="K585" s="12"/>
    </row>
    <row r="586" ht="19.5" customHeight="1">
      <c r="A586" s="12"/>
      <c r="C586" s="12"/>
      <c r="D586" s="87"/>
      <c r="F586" s="14"/>
      <c r="G586" s="14"/>
      <c r="H586" s="14"/>
      <c r="I586" s="14"/>
      <c r="J586" s="14"/>
      <c r="K586" s="12"/>
    </row>
    <row r="587" ht="19.5" customHeight="1">
      <c r="A587" s="12"/>
      <c r="C587" s="12"/>
      <c r="D587" s="87"/>
      <c r="F587" s="14"/>
      <c r="G587" s="14"/>
      <c r="H587" s="14"/>
      <c r="I587" s="14"/>
      <c r="J587" s="14"/>
      <c r="K587" s="12"/>
    </row>
    <row r="588" ht="19.5" customHeight="1">
      <c r="A588" s="12"/>
      <c r="C588" s="12"/>
      <c r="D588" s="87"/>
      <c r="F588" s="14"/>
      <c r="G588" s="14"/>
      <c r="H588" s="14"/>
      <c r="I588" s="14"/>
      <c r="J588" s="14"/>
      <c r="K588" s="12"/>
    </row>
    <row r="589" ht="19.5" customHeight="1">
      <c r="A589" s="12"/>
      <c r="C589" s="12"/>
      <c r="D589" s="87"/>
      <c r="F589" s="14"/>
      <c r="G589" s="14"/>
      <c r="H589" s="14"/>
      <c r="I589" s="14"/>
      <c r="J589" s="14"/>
      <c r="K589" s="12"/>
    </row>
    <row r="590" ht="19.5" customHeight="1">
      <c r="A590" s="12"/>
      <c r="C590" s="12"/>
      <c r="D590" s="87"/>
      <c r="F590" s="14"/>
      <c r="G590" s="14"/>
      <c r="H590" s="14"/>
      <c r="I590" s="14"/>
      <c r="J590" s="14"/>
      <c r="K590" s="12"/>
    </row>
    <row r="591" ht="19.5" customHeight="1">
      <c r="A591" s="12"/>
      <c r="C591" s="12"/>
      <c r="D591" s="87"/>
      <c r="F591" s="14"/>
      <c r="G591" s="14"/>
      <c r="H591" s="14"/>
      <c r="I591" s="14"/>
      <c r="J591" s="14"/>
      <c r="K591" s="12"/>
    </row>
    <row r="592" ht="19.5" customHeight="1">
      <c r="A592" s="12"/>
      <c r="C592" s="12"/>
      <c r="D592" s="87"/>
      <c r="F592" s="14"/>
      <c r="G592" s="14"/>
      <c r="H592" s="14"/>
      <c r="I592" s="14"/>
      <c r="J592" s="14"/>
      <c r="K592" s="12"/>
    </row>
    <row r="593" ht="19.5" customHeight="1">
      <c r="A593" s="12"/>
      <c r="C593" s="12"/>
      <c r="D593" s="87"/>
      <c r="F593" s="14"/>
      <c r="G593" s="14"/>
      <c r="H593" s="14"/>
      <c r="I593" s="14"/>
      <c r="J593" s="14"/>
      <c r="K593" s="12"/>
    </row>
    <row r="594" ht="19.5" customHeight="1">
      <c r="A594" s="12"/>
      <c r="C594" s="12"/>
      <c r="D594" s="87"/>
      <c r="F594" s="14"/>
      <c r="G594" s="14"/>
      <c r="H594" s="14"/>
      <c r="I594" s="14"/>
      <c r="J594" s="14"/>
      <c r="K594" s="12"/>
    </row>
    <row r="595" ht="19.5" customHeight="1">
      <c r="A595" s="12"/>
      <c r="C595" s="12"/>
      <c r="D595" s="87"/>
      <c r="F595" s="14"/>
      <c r="G595" s="14"/>
      <c r="H595" s="14"/>
      <c r="I595" s="14"/>
      <c r="J595" s="14"/>
      <c r="K595" s="12"/>
    </row>
    <row r="596" ht="19.5" customHeight="1">
      <c r="A596" s="12"/>
      <c r="C596" s="12"/>
      <c r="D596" s="87"/>
      <c r="F596" s="14"/>
      <c r="G596" s="14"/>
      <c r="H596" s="14"/>
      <c r="I596" s="14"/>
      <c r="J596" s="14"/>
      <c r="K596" s="12"/>
    </row>
    <row r="597" ht="19.5" customHeight="1">
      <c r="A597" s="12"/>
      <c r="C597" s="12"/>
      <c r="D597" s="87"/>
      <c r="F597" s="14"/>
      <c r="G597" s="14"/>
      <c r="H597" s="14"/>
      <c r="I597" s="14"/>
      <c r="J597" s="14"/>
      <c r="K597" s="12"/>
    </row>
    <row r="598" ht="19.5" customHeight="1">
      <c r="A598" s="12"/>
      <c r="C598" s="12"/>
      <c r="D598" s="87"/>
      <c r="F598" s="14"/>
      <c r="G598" s="14"/>
      <c r="H598" s="14"/>
      <c r="I598" s="14"/>
      <c r="J598" s="14"/>
      <c r="K598" s="12"/>
    </row>
    <row r="599" ht="19.5" customHeight="1">
      <c r="A599" s="12"/>
      <c r="C599" s="12"/>
      <c r="D599" s="87"/>
      <c r="F599" s="14"/>
      <c r="G599" s="14"/>
      <c r="H599" s="14"/>
      <c r="I599" s="14"/>
      <c r="J599" s="14"/>
      <c r="K599" s="12"/>
    </row>
    <row r="600" ht="19.5" customHeight="1">
      <c r="A600" s="12"/>
      <c r="C600" s="12"/>
      <c r="D600" s="87"/>
      <c r="F600" s="14"/>
      <c r="G600" s="14"/>
      <c r="H600" s="14"/>
      <c r="I600" s="14"/>
      <c r="J600" s="14"/>
      <c r="K600" s="12"/>
    </row>
    <row r="601" ht="19.5" customHeight="1">
      <c r="A601" s="12"/>
      <c r="C601" s="12"/>
      <c r="D601" s="87"/>
      <c r="F601" s="14"/>
      <c r="G601" s="14"/>
      <c r="H601" s="14"/>
      <c r="I601" s="14"/>
      <c r="J601" s="14"/>
      <c r="K601" s="12"/>
    </row>
    <row r="602" ht="19.5" customHeight="1">
      <c r="A602" s="12"/>
      <c r="C602" s="12"/>
      <c r="D602" s="87"/>
      <c r="F602" s="14"/>
      <c r="G602" s="14"/>
      <c r="H602" s="14"/>
      <c r="I602" s="14"/>
      <c r="J602" s="14"/>
      <c r="K602" s="12"/>
    </row>
    <row r="603" ht="19.5" customHeight="1">
      <c r="A603" s="12"/>
      <c r="C603" s="12"/>
      <c r="D603" s="87"/>
      <c r="F603" s="14"/>
      <c r="G603" s="14"/>
      <c r="H603" s="14"/>
      <c r="I603" s="14"/>
      <c r="J603" s="14"/>
      <c r="K603" s="12"/>
    </row>
    <row r="604" ht="19.5" customHeight="1">
      <c r="A604" s="12"/>
      <c r="C604" s="12"/>
      <c r="D604" s="87"/>
      <c r="F604" s="14"/>
      <c r="G604" s="14"/>
      <c r="H604" s="14"/>
      <c r="I604" s="14"/>
      <c r="J604" s="14"/>
      <c r="K604" s="12"/>
    </row>
    <row r="605" ht="19.5" customHeight="1">
      <c r="A605" s="12"/>
      <c r="C605" s="12"/>
      <c r="D605" s="87"/>
      <c r="F605" s="14"/>
      <c r="G605" s="14"/>
      <c r="H605" s="14"/>
      <c r="I605" s="14"/>
      <c r="J605" s="14"/>
      <c r="K605" s="12"/>
    </row>
    <row r="606" ht="19.5" customHeight="1">
      <c r="A606" s="12"/>
      <c r="C606" s="12"/>
      <c r="D606" s="87"/>
      <c r="F606" s="14"/>
      <c r="G606" s="14"/>
      <c r="H606" s="14"/>
      <c r="I606" s="14"/>
      <c r="J606" s="14"/>
      <c r="K606" s="12"/>
    </row>
    <row r="607" ht="19.5" customHeight="1">
      <c r="A607" s="12"/>
      <c r="C607" s="12"/>
      <c r="D607" s="87"/>
      <c r="F607" s="14"/>
      <c r="G607" s="14"/>
      <c r="H607" s="14"/>
      <c r="I607" s="14"/>
      <c r="J607" s="14"/>
      <c r="K607" s="12"/>
    </row>
    <row r="608" ht="19.5" customHeight="1">
      <c r="A608" s="12"/>
      <c r="C608" s="12"/>
      <c r="D608" s="87"/>
      <c r="F608" s="14"/>
      <c r="G608" s="14"/>
      <c r="H608" s="14"/>
      <c r="I608" s="14"/>
      <c r="J608" s="14"/>
      <c r="K608" s="12"/>
    </row>
    <row r="609" ht="19.5" customHeight="1">
      <c r="A609" s="12"/>
      <c r="C609" s="12"/>
      <c r="D609" s="87"/>
      <c r="F609" s="14"/>
      <c r="G609" s="14"/>
      <c r="H609" s="14"/>
      <c r="I609" s="14"/>
      <c r="J609" s="14"/>
      <c r="K609" s="12"/>
    </row>
    <row r="610" ht="19.5" customHeight="1">
      <c r="A610" s="12"/>
      <c r="C610" s="12"/>
      <c r="D610" s="87"/>
      <c r="F610" s="14"/>
      <c r="G610" s="14"/>
      <c r="H610" s="14"/>
      <c r="I610" s="14"/>
      <c r="J610" s="14"/>
      <c r="K610" s="12"/>
    </row>
    <row r="611" ht="19.5" customHeight="1">
      <c r="A611" s="12"/>
      <c r="C611" s="12"/>
      <c r="D611" s="87"/>
      <c r="F611" s="14"/>
      <c r="G611" s="14"/>
      <c r="H611" s="14"/>
      <c r="I611" s="14"/>
      <c r="J611" s="14"/>
      <c r="K611" s="12"/>
    </row>
    <row r="612" ht="19.5" customHeight="1">
      <c r="A612" s="12"/>
      <c r="C612" s="12"/>
      <c r="D612" s="87"/>
      <c r="F612" s="14"/>
      <c r="G612" s="14"/>
      <c r="H612" s="14"/>
      <c r="I612" s="14"/>
      <c r="J612" s="14"/>
      <c r="K612" s="12"/>
    </row>
    <row r="613" ht="19.5" customHeight="1">
      <c r="A613" s="12"/>
      <c r="C613" s="12"/>
      <c r="D613" s="87"/>
      <c r="F613" s="14"/>
      <c r="G613" s="14"/>
      <c r="H613" s="14"/>
      <c r="I613" s="14"/>
      <c r="J613" s="14"/>
      <c r="K613" s="12"/>
    </row>
    <row r="614" ht="19.5" customHeight="1">
      <c r="A614" s="12"/>
      <c r="C614" s="12"/>
      <c r="D614" s="87"/>
      <c r="F614" s="14"/>
      <c r="G614" s="14"/>
      <c r="H614" s="14"/>
      <c r="I614" s="14"/>
      <c r="J614" s="14"/>
      <c r="K614" s="12"/>
    </row>
    <row r="615" ht="19.5" customHeight="1">
      <c r="A615" s="12"/>
      <c r="C615" s="12"/>
      <c r="D615" s="87"/>
      <c r="F615" s="14"/>
      <c r="G615" s="14"/>
      <c r="H615" s="14"/>
      <c r="I615" s="14"/>
      <c r="J615" s="14"/>
      <c r="K615" s="12"/>
    </row>
    <row r="616" ht="19.5" customHeight="1">
      <c r="A616" s="12"/>
      <c r="C616" s="12"/>
      <c r="D616" s="87"/>
      <c r="F616" s="14"/>
      <c r="G616" s="14"/>
      <c r="H616" s="14"/>
      <c r="I616" s="14"/>
      <c r="J616" s="14"/>
      <c r="K616" s="12"/>
    </row>
    <row r="617" ht="19.5" customHeight="1">
      <c r="A617" s="12"/>
      <c r="C617" s="12"/>
      <c r="D617" s="87"/>
      <c r="F617" s="14"/>
      <c r="G617" s="14"/>
      <c r="H617" s="14"/>
      <c r="I617" s="14"/>
      <c r="J617" s="14"/>
      <c r="K617" s="12"/>
    </row>
    <row r="618" ht="19.5" customHeight="1">
      <c r="A618" s="12"/>
      <c r="C618" s="12"/>
      <c r="D618" s="87"/>
      <c r="F618" s="14"/>
      <c r="G618" s="14"/>
      <c r="H618" s="14"/>
      <c r="I618" s="14"/>
      <c r="J618" s="14"/>
      <c r="K618" s="12"/>
    </row>
    <row r="619" ht="19.5" customHeight="1">
      <c r="A619" s="12"/>
      <c r="C619" s="12"/>
      <c r="D619" s="87"/>
      <c r="F619" s="14"/>
      <c r="G619" s="14"/>
      <c r="H619" s="14"/>
      <c r="I619" s="14"/>
      <c r="J619" s="14"/>
      <c r="K619" s="12"/>
    </row>
    <row r="620" ht="19.5" customHeight="1">
      <c r="A620" s="12"/>
      <c r="C620" s="12"/>
      <c r="D620" s="87"/>
      <c r="F620" s="14"/>
      <c r="G620" s="14"/>
      <c r="H620" s="14"/>
      <c r="I620" s="14"/>
      <c r="J620" s="14"/>
      <c r="K620" s="12"/>
    </row>
    <row r="621" ht="19.5" customHeight="1">
      <c r="A621" s="12"/>
      <c r="C621" s="12"/>
      <c r="D621" s="87"/>
      <c r="F621" s="14"/>
      <c r="G621" s="14"/>
      <c r="H621" s="14"/>
      <c r="I621" s="14"/>
      <c r="J621" s="14"/>
      <c r="K621" s="12"/>
    </row>
    <row r="622" ht="19.5" customHeight="1">
      <c r="A622" s="12"/>
      <c r="C622" s="12"/>
      <c r="D622" s="87"/>
      <c r="F622" s="14"/>
      <c r="G622" s="14"/>
      <c r="H622" s="14"/>
      <c r="I622" s="14"/>
      <c r="J622" s="14"/>
      <c r="K622" s="12"/>
    </row>
    <row r="623" ht="19.5" customHeight="1">
      <c r="A623" s="12"/>
      <c r="C623" s="12"/>
      <c r="D623" s="87"/>
      <c r="F623" s="14"/>
      <c r="G623" s="14"/>
      <c r="H623" s="14"/>
      <c r="I623" s="14"/>
      <c r="J623" s="14"/>
      <c r="K623" s="12"/>
    </row>
    <row r="624" ht="19.5" customHeight="1">
      <c r="A624" s="12"/>
      <c r="C624" s="12"/>
      <c r="D624" s="87"/>
      <c r="F624" s="14"/>
      <c r="G624" s="14"/>
      <c r="H624" s="14"/>
      <c r="I624" s="14"/>
      <c r="J624" s="14"/>
      <c r="K624" s="12"/>
    </row>
    <row r="625" ht="19.5" customHeight="1">
      <c r="A625" s="12"/>
      <c r="C625" s="12"/>
      <c r="D625" s="87"/>
      <c r="F625" s="14"/>
      <c r="G625" s="14"/>
      <c r="H625" s="14"/>
      <c r="I625" s="14"/>
      <c r="J625" s="14"/>
      <c r="K625" s="12"/>
    </row>
    <row r="626" ht="19.5" customHeight="1">
      <c r="A626" s="12"/>
      <c r="C626" s="12"/>
      <c r="D626" s="87"/>
      <c r="F626" s="14"/>
      <c r="G626" s="14"/>
      <c r="H626" s="14"/>
      <c r="I626" s="14"/>
      <c r="J626" s="14"/>
      <c r="K626" s="12"/>
    </row>
    <row r="627" ht="19.5" customHeight="1">
      <c r="A627" s="12"/>
      <c r="C627" s="12"/>
      <c r="D627" s="87"/>
      <c r="F627" s="14"/>
      <c r="G627" s="14"/>
      <c r="H627" s="14"/>
      <c r="I627" s="14"/>
      <c r="J627" s="14"/>
      <c r="K627" s="12"/>
    </row>
    <row r="628" ht="19.5" customHeight="1">
      <c r="A628" s="12"/>
      <c r="C628" s="12"/>
      <c r="D628" s="87"/>
      <c r="F628" s="14"/>
      <c r="G628" s="14"/>
      <c r="H628" s="14"/>
      <c r="I628" s="14"/>
      <c r="J628" s="14"/>
      <c r="K628" s="12"/>
    </row>
    <row r="629" ht="19.5" customHeight="1">
      <c r="A629" s="12"/>
      <c r="C629" s="12"/>
      <c r="D629" s="87"/>
      <c r="F629" s="14"/>
      <c r="G629" s="14"/>
      <c r="H629" s="14"/>
      <c r="I629" s="14"/>
      <c r="J629" s="14"/>
      <c r="K629" s="12"/>
    </row>
    <row r="630" ht="19.5" customHeight="1">
      <c r="A630" s="12"/>
      <c r="C630" s="12"/>
      <c r="D630" s="87"/>
      <c r="F630" s="14"/>
      <c r="G630" s="14"/>
      <c r="H630" s="14"/>
      <c r="I630" s="14"/>
      <c r="J630" s="14"/>
      <c r="K630" s="12"/>
    </row>
    <row r="631" ht="19.5" customHeight="1">
      <c r="A631" s="12"/>
      <c r="C631" s="12"/>
      <c r="D631" s="87"/>
      <c r="F631" s="14"/>
      <c r="G631" s="14"/>
      <c r="H631" s="14"/>
      <c r="I631" s="14"/>
      <c r="J631" s="14"/>
      <c r="K631" s="12"/>
    </row>
    <row r="632" ht="19.5" customHeight="1">
      <c r="A632" s="12"/>
      <c r="C632" s="12"/>
      <c r="D632" s="87"/>
      <c r="F632" s="14"/>
      <c r="G632" s="14"/>
      <c r="H632" s="14"/>
      <c r="I632" s="14"/>
      <c r="J632" s="14"/>
      <c r="K632" s="12"/>
    </row>
    <row r="633" ht="19.5" customHeight="1">
      <c r="A633" s="12"/>
      <c r="C633" s="12"/>
      <c r="D633" s="87"/>
      <c r="F633" s="14"/>
      <c r="G633" s="14"/>
      <c r="H633" s="14"/>
      <c r="I633" s="14"/>
      <c r="J633" s="14"/>
      <c r="K633" s="12"/>
    </row>
    <row r="634" ht="19.5" customHeight="1">
      <c r="A634" s="12"/>
      <c r="C634" s="12"/>
      <c r="D634" s="87"/>
      <c r="F634" s="14"/>
      <c r="G634" s="14"/>
      <c r="H634" s="14"/>
      <c r="I634" s="14"/>
      <c r="J634" s="14"/>
      <c r="K634" s="12"/>
    </row>
    <row r="635" ht="19.5" customHeight="1">
      <c r="A635" s="12"/>
      <c r="C635" s="12"/>
      <c r="D635" s="87"/>
      <c r="F635" s="14"/>
      <c r="G635" s="14"/>
      <c r="H635" s="14"/>
      <c r="I635" s="14"/>
      <c r="J635" s="14"/>
      <c r="K635" s="12"/>
    </row>
    <row r="636" ht="19.5" customHeight="1">
      <c r="A636" s="12"/>
      <c r="C636" s="12"/>
      <c r="D636" s="87"/>
      <c r="F636" s="14"/>
      <c r="G636" s="14"/>
      <c r="H636" s="14"/>
      <c r="I636" s="14"/>
      <c r="J636" s="14"/>
      <c r="K636" s="12"/>
    </row>
    <row r="637" ht="19.5" customHeight="1">
      <c r="A637" s="12"/>
      <c r="C637" s="12"/>
      <c r="D637" s="87"/>
      <c r="F637" s="14"/>
      <c r="G637" s="14"/>
      <c r="H637" s="14"/>
      <c r="I637" s="14"/>
      <c r="J637" s="14"/>
      <c r="K637" s="12"/>
    </row>
    <row r="638" ht="19.5" customHeight="1">
      <c r="A638" s="12"/>
      <c r="C638" s="12"/>
      <c r="D638" s="87"/>
      <c r="F638" s="14"/>
      <c r="G638" s="14"/>
      <c r="H638" s="14"/>
      <c r="I638" s="14"/>
      <c r="J638" s="14"/>
      <c r="K638" s="12"/>
    </row>
    <row r="639" ht="19.5" customHeight="1">
      <c r="A639" s="12"/>
      <c r="C639" s="12"/>
      <c r="D639" s="87"/>
      <c r="F639" s="14"/>
      <c r="G639" s="14"/>
      <c r="H639" s="14"/>
      <c r="I639" s="14"/>
      <c r="J639" s="14"/>
      <c r="K639" s="12"/>
    </row>
    <row r="640" ht="19.5" customHeight="1">
      <c r="A640" s="12"/>
      <c r="C640" s="12"/>
      <c r="D640" s="87"/>
      <c r="F640" s="14"/>
      <c r="G640" s="14"/>
      <c r="H640" s="14"/>
      <c r="I640" s="14"/>
      <c r="J640" s="14"/>
      <c r="K640" s="12"/>
    </row>
    <row r="641" ht="19.5" customHeight="1">
      <c r="A641" s="12"/>
      <c r="C641" s="12"/>
      <c r="D641" s="87"/>
      <c r="F641" s="14"/>
      <c r="G641" s="14"/>
      <c r="H641" s="14"/>
      <c r="I641" s="14"/>
      <c r="J641" s="14"/>
      <c r="K641" s="12"/>
    </row>
    <row r="642" ht="19.5" customHeight="1">
      <c r="A642" s="12"/>
      <c r="C642" s="12"/>
      <c r="D642" s="87"/>
      <c r="F642" s="14"/>
      <c r="G642" s="14"/>
      <c r="H642" s="14"/>
      <c r="I642" s="14"/>
      <c r="J642" s="14"/>
      <c r="K642" s="12"/>
    </row>
    <row r="643" ht="19.5" customHeight="1">
      <c r="A643" s="12"/>
      <c r="C643" s="12"/>
      <c r="D643" s="87"/>
      <c r="F643" s="14"/>
      <c r="G643" s="14"/>
      <c r="H643" s="14"/>
      <c r="I643" s="14"/>
      <c r="J643" s="14"/>
      <c r="K643" s="12"/>
    </row>
    <row r="644" ht="19.5" customHeight="1">
      <c r="A644" s="12"/>
      <c r="C644" s="12"/>
      <c r="D644" s="87"/>
      <c r="F644" s="14"/>
      <c r="G644" s="14"/>
      <c r="H644" s="14"/>
      <c r="I644" s="14"/>
      <c r="J644" s="14"/>
      <c r="K644" s="12"/>
    </row>
    <row r="645" ht="19.5" customHeight="1">
      <c r="A645" s="12"/>
      <c r="C645" s="12"/>
      <c r="D645" s="87"/>
      <c r="F645" s="14"/>
      <c r="G645" s="14"/>
      <c r="H645" s="14"/>
      <c r="I645" s="14"/>
      <c r="J645" s="14"/>
      <c r="K645" s="12"/>
    </row>
    <row r="646" ht="19.5" customHeight="1">
      <c r="A646" s="12"/>
      <c r="C646" s="12"/>
      <c r="D646" s="87"/>
      <c r="F646" s="14"/>
      <c r="G646" s="14"/>
      <c r="H646" s="14"/>
      <c r="I646" s="14"/>
      <c r="J646" s="14"/>
      <c r="K646" s="12"/>
    </row>
    <row r="647" ht="19.5" customHeight="1">
      <c r="A647" s="12"/>
      <c r="C647" s="12"/>
      <c r="D647" s="87"/>
      <c r="F647" s="14"/>
      <c r="G647" s="14"/>
      <c r="H647" s="14"/>
      <c r="I647" s="14"/>
      <c r="J647" s="14"/>
      <c r="K647" s="12"/>
    </row>
    <row r="648" ht="19.5" customHeight="1">
      <c r="A648" s="12"/>
      <c r="C648" s="12"/>
      <c r="D648" s="87"/>
      <c r="F648" s="14"/>
      <c r="G648" s="14"/>
      <c r="H648" s="14"/>
      <c r="I648" s="14"/>
      <c r="J648" s="14"/>
      <c r="K648" s="12"/>
    </row>
    <row r="649" ht="19.5" customHeight="1">
      <c r="A649" s="12"/>
      <c r="C649" s="12"/>
      <c r="D649" s="87"/>
      <c r="F649" s="14"/>
      <c r="G649" s="14"/>
      <c r="H649" s="14"/>
      <c r="I649" s="14"/>
      <c r="J649" s="14"/>
      <c r="K649" s="12"/>
    </row>
    <row r="650" ht="19.5" customHeight="1">
      <c r="A650" s="12"/>
      <c r="C650" s="12"/>
      <c r="D650" s="87"/>
      <c r="F650" s="14"/>
      <c r="G650" s="14"/>
      <c r="H650" s="14"/>
      <c r="I650" s="14"/>
      <c r="J650" s="14"/>
      <c r="K650" s="12"/>
    </row>
    <row r="651" ht="19.5" customHeight="1">
      <c r="A651" s="12"/>
      <c r="C651" s="12"/>
      <c r="D651" s="87"/>
      <c r="F651" s="14"/>
      <c r="G651" s="14"/>
      <c r="H651" s="14"/>
      <c r="I651" s="14"/>
      <c r="J651" s="14"/>
      <c r="K651" s="12"/>
    </row>
    <row r="652" ht="19.5" customHeight="1">
      <c r="A652" s="12"/>
      <c r="C652" s="12"/>
      <c r="D652" s="87"/>
      <c r="F652" s="14"/>
      <c r="G652" s="14"/>
      <c r="H652" s="14"/>
      <c r="I652" s="14"/>
      <c r="J652" s="14"/>
      <c r="K652" s="12"/>
    </row>
    <row r="653" ht="19.5" customHeight="1">
      <c r="A653" s="12"/>
      <c r="C653" s="12"/>
      <c r="D653" s="87"/>
      <c r="F653" s="14"/>
      <c r="G653" s="14"/>
      <c r="H653" s="14"/>
      <c r="I653" s="14"/>
      <c r="J653" s="14"/>
      <c r="K653" s="12"/>
    </row>
    <row r="654" ht="19.5" customHeight="1">
      <c r="A654" s="12"/>
      <c r="C654" s="12"/>
      <c r="D654" s="87"/>
      <c r="F654" s="14"/>
      <c r="G654" s="14"/>
      <c r="H654" s="14"/>
      <c r="I654" s="14"/>
      <c r="J654" s="14"/>
      <c r="K654" s="12"/>
    </row>
    <row r="655" ht="19.5" customHeight="1">
      <c r="A655" s="12"/>
      <c r="C655" s="12"/>
      <c r="D655" s="87"/>
      <c r="F655" s="14"/>
      <c r="G655" s="14"/>
      <c r="H655" s="14"/>
      <c r="I655" s="14"/>
      <c r="J655" s="14"/>
      <c r="K655" s="12"/>
    </row>
    <row r="656" ht="19.5" customHeight="1">
      <c r="A656" s="12"/>
      <c r="C656" s="12"/>
      <c r="D656" s="87"/>
      <c r="F656" s="14"/>
      <c r="G656" s="14"/>
      <c r="H656" s="14"/>
      <c r="I656" s="14"/>
      <c r="J656" s="14"/>
      <c r="K656" s="12"/>
    </row>
    <row r="657" ht="19.5" customHeight="1">
      <c r="A657" s="12"/>
      <c r="C657" s="12"/>
      <c r="D657" s="87"/>
      <c r="F657" s="14"/>
      <c r="G657" s="14"/>
      <c r="H657" s="14"/>
      <c r="I657" s="14"/>
      <c r="J657" s="14"/>
      <c r="K657" s="12"/>
    </row>
    <row r="658" ht="19.5" customHeight="1">
      <c r="A658" s="12"/>
      <c r="C658" s="12"/>
      <c r="D658" s="87"/>
      <c r="F658" s="14"/>
      <c r="G658" s="14"/>
      <c r="H658" s="14"/>
      <c r="I658" s="14"/>
      <c r="J658" s="14"/>
      <c r="K658" s="12"/>
    </row>
    <row r="659" ht="19.5" customHeight="1">
      <c r="A659" s="12"/>
      <c r="C659" s="12"/>
      <c r="D659" s="87"/>
      <c r="F659" s="14"/>
      <c r="G659" s="14"/>
      <c r="H659" s="14"/>
      <c r="I659" s="14"/>
      <c r="J659" s="14"/>
      <c r="K659" s="12"/>
    </row>
    <row r="660" ht="19.5" customHeight="1">
      <c r="A660" s="12"/>
      <c r="C660" s="12"/>
      <c r="D660" s="87"/>
      <c r="F660" s="14"/>
      <c r="G660" s="14"/>
      <c r="H660" s="14"/>
      <c r="I660" s="14"/>
      <c r="J660" s="14"/>
      <c r="K660" s="12"/>
    </row>
    <row r="661" ht="19.5" customHeight="1">
      <c r="A661" s="12"/>
      <c r="C661" s="12"/>
      <c r="D661" s="87"/>
      <c r="F661" s="14"/>
      <c r="G661" s="14"/>
      <c r="H661" s="14"/>
      <c r="I661" s="14"/>
      <c r="J661" s="14"/>
      <c r="K661" s="12"/>
    </row>
    <row r="662" ht="19.5" customHeight="1">
      <c r="A662" s="12"/>
      <c r="C662" s="12"/>
      <c r="D662" s="87"/>
      <c r="F662" s="14"/>
      <c r="G662" s="14"/>
      <c r="H662" s="14"/>
      <c r="I662" s="14"/>
      <c r="J662" s="14"/>
      <c r="K662" s="12"/>
    </row>
    <row r="663" ht="19.5" customHeight="1">
      <c r="A663" s="12"/>
      <c r="C663" s="12"/>
      <c r="D663" s="87"/>
      <c r="F663" s="14"/>
      <c r="G663" s="14"/>
      <c r="H663" s="14"/>
      <c r="I663" s="14"/>
      <c r="J663" s="14"/>
      <c r="K663" s="12"/>
    </row>
    <row r="664" ht="19.5" customHeight="1">
      <c r="A664" s="12"/>
      <c r="C664" s="12"/>
      <c r="D664" s="87"/>
      <c r="F664" s="14"/>
      <c r="G664" s="14"/>
      <c r="H664" s="14"/>
      <c r="I664" s="14"/>
      <c r="J664" s="14"/>
      <c r="K664" s="12"/>
    </row>
    <row r="665" ht="19.5" customHeight="1">
      <c r="A665" s="12"/>
      <c r="C665" s="12"/>
      <c r="D665" s="87"/>
      <c r="F665" s="14"/>
      <c r="G665" s="14"/>
      <c r="H665" s="14"/>
      <c r="I665" s="14"/>
      <c r="J665" s="14"/>
      <c r="K665" s="12"/>
    </row>
    <row r="666" ht="19.5" customHeight="1">
      <c r="A666" s="12"/>
      <c r="C666" s="12"/>
      <c r="D666" s="87"/>
      <c r="F666" s="14"/>
      <c r="G666" s="14"/>
      <c r="H666" s="14"/>
      <c r="I666" s="14"/>
      <c r="J666" s="14"/>
      <c r="K666" s="12"/>
    </row>
    <row r="667" ht="19.5" customHeight="1">
      <c r="A667" s="12"/>
      <c r="C667" s="12"/>
      <c r="D667" s="87"/>
      <c r="F667" s="14"/>
      <c r="G667" s="14"/>
      <c r="H667" s="14"/>
      <c r="I667" s="14"/>
      <c r="J667" s="14"/>
      <c r="K667" s="12"/>
    </row>
    <row r="668" ht="19.5" customHeight="1">
      <c r="A668" s="12"/>
      <c r="C668" s="12"/>
      <c r="D668" s="87"/>
      <c r="F668" s="14"/>
      <c r="G668" s="14"/>
      <c r="H668" s="14"/>
      <c r="I668" s="14"/>
      <c r="J668" s="14"/>
      <c r="K668" s="12"/>
    </row>
    <row r="669" ht="19.5" customHeight="1">
      <c r="A669" s="12"/>
      <c r="C669" s="12"/>
      <c r="D669" s="87"/>
      <c r="F669" s="14"/>
      <c r="G669" s="14"/>
      <c r="H669" s="14"/>
      <c r="I669" s="14"/>
      <c r="J669" s="14"/>
      <c r="K669" s="12"/>
    </row>
    <row r="670" ht="19.5" customHeight="1">
      <c r="A670" s="12"/>
      <c r="C670" s="12"/>
      <c r="D670" s="87"/>
      <c r="F670" s="14"/>
      <c r="G670" s="14"/>
      <c r="H670" s="14"/>
      <c r="I670" s="14"/>
      <c r="J670" s="14"/>
      <c r="K670" s="12"/>
    </row>
    <row r="671" ht="19.5" customHeight="1">
      <c r="A671" s="12"/>
      <c r="C671" s="12"/>
      <c r="D671" s="87"/>
      <c r="F671" s="14"/>
      <c r="G671" s="14"/>
      <c r="H671" s="14"/>
      <c r="I671" s="14"/>
      <c r="J671" s="14"/>
      <c r="K671" s="12"/>
    </row>
    <row r="672" ht="19.5" customHeight="1">
      <c r="A672" s="12"/>
      <c r="C672" s="12"/>
      <c r="D672" s="87"/>
      <c r="F672" s="14"/>
      <c r="G672" s="14"/>
      <c r="H672" s="14"/>
      <c r="I672" s="14"/>
      <c r="J672" s="14"/>
      <c r="K672" s="12"/>
    </row>
    <row r="673" ht="19.5" customHeight="1">
      <c r="A673" s="12"/>
      <c r="C673" s="12"/>
      <c r="D673" s="87"/>
      <c r="F673" s="14"/>
      <c r="G673" s="14"/>
      <c r="H673" s="14"/>
      <c r="I673" s="14"/>
      <c r="J673" s="14"/>
      <c r="K673" s="12"/>
    </row>
    <row r="674" ht="19.5" customHeight="1">
      <c r="A674" s="12"/>
      <c r="C674" s="12"/>
      <c r="D674" s="87"/>
      <c r="F674" s="14"/>
      <c r="G674" s="14"/>
      <c r="H674" s="14"/>
      <c r="I674" s="14"/>
      <c r="J674" s="14"/>
      <c r="K674" s="12"/>
    </row>
    <row r="675" ht="19.5" customHeight="1">
      <c r="A675" s="12"/>
      <c r="C675" s="12"/>
      <c r="D675" s="87"/>
      <c r="F675" s="14"/>
      <c r="G675" s="14"/>
      <c r="H675" s="14"/>
      <c r="I675" s="14"/>
      <c r="J675" s="14"/>
      <c r="K675" s="12"/>
    </row>
    <row r="676" ht="19.5" customHeight="1">
      <c r="A676" s="12"/>
      <c r="C676" s="12"/>
      <c r="D676" s="87"/>
      <c r="F676" s="14"/>
      <c r="G676" s="14"/>
      <c r="H676" s="14"/>
      <c r="I676" s="14"/>
      <c r="J676" s="14"/>
      <c r="K676" s="12"/>
    </row>
    <row r="677" ht="19.5" customHeight="1">
      <c r="A677" s="12"/>
      <c r="C677" s="12"/>
      <c r="D677" s="87"/>
      <c r="F677" s="14"/>
      <c r="G677" s="14"/>
      <c r="H677" s="14"/>
      <c r="I677" s="14"/>
      <c r="J677" s="14"/>
      <c r="K677" s="12"/>
    </row>
    <row r="678" ht="19.5" customHeight="1">
      <c r="A678" s="12"/>
      <c r="C678" s="12"/>
      <c r="D678" s="87"/>
      <c r="F678" s="14"/>
      <c r="G678" s="14"/>
      <c r="H678" s="14"/>
      <c r="I678" s="14"/>
      <c r="J678" s="14"/>
      <c r="K678" s="12"/>
    </row>
    <row r="679" ht="19.5" customHeight="1">
      <c r="A679" s="12"/>
      <c r="C679" s="12"/>
      <c r="D679" s="87"/>
      <c r="F679" s="14"/>
      <c r="G679" s="14"/>
      <c r="H679" s="14"/>
      <c r="I679" s="14"/>
      <c r="J679" s="14"/>
      <c r="K679" s="12"/>
    </row>
    <row r="680" ht="19.5" customHeight="1">
      <c r="A680" s="12"/>
      <c r="C680" s="12"/>
      <c r="D680" s="87"/>
      <c r="F680" s="14"/>
      <c r="G680" s="14"/>
      <c r="H680" s="14"/>
      <c r="I680" s="14"/>
      <c r="J680" s="14"/>
      <c r="K680" s="12"/>
    </row>
    <row r="681" ht="19.5" customHeight="1">
      <c r="A681" s="12"/>
      <c r="C681" s="12"/>
      <c r="D681" s="87"/>
      <c r="F681" s="14"/>
      <c r="G681" s="14"/>
      <c r="H681" s="14"/>
      <c r="I681" s="14"/>
      <c r="J681" s="14"/>
      <c r="K681" s="12"/>
    </row>
    <row r="682" ht="19.5" customHeight="1">
      <c r="A682" s="12"/>
      <c r="C682" s="12"/>
      <c r="D682" s="87"/>
      <c r="F682" s="14"/>
      <c r="G682" s="14"/>
      <c r="H682" s="14"/>
      <c r="I682" s="14"/>
      <c r="J682" s="14"/>
      <c r="K682" s="12"/>
    </row>
    <row r="683" ht="19.5" customHeight="1">
      <c r="A683" s="12"/>
      <c r="C683" s="12"/>
      <c r="D683" s="87"/>
      <c r="F683" s="14"/>
      <c r="G683" s="14"/>
      <c r="H683" s="14"/>
      <c r="I683" s="14"/>
      <c r="J683" s="14"/>
      <c r="K683" s="12"/>
    </row>
    <row r="684" ht="19.5" customHeight="1">
      <c r="A684" s="12"/>
      <c r="C684" s="12"/>
      <c r="D684" s="87"/>
      <c r="F684" s="14"/>
      <c r="G684" s="14"/>
      <c r="H684" s="14"/>
      <c r="I684" s="14"/>
      <c r="J684" s="14"/>
      <c r="K684" s="12"/>
    </row>
    <row r="685" ht="19.5" customHeight="1">
      <c r="A685" s="12"/>
      <c r="C685" s="12"/>
      <c r="D685" s="87"/>
      <c r="F685" s="14"/>
      <c r="G685" s="14"/>
      <c r="H685" s="14"/>
      <c r="I685" s="14"/>
      <c r="J685" s="14"/>
      <c r="K685" s="12"/>
    </row>
    <row r="686" ht="19.5" customHeight="1">
      <c r="A686" s="12"/>
      <c r="C686" s="12"/>
      <c r="D686" s="87"/>
      <c r="F686" s="14"/>
      <c r="G686" s="14"/>
      <c r="H686" s="14"/>
      <c r="I686" s="14"/>
      <c r="J686" s="14"/>
      <c r="K686" s="12"/>
    </row>
    <row r="687" ht="19.5" customHeight="1">
      <c r="A687" s="12"/>
      <c r="C687" s="12"/>
      <c r="D687" s="87"/>
      <c r="F687" s="14"/>
      <c r="G687" s="14"/>
      <c r="H687" s="14"/>
      <c r="I687" s="14"/>
      <c r="J687" s="14"/>
      <c r="K687" s="12"/>
    </row>
    <row r="688" ht="19.5" customHeight="1">
      <c r="A688" s="12"/>
      <c r="C688" s="12"/>
      <c r="D688" s="87"/>
      <c r="F688" s="14"/>
      <c r="G688" s="14"/>
      <c r="H688" s="14"/>
      <c r="I688" s="14"/>
      <c r="J688" s="14"/>
      <c r="K688" s="12"/>
    </row>
    <row r="689" ht="19.5" customHeight="1">
      <c r="A689" s="12"/>
      <c r="C689" s="12"/>
      <c r="D689" s="87"/>
      <c r="F689" s="14"/>
      <c r="G689" s="14"/>
      <c r="H689" s="14"/>
      <c r="I689" s="14"/>
      <c r="J689" s="14"/>
      <c r="K689" s="12"/>
    </row>
    <row r="690" ht="19.5" customHeight="1">
      <c r="A690" s="12"/>
      <c r="C690" s="12"/>
      <c r="D690" s="87"/>
      <c r="F690" s="14"/>
      <c r="G690" s="14"/>
      <c r="H690" s="14"/>
      <c r="I690" s="14"/>
      <c r="J690" s="14"/>
      <c r="K690" s="12"/>
    </row>
    <row r="691" ht="19.5" customHeight="1">
      <c r="A691" s="12"/>
      <c r="C691" s="12"/>
      <c r="D691" s="87"/>
      <c r="F691" s="14"/>
      <c r="G691" s="14"/>
      <c r="H691" s="14"/>
      <c r="I691" s="14"/>
      <c r="J691" s="14"/>
      <c r="K691" s="12"/>
    </row>
    <row r="692" ht="19.5" customHeight="1">
      <c r="A692" s="12"/>
      <c r="C692" s="12"/>
      <c r="D692" s="87"/>
      <c r="F692" s="14"/>
      <c r="G692" s="14"/>
      <c r="H692" s="14"/>
      <c r="I692" s="14"/>
      <c r="J692" s="14"/>
      <c r="K692" s="12"/>
    </row>
    <row r="693" ht="19.5" customHeight="1">
      <c r="A693" s="12"/>
      <c r="C693" s="12"/>
      <c r="D693" s="87"/>
      <c r="F693" s="14"/>
      <c r="G693" s="14"/>
      <c r="H693" s="14"/>
      <c r="I693" s="14"/>
      <c r="J693" s="14"/>
      <c r="K693" s="12"/>
    </row>
    <row r="694" ht="19.5" customHeight="1">
      <c r="A694" s="12"/>
      <c r="C694" s="12"/>
      <c r="D694" s="87"/>
      <c r="F694" s="14"/>
      <c r="G694" s="14"/>
      <c r="H694" s="14"/>
      <c r="I694" s="14"/>
      <c r="J694" s="14"/>
      <c r="K694" s="12"/>
    </row>
    <row r="695" ht="19.5" customHeight="1">
      <c r="A695" s="12"/>
      <c r="C695" s="12"/>
      <c r="D695" s="87"/>
      <c r="F695" s="14"/>
      <c r="G695" s="14"/>
      <c r="H695" s="14"/>
      <c r="I695" s="14"/>
      <c r="J695" s="14"/>
      <c r="K695" s="12"/>
    </row>
    <row r="696" ht="19.5" customHeight="1">
      <c r="A696" s="12"/>
      <c r="C696" s="12"/>
      <c r="D696" s="87"/>
      <c r="F696" s="14"/>
      <c r="G696" s="14"/>
      <c r="H696" s="14"/>
      <c r="I696" s="14"/>
      <c r="J696" s="14"/>
      <c r="K696" s="12"/>
    </row>
    <row r="697" ht="19.5" customHeight="1">
      <c r="A697" s="12"/>
      <c r="C697" s="12"/>
      <c r="D697" s="87"/>
      <c r="F697" s="14"/>
      <c r="G697" s="14"/>
      <c r="H697" s="14"/>
      <c r="I697" s="14"/>
      <c r="J697" s="14"/>
      <c r="K697" s="12"/>
    </row>
    <row r="698" ht="19.5" customHeight="1">
      <c r="A698" s="12"/>
      <c r="C698" s="12"/>
      <c r="D698" s="87"/>
      <c r="F698" s="14"/>
      <c r="G698" s="14"/>
      <c r="H698" s="14"/>
      <c r="I698" s="14"/>
      <c r="J698" s="14"/>
      <c r="K698" s="12"/>
    </row>
    <row r="699" ht="19.5" customHeight="1">
      <c r="A699" s="12"/>
      <c r="C699" s="12"/>
      <c r="D699" s="87"/>
      <c r="F699" s="14"/>
      <c r="G699" s="14"/>
      <c r="H699" s="14"/>
      <c r="I699" s="14"/>
      <c r="J699" s="14"/>
      <c r="K699" s="12"/>
    </row>
    <row r="700" ht="19.5" customHeight="1">
      <c r="A700" s="12"/>
      <c r="C700" s="12"/>
      <c r="D700" s="87"/>
      <c r="F700" s="14"/>
      <c r="G700" s="14"/>
      <c r="H700" s="14"/>
      <c r="I700" s="14"/>
      <c r="J700" s="14"/>
      <c r="K700" s="12"/>
    </row>
    <row r="701" ht="19.5" customHeight="1">
      <c r="A701" s="12"/>
      <c r="C701" s="12"/>
      <c r="D701" s="87"/>
      <c r="F701" s="14"/>
      <c r="G701" s="14"/>
      <c r="H701" s="14"/>
      <c r="I701" s="14"/>
      <c r="J701" s="14"/>
      <c r="K701" s="12"/>
    </row>
    <row r="702" ht="19.5" customHeight="1">
      <c r="A702" s="12"/>
      <c r="C702" s="12"/>
      <c r="D702" s="87"/>
      <c r="F702" s="14"/>
      <c r="G702" s="14"/>
      <c r="H702" s="14"/>
      <c r="I702" s="14"/>
      <c r="J702" s="14"/>
      <c r="K702" s="12"/>
    </row>
    <row r="703" ht="19.5" customHeight="1">
      <c r="A703" s="12"/>
      <c r="C703" s="12"/>
      <c r="D703" s="87"/>
      <c r="F703" s="14"/>
      <c r="G703" s="14"/>
      <c r="H703" s="14"/>
      <c r="I703" s="14"/>
      <c r="J703" s="14"/>
      <c r="K703" s="12"/>
    </row>
    <row r="704" ht="19.5" customHeight="1">
      <c r="A704" s="12"/>
      <c r="C704" s="12"/>
      <c r="D704" s="87"/>
      <c r="F704" s="14"/>
      <c r="G704" s="14"/>
      <c r="H704" s="14"/>
      <c r="I704" s="14"/>
      <c r="J704" s="14"/>
      <c r="K704" s="12"/>
    </row>
    <row r="705" ht="19.5" customHeight="1">
      <c r="A705" s="12"/>
      <c r="C705" s="12"/>
      <c r="D705" s="87"/>
      <c r="F705" s="14"/>
      <c r="G705" s="14"/>
      <c r="H705" s="14"/>
      <c r="I705" s="14"/>
      <c r="J705" s="14"/>
      <c r="K705" s="12"/>
    </row>
    <row r="706" ht="19.5" customHeight="1">
      <c r="A706" s="12"/>
      <c r="C706" s="12"/>
      <c r="D706" s="87"/>
      <c r="F706" s="14"/>
      <c r="G706" s="14"/>
      <c r="H706" s="14"/>
      <c r="I706" s="14"/>
      <c r="J706" s="14"/>
      <c r="K706" s="12"/>
    </row>
    <row r="707" ht="19.5" customHeight="1">
      <c r="A707" s="12"/>
      <c r="C707" s="12"/>
      <c r="D707" s="87"/>
      <c r="F707" s="14"/>
      <c r="G707" s="14"/>
      <c r="H707" s="14"/>
      <c r="I707" s="14"/>
      <c r="J707" s="14"/>
      <c r="K707" s="12"/>
    </row>
    <row r="708" ht="19.5" customHeight="1">
      <c r="A708" s="12"/>
      <c r="C708" s="12"/>
      <c r="D708" s="87"/>
      <c r="F708" s="14"/>
      <c r="G708" s="14"/>
      <c r="H708" s="14"/>
      <c r="I708" s="14"/>
      <c r="J708" s="14"/>
      <c r="K708" s="12"/>
    </row>
    <row r="709" ht="19.5" customHeight="1">
      <c r="A709" s="12"/>
      <c r="C709" s="12"/>
      <c r="D709" s="87"/>
      <c r="F709" s="14"/>
      <c r="G709" s="14"/>
      <c r="H709" s="14"/>
      <c r="I709" s="14"/>
      <c r="J709" s="14"/>
      <c r="K709" s="12"/>
    </row>
    <row r="710" ht="19.5" customHeight="1">
      <c r="A710" s="12"/>
      <c r="C710" s="12"/>
      <c r="D710" s="87"/>
      <c r="F710" s="14"/>
      <c r="G710" s="14"/>
      <c r="H710" s="14"/>
      <c r="I710" s="14"/>
      <c r="J710" s="14"/>
      <c r="K710" s="12"/>
    </row>
    <row r="711" ht="19.5" customHeight="1">
      <c r="A711" s="12"/>
      <c r="C711" s="12"/>
      <c r="D711" s="87"/>
      <c r="F711" s="14"/>
      <c r="G711" s="14"/>
      <c r="H711" s="14"/>
      <c r="I711" s="14"/>
      <c r="J711" s="14"/>
      <c r="K711" s="12"/>
    </row>
    <row r="712" ht="19.5" customHeight="1">
      <c r="A712" s="12"/>
      <c r="C712" s="12"/>
      <c r="D712" s="87"/>
      <c r="F712" s="14"/>
      <c r="G712" s="14"/>
      <c r="H712" s="14"/>
      <c r="I712" s="14"/>
      <c r="J712" s="14"/>
      <c r="K712" s="12"/>
    </row>
    <row r="713" ht="19.5" customHeight="1">
      <c r="A713" s="12"/>
      <c r="C713" s="12"/>
      <c r="D713" s="87"/>
      <c r="F713" s="14"/>
      <c r="G713" s="14"/>
      <c r="H713" s="14"/>
      <c r="I713" s="14"/>
      <c r="J713" s="14"/>
      <c r="K713" s="12"/>
    </row>
    <row r="714" ht="19.5" customHeight="1">
      <c r="A714" s="12"/>
      <c r="C714" s="12"/>
      <c r="D714" s="87"/>
      <c r="F714" s="14"/>
      <c r="G714" s="14"/>
      <c r="H714" s="14"/>
      <c r="I714" s="14"/>
      <c r="J714" s="14"/>
      <c r="K714" s="12"/>
    </row>
    <row r="715" ht="19.5" customHeight="1">
      <c r="A715" s="12"/>
      <c r="C715" s="12"/>
      <c r="D715" s="87"/>
      <c r="F715" s="14"/>
      <c r="G715" s="14"/>
      <c r="H715" s="14"/>
      <c r="I715" s="14"/>
      <c r="J715" s="14"/>
      <c r="K715" s="12"/>
    </row>
    <row r="716" ht="19.5" customHeight="1">
      <c r="A716" s="12"/>
      <c r="C716" s="12"/>
      <c r="D716" s="87"/>
      <c r="F716" s="14"/>
      <c r="G716" s="14"/>
      <c r="H716" s="14"/>
      <c r="I716" s="14"/>
      <c r="J716" s="14"/>
      <c r="K716" s="12"/>
    </row>
    <row r="717" ht="19.5" customHeight="1">
      <c r="A717" s="12"/>
      <c r="C717" s="12"/>
      <c r="D717" s="87"/>
      <c r="F717" s="14"/>
      <c r="G717" s="14"/>
      <c r="H717" s="14"/>
      <c r="I717" s="14"/>
      <c r="J717" s="14"/>
      <c r="K717" s="12"/>
    </row>
    <row r="718" ht="19.5" customHeight="1">
      <c r="A718" s="12"/>
      <c r="C718" s="12"/>
      <c r="D718" s="87"/>
      <c r="F718" s="14"/>
      <c r="G718" s="14"/>
      <c r="H718" s="14"/>
      <c r="I718" s="14"/>
      <c r="J718" s="14"/>
      <c r="K718" s="12"/>
    </row>
    <row r="719" ht="19.5" customHeight="1">
      <c r="A719" s="12"/>
      <c r="C719" s="12"/>
      <c r="D719" s="87"/>
      <c r="F719" s="14"/>
      <c r="G719" s="14"/>
      <c r="H719" s="14"/>
      <c r="I719" s="14"/>
      <c r="J719" s="14"/>
      <c r="K719" s="12"/>
    </row>
    <row r="720" ht="19.5" customHeight="1">
      <c r="A720" s="12"/>
      <c r="C720" s="12"/>
      <c r="D720" s="87"/>
      <c r="F720" s="14"/>
      <c r="G720" s="14"/>
      <c r="H720" s="14"/>
      <c r="I720" s="14"/>
      <c r="J720" s="14"/>
      <c r="K720" s="12"/>
    </row>
    <row r="721" ht="19.5" customHeight="1">
      <c r="A721" s="12"/>
      <c r="C721" s="12"/>
      <c r="D721" s="87"/>
      <c r="F721" s="14"/>
      <c r="G721" s="14"/>
      <c r="H721" s="14"/>
      <c r="I721" s="14"/>
      <c r="J721" s="14"/>
      <c r="K721" s="12"/>
    </row>
    <row r="722" ht="19.5" customHeight="1">
      <c r="A722" s="12"/>
      <c r="C722" s="12"/>
      <c r="D722" s="87"/>
      <c r="F722" s="14"/>
      <c r="G722" s="14"/>
      <c r="H722" s="14"/>
      <c r="I722" s="14"/>
      <c r="J722" s="14"/>
      <c r="K722" s="12"/>
    </row>
    <row r="723" ht="19.5" customHeight="1">
      <c r="A723" s="12"/>
      <c r="C723" s="12"/>
      <c r="D723" s="87"/>
      <c r="F723" s="14"/>
      <c r="G723" s="14"/>
      <c r="H723" s="14"/>
      <c r="I723" s="14"/>
      <c r="J723" s="14"/>
      <c r="K723" s="12"/>
    </row>
    <row r="724" ht="19.5" customHeight="1">
      <c r="A724" s="12"/>
      <c r="C724" s="12"/>
      <c r="D724" s="87"/>
      <c r="F724" s="14"/>
      <c r="G724" s="14"/>
      <c r="H724" s="14"/>
      <c r="I724" s="14"/>
      <c r="J724" s="14"/>
      <c r="K724" s="12"/>
    </row>
    <row r="725" ht="19.5" customHeight="1">
      <c r="A725" s="12"/>
      <c r="C725" s="12"/>
      <c r="D725" s="87"/>
      <c r="F725" s="14"/>
      <c r="G725" s="14"/>
      <c r="H725" s="14"/>
      <c r="I725" s="14"/>
      <c r="J725" s="14"/>
      <c r="K725" s="12"/>
    </row>
    <row r="726" ht="19.5" customHeight="1">
      <c r="A726" s="12"/>
      <c r="C726" s="12"/>
      <c r="D726" s="87"/>
      <c r="F726" s="14"/>
      <c r="G726" s="14"/>
      <c r="H726" s="14"/>
      <c r="I726" s="14"/>
      <c r="J726" s="14"/>
      <c r="K726" s="12"/>
    </row>
    <row r="727" ht="19.5" customHeight="1">
      <c r="A727" s="12"/>
      <c r="C727" s="12"/>
      <c r="D727" s="87"/>
      <c r="F727" s="14"/>
      <c r="G727" s="14"/>
      <c r="H727" s="14"/>
      <c r="I727" s="14"/>
      <c r="J727" s="14"/>
      <c r="K727" s="12"/>
    </row>
    <row r="728" ht="19.5" customHeight="1">
      <c r="A728" s="12"/>
      <c r="C728" s="12"/>
      <c r="D728" s="87"/>
      <c r="F728" s="14"/>
      <c r="G728" s="14"/>
      <c r="H728" s="14"/>
      <c r="I728" s="14"/>
      <c r="J728" s="14"/>
      <c r="K728" s="12"/>
    </row>
    <row r="729" ht="19.5" customHeight="1">
      <c r="A729" s="12"/>
      <c r="C729" s="12"/>
      <c r="D729" s="87"/>
      <c r="F729" s="14"/>
      <c r="G729" s="14"/>
      <c r="H729" s="14"/>
      <c r="I729" s="14"/>
      <c r="J729" s="14"/>
      <c r="K729" s="12"/>
    </row>
    <row r="730" ht="19.5" customHeight="1">
      <c r="A730" s="12"/>
      <c r="C730" s="12"/>
      <c r="D730" s="87"/>
      <c r="F730" s="14"/>
      <c r="G730" s="14"/>
      <c r="H730" s="14"/>
      <c r="I730" s="14"/>
      <c r="J730" s="14"/>
      <c r="K730" s="12"/>
    </row>
    <row r="731" ht="19.5" customHeight="1">
      <c r="A731" s="12"/>
      <c r="C731" s="12"/>
      <c r="D731" s="87"/>
      <c r="F731" s="14"/>
      <c r="G731" s="14"/>
      <c r="H731" s="14"/>
      <c r="I731" s="14"/>
      <c r="J731" s="14"/>
      <c r="K731" s="12"/>
    </row>
    <row r="732" ht="19.5" customHeight="1">
      <c r="A732" s="12"/>
      <c r="C732" s="12"/>
      <c r="D732" s="87"/>
      <c r="F732" s="14"/>
      <c r="G732" s="14"/>
      <c r="H732" s="14"/>
      <c r="I732" s="14"/>
      <c r="J732" s="14"/>
      <c r="K732" s="12"/>
    </row>
    <row r="733" ht="19.5" customHeight="1">
      <c r="A733" s="12"/>
      <c r="C733" s="12"/>
      <c r="D733" s="87"/>
      <c r="F733" s="14"/>
      <c r="G733" s="14"/>
      <c r="H733" s="14"/>
      <c r="I733" s="14"/>
      <c r="J733" s="14"/>
      <c r="K733" s="12"/>
    </row>
    <row r="734" ht="19.5" customHeight="1">
      <c r="A734" s="12"/>
      <c r="C734" s="12"/>
      <c r="D734" s="87"/>
      <c r="F734" s="14"/>
      <c r="G734" s="14"/>
      <c r="H734" s="14"/>
      <c r="I734" s="14"/>
      <c r="J734" s="14"/>
      <c r="K734" s="12"/>
    </row>
    <row r="735" ht="19.5" customHeight="1">
      <c r="A735" s="12"/>
      <c r="C735" s="12"/>
      <c r="D735" s="87"/>
      <c r="F735" s="14"/>
      <c r="G735" s="14"/>
      <c r="H735" s="14"/>
      <c r="I735" s="14"/>
      <c r="J735" s="14"/>
      <c r="K735" s="12"/>
    </row>
    <row r="736" ht="19.5" customHeight="1">
      <c r="A736" s="12"/>
      <c r="C736" s="12"/>
      <c r="D736" s="87"/>
      <c r="F736" s="14"/>
      <c r="G736" s="14"/>
      <c r="H736" s="14"/>
      <c r="I736" s="14"/>
      <c r="J736" s="14"/>
      <c r="K736" s="12"/>
    </row>
    <row r="737" ht="19.5" customHeight="1">
      <c r="A737" s="12"/>
      <c r="C737" s="12"/>
      <c r="D737" s="87"/>
      <c r="F737" s="14"/>
      <c r="G737" s="14"/>
      <c r="H737" s="14"/>
      <c r="I737" s="14"/>
      <c r="J737" s="14"/>
      <c r="K737" s="12"/>
    </row>
    <row r="738" ht="19.5" customHeight="1">
      <c r="A738" s="12"/>
      <c r="C738" s="12"/>
      <c r="D738" s="87"/>
      <c r="F738" s="14"/>
      <c r="G738" s="14"/>
      <c r="H738" s="14"/>
      <c r="I738" s="14"/>
      <c r="J738" s="14"/>
      <c r="K738" s="12"/>
    </row>
    <row r="739" ht="19.5" customHeight="1">
      <c r="A739" s="12"/>
      <c r="C739" s="12"/>
      <c r="D739" s="87"/>
      <c r="F739" s="14"/>
      <c r="G739" s="14"/>
      <c r="H739" s="14"/>
      <c r="I739" s="14"/>
      <c r="J739" s="14"/>
      <c r="K739" s="12"/>
    </row>
    <row r="740" ht="19.5" customHeight="1">
      <c r="A740" s="12"/>
      <c r="C740" s="12"/>
      <c r="D740" s="87"/>
      <c r="F740" s="14"/>
      <c r="G740" s="14"/>
      <c r="H740" s="14"/>
      <c r="I740" s="14"/>
      <c r="J740" s="14"/>
      <c r="K740" s="12"/>
    </row>
    <row r="741" ht="19.5" customHeight="1">
      <c r="A741" s="12"/>
      <c r="C741" s="12"/>
      <c r="D741" s="87"/>
      <c r="F741" s="14"/>
      <c r="G741" s="14"/>
      <c r="H741" s="14"/>
      <c r="I741" s="14"/>
      <c r="J741" s="14"/>
      <c r="K741" s="12"/>
    </row>
    <row r="742" ht="19.5" customHeight="1">
      <c r="A742" s="12"/>
      <c r="C742" s="12"/>
      <c r="D742" s="87"/>
      <c r="F742" s="14"/>
      <c r="G742" s="14"/>
      <c r="H742" s="14"/>
      <c r="I742" s="14"/>
      <c r="J742" s="14"/>
      <c r="K742" s="12"/>
    </row>
    <row r="743" ht="19.5" customHeight="1">
      <c r="A743" s="12"/>
      <c r="C743" s="12"/>
      <c r="D743" s="87"/>
      <c r="F743" s="14"/>
      <c r="G743" s="14"/>
      <c r="H743" s="14"/>
      <c r="I743" s="14"/>
      <c r="J743" s="14"/>
      <c r="K743" s="12"/>
    </row>
    <row r="744" ht="19.5" customHeight="1">
      <c r="A744" s="12"/>
      <c r="C744" s="12"/>
      <c r="D744" s="87"/>
      <c r="F744" s="14"/>
      <c r="G744" s="14"/>
      <c r="H744" s="14"/>
      <c r="I744" s="14"/>
      <c r="J744" s="14"/>
      <c r="K744" s="12"/>
    </row>
    <row r="745" ht="19.5" customHeight="1">
      <c r="A745" s="12"/>
      <c r="C745" s="12"/>
      <c r="D745" s="87"/>
      <c r="F745" s="14"/>
      <c r="G745" s="14"/>
      <c r="H745" s="14"/>
      <c r="I745" s="14"/>
      <c r="J745" s="14"/>
      <c r="K745" s="12"/>
    </row>
    <row r="746" ht="19.5" customHeight="1">
      <c r="A746" s="12"/>
      <c r="C746" s="12"/>
      <c r="D746" s="87"/>
      <c r="F746" s="14"/>
      <c r="G746" s="14"/>
      <c r="H746" s="14"/>
      <c r="I746" s="14"/>
      <c r="J746" s="14"/>
      <c r="K746" s="12"/>
    </row>
    <row r="747" ht="19.5" customHeight="1">
      <c r="A747" s="12"/>
      <c r="C747" s="12"/>
      <c r="D747" s="87"/>
      <c r="F747" s="14"/>
      <c r="G747" s="14"/>
      <c r="H747" s="14"/>
      <c r="I747" s="14"/>
      <c r="J747" s="14"/>
      <c r="K747" s="12"/>
    </row>
    <row r="748" ht="19.5" customHeight="1">
      <c r="A748" s="12"/>
      <c r="C748" s="12"/>
      <c r="D748" s="87"/>
      <c r="F748" s="14"/>
      <c r="G748" s="14"/>
      <c r="H748" s="14"/>
      <c r="I748" s="14"/>
      <c r="J748" s="14"/>
      <c r="K748" s="12"/>
    </row>
    <row r="749" ht="19.5" customHeight="1">
      <c r="A749" s="12"/>
      <c r="C749" s="12"/>
      <c r="D749" s="87"/>
      <c r="F749" s="14"/>
      <c r="G749" s="14"/>
      <c r="H749" s="14"/>
      <c r="I749" s="14"/>
      <c r="J749" s="14"/>
      <c r="K749" s="12"/>
    </row>
    <row r="750" ht="19.5" customHeight="1">
      <c r="A750" s="12"/>
      <c r="C750" s="12"/>
      <c r="D750" s="87"/>
      <c r="F750" s="14"/>
      <c r="G750" s="14"/>
      <c r="H750" s="14"/>
      <c r="I750" s="14"/>
      <c r="J750" s="14"/>
      <c r="K750" s="12"/>
    </row>
    <row r="751" ht="19.5" customHeight="1">
      <c r="A751" s="12"/>
      <c r="C751" s="12"/>
      <c r="D751" s="87"/>
      <c r="F751" s="14"/>
      <c r="G751" s="14"/>
      <c r="H751" s="14"/>
      <c r="I751" s="14"/>
      <c r="J751" s="14"/>
      <c r="K751" s="12"/>
    </row>
    <row r="752" ht="19.5" customHeight="1">
      <c r="A752" s="12"/>
      <c r="C752" s="12"/>
      <c r="D752" s="87"/>
      <c r="F752" s="14"/>
      <c r="G752" s="14"/>
      <c r="H752" s="14"/>
      <c r="I752" s="14"/>
      <c r="J752" s="14"/>
      <c r="K752" s="12"/>
    </row>
    <row r="753" ht="19.5" customHeight="1">
      <c r="A753" s="12"/>
      <c r="C753" s="12"/>
      <c r="D753" s="87"/>
      <c r="F753" s="14"/>
      <c r="G753" s="14"/>
      <c r="H753" s="14"/>
      <c r="I753" s="14"/>
      <c r="J753" s="14"/>
      <c r="K753" s="12"/>
    </row>
    <row r="754" ht="19.5" customHeight="1">
      <c r="A754" s="12"/>
      <c r="C754" s="12"/>
      <c r="D754" s="87"/>
      <c r="F754" s="14"/>
      <c r="G754" s="14"/>
      <c r="H754" s="14"/>
      <c r="I754" s="14"/>
      <c r="J754" s="14"/>
      <c r="K754" s="12"/>
    </row>
    <row r="755" ht="19.5" customHeight="1">
      <c r="A755" s="12"/>
      <c r="C755" s="12"/>
      <c r="D755" s="87"/>
      <c r="F755" s="14"/>
      <c r="G755" s="14"/>
      <c r="H755" s="14"/>
      <c r="I755" s="14"/>
      <c r="J755" s="14"/>
      <c r="K755" s="12"/>
    </row>
    <row r="756" ht="19.5" customHeight="1">
      <c r="A756" s="12"/>
      <c r="C756" s="12"/>
      <c r="D756" s="87"/>
      <c r="F756" s="14"/>
      <c r="G756" s="14"/>
      <c r="H756" s="14"/>
      <c r="I756" s="14"/>
      <c r="J756" s="14"/>
      <c r="K756" s="12"/>
    </row>
    <row r="757" ht="19.5" customHeight="1">
      <c r="A757" s="12"/>
      <c r="C757" s="12"/>
      <c r="D757" s="87"/>
      <c r="F757" s="14"/>
      <c r="G757" s="14"/>
      <c r="H757" s="14"/>
      <c r="I757" s="14"/>
      <c r="J757" s="14"/>
      <c r="K757" s="12"/>
    </row>
    <row r="758" ht="19.5" customHeight="1">
      <c r="A758" s="12"/>
      <c r="C758" s="12"/>
      <c r="D758" s="87"/>
      <c r="F758" s="14"/>
      <c r="G758" s="14"/>
      <c r="H758" s="14"/>
      <c r="I758" s="14"/>
      <c r="J758" s="14"/>
      <c r="K758" s="12"/>
    </row>
    <row r="759" ht="19.5" customHeight="1">
      <c r="A759" s="12"/>
      <c r="C759" s="12"/>
      <c r="D759" s="87"/>
      <c r="F759" s="14"/>
      <c r="G759" s="14"/>
      <c r="H759" s="14"/>
      <c r="I759" s="14"/>
      <c r="J759" s="14"/>
      <c r="K759" s="12"/>
    </row>
    <row r="760" ht="19.5" customHeight="1">
      <c r="A760" s="12"/>
      <c r="C760" s="12"/>
      <c r="D760" s="87"/>
      <c r="F760" s="14"/>
      <c r="G760" s="14"/>
      <c r="H760" s="14"/>
      <c r="I760" s="14"/>
      <c r="J760" s="14"/>
      <c r="K760" s="12"/>
    </row>
    <row r="761" ht="19.5" customHeight="1">
      <c r="A761" s="12"/>
      <c r="C761" s="12"/>
      <c r="D761" s="87"/>
      <c r="F761" s="14"/>
      <c r="G761" s="14"/>
      <c r="H761" s="14"/>
      <c r="I761" s="14"/>
      <c r="J761" s="14"/>
      <c r="K761" s="12"/>
    </row>
    <row r="762" ht="19.5" customHeight="1">
      <c r="A762" s="12"/>
      <c r="C762" s="12"/>
      <c r="D762" s="87"/>
      <c r="F762" s="14"/>
      <c r="G762" s="14"/>
      <c r="H762" s="14"/>
      <c r="I762" s="14"/>
      <c r="J762" s="14"/>
      <c r="K762" s="12"/>
    </row>
    <row r="763" ht="19.5" customHeight="1">
      <c r="A763" s="12"/>
      <c r="C763" s="12"/>
      <c r="D763" s="87"/>
      <c r="F763" s="14"/>
      <c r="G763" s="14"/>
      <c r="H763" s="14"/>
      <c r="I763" s="14"/>
      <c r="J763" s="14"/>
      <c r="K763" s="12"/>
    </row>
    <row r="764" ht="19.5" customHeight="1">
      <c r="A764" s="12"/>
      <c r="C764" s="12"/>
      <c r="D764" s="87"/>
      <c r="F764" s="14"/>
      <c r="G764" s="14"/>
      <c r="H764" s="14"/>
      <c r="I764" s="14"/>
      <c r="J764" s="14"/>
      <c r="K764" s="12"/>
    </row>
    <row r="765" ht="19.5" customHeight="1">
      <c r="A765" s="12"/>
      <c r="C765" s="12"/>
      <c r="D765" s="87"/>
      <c r="F765" s="14"/>
      <c r="G765" s="14"/>
      <c r="H765" s="14"/>
      <c r="I765" s="14"/>
      <c r="J765" s="14"/>
      <c r="K765" s="12"/>
    </row>
    <row r="766" ht="19.5" customHeight="1">
      <c r="A766" s="12"/>
      <c r="C766" s="12"/>
      <c r="D766" s="87"/>
      <c r="F766" s="14"/>
      <c r="G766" s="14"/>
      <c r="H766" s="14"/>
      <c r="I766" s="14"/>
      <c r="J766" s="14"/>
      <c r="K766" s="12"/>
    </row>
    <row r="767" ht="19.5" customHeight="1">
      <c r="A767" s="12"/>
      <c r="C767" s="12"/>
      <c r="D767" s="87"/>
      <c r="F767" s="14"/>
      <c r="G767" s="14"/>
      <c r="H767" s="14"/>
      <c r="I767" s="14"/>
      <c r="J767" s="14"/>
      <c r="K767" s="12"/>
    </row>
    <row r="768" ht="19.5" customHeight="1">
      <c r="A768" s="12"/>
      <c r="C768" s="12"/>
      <c r="D768" s="87"/>
      <c r="F768" s="14"/>
      <c r="G768" s="14"/>
      <c r="H768" s="14"/>
      <c r="I768" s="14"/>
      <c r="J768" s="14"/>
      <c r="K768" s="12"/>
    </row>
    <row r="769" ht="19.5" customHeight="1">
      <c r="A769" s="12"/>
      <c r="C769" s="12"/>
      <c r="D769" s="87"/>
      <c r="F769" s="14"/>
      <c r="G769" s="14"/>
      <c r="H769" s="14"/>
      <c r="I769" s="14"/>
      <c r="J769" s="14"/>
      <c r="K769" s="12"/>
    </row>
    <row r="770" ht="19.5" customHeight="1">
      <c r="A770" s="12"/>
      <c r="C770" s="12"/>
      <c r="D770" s="87"/>
      <c r="F770" s="14"/>
      <c r="G770" s="14"/>
      <c r="H770" s="14"/>
      <c r="I770" s="14"/>
      <c r="J770" s="14"/>
      <c r="K770" s="12"/>
    </row>
    <row r="771" ht="19.5" customHeight="1">
      <c r="A771" s="12"/>
      <c r="C771" s="12"/>
      <c r="D771" s="87"/>
      <c r="F771" s="14"/>
      <c r="G771" s="14"/>
      <c r="H771" s="14"/>
      <c r="I771" s="14"/>
      <c r="J771" s="14"/>
      <c r="K771" s="12"/>
    </row>
    <row r="772" ht="19.5" customHeight="1">
      <c r="A772" s="12"/>
      <c r="C772" s="12"/>
      <c r="D772" s="87"/>
      <c r="F772" s="14"/>
      <c r="G772" s="14"/>
      <c r="H772" s="14"/>
      <c r="I772" s="14"/>
      <c r="J772" s="14"/>
      <c r="K772" s="12"/>
    </row>
    <row r="773" ht="19.5" customHeight="1">
      <c r="A773" s="12"/>
      <c r="C773" s="12"/>
      <c r="D773" s="87"/>
      <c r="F773" s="14"/>
      <c r="G773" s="14"/>
      <c r="H773" s="14"/>
      <c r="I773" s="14"/>
      <c r="J773" s="14"/>
      <c r="K773" s="12"/>
    </row>
    <row r="774" ht="19.5" customHeight="1">
      <c r="A774" s="12"/>
      <c r="C774" s="12"/>
      <c r="D774" s="87"/>
      <c r="F774" s="14"/>
      <c r="G774" s="14"/>
      <c r="H774" s="14"/>
      <c r="I774" s="14"/>
      <c r="J774" s="14"/>
      <c r="K774" s="12"/>
    </row>
    <row r="775" ht="19.5" customHeight="1">
      <c r="A775" s="12"/>
      <c r="C775" s="12"/>
      <c r="D775" s="87"/>
      <c r="F775" s="14"/>
      <c r="G775" s="14"/>
      <c r="H775" s="14"/>
      <c r="I775" s="14"/>
      <c r="J775" s="14"/>
      <c r="K775" s="12"/>
    </row>
    <row r="776" ht="19.5" customHeight="1">
      <c r="A776" s="12"/>
      <c r="C776" s="12"/>
      <c r="D776" s="87"/>
      <c r="F776" s="14"/>
      <c r="G776" s="14"/>
      <c r="H776" s="14"/>
      <c r="I776" s="14"/>
      <c r="J776" s="14"/>
      <c r="K776" s="12"/>
    </row>
    <row r="777" ht="19.5" customHeight="1">
      <c r="A777" s="12"/>
      <c r="C777" s="12"/>
      <c r="D777" s="87"/>
      <c r="F777" s="14"/>
      <c r="G777" s="14"/>
      <c r="H777" s="14"/>
      <c r="I777" s="14"/>
      <c r="J777" s="14"/>
      <c r="K777" s="12"/>
    </row>
    <row r="778" ht="19.5" customHeight="1">
      <c r="A778" s="12"/>
      <c r="C778" s="12"/>
      <c r="D778" s="87"/>
      <c r="F778" s="14"/>
      <c r="G778" s="14"/>
      <c r="H778" s="14"/>
      <c r="I778" s="14"/>
      <c r="J778" s="14"/>
      <c r="K778" s="12"/>
    </row>
    <row r="779" ht="19.5" customHeight="1">
      <c r="A779" s="12"/>
      <c r="C779" s="12"/>
      <c r="D779" s="87"/>
      <c r="F779" s="14"/>
      <c r="G779" s="14"/>
      <c r="H779" s="14"/>
      <c r="I779" s="14"/>
      <c r="J779" s="14"/>
      <c r="K779" s="12"/>
    </row>
    <row r="780" ht="19.5" customHeight="1">
      <c r="A780" s="12"/>
      <c r="C780" s="12"/>
      <c r="D780" s="87"/>
      <c r="F780" s="14"/>
      <c r="G780" s="14"/>
      <c r="H780" s="14"/>
      <c r="I780" s="14"/>
      <c r="J780" s="14"/>
      <c r="K780" s="12"/>
    </row>
    <row r="781" ht="19.5" customHeight="1">
      <c r="A781" s="12"/>
      <c r="C781" s="12"/>
      <c r="D781" s="87"/>
      <c r="F781" s="14"/>
      <c r="G781" s="14"/>
      <c r="H781" s="14"/>
      <c r="I781" s="14"/>
      <c r="J781" s="14"/>
      <c r="K781" s="12"/>
    </row>
    <row r="782" ht="19.5" customHeight="1">
      <c r="A782" s="12"/>
      <c r="C782" s="12"/>
      <c r="D782" s="87"/>
      <c r="F782" s="14"/>
      <c r="G782" s="14"/>
      <c r="H782" s="14"/>
      <c r="I782" s="14"/>
      <c r="J782" s="14"/>
      <c r="K782" s="12"/>
    </row>
    <row r="783" ht="19.5" customHeight="1">
      <c r="A783" s="12"/>
      <c r="C783" s="12"/>
      <c r="D783" s="87"/>
      <c r="F783" s="14"/>
      <c r="G783" s="14"/>
      <c r="H783" s="14"/>
      <c r="I783" s="14"/>
      <c r="J783" s="14"/>
      <c r="K783" s="12"/>
    </row>
    <row r="784" ht="19.5" customHeight="1">
      <c r="A784" s="12"/>
      <c r="C784" s="12"/>
      <c r="D784" s="87"/>
      <c r="F784" s="14"/>
      <c r="G784" s="14"/>
      <c r="H784" s="14"/>
      <c r="I784" s="14"/>
      <c r="J784" s="14"/>
      <c r="K784" s="12"/>
    </row>
    <row r="785" ht="19.5" customHeight="1">
      <c r="A785" s="12"/>
      <c r="C785" s="12"/>
      <c r="D785" s="87"/>
      <c r="F785" s="14"/>
      <c r="G785" s="14"/>
      <c r="H785" s="14"/>
      <c r="I785" s="14"/>
      <c r="J785" s="14"/>
      <c r="K785" s="12"/>
    </row>
    <row r="786" ht="19.5" customHeight="1">
      <c r="A786" s="12"/>
      <c r="C786" s="12"/>
      <c r="D786" s="87"/>
      <c r="F786" s="14"/>
      <c r="G786" s="14"/>
      <c r="H786" s="14"/>
      <c r="I786" s="14"/>
      <c r="J786" s="14"/>
      <c r="K786" s="12"/>
    </row>
    <row r="787" ht="19.5" customHeight="1">
      <c r="A787" s="12"/>
      <c r="C787" s="12"/>
      <c r="D787" s="87"/>
      <c r="F787" s="14"/>
      <c r="G787" s="14"/>
      <c r="H787" s="14"/>
      <c r="I787" s="14"/>
      <c r="J787" s="14"/>
      <c r="K787" s="12"/>
    </row>
    <row r="788" ht="19.5" customHeight="1">
      <c r="A788" s="12"/>
      <c r="C788" s="12"/>
      <c r="D788" s="87"/>
      <c r="F788" s="14"/>
      <c r="G788" s="14"/>
      <c r="H788" s="14"/>
      <c r="I788" s="14"/>
      <c r="J788" s="14"/>
      <c r="K788" s="12"/>
    </row>
    <row r="789" ht="19.5" customHeight="1">
      <c r="A789" s="12"/>
      <c r="C789" s="12"/>
      <c r="D789" s="87"/>
      <c r="F789" s="14"/>
      <c r="G789" s="14"/>
      <c r="H789" s="14"/>
      <c r="I789" s="14"/>
      <c r="J789" s="14"/>
      <c r="K789" s="12"/>
    </row>
    <row r="790" ht="19.5" customHeight="1">
      <c r="A790" s="12"/>
      <c r="C790" s="12"/>
      <c r="D790" s="87"/>
      <c r="F790" s="14"/>
      <c r="G790" s="14"/>
      <c r="H790" s="14"/>
      <c r="I790" s="14"/>
      <c r="J790" s="14"/>
      <c r="K790" s="12"/>
    </row>
    <row r="791" ht="19.5" customHeight="1">
      <c r="A791" s="12"/>
      <c r="C791" s="12"/>
      <c r="D791" s="87"/>
      <c r="F791" s="14"/>
      <c r="G791" s="14"/>
      <c r="H791" s="14"/>
      <c r="I791" s="14"/>
      <c r="J791" s="14"/>
      <c r="K791" s="12"/>
    </row>
    <row r="792" ht="19.5" customHeight="1">
      <c r="A792" s="12"/>
      <c r="C792" s="12"/>
      <c r="D792" s="87"/>
      <c r="F792" s="14"/>
      <c r="G792" s="14"/>
      <c r="H792" s="14"/>
      <c r="I792" s="14"/>
      <c r="J792" s="14"/>
      <c r="K792" s="12"/>
    </row>
    <row r="793" ht="19.5" customHeight="1">
      <c r="A793" s="12"/>
      <c r="C793" s="12"/>
      <c r="D793" s="87"/>
      <c r="F793" s="14"/>
      <c r="G793" s="14"/>
      <c r="H793" s="14"/>
      <c r="I793" s="14"/>
      <c r="J793" s="14"/>
      <c r="K793" s="12"/>
    </row>
    <row r="794" ht="19.5" customHeight="1">
      <c r="A794" s="12"/>
      <c r="C794" s="12"/>
      <c r="D794" s="87"/>
      <c r="F794" s="14"/>
      <c r="G794" s="14"/>
      <c r="H794" s="14"/>
      <c r="I794" s="14"/>
      <c r="J794" s="14"/>
      <c r="K794" s="12"/>
    </row>
    <row r="795" ht="19.5" customHeight="1">
      <c r="A795" s="12"/>
      <c r="C795" s="12"/>
      <c r="D795" s="87"/>
      <c r="F795" s="14"/>
      <c r="G795" s="14"/>
      <c r="H795" s="14"/>
      <c r="I795" s="14"/>
      <c r="J795" s="14"/>
      <c r="K795" s="12"/>
    </row>
    <row r="796" ht="19.5" customHeight="1">
      <c r="A796" s="12"/>
      <c r="C796" s="12"/>
      <c r="D796" s="87"/>
      <c r="F796" s="14"/>
      <c r="G796" s="14"/>
      <c r="H796" s="14"/>
      <c r="I796" s="14"/>
      <c r="J796" s="14"/>
      <c r="K796" s="12"/>
    </row>
    <row r="797" ht="19.5" customHeight="1">
      <c r="A797" s="12"/>
      <c r="C797" s="12"/>
      <c r="D797" s="87"/>
      <c r="F797" s="14"/>
      <c r="G797" s="14"/>
      <c r="H797" s="14"/>
      <c r="I797" s="14"/>
      <c r="J797" s="14"/>
      <c r="K797" s="12"/>
    </row>
    <row r="798" ht="19.5" customHeight="1">
      <c r="A798" s="12"/>
      <c r="C798" s="12"/>
      <c r="D798" s="87"/>
      <c r="F798" s="14"/>
      <c r="G798" s="14"/>
      <c r="H798" s="14"/>
      <c r="I798" s="14"/>
      <c r="J798" s="14"/>
      <c r="K798" s="12"/>
    </row>
    <row r="799" ht="19.5" customHeight="1">
      <c r="A799" s="12"/>
      <c r="C799" s="12"/>
      <c r="D799" s="87"/>
      <c r="F799" s="14"/>
      <c r="G799" s="14"/>
      <c r="H799" s="14"/>
      <c r="I799" s="14"/>
      <c r="J799" s="14"/>
      <c r="K799" s="12"/>
    </row>
    <row r="800" ht="19.5" customHeight="1">
      <c r="A800" s="12"/>
      <c r="C800" s="12"/>
      <c r="D800" s="87"/>
      <c r="F800" s="14"/>
      <c r="G800" s="14"/>
      <c r="H800" s="14"/>
      <c r="I800" s="14"/>
      <c r="J800" s="14"/>
      <c r="K800" s="12"/>
    </row>
    <row r="801" ht="19.5" customHeight="1">
      <c r="A801" s="12"/>
      <c r="C801" s="12"/>
      <c r="D801" s="87"/>
      <c r="F801" s="14"/>
      <c r="G801" s="14"/>
      <c r="H801" s="14"/>
      <c r="I801" s="14"/>
      <c r="J801" s="14"/>
      <c r="K801" s="12"/>
    </row>
    <row r="802" ht="19.5" customHeight="1">
      <c r="A802" s="12"/>
      <c r="C802" s="12"/>
      <c r="D802" s="87"/>
      <c r="F802" s="14"/>
      <c r="G802" s="14"/>
      <c r="H802" s="14"/>
      <c r="I802" s="14"/>
      <c r="J802" s="14"/>
      <c r="K802" s="12"/>
    </row>
    <row r="803" ht="19.5" customHeight="1">
      <c r="A803" s="12"/>
      <c r="C803" s="12"/>
      <c r="D803" s="87"/>
      <c r="F803" s="14"/>
      <c r="G803" s="14"/>
      <c r="H803" s="14"/>
      <c r="I803" s="14"/>
      <c r="J803" s="14"/>
      <c r="K803" s="12"/>
    </row>
    <row r="804" ht="19.5" customHeight="1">
      <c r="A804" s="12"/>
      <c r="C804" s="12"/>
      <c r="D804" s="87"/>
      <c r="F804" s="14"/>
      <c r="G804" s="14"/>
      <c r="H804" s="14"/>
      <c r="I804" s="14"/>
      <c r="J804" s="14"/>
      <c r="K804" s="12"/>
    </row>
    <row r="805" ht="19.5" customHeight="1">
      <c r="A805" s="12"/>
      <c r="C805" s="12"/>
      <c r="D805" s="87"/>
      <c r="F805" s="14"/>
      <c r="G805" s="14"/>
      <c r="H805" s="14"/>
      <c r="I805" s="14"/>
      <c r="J805" s="14"/>
      <c r="K805" s="12"/>
    </row>
    <row r="806" ht="19.5" customHeight="1">
      <c r="A806" s="12"/>
      <c r="C806" s="12"/>
      <c r="D806" s="87"/>
      <c r="F806" s="14"/>
      <c r="G806" s="14"/>
      <c r="H806" s="14"/>
      <c r="I806" s="14"/>
      <c r="J806" s="14"/>
      <c r="K806" s="12"/>
    </row>
    <row r="807" ht="19.5" customHeight="1">
      <c r="A807" s="12"/>
      <c r="C807" s="12"/>
      <c r="D807" s="87"/>
      <c r="F807" s="14"/>
      <c r="G807" s="14"/>
      <c r="H807" s="14"/>
      <c r="I807" s="14"/>
      <c r="J807" s="14"/>
      <c r="K807" s="12"/>
    </row>
    <row r="808" ht="19.5" customHeight="1">
      <c r="A808" s="12"/>
      <c r="C808" s="12"/>
      <c r="D808" s="87"/>
      <c r="F808" s="14"/>
      <c r="G808" s="14"/>
      <c r="H808" s="14"/>
      <c r="I808" s="14"/>
      <c r="J808" s="14"/>
      <c r="K808" s="12"/>
    </row>
    <row r="809" ht="19.5" customHeight="1">
      <c r="A809" s="12"/>
      <c r="C809" s="12"/>
      <c r="D809" s="87"/>
      <c r="F809" s="14"/>
      <c r="G809" s="14"/>
      <c r="H809" s="14"/>
      <c r="I809" s="14"/>
      <c r="J809" s="14"/>
      <c r="K809" s="12"/>
    </row>
    <row r="810" ht="19.5" customHeight="1">
      <c r="A810" s="12"/>
      <c r="C810" s="12"/>
      <c r="D810" s="87"/>
      <c r="F810" s="14"/>
      <c r="G810" s="14"/>
      <c r="H810" s="14"/>
      <c r="I810" s="14"/>
      <c r="J810" s="14"/>
      <c r="K810" s="12"/>
    </row>
    <row r="811" ht="19.5" customHeight="1">
      <c r="A811" s="12"/>
      <c r="C811" s="12"/>
      <c r="D811" s="87"/>
      <c r="F811" s="14"/>
      <c r="G811" s="14"/>
      <c r="H811" s="14"/>
      <c r="I811" s="14"/>
      <c r="J811" s="14"/>
      <c r="K811" s="12"/>
    </row>
    <row r="812" ht="19.5" customHeight="1">
      <c r="A812" s="12"/>
      <c r="C812" s="12"/>
      <c r="D812" s="87"/>
      <c r="F812" s="14"/>
      <c r="G812" s="14"/>
      <c r="H812" s="14"/>
      <c r="I812" s="14"/>
      <c r="J812" s="14"/>
      <c r="K812" s="12"/>
    </row>
    <row r="813" ht="19.5" customHeight="1">
      <c r="A813" s="12"/>
      <c r="C813" s="12"/>
      <c r="D813" s="87"/>
      <c r="F813" s="14"/>
      <c r="G813" s="14"/>
      <c r="H813" s="14"/>
      <c r="I813" s="14"/>
      <c r="J813" s="14"/>
      <c r="K813" s="12"/>
    </row>
    <row r="814" ht="19.5" customHeight="1">
      <c r="A814" s="12"/>
      <c r="C814" s="12"/>
      <c r="D814" s="87"/>
      <c r="F814" s="14"/>
      <c r="G814" s="14"/>
      <c r="H814" s="14"/>
      <c r="I814" s="14"/>
      <c r="J814" s="14"/>
      <c r="K814" s="12"/>
    </row>
    <row r="815" ht="19.5" customHeight="1">
      <c r="A815" s="12"/>
      <c r="C815" s="12"/>
      <c r="D815" s="87"/>
      <c r="F815" s="14"/>
      <c r="G815" s="14"/>
      <c r="H815" s="14"/>
      <c r="I815" s="14"/>
      <c r="J815" s="14"/>
      <c r="K815" s="12"/>
    </row>
    <row r="816" ht="19.5" customHeight="1">
      <c r="A816" s="12"/>
      <c r="C816" s="12"/>
      <c r="D816" s="87"/>
      <c r="F816" s="14"/>
      <c r="G816" s="14"/>
      <c r="H816" s="14"/>
      <c r="I816" s="14"/>
      <c r="J816" s="14"/>
      <c r="K816" s="12"/>
    </row>
    <row r="817" ht="19.5" customHeight="1">
      <c r="A817" s="12"/>
      <c r="C817" s="12"/>
      <c r="D817" s="87"/>
      <c r="F817" s="14"/>
      <c r="G817" s="14"/>
      <c r="H817" s="14"/>
      <c r="I817" s="14"/>
      <c r="J817" s="14"/>
      <c r="K817" s="12"/>
    </row>
    <row r="818" ht="19.5" customHeight="1">
      <c r="A818" s="12"/>
      <c r="C818" s="12"/>
      <c r="D818" s="87"/>
      <c r="F818" s="14"/>
      <c r="G818" s="14"/>
      <c r="H818" s="14"/>
      <c r="I818" s="14"/>
      <c r="J818" s="14"/>
      <c r="K818" s="12"/>
    </row>
    <row r="819" ht="19.5" customHeight="1">
      <c r="A819" s="12"/>
      <c r="C819" s="12"/>
      <c r="D819" s="87"/>
      <c r="F819" s="14"/>
      <c r="G819" s="14"/>
      <c r="H819" s="14"/>
      <c r="I819" s="14"/>
      <c r="J819" s="14"/>
      <c r="K819" s="12"/>
    </row>
    <row r="820" ht="19.5" customHeight="1">
      <c r="A820" s="12"/>
      <c r="C820" s="12"/>
      <c r="D820" s="87"/>
      <c r="F820" s="14"/>
      <c r="G820" s="14"/>
      <c r="H820" s="14"/>
      <c r="I820" s="14"/>
      <c r="J820" s="14"/>
      <c r="K820" s="12"/>
    </row>
    <row r="821" ht="19.5" customHeight="1">
      <c r="A821" s="12"/>
      <c r="C821" s="12"/>
      <c r="D821" s="87"/>
      <c r="F821" s="14"/>
      <c r="G821" s="14"/>
      <c r="H821" s="14"/>
      <c r="I821" s="14"/>
      <c r="J821" s="14"/>
      <c r="K821" s="12"/>
    </row>
    <row r="822" ht="19.5" customHeight="1">
      <c r="A822" s="12"/>
      <c r="C822" s="12"/>
      <c r="D822" s="87"/>
      <c r="F822" s="14"/>
      <c r="G822" s="14"/>
      <c r="H822" s="14"/>
      <c r="I822" s="14"/>
      <c r="J822" s="14"/>
      <c r="K822" s="12"/>
    </row>
    <row r="823" ht="19.5" customHeight="1">
      <c r="A823" s="12"/>
      <c r="C823" s="12"/>
      <c r="D823" s="87"/>
      <c r="F823" s="14"/>
      <c r="G823" s="14"/>
      <c r="H823" s="14"/>
      <c r="I823" s="14"/>
      <c r="J823" s="14"/>
      <c r="K823" s="12"/>
    </row>
    <row r="824" ht="19.5" customHeight="1">
      <c r="A824" s="12"/>
      <c r="C824" s="12"/>
      <c r="D824" s="87"/>
      <c r="F824" s="14"/>
      <c r="G824" s="14"/>
      <c r="H824" s="14"/>
      <c r="I824" s="14"/>
      <c r="J824" s="14"/>
      <c r="K824" s="12"/>
    </row>
    <row r="825" ht="19.5" customHeight="1">
      <c r="A825" s="12"/>
      <c r="C825" s="12"/>
      <c r="D825" s="87"/>
      <c r="F825" s="14"/>
      <c r="G825" s="14"/>
      <c r="H825" s="14"/>
      <c r="I825" s="14"/>
      <c r="J825" s="14"/>
      <c r="K825" s="12"/>
    </row>
    <row r="826" ht="19.5" customHeight="1">
      <c r="A826" s="12"/>
      <c r="C826" s="12"/>
      <c r="D826" s="87"/>
      <c r="F826" s="14"/>
      <c r="G826" s="14"/>
      <c r="H826" s="14"/>
      <c r="I826" s="14"/>
      <c r="J826" s="14"/>
      <c r="K826" s="12"/>
    </row>
    <row r="827" ht="19.5" customHeight="1">
      <c r="A827" s="12"/>
      <c r="C827" s="12"/>
      <c r="D827" s="87"/>
      <c r="F827" s="14"/>
      <c r="G827" s="14"/>
      <c r="H827" s="14"/>
      <c r="I827" s="14"/>
      <c r="J827" s="14"/>
      <c r="K827" s="12"/>
    </row>
    <row r="828" ht="19.5" customHeight="1">
      <c r="A828" s="12"/>
      <c r="C828" s="12"/>
      <c r="D828" s="87"/>
      <c r="F828" s="14"/>
      <c r="G828" s="14"/>
      <c r="H828" s="14"/>
      <c r="I828" s="14"/>
      <c r="J828" s="14"/>
      <c r="K828" s="12"/>
    </row>
    <row r="829" ht="19.5" customHeight="1">
      <c r="A829" s="12"/>
      <c r="C829" s="12"/>
      <c r="D829" s="87"/>
      <c r="F829" s="14"/>
      <c r="G829" s="14"/>
      <c r="H829" s="14"/>
      <c r="I829" s="14"/>
      <c r="J829" s="14"/>
      <c r="K829" s="12"/>
    </row>
    <row r="830" ht="19.5" customHeight="1">
      <c r="A830" s="12"/>
      <c r="C830" s="12"/>
      <c r="D830" s="87"/>
      <c r="F830" s="14"/>
      <c r="G830" s="14"/>
      <c r="H830" s="14"/>
      <c r="I830" s="14"/>
      <c r="J830" s="14"/>
      <c r="K830" s="12"/>
    </row>
    <row r="831" ht="19.5" customHeight="1">
      <c r="A831" s="12"/>
      <c r="C831" s="12"/>
      <c r="D831" s="87"/>
      <c r="F831" s="14"/>
      <c r="G831" s="14"/>
      <c r="H831" s="14"/>
      <c r="I831" s="14"/>
      <c r="J831" s="14"/>
      <c r="K831" s="12"/>
    </row>
    <row r="832" ht="19.5" customHeight="1">
      <c r="A832" s="12"/>
      <c r="C832" s="12"/>
      <c r="D832" s="87"/>
      <c r="F832" s="14"/>
      <c r="G832" s="14"/>
      <c r="H832" s="14"/>
      <c r="I832" s="14"/>
      <c r="J832" s="14"/>
      <c r="K832" s="12"/>
    </row>
    <row r="833" ht="19.5" customHeight="1">
      <c r="A833" s="12"/>
      <c r="C833" s="12"/>
      <c r="D833" s="87"/>
      <c r="F833" s="14"/>
      <c r="G833" s="14"/>
      <c r="H833" s="14"/>
      <c r="I833" s="14"/>
      <c r="J833" s="14"/>
      <c r="K833" s="12"/>
    </row>
    <row r="834" ht="19.5" customHeight="1">
      <c r="A834" s="12"/>
      <c r="C834" s="12"/>
      <c r="D834" s="87"/>
      <c r="F834" s="14"/>
      <c r="G834" s="14"/>
      <c r="H834" s="14"/>
      <c r="I834" s="14"/>
      <c r="J834" s="14"/>
      <c r="K834" s="12"/>
    </row>
    <row r="835" ht="19.5" customHeight="1">
      <c r="A835" s="12"/>
      <c r="C835" s="12"/>
      <c r="D835" s="87"/>
      <c r="F835" s="14"/>
      <c r="G835" s="14"/>
      <c r="H835" s="14"/>
      <c r="I835" s="14"/>
      <c r="J835" s="14"/>
      <c r="K835" s="12"/>
    </row>
    <row r="836" ht="19.5" customHeight="1">
      <c r="A836" s="12"/>
      <c r="C836" s="12"/>
      <c r="D836" s="87"/>
      <c r="F836" s="14"/>
      <c r="G836" s="14"/>
      <c r="H836" s="14"/>
      <c r="I836" s="14"/>
      <c r="J836" s="14"/>
      <c r="K836" s="12"/>
    </row>
    <row r="837" ht="19.5" customHeight="1">
      <c r="A837" s="12"/>
      <c r="C837" s="12"/>
      <c r="D837" s="87"/>
      <c r="F837" s="14"/>
      <c r="G837" s="14"/>
      <c r="H837" s="14"/>
      <c r="I837" s="14"/>
      <c r="J837" s="14"/>
      <c r="K837" s="12"/>
    </row>
    <row r="838" ht="19.5" customHeight="1">
      <c r="A838" s="12"/>
      <c r="C838" s="12"/>
      <c r="D838" s="87"/>
      <c r="F838" s="14"/>
      <c r="G838" s="14"/>
      <c r="H838" s="14"/>
      <c r="I838" s="14"/>
      <c r="J838" s="14"/>
      <c r="K838" s="12"/>
    </row>
    <row r="839" ht="19.5" customHeight="1">
      <c r="A839" s="12"/>
      <c r="C839" s="12"/>
      <c r="D839" s="87"/>
      <c r="F839" s="14"/>
      <c r="G839" s="14"/>
      <c r="H839" s="14"/>
      <c r="I839" s="14"/>
      <c r="J839" s="14"/>
      <c r="K839" s="12"/>
    </row>
    <row r="840" ht="19.5" customHeight="1">
      <c r="A840" s="12"/>
      <c r="C840" s="12"/>
      <c r="D840" s="87"/>
      <c r="F840" s="14"/>
      <c r="G840" s="14"/>
      <c r="H840" s="14"/>
      <c r="I840" s="14"/>
      <c r="J840" s="14"/>
      <c r="K840" s="12"/>
    </row>
    <row r="841" ht="19.5" customHeight="1">
      <c r="A841" s="12"/>
      <c r="C841" s="12"/>
      <c r="D841" s="87"/>
      <c r="F841" s="14"/>
      <c r="G841" s="14"/>
      <c r="H841" s="14"/>
      <c r="I841" s="14"/>
      <c r="J841" s="14"/>
      <c r="K841" s="12"/>
    </row>
    <row r="842" ht="19.5" customHeight="1">
      <c r="A842" s="12"/>
      <c r="C842" s="12"/>
      <c r="D842" s="87"/>
      <c r="F842" s="14"/>
      <c r="G842" s="14"/>
      <c r="H842" s="14"/>
      <c r="I842" s="14"/>
      <c r="J842" s="14"/>
      <c r="K842" s="12"/>
    </row>
    <row r="843" ht="19.5" customHeight="1">
      <c r="A843" s="12"/>
      <c r="C843" s="12"/>
      <c r="D843" s="87"/>
      <c r="F843" s="14"/>
      <c r="G843" s="14"/>
      <c r="H843" s="14"/>
      <c r="I843" s="14"/>
      <c r="J843" s="14"/>
      <c r="K843" s="12"/>
    </row>
    <row r="844" ht="19.5" customHeight="1">
      <c r="A844" s="12"/>
      <c r="C844" s="12"/>
      <c r="D844" s="87"/>
      <c r="F844" s="14"/>
      <c r="G844" s="14"/>
      <c r="H844" s="14"/>
      <c r="I844" s="14"/>
      <c r="J844" s="14"/>
      <c r="K844" s="12"/>
    </row>
    <row r="845" ht="19.5" customHeight="1">
      <c r="A845" s="12"/>
      <c r="C845" s="12"/>
      <c r="D845" s="87"/>
      <c r="F845" s="14"/>
      <c r="G845" s="14"/>
      <c r="H845" s="14"/>
      <c r="I845" s="14"/>
      <c r="J845" s="14"/>
      <c r="K845" s="12"/>
    </row>
    <row r="846" ht="19.5" customHeight="1">
      <c r="A846" s="12"/>
      <c r="C846" s="12"/>
      <c r="D846" s="87"/>
      <c r="F846" s="14"/>
      <c r="G846" s="14"/>
      <c r="H846" s="14"/>
      <c r="I846" s="14"/>
      <c r="J846" s="14"/>
      <c r="K846" s="12"/>
    </row>
    <row r="847" ht="19.5" customHeight="1">
      <c r="A847" s="12"/>
      <c r="C847" s="12"/>
      <c r="D847" s="87"/>
      <c r="F847" s="14"/>
      <c r="G847" s="14"/>
      <c r="H847" s="14"/>
      <c r="I847" s="14"/>
      <c r="J847" s="14"/>
      <c r="K847" s="12"/>
    </row>
    <row r="848" ht="19.5" customHeight="1">
      <c r="A848" s="12"/>
      <c r="C848" s="12"/>
      <c r="D848" s="87"/>
      <c r="F848" s="14"/>
      <c r="G848" s="14"/>
      <c r="H848" s="14"/>
      <c r="I848" s="14"/>
      <c r="J848" s="14"/>
      <c r="K848" s="12"/>
    </row>
    <row r="849" ht="19.5" customHeight="1">
      <c r="A849" s="12"/>
      <c r="C849" s="12"/>
      <c r="D849" s="87"/>
      <c r="F849" s="14"/>
      <c r="G849" s="14"/>
      <c r="H849" s="14"/>
      <c r="I849" s="14"/>
      <c r="J849" s="14"/>
      <c r="K849" s="12"/>
    </row>
    <row r="850" ht="19.5" customHeight="1">
      <c r="A850" s="12"/>
      <c r="C850" s="12"/>
      <c r="D850" s="87"/>
      <c r="F850" s="14"/>
      <c r="G850" s="14"/>
      <c r="H850" s="14"/>
      <c r="I850" s="14"/>
      <c r="J850" s="14"/>
      <c r="K850" s="12"/>
    </row>
    <row r="851" ht="19.5" customHeight="1">
      <c r="A851" s="12"/>
      <c r="C851" s="12"/>
      <c r="D851" s="87"/>
      <c r="F851" s="14"/>
      <c r="G851" s="14"/>
      <c r="H851" s="14"/>
      <c r="I851" s="14"/>
      <c r="J851" s="14"/>
      <c r="K851" s="12"/>
    </row>
    <row r="852" ht="19.5" customHeight="1">
      <c r="A852" s="12"/>
      <c r="C852" s="12"/>
      <c r="D852" s="87"/>
      <c r="F852" s="14"/>
      <c r="G852" s="14"/>
      <c r="H852" s="14"/>
      <c r="I852" s="14"/>
      <c r="J852" s="14"/>
      <c r="K852" s="12"/>
    </row>
    <row r="853" ht="19.5" customHeight="1">
      <c r="A853" s="12"/>
      <c r="C853" s="12"/>
      <c r="D853" s="87"/>
      <c r="F853" s="14"/>
      <c r="G853" s="14"/>
      <c r="H853" s="14"/>
      <c r="I853" s="14"/>
      <c r="J853" s="14"/>
      <c r="K853" s="12"/>
    </row>
    <row r="854" ht="19.5" customHeight="1">
      <c r="A854" s="12"/>
      <c r="C854" s="12"/>
      <c r="D854" s="87"/>
      <c r="F854" s="14"/>
      <c r="G854" s="14"/>
      <c r="H854" s="14"/>
      <c r="I854" s="14"/>
      <c r="J854" s="14"/>
      <c r="K854" s="12"/>
    </row>
    <row r="855" ht="19.5" customHeight="1">
      <c r="A855" s="12"/>
      <c r="C855" s="12"/>
      <c r="D855" s="87"/>
      <c r="F855" s="14"/>
      <c r="G855" s="14"/>
      <c r="H855" s="14"/>
      <c r="I855" s="14"/>
      <c r="J855" s="14"/>
      <c r="K855" s="12"/>
    </row>
    <row r="856" ht="19.5" customHeight="1">
      <c r="A856" s="12"/>
      <c r="C856" s="12"/>
      <c r="D856" s="87"/>
      <c r="F856" s="14"/>
      <c r="G856" s="14"/>
      <c r="H856" s="14"/>
      <c r="I856" s="14"/>
      <c r="J856" s="14"/>
      <c r="K856" s="12"/>
    </row>
    <row r="857" ht="19.5" customHeight="1">
      <c r="A857" s="12"/>
      <c r="C857" s="12"/>
      <c r="D857" s="87"/>
      <c r="F857" s="14"/>
      <c r="G857" s="14"/>
      <c r="H857" s="14"/>
      <c r="I857" s="14"/>
      <c r="J857" s="14"/>
      <c r="K857" s="12"/>
    </row>
    <row r="858" ht="19.5" customHeight="1">
      <c r="A858" s="12"/>
      <c r="C858" s="12"/>
      <c r="D858" s="87"/>
      <c r="F858" s="14"/>
      <c r="G858" s="14"/>
      <c r="H858" s="14"/>
      <c r="I858" s="14"/>
      <c r="J858" s="14"/>
      <c r="K858" s="12"/>
    </row>
    <row r="859" ht="19.5" customHeight="1">
      <c r="A859" s="12"/>
      <c r="C859" s="12"/>
      <c r="D859" s="87"/>
      <c r="F859" s="14"/>
      <c r="G859" s="14"/>
      <c r="H859" s="14"/>
      <c r="I859" s="14"/>
      <c r="J859" s="14"/>
      <c r="K859" s="12"/>
    </row>
    <row r="860" ht="19.5" customHeight="1">
      <c r="A860" s="12"/>
      <c r="C860" s="12"/>
      <c r="D860" s="87"/>
      <c r="F860" s="14"/>
      <c r="G860" s="14"/>
      <c r="H860" s="14"/>
      <c r="I860" s="14"/>
      <c r="J860" s="14"/>
      <c r="K860" s="12"/>
    </row>
    <row r="861" ht="19.5" customHeight="1">
      <c r="A861" s="12"/>
      <c r="C861" s="12"/>
      <c r="D861" s="87"/>
      <c r="F861" s="14"/>
      <c r="G861" s="14"/>
      <c r="H861" s="14"/>
      <c r="I861" s="14"/>
      <c r="J861" s="14"/>
      <c r="K861" s="12"/>
    </row>
    <row r="862" ht="19.5" customHeight="1">
      <c r="A862" s="12"/>
      <c r="C862" s="12"/>
      <c r="D862" s="87"/>
      <c r="F862" s="14"/>
      <c r="G862" s="14"/>
      <c r="H862" s="14"/>
      <c r="I862" s="14"/>
      <c r="J862" s="14"/>
      <c r="K862" s="12"/>
    </row>
    <row r="863" ht="19.5" customHeight="1">
      <c r="A863" s="12"/>
      <c r="C863" s="12"/>
      <c r="D863" s="87"/>
      <c r="F863" s="14"/>
      <c r="G863" s="14"/>
      <c r="H863" s="14"/>
      <c r="I863" s="14"/>
      <c r="J863" s="14"/>
      <c r="K863" s="12"/>
    </row>
    <row r="864" ht="19.5" customHeight="1">
      <c r="A864" s="12"/>
      <c r="C864" s="12"/>
      <c r="D864" s="87"/>
      <c r="F864" s="14"/>
      <c r="G864" s="14"/>
      <c r="H864" s="14"/>
      <c r="I864" s="14"/>
      <c r="J864" s="14"/>
      <c r="K864" s="12"/>
    </row>
    <row r="865" ht="19.5" customHeight="1">
      <c r="A865" s="12"/>
      <c r="C865" s="12"/>
      <c r="D865" s="87"/>
      <c r="F865" s="14"/>
      <c r="G865" s="14"/>
      <c r="H865" s="14"/>
      <c r="I865" s="14"/>
      <c r="J865" s="14"/>
      <c r="K865" s="12"/>
    </row>
    <row r="866" ht="19.5" customHeight="1">
      <c r="A866" s="12"/>
      <c r="C866" s="12"/>
      <c r="D866" s="87"/>
      <c r="F866" s="14"/>
      <c r="G866" s="14"/>
      <c r="H866" s="14"/>
      <c r="I866" s="14"/>
      <c r="J866" s="14"/>
      <c r="K866" s="12"/>
    </row>
    <row r="867" ht="19.5" customHeight="1">
      <c r="A867" s="12"/>
      <c r="C867" s="12"/>
      <c r="D867" s="87"/>
      <c r="F867" s="14"/>
      <c r="G867" s="14"/>
      <c r="H867" s="14"/>
      <c r="I867" s="14"/>
      <c r="J867" s="14"/>
      <c r="K867" s="12"/>
    </row>
    <row r="868" ht="19.5" customHeight="1">
      <c r="A868" s="12"/>
      <c r="C868" s="12"/>
      <c r="D868" s="87"/>
      <c r="F868" s="14"/>
      <c r="G868" s="14"/>
      <c r="H868" s="14"/>
      <c r="I868" s="14"/>
      <c r="J868" s="14"/>
      <c r="K868" s="12"/>
    </row>
    <row r="869" ht="19.5" customHeight="1">
      <c r="A869" s="12"/>
      <c r="C869" s="12"/>
      <c r="D869" s="87"/>
      <c r="F869" s="14"/>
      <c r="G869" s="14"/>
      <c r="H869" s="14"/>
      <c r="I869" s="14"/>
      <c r="J869" s="14"/>
      <c r="K869" s="12"/>
    </row>
    <row r="870" ht="19.5" customHeight="1">
      <c r="A870" s="12"/>
      <c r="C870" s="12"/>
      <c r="D870" s="87"/>
      <c r="F870" s="14"/>
      <c r="G870" s="14"/>
      <c r="H870" s="14"/>
      <c r="I870" s="14"/>
      <c r="J870" s="14"/>
      <c r="K870" s="12"/>
    </row>
    <row r="871" ht="19.5" customHeight="1">
      <c r="A871" s="12"/>
      <c r="C871" s="12"/>
      <c r="D871" s="87"/>
      <c r="F871" s="14"/>
      <c r="G871" s="14"/>
      <c r="H871" s="14"/>
      <c r="I871" s="14"/>
      <c r="J871" s="14"/>
      <c r="K871" s="12"/>
    </row>
    <row r="872" ht="19.5" customHeight="1">
      <c r="A872" s="12"/>
      <c r="C872" s="12"/>
      <c r="D872" s="87"/>
      <c r="F872" s="14"/>
      <c r="G872" s="14"/>
      <c r="H872" s="14"/>
      <c r="I872" s="14"/>
      <c r="J872" s="14"/>
      <c r="K872" s="12"/>
    </row>
    <row r="873" ht="19.5" customHeight="1">
      <c r="A873" s="12"/>
      <c r="C873" s="12"/>
      <c r="D873" s="87"/>
      <c r="F873" s="14"/>
      <c r="G873" s="14"/>
      <c r="H873" s="14"/>
      <c r="I873" s="14"/>
      <c r="J873" s="14"/>
      <c r="K873" s="12"/>
    </row>
    <row r="874" ht="19.5" customHeight="1">
      <c r="A874" s="12"/>
      <c r="C874" s="12"/>
      <c r="D874" s="87"/>
      <c r="F874" s="14"/>
      <c r="G874" s="14"/>
      <c r="H874" s="14"/>
      <c r="I874" s="14"/>
      <c r="J874" s="14"/>
      <c r="K874" s="12"/>
    </row>
    <row r="875" ht="19.5" customHeight="1">
      <c r="A875" s="12"/>
      <c r="C875" s="12"/>
      <c r="D875" s="87"/>
      <c r="F875" s="14"/>
      <c r="G875" s="14"/>
      <c r="H875" s="14"/>
      <c r="I875" s="14"/>
      <c r="J875" s="14"/>
      <c r="K875" s="12"/>
    </row>
    <row r="876" ht="19.5" customHeight="1">
      <c r="A876" s="12"/>
      <c r="C876" s="12"/>
      <c r="D876" s="87"/>
      <c r="F876" s="14"/>
      <c r="G876" s="14"/>
      <c r="H876" s="14"/>
      <c r="I876" s="14"/>
      <c r="J876" s="14"/>
      <c r="K876" s="12"/>
    </row>
    <row r="877" ht="19.5" customHeight="1">
      <c r="A877" s="12"/>
      <c r="C877" s="12"/>
      <c r="D877" s="87"/>
      <c r="F877" s="14"/>
      <c r="G877" s="14"/>
      <c r="H877" s="14"/>
      <c r="I877" s="14"/>
      <c r="J877" s="14"/>
      <c r="K877" s="12"/>
    </row>
    <row r="878" ht="19.5" customHeight="1">
      <c r="A878" s="12"/>
      <c r="C878" s="12"/>
      <c r="D878" s="87"/>
      <c r="F878" s="14"/>
      <c r="G878" s="14"/>
      <c r="H878" s="14"/>
      <c r="I878" s="14"/>
      <c r="J878" s="14"/>
      <c r="K878" s="12"/>
    </row>
    <row r="879" ht="19.5" customHeight="1">
      <c r="A879" s="12"/>
      <c r="C879" s="12"/>
      <c r="D879" s="87"/>
      <c r="F879" s="14"/>
      <c r="G879" s="14"/>
      <c r="H879" s="14"/>
      <c r="I879" s="14"/>
      <c r="J879" s="14"/>
      <c r="K879" s="12"/>
    </row>
    <row r="880" ht="19.5" customHeight="1">
      <c r="A880" s="12"/>
      <c r="C880" s="12"/>
      <c r="D880" s="87"/>
      <c r="F880" s="14"/>
      <c r="G880" s="14"/>
      <c r="H880" s="14"/>
      <c r="I880" s="14"/>
      <c r="J880" s="14"/>
      <c r="K880" s="12"/>
    </row>
    <row r="881" ht="19.5" customHeight="1">
      <c r="A881" s="12"/>
      <c r="C881" s="12"/>
      <c r="D881" s="87"/>
      <c r="F881" s="14"/>
      <c r="G881" s="14"/>
      <c r="H881" s="14"/>
      <c r="I881" s="14"/>
      <c r="J881" s="14"/>
      <c r="K881" s="12"/>
    </row>
    <row r="882" ht="19.5" customHeight="1">
      <c r="A882" s="12"/>
      <c r="C882" s="12"/>
      <c r="D882" s="87"/>
      <c r="F882" s="14"/>
      <c r="G882" s="14"/>
      <c r="H882" s="14"/>
      <c r="I882" s="14"/>
      <c r="J882" s="14"/>
      <c r="K882" s="12"/>
    </row>
    <row r="883" ht="19.5" customHeight="1">
      <c r="A883" s="12"/>
      <c r="C883" s="12"/>
      <c r="D883" s="87"/>
      <c r="F883" s="14"/>
      <c r="G883" s="14"/>
      <c r="H883" s="14"/>
      <c r="I883" s="14"/>
      <c r="J883" s="14"/>
      <c r="K883" s="12"/>
    </row>
    <row r="884" ht="19.5" customHeight="1">
      <c r="A884" s="12"/>
      <c r="C884" s="12"/>
      <c r="D884" s="87"/>
      <c r="F884" s="14"/>
      <c r="G884" s="14"/>
      <c r="H884" s="14"/>
      <c r="I884" s="14"/>
      <c r="J884" s="14"/>
      <c r="K884" s="12"/>
    </row>
    <row r="885" ht="19.5" customHeight="1">
      <c r="A885" s="12"/>
      <c r="C885" s="12"/>
      <c r="D885" s="87"/>
      <c r="F885" s="14"/>
      <c r="G885" s="14"/>
      <c r="H885" s="14"/>
      <c r="I885" s="14"/>
      <c r="J885" s="14"/>
      <c r="K885" s="12"/>
    </row>
    <row r="886" ht="19.5" customHeight="1">
      <c r="A886" s="12"/>
      <c r="C886" s="12"/>
      <c r="D886" s="87"/>
      <c r="F886" s="14"/>
      <c r="G886" s="14"/>
      <c r="H886" s="14"/>
      <c r="I886" s="14"/>
      <c r="J886" s="14"/>
      <c r="K886" s="12"/>
    </row>
    <row r="887" ht="19.5" customHeight="1">
      <c r="A887" s="12"/>
      <c r="C887" s="12"/>
      <c r="D887" s="87"/>
      <c r="F887" s="14"/>
      <c r="G887" s="14"/>
      <c r="H887" s="14"/>
      <c r="I887" s="14"/>
      <c r="J887" s="14"/>
      <c r="K887" s="12"/>
    </row>
    <row r="888" ht="19.5" customHeight="1">
      <c r="A888" s="12"/>
      <c r="C888" s="12"/>
      <c r="D888" s="87"/>
      <c r="F888" s="14"/>
      <c r="G888" s="14"/>
      <c r="H888" s="14"/>
      <c r="I888" s="14"/>
      <c r="J888" s="14"/>
      <c r="K888" s="12"/>
    </row>
    <row r="889" ht="19.5" customHeight="1">
      <c r="A889" s="12"/>
      <c r="C889" s="12"/>
      <c r="D889" s="87"/>
      <c r="F889" s="14"/>
      <c r="G889" s="14"/>
      <c r="H889" s="14"/>
      <c r="I889" s="14"/>
      <c r="J889" s="14"/>
      <c r="K889" s="12"/>
    </row>
    <row r="890" ht="19.5" customHeight="1">
      <c r="A890" s="12"/>
      <c r="C890" s="12"/>
      <c r="D890" s="87"/>
      <c r="F890" s="14"/>
      <c r="G890" s="14"/>
      <c r="H890" s="14"/>
      <c r="I890" s="14"/>
      <c r="J890" s="14"/>
      <c r="K890" s="12"/>
    </row>
    <row r="891" ht="19.5" customHeight="1">
      <c r="A891" s="12"/>
      <c r="C891" s="12"/>
      <c r="D891" s="87"/>
      <c r="F891" s="14"/>
      <c r="G891" s="14"/>
      <c r="H891" s="14"/>
      <c r="I891" s="14"/>
      <c r="J891" s="14"/>
      <c r="K891" s="12"/>
    </row>
    <row r="892" ht="19.5" customHeight="1">
      <c r="A892" s="12"/>
      <c r="C892" s="12"/>
      <c r="D892" s="87"/>
      <c r="F892" s="14"/>
      <c r="G892" s="14"/>
      <c r="H892" s="14"/>
      <c r="I892" s="14"/>
      <c r="J892" s="14"/>
      <c r="K892" s="12"/>
    </row>
    <row r="893" ht="19.5" customHeight="1">
      <c r="A893" s="12"/>
      <c r="C893" s="12"/>
      <c r="D893" s="87"/>
      <c r="F893" s="14"/>
      <c r="G893" s="14"/>
      <c r="H893" s="14"/>
      <c r="I893" s="14"/>
      <c r="J893" s="14"/>
      <c r="K893" s="12"/>
    </row>
    <row r="894" ht="19.5" customHeight="1">
      <c r="A894" s="12"/>
      <c r="C894" s="12"/>
      <c r="D894" s="87"/>
      <c r="F894" s="14"/>
      <c r="G894" s="14"/>
      <c r="H894" s="14"/>
      <c r="I894" s="14"/>
      <c r="J894" s="14"/>
      <c r="K894" s="12"/>
    </row>
    <row r="895" ht="19.5" customHeight="1">
      <c r="A895" s="12"/>
      <c r="C895" s="12"/>
      <c r="D895" s="87"/>
      <c r="F895" s="14"/>
      <c r="G895" s="14"/>
      <c r="H895" s="14"/>
      <c r="I895" s="14"/>
      <c r="J895" s="14"/>
      <c r="K895" s="12"/>
    </row>
    <row r="896" ht="19.5" customHeight="1">
      <c r="A896" s="12"/>
      <c r="C896" s="12"/>
      <c r="D896" s="87"/>
      <c r="F896" s="14"/>
      <c r="G896" s="14"/>
      <c r="H896" s="14"/>
      <c r="I896" s="14"/>
      <c r="J896" s="14"/>
      <c r="K896" s="12"/>
    </row>
    <row r="897" ht="19.5" customHeight="1">
      <c r="A897" s="12"/>
      <c r="C897" s="12"/>
      <c r="D897" s="87"/>
      <c r="F897" s="14"/>
      <c r="G897" s="14"/>
      <c r="H897" s="14"/>
      <c r="I897" s="14"/>
      <c r="J897" s="14"/>
      <c r="K897" s="12"/>
    </row>
    <row r="898" ht="19.5" customHeight="1">
      <c r="A898" s="12"/>
      <c r="C898" s="12"/>
      <c r="D898" s="87"/>
      <c r="F898" s="14"/>
      <c r="G898" s="14"/>
      <c r="H898" s="14"/>
      <c r="I898" s="14"/>
      <c r="J898" s="14"/>
      <c r="K898" s="12"/>
    </row>
    <row r="899" ht="19.5" customHeight="1">
      <c r="A899" s="12"/>
      <c r="C899" s="12"/>
      <c r="D899" s="87"/>
      <c r="F899" s="14"/>
      <c r="G899" s="14"/>
      <c r="H899" s="14"/>
      <c r="I899" s="14"/>
      <c r="J899" s="14"/>
      <c r="K899" s="12"/>
    </row>
    <row r="900" ht="19.5" customHeight="1">
      <c r="A900" s="12"/>
      <c r="C900" s="12"/>
      <c r="D900" s="87"/>
      <c r="F900" s="14"/>
      <c r="G900" s="14"/>
      <c r="H900" s="14"/>
      <c r="I900" s="14"/>
      <c r="J900" s="14"/>
      <c r="K900" s="12"/>
    </row>
    <row r="901" ht="19.5" customHeight="1">
      <c r="A901" s="12"/>
      <c r="C901" s="12"/>
      <c r="D901" s="87"/>
      <c r="F901" s="14"/>
      <c r="G901" s="14"/>
      <c r="H901" s="14"/>
      <c r="I901" s="14"/>
      <c r="J901" s="14"/>
      <c r="K901" s="12"/>
    </row>
    <row r="902" ht="19.5" customHeight="1">
      <c r="A902" s="12"/>
      <c r="C902" s="12"/>
      <c r="D902" s="87"/>
      <c r="F902" s="14"/>
      <c r="G902" s="14"/>
      <c r="H902" s="14"/>
      <c r="I902" s="14"/>
      <c r="J902" s="14"/>
      <c r="K902" s="12"/>
    </row>
    <row r="903" ht="19.5" customHeight="1">
      <c r="A903" s="12"/>
      <c r="C903" s="12"/>
      <c r="D903" s="87"/>
      <c r="F903" s="14"/>
      <c r="G903" s="14"/>
      <c r="H903" s="14"/>
      <c r="I903" s="14"/>
      <c r="J903" s="14"/>
      <c r="K903" s="12"/>
    </row>
    <row r="904" ht="19.5" customHeight="1">
      <c r="A904" s="12"/>
      <c r="C904" s="12"/>
      <c r="D904" s="87"/>
      <c r="F904" s="14"/>
      <c r="G904" s="14"/>
      <c r="H904" s="14"/>
      <c r="I904" s="14"/>
      <c r="J904" s="14"/>
      <c r="K904" s="12"/>
    </row>
    <row r="905" ht="19.5" customHeight="1">
      <c r="A905" s="12"/>
      <c r="C905" s="12"/>
      <c r="D905" s="87"/>
      <c r="F905" s="14"/>
      <c r="G905" s="14"/>
      <c r="H905" s="14"/>
      <c r="I905" s="14"/>
      <c r="J905" s="14"/>
      <c r="K905" s="12"/>
    </row>
    <row r="906" ht="19.5" customHeight="1">
      <c r="A906" s="12"/>
      <c r="C906" s="12"/>
      <c r="D906" s="87"/>
      <c r="F906" s="14"/>
      <c r="G906" s="14"/>
      <c r="H906" s="14"/>
      <c r="I906" s="14"/>
      <c r="J906" s="14"/>
      <c r="K906" s="12"/>
    </row>
    <row r="907" ht="19.5" customHeight="1">
      <c r="A907" s="12"/>
      <c r="C907" s="12"/>
      <c r="D907" s="87"/>
      <c r="F907" s="14"/>
      <c r="G907" s="14"/>
      <c r="H907" s="14"/>
      <c r="I907" s="14"/>
      <c r="J907" s="14"/>
      <c r="K907" s="12"/>
    </row>
    <row r="908" ht="19.5" customHeight="1">
      <c r="A908" s="12"/>
      <c r="C908" s="12"/>
      <c r="D908" s="87"/>
      <c r="F908" s="14"/>
      <c r="G908" s="14"/>
      <c r="H908" s="14"/>
      <c r="I908" s="14"/>
      <c r="J908" s="14"/>
      <c r="K908" s="12"/>
    </row>
    <row r="909" ht="19.5" customHeight="1">
      <c r="A909" s="12"/>
      <c r="C909" s="12"/>
      <c r="D909" s="87"/>
      <c r="F909" s="14"/>
      <c r="G909" s="14"/>
      <c r="H909" s="14"/>
      <c r="I909" s="14"/>
      <c r="J909" s="14"/>
      <c r="K909" s="12"/>
    </row>
    <row r="910" ht="19.5" customHeight="1">
      <c r="A910" s="12"/>
      <c r="C910" s="12"/>
      <c r="D910" s="87"/>
      <c r="F910" s="14"/>
      <c r="G910" s="14"/>
      <c r="H910" s="14"/>
      <c r="I910" s="14"/>
      <c r="J910" s="14"/>
      <c r="K910" s="12"/>
    </row>
    <row r="911" ht="19.5" customHeight="1">
      <c r="A911" s="12"/>
      <c r="C911" s="12"/>
      <c r="D911" s="87"/>
      <c r="F911" s="14"/>
      <c r="G911" s="14"/>
      <c r="H911" s="14"/>
      <c r="I911" s="14"/>
      <c r="J911" s="14"/>
      <c r="K911" s="12"/>
    </row>
    <row r="912" ht="19.5" customHeight="1">
      <c r="A912" s="12"/>
      <c r="C912" s="12"/>
      <c r="D912" s="87"/>
      <c r="F912" s="14"/>
      <c r="G912" s="14"/>
      <c r="H912" s="14"/>
      <c r="I912" s="14"/>
      <c r="J912" s="14"/>
      <c r="K912" s="12"/>
    </row>
    <row r="913" ht="19.5" customHeight="1">
      <c r="A913" s="12"/>
      <c r="C913" s="12"/>
      <c r="D913" s="87"/>
      <c r="F913" s="14"/>
      <c r="G913" s="14"/>
      <c r="H913" s="14"/>
      <c r="I913" s="14"/>
      <c r="J913" s="14"/>
      <c r="K913" s="12"/>
    </row>
    <row r="914" ht="19.5" customHeight="1">
      <c r="A914" s="12"/>
      <c r="C914" s="12"/>
      <c r="D914" s="87"/>
      <c r="F914" s="14"/>
      <c r="G914" s="14"/>
      <c r="H914" s="14"/>
      <c r="I914" s="14"/>
      <c r="J914" s="14"/>
      <c r="K914" s="12"/>
    </row>
    <row r="915" ht="19.5" customHeight="1">
      <c r="A915" s="12"/>
      <c r="C915" s="12"/>
      <c r="D915" s="87"/>
      <c r="F915" s="14"/>
      <c r="G915" s="14"/>
      <c r="H915" s="14"/>
      <c r="I915" s="14"/>
      <c r="J915" s="14"/>
      <c r="K915" s="12"/>
    </row>
    <row r="916" ht="19.5" customHeight="1">
      <c r="A916" s="12"/>
      <c r="C916" s="12"/>
      <c r="D916" s="87"/>
      <c r="F916" s="14"/>
      <c r="G916" s="14"/>
      <c r="H916" s="14"/>
      <c r="I916" s="14"/>
      <c r="J916" s="14"/>
      <c r="K916" s="12"/>
    </row>
    <row r="917" ht="19.5" customHeight="1">
      <c r="A917" s="12"/>
      <c r="C917" s="12"/>
      <c r="D917" s="87"/>
      <c r="F917" s="14"/>
      <c r="G917" s="14"/>
      <c r="H917" s="14"/>
      <c r="I917" s="14"/>
      <c r="J917" s="14"/>
      <c r="K917" s="12"/>
    </row>
    <row r="918" ht="19.5" customHeight="1">
      <c r="A918" s="12"/>
      <c r="C918" s="12"/>
      <c r="D918" s="87"/>
      <c r="F918" s="14"/>
      <c r="G918" s="14"/>
      <c r="H918" s="14"/>
      <c r="I918" s="14"/>
      <c r="J918" s="14"/>
      <c r="K918" s="12"/>
    </row>
    <row r="919" ht="19.5" customHeight="1">
      <c r="A919" s="12"/>
      <c r="C919" s="12"/>
      <c r="D919" s="87"/>
      <c r="F919" s="14"/>
      <c r="G919" s="14"/>
      <c r="H919" s="14"/>
      <c r="I919" s="14"/>
      <c r="J919" s="14"/>
      <c r="K919" s="12"/>
    </row>
    <row r="920" ht="19.5" customHeight="1">
      <c r="A920" s="12"/>
      <c r="C920" s="12"/>
      <c r="D920" s="87"/>
      <c r="F920" s="14"/>
      <c r="G920" s="14"/>
      <c r="H920" s="14"/>
      <c r="I920" s="14"/>
      <c r="J920" s="14"/>
      <c r="K920" s="12"/>
    </row>
    <row r="921" ht="19.5" customHeight="1">
      <c r="A921" s="12"/>
      <c r="C921" s="12"/>
      <c r="D921" s="87"/>
      <c r="F921" s="14"/>
      <c r="G921" s="14"/>
      <c r="H921" s="14"/>
      <c r="I921" s="14"/>
      <c r="J921" s="14"/>
      <c r="K921" s="12"/>
    </row>
    <row r="922" ht="19.5" customHeight="1">
      <c r="A922" s="12"/>
      <c r="C922" s="12"/>
      <c r="D922" s="87"/>
      <c r="F922" s="14"/>
      <c r="G922" s="14"/>
      <c r="H922" s="14"/>
      <c r="I922" s="14"/>
      <c r="J922" s="14"/>
      <c r="K922" s="12"/>
    </row>
    <row r="923" ht="19.5" customHeight="1">
      <c r="A923" s="12"/>
      <c r="C923" s="12"/>
      <c r="D923" s="87"/>
      <c r="F923" s="14"/>
      <c r="G923" s="14"/>
      <c r="H923" s="14"/>
      <c r="I923" s="14"/>
      <c r="J923" s="14"/>
      <c r="K923" s="12"/>
    </row>
    <row r="924" ht="19.5" customHeight="1">
      <c r="A924" s="12"/>
      <c r="C924" s="12"/>
      <c r="D924" s="87"/>
      <c r="F924" s="14"/>
      <c r="G924" s="14"/>
      <c r="H924" s="14"/>
      <c r="I924" s="14"/>
      <c r="J924" s="14"/>
      <c r="K924" s="12"/>
    </row>
    <row r="925" ht="19.5" customHeight="1">
      <c r="A925" s="12"/>
      <c r="C925" s="12"/>
      <c r="D925" s="87"/>
      <c r="F925" s="14"/>
      <c r="G925" s="14"/>
      <c r="H925" s="14"/>
      <c r="I925" s="14"/>
      <c r="J925" s="14"/>
      <c r="K925" s="12"/>
    </row>
    <row r="926" ht="19.5" customHeight="1">
      <c r="A926" s="12"/>
      <c r="C926" s="12"/>
      <c r="D926" s="87"/>
      <c r="F926" s="14"/>
      <c r="G926" s="14"/>
      <c r="H926" s="14"/>
      <c r="I926" s="14"/>
      <c r="J926" s="14"/>
      <c r="K926" s="12"/>
    </row>
    <row r="927" ht="19.5" customHeight="1">
      <c r="A927" s="12"/>
      <c r="C927" s="12"/>
      <c r="D927" s="87"/>
      <c r="F927" s="14"/>
      <c r="G927" s="14"/>
      <c r="H927" s="14"/>
      <c r="I927" s="14"/>
      <c r="J927" s="14"/>
      <c r="K927" s="12"/>
    </row>
    <row r="928" ht="19.5" customHeight="1">
      <c r="A928" s="12"/>
      <c r="C928" s="12"/>
      <c r="D928" s="87"/>
      <c r="F928" s="14"/>
      <c r="G928" s="14"/>
      <c r="H928" s="14"/>
      <c r="I928" s="14"/>
      <c r="J928" s="14"/>
      <c r="K928" s="12"/>
    </row>
    <row r="929" ht="19.5" customHeight="1">
      <c r="A929" s="12"/>
      <c r="C929" s="12"/>
      <c r="D929" s="87"/>
      <c r="F929" s="14"/>
      <c r="G929" s="14"/>
      <c r="H929" s="14"/>
      <c r="I929" s="14"/>
      <c r="J929" s="14"/>
      <c r="K929" s="12"/>
    </row>
    <row r="930" ht="19.5" customHeight="1">
      <c r="A930" s="12"/>
      <c r="C930" s="12"/>
      <c r="D930" s="87"/>
      <c r="F930" s="14"/>
      <c r="G930" s="14"/>
      <c r="H930" s="14"/>
      <c r="I930" s="14"/>
      <c r="J930" s="14"/>
      <c r="K930" s="12"/>
    </row>
    <row r="931" ht="19.5" customHeight="1">
      <c r="A931" s="12"/>
      <c r="C931" s="12"/>
      <c r="D931" s="87"/>
      <c r="F931" s="14"/>
      <c r="G931" s="14"/>
      <c r="H931" s="14"/>
      <c r="I931" s="14"/>
      <c r="J931" s="14"/>
      <c r="K931" s="12"/>
    </row>
    <row r="932" ht="19.5" customHeight="1">
      <c r="A932" s="12"/>
      <c r="C932" s="12"/>
      <c r="D932" s="87"/>
      <c r="F932" s="14"/>
      <c r="G932" s="14"/>
      <c r="H932" s="14"/>
      <c r="I932" s="14"/>
      <c r="J932" s="14"/>
      <c r="K932" s="12"/>
    </row>
    <row r="933" ht="19.5" customHeight="1">
      <c r="A933" s="12"/>
      <c r="C933" s="12"/>
      <c r="D933" s="87"/>
      <c r="F933" s="14"/>
      <c r="G933" s="14"/>
      <c r="H933" s="14"/>
      <c r="I933" s="14"/>
      <c r="J933" s="14"/>
      <c r="K933" s="12"/>
    </row>
    <row r="934" ht="19.5" customHeight="1">
      <c r="A934" s="12"/>
      <c r="C934" s="12"/>
      <c r="D934" s="87"/>
      <c r="F934" s="14"/>
      <c r="G934" s="14"/>
      <c r="H934" s="14"/>
      <c r="I934" s="14"/>
      <c r="J934" s="14"/>
      <c r="K934" s="12"/>
    </row>
    <row r="935" ht="19.5" customHeight="1">
      <c r="A935" s="12"/>
      <c r="C935" s="12"/>
      <c r="D935" s="87"/>
      <c r="F935" s="14"/>
      <c r="G935" s="14"/>
      <c r="H935" s="14"/>
      <c r="I935" s="14"/>
      <c r="J935" s="14"/>
      <c r="K935" s="12"/>
    </row>
    <row r="936" ht="19.5" customHeight="1">
      <c r="A936" s="12"/>
      <c r="C936" s="12"/>
      <c r="D936" s="87"/>
      <c r="F936" s="14"/>
      <c r="G936" s="14"/>
      <c r="H936" s="14"/>
      <c r="I936" s="14"/>
      <c r="J936" s="14"/>
      <c r="K936" s="12"/>
    </row>
    <row r="937" ht="19.5" customHeight="1">
      <c r="A937" s="12"/>
      <c r="C937" s="12"/>
      <c r="D937" s="87"/>
      <c r="F937" s="14"/>
      <c r="G937" s="14"/>
      <c r="H937" s="14"/>
      <c r="I937" s="14"/>
      <c r="J937" s="14"/>
      <c r="K937" s="12"/>
    </row>
    <row r="938" ht="19.5" customHeight="1">
      <c r="A938" s="12"/>
      <c r="C938" s="12"/>
      <c r="D938" s="87"/>
      <c r="F938" s="14"/>
      <c r="G938" s="14"/>
      <c r="H938" s="14"/>
      <c r="I938" s="14"/>
      <c r="J938" s="14"/>
      <c r="K938" s="12"/>
    </row>
    <row r="939" ht="19.5" customHeight="1">
      <c r="A939" s="12"/>
      <c r="C939" s="12"/>
      <c r="D939" s="87"/>
      <c r="F939" s="14"/>
      <c r="G939" s="14"/>
      <c r="H939" s="14"/>
      <c r="I939" s="14"/>
      <c r="J939" s="14"/>
      <c r="K939" s="12"/>
    </row>
    <row r="940" ht="19.5" customHeight="1">
      <c r="A940" s="12"/>
      <c r="C940" s="12"/>
      <c r="D940" s="87"/>
      <c r="F940" s="14"/>
      <c r="G940" s="14"/>
      <c r="H940" s="14"/>
      <c r="I940" s="14"/>
      <c r="J940" s="14"/>
      <c r="K940" s="12"/>
    </row>
    <row r="941" ht="19.5" customHeight="1">
      <c r="A941" s="12"/>
      <c r="C941" s="12"/>
      <c r="D941" s="87"/>
      <c r="F941" s="14"/>
      <c r="G941" s="14"/>
      <c r="H941" s="14"/>
      <c r="I941" s="14"/>
      <c r="J941" s="14"/>
      <c r="K941" s="12"/>
    </row>
    <row r="942" ht="19.5" customHeight="1">
      <c r="A942" s="12"/>
      <c r="C942" s="12"/>
      <c r="D942" s="87"/>
      <c r="F942" s="14"/>
      <c r="G942" s="14"/>
      <c r="H942" s="14"/>
      <c r="I942" s="14"/>
      <c r="J942" s="14"/>
      <c r="K942" s="12"/>
    </row>
    <row r="943" ht="19.5" customHeight="1">
      <c r="A943" s="12"/>
      <c r="C943" s="12"/>
      <c r="D943" s="87"/>
      <c r="F943" s="14"/>
      <c r="G943" s="14"/>
      <c r="H943" s="14"/>
      <c r="I943" s="14"/>
      <c r="J943" s="14"/>
      <c r="K943" s="12"/>
    </row>
    <row r="944" ht="19.5" customHeight="1">
      <c r="A944" s="12"/>
      <c r="C944" s="12"/>
      <c r="D944" s="87"/>
      <c r="F944" s="14"/>
      <c r="G944" s="14"/>
      <c r="H944" s="14"/>
      <c r="I944" s="14"/>
      <c r="J944" s="14"/>
      <c r="K944" s="12"/>
    </row>
    <row r="945" ht="19.5" customHeight="1">
      <c r="A945" s="12"/>
      <c r="C945" s="12"/>
      <c r="D945" s="87"/>
      <c r="F945" s="14"/>
      <c r="G945" s="14"/>
      <c r="H945" s="14"/>
      <c r="I945" s="14"/>
      <c r="J945" s="14"/>
      <c r="K945" s="12"/>
    </row>
    <row r="946" ht="19.5" customHeight="1">
      <c r="A946" s="12"/>
      <c r="C946" s="12"/>
      <c r="D946" s="87"/>
      <c r="F946" s="14"/>
      <c r="G946" s="14"/>
      <c r="H946" s="14"/>
      <c r="I946" s="14"/>
      <c r="J946" s="14"/>
      <c r="K946" s="12"/>
    </row>
    <row r="947" ht="19.5" customHeight="1">
      <c r="A947" s="12"/>
      <c r="C947" s="12"/>
      <c r="D947" s="87"/>
      <c r="F947" s="14"/>
      <c r="G947" s="14"/>
      <c r="H947" s="14"/>
      <c r="I947" s="14"/>
      <c r="J947" s="14"/>
      <c r="K947" s="12"/>
    </row>
    <row r="948" ht="19.5" customHeight="1">
      <c r="A948" s="12"/>
      <c r="C948" s="12"/>
      <c r="D948" s="87"/>
      <c r="F948" s="14"/>
      <c r="G948" s="14"/>
      <c r="H948" s="14"/>
      <c r="I948" s="14"/>
      <c r="J948" s="14"/>
      <c r="K948" s="12"/>
    </row>
    <row r="949" ht="19.5" customHeight="1">
      <c r="A949" s="12"/>
      <c r="C949" s="12"/>
      <c r="D949" s="87"/>
      <c r="F949" s="14"/>
      <c r="G949" s="14"/>
      <c r="H949" s="14"/>
      <c r="I949" s="14"/>
      <c r="J949" s="14"/>
      <c r="K949" s="12"/>
    </row>
    <row r="950" ht="19.5" customHeight="1">
      <c r="A950" s="12"/>
      <c r="C950" s="12"/>
      <c r="D950" s="87"/>
      <c r="F950" s="14"/>
      <c r="G950" s="14"/>
      <c r="H950" s="14"/>
      <c r="I950" s="14"/>
      <c r="J950" s="14"/>
      <c r="K950" s="12"/>
    </row>
    <row r="951" ht="19.5" customHeight="1">
      <c r="A951" s="12"/>
      <c r="C951" s="12"/>
      <c r="D951" s="87"/>
      <c r="F951" s="14"/>
      <c r="G951" s="14"/>
      <c r="H951" s="14"/>
      <c r="I951" s="14"/>
      <c r="J951" s="14"/>
      <c r="K951" s="12"/>
    </row>
    <row r="952" ht="19.5" customHeight="1">
      <c r="A952" s="12"/>
      <c r="C952" s="12"/>
      <c r="D952" s="87"/>
      <c r="F952" s="14"/>
      <c r="G952" s="14"/>
      <c r="H952" s="14"/>
      <c r="I952" s="14"/>
      <c r="J952" s="14"/>
      <c r="K952" s="12"/>
    </row>
    <row r="953" ht="19.5" customHeight="1">
      <c r="A953" s="12"/>
      <c r="C953" s="12"/>
      <c r="D953" s="87"/>
      <c r="F953" s="14"/>
      <c r="G953" s="14"/>
      <c r="H953" s="14"/>
      <c r="I953" s="14"/>
      <c r="J953" s="14"/>
      <c r="K953" s="12"/>
    </row>
    <row r="954" ht="19.5" customHeight="1">
      <c r="A954" s="12"/>
      <c r="C954" s="12"/>
      <c r="D954" s="87"/>
      <c r="F954" s="14"/>
      <c r="G954" s="14"/>
      <c r="H954" s="14"/>
      <c r="I954" s="14"/>
      <c r="J954" s="14"/>
      <c r="K954" s="12"/>
    </row>
    <row r="955" ht="19.5" customHeight="1">
      <c r="A955" s="12"/>
      <c r="C955" s="12"/>
      <c r="D955" s="87"/>
      <c r="F955" s="14"/>
      <c r="G955" s="14"/>
      <c r="H955" s="14"/>
      <c r="I955" s="14"/>
      <c r="J955" s="14"/>
      <c r="K955" s="12"/>
    </row>
    <row r="956" ht="19.5" customHeight="1">
      <c r="A956" s="12"/>
      <c r="C956" s="12"/>
      <c r="D956" s="87"/>
      <c r="F956" s="14"/>
      <c r="G956" s="14"/>
      <c r="H956" s="14"/>
      <c r="I956" s="14"/>
      <c r="J956" s="14"/>
      <c r="K956" s="12"/>
    </row>
    <row r="957" ht="19.5" customHeight="1">
      <c r="A957" s="12"/>
      <c r="C957" s="12"/>
      <c r="D957" s="87"/>
      <c r="F957" s="14"/>
      <c r="G957" s="14"/>
      <c r="H957" s="14"/>
      <c r="I957" s="14"/>
      <c r="J957" s="14"/>
      <c r="K957" s="12"/>
    </row>
    <row r="958" ht="19.5" customHeight="1">
      <c r="A958" s="12"/>
      <c r="C958" s="12"/>
      <c r="D958" s="87"/>
      <c r="F958" s="14"/>
      <c r="G958" s="14"/>
      <c r="H958" s="14"/>
      <c r="I958" s="14"/>
      <c r="J958" s="14"/>
      <c r="K958" s="12"/>
    </row>
    <row r="959" ht="19.5" customHeight="1">
      <c r="A959" s="12"/>
      <c r="C959" s="12"/>
      <c r="D959" s="87"/>
      <c r="F959" s="14"/>
      <c r="G959" s="14"/>
      <c r="H959" s="14"/>
      <c r="I959" s="14"/>
      <c r="J959" s="14"/>
      <c r="K959" s="12"/>
    </row>
    <row r="960" ht="19.5" customHeight="1">
      <c r="A960" s="12"/>
      <c r="C960" s="12"/>
      <c r="D960" s="87"/>
      <c r="F960" s="14"/>
      <c r="G960" s="14"/>
      <c r="H960" s="14"/>
      <c r="I960" s="14"/>
      <c r="J960" s="14"/>
      <c r="K960" s="12"/>
    </row>
    <row r="961" ht="19.5" customHeight="1">
      <c r="A961" s="12"/>
      <c r="C961" s="12"/>
      <c r="D961" s="87"/>
      <c r="F961" s="14"/>
      <c r="G961" s="14"/>
      <c r="H961" s="14"/>
      <c r="I961" s="14"/>
      <c r="J961" s="14"/>
      <c r="K961" s="12"/>
    </row>
    <row r="962" ht="19.5" customHeight="1">
      <c r="A962" s="12"/>
      <c r="C962" s="12"/>
      <c r="D962" s="87"/>
      <c r="F962" s="14"/>
      <c r="G962" s="14"/>
      <c r="H962" s="14"/>
      <c r="I962" s="14"/>
      <c r="J962" s="14"/>
      <c r="K962" s="12"/>
    </row>
    <row r="963" ht="19.5" customHeight="1">
      <c r="A963" s="12"/>
      <c r="C963" s="12"/>
      <c r="D963" s="87"/>
      <c r="F963" s="14"/>
      <c r="G963" s="14"/>
      <c r="H963" s="14"/>
      <c r="I963" s="14"/>
      <c r="J963" s="14"/>
      <c r="K963" s="12"/>
    </row>
    <row r="964" ht="19.5" customHeight="1">
      <c r="A964" s="12"/>
      <c r="C964" s="12"/>
      <c r="D964" s="87"/>
      <c r="F964" s="14"/>
      <c r="G964" s="14"/>
      <c r="H964" s="14"/>
      <c r="I964" s="14"/>
      <c r="J964" s="14"/>
      <c r="K964" s="12"/>
    </row>
    <row r="965" ht="19.5" customHeight="1">
      <c r="A965" s="12"/>
      <c r="C965" s="12"/>
      <c r="D965" s="87"/>
      <c r="F965" s="14"/>
      <c r="G965" s="14"/>
      <c r="H965" s="14"/>
      <c r="I965" s="14"/>
      <c r="J965" s="14"/>
      <c r="K965" s="12"/>
    </row>
    <row r="966" ht="19.5" customHeight="1">
      <c r="A966" s="12"/>
      <c r="C966" s="12"/>
      <c r="D966" s="87"/>
      <c r="F966" s="14"/>
      <c r="G966" s="14"/>
      <c r="H966" s="14"/>
      <c r="I966" s="14"/>
      <c r="J966" s="14"/>
      <c r="K966" s="12"/>
    </row>
    <row r="967" ht="19.5" customHeight="1">
      <c r="A967" s="12"/>
      <c r="C967" s="12"/>
      <c r="D967" s="87"/>
      <c r="F967" s="14"/>
      <c r="G967" s="14"/>
      <c r="H967" s="14"/>
      <c r="I967" s="14"/>
      <c r="J967" s="14"/>
      <c r="K967" s="12"/>
    </row>
    <row r="968" ht="19.5" customHeight="1">
      <c r="A968" s="12"/>
      <c r="C968" s="12"/>
      <c r="D968" s="87"/>
      <c r="F968" s="14"/>
      <c r="G968" s="14"/>
      <c r="H968" s="14"/>
      <c r="I968" s="14"/>
      <c r="J968" s="14"/>
      <c r="K968" s="12"/>
    </row>
    <row r="969" ht="19.5" customHeight="1">
      <c r="A969" s="12"/>
      <c r="C969" s="12"/>
      <c r="D969" s="87"/>
      <c r="F969" s="14"/>
      <c r="G969" s="14"/>
      <c r="H969" s="14"/>
      <c r="I969" s="14"/>
      <c r="J969" s="14"/>
      <c r="K969" s="12"/>
    </row>
    <row r="970" ht="19.5" customHeight="1">
      <c r="A970" s="12"/>
      <c r="C970" s="12"/>
      <c r="D970" s="87"/>
      <c r="F970" s="14"/>
      <c r="G970" s="14"/>
      <c r="H970" s="14"/>
      <c r="I970" s="14"/>
      <c r="J970" s="14"/>
      <c r="K970" s="12"/>
    </row>
    <row r="971" ht="19.5" customHeight="1">
      <c r="A971" s="12"/>
      <c r="C971" s="12"/>
      <c r="D971" s="87"/>
      <c r="F971" s="14"/>
      <c r="G971" s="14"/>
      <c r="H971" s="14"/>
      <c r="I971" s="14"/>
      <c r="J971" s="14"/>
      <c r="K971" s="12"/>
    </row>
    <row r="972" ht="19.5" customHeight="1">
      <c r="A972" s="12"/>
      <c r="C972" s="12"/>
      <c r="D972" s="87"/>
      <c r="F972" s="14"/>
      <c r="G972" s="14"/>
      <c r="H972" s="14"/>
      <c r="I972" s="14"/>
      <c r="J972" s="14"/>
      <c r="K972" s="12"/>
    </row>
    <row r="973" ht="19.5" customHeight="1">
      <c r="A973" s="12"/>
      <c r="C973" s="12"/>
      <c r="D973" s="87"/>
      <c r="F973" s="14"/>
      <c r="G973" s="14"/>
      <c r="H973" s="14"/>
      <c r="I973" s="14"/>
      <c r="J973" s="14"/>
      <c r="K973" s="12"/>
    </row>
    <row r="974" ht="19.5" customHeight="1">
      <c r="A974" s="12"/>
      <c r="C974" s="12"/>
      <c r="D974" s="87"/>
      <c r="F974" s="14"/>
      <c r="G974" s="14"/>
      <c r="H974" s="14"/>
      <c r="I974" s="14"/>
      <c r="J974" s="14"/>
      <c r="K974" s="12"/>
    </row>
    <row r="975" ht="19.5" customHeight="1">
      <c r="A975" s="12"/>
      <c r="C975" s="12"/>
      <c r="D975" s="87"/>
      <c r="F975" s="14"/>
      <c r="G975" s="14"/>
      <c r="H975" s="14"/>
      <c r="I975" s="14"/>
      <c r="J975" s="14"/>
      <c r="K975" s="12"/>
    </row>
    <row r="976" ht="19.5" customHeight="1">
      <c r="A976" s="12"/>
      <c r="C976" s="12"/>
      <c r="D976" s="87"/>
      <c r="F976" s="14"/>
      <c r="G976" s="14"/>
      <c r="H976" s="14"/>
      <c r="I976" s="14"/>
      <c r="J976" s="14"/>
      <c r="K976" s="12"/>
    </row>
    <row r="977" ht="19.5" customHeight="1">
      <c r="A977" s="12"/>
      <c r="C977" s="12"/>
      <c r="D977" s="87"/>
      <c r="F977" s="14"/>
      <c r="G977" s="14"/>
      <c r="H977" s="14"/>
      <c r="I977" s="14"/>
      <c r="J977" s="14"/>
      <c r="K977" s="12"/>
    </row>
    <row r="978" ht="19.5" customHeight="1">
      <c r="A978" s="12"/>
      <c r="C978" s="12"/>
      <c r="D978" s="87"/>
      <c r="F978" s="14"/>
      <c r="G978" s="14"/>
      <c r="H978" s="14"/>
      <c r="I978" s="14"/>
      <c r="J978" s="14"/>
      <c r="K978" s="12"/>
    </row>
    <row r="979" ht="19.5" customHeight="1">
      <c r="A979" s="12"/>
      <c r="C979" s="12"/>
      <c r="D979" s="87"/>
      <c r="F979" s="14"/>
      <c r="G979" s="14"/>
      <c r="H979" s="14"/>
      <c r="I979" s="14"/>
      <c r="J979" s="14"/>
      <c r="K979" s="12"/>
    </row>
    <row r="980" ht="19.5" customHeight="1">
      <c r="A980" s="12"/>
      <c r="C980" s="12"/>
      <c r="D980" s="87"/>
      <c r="F980" s="14"/>
      <c r="G980" s="14"/>
      <c r="H980" s="14"/>
      <c r="I980" s="14"/>
      <c r="J980" s="14"/>
      <c r="K980" s="12"/>
    </row>
    <row r="981" ht="19.5" customHeight="1">
      <c r="A981" s="12"/>
      <c r="C981" s="12"/>
      <c r="D981" s="87"/>
      <c r="F981" s="14"/>
      <c r="G981" s="14"/>
      <c r="H981" s="14"/>
      <c r="I981" s="14"/>
      <c r="J981" s="14"/>
      <c r="K981" s="12"/>
    </row>
    <row r="982" ht="19.5" customHeight="1">
      <c r="A982" s="12"/>
      <c r="C982" s="12"/>
      <c r="D982" s="87"/>
      <c r="F982" s="14"/>
      <c r="G982" s="14"/>
      <c r="H982" s="14"/>
      <c r="I982" s="14"/>
      <c r="J982" s="14"/>
      <c r="K982" s="12"/>
    </row>
    <row r="983" ht="19.5" customHeight="1">
      <c r="A983" s="12"/>
      <c r="C983" s="12"/>
      <c r="D983" s="87"/>
      <c r="F983" s="14"/>
      <c r="G983" s="14"/>
      <c r="H983" s="14"/>
      <c r="I983" s="14"/>
      <c r="J983" s="14"/>
      <c r="K983" s="12"/>
    </row>
    <row r="984" ht="19.5" customHeight="1">
      <c r="A984" s="12"/>
      <c r="C984" s="12"/>
      <c r="D984" s="87"/>
      <c r="F984" s="14"/>
      <c r="G984" s="14"/>
      <c r="H984" s="14"/>
      <c r="I984" s="14"/>
      <c r="J984" s="14"/>
      <c r="K984" s="12"/>
    </row>
    <row r="985" ht="19.5" customHeight="1">
      <c r="A985" s="12"/>
      <c r="C985" s="12"/>
      <c r="D985" s="87"/>
      <c r="F985" s="14"/>
      <c r="G985" s="14"/>
      <c r="H985" s="14"/>
      <c r="I985" s="14"/>
      <c r="J985" s="14"/>
      <c r="K985" s="12"/>
    </row>
    <row r="986" ht="19.5" customHeight="1">
      <c r="A986" s="12"/>
      <c r="C986" s="12"/>
      <c r="D986" s="87"/>
      <c r="F986" s="14"/>
      <c r="G986" s="14"/>
      <c r="H986" s="14"/>
      <c r="I986" s="14"/>
      <c r="J986" s="14"/>
      <c r="K986" s="12"/>
    </row>
    <row r="987" ht="19.5" customHeight="1">
      <c r="A987" s="12"/>
      <c r="C987" s="12"/>
      <c r="D987" s="87"/>
      <c r="F987" s="14"/>
      <c r="G987" s="14"/>
      <c r="H987" s="14"/>
      <c r="I987" s="14"/>
      <c r="J987" s="14"/>
      <c r="K987" s="12"/>
    </row>
    <row r="988" ht="19.5" customHeight="1">
      <c r="A988" s="12"/>
      <c r="C988" s="12"/>
      <c r="D988" s="87"/>
      <c r="F988" s="14"/>
      <c r="G988" s="14"/>
      <c r="H988" s="14"/>
      <c r="I988" s="14"/>
      <c r="J988" s="14"/>
      <c r="K988" s="12"/>
    </row>
    <row r="989" ht="19.5" customHeight="1">
      <c r="A989" s="12"/>
      <c r="C989" s="12"/>
      <c r="D989" s="87"/>
      <c r="F989" s="14"/>
      <c r="G989" s="14"/>
      <c r="H989" s="14"/>
      <c r="I989" s="14"/>
      <c r="J989" s="14"/>
      <c r="K989" s="12"/>
    </row>
    <row r="990" ht="19.5" customHeight="1">
      <c r="A990" s="12"/>
      <c r="C990" s="12"/>
      <c r="D990" s="87"/>
      <c r="F990" s="14"/>
      <c r="G990" s="14"/>
      <c r="H990" s="14"/>
      <c r="I990" s="14"/>
      <c r="J990" s="14"/>
      <c r="K990" s="12"/>
    </row>
    <row r="991" ht="19.5" customHeight="1">
      <c r="A991" s="12"/>
      <c r="C991" s="12"/>
      <c r="D991" s="87"/>
      <c r="F991" s="14"/>
      <c r="G991" s="14"/>
      <c r="H991" s="14"/>
      <c r="I991" s="14"/>
      <c r="J991" s="14"/>
      <c r="K991" s="12"/>
    </row>
    <row r="992" ht="19.5" customHeight="1">
      <c r="A992" s="12"/>
      <c r="C992" s="12"/>
      <c r="D992" s="87"/>
      <c r="F992" s="14"/>
      <c r="G992" s="14"/>
      <c r="H992" s="14"/>
      <c r="I992" s="14"/>
      <c r="J992" s="14"/>
      <c r="K992" s="12"/>
    </row>
    <row r="993" ht="19.5" customHeight="1">
      <c r="A993" s="12"/>
      <c r="C993" s="12"/>
      <c r="D993" s="87"/>
      <c r="F993" s="14"/>
      <c r="G993" s="14"/>
      <c r="H993" s="14"/>
      <c r="I993" s="14"/>
      <c r="J993" s="14"/>
      <c r="K993" s="12"/>
    </row>
    <row r="994" ht="19.5" customHeight="1">
      <c r="A994" s="12"/>
      <c r="C994" s="12"/>
      <c r="D994" s="87"/>
      <c r="F994" s="14"/>
      <c r="G994" s="14"/>
      <c r="H994" s="14"/>
      <c r="I994" s="14"/>
      <c r="J994" s="14"/>
      <c r="K994" s="12"/>
    </row>
    <row r="995" ht="19.5" customHeight="1">
      <c r="A995" s="12"/>
      <c r="C995" s="12"/>
      <c r="D995" s="87"/>
      <c r="F995" s="14"/>
      <c r="G995" s="14"/>
      <c r="H995" s="14"/>
      <c r="I995" s="14"/>
      <c r="J995" s="14"/>
      <c r="K995" s="12"/>
    </row>
    <row r="996" ht="19.5" customHeight="1">
      <c r="A996" s="12"/>
      <c r="C996" s="12"/>
      <c r="D996" s="87"/>
      <c r="F996" s="14"/>
      <c r="G996" s="14"/>
      <c r="H996" s="14"/>
      <c r="I996" s="14"/>
      <c r="J996" s="14"/>
      <c r="K996" s="12"/>
    </row>
    <row r="997" ht="19.5" customHeight="1">
      <c r="A997" s="12"/>
      <c r="C997" s="12"/>
      <c r="D997" s="87"/>
      <c r="F997" s="14"/>
      <c r="G997" s="14"/>
      <c r="H997" s="14"/>
      <c r="I997" s="14"/>
      <c r="J997" s="14"/>
      <c r="K997" s="12"/>
    </row>
    <row r="998" ht="19.5" customHeight="1">
      <c r="A998" s="12"/>
      <c r="C998" s="12"/>
      <c r="D998" s="87"/>
      <c r="F998" s="14"/>
      <c r="G998" s="14"/>
      <c r="H998" s="14"/>
      <c r="I998" s="14"/>
      <c r="J998" s="14"/>
      <c r="K998" s="12"/>
    </row>
    <row r="999" ht="19.5" customHeight="1">
      <c r="A999" s="12"/>
      <c r="C999" s="12"/>
      <c r="D999" s="87"/>
      <c r="F999" s="14"/>
      <c r="G999" s="14"/>
      <c r="H999" s="14"/>
      <c r="I999" s="14"/>
      <c r="J999" s="14"/>
      <c r="K999" s="12"/>
    </row>
    <row r="1000" ht="19.5" customHeight="1">
      <c r="A1000" s="12"/>
      <c r="C1000" s="12"/>
      <c r="D1000" s="87"/>
      <c r="F1000" s="14"/>
      <c r="G1000" s="14"/>
      <c r="H1000" s="14"/>
      <c r="I1000" s="14"/>
      <c r="J1000" s="14"/>
      <c r="K1000" s="12"/>
    </row>
    <row r="1001" ht="19.5" customHeight="1">
      <c r="A1001" s="12"/>
      <c r="C1001" s="12"/>
      <c r="D1001" s="87"/>
      <c r="F1001" s="14"/>
      <c r="G1001" s="14"/>
      <c r="H1001" s="14"/>
      <c r="I1001" s="14"/>
      <c r="J1001" s="14"/>
      <c r="K1001" s="12"/>
    </row>
    <row r="1002" ht="19.5" customHeight="1">
      <c r="A1002" s="12"/>
      <c r="C1002" s="12"/>
      <c r="D1002" s="87"/>
      <c r="F1002" s="14"/>
      <c r="G1002" s="14"/>
      <c r="H1002" s="14"/>
      <c r="I1002" s="14"/>
      <c r="J1002" s="14"/>
      <c r="K1002" s="12"/>
    </row>
    <row r="1003" ht="19.5" customHeight="1">
      <c r="A1003" s="12"/>
      <c r="C1003" s="12"/>
      <c r="D1003" s="87"/>
      <c r="F1003" s="14"/>
      <c r="G1003" s="14"/>
      <c r="H1003" s="14"/>
      <c r="I1003" s="14"/>
      <c r="J1003" s="14"/>
      <c r="K1003" s="12"/>
    </row>
    <row r="1004" ht="19.5" customHeight="1">
      <c r="A1004" s="12"/>
      <c r="C1004" s="12"/>
      <c r="D1004" s="87"/>
      <c r="F1004" s="14"/>
      <c r="G1004" s="14"/>
      <c r="H1004" s="14"/>
      <c r="I1004" s="14"/>
      <c r="J1004" s="14"/>
      <c r="K1004" s="12"/>
    </row>
    <row r="1005" ht="19.5" customHeight="1">
      <c r="A1005" s="12"/>
      <c r="C1005" s="12"/>
      <c r="D1005" s="87"/>
      <c r="F1005" s="14"/>
      <c r="G1005" s="14"/>
      <c r="H1005" s="14"/>
      <c r="I1005" s="14"/>
      <c r="J1005" s="14"/>
      <c r="K1005" s="12"/>
    </row>
    <row r="1006" ht="19.5" customHeight="1">
      <c r="A1006" s="12"/>
      <c r="C1006" s="12"/>
      <c r="D1006" s="87"/>
      <c r="F1006" s="14"/>
      <c r="G1006" s="14"/>
      <c r="H1006" s="14"/>
      <c r="I1006" s="14"/>
      <c r="J1006" s="14"/>
      <c r="K1006" s="12"/>
    </row>
    <row r="1007" ht="19.5" customHeight="1">
      <c r="A1007" s="12"/>
      <c r="C1007" s="12"/>
      <c r="D1007" s="87"/>
      <c r="F1007" s="14"/>
      <c r="G1007" s="14"/>
      <c r="H1007" s="14"/>
      <c r="I1007" s="14"/>
      <c r="J1007" s="14"/>
      <c r="K1007" s="12"/>
    </row>
    <row r="1008" ht="19.5" customHeight="1">
      <c r="A1008" s="12"/>
      <c r="C1008" s="12"/>
      <c r="D1008" s="87"/>
      <c r="F1008" s="14"/>
      <c r="G1008" s="14"/>
      <c r="H1008" s="14"/>
      <c r="I1008" s="14"/>
      <c r="J1008" s="14"/>
      <c r="K1008" s="12"/>
    </row>
    <row r="1009" ht="19.5" customHeight="1">
      <c r="A1009" s="12"/>
      <c r="C1009" s="12"/>
      <c r="D1009" s="87"/>
      <c r="F1009" s="14"/>
      <c r="G1009" s="14"/>
      <c r="H1009" s="14"/>
      <c r="I1009" s="14"/>
      <c r="J1009" s="14"/>
      <c r="K1009" s="12"/>
    </row>
    <row r="1010" ht="19.5" customHeight="1">
      <c r="A1010" s="12"/>
      <c r="C1010" s="12"/>
      <c r="D1010" s="87"/>
      <c r="F1010" s="14"/>
      <c r="G1010" s="14"/>
      <c r="H1010" s="14"/>
      <c r="I1010" s="14"/>
      <c r="J1010" s="14"/>
      <c r="K1010" s="12"/>
    </row>
    <row r="1011" ht="19.5" customHeight="1">
      <c r="A1011" s="12"/>
      <c r="C1011" s="12"/>
      <c r="D1011" s="87"/>
      <c r="F1011" s="14"/>
      <c r="G1011" s="14"/>
      <c r="H1011" s="14"/>
      <c r="I1011" s="14"/>
      <c r="J1011" s="14"/>
      <c r="K1011" s="12"/>
    </row>
    <row r="1012" ht="19.5" customHeight="1">
      <c r="A1012" s="12"/>
      <c r="C1012" s="12"/>
      <c r="D1012" s="87"/>
      <c r="F1012" s="14"/>
      <c r="G1012" s="14"/>
      <c r="H1012" s="14"/>
      <c r="I1012" s="14"/>
      <c r="J1012" s="14"/>
      <c r="K1012" s="12"/>
    </row>
    <row r="1013" ht="19.5" customHeight="1">
      <c r="A1013" s="12"/>
      <c r="C1013" s="12"/>
      <c r="D1013" s="87"/>
      <c r="F1013" s="14"/>
      <c r="G1013" s="14"/>
      <c r="H1013" s="14"/>
      <c r="I1013" s="14"/>
      <c r="J1013" s="14"/>
      <c r="K1013" s="12"/>
    </row>
    <row r="1014" ht="19.5" customHeight="1">
      <c r="A1014" s="12"/>
      <c r="C1014" s="12"/>
      <c r="D1014" s="87"/>
      <c r="F1014" s="14"/>
      <c r="G1014" s="14"/>
      <c r="H1014" s="14"/>
      <c r="I1014" s="14"/>
      <c r="J1014" s="14"/>
      <c r="K1014" s="12"/>
    </row>
    <row r="1015" ht="19.5" customHeight="1">
      <c r="A1015" s="12"/>
      <c r="C1015" s="12"/>
      <c r="D1015" s="87"/>
      <c r="F1015" s="14"/>
      <c r="G1015" s="14"/>
      <c r="H1015" s="14"/>
      <c r="I1015" s="14"/>
      <c r="J1015" s="14"/>
      <c r="K1015" s="12"/>
    </row>
    <row r="1016" ht="19.5" customHeight="1">
      <c r="A1016" s="12"/>
      <c r="C1016" s="12"/>
      <c r="D1016" s="87"/>
      <c r="F1016" s="14"/>
      <c r="G1016" s="14"/>
      <c r="H1016" s="14"/>
      <c r="I1016" s="14"/>
      <c r="J1016" s="14"/>
      <c r="K1016" s="12"/>
    </row>
    <row r="1017" ht="19.5" customHeight="1">
      <c r="A1017" s="12"/>
      <c r="C1017" s="12"/>
      <c r="D1017" s="87"/>
      <c r="F1017" s="14"/>
      <c r="G1017" s="14"/>
      <c r="H1017" s="14"/>
      <c r="I1017" s="14"/>
      <c r="J1017" s="14"/>
      <c r="K1017" s="12"/>
    </row>
    <row r="1018" ht="19.5" customHeight="1">
      <c r="A1018" s="12"/>
      <c r="C1018" s="12"/>
      <c r="D1018" s="87"/>
      <c r="F1018" s="14"/>
      <c r="G1018" s="14"/>
      <c r="H1018" s="14"/>
      <c r="I1018" s="14"/>
      <c r="J1018" s="14"/>
      <c r="K1018" s="12"/>
    </row>
    <row r="1019" ht="19.5" customHeight="1">
      <c r="A1019" s="12"/>
      <c r="C1019" s="12"/>
      <c r="D1019" s="87"/>
      <c r="F1019" s="14"/>
      <c r="G1019" s="14"/>
      <c r="H1019" s="14"/>
      <c r="I1019" s="14"/>
      <c r="J1019" s="14"/>
      <c r="K1019" s="12"/>
    </row>
    <row r="1020" ht="19.5" customHeight="1">
      <c r="A1020" s="12"/>
      <c r="C1020" s="12"/>
      <c r="D1020" s="87"/>
      <c r="F1020" s="14"/>
      <c r="G1020" s="14"/>
      <c r="H1020" s="14"/>
      <c r="I1020" s="14"/>
      <c r="J1020" s="14"/>
      <c r="K1020" s="12"/>
    </row>
    <row r="1021" ht="19.5" customHeight="1">
      <c r="A1021" s="12"/>
      <c r="C1021" s="12"/>
      <c r="D1021" s="87"/>
      <c r="F1021" s="14"/>
      <c r="G1021" s="14"/>
      <c r="H1021" s="14"/>
      <c r="I1021" s="14"/>
      <c r="J1021" s="14"/>
      <c r="K1021" s="12"/>
    </row>
    <row r="1022" ht="19.5" customHeight="1">
      <c r="A1022" s="12"/>
      <c r="C1022" s="12"/>
      <c r="D1022" s="87"/>
      <c r="F1022" s="14"/>
      <c r="G1022" s="14"/>
      <c r="H1022" s="14"/>
      <c r="I1022" s="14"/>
      <c r="J1022" s="14"/>
      <c r="K1022" s="12"/>
    </row>
    <row r="1023" ht="19.5" customHeight="1">
      <c r="A1023" s="12"/>
      <c r="C1023" s="12"/>
      <c r="D1023" s="87"/>
      <c r="F1023" s="14"/>
      <c r="G1023" s="14"/>
      <c r="H1023" s="14"/>
      <c r="I1023" s="14"/>
      <c r="J1023" s="14"/>
      <c r="K1023" s="12"/>
    </row>
    <row r="1024" ht="19.5" customHeight="1">
      <c r="A1024" s="12"/>
      <c r="C1024" s="12"/>
      <c r="D1024" s="87"/>
      <c r="F1024" s="14"/>
      <c r="G1024" s="14"/>
      <c r="H1024" s="14"/>
      <c r="I1024" s="14"/>
      <c r="J1024" s="14"/>
      <c r="K1024" s="12"/>
    </row>
    <row r="1025" ht="19.5" customHeight="1">
      <c r="A1025" s="12"/>
      <c r="C1025" s="12"/>
      <c r="D1025" s="87"/>
      <c r="F1025" s="14"/>
      <c r="G1025" s="14"/>
      <c r="H1025" s="14"/>
      <c r="I1025" s="14"/>
      <c r="J1025" s="14"/>
      <c r="K1025" s="12"/>
    </row>
    <row r="1026" ht="19.5" customHeight="1">
      <c r="A1026" s="12"/>
      <c r="C1026" s="12"/>
      <c r="D1026" s="87"/>
      <c r="F1026" s="14"/>
      <c r="G1026" s="14"/>
      <c r="H1026" s="14"/>
      <c r="I1026" s="14"/>
      <c r="J1026" s="14"/>
      <c r="K1026" s="12"/>
    </row>
    <row r="1027" ht="19.5" customHeight="1">
      <c r="A1027" s="12"/>
      <c r="C1027" s="12"/>
      <c r="D1027" s="87"/>
      <c r="F1027" s="14"/>
      <c r="G1027" s="14"/>
      <c r="H1027" s="14"/>
      <c r="I1027" s="14"/>
      <c r="J1027" s="14"/>
      <c r="K1027" s="12"/>
    </row>
    <row r="1028" ht="19.5" customHeight="1">
      <c r="A1028" s="12"/>
      <c r="C1028" s="12"/>
      <c r="D1028" s="87"/>
      <c r="F1028" s="14"/>
      <c r="G1028" s="14"/>
      <c r="H1028" s="14"/>
      <c r="I1028" s="14"/>
      <c r="J1028" s="14"/>
      <c r="K1028" s="12"/>
    </row>
    <row r="1029" ht="19.5" customHeight="1">
      <c r="A1029" s="12"/>
      <c r="C1029" s="12"/>
      <c r="D1029" s="87"/>
      <c r="F1029" s="14"/>
      <c r="G1029" s="14"/>
      <c r="H1029" s="14"/>
      <c r="I1029" s="14"/>
      <c r="J1029" s="14"/>
      <c r="K1029" s="12"/>
    </row>
    <row r="1030" ht="19.5" customHeight="1">
      <c r="A1030" s="12"/>
      <c r="C1030" s="12"/>
      <c r="D1030" s="87"/>
      <c r="F1030" s="14"/>
      <c r="G1030" s="14"/>
      <c r="H1030" s="14"/>
      <c r="I1030" s="14"/>
      <c r="J1030" s="14"/>
      <c r="K1030" s="12"/>
    </row>
    <row r="1031" ht="19.5" customHeight="1">
      <c r="A1031" s="12"/>
      <c r="C1031" s="12"/>
      <c r="D1031" s="87"/>
      <c r="F1031" s="14"/>
      <c r="G1031" s="14"/>
      <c r="H1031" s="14"/>
      <c r="I1031" s="14"/>
      <c r="J1031" s="14"/>
      <c r="K1031" s="12"/>
    </row>
    <row r="1032" ht="19.5" customHeight="1">
      <c r="A1032" s="12"/>
      <c r="C1032" s="12"/>
      <c r="D1032" s="87"/>
      <c r="F1032" s="14"/>
      <c r="G1032" s="14"/>
      <c r="H1032" s="14"/>
      <c r="I1032" s="14"/>
      <c r="J1032" s="14"/>
      <c r="K1032" s="12"/>
    </row>
    <row r="1033" ht="19.5" customHeight="1">
      <c r="A1033" s="12"/>
      <c r="C1033" s="12"/>
      <c r="D1033" s="87"/>
      <c r="F1033" s="14"/>
      <c r="G1033" s="14"/>
      <c r="H1033" s="14"/>
      <c r="I1033" s="14"/>
      <c r="J1033" s="14"/>
      <c r="K1033" s="12"/>
    </row>
    <row r="1034" ht="19.5" customHeight="1">
      <c r="A1034" s="12"/>
      <c r="C1034" s="12"/>
      <c r="D1034" s="87"/>
      <c r="F1034" s="14"/>
      <c r="G1034" s="14"/>
      <c r="H1034" s="14"/>
      <c r="I1034" s="14"/>
      <c r="J1034" s="14"/>
      <c r="K1034" s="12"/>
    </row>
    <row r="1035" ht="19.5" customHeight="1">
      <c r="A1035" s="12"/>
      <c r="C1035" s="12"/>
      <c r="D1035" s="87"/>
      <c r="F1035" s="14"/>
      <c r="G1035" s="14"/>
      <c r="H1035" s="14"/>
      <c r="I1035" s="14"/>
      <c r="J1035" s="14"/>
      <c r="K1035" s="12"/>
    </row>
    <row r="1036" ht="19.5" customHeight="1">
      <c r="A1036" s="12"/>
      <c r="C1036" s="12"/>
      <c r="D1036" s="87"/>
      <c r="F1036" s="14"/>
      <c r="G1036" s="14"/>
      <c r="H1036" s="14"/>
      <c r="I1036" s="14"/>
      <c r="J1036" s="14"/>
      <c r="K1036" s="12"/>
    </row>
    <row r="1037" ht="19.5" customHeight="1">
      <c r="A1037" s="12"/>
      <c r="C1037" s="12"/>
      <c r="D1037" s="87"/>
      <c r="F1037" s="14"/>
      <c r="G1037" s="14"/>
      <c r="H1037" s="14"/>
      <c r="I1037" s="14"/>
      <c r="J1037" s="14"/>
      <c r="K1037" s="12"/>
    </row>
    <row r="1038" ht="19.5" customHeight="1">
      <c r="A1038" s="12"/>
      <c r="C1038" s="12"/>
      <c r="D1038" s="87"/>
      <c r="F1038" s="14"/>
      <c r="G1038" s="14"/>
      <c r="H1038" s="14"/>
      <c r="I1038" s="14"/>
      <c r="J1038" s="14"/>
      <c r="K1038" s="12"/>
    </row>
    <row r="1039" ht="19.5" customHeight="1">
      <c r="A1039" s="12"/>
      <c r="C1039" s="12"/>
      <c r="D1039" s="87"/>
      <c r="F1039" s="14"/>
      <c r="G1039" s="14"/>
      <c r="H1039" s="14"/>
      <c r="I1039" s="14"/>
      <c r="J1039" s="14"/>
      <c r="K1039" s="12"/>
    </row>
    <row r="1040" ht="19.5" customHeight="1">
      <c r="A1040" s="12"/>
      <c r="C1040" s="12"/>
      <c r="D1040" s="87"/>
      <c r="F1040" s="14"/>
      <c r="G1040" s="14"/>
      <c r="H1040" s="14"/>
      <c r="I1040" s="14"/>
      <c r="J1040" s="14"/>
      <c r="K1040" s="12"/>
    </row>
    <row r="1041" ht="19.5" customHeight="1">
      <c r="A1041" s="12"/>
      <c r="C1041" s="12"/>
      <c r="D1041" s="87"/>
      <c r="F1041" s="14"/>
      <c r="G1041" s="14"/>
      <c r="H1041" s="14"/>
      <c r="I1041" s="14"/>
      <c r="J1041" s="14"/>
      <c r="K1041" s="12"/>
    </row>
    <row r="1042" ht="19.5" customHeight="1">
      <c r="A1042" s="12"/>
      <c r="C1042" s="12"/>
      <c r="D1042" s="87"/>
      <c r="F1042" s="14"/>
      <c r="G1042" s="14"/>
      <c r="H1042" s="14"/>
      <c r="I1042" s="14"/>
      <c r="J1042" s="14"/>
      <c r="K1042" s="12"/>
    </row>
    <row r="1043" ht="19.5" customHeight="1">
      <c r="A1043" s="12"/>
      <c r="C1043" s="12"/>
      <c r="D1043" s="87"/>
      <c r="F1043" s="14"/>
      <c r="G1043" s="14"/>
      <c r="H1043" s="14"/>
      <c r="I1043" s="14"/>
      <c r="J1043" s="14"/>
      <c r="K1043" s="12"/>
    </row>
    <row r="1044" ht="19.5" customHeight="1">
      <c r="A1044" s="12"/>
      <c r="C1044" s="12"/>
      <c r="D1044" s="87"/>
      <c r="F1044" s="14"/>
      <c r="G1044" s="14"/>
      <c r="H1044" s="14"/>
      <c r="I1044" s="14"/>
      <c r="J1044" s="14"/>
      <c r="K1044" s="12"/>
    </row>
    <row r="1045" ht="19.5" customHeight="1">
      <c r="A1045" s="12"/>
      <c r="C1045" s="12"/>
      <c r="D1045" s="87"/>
      <c r="F1045" s="14"/>
      <c r="G1045" s="14"/>
      <c r="H1045" s="14"/>
      <c r="I1045" s="14"/>
      <c r="J1045" s="14"/>
      <c r="K1045" s="12"/>
    </row>
    <row r="1046" ht="19.5" customHeight="1">
      <c r="A1046" s="12"/>
      <c r="C1046" s="12"/>
      <c r="D1046" s="87"/>
      <c r="F1046" s="14"/>
      <c r="G1046" s="14"/>
      <c r="H1046" s="14"/>
      <c r="I1046" s="14"/>
      <c r="J1046" s="14"/>
      <c r="K1046" s="12"/>
    </row>
    <row r="1047" ht="19.5" customHeight="1">
      <c r="A1047" s="12"/>
      <c r="C1047" s="12"/>
      <c r="D1047" s="87"/>
      <c r="F1047" s="14"/>
      <c r="G1047" s="14"/>
      <c r="H1047" s="14"/>
      <c r="I1047" s="14"/>
      <c r="J1047" s="14"/>
      <c r="K1047" s="12"/>
    </row>
    <row r="1048" ht="19.5" customHeight="1">
      <c r="A1048" s="12"/>
      <c r="C1048" s="12"/>
      <c r="D1048" s="87"/>
      <c r="F1048" s="14"/>
      <c r="G1048" s="14"/>
      <c r="H1048" s="14"/>
      <c r="I1048" s="14"/>
      <c r="J1048" s="14"/>
      <c r="K1048" s="12"/>
    </row>
    <row r="1049" ht="19.5" customHeight="1">
      <c r="A1049" s="12"/>
      <c r="C1049" s="12"/>
      <c r="D1049" s="87"/>
      <c r="F1049" s="14"/>
      <c r="G1049" s="14"/>
      <c r="H1049" s="14"/>
      <c r="I1049" s="14"/>
      <c r="J1049" s="14"/>
      <c r="K1049" s="12"/>
    </row>
    <row r="1050" ht="19.5" customHeight="1">
      <c r="A1050" s="12"/>
      <c r="C1050" s="12"/>
      <c r="D1050" s="87"/>
      <c r="F1050" s="14"/>
      <c r="G1050" s="14"/>
      <c r="H1050" s="14"/>
      <c r="I1050" s="14"/>
      <c r="J1050" s="14"/>
      <c r="K1050" s="12"/>
    </row>
    <row r="1051" ht="19.5" customHeight="1">
      <c r="A1051" s="12"/>
      <c r="C1051" s="12"/>
      <c r="D1051" s="87"/>
      <c r="F1051" s="14"/>
      <c r="G1051" s="14"/>
      <c r="H1051" s="14"/>
      <c r="I1051" s="14"/>
      <c r="J1051" s="14"/>
      <c r="K1051" s="12"/>
    </row>
    <row r="1052" ht="19.5" customHeight="1">
      <c r="A1052" s="12"/>
      <c r="C1052" s="12"/>
      <c r="D1052" s="87"/>
      <c r="F1052" s="14"/>
      <c r="G1052" s="14"/>
      <c r="H1052" s="14"/>
      <c r="I1052" s="14"/>
      <c r="J1052" s="14"/>
      <c r="K1052" s="12"/>
    </row>
    <row r="1053" ht="19.5" customHeight="1">
      <c r="A1053" s="12"/>
      <c r="C1053" s="12"/>
      <c r="D1053" s="87"/>
      <c r="F1053" s="14"/>
      <c r="G1053" s="14"/>
      <c r="H1053" s="14"/>
      <c r="I1053" s="14"/>
      <c r="J1053" s="14"/>
      <c r="K1053" s="12"/>
    </row>
    <row r="1054" ht="19.5" customHeight="1">
      <c r="A1054" s="12"/>
      <c r="C1054" s="12"/>
      <c r="D1054" s="87"/>
      <c r="F1054" s="14"/>
      <c r="G1054" s="14"/>
      <c r="H1054" s="14"/>
      <c r="I1054" s="14"/>
      <c r="J1054" s="14"/>
      <c r="K1054" s="12"/>
    </row>
    <row r="1055" ht="19.5" customHeight="1">
      <c r="A1055" s="12"/>
      <c r="C1055" s="12"/>
      <c r="D1055" s="87"/>
      <c r="F1055" s="14"/>
      <c r="G1055" s="14"/>
      <c r="H1055" s="14"/>
      <c r="I1055" s="14"/>
      <c r="J1055" s="14"/>
      <c r="K1055" s="12"/>
    </row>
    <row r="1056" ht="19.5" customHeight="1">
      <c r="A1056" s="12"/>
      <c r="C1056" s="12"/>
      <c r="D1056" s="87"/>
      <c r="F1056" s="14"/>
      <c r="G1056" s="14"/>
      <c r="H1056" s="14"/>
      <c r="I1056" s="14"/>
      <c r="J1056" s="14"/>
      <c r="K1056" s="12"/>
    </row>
    <row r="1057" ht="19.5" customHeight="1">
      <c r="A1057" s="12"/>
      <c r="C1057" s="12"/>
      <c r="D1057" s="87"/>
      <c r="F1057" s="14"/>
      <c r="G1057" s="14"/>
      <c r="H1057" s="14"/>
      <c r="I1057" s="14"/>
      <c r="J1057" s="14"/>
      <c r="K1057" s="12"/>
    </row>
    <row r="1058" ht="19.5" customHeight="1">
      <c r="A1058" s="12"/>
      <c r="C1058" s="12"/>
      <c r="D1058" s="87"/>
      <c r="F1058" s="14"/>
      <c r="G1058" s="14"/>
      <c r="H1058" s="14"/>
      <c r="I1058" s="14"/>
      <c r="J1058" s="14"/>
      <c r="K1058" s="12"/>
    </row>
    <row r="1059" ht="19.5" customHeight="1">
      <c r="A1059" s="12"/>
      <c r="C1059" s="12"/>
      <c r="D1059" s="87"/>
      <c r="F1059" s="14"/>
      <c r="G1059" s="14"/>
      <c r="H1059" s="14"/>
      <c r="I1059" s="14"/>
      <c r="J1059" s="14"/>
      <c r="K1059" s="12"/>
    </row>
    <row r="1060" ht="19.5" customHeight="1">
      <c r="A1060" s="12"/>
      <c r="C1060" s="12"/>
      <c r="D1060" s="87"/>
      <c r="F1060" s="14"/>
      <c r="G1060" s="14"/>
      <c r="H1060" s="14"/>
      <c r="I1060" s="14"/>
      <c r="J1060" s="14"/>
      <c r="K1060" s="12"/>
    </row>
    <row r="1061" ht="19.5" customHeight="1">
      <c r="A1061" s="12"/>
      <c r="C1061" s="12"/>
      <c r="D1061" s="87"/>
      <c r="F1061" s="14"/>
      <c r="G1061" s="14"/>
      <c r="H1061" s="14"/>
      <c r="I1061" s="14"/>
      <c r="J1061" s="14"/>
      <c r="K1061" s="12"/>
    </row>
    <row r="1062" ht="19.5" customHeight="1">
      <c r="A1062" s="12"/>
      <c r="C1062" s="12"/>
      <c r="D1062" s="87"/>
      <c r="F1062" s="14"/>
      <c r="G1062" s="14"/>
      <c r="H1062" s="14"/>
      <c r="I1062" s="14"/>
      <c r="J1062" s="14"/>
      <c r="K1062" s="12"/>
    </row>
    <row r="1063" ht="19.5" customHeight="1">
      <c r="A1063" s="12"/>
      <c r="C1063" s="12"/>
      <c r="D1063" s="87"/>
      <c r="F1063" s="14"/>
      <c r="G1063" s="14"/>
      <c r="H1063" s="14"/>
      <c r="I1063" s="14"/>
      <c r="J1063" s="14"/>
      <c r="K1063" s="12"/>
    </row>
    <row r="1064" ht="19.5" customHeight="1">
      <c r="A1064" s="12"/>
      <c r="C1064" s="12"/>
      <c r="D1064" s="87"/>
      <c r="F1064" s="14"/>
      <c r="G1064" s="14"/>
      <c r="H1064" s="14"/>
      <c r="I1064" s="14"/>
      <c r="J1064" s="14"/>
      <c r="K1064" s="12"/>
    </row>
    <row r="1065" ht="19.5" customHeight="1">
      <c r="A1065" s="12"/>
      <c r="C1065" s="12"/>
      <c r="D1065" s="87"/>
      <c r="F1065" s="14"/>
      <c r="G1065" s="14"/>
      <c r="H1065" s="14"/>
      <c r="I1065" s="14"/>
      <c r="J1065" s="14"/>
      <c r="K1065" s="12"/>
    </row>
    <row r="1066" ht="19.5" customHeight="1">
      <c r="A1066" s="12"/>
      <c r="C1066" s="12"/>
      <c r="D1066" s="87"/>
      <c r="F1066" s="14"/>
      <c r="G1066" s="14"/>
      <c r="H1066" s="14"/>
      <c r="I1066" s="14"/>
      <c r="J1066" s="14"/>
      <c r="K1066" s="12"/>
    </row>
    <row r="1067" ht="19.5" customHeight="1">
      <c r="A1067" s="12"/>
      <c r="C1067" s="12"/>
      <c r="D1067" s="87"/>
      <c r="F1067" s="14"/>
      <c r="G1067" s="14"/>
      <c r="H1067" s="14"/>
      <c r="I1067" s="14"/>
      <c r="J1067" s="14"/>
      <c r="K1067" s="12"/>
    </row>
    <row r="1068" ht="19.5" customHeight="1">
      <c r="A1068" s="12"/>
      <c r="C1068" s="12"/>
      <c r="D1068" s="87"/>
      <c r="F1068" s="14"/>
      <c r="G1068" s="14"/>
      <c r="H1068" s="14"/>
      <c r="I1068" s="14"/>
      <c r="J1068" s="14"/>
      <c r="K1068" s="12"/>
    </row>
    <row r="1069" ht="19.5" customHeight="1">
      <c r="A1069" s="12"/>
      <c r="C1069" s="12"/>
      <c r="D1069" s="87"/>
      <c r="F1069" s="14"/>
      <c r="G1069" s="14"/>
      <c r="H1069" s="14"/>
      <c r="I1069" s="14"/>
      <c r="J1069" s="14"/>
      <c r="K1069" s="12"/>
    </row>
    <row r="1070" ht="19.5" customHeight="1">
      <c r="A1070" s="12"/>
      <c r="C1070" s="12"/>
      <c r="D1070" s="87"/>
      <c r="F1070" s="14"/>
      <c r="G1070" s="14"/>
      <c r="H1070" s="14"/>
      <c r="I1070" s="14"/>
      <c r="J1070" s="14"/>
      <c r="K1070" s="12"/>
    </row>
    <row r="1071" ht="19.5" customHeight="1">
      <c r="A1071" s="12"/>
      <c r="C1071" s="12"/>
      <c r="D1071" s="87"/>
      <c r="F1071" s="14"/>
      <c r="G1071" s="14"/>
      <c r="H1071" s="14"/>
      <c r="I1071" s="14"/>
      <c r="J1071" s="14"/>
      <c r="K1071" s="12"/>
    </row>
    <row r="1072" ht="19.5" customHeight="1">
      <c r="A1072" s="12"/>
      <c r="C1072" s="12"/>
      <c r="D1072" s="87"/>
      <c r="F1072" s="14"/>
      <c r="G1072" s="14"/>
      <c r="H1072" s="14"/>
      <c r="I1072" s="14"/>
      <c r="J1072" s="14"/>
      <c r="K1072" s="12"/>
    </row>
    <row r="1073" ht="19.5" customHeight="1">
      <c r="A1073" s="12"/>
      <c r="C1073" s="12"/>
      <c r="D1073" s="87"/>
      <c r="F1073" s="14"/>
      <c r="G1073" s="14"/>
      <c r="H1073" s="14"/>
      <c r="I1073" s="14"/>
      <c r="J1073" s="14"/>
      <c r="K1073" s="12"/>
    </row>
    <row r="1074" ht="19.5" customHeight="1">
      <c r="A1074" s="12"/>
      <c r="C1074" s="12"/>
      <c r="D1074" s="87"/>
      <c r="F1074" s="14"/>
      <c r="G1074" s="14"/>
      <c r="H1074" s="14"/>
      <c r="I1074" s="14"/>
      <c r="J1074" s="14"/>
      <c r="K1074" s="12"/>
    </row>
    <row r="1075" ht="19.5" customHeight="1">
      <c r="A1075" s="12"/>
      <c r="C1075" s="12"/>
      <c r="D1075" s="87"/>
      <c r="F1075" s="14"/>
      <c r="G1075" s="14"/>
      <c r="H1075" s="14"/>
      <c r="I1075" s="14"/>
      <c r="J1075" s="14"/>
      <c r="K1075" s="12"/>
    </row>
    <row r="1076" ht="19.5" customHeight="1">
      <c r="A1076" s="12"/>
      <c r="C1076" s="12"/>
      <c r="D1076" s="87"/>
      <c r="F1076" s="14"/>
      <c r="G1076" s="14"/>
      <c r="H1076" s="14"/>
      <c r="I1076" s="14"/>
      <c r="J1076" s="14"/>
      <c r="K1076" s="12"/>
    </row>
    <row r="1077" ht="19.5" customHeight="1">
      <c r="A1077" s="12"/>
      <c r="C1077" s="12"/>
      <c r="D1077" s="87"/>
      <c r="F1077" s="14"/>
      <c r="G1077" s="14"/>
      <c r="H1077" s="14"/>
      <c r="I1077" s="14"/>
      <c r="J1077" s="14"/>
      <c r="K1077" s="12"/>
    </row>
    <row r="1078" ht="19.5" customHeight="1">
      <c r="A1078" s="12"/>
      <c r="C1078" s="12"/>
      <c r="D1078" s="87"/>
      <c r="F1078" s="14"/>
      <c r="G1078" s="14"/>
      <c r="H1078" s="14"/>
      <c r="I1078" s="14"/>
      <c r="J1078" s="14"/>
      <c r="K1078" s="12"/>
    </row>
    <row r="1079" ht="19.5" customHeight="1">
      <c r="A1079" s="12"/>
      <c r="C1079" s="12"/>
      <c r="D1079" s="87"/>
      <c r="F1079" s="14"/>
      <c r="G1079" s="14"/>
      <c r="H1079" s="14"/>
      <c r="I1079" s="14"/>
      <c r="J1079" s="14"/>
      <c r="K1079" s="12"/>
    </row>
    <row r="1080" ht="19.5" customHeight="1">
      <c r="A1080" s="12"/>
      <c r="C1080" s="12"/>
      <c r="D1080" s="87"/>
      <c r="F1080" s="14"/>
      <c r="G1080" s="14"/>
      <c r="H1080" s="14"/>
      <c r="I1080" s="14"/>
      <c r="J1080" s="14"/>
      <c r="K1080" s="12"/>
    </row>
    <row r="1081" ht="19.5" customHeight="1">
      <c r="A1081" s="12"/>
      <c r="C1081" s="12"/>
      <c r="D1081" s="87"/>
      <c r="F1081" s="14"/>
      <c r="G1081" s="14"/>
      <c r="H1081" s="14"/>
      <c r="I1081" s="14"/>
      <c r="J1081" s="14"/>
      <c r="K1081" s="12"/>
    </row>
    <row r="1082" ht="19.5" customHeight="1">
      <c r="A1082" s="12"/>
      <c r="C1082" s="12"/>
      <c r="D1082" s="87"/>
      <c r="F1082" s="14"/>
      <c r="G1082" s="14"/>
      <c r="H1082" s="14"/>
      <c r="I1082" s="14"/>
      <c r="J1082" s="14"/>
      <c r="K1082" s="12"/>
    </row>
    <row r="1083" ht="19.5" customHeight="1">
      <c r="A1083" s="12"/>
      <c r="C1083" s="12"/>
      <c r="D1083" s="87"/>
      <c r="F1083" s="14"/>
      <c r="G1083" s="14"/>
      <c r="H1083" s="14"/>
      <c r="I1083" s="14"/>
      <c r="J1083" s="14"/>
      <c r="K1083" s="12"/>
    </row>
    <row r="1084" ht="19.5" customHeight="1">
      <c r="A1084" s="12"/>
      <c r="C1084" s="12"/>
      <c r="D1084" s="87"/>
      <c r="F1084" s="14"/>
      <c r="G1084" s="14"/>
      <c r="H1084" s="14"/>
      <c r="I1084" s="14"/>
      <c r="J1084" s="14"/>
      <c r="K1084" s="12"/>
    </row>
    <row r="1085" ht="19.5" customHeight="1">
      <c r="A1085" s="12"/>
      <c r="C1085" s="12"/>
      <c r="D1085" s="87"/>
      <c r="F1085" s="14"/>
      <c r="G1085" s="14"/>
      <c r="H1085" s="14"/>
      <c r="I1085" s="14"/>
      <c r="J1085" s="14"/>
      <c r="K1085" s="12"/>
    </row>
    <row r="1086" ht="19.5" customHeight="1">
      <c r="A1086" s="12"/>
      <c r="C1086" s="12"/>
      <c r="D1086" s="87"/>
      <c r="F1086" s="14"/>
      <c r="G1086" s="14"/>
      <c r="H1086" s="14"/>
      <c r="I1086" s="14"/>
      <c r="J1086" s="14"/>
      <c r="K1086" s="12"/>
    </row>
    <row r="1087" ht="19.5" customHeight="1">
      <c r="A1087" s="12"/>
      <c r="C1087" s="12"/>
      <c r="D1087" s="87"/>
      <c r="F1087" s="14"/>
      <c r="G1087" s="14"/>
      <c r="H1087" s="14"/>
      <c r="I1087" s="14"/>
      <c r="J1087" s="14"/>
      <c r="K1087" s="12"/>
    </row>
    <row r="1088" ht="19.5" customHeight="1">
      <c r="A1088" s="12"/>
      <c r="C1088" s="12"/>
      <c r="D1088" s="87"/>
      <c r="F1088" s="14"/>
      <c r="G1088" s="14"/>
      <c r="H1088" s="14"/>
      <c r="I1088" s="14"/>
      <c r="J1088" s="14"/>
      <c r="K1088" s="12"/>
    </row>
    <row r="1089" ht="19.5" customHeight="1">
      <c r="A1089" s="12"/>
      <c r="C1089" s="12"/>
      <c r="D1089" s="87"/>
      <c r="F1089" s="14"/>
      <c r="G1089" s="14"/>
      <c r="H1089" s="14"/>
      <c r="I1089" s="14"/>
      <c r="J1089" s="14"/>
      <c r="K1089" s="12"/>
    </row>
    <row r="1090" ht="19.5" customHeight="1">
      <c r="A1090" s="12"/>
      <c r="C1090" s="12"/>
      <c r="D1090" s="87"/>
      <c r="F1090" s="14"/>
      <c r="G1090" s="14"/>
      <c r="H1090" s="14"/>
      <c r="I1090" s="14"/>
      <c r="J1090" s="14"/>
      <c r="K1090" s="12"/>
    </row>
    <row r="1091" ht="19.5" customHeight="1">
      <c r="A1091" s="12"/>
      <c r="C1091" s="12"/>
      <c r="D1091" s="87"/>
      <c r="F1091" s="14"/>
      <c r="G1091" s="14"/>
      <c r="H1091" s="14"/>
      <c r="I1091" s="14"/>
      <c r="J1091" s="14"/>
      <c r="K1091" s="12"/>
    </row>
    <row r="1092" ht="19.5" customHeight="1">
      <c r="A1092" s="12"/>
      <c r="C1092" s="12"/>
      <c r="D1092" s="87"/>
      <c r="F1092" s="14"/>
      <c r="G1092" s="14"/>
      <c r="H1092" s="14"/>
      <c r="I1092" s="14"/>
      <c r="J1092" s="14"/>
      <c r="K1092" s="12"/>
    </row>
    <row r="1093" ht="19.5" customHeight="1">
      <c r="A1093" s="12"/>
      <c r="C1093" s="12"/>
      <c r="D1093" s="87"/>
      <c r="F1093" s="14"/>
      <c r="G1093" s="14"/>
      <c r="H1093" s="14"/>
      <c r="I1093" s="14"/>
      <c r="J1093" s="14"/>
      <c r="K1093" s="12"/>
    </row>
    <row r="1094" ht="19.5" customHeight="1">
      <c r="A1094" s="12"/>
      <c r="C1094" s="12"/>
      <c r="D1094" s="87"/>
      <c r="F1094" s="14"/>
      <c r="G1094" s="14"/>
      <c r="H1094" s="14"/>
      <c r="I1094" s="14"/>
      <c r="J1094" s="14"/>
      <c r="K1094" s="12"/>
    </row>
    <row r="1095" ht="19.5" customHeight="1">
      <c r="A1095" s="12"/>
      <c r="C1095" s="12"/>
      <c r="D1095" s="87"/>
      <c r="F1095" s="14"/>
      <c r="G1095" s="14"/>
      <c r="H1095" s="14"/>
      <c r="I1095" s="14"/>
      <c r="J1095" s="14"/>
      <c r="K1095" s="12"/>
    </row>
    <row r="1096" ht="19.5" customHeight="1">
      <c r="A1096" s="12"/>
      <c r="C1096" s="12"/>
      <c r="D1096" s="87"/>
      <c r="F1096" s="14"/>
      <c r="G1096" s="14"/>
      <c r="H1096" s="14"/>
      <c r="I1096" s="14"/>
      <c r="J1096" s="14"/>
      <c r="K1096" s="12"/>
    </row>
    <row r="1097" ht="19.5" customHeight="1">
      <c r="A1097" s="12"/>
      <c r="C1097" s="12"/>
      <c r="D1097" s="87"/>
      <c r="F1097" s="14"/>
      <c r="G1097" s="14"/>
      <c r="H1097" s="14"/>
      <c r="I1097" s="14"/>
      <c r="J1097" s="14"/>
      <c r="K1097" s="12"/>
    </row>
    <row r="1098" ht="19.5" customHeight="1">
      <c r="A1098" s="12"/>
      <c r="C1098" s="12"/>
      <c r="D1098" s="87"/>
      <c r="F1098" s="14"/>
      <c r="G1098" s="14"/>
      <c r="H1098" s="14"/>
      <c r="I1098" s="14"/>
      <c r="J1098" s="14"/>
      <c r="K1098" s="12"/>
    </row>
    <row r="1099" ht="19.5" customHeight="1">
      <c r="A1099" s="12"/>
      <c r="C1099" s="12"/>
      <c r="D1099" s="87"/>
      <c r="F1099" s="14"/>
      <c r="G1099" s="14"/>
      <c r="H1099" s="14"/>
      <c r="I1099" s="14"/>
      <c r="J1099" s="14"/>
      <c r="K1099" s="12"/>
    </row>
    <row r="1100" ht="19.5" customHeight="1">
      <c r="A1100" s="12"/>
      <c r="C1100" s="12"/>
      <c r="D1100" s="87"/>
      <c r="F1100" s="14"/>
      <c r="G1100" s="14"/>
      <c r="H1100" s="14"/>
      <c r="I1100" s="14"/>
      <c r="J1100" s="14"/>
      <c r="K1100" s="12"/>
    </row>
    <row r="1101" ht="19.5" customHeight="1">
      <c r="A1101" s="12"/>
      <c r="C1101" s="12"/>
      <c r="D1101" s="87"/>
      <c r="F1101" s="14"/>
      <c r="G1101" s="14"/>
      <c r="H1101" s="14"/>
      <c r="I1101" s="14"/>
      <c r="J1101" s="14"/>
      <c r="K1101" s="12"/>
    </row>
    <row r="1102" ht="19.5" customHeight="1">
      <c r="A1102" s="12"/>
      <c r="C1102" s="12"/>
      <c r="D1102" s="87"/>
      <c r="F1102" s="14"/>
      <c r="G1102" s="14"/>
      <c r="H1102" s="14"/>
      <c r="I1102" s="14"/>
      <c r="J1102" s="14"/>
      <c r="K1102" s="12"/>
    </row>
    <row r="1103" ht="19.5" customHeight="1">
      <c r="A1103" s="12"/>
      <c r="C1103" s="12"/>
      <c r="D1103" s="87"/>
      <c r="F1103" s="14"/>
      <c r="G1103" s="14"/>
      <c r="H1103" s="14"/>
      <c r="I1103" s="14"/>
      <c r="J1103" s="14"/>
      <c r="K1103" s="12"/>
    </row>
    <row r="1104" ht="19.5" customHeight="1">
      <c r="A1104" s="12"/>
      <c r="C1104" s="12"/>
      <c r="D1104" s="87"/>
      <c r="F1104" s="14"/>
      <c r="G1104" s="14"/>
      <c r="H1104" s="14"/>
      <c r="I1104" s="14"/>
      <c r="J1104" s="14"/>
      <c r="K1104" s="12"/>
    </row>
    <row r="1105" ht="19.5" customHeight="1">
      <c r="A1105" s="12"/>
      <c r="C1105" s="12"/>
      <c r="D1105" s="87"/>
      <c r="F1105" s="14"/>
      <c r="G1105" s="14"/>
      <c r="H1105" s="14"/>
      <c r="I1105" s="14"/>
      <c r="J1105" s="14"/>
      <c r="K1105" s="12"/>
    </row>
    <row r="1106" ht="19.5" customHeight="1">
      <c r="A1106" s="12"/>
      <c r="C1106" s="12"/>
      <c r="D1106" s="87"/>
      <c r="F1106" s="14"/>
      <c r="G1106" s="14"/>
      <c r="H1106" s="14"/>
      <c r="I1106" s="14"/>
      <c r="J1106" s="14"/>
      <c r="K1106" s="12"/>
    </row>
    <row r="1107" ht="19.5" customHeight="1">
      <c r="A1107" s="12"/>
      <c r="C1107" s="12"/>
      <c r="D1107" s="87"/>
      <c r="F1107" s="14"/>
      <c r="G1107" s="14"/>
      <c r="H1107" s="14"/>
      <c r="I1107" s="14"/>
      <c r="J1107" s="14"/>
      <c r="K1107" s="12"/>
    </row>
    <row r="1108" ht="19.5" customHeight="1">
      <c r="A1108" s="12"/>
      <c r="C1108" s="12"/>
      <c r="D1108" s="87"/>
      <c r="F1108" s="14"/>
      <c r="G1108" s="14"/>
      <c r="H1108" s="14"/>
      <c r="I1108" s="14"/>
      <c r="J1108" s="14"/>
      <c r="K1108" s="12"/>
    </row>
    <row r="1109" ht="19.5" customHeight="1">
      <c r="A1109" s="12"/>
      <c r="C1109" s="12"/>
      <c r="D1109" s="87"/>
      <c r="F1109" s="14"/>
      <c r="G1109" s="14"/>
      <c r="H1109" s="14"/>
      <c r="I1109" s="14"/>
      <c r="J1109" s="14"/>
      <c r="K1109" s="12"/>
    </row>
    <row r="1110" ht="19.5" customHeight="1">
      <c r="A1110" s="12"/>
      <c r="C1110" s="12"/>
      <c r="D1110" s="87"/>
      <c r="F1110" s="14"/>
      <c r="G1110" s="14"/>
      <c r="H1110" s="14"/>
      <c r="I1110" s="14"/>
      <c r="J1110" s="14"/>
      <c r="K1110" s="12"/>
    </row>
    <row r="1111" ht="19.5" customHeight="1">
      <c r="A1111" s="12"/>
      <c r="C1111" s="12"/>
      <c r="D1111" s="87"/>
      <c r="F1111" s="14"/>
      <c r="G1111" s="14"/>
      <c r="H1111" s="14"/>
      <c r="I1111" s="14"/>
      <c r="J1111" s="14"/>
      <c r="K1111" s="12"/>
    </row>
    <row r="1112" ht="19.5" customHeight="1">
      <c r="A1112" s="12"/>
      <c r="C1112" s="12"/>
      <c r="D1112" s="87"/>
      <c r="F1112" s="14"/>
      <c r="G1112" s="14"/>
      <c r="H1112" s="14"/>
      <c r="I1112" s="14"/>
      <c r="J1112" s="14"/>
      <c r="K1112" s="12"/>
    </row>
    <row r="1113" ht="19.5" customHeight="1">
      <c r="A1113" s="12"/>
      <c r="C1113" s="12"/>
      <c r="D1113" s="87"/>
      <c r="F1113" s="14"/>
      <c r="G1113" s="14"/>
      <c r="H1113" s="14"/>
      <c r="I1113" s="14"/>
      <c r="J1113" s="14"/>
      <c r="K1113" s="12"/>
    </row>
    <row r="1114" ht="19.5" customHeight="1">
      <c r="A1114" s="12"/>
      <c r="C1114" s="12"/>
      <c r="D1114" s="87"/>
      <c r="F1114" s="14"/>
      <c r="G1114" s="14"/>
      <c r="H1114" s="14"/>
      <c r="I1114" s="14"/>
      <c r="J1114" s="14"/>
      <c r="K1114" s="12"/>
    </row>
    <row r="1115" ht="19.5" customHeight="1">
      <c r="A1115" s="12"/>
      <c r="C1115" s="12"/>
      <c r="D1115" s="87"/>
      <c r="F1115" s="14"/>
      <c r="G1115" s="14"/>
      <c r="H1115" s="14"/>
      <c r="I1115" s="14"/>
      <c r="J1115" s="14"/>
      <c r="K1115" s="12"/>
    </row>
    <row r="1116" ht="19.5" customHeight="1">
      <c r="A1116" s="12"/>
      <c r="C1116" s="12"/>
      <c r="D1116" s="87"/>
      <c r="F1116" s="14"/>
      <c r="G1116" s="14"/>
      <c r="H1116" s="14"/>
      <c r="I1116" s="14"/>
      <c r="J1116" s="14"/>
      <c r="K1116" s="12"/>
    </row>
    <row r="1117" ht="19.5" customHeight="1">
      <c r="A1117" s="12"/>
      <c r="C1117" s="12"/>
      <c r="D1117" s="87"/>
      <c r="F1117" s="14"/>
      <c r="G1117" s="14"/>
      <c r="H1117" s="14"/>
      <c r="I1117" s="14"/>
      <c r="J1117" s="14"/>
      <c r="K1117" s="12"/>
    </row>
    <row r="1118" ht="19.5" customHeight="1">
      <c r="A1118" s="12"/>
      <c r="C1118" s="12"/>
      <c r="D1118" s="87"/>
      <c r="F1118" s="14"/>
      <c r="G1118" s="14"/>
      <c r="H1118" s="14"/>
      <c r="I1118" s="14"/>
      <c r="J1118" s="14"/>
      <c r="K1118" s="12"/>
    </row>
    <row r="1119" ht="19.5" customHeight="1">
      <c r="A1119" s="12"/>
      <c r="C1119" s="12"/>
      <c r="D1119" s="87"/>
      <c r="F1119" s="14"/>
      <c r="G1119" s="14"/>
      <c r="H1119" s="14"/>
      <c r="I1119" s="14"/>
      <c r="J1119" s="14"/>
      <c r="K1119" s="12"/>
    </row>
    <row r="1120" ht="19.5" customHeight="1">
      <c r="A1120" s="12"/>
      <c r="C1120" s="12"/>
      <c r="D1120" s="87"/>
      <c r="F1120" s="14"/>
      <c r="G1120" s="14"/>
      <c r="H1120" s="14"/>
      <c r="I1120" s="14"/>
      <c r="J1120" s="14"/>
      <c r="K1120" s="12"/>
    </row>
    <row r="1121" ht="19.5" customHeight="1">
      <c r="A1121" s="12"/>
      <c r="C1121" s="12"/>
      <c r="D1121" s="87"/>
      <c r="F1121" s="14"/>
      <c r="G1121" s="14"/>
      <c r="H1121" s="14"/>
      <c r="I1121" s="14"/>
      <c r="J1121" s="14"/>
      <c r="K1121" s="12"/>
    </row>
    <row r="1122" ht="19.5" customHeight="1">
      <c r="A1122" s="12"/>
      <c r="C1122" s="12"/>
      <c r="D1122" s="87"/>
      <c r="F1122" s="14"/>
      <c r="G1122" s="14"/>
      <c r="H1122" s="14"/>
      <c r="I1122" s="14"/>
      <c r="J1122" s="14"/>
      <c r="K1122" s="12"/>
    </row>
    <row r="1123" ht="19.5" customHeight="1">
      <c r="A1123" s="12"/>
      <c r="C1123" s="12"/>
      <c r="D1123" s="87"/>
      <c r="F1123" s="14"/>
      <c r="G1123" s="14"/>
      <c r="H1123" s="14"/>
      <c r="I1123" s="14"/>
      <c r="J1123" s="14"/>
      <c r="K1123" s="12"/>
    </row>
    <row r="1124" ht="19.5" customHeight="1">
      <c r="A1124" s="12"/>
      <c r="C1124" s="12"/>
      <c r="D1124" s="87"/>
      <c r="F1124" s="14"/>
      <c r="G1124" s="14"/>
      <c r="H1124" s="14"/>
      <c r="I1124" s="14"/>
      <c r="J1124" s="14"/>
      <c r="K1124" s="12"/>
    </row>
    <row r="1125" ht="19.5" customHeight="1">
      <c r="A1125" s="12"/>
      <c r="C1125" s="12"/>
      <c r="D1125" s="87"/>
      <c r="F1125" s="14"/>
      <c r="G1125" s="14"/>
      <c r="H1125" s="14"/>
      <c r="I1125" s="14"/>
      <c r="J1125" s="14"/>
      <c r="K1125" s="12"/>
    </row>
    <row r="1126" ht="19.5" customHeight="1">
      <c r="A1126" s="12"/>
      <c r="C1126" s="12"/>
      <c r="D1126" s="87"/>
      <c r="F1126" s="14"/>
      <c r="G1126" s="14"/>
      <c r="H1126" s="14"/>
      <c r="I1126" s="14"/>
      <c r="J1126" s="14"/>
      <c r="K1126" s="12"/>
    </row>
    <row r="1127" ht="19.5" customHeight="1">
      <c r="A1127" s="12"/>
      <c r="C1127" s="12"/>
      <c r="D1127" s="87"/>
      <c r="F1127" s="14"/>
      <c r="G1127" s="14"/>
      <c r="H1127" s="14"/>
      <c r="I1127" s="14"/>
      <c r="J1127" s="14"/>
      <c r="K1127" s="12"/>
    </row>
    <row r="1128" ht="19.5" customHeight="1">
      <c r="A1128" s="12"/>
      <c r="C1128" s="12"/>
      <c r="D1128" s="87"/>
      <c r="F1128" s="14"/>
      <c r="G1128" s="14"/>
      <c r="H1128" s="14"/>
      <c r="I1128" s="14"/>
      <c r="J1128" s="14"/>
      <c r="K1128" s="12"/>
    </row>
    <row r="1129" ht="19.5" customHeight="1">
      <c r="A1129" s="12"/>
      <c r="C1129" s="12"/>
      <c r="D1129" s="87"/>
      <c r="F1129" s="14"/>
      <c r="G1129" s="14"/>
      <c r="H1129" s="14"/>
      <c r="I1129" s="14"/>
      <c r="J1129" s="14"/>
      <c r="K1129" s="12"/>
    </row>
    <row r="1130" ht="19.5" customHeight="1">
      <c r="A1130" s="12"/>
      <c r="C1130" s="12"/>
      <c r="D1130" s="87"/>
      <c r="F1130" s="14"/>
      <c r="G1130" s="14"/>
      <c r="H1130" s="14"/>
      <c r="I1130" s="14"/>
      <c r="J1130" s="14"/>
      <c r="K1130" s="12"/>
    </row>
    <row r="1131" ht="19.5" customHeight="1">
      <c r="A1131" s="12"/>
      <c r="C1131" s="12"/>
      <c r="D1131" s="87"/>
      <c r="F1131" s="14"/>
      <c r="G1131" s="14"/>
      <c r="H1131" s="14"/>
      <c r="I1131" s="14"/>
      <c r="J1131" s="14"/>
      <c r="K1131" s="12"/>
    </row>
    <row r="1132" ht="19.5" customHeight="1">
      <c r="A1132" s="12"/>
      <c r="C1132" s="12"/>
      <c r="D1132" s="87"/>
      <c r="F1132" s="14"/>
      <c r="G1132" s="14"/>
      <c r="H1132" s="14"/>
      <c r="I1132" s="14"/>
      <c r="J1132" s="14"/>
      <c r="K1132" s="12"/>
    </row>
    <row r="1133" ht="19.5" customHeight="1">
      <c r="A1133" s="12"/>
      <c r="C1133" s="12"/>
      <c r="D1133" s="87"/>
      <c r="F1133" s="14"/>
      <c r="G1133" s="14"/>
      <c r="H1133" s="14"/>
      <c r="I1133" s="14"/>
      <c r="J1133" s="14"/>
      <c r="K1133" s="12"/>
    </row>
    <row r="1134" ht="19.5" customHeight="1">
      <c r="A1134" s="12"/>
      <c r="C1134" s="12"/>
      <c r="D1134" s="87"/>
      <c r="F1134" s="14"/>
      <c r="G1134" s="14"/>
      <c r="H1134" s="14"/>
      <c r="I1134" s="14"/>
      <c r="J1134" s="14"/>
      <c r="K1134" s="12"/>
    </row>
    <row r="1135" ht="19.5" customHeight="1">
      <c r="A1135" s="12"/>
      <c r="C1135" s="12"/>
      <c r="D1135" s="87"/>
      <c r="F1135" s="14"/>
      <c r="G1135" s="14"/>
      <c r="H1135" s="14"/>
      <c r="I1135" s="14"/>
      <c r="J1135" s="14"/>
      <c r="K1135" s="12"/>
    </row>
    <row r="1136" ht="19.5" customHeight="1">
      <c r="A1136" s="12"/>
      <c r="C1136" s="12"/>
      <c r="D1136" s="87"/>
      <c r="F1136" s="14"/>
      <c r="G1136" s="14"/>
      <c r="H1136" s="14"/>
      <c r="I1136" s="14"/>
      <c r="J1136" s="14"/>
      <c r="K1136" s="12"/>
    </row>
    <row r="1137" ht="19.5" customHeight="1">
      <c r="A1137" s="12"/>
      <c r="C1137" s="12"/>
      <c r="D1137" s="87"/>
      <c r="F1137" s="14"/>
      <c r="G1137" s="14"/>
      <c r="H1137" s="14"/>
      <c r="I1137" s="14"/>
      <c r="J1137" s="14"/>
      <c r="K1137" s="12"/>
    </row>
    <row r="1138" ht="19.5" customHeight="1">
      <c r="A1138" s="12"/>
      <c r="C1138" s="12"/>
      <c r="D1138" s="87"/>
      <c r="F1138" s="14"/>
      <c r="G1138" s="14"/>
      <c r="H1138" s="14"/>
      <c r="I1138" s="14"/>
      <c r="J1138" s="14"/>
      <c r="K1138" s="12"/>
    </row>
    <row r="1139" ht="19.5" customHeight="1">
      <c r="A1139" s="12"/>
      <c r="C1139" s="12"/>
      <c r="D1139" s="87"/>
      <c r="F1139" s="14"/>
      <c r="G1139" s="14"/>
      <c r="H1139" s="14"/>
      <c r="I1139" s="14"/>
      <c r="J1139" s="14"/>
      <c r="K1139" s="12"/>
    </row>
    <row r="1140" ht="19.5" customHeight="1">
      <c r="A1140" s="12"/>
      <c r="C1140" s="12"/>
      <c r="D1140" s="87"/>
      <c r="F1140" s="14"/>
      <c r="G1140" s="14"/>
      <c r="H1140" s="14"/>
      <c r="I1140" s="14"/>
      <c r="J1140" s="14"/>
      <c r="K1140" s="12"/>
    </row>
    <row r="1141" ht="19.5" customHeight="1">
      <c r="A1141" s="12"/>
      <c r="C1141" s="12"/>
      <c r="D1141" s="87"/>
      <c r="F1141" s="14"/>
      <c r="G1141" s="14"/>
      <c r="H1141" s="14"/>
      <c r="I1141" s="14"/>
      <c r="J1141" s="14"/>
      <c r="K1141" s="12"/>
    </row>
    <row r="1142" ht="19.5" customHeight="1">
      <c r="A1142" s="12"/>
      <c r="C1142" s="12"/>
      <c r="D1142" s="87"/>
      <c r="F1142" s="14"/>
      <c r="G1142" s="14"/>
      <c r="H1142" s="14"/>
      <c r="I1142" s="14"/>
      <c r="J1142" s="14"/>
      <c r="K1142" s="12"/>
    </row>
    <row r="1143" ht="19.5" customHeight="1">
      <c r="A1143" s="12"/>
      <c r="C1143" s="12"/>
      <c r="D1143" s="87"/>
      <c r="F1143" s="14"/>
      <c r="G1143" s="14"/>
      <c r="H1143" s="14"/>
      <c r="I1143" s="14"/>
      <c r="J1143" s="14"/>
      <c r="K1143" s="12"/>
    </row>
    <row r="1144" ht="19.5" customHeight="1">
      <c r="A1144" s="12"/>
      <c r="C1144" s="12"/>
      <c r="D1144" s="87"/>
      <c r="F1144" s="14"/>
      <c r="G1144" s="14"/>
      <c r="H1144" s="14"/>
      <c r="I1144" s="14"/>
      <c r="J1144" s="14"/>
      <c r="K1144" s="12"/>
    </row>
    <row r="1145" ht="19.5" customHeight="1">
      <c r="A1145" s="12"/>
      <c r="C1145" s="12"/>
      <c r="D1145" s="87"/>
      <c r="F1145" s="14"/>
      <c r="G1145" s="14"/>
      <c r="H1145" s="14"/>
      <c r="I1145" s="14"/>
      <c r="J1145" s="14"/>
      <c r="K1145" s="12"/>
    </row>
    <row r="1146" ht="19.5" customHeight="1">
      <c r="A1146" s="12"/>
      <c r="C1146" s="12"/>
      <c r="D1146" s="87"/>
      <c r="F1146" s="14"/>
      <c r="G1146" s="14"/>
      <c r="H1146" s="14"/>
      <c r="I1146" s="14"/>
      <c r="J1146" s="14"/>
      <c r="K1146" s="12"/>
    </row>
    <row r="1147" ht="19.5" customHeight="1">
      <c r="A1147" s="12"/>
      <c r="C1147" s="12"/>
      <c r="D1147" s="87"/>
      <c r="F1147" s="14"/>
      <c r="G1147" s="14"/>
      <c r="H1147" s="14"/>
      <c r="I1147" s="14"/>
      <c r="J1147" s="14"/>
      <c r="K1147" s="12"/>
    </row>
    <row r="1148" ht="19.5" customHeight="1">
      <c r="A1148" s="12"/>
      <c r="C1148" s="12"/>
      <c r="D1148" s="87"/>
      <c r="F1148" s="14"/>
      <c r="G1148" s="14"/>
      <c r="H1148" s="14"/>
      <c r="I1148" s="14"/>
      <c r="J1148" s="14"/>
      <c r="K1148" s="12"/>
    </row>
    <row r="1149" ht="19.5" customHeight="1">
      <c r="A1149" s="12"/>
      <c r="C1149" s="12"/>
      <c r="D1149" s="87"/>
      <c r="F1149" s="14"/>
      <c r="G1149" s="14"/>
      <c r="H1149" s="14"/>
      <c r="I1149" s="14"/>
      <c r="J1149" s="14"/>
      <c r="K1149" s="12"/>
    </row>
    <row r="1150" ht="19.5" customHeight="1">
      <c r="A1150" s="12"/>
      <c r="C1150" s="12"/>
      <c r="D1150" s="87"/>
      <c r="F1150" s="14"/>
      <c r="G1150" s="14"/>
      <c r="H1150" s="14"/>
      <c r="I1150" s="14"/>
      <c r="J1150" s="14"/>
      <c r="K1150" s="12"/>
    </row>
    <row r="1151" ht="19.5" customHeight="1">
      <c r="A1151" s="12"/>
      <c r="C1151" s="12"/>
      <c r="D1151" s="87"/>
      <c r="F1151" s="14"/>
      <c r="G1151" s="14"/>
      <c r="H1151" s="14"/>
      <c r="I1151" s="14"/>
      <c r="J1151" s="14"/>
      <c r="K1151" s="12"/>
    </row>
    <row r="1152" ht="19.5" customHeight="1">
      <c r="A1152" s="12"/>
      <c r="C1152" s="12"/>
      <c r="D1152" s="87"/>
      <c r="F1152" s="14"/>
      <c r="G1152" s="14"/>
      <c r="H1152" s="14"/>
      <c r="I1152" s="14"/>
      <c r="J1152" s="14"/>
      <c r="K1152" s="12"/>
    </row>
    <row r="1153" ht="19.5" customHeight="1">
      <c r="A1153" s="12"/>
      <c r="C1153" s="12"/>
      <c r="D1153" s="87"/>
      <c r="F1153" s="14"/>
      <c r="G1153" s="14"/>
      <c r="H1153" s="14"/>
      <c r="I1153" s="14"/>
      <c r="J1153" s="14"/>
      <c r="K1153" s="12"/>
    </row>
    <row r="1154" ht="19.5" customHeight="1">
      <c r="A1154" s="12"/>
      <c r="C1154" s="12"/>
      <c r="D1154" s="87"/>
      <c r="F1154" s="14"/>
      <c r="G1154" s="14"/>
      <c r="H1154" s="14"/>
      <c r="I1154" s="14"/>
      <c r="J1154" s="14"/>
      <c r="K1154" s="12"/>
    </row>
    <row r="1155" ht="19.5" customHeight="1">
      <c r="A1155" s="12"/>
      <c r="C1155" s="12"/>
      <c r="D1155" s="87"/>
      <c r="F1155" s="14"/>
      <c r="G1155" s="14"/>
      <c r="H1155" s="14"/>
      <c r="I1155" s="14"/>
      <c r="J1155" s="14"/>
      <c r="K1155" s="12"/>
    </row>
    <row r="1156" ht="19.5" customHeight="1">
      <c r="A1156" s="12"/>
      <c r="C1156" s="12"/>
      <c r="D1156" s="87"/>
      <c r="F1156" s="14"/>
      <c r="G1156" s="14"/>
      <c r="H1156" s="14"/>
      <c r="I1156" s="14"/>
      <c r="J1156" s="14"/>
      <c r="K1156" s="12"/>
    </row>
    <row r="1157" ht="19.5" customHeight="1">
      <c r="A1157" s="12"/>
      <c r="C1157" s="12"/>
      <c r="D1157" s="87"/>
      <c r="F1157" s="14"/>
      <c r="G1157" s="14"/>
      <c r="H1157" s="14"/>
      <c r="I1157" s="14"/>
      <c r="J1157" s="14"/>
      <c r="K1157" s="12"/>
    </row>
    <row r="1158" ht="19.5" customHeight="1">
      <c r="A1158" s="12"/>
      <c r="C1158" s="12"/>
      <c r="D1158" s="87"/>
      <c r="F1158" s="14"/>
      <c r="G1158" s="14"/>
      <c r="H1158" s="14"/>
      <c r="I1158" s="14"/>
      <c r="J1158" s="14"/>
      <c r="K1158" s="12"/>
    </row>
    <row r="1159" ht="19.5" customHeight="1">
      <c r="A1159" s="12"/>
      <c r="C1159" s="12"/>
      <c r="D1159" s="87"/>
      <c r="F1159" s="14"/>
      <c r="G1159" s="14"/>
      <c r="H1159" s="14"/>
      <c r="I1159" s="14"/>
      <c r="J1159" s="14"/>
      <c r="K1159" s="12"/>
    </row>
    <row r="1160" ht="19.5" customHeight="1">
      <c r="A1160" s="12"/>
      <c r="C1160" s="12"/>
      <c r="D1160" s="87"/>
      <c r="F1160" s="14"/>
      <c r="G1160" s="14"/>
      <c r="H1160" s="14"/>
      <c r="I1160" s="14"/>
      <c r="J1160" s="14"/>
      <c r="K1160" s="12"/>
    </row>
    <row r="1161" ht="19.5" customHeight="1">
      <c r="A1161" s="12"/>
      <c r="C1161" s="12"/>
      <c r="D1161" s="87"/>
      <c r="F1161" s="14"/>
      <c r="G1161" s="14"/>
      <c r="H1161" s="14"/>
      <c r="I1161" s="14"/>
      <c r="J1161" s="14"/>
      <c r="K1161" s="12"/>
    </row>
    <row r="1162" ht="19.5" customHeight="1">
      <c r="A1162" s="12"/>
      <c r="C1162" s="12"/>
      <c r="D1162" s="87"/>
      <c r="F1162" s="14"/>
      <c r="G1162" s="14"/>
      <c r="H1162" s="14"/>
      <c r="I1162" s="14"/>
      <c r="J1162" s="14"/>
      <c r="K1162" s="12"/>
    </row>
    <row r="1163" ht="19.5" customHeight="1">
      <c r="A1163" s="12"/>
      <c r="C1163" s="12"/>
      <c r="D1163" s="87"/>
      <c r="F1163" s="14"/>
      <c r="G1163" s="14"/>
      <c r="H1163" s="14"/>
      <c r="I1163" s="14"/>
      <c r="J1163" s="14"/>
      <c r="K1163" s="12"/>
    </row>
    <row r="1164" ht="19.5" customHeight="1">
      <c r="A1164" s="12"/>
      <c r="C1164" s="12"/>
      <c r="D1164" s="87"/>
      <c r="F1164" s="14"/>
      <c r="G1164" s="14"/>
      <c r="H1164" s="14"/>
      <c r="I1164" s="14"/>
      <c r="J1164" s="14"/>
      <c r="K1164" s="12"/>
    </row>
    <row r="1165" ht="19.5" customHeight="1">
      <c r="A1165" s="12"/>
      <c r="C1165" s="12"/>
      <c r="D1165" s="87"/>
      <c r="F1165" s="14"/>
      <c r="G1165" s="14"/>
      <c r="H1165" s="14"/>
      <c r="I1165" s="14"/>
      <c r="J1165" s="14"/>
      <c r="K1165" s="12"/>
    </row>
    <row r="1166" ht="19.5" customHeight="1">
      <c r="A1166" s="12"/>
      <c r="C1166" s="12"/>
      <c r="D1166" s="87"/>
      <c r="F1166" s="14"/>
      <c r="G1166" s="14"/>
      <c r="H1166" s="14"/>
      <c r="I1166" s="14"/>
      <c r="J1166" s="14"/>
      <c r="K1166" s="12"/>
    </row>
    <row r="1167" ht="19.5" customHeight="1">
      <c r="A1167" s="12"/>
      <c r="C1167" s="12"/>
      <c r="D1167" s="87"/>
      <c r="F1167" s="14"/>
      <c r="G1167" s="14"/>
      <c r="H1167" s="14"/>
      <c r="I1167" s="14"/>
      <c r="J1167" s="14"/>
      <c r="K1167" s="12"/>
    </row>
    <row r="1168" ht="19.5" customHeight="1">
      <c r="A1168" s="12"/>
      <c r="C1168" s="12"/>
      <c r="D1168" s="87"/>
      <c r="F1168" s="14"/>
      <c r="G1168" s="14"/>
      <c r="H1168" s="14"/>
      <c r="I1168" s="14"/>
      <c r="J1168" s="14"/>
      <c r="K1168" s="12"/>
    </row>
    <row r="1169" ht="19.5" customHeight="1">
      <c r="A1169" s="12"/>
      <c r="C1169" s="12"/>
      <c r="D1169" s="87"/>
      <c r="F1169" s="14"/>
      <c r="G1169" s="14"/>
      <c r="H1169" s="14"/>
      <c r="I1169" s="14"/>
      <c r="J1169" s="14"/>
      <c r="K1169" s="12"/>
    </row>
    <row r="1170" ht="19.5" customHeight="1">
      <c r="A1170" s="12"/>
      <c r="C1170" s="12"/>
      <c r="D1170" s="87"/>
      <c r="F1170" s="14"/>
      <c r="G1170" s="14"/>
      <c r="H1170" s="14"/>
      <c r="I1170" s="14"/>
      <c r="J1170" s="14"/>
      <c r="K1170" s="12"/>
    </row>
    <row r="1171" ht="19.5" customHeight="1">
      <c r="A1171" s="12"/>
      <c r="C1171" s="12"/>
      <c r="D1171" s="87"/>
      <c r="F1171" s="14"/>
      <c r="G1171" s="14"/>
      <c r="H1171" s="14"/>
      <c r="I1171" s="14"/>
      <c r="J1171" s="14"/>
      <c r="K1171" s="12"/>
    </row>
    <row r="1172" ht="19.5" customHeight="1">
      <c r="A1172" s="12"/>
      <c r="C1172" s="12"/>
      <c r="D1172" s="87"/>
      <c r="F1172" s="14"/>
      <c r="G1172" s="14"/>
      <c r="H1172" s="14"/>
      <c r="I1172" s="14"/>
      <c r="J1172" s="14"/>
      <c r="K1172" s="12"/>
    </row>
    <row r="1173" ht="19.5" customHeight="1">
      <c r="A1173" s="12"/>
      <c r="C1173" s="12"/>
      <c r="D1173" s="87"/>
      <c r="F1173" s="14"/>
      <c r="G1173" s="14"/>
      <c r="H1173" s="14"/>
      <c r="I1173" s="14"/>
      <c r="J1173" s="14"/>
      <c r="K1173" s="12"/>
    </row>
    <row r="1174" ht="19.5" customHeight="1">
      <c r="A1174" s="12"/>
      <c r="C1174" s="12"/>
      <c r="D1174" s="87"/>
      <c r="F1174" s="14"/>
      <c r="G1174" s="14"/>
      <c r="H1174" s="14"/>
      <c r="I1174" s="14"/>
      <c r="J1174" s="14"/>
      <c r="K1174" s="12"/>
    </row>
    <row r="1175" ht="19.5" customHeight="1">
      <c r="A1175" s="12"/>
      <c r="C1175" s="12"/>
      <c r="D1175" s="87"/>
      <c r="F1175" s="14"/>
      <c r="G1175" s="14"/>
      <c r="H1175" s="14"/>
      <c r="I1175" s="14"/>
      <c r="J1175" s="14"/>
      <c r="K1175" s="12"/>
    </row>
    <row r="1176" ht="19.5" customHeight="1">
      <c r="A1176" s="12"/>
      <c r="C1176" s="12"/>
      <c r="D1176" s="87"/>
      <c r="F1176" s="14"/>
      <c r="G1176" s="14"/>
      <c r="H1176" s="14"/>
      <c r="I1176" s="14"/>
      <c r="J1176" s="14"/>
      <c r="K1176" s="12"/>
    </row>
    <row r="1177" ht="19.5" customHeight="1">
      <c r="A1177" s="12"/>
      <c r="C1177" s="12"/>
      <c r="D1177" s="87"/>
      <c r="F1177" s="14"/>
      <c r="G1177" s="14"/>
      <c r="H1177" s="14"/>
      <c r="I1177" s="14"/>
      <c r="J1177" s="14"/>
      <c r="K1177" s="12"/>
    </row>
    <row r="1178" ht="19.5" customHeight="1">
      <c r="A1178" s="12"/>
      <c r="C1178" s="12"/>
      <c r="D1178" s="87"/>
      <c r="F1178" s="14"/>
      <c r="G1178" s="14"/>
      <c r="H1178" s="14"/>
      <c r="I1178" s="14"/>
      <c r="J1178" s="14"/>
      <c r="K1178" s="12"/>
    </row>
    <row r="1179" ht="19.5" customHeight="1">
      <c r="A1179" s="12"/>
      <c r="C1179" s="12"/>
      <c r="D1179" s="87"/>
      <c r="F1179" s="14"/>
      <c r="G1179" s="14"/>
      <c r="H1179" s="14"/>
      <c r="I1179" s="14"/>
      <c r="J1179" s="14"/>
      <c r="K1179" s="12"/>
    </row>
    <row r="1180" ht="19.5" customHeight="1">
      <c r="A1180" s="12"/>
      <c r="C1180" s="12"/>
      <c r="D1180" s="87"/>
      <c r="F1180" s="14"/>
      <c r="G1180" s="14"/>
      <c r="H1180" s="14"/>
      <c r="I1180" s="14"/>
      <c r="J1180" s="14"/>
      <c r="K1180" s="12"/>
    </row>
    <row r="1181" ht="19.5" customHeight="1">
      <c r="A1181" s="12"/>
      <c r="C1181" s="12"/>
      <c r="D1181" s="87"/>
      <c r="F1181" s="14"/>
      <c r="G1181" s="14"/>
      <c r="H1181" s="14"/>
      <c r="I1181" s="14"/>
      <c r="J1181" s="14"/>
      <c r="K1181" s="12"/>
    </row>
    <row r="1182" ht="19.5" customHeight="1">
      <c r="A1182" s="12"/>
      <c r="C1182" s="12"/>
      <c r="D1182" s="87"/>
      <c r="F1182" s="14"/>
      <c r="G1182" s="14"/>
      <c r="H1182" s="14"/>
      <c r="I1182" s="14"/>
      <c r="J1182" s="14"/>
      <c r="K1182" s="12"/>
    </row>
    <row r="1183" ht="19.5" customHeight="1">
      <c r="A1183" s="12"/>
      <c r="C1183" s="12"/>
      <c r="D1183" s="87"/>
      <c r="F1183" s="14"/>
      <c r="G1183" s="14"/>
      <c r="H1183" s="14"/>
      <c r="I1183" s="14"/>
      <c r="J1183" s="14"/>
      <c r="K1183" s="12"/>
    </row>
    <row r="1184" ht="19.5" customHeight="1">
      <c r="A1184" s="12"/>
      <c r="C1184" s="12"/>
      <c r="D1184" s="87"/>
      <c r="F1184" s="14"/>
      <c r="G1184" s="14"/>
      <c r="H1184" s="14"/>
      <c r="I1184" s="14"/>
      <c r="J1184" s="14"/>
      <c r="K1184" s="12"/>
    </row>
    <row r="1185" ht="19.5" customHeight="1">
      <c r="A1185" s="12"/>
      <c r="C1185" s="12"/>
      <c r="D1185" s="87"/>
      <c r="F1185" s="14"/>
      <c r="G1185" s="14"/>
      <c r="H1185" s="14"/>
      <c r="I1185" s="14"/>
      <c r="J1185" s="14"/>
      <c r="K1185" s="12"/>
    </row>
    <row r="1186" ht="19.5" customHeight="1">
      <c r="A1186" s="12"/>
      <c r="C1186" s="12"/>
      <c r="D1186" s="87"/>
      <c r="F1186" s="14"/>
      <c r="G1186" s="14"/>
      <c r="H1186" s="14"/>
      <c r="I1186" s="14"/>
      <c r="J1186" s="14"/>
      <c r="K1186" s="12"/>
    </row>
    <row r="1187" ht="19.5" customHeight="1">
      <c r="A1187" s="12"/>
      <c r="C1187" s="12"/>
      <c r="D1187" s="87"/>
      <c r="F1187" s="14"/>
      <c r="G1187" s="14"/>
      <c r="H1187" s="14"/>
      <c r="I1187" s="14"/>
      <c r="J1187" s="14"/>
      <c r="K1187" s="12"/>
    </row>
    <row r="1188" ht="19.5" customHeight="1">
      <c r="A1188" s="12"/>
      <c r="C1188" s="12"/>
      <c r="D1188" s="87"/>
      <c r="F1188" s="14"/>
      <c r="G1188" s="14"/>
      <c r="H1188" s="14"/>
      <c r="I1188" s="14"/>
      <c r="J1188" s="14"/>
      <c r="K1188" s="12"/>
    </row>
    <row r="1189" ht="19.5" customHeight="1">
      <c r="A1189" s="12"/>
      <c r="C1189" s="12"/>
      <c r="D1189" s="87"/>
      <c r="F1189" s="14"/>
      <c r="G1189" s="14"/>
      <c r="H1189" s="14"/>
      <c r="I1189" s="14"/>
      <c r="J1189" s="14"/>
      <c r="K1189" s="12"/>
    </row>
    <row r="1190" ht="19.5" customHeight="1">
      <c r="A1190" s="12"/>
      <c r="C1190" s="12"/>
      <c r="D1190" s="87"/>
      <c r="F1190" s="14"/>
      <c r="G1190" s="14"/>
      <c r="H1190" s="14"/>
      <c r="I1190" s="14"/>
      <c r="J1190" s="14"/>
      <c r="K1190" s="12"/>
    </row>
    <row r="1191" ht="19.5" customHeight="1">
      <c r="A1191" s="12"/>
      <c r="C1191" s="12"/>
      <c r="D1191" s="87"/>
      <c r="F1191" s="14"/>
      <c r="G1191" s="14"/>
      <c r="H1191" s="14"/>
      <c r="I1191" s="14"/>
      <c r="J1191" s="14"/>
      <c r="K1191" s="12"/>
    </row>
    <row r="1192" ht="19.5" customHeight="1">
      <c r="A1192" s="12"/>
      <c r="C1192" s="12"/>
      <c r="D1192" s="87"/>
      <c r="F1192" s="14"/>
      <c r="G1192" s="14"/>
      <c r="H1192" s="14"/>
      <c r="I1192" s="14"/>
      <c r="J1192" s="14"/>
      <c r="K1192" s="12"/>
    </row>
    <row r="1193" ht="19.5" customHeight="1">
      <c r="A1193" s="12"/>
      <c r="C1193" s="12"/>
      <c r="D1193" s="87"/>
      <c r="F1193" s="14"/>
      <c r="G1193" s="14"/>
      <c r="H1193" s="14"/>
      <c r="I1193" s="14"/>
      <c r="J1193" s="14"/>
      <c r="K1193" s="12"/>
    </row>
    <row r="1194" ht="19.5" customHeight="1">
      <c r="A1194" s="12"/>
      <c r="C1194" s="12"/>
      <c r="D1194" s="87"/>
      <c r="F1194" s="14"/>
      <c r="G1194" s="14"/>
      <c r="H1194" s="14"/>
      <c r="I1194" s="14"/>
      <c r="J1194" s="14"/>
      <c r="K1194" s="12"/>
    </row>
    <row r="1195" ht="19.5" customHeight="1">
      <c r="A1195" s="12"/>
      <c r="C1195" s="12"/>
      <c r="D1195" s="87"/>
      <c r="F1195" s="14"/>
      <c r="G1195" s="14"/>
      <c r="H1195" s="14"/>
      <c r="I1195" s="14"/>
      <c r="J1195" s="14"/>
      <c r="K1195" s="12"/>
    </row>
    <row r="1196" ht="19.5" customHeight="1">
      <c r="A1196" s="12"/>
      <c r="C1196" s="12"/>
      <c r="D1196" s="87"/>
      <c r="F1196" s="14"/>
      <c r="G1196" s="14"/>
      <c r="H1196" s="14"/>
      <c r="I1196" s="14"/>
      <c r="J1196" s="14"/>
      <c r="K1196" s="12"/>
    </row>
    <row r="1197" ht="19.5" customHeight="1">
      <c r="A1197" s="12"/>
      <c r="C1197" s="12"/>
      <c r="D1197" s="87"/>
      <c r="F1197" s="14"/>
      <c r="G1197" s="14"/>
      <c r="H1197" s="14"/>
      <c r="I1197" s="14"/>
      <c r="J1197" s="14"/>
      <c r="K1197" s="12"/>
    </row>
    <row r="1198" ht="19.5" customHeight="1">
      <c r="A1198" s="12"/>
      <c r="C1198" s="12"/>
      <c r="D1198" s="87"/>
      <c r="F1198" s="14"/>
      <c r="G1198" s="14"/>
      <c r="H1198" s="14"/>
      <c r="I1198" s="14"/>
      <c r="J1198" s="14"/>
      <c r="K1198" s="12"/>
    </row>
    <row r="1199" ht="19.5" customHeight="1">
      <c r="A1199" s="12"/>
      <c r="C1199" s="12"/>
      <c r="D1199" s="87"/>
      <c r="F1199" s="14"/>
      <c r="G1199" s="14"/>
      <c r="H1199" s="14"/>
      <c r="I1199" s="14"/>
      <c r="J1199" s="14"/>
      <c r="K1199" s="12"/>
    </row>
    <row r="1200" ht="19.5" customHeight="1">
      <c r="A1200" s="12"/>
      <c r="C1200" s="12"/>
      <c r="D1200" s="87"/>
      <c r="F1200" s="14"/>
      <c r="G1200" s="14"/>
      <c r="H1200" s="14"/>
      <c r="I1200" s="14"/>
      <c r="J1200" s="14"/>
      <c r="K1200" s="12"/>
    </row>
    <row r="1201" ht="19.5" customHeight="1">
      <c r="A1201" s="12"/>
      <c r="C1201" s="12"/>
      <c r="D1201" s="87"/>
      <c r="F1201" s="14"/>
      <c r="G1201" s="14"/>
      <c r="H1201" s="14"/>
      <c r="I1201" s="14"/>
      <c r="J1201" s="14"/>
      <c r="K1201" s="12"/>
    </row>
    <row r="1202" ht="19.5" customHeight="1">
      <c r="A1202" s="12"/>
      <c r="C1202" s="12"/>
      <c r="D1202" s="87"/>
      <c r="F1202" s="14"/>
      <c r="G1202" s="14"/>
      <c r="H1202" s="14"/>
      <c r="I1202" s="14"/>
      <c r="J1202" s="14"/>
      <c r="K1202" s="12"/>
    </row>
    <row r="1203" ht="19.5" customHeight="1">
      <c r="A1203" s="12"/>
      <c r="C1203" s="12"/>
      <c r="D1203" s="87"/>
      <c r="F1203" s="14"/>
      <c r="G1203" s="14"/>
      <c r="H1203" s="14"/>
      <c r="I1203" s="14"/>
      <c r="J1203" s="14"/>
      <c r="K1203" s="12"/>
    </row>
    <row r="1204" ht="19.5" customHeight="1">
      <c r="A1204" s="12"/>
      <c r="C1204" s="12"/>
      <c r="D1204" s="87"/>
      <c r="F1204" s="14"/>
      <c r="G1204" s="14"/>
      <c r="H1204" s="14"/>
      <c r="I1204" s="14"/>
      <c r="J1204" s="14"/>
      <c r="K1204" s="12"/>
    </row>
    <row r="1205" ht="19.5" customHeight="1">
      <c r="A1205" s="12"/>
      <c r="C1205" s="12"/>
      <c r="D1205" s="87"/>
      <c r="F1205" s="14"/>
      <c r="G1205" s="14"/>
      <c r="H1205" s="14"/>
      <c r="I1205" s="14"/>
      <c r="J1205" s="14"/>
      <c r="K1205" s="12"/>
    </row>
    <row r="1206" ht="19.5" customHeight="1">
      <c r="A1206" s="12"/>
      <c r="C1206" s="12"/>
      <c r="D1206" s="87"/>
      <c r="F1206" s="14"/>
      <c r="G1206" s="14"/>
      <c r="H1206" s="14"/>
      <c r="I1206" s="14"/>
      <c r="J1206" s="14"/>
      <c r="K1206" s="12"/>
    </row>
    <row r="1207" ht="19.5" customHeight="1">
      <c r="A1207" s="12"/>
      <c r="C1207" s="12"/>
      <c r="D1207" s="87"/>
      <c r="F1207" s="14"/>
      <c r="G1207" s="14"/>
      <c r="H1207" s="14"/>
      <c r="I1207" s="14"/>
      <c r="J1207" s="14"/>
      <c r="K1207" s="12"/>
    </row>
    <row r="1208" ht="19.5" customHeight="1">
      <c r="A1208" s="12"/>
      <c r="C1208" s="12"/>
      <c r="D1208" s="87"/>
      <c r="F1208" s="14"/>
      <c r="G1208" s="14"/>
      <c r="H1208" s="14"/>
      <c r="I1208" s="14"/>
      <c r="J1208" s="14"/>
      <c r="K1208" s="12"/>
    </row>
    <row r="1209" ht="19.5" customHeight="1">
      <c r="A1209" s="12"/>
      <c r="C1209" s="12"/>
      <c r="D1209" s="87"/>
      <c r="F1209" s="14"/>
      <c r="G1209" s="14"/>
      <c r="H1209" s="14"/>
      <c r="I1209" s="14"/>
      <c r="J1209" s="14"/>
      <c r="K1209" s="12"/>
    </row>
    <row r="1210" ht="19.5" customHeight="1">
      <c r="A1210" s="12"/>
      <c r="C1210" s="12"/>
      <c r="D1210" s="87"/>
      <c r="F1210" s="14"/>
      <c r="G1210" s="14"/>
      <c r="H1210" s="14"/>
      <c r="I1210" s="14"/>
      <c r="J1210" s="14"/>
      <c r="K1210" s="12"/>
    </row>
    <row r="1211" ht="19.5" customHeight="1">
      <c r="A1211" s="12"/>
      <c r="C1211" s="12"/>
      <c r="D1211" s="87"/>
      <c r="F1211" s="14"/>
      <c r="G1211" s="14"/>
      <c r="H1211" s="14"/>
      <c r="I1211" s="14"/>
      <c r="J1211" s="14"/>
      <c r="K1211" s="12"/>
    </row>
    <row r="1212" ht="19.5" customHeight="1">
      <c r="A1212" s="12"/>
      <c r="C1212" s="12"/>
      <c r="D1212" s="87"/>
      <c r="F1212" s="14"/>
      <c r="G1212" s="14"/>
      <c r="H1212" s="14"/>
      <c r="I1212" s="14"/>
      <c r="J1212" s="14"/>
      <c r="K1212" s="12"/>
    </row>
    <row r="1213" ht="19.5" customHeight="1">
      <c r="A1213" s="12"/>
      <c r="C1213" s="12"/>
      <c r="D1213" s="87"/>
      <c r="F1213" s="14"/>
      <c r="G1213" s="14"/>
      <c r="H1213" s="14"/>
      <c r="I1213" s="14"/>
      <c r="J1213" s="14"/>
      <c r="K1213" s="12"/>
    </row>
    <row r="1214" ht="19.5" customHeight="1">
      <c r="A1214" s="12"/>
      <c r="C1214" s="12"/>
      <c r="D1214" s="87"/>
      <c r="F1214" s="14"/>
      <c r="G1214" s="14"/>
      <c r="H1214" s="14"/>
      <c r="I1214" s="14"/>
      <c r="J1214" s="14"/>
      <c r="K1214" s="12"/>
    </row>
    <row r="1215" ht="19.5" customHeight="1">
      <c r="A1215" s="12"/>
      <c r="C1215" s="12"/>
      <c r="D1215" s="87"/>
      <c r="F1215" s="14"/>
      <c r="G1215" s="14"/>
      <c r="H1215" s="14"/>
      <c r="I1215" s="14"/>
      <c r="J1215" s="14"/>
      <c r="K1215" s="12"/>
    </row>
  </sheetData>
  <mergeCells count="11">
    <mergeCell ref="E9:G9"/>
    <mergeCell ref="J9:J10"/>
    <mergeCell ref="K238:K240"/>
    <mergeCell ref="A6:K6"/>
    <mergeCell ref="A7:K7"/>
    <mergeCell ref="A8:K8"/>
    <mergeCell ref="A9:A10"/>
    <mergeCell ref="B9:B10"/>
    <mergeCell ref="C9:C10"/>
    <mergeCell ref="D9:D10"/>
    <mergeCell ref="K9:K10"/>
  </mergeCells>
  <printOptions/>
  <pageMargins bottom="0.787401575" footer="0.0" header="0.0" left="0.511811024" right="0.511811024" top="0.787401575"/>
  <pageSetup paperSize="9" scale="60" orientation="landscape"/>
  <drawing r:id="rId1"/>
</worksheet>
</file>